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270" yWindow="540" windowWidth="28215" windowHeight="13995" firstSheet="14" activeTab="14"/>
  </bookViews>
  <sheets>
    <sheet name="Validacion" sheetId="2" state="hidden" r:id="rId1"/>
    <sheet name="Balanza" sheetId="3" state="hidden" r:id="rId2"/>
    <sheet name="F3" sheetId="4" state="hidden" r:id="rId3"/>
    <sheet name="F7" sheetId="5" state="hidden" r:id="rId4"/>
    <sheet name="F13" sheetId="11" state="hidden" r:id="rId5"/>
    <sheet name="F18" sheetId="12" state="hidden" r:id="rId6"/>
    <sheet name="F18A" sheetId="13" state="hidden" r:id="rId7"/>
    <sheet name="F19A" sheetId="14" state="hidden" r:id="rId8"/>
    <sheet name="F21" sheetId="15" state="hidden" r:id="rId9"/>
    <sheet name="F22" sheetId="16" state="hidden" r:id="rId10"/>
    <sheet name="F23" sheetId="17" state="hidden" r:id="rId11"/>
    <sheet name="F1" sheetId="18" state="hidden" r:id="rId12"/>
    <sheet name="F1LDF" sheetId="20" state="hidden" r:id="rId13"/>
    <sheet name="F6" sheetId="21" state="hidden" r:id="rId14"/>
    <sheet name="F6A" sheetId="22" r:id="rId15"/>
    <sheet name="F2" sheetId="23" state="hidden" r:id="rId16"/>
    <sheet name="F4A1" sheetId="24" state="hidden" r:id="rId17"/>
    <sheet name="F4A2" sheetId="25" state="hidden" r:id="rId18"/>
    <sheet name="F5" sheetId="26" state="hidden" r:id="rId19"/>
    <sheet name="F7A" sheetId="27" state="hidden" r:id="rId20"/>
    <sheet name="F7B" sheetId="28" state="hidden" r:id="rId21"/>
    <sheet name="F8" sheetId="29" state="hidden" r:id="rId22"/>
    <sheet name="F8B" sheetId="30" state="hidden" r:id="rId23"/>
    <sheet name="F12" sheetId="31" state="hidden" r:id="rId24"/>
    <sheet name="F16" sheetId="32" state="hidden" r:id="rId25"/>
    <sheet name="F17" sheetId="33" state="hidden" r:id="rId26"/>
    <sheet name="F19" sheetId="34" state="hidden" r:id="rId27"/>
  </sheets>
  <externalReferences>
    <externalReference r:id="rId28"/>
  </externalReferences>
  <definedNames>
    <definedName name="Dimension">[1]Listas!$U$3:$U$6</definedName>
    <definedName name="Frecuencia">[1]Listas!$Y$3:$Y$10</definedName>
    <definedName name="OLE_LINK13" localSheetId="13">'F6'!$B$32</definedName>
    <definedName name="OLE_LINK13" localSheetId="14">F6A!#REF!</definedName>
    <definedName name="Print_Area" localSheetId="11">'F1'!$B$1:$BN$128</definedName>
    <definedName name="Print_Area" localSheetId="12">F1LDF!$B$1:$BN$122</definedName>
    <definedName name="Print_Titles" localSheetId="1">Balanza!$1:$2</definedName>
    <definedName name="Print_Titles" localSheetId="11">'F1'!$1:$5</definedName>
    <definedName name="Print_Titles" localSheetId="4">'F13'!$1:$6</definedName>
    <definedName name="Print_Titles" localSheetId="6">F18A!$1:$7</definedName>
    <definedName name="Print_Titles" localSheetId="12">F1LDF!$1:$5</definedName>
    <definedName name="Print_Titles" localSheetId="10">'F23'!$1:$8</definedName>
    <definedName name="Print_Titles" localSheetId="18">'F5'!$1:$5</definedName>
    <definedName name="Print_Titles" localSheetId="13">'F6'!$1:$5</definedName>
    <definedName name="Print_Titles" localSheetId="14">F6A!$1:$5</definedName>
    <definedName name="Print_Titles" localSheetId="20">F7B!$1:$6</definedName>
    <definedName name="Print_Titles" localSheetId="22">F8B!$1:$6</definedName>
    <definedName name="Tipo">[1]Listas!$V$3:$V$4</definedName>
  </definedNames>
  <calcPr calcId="145621"/>
  <extLst>
    <ext uri="GoogleSheetsCustomDataVersion2">
      <go:sheetsCustomData xmlns:go="http://customooxmlschemas.google.com/" r:id="rId40" roundtripDataChecksum="niCyXf8MAWHHqZAuHOHxOuozqoT+TbkI7Q21UJuXzxU="/>
    </ext>
  </extLst>
</workbook>
</file>

<file path=xl/calcChain.xml><?xml version="1.0" encoding="utf-8"?>
<calcChain xmlns="http://schemas.openxmlformats.org/spreadsheetml/2006/main">
  <c r="D45" i="34" l="1"/>
  <c r="B45" i="34"/>
  <c r="G39" i="34"/>
  <c r="F39" i="34"/>
  <c r="F35" i="34" s="1"/>
  <c r="D39" i="34"/>
  <c r="E39" i="34" s="1"/>
  <c r="H39" i="34" s="1"/>
  <c r="C39" i="34"/>
  <c r="H38" i="34"/>
  <c r="G38" i="34"/>
  <c r="F38" i="34"/>
  <c r="E38" i="34"/>
  <c r="D38" i="34"/>
  <c r="C38" i="34"/>
  <c r="G37" i="34"/>
  <c r="G35" i="34" s="1"/>
  <c r="F37" i="34"/>
  <c r="D37" i="34"/>
  <c r="E37" i="34" s="1"/>
  <c r="H37" i="34" s="1"/>
  <c r="C37" i="34"/>
  <c r="G36" i="34"/>
  <c r="F36" i="34"/>
  <c r="D36" i="34"/>
  <c r="C36" i="34"/>
  <c r="G34" i="34"/>
  <c r="F34" i="34"/>
  <c r="D34" i="34"/>
  <c r="E34" i="34" s="1"/>
  <c r="H34" i="34" s="1"/>
  <c r="C34" i="34"/>
  <c r="G33" i="34"/>
  <c r="F33" i="34"/>
  <c r="D33" i="34"/>
  <c r="E33" i="34" s="1"/>
  <c r="H33" i="34" s="1"/>
  <c r="C33" i="34"/>
  <c r="G32" i="34"/>
  <c r="F32" i="34"/>
  <c r="E32" i="34"/>
  <c r="H32" i="34" s="1"/>
  <c r="D32" i="34"/>
  <c r="C32" i="34"/>
  <c r="G31" i="34"/>
  <c r="F31" i="34"/>
  <c r="D31" i="34"/>
  <c r="E31" i="34" s="1"/>
  <c r="H31" i="34" s="1"/>
  <c r="C31" i="34"/>
  <c r="G30" i="34"/>
  <c r="F30" i="34"/>
  <c r="D30" i="34"/>
  <c r="C30" i="34"/>
  <c r="E30" i="34" s="1"/>
  <c r="H30" i="34" s="1"/>
  <c r="H29" i="34"/>
  <c r="G29" i="34"/>
  <c r="F29" i="34"/>
  <c r="E29" i="34"/>
  <c r="D29" i="34"/>
  <c r="C29" i="34"/>
  <c r="G28" i="34"/>
  <c r="F28" i="34"/>
  <c r="D28" i="34"/>
  <c r="D25" i="34" s="1"/>
  <c r="C28" i="34"/>
  <c r="G27" i="34"/>
  <c r="F27" i="34"/>
  <c r="E27" i="34"/>
  <c r="H27" i="34" s="1"/>
  <c r="D27" i="34"/>
  <c r="C27" i="34"/>
  <c r="G26" i="34"/>
  <c r="F26" i="34"/>
  <c r="F25" i="34" s="1"/>
  <c r="D26" i="34"/>
  <c r="C26" i="34"/>
  <c r="C25" i="34" s="1"/>
  <c r="G25" i="34"/>
  <c r="E25" i="34"/>
  <c r="H25" i="34" s="1"/>
  <c r="G24" i="34"/>
  <c r="F24" i="34"/>
  <c r="D24" i="34"/>
  <c r="E24" i="34" s="1"/>
  <c r="H24" i="34" s="1"/>
  <c r="C24" i="34"/>
  <c r="G23" i="34"/>
  <c r="F23" i="34"/>
  <c r="D23" i="34"/>
  <c r="E23" i="34" s="1"/>
  <c r="H23" i="34" s="1"/>
  <c r="C23" i="34"/>
  <c r="G22" i="34"/>
  <c r="F22" i="34"/>
  <c r="E22" i="34"/>
  <c r="H22" i="34" s="1"/>
  <c r="D22" i="34"/>
  <c r="C22" i="34"/>
  <c r="G21" i="34"/>
  <c r="F21" i="34"/>
  <c r="D21" i="34"/>
  <c r="E21" i="34" s="1"/>
  <c r="H21" i="34" s="1"/>
  <c r="C21" i="34"/>
  <c r="H20" i="34"/>
  <c r="G20" i="34"/>
  <c r="F20" i="34"/>
  <c r="E20" i="34"/>
  <c r="D20" i="34"/>
  <c r="C20" i="34"/>
  <c r="G19" i="34"/>
  <c r="F19" i="34"/>
  <c r="D19" i="34"/>
  <c r="E19" i="34" s="1"/>
  <c r="H19" i="34" s="1"/>
  <c r="C19" i="34"/>
  <c r="G18" i="34"/>
  <c r="F18" i="34"/>
  <c r="D18" i="34"/>
  <c r="D17" i="34" s="1"/>
  <c r="E17" i="34" s="1"/>
  <c r="C18" i="34"/>
  <c r="C17" i="34" s="1"/>
  <c r="G17" i="34"/>
  <c r="F17" i="34"/>
  <c r="H16" i="34"/>
  <c r="G16" i="34"/>
  <c r="F16" i="34"/>
  <c r="D16" i="34"/>
  <c r="C16" i="34"/>
  <c r="E16" i="34" s="1"/>
  <c r="G15" i="34"/>
  <c r="F15" i="34"/>
  <c r="D15" i="34"/>
  <c r="E15" i="34" s="1"/>
  <c r="C15" i="34"/>
  <c r="G14" i="34"/>
  <c r="F14" i="34"/>
  <c r="D14" i="34"/>
  <c r="C14" i="34"/>
  <c r="G13" i="34"/>
  <c r="F13" i="34"/>
  <c r="E13" i="34"/>
  <c r="D13" i="34"/>
  <c r="C13" i="34"/>
  <c r="H12" i="34"/>
  <c r="G12" i="34"/>
  <c r="F12" i="34"/>
  <c r="E12" i="34"/>
  <c r="D12" i="34"/>
  <c r="C12" i="34"/>
  <c r="G11" i="34"/>
  <c r="F11" i="34"/>
  <c r="E11" i="34"/>
  <c r="H11" i="34" s="1"/>
  <c r="D11" i="34"/>
  <c r="C11" i="34"/>
  <c r="H10" i="34"/>
  <c r="G10" i="34"/>
  <c r="F10" i="34"/>
  <c r="E10" i="34"/>
  <c r="D10" i="34"/>
  <c r="C10" i="34"/>
  <c r="G9" i="34"/>
  <c r="F9" i="34"/>
  <c r="F8" i="34" s="1"/>
  <c r="D9" i="34"/>
  <c r="D8" i="34" s="1"/>
  <c r="C9" i="34"/>
  <c r="A1" i="34"/>
  <c r="F20" i="33"/>
  <c r="B20" i="33"/>
  <c r="F12" i="33"/>
  <c r="F10" i="33"/>
  <c r="A1" i="33"/>
  <c r="D68" i="32"/>
  <c r="D62" i="32"/>
  <c r="A1" i="32"/>
  <c r="D35" i="31"/>
  <c r="B35" i="31"/>
  <c r="A1" i="31"/>
  <c r="F161" i="30"/>
  <c r="C161" i="30"/>
  <c r="G153" i="30"/>
  <c r="G152" i="30"/>
  <c r="G151" i="30"/>
  <c r="G150" i="30"/>
  <c r="G149" i="30"/>
  <c r="G148" i="30"/>
  <c r="G147" i="30"/>
  <c r="G145" i="30"/>
  <c r="G144" i="30"/>
  <c r="G143" i="30"/>
  <c r="G141" i="30"/>
  <c r="G140" i="30"/>
  <c r="G139" i="30"/>
  <c r="G134" i="30" s="1"/>
  <c r="G138" i="30"/>
  <c r="G137" i="30"/>
  <c r="G136" i="30"/>
  <c r="G135" i="30"/>
  <c r="G133" i="30"/>
  <c r="G132" i="30"/>
  <c r="G131" i="30"/>
  <c r="G130" i="30" s="1"/>
  <c r="G129" i="30"/>
  <c r="G128" i="30"/>
  <c r="G127" i="30"/>
  <c r="G126" i="30"/>
  <c r="G125" i="30"/>
  <c r="G124" i="30"/>
  <c r="G123" i="30"/>
  <c r="G122" i="30"/>
  <c r="G121" i="30"/>
  <c r="G119" i="30"/>
  <c r="G118" i="30"/>
  <c r="G117" i="30"/>
  <c r="G116" i="30"/>
  <c r="G115" i="30"/>
  <c r="G114" i="30"/>
  <c r="G113" i="30"/>
  <c r="G112" i="30"/>
  <c r="G111" i="30"/>
  <c r="G109" i="30"/>
  <c r="G108" i="30"/>
  <c r="G107" i="30"/>
  <c r="G106" i="30"/>
  <c r="G105" i="30"/>
  <c r="G104" i="30"/>
  <c r="G103" i="30"/>
  <c r="G102" i="30"/>
  <c r="G101" i="30"/>
  <c r="H99" i="30"/>
  <c r="G99" i="30"/>
  <c r="G98" i="30"/>
  <c r="G97" i="30"/>
  <c r="G96" i="30"/>
  <c r="G95" i="30"/>
  <c r="G94" i="30"/>
  <c r="G93" i="30"/>
  <c r="G92" i="30"/>
  <c r="G91" i="30"/>
  <c r="G90" i="30"/>
  <c r="G89" i="30"/>
  <c r="G88" i="30"/>
  <c r="G87" i="30"/>
  <c r="G86" i="30"/>
  <c r="G85" i="30"/>
  <c r="G84" i="30"/>
  <c r="G83" i="30"/>
  <c r="G82" i="30" s="1"/>
  <c r="G79" i="30"/>
  <c r="G78" i="30"/>
  <c r="G77" i="30"/>
  <c r="G76" i="30"/>
  <c r="G75" i="30"/>
  <c r="G74" i="30"/>
  <c r="G73" i="30"/>
  <c r="G72" i="30"/>
  <c r="G71" i="30"/>
  <c r="G70" i="30"/>
  <c r="G69" i="30"/>
  <c r="G67" i="30"/>
  <c r="G66" i="30"/>
  <c r="G65" i="30"/>
  <c r="G64" i="30"/>
  <c r="G63" i="30"/>
  <c r="G62" i="30"/>
  <c r="G61" i="30"/>
  <c r="G59" i="30"/>
  <c r="G58" i="30"/>
  <c r="G57" i="30"/>
  <c r="G56" i="30" s="1"/>
  <c r="G55" i="30"/>
  <c r="G54" i="30"/>
  <c r="G53" i="30"/>
  <c r="G52" i="30"/>
  <c r="G51" i="30"/>
  <c r="G50" i="30"/>
  <c r="G49" i="30"/>
  <c r="G48" i="30"/>
  <c r="G47" i="30"/>
  <c r="G45" i="30"/>
  <c r="G44" i="30"/>
  <c r="G43" i="30"/>
  <c r="G42" i="30"/>
  <c r="G41" i="30"/>
  <c r="G40" i="30"/>
  <c r="G39" i="30"/>
  <c r="G36" i="30" s="1"/>
  <c r="G38" i="30"/>
  <c r="G37" i="30"/>
  <c r="G35" i="30"/>
  <c r="G34" i="30"/>
  <c r="G33" i="30"/>
  <c r="G32" i="30"/>
  <c r="G31" i="30"/>
  <c r="G30" i="30"/>
  <c r="G29" i="30"/>
  <c r="G28" i="30"/>
  <c r="G27" i="30"/>
  <c r="G25" i="30"/>
  <c r="G24" i="30"/>
  <c r="G23" i="30"/>
  <c r="G22" i="30"/>
  <c r="G21" i="30"/>
  <c r="G20" i="30"/>
  <c r="G19" i="30"/>
  <c r="G18" i="30"/>
  <c r="D18" i="30"/>
  <c r="G17" i="30"/>
  <c r="G15" i="30"/>
  <c r="G14" i="30"/>
  <c r="G13" i="30"/>
  <c r="G12" i="30"/>
  <c r="G11" i="30"/>
  <c r="G10" i="30"/>
  <c r="G9" i="30"/>
  <c r="G8" i="30"/>
  <c r="B1" i="30"/>
  <c r="D84" i="29"/>
  <c r="B84" i="29"/>
  <c r="F79" i="29"/>
  <c r="F78" i="29"/>
  <c r="F77" i="29"/>
  <c r="F76" i="29"/>
  <c r="F75" i="29"/>
  <c r="F74" i="29"/>
  <c r="F73" i="29"/>
  <c r="C26" i="25" s="1"/>
  <c r="F71" i="29"/>
  <c r="F70" i="29"/>
  <c r="F69" i="29"/>
  <c r="F68" i="29" s="1"/>
  <c r="F67" i="29"/>
  <c r="C25" i="25" s="1"/>
  <c r="F66" i="29"/>
  <c r="F65" i="29"/>
  <c r="F64" i="29"/>
  <c r="F63" i="29"/>
  <c r="C22" i="25" s="1"/>
  <c r="F62" i="29"/>
  <c r="F61" i="29"/>
  <c r="F59" i="29"/>
  <c r="F58" i="29"/>
  <c r="D58" i="29"/>
  <c r="F57" i="29"/>
  <c r="F55" i="29"/>
  <c r="F54" i="29"/>
  <c r="C17" i="25" s="1"/>
  <c r="F53" i="29"/>
  <c r="C16" i="25" s="1"/>
  <c r="F52" i="29"/>
  <c r="C15" i="25" s="1"/>
  <c r="F51" i="29"/>
  <c r="F50" i="29"/>
  <c r="F49" i="29"/>
  <c r="F46" i="29" s="1"/>
  <c r="F48" i="29"/>
  <c r="F47" i="29"/>
  <c r="C10" i="25" s="1"/>
  <c r="F45" i="29"/>
  <c r="F44" i="29"/>
  <c r="F43" i="29"/>
  <c r="F42" i="29"/>
  <c r="F41" i="29"/>
  <c r="F11" i="33" s="1"/>
  <c r="F40" i="29"/>
  <c r="F39" i="29"/>
  <c r="F38" i="29"/>
  <c r="F37" i="29"/>
  <c r="F35" i="29"/>
  <c r="F34" i="29"/>
  <c r="F33" i="29"/>
  <c r="F32" i="29"/>
  <c r="F31" i="29"/>
  <c r="F30" i="29"/>
  <c r="F29" i="29"/>
  <c r="F26" i="29" s="1"/>
  <c r="F28" i="29"/>
  <c r="F27" i="29"/>
  <c r="F25" i="29"/>
  <c r="F24" i="29"/>
  <c r="F23" i="29"/>
  <c r="F22" i="29"/>
  <c r="F21" i="29"/>
  <c r="F20" i="29"/>
  <c r="F19" i="29"/>
  <c r="F18" i="29"/>
  <c r="F17" i="29"/>
  <c r="F15" i="29"/>
  <c r="F14" i="29"/>
  <c r="F13" i="29"/>
  <c r="F12" i="29"/>
  <c r="F11" i="29"/>
  <c r="F10" i="29"/>
  <c r="F9" i="29"/>
  <c r="F8" i="29" s="1"/>
  <c r="A1" i="29"/>
  <c r="E74" i="28"/>
  <c r="B74" i="28"/>
  <c r="F68" i="28"/>
  <c r="F63" i="28" s="1"/>
  <c r="F67" i="28"/>
  <c r="F29" i="16" s="1"/>
  <c r="F66" i="28"/>
  <c r="H60" i="28"/>
  <c r="E60" i="28"/>
  <c r="F59" i="28"/>
  <c r="F58" i="28"/>
  <c r="F57" i="28"/>
  <c r="F55" i="28"/>
  <c r="F54" i="28"/>
  <c r="F53" i="28"/>
  <c r="F52" i="28"/>
  <c r="H50" i="28"/>
  <c r="E50" i="28"/>
  <c r="H49" i="28"/>
  <c r="E49" i="28"/>
  <c r="H48" i="28"/>
  <c r="E48" i="28"/>
  <c r="H47" i="28"/>
  <c r="E47" i="28"/>
  <c r="F46" i="28"/>
  <c r="F45" i="28"/>
  <c r="F42" i="28" s="1"/>
  <c r="H44" i="28"/>
  <c r="E44" i="28"/>
  <c r="H43" i="28"/>
  <c r="E43" i="28"/>
  <c r="F38" i="28"/>
  <c r="F36" i="28" s="1"/>
  <c r="F37" i="28"/>
  <c r="F35" i="28"/>
  <c r="F34" i="28"/>
  <c r="F33" i="28"/>
  <c r="F32" i="28"/>
  <c r="F31" i="28"/>
  <c r="F30" i="28"/>
  <c r="F29" i="28"/>
  <c r="F28" i="28"/>
  <c r="F26" i="28"/>
  <c r="F25" i="28"/>
  <c r="F24" i="28"/>
  <c r="F23" i="28"/>
  <c r="F22" i="28"/>
  <c r="F21" i="28"/>
  <c r="F20" i="28"/>
  <c r="F19" i="28"/>
  <c r="F18" i="28"/>
  <c r="F17" i="28"/>
  <c r="F16" i="28"/>
  <c r="F15" i="28" s="1"/>
  <c r="A1" i="28"/>
  <c r="E76" i="27"/>
  <c r="B76" i="27"/>
  <c r="F68" i="27"/>
  <c r="F67" i="27"/>
  <c r="F65" i="27"/>
  <c r="F64" i="27"/>
  <c r="F63" i="27"/>
  <c r="F62" i="27"/>
  <c r="F61" i="27"/>
  <c r="F58" i="27" s="1"/>
  <c r="F60" i="27"/>
  <c r="F59" i="27"/>
  <c r="F51" i="27"/>
  <c r="F50" i="27"/>
  <c r="F49" i="27"/>
  <c r="F48" i="27"/>
  <c r="F47" i="27"/>
  <c r="F46" i="27"/>
  <c r="F45" i="27"/>
  <c r="F44" i="27"/>
  <c r="F43" i="27"/>
  <c r="F42" i="27"/>
  <c r="F41" i="27"/>
  <c r="F40" i="27"/>
  <c r="F39" i="27"/>
  <c r="C15" i="24" s="1"/>
  <c r="F38" i="27"/>
  <c r="F37" i="27" s="1"/>
  <c r="F36" i="27"/>
  <c r="F35" i="27"/>
  <c r="F34" i="27"/>
  <c r="F32" i="27"/>
  <c r="F31" i="27"/>
  <c r="F30" i="27"/>
  <c r="F29" i="27"/>
  <c r="F28" i="27"/>
  <c r="F27" i="27"/>
  <c r="F25" i="27"/>
  <c r="F24" i="27"/>
  <c r="F23" i="27"/>
  <c r="F22" i="27"/>
  <c r="F21" i="27"/>
  <c r="F20" i="27"/>
  <c r="F19" i="27"/>
  <c r="F18" i="27"/>
  <c r="F17" i="27" s="1"/>
  <c r="F16" i="27"/>
  <c r="F15" i="27"/>
  <c r="F14" i="27"/>
  <c r="F13" i="27"/>
  <c r="F12" i="27"/>
  <c r="F11" i="27"/>
  <c r="F10" i="27"/>
  <c r="F7" i="27" s="1"/>
  <c r="F9" i="27"/>
  <c r="F8" i="27"/>
  <c r="A1" i="27"/>
  <c r="F32" i="26"/>
  <c r="D32" i="26"/>
  <c r="E23" i="26"/>
  <c r="A1" i="26"/>
  <c r="B49" i="25"/>
  <c r="B43" i="25"/>
  <c r="C27" i="25"/>
  <c r="C24" i="25"/>
  <c r="C23" i="25"/>
  <c r="C21" i="25"/>
  <c r="C20" i="25"/>
  <c r="C19" i="25"/>
  <c r="C18" i="25"/>
  <c r="C14" i="25"/>
  <c r="C13" i="25"/>
  <c r="C12" i="25"/>
  <c r="C11" i="25"/>
  <c r="C5" i="25"/>
  <c r="A1" i="25"/>
  <c r="B30" i="24"/>
  <c r="B24" i="24"/>
  <c r="C5" i="24"/>
  <c r="A1" i="24"/>
  <c r="D40" i="23"/>
  <c r="B40" i="23"/>
  <c r="A33" i="23"/>
  <c r="G32" i="23"/>
  <c r="F32" i="23"/>
  <c r="F31" i="23"/>
  <c r="A30" i="23"/>
  <c r="A24" i="23"/>
  <c r="G23" i="23"/>
  <c r="C23" i="23"/>
  <c r="C22" i="23"/>
  <c r="G22" i="23" s="1"/>
  <c r="C21" i="23"/>
  <c r="G21" i="23" s="1"/>
  <c r="C20" i="23"/>
  <c r="G20" i="23" s="1"/>
  <c r="A20" i="23"/>
  <c r="A19" i="23"/>
  <c r="G18" i="23"/>
  <c r="F18" i="23"/>
  <c r="G17" i="23"/>
  <c r="F17" i="23"/>
  <c r="F16" i="23" s="1"/>
  <c r="F19" i="23" s="1"/>
  <c r="G16" i="23"/>
  <c r="A16" i="23"/>
  <c r="D12" i="23"/>
  <c r="A10" i="23"/>
  <c r="G9" i="23"/>
  <c r="C9" i="23"/>
  <c r="G8" i="23"/>
  <c r="C8" i="23"/>
  <c r="C7" i="23"/>
  <c r="A6" i="23"/>
  <c r="A1" i="23"/>
  <c r="AY5" i="22"/>
  <c r="AX5" i="22"/>
  <c r="AV548" i="21"/>
  <c r="P548" i="21"/>
  <c r="AY538" i="21"/>
  <c r="AY537" i="21"/>
  <c r="AY536" i="21"/>
  <c r="AY535" i="21"/>
  <c r="AY534" i="21"/>
  <c r="AY533" i="21"/>
  <c r="AY532" i="21"/>
  <c r="AY531" i="21"/>
  <c r="AY530" i="21"/>
  <c r="AY529" i="21"/>
  <c r="AY526" i="21" s="1"/>
  <c r="AY528" i="21"/>
  <c r="AY527" i="21"/>
  <c r="AY525" i="21"/>
  <c r="AX525" i="21"/>
  <c r="AY524" i="21"/>
  <c r="AX524" i="21"/>
  <c r="AY523" i="21"/>
  <c r="AX523" i="21"/>
  <c r="AY522" i="21"/>
  <c r="AY520" i="21" s="1"/>
  <c r="AX522" i="21"/>
  <c r="AY521" i="21"/>
  <c r="AX521" i="21"/>
  <c r="AX520" i="21" s="1"/>
  <c r="C32" i="25" s="1"/>
  <c r="AY519" i="21"/>
  <c r="AY518" i="21"/>
  <c r="AY517" i="21"/>
  <c r="AY516" i="21"/>
  <c r="AY515" i="21"/>
  <c r="AY514" i="21"/>
  <c r="AY513" i="21"/>
  <c r="AY512" i="21"/>
  <c r="AY511" i="21"/>
  <c r="AY510" i="21"/>
  <c r="AY509" i="21"/>
  <c r="AY506" i="21"/>
  <c r="AY505" i="21" s="1"/>
  <c r="AY504" i="21"/>
  <c r="AY503" i="21"/>
  <c r="AY502" i="21" s="1"/>
  <c r="AY501" i="21"/>
  <c r="AY500" i="21"/>
  <c r="AY499" i="21" s="1"/>
  <c r="AY498" i="21"/>
  <c r="AX498" i="21"/>
  <c r="AY497" i="21"/>
  <c r="AX497" i="21"/>
  <c r="AY496" i="21"/>
  <c r="AY495" i="21"/>
  <c r="AY494" i="21" s="1"/>
  <c r="AY493" i="21"/>
  <c r="AY492" i="21" s="1"/>
  <c r="AX493" i="21"/>
  <c r="AX492" i="21" s="1"/>
  <c r="AY491" i="21"/>
  <c r="AY490" i="21"/>
  <c r="AY488" i="21"/>
  <c r="AX488" i="21"/>
  <c r="AY487" i="21"/>
  <c r="AX487" i="21"/>
  <c r="AY486" i="21"/>
  <c r="AX486" i="21"/>
  <c r="AY485" i="21"/>
  <c r="AX485" i="21"/>
  <c r="AY484" i="21"/>
  <c r="AY483" i="21" s="1"/>
  <c r="AX484" i="21"/>
  <c r="AX483" i="21" s="1"/>
  <c r="AY482" i="21"/>
  <c r="AY481" i="21"/>
  <c r="AY480" i="21"/>
  <c r="AY479" i="21" s="1"/>
  <c r="AY476" i="21"/>
  <c r="AY475" i="21"/>
  <c r="AY474" i="21"/>
  <c r="AY473" i="21"/>
  <c r="AY472" i="21" s="1"/>
  <c r="AY471" i="21" s="1"/>
  <c r="AY470" i="21"/>
  <c r="AY469" i="21"/>
  <c r="AY463" i="21" s="1"/>
  <c r="AY468" i="21"/>
  <c r="AY467" i="21"/>
  <c r="AY466" i="21"/>
  <c r="AY465" i="21"/>
  <c r="AY462" i="21"/>
  <c r="AY461" i="21"/>
  <c r="AY460" i="21"/>
  <c r="AY459" i="21" s="1"/>
  <c r="AY458" i="21"/>
  <c r="AY457" i="21"/>
  <c r="AY456" i="21"/>
  <c r="AY455" i="21" s="1"/>
  <c r="AY454" i="21" s="1"/>
  <c r="AY452" i="21"/>
  <c r="AY451" i="21" s="1"/>
  <c r="AY450" i="21"/>
  <c r="AY449" i="21"/>
  <c r="AY448" i="21"/>
  <c r="AY447" i="21" s="1"/>
  <c r="AY446" i="21"/>
  <c r="AY445" i="21"/>
  <c r="AY444" i="21"/>
  <c r="AY443" i="21"/>
  <c r="AY442" i="21"/>
  <c r="AY441" i="21"/>
  <c r="AY440" i="21"/>
  <c r="AY439" i="21" s="1"/>
  <c r="AY438" i="21"/>
  <c r="AY437" i="21" s="1"/>
  <c r="AY435" i="21"/>
  <c r="AY434" i="21" s="1"/>
  <c r="AY433" i="21"/>
  <c r="AY432" i="21"/>
  <c r="AY431" i="21"/>
  <c r="AY428" i="21" s="1"/>
  <c r="AY430" i="21"/>
  <c r="AY429" i="21"/>
  <c r="AY427" i="21"/>
  <c r="AY426" i="21"/>
  <c r="AY424" i="21" s="1"/>
  <c r="AY425" i="21"/>
  <c r="AY423" i="21"/>
  <c r="AY422" i="21"/>
  <c r="AY421" i="21" s="1"/>
  <c r="AY420" i="21"/>
  <c r="AY419" i="21"/>
  <c r="AY418" i="21"/>
  <c r="AY417" i="21"/>
  <c r="AY415" i="21"/>
  <c r="AY414" i="21"/>
  <c r="AY413" i="21"/>
  <c r="AY412" i="21"/>
  <c r="AY411" i="21"/>
  <c r="AY410" i="21"/>
  <c r="AY409" i="21"/>
  <c r="AY407" i="21"/>
  <c r="AY406" i="21"/>
  <c r="AY405" i="21"/>
  <c r="AY404" i="21" s="1"/>
  <c r="AY402" i="21"/>
  <c r="AY401" i="21" s="1"/>
  <c r="AY400" i="21"/>
  <c r="AY399" i="21"/>
  <c r="AY398" i="21"/>
  <c r="AY397" i="21"/>
  <c r="AY396" i="21"/>
  <c r="AY395" i="21"/>
  <c r="AY394" i="21"/>
  <c r="AY393" i="21"/>
  <c r="AY389" i="21"/>
  <c r="AY388" i="21"/>
  <c r="AX388" i="21"/>
  <c r="AY387" i="21"/>
  <c r="AY386" i="21"/>
  <c r="AY384" i="21"/>
  <c r="AY383" i="21"/>
  <c r="AY382" i="21"/>
  <c r="AY381" i="21"/>
  <c r="AY380" i="21"/>
  <c r="AY379" i="21"/>
  <c r="AY378" i="21"/>
  <c r="AY374" i="21" s="1"/>
  <c r="AY373" i="21" s="1"/>
  <c r="AY377" i="21"/>
  <c r="AY376" i="21"/>
  <c r="AY375" i="21"/>
  <c r="AY371" i="21"/>
  <c r="AY370" i="21"/>
  <c r="AY369" i="21"/>
  <c r="AY368" i="21"/>
  <c r="AY367" i="21"/>
  <c r="AY366" i="21"/>
  <c r="AY365" i="21"/>
  <c r="AY364" i="21"/>
  <c r="AY363" i="21"/>
  <c r="AY361" i="21"/>
  <c r="AY360" i="21"/>
  <c r="AY359" i="21"/>
  <c r="AY358" i="21"/>
  <c r="AY357" i="21"/>
  <c r="AY355" i="21"/>
  <c r="AY354" i="21"/>
  <c r="AY353" i="21"/>
  <c r="AY352" i="21"/>
  <c r="AY351" i="21"/>
  <c r="AY350" i="21"/>
  <c r="AY349" i="21"/>
  <c r="AY348" i="21"/>
  <c r="AY347" i="21"/>
  <c r="AY345" i="21"/>
  <c r="AY344" i="21"/>
  <c r="AY343" i="21"/>
  <c r="AY342" i="21"/>
  <c r="AY341" i="21"/>
  <c r="AY340" i="21"/>
  <c r="AY339" i="21"/>
  <c r="AY338" i="21" s="1"/>
  <c r="AY337" i="21"/>
  <c r="AY336" i="21"/>
  <c r="AY335" i="21"/>
  <c r="AY334" i="21"/>
  <c r="AY333" i="21"/>
  <c r="AY332" i="21"/>
  <c r="AY328" i="21" s="1"/>
  <c r="AY331" i="21"/>
  <c r="AY330" i="21"/>
  <c r="AY329" i="21"/>
  <c r="AY327" i="21"/>
  <c r="AY326" i="21"/>
  <c r="AY325" i="21"/>
  <c r="AY324" i="21"/>
  <c r="AY323" i="21"/>
  <c r="AY322" i="21"/>
  <c r="AY321" i="21"/>
  <c r="AY320" i="21"/>
  <c r="AY319" i="21"/>
  <c r="AX319" i="21"/>
  <c r="AY317" i="21"/>
  <c r="AY316" i="21"/>
  <c r="AY315" i="21"/>
  <c r="AY314" i="21"/>
  <c r="AY313" i="21"/>
  <c r="AY312" i="21"/>
  <c r="AY311" i="21"/>
  <c r="AY310" i="21"/>
  <c r="AY309" i="21"/>
  <c r="AY308" i="21"/>
  <c r="AY307" i="21"/>
  <c r="AY306" i="21"/>
  <c r="AY305" i="21"/>
  <c r="AY304" i="21"/>
  <c r="AY303" i="21"/>
  <c r="AY302" i="21"/>
  <c r="AY301" i="21"/>
  <c r="AY300" i="21"/>
  <c r="AY299" i="21"/>
  <c r="AY297" i="21"/>
  <c r="AY296" i="21"/>
  <c r="AY295" i="21"/>
  <c r="AY294" i="21"/>
  <c r="AY293" i="21"/>
  <c r="AY292" i="21"/>
  <c r="AY291" i="21"/>
  <c r="AY290" i="21"/>
  <c r="AY289" i="21"/>
  <c r="AY288" i="21" s="1"/>
  <c r="AY286" i="21"/>
  <c r="AY285" i="21"/>
  <c r="AY284" i="21"/>
  <c r="AY283" i="21"/>
  <c r="AY282" i="21"/>
  <c r="AY281" i="21"/>
  <c r="AY280" i="21"/>
  <c r="AY279" i="21"/>
  <c r="AY278" i="21"/>
  <c r="AY276" i="21"/>
  <c r="AY275" i="21"/>
  <c r="AY274" i="21"/>
  <c r="AY272" i="21"/>
  <c r="AY271" i="21"/>
  <c r="AY270" i="21"/>
  <c r="AY269" i="21"/>
  <c r="AY268" i="21"/>
  <c r="AY267" i="21" s="1"/>
  <c r="AY266" i="21"/>
  <c r="AY265" i="21"/>
  <c r="AY264" i="21" s="1"/>
  <c r="AY263" i="21"/>
  <c r="AY262" i="21"/>
  <c r="AY261" i="21"/>
  <c r="AY260" i="21"/>
  <c r="AY259" i="21"/>
  <c r="AY258" i="21"/>
  <c r="AY257" i="21"/>
  <c r="AY256" i="21" s="1"/>
  <c r="AY255" i="21"/>
  <c r="AY254" i="21"/>
  <c r="AY253" i="21"/>
  <c r="AY252" i="21"/>
  <c r="AY251" i="21"/>
  <c r="AY250" i="21"/>
  <c r="AY249" i="21"/>
  <c r="AY246" i="21" s="1"/>
  <c r="AY248" i="21"/>
  <c r="AY247" i="21"/>
  <c r="AY245" i="21"/>
  <c r="AX245" i="21"/>
  <c r="AY244" i="21"/>
  <c r="AX244" i="21"/>
  <c r="AY243" i="21"/>
  <c r="AX243" i="21"/>
  <c r="AY242" i="21"/>
  <c r="AX242" i="21"/>
  <c r="AY241" i="21"/>
  <c r="AX241" i="21"/>
  <c r="AY240" i="21"/>
  <c r="AX240" i="21"/>
  <c r="AY239" i="21"/>
  <c r="AX239" i="21"/>
  <c r="AY238" i="21"/>
  <c r="AX238" i="21"/>
  <c r="AY237" i="21"/>
  <c r="AX237" i="21"/>
  <c r="AX236" i="21" s="1"/>
  <c r="AY236" i="21"/>
  <c r="AY235" i="21"/>
  <c r="AY234" i="21"/>
  <c r="AY233" i="21"/>
  <c r="AY231" i="21"/>
  <c r="AX231" i="21"/>
  <c r="AY230" i="21"/>
  <c r="AY229" i="21"/>
  <c r="AY223" i="21" s="1"/>
  <c r="AY228" i="21"/>
  <c r="AY227" i="21"/>
  <c r="AY226" i="21"/>
  <c r="AY225" i="21"/>
  <c r="AY224" i="21"/>
  <c r="AY221" i="21"/>
  <c r="AY220" i="21"/>
  <c r="AY219" i="21" s="1"/>
  <c r="AX220" i="21"/>
  <c r="AY218" i="21"/>
  <c r="AY217" i="21"/>
  <c r="AY216" i="21"/>
  <c r="AY215" i="21"/>
  <c r="AY214" i="21"/>
  <c r="AY213" i="21"/>
  <c r="AY212" i="21"/>
  <c r="AY211" i="21"/>
  <c r="AY210" i="21"/>
  <c r="AY209" i="21"/>
  <c r="AY208" i="21"/>
  <c r="AY206" i="21"/>
  <c r="AY205" i="21"/>
  <c r="AY204" i="21"/>
  <c r="AY203" i="21"/>
  <c r="AY202" i="21"/>
  <c r="AY201" i="21"/>
  <c r="AY200" i="21"/>
  <c r="AY199" i="21"/>
  <c r="AY197" i="21"/>
  <c r="AY196" i="21"/>
  <c r="AY195" i="21"/>
  <c r="AY194" i="21"/>
  <c r="AY193" i="21" s="1"/>
  <c r="AY192" i="21"/>
  <c r="AY188" i="21" s="1"/>
  <c r="AX192" i="21"/>
  <c r="AY191" i="21"/>
  <c r="AY190" i="21"/>
  <c r="AX190" i="21"/>
  <c r="AY189" i="21"/>
  <c r="AY183" i="21"/>
  <c r="AY182" i="21"/>
  <c r="AY181" i="21"/>
  <c r="AY180" i="21"/>
  <c r="AY179" i="21"/>
  <c r="AY178" i="21"/>
  <c r="AY177" i="21"/>
  <c r="AY175" i="21" s="1"/>
  <c r="AY161" i="21" s="1"/>
  <c r="AY174" i="21"/>
  <c r="AY173" i="21"/>
  <c r="AY172" i="21"/>
  <c r="AY171" i="21"/>
  <c r="AY165" i="21"/>
  <c r="AX165" i="21"/>
  <c r="C9" i="24" s="1"/>
  <c r="AY164" i="21"/>
  <c r="AY162" i="21" s="1"/>
  <c r="AX164" i="21"/>
  <c r="AY163" i="21"/>
  <c r="AX162" i="21"/>
  <c r="AY160" i="21"/>
  <c r="AY159" i="21"/>
  <c r="AY157" i="21"/>
  <c r="AY156" i="21" s="1"/>
  <c r="AY154" i="21"/>
  <c r="AY153" i="21" s="1"/>
  <c r="AY151" i="21"/>
  <c r="AY150" i="21" s="1"/>
  <c r="AY149" i="21"/>
  <c r="AY148" i="21"/>
  <c r="AY147" i="21"/>
  <c r="AY145" i="21"/>
  <c r="AY144" i="21"/>
  <c r="AY143" i="21"/>
  <c r="AY142" i="21"/>
  <c r="AY141" i="21"/>
  <c r="AY140" i="21"/>
  <c r="AY139" i="21"/>
  <c r="AY138" i="21"/>
  <c r="AY137" i="21"/>
  <c r="AY136" i="21"/>
  <c r="AY135" i="21" s="1"/>
  <c r="AY134" i="21"/>
  <c r="AY133" i="21"/>
  <c r="AY132" i="21"/>
  <c r="AY131" i="21"/>
  <c r="AY130" i="21"/>
  <c r="AY129" i="21"/>
  <c r="AY128" i="21"/>
  <c r="AY127" i="21"/>
  <c r="AY126" i="21"/>
  <c r="AY125" i="21"/>
  <c r="AY124" i="21"/>
  <c r="AY123" i="21"/>
  <c r="AY122" i="21"/>
  <c r="AY121" i="21"/>
  <c r="AY120" i="21"/>
  <c r="AZ114" i="21"/>
  <c r="AY114" i="21"/>
  <c r="AX114" i="21"/>
  <c r="AY112" i="21"/>
  <c r="AY111" i="21"/>
  <c r="AY107" i="21"/>
  <c r="AY106" i="21"/>
  <c r="AY104" i="21"/>
  <c r="AY103" i="21"/>
  <c r="AY102" i="21" s="1"/>
  <c r="AY101" i="21"/>
  <c r="AY100" i="21" s="1"/>
  <c r="AX100" i="21"/>
  <c r="AY99" i="21"/>
  <c r="AY98" i="21"/>
  <c r="AY97" i="21"/>
  <c r="AY96" i="21"/>
  <c r="AY95" i="21"/>
  <c r="AY94" i="21"/>
  <c r="AY92" i="21"/>
  <c r="AY91" i="21"/>
  <c r="AY90" i="21"/>
  <c r="AY89" i="21" s="1"/>
  <c r="AY88" i="21"/>
  <c r="AY87" i="21" s="1"/>
  <c r="AY86" i="21"/>
  <c r="AY85" i="21" s="1"/>
  <c r="AY81" i="21" s="1"/>
  <c r="AY84" i="21"/>
  <c r="AY83" i="21" s="1"/>
  <c r="AY79" i="21"/>
  <c r="AY78" i="21"/>
  <c r="AY75" i="21"/>
  <c r="AY74" i="21"/>
  <c r="AY73" i="21"/>
  <c r="AY72" i="21" s="1"/>
  <c r="AY71" i="21"/>
  <c r="AY70" i="21" s="1"/>
  <c r="AX71" i="21"/>
  <c r="AX70" i="21" s="1"/>
  <c r="AY69" i="21"/>
  <c r="AY68" i="21"/>
  <c r="AY67" i="21"/>
  <c r="AY66" i="21"/>
  <c r="AY65" i="21"/>
  <c r="AY64" i="21"/>
  <c r="AY63" i="21"/>
  <c r="AY62" i="21" s="1"/>
  <c r="AY40" i="21" s="1"/>
  <c r="AY61" i="21"/>
  <c r="AY60" i="21"/>
  <c r="AY59" i="21"/>
  <c r="AY58" i="21"/>
  <c r="AY57" i="21"/>
  <c r="AY56" i="21"/>
  <c r="AY55" i="21"/>
  <c r="AY47" i="21" s="1"/>
  <c r="AY54" i="21"/>
  <c r="AY53" i="21"/>
  <c r="AY52" i="21"/>
  <c r="AY51" i="21"/>
  <c r="AY50" i="21"/>
  <c r="AY49" i="21"/>
  <c r="AY48" i="21"/>
  <c r="AY45" i="21"/>
  <c r="AY44" i="21"/>
  <c r="AY43" i="21"/>
  <c r="AY42" i="21"/>
  <c r="AY41" i="21" s="1"/>
  <c r="AY39" i="21"/>
  <c r="AY38" i="21"/>
  <c r="AY37" i="21"/>
  <c r="AY36" i="21" s="1"/>
  <c r="AY29" i="21"/>
  <c r="AX29" i="21"/>
  <c r="AY28" i="21"/>
  <c r="AY27" i="21" s="1"/>
  <c r="AY26" i="21"/>
  <c r="AY25" i="21" s="1"/>
  <c r="AX26" i="21"/>
  <c r="AX25" i="21" s="1"/>
  <c r="AY24" i="21"/>
  <c r="AY23" i="21"/>
  <c r="AY22" i="21"/>
  <c r="AY21" i="21"/>
  <c r="AY20" i="21"/>
  <c r="AY14" i="21"/>
  <c r="AY13" i="21"/>
  <c r="AY11" i="21" s="1"/>
  <c r="AY12" i="21"/>
  <c r="AY10" i="21"/>
  <c r="AY9" i="21"/>
  <c r="AY5" i="21"/>
  <c r="AX5" i="21"/>
  <c r="A3" i="21"/>
  <c r="A3" i="26" s="1"/>
  <c r="A1" i="21"/>
  <c r="AW76" i="20"/>
  <c r="Q76" i="20"/>
  <c r="BN68" i="20"/>
  <c r="BN67" i="20"/>
  <c r="BN66" i="20" s="1"/>
  <c r="BM67" i="20"/>
  <c r="BN62" i="20"/>
  <c r="BN59" i="20"/>
  <c r="BN58" i="20"/>
  <c r="BN57" i="20"/>
  <c r="BN56" i="20"/>
  <c r="BN47" i="20"/>
  <c r="BN44" i="20"/>
  <c r="AG44" i="20"/>
  <c r="BN43" i="20"/>
  <c r="AG43" i="20"/>
  <c r="BN42" i="20"/>
  <c r="BN41" i="20" s="1"/>
  <c r="AG42" i="20"/>
  <c r="AG41" i="20"/>
  <c r="BN40" i="20"/>
  <c r="AG40" i="20"/>
  <c r="BN39" i="20"/>
  <c r="BN37" i="20" s="1"/>
  <c r="AG39" i="20"/>
  <c r="BN38" i="20"/>
  <c r="AG38" i="20"/>
  <c r="BN36" i="20"/>
  <c r="AG36" i="20"/>
  <c r="BN35" i="20"/>
  <c r="AG35" i="20"/>
  <c r="AF35" i="20"/>
  <c r="BN34" i="20"/>
  <c r="AG34" i="20"/>
  <c r="AF34" i="20"/>
  <c r="BN33" i="20"/>
  <c r="AG33" i="20"/>
  <c r="AF33" i="20"/>
  <c r="BN32" i="20"/>
  <c r="AG32" i="20"/>
  <c r="AF32" i="20"/>
  <c r="BN31" i="20"/>
  <c r="AG31" i="20"/>
  <c r="AF31" i="20"/>
  <c r="BN29" i="20"/>
  <c r="AG29" i="20"/>
  <c r="BN28" i="20"/>
  <c r="AG28" i="20"/>
  <c r="BN27" i="20"/>
  <c r="AG27" i="20"/>
  <c r="BN26" i="20"/>
  <c r="AG26" i="20"/>
  <c r="AG25" i="20"/>
  <c r="BN24" i="20"/>
  <c r="BN23" i="20"/>
  <c r="BN22" i="20" s="1"/>
  <c r="AG23" i="20"/>
  <c r="AG22" i="20"/>
  <c r="BN21" i="20"/>
  <c r="AG21" i="20"/>
  <c r="BN20" i="20"/>
  <c r="AG20" i="20"/>
  <c r="BN19" i="20"/>
  <c r="BN18" i="20" s="1"/>
  <c r="AG19" i="20"/>
  <c r="AG18" i="20"/>
  <c r="BN17" i="20"/>
  <c r="AG17" i="20"/>
  <c r="BN16" i="20"/>
  <c r="BN15" i="20"/>
  <c r="AG15" i="20"/>
  <c r="BN14" i="20"/>
  <c r="AG14" i="20"/>
  <c r="BN13" i="20"/>
  <c r="AG13" i="20"/>
  <c r="BN12" i="20"/>
  <c r="AG12" i="20"/>
  <c r="BN11" i="20"/>
  <c r="AG11" i="20"/>
  <c r="BN10" i="20"/>
  <c r="AG10" i="20"/>
  <c r="AG8" i="20" s="1"/>
  <c r="BN9" i="20"/>
  <c r="AG9" i="20"/>
  <c r="BN5" i="20"/>
  <c r="BM5" i="20"/>
  <c r="AG5" i="20"/>
  <c r="AF5" i="20"/>
  <c r="B1" i="20"/>
  <c r="AW118" i="18"/>
  <c r="Q118" i="18"/>
  <c r="BN104" i="18"/>
  <c r="BM104" i="18"/>
  <c r="E55" i="32" s="1"/>
  <c r="AG104" i="18"/>
  <c r="BN103" i="18"/>
  <c r="AG103" i="18"/>
  <c r="AG102" i="18"/>
  <c r="AG101" i="18" s="1"/>
  <c r="BN101" i="18"/>
  <c r="BN100" i="18"/>
  <c r="BN98" i="18" s="1"/>
  <c r="AG100" i="18"/>
  <c r="BN99" i="18"/>
  <c r="AG99" i="18"/>
  <c r="AG98" i="18"/>
  <c r="AF98" i="18"/>
  <c r="BN97" i="18"/>
  <c r="AG97" i="18"/>
  <c r="BN96" i="18"/>
  <c r="AG96" i="18"/>
  <c r="BN95" i="18"/>
  <c r="BN94" i="18"/>
  <c r="AG94" i="18"/>
  <c r="BN93" i="18"/>
  <c r="BM93" i="18"/>
  <c r="AG93" i="18"/>
  <c r="BN92" i="18"/>
  <c r="AG92" i="18"/>
  <c r="BN91" i="18"/>
  <c r="BN89" i="18" s="1"/>
  <c r="AG91" i="18"/>
  <c r="BN90" i="18"/>
  <c r="AG90" i="18"/>
  <c r="AG89" i="18"/>
  <c r="BN88" i="18"/>
  <c r="AG87" i="18"/>
  <c r="AG86" i="18"/>
  <c r="BN85" i="18"/>
  <c r="AG85" i="18"/>
  <c r="BN84" i="18"/>
  <c r="AG84" i="18"/>
  <c r="BN83" i="18"/>
  <c r="AG83" i="18"/>
  <c r="AG81" i="18"/>
  <c r="AG80" i="18"/>
  <c r="BN79" i="18"/>
  <c r="AG79" i="18"/>
  <c r="BN78" i="18"/>
  <c r="AG78" i="18"/>
  <c r="BN77" i="18"/>
  <c r="BN74" i="18" s="1"/>
  <c r="AG77" i="18"/>
  <c r="BN76" i="18"/>
  <c r="BN75" i="18"/>
  <c r="AG75" i="18"/>
  <c r="AG74" i="18"/>
  <c r="BN73" i="18"/>
  <c r="AG73" i="18"/>
  <c r="BN72" i="18"/>
  <c r="AG72" i="18"/>
  <c r="BN71" i="18"/>
  <c r="AG71" i="18"/>
  <c r="BN70" i="18"/>
  <c r="AG70" i="18"/>
  <c r="BN69" i="18"/>
  <c r="AG69" i="18"/>
  <c r="BN68" i="18"/>
  <c r="AG68" i="18"/>
  <c r="AG67" i="18" s="1"/>
  <c r="BN67" i="18"/>
  <c r="BN66" i="18"/>
  <c r="AG66" i="18"/>
  <c r="BN65" i="18"/>
  <c r="AG65" i="18"/>
  <c r="BN64" i="18"/>
  <c r="AG64" i="18"/>
  <c r="AG59" i="18" s="1"/>
  <c r="BN63" i="18"/>
  <c r="AG63" i="18"/>
  <c r="BN62" i="18"/>
  <c r="AG62" i="18"/>
  <c r="BN61" i="18"/>
  <c r="BM61" i="18"/>
  <c r="AG61" i="18"/>
  <c r="BN60" i="18"/>
  <c r="BN57" i="18" s="1"/>
  <c r="AG60" i="18"/>
  <c r="BN59" i="18"/>
  <c r="BM59" i="18"/>
  <c r="BN58" i="18"/>
  <c r="AG58" i="18"/>
  <c r="AG57" i="18"/>
  <c r="BN56" i="18"/>
  <c r="AG56" i="18"/>
  <c r="AF56" i="18"/>
  <c r="BN55" i="18"/>
  <c r="AG55" i="18"/>
  <c r="BN54" i="18"/>
  <c r="AG54" i="18"/>
  <c r="BN53" i="18"/>
  <c r="BN52" i="18"/>
  <c r="AG52" i="18"/>
  <c r="BN51" i="18"/>
  <c r="BN50" i="18" s="1"/>
  <c r="AG51" i="18"/>
  <c r="AG50" i="18"/>
  <c r="AG49" i="18"/>
  <c r="AG48" i="18"/>
  <c r="BN47" i="18"/>
  <c r="BN46" i="18"/>
  <c r="BN44" i="18" s="1"/>
  <c r="BN45" i="18"/>
  <c r="AG45" i="18"/>
  <c r="AG44" i="18"/>
  <c r="BN43" i="18"/>
  <c r="BM43" i="18"/>
  <c r="AG43" i="18"/>
  <c r="BN42" i="18"/>
  <c r="BN40" i="18" s="1"/>
  <c r="AG42" i="18"/>
  <c r="BN41" i="18"/>
  <c r="AG40" i="18"/>
  <c r="BN39" i="18"/>
  <c r="AG39" i="18"/>
  <c r="AG38" i="18" s="1"/>
  <c r="BN38" i="18"/>
  <c r="BN37" i="18"/>
  <c r="AG37" i="18"/>
  <c r="BN36" i="18"/>
  <c r="AG36" i="18"/>
  <c r="BN35" i="18"/>
  <c r="AG35" i="18"/>
  <c r="AF35" i="18"/>
  <c r="BN34" i="18"/>
  <c r="AG34" i="18"/>
  <c r="AF34" i="18"/>
  <c r="AG33" i="18"/>
  <c r="AF33" i="18"/>
  <c r="BN32" i="18"/>
  <c r="BN29" i="18" s="1"/>
  <c r="AG32" i="18"/>
  <c r="AF32" i="18"/>
  <c r="BN31" i="18"/>
  <c r="AG31" i="18"/>
  <c r="AG30" i="18" s="1"/>
  <c r="AF31" i="18"/>
  <c r="AF30" i="18" s="1"/>
  <c r="F11" i="32" s="1"/>
  <c r="BN30" i="18"/>
  <c r="AG29" i="18"/>
  <c r="BN28" i="18"/>
  <c r="BM28" i="18"/>
  <c r="AG28" i="18"/>
  <c r="BN27" i="18"/>
  <c r="BN26" i="18" s="1"/>
  <c r="AG27" i="18"/>
  <c r="AG26" i="18"/>
  <c r="BN25" i="18"/>
  <c r="AG25" i="18"/>
  <c r="BN24" i="18"/>
  <c r="BM24" i="18"/>
  <c r="AG24" i="18"/>
  <c r="BN23" i="18"/>
  <c r="AG23" i="18"/>
  <c r="AG22" i="18"/>
  <c r="BN21" i="18"/>
  <c r="AG21" i="18"/>
  <c r="BN20" i="18"/>
  <c r="AG20" i="18"/>
  <c r="BN19" i="18"/>
  <c r="BN18" i="18" s="1"/>
  <c r="AG19" i="18"/>
  <c r="AG18" i="18"/>
  <c r="BN17" i="18"/>
  <c r="AG17" i="18"/>
  <c r="BN16" i="18"/>
  <c r="BN15" i="18"/>
  <c r="AG15" i="18"/>
  <c r="BN14" i="18"/>
  <c r="AG14" i="18"/>
  <c r="BN13" i="18"/>
  <c r="BM13" i="18"/>
  <c r="AG13" i="18"/>
  <c r="BN12" i="18"/>
  <c r="AG12" i="18"/>
  <c r="BN11" i="18"/>
  <c r="AG11" i="18"/>
  <c r="BN10" i="18"/>
  <c r="AG10" i="18"/>
  <c r="BN9" i="18"/>
  <c r="AG9" i="18"/>
  <c r="AG8" i="18" s="1"/>
  <c r="BN8" i="18"/>
  <c r="BN5" i="18"/>
  <c r="BM5" i="18"/>
  <c r="AG5" i="18"/>
  <c r="AF5" i="18"/>
  <c r="B1" i="18"/>
  <c r="T500" i="17"/>
  <c r="M500" i="17"/>
  <c r="T499" i="17"/>
  <c r="M499" i="17"/>
  <c r="T498" i="17"/>
  <c r="M498" i="17"/>
  <c r="T497" i="17"/>
  <c r="M497" i="17"/>
  <c r="T496" i="17"/>
  <c r="M496" i="17"/>
  <c r="T495" i="17"/>
  <c r="M495" i="17"/>
  <c r="T494" i="17"/>
  <c r="M494" i="17"/>
  <c r="T493" i="17"/>
  <c r="M493" i="17"/>
  <c r="T492" i="17"/>
  <c r="M492" i="17"/>
  <c r="T491" i="17"/>
  <c r="M491" i="17"/>
  <c r="T490" i="17"/>
  <c r="M490" i="17"/>
  <c r="T489" i="17"/>
  <c r="M489" i="17"/>
  <c r="T488" i="17"/>
  <c r="M488" i="17"/>
  <c r="T487" i="17"/>
  <c r="M487" i="17"/>
  <c r="T486" i="17"/>
  <c r="M486" i="17"/>
  <c r="T485" i="17"/>
  <c r="M485" i="17"/>
  <c r="T484" i="17"/>
  <c r="M484" i="17"/>
  <c r="T483" i="17"/>
  <c r="M483" i="17"/>
  <c r="T482" i="17"/>
  <c r="M482" i="17"/>
  <c r="T481" i="17"/>
  <c r="M481" i="17"/>
  <c r="T480" i="17"/>
  <c r="M480" i="17"/>
  <c r="T479" i="17"/>
  <c r="M479" i="17"/>
  <c r="T478" i="17"/>
  <c r="M478" i="17"/>
  <c r="T477" i="17"/>
  <c r="M477" i="17"/>
  <c r="T476" i="17"/>
  <c r="M476" i="17"/>
  <c r="T475" i="17"/>
  <c r="M475" i="17"/>
  <c r="T474" i="17"/>
  <c r="M474" i="17"/>
  <c r="T473" i="17"/>
  <c r="M473" i="17"/>
  <c r="T472" i="17"/>
  <c r="M472" i="17"/>
  <c r="T471" i="17"/>
  <c r="M471" i="17"/>
  <c r="T470" i="17"/>
  <c r="M470" i="17"/>
  <c r="T469" i="17"/>
  <c r="M469" i="17"/>
  <c r="T468" i="17"/>
  <c r="M468" i="17"/>
  <c r="T467" i="17"/>
  <c r="M467" i="17"/>
  <c r="T466" i="17"/>
  <c r="M466" i="17"/>
  <c r="T465" i="17"/>
  <c r="M465" i="17"/>
  <c r="T464" i="17"/>
  <c r="M464" i="17"/>
  <c r="T463" i="17"/>
  <c r="M463" i="17"/>
  <c r="T462" i="17"/>
  <c r="M462" i="17"/>
  <c r="T461" i="17"/>
  <c r="M461" i="17"/>
  <c r="T460" i="17"/>
  <c r="M460" i="17"/>
  <c r="T459" i="17"/>
  <c r="M459" i="17"/>
  <c r="T458" i="17"/>
  <c r="M458" i="17"/>
  <c r="T457" i="17"/>
  <c r="M457" i="17"/>
  <c r="T456" i="17"/>
  <c r="M456" i="17"/>
  <c r="T455" i="17"/>
  <c r="M455" i="17"/>
  <c r="T454" i="17"/>
  <c r="M454" i="17"/>
  <c r="T453" i="17"/>
  <c r="M453" i="17"/>
  <c r="T452" i="17"/>
  <c r="M452" i="17"/>
  <c r="T451" i="17"/>
  <c r="M451" i="17"/>
  <c r="T450" i="17"/>
  <c r="M450" i="17"/>
  <c r="T449" i="17"/>
  <c r="M449" i="17"/>
  <c r="T448" i="17"/>
  <c r="M448" i="17"/>
  <c r="T447" i="17"/>
  <c r="M447" i="17"/>
  <c r="T446" i="17"/>
  <c r="M446" i="17"/>
  <c r="T445" i="17"/>
  <c r="M445" i="17"/>
  <c r="T444" i="17"/>
  <c r="M444" i="17"/>
  <c r="T443" i="17"/>
  <c r="M443" i="17"/>
  <c r="T442" i="17"/>
  <c r="M442" i="17"/>
  <c r="T441" i="17"/>
  <c r="M441" i="17"/>
  <c r="T440" i="17"/>
  <c r="M440" i="17"/>
  <c r="T439" i="17"/>
  <c r="M439" i="17"/>
  <c r="T438" i="17"/>
  <c r="M438" i="17"/>
  <c r="T437" i="17"/>
  <c r="M437" i="17"/>
  <c r="T436" i="17"/>
  <c r="M436" i="17"/>
  <c r="T435" i="17"/>
  <c r="M435" i="17"/>
  <c r="T434" i="17"/>
  <c r="M434" i="17"/>
  <c r="T433" i="17"/>
  <c r="M433" i="17"/>
  <c r="T432" i="17"/>
  <c r="M432" i="17"/>
  <c r="T431" i="17"/>
  <c r="M431" i="17"/>
  <c r="T430" i="17"/>
  <c r="M430" i="17"/>
  <c r="T429" i="17"/>
  <c r="M429" i="17"/>
  <c r="T428" i="17"/>
  <c r="M428" i="17"/>
  <c r="T427" i="17"/>
  <c r="M427" i="17"/>
  <c r="T426" i="17"/>
  <c r="M426" i="17"/>
  <c r="T425" i="17"/>
  <c r="M425" i="17"/>
  <c r="T424" i="17"/>
  <c r="M424" i="17"/>
  <c r="T423" i="17"/>
  <c r="M423" i="17"/>
  <c r="T422" i="17"/>
  <c r="M422" i="17"/>
  <c r="T421" i="17"/>
  <c r="M421" i="17"/>
  <c r="T420" i="17"/>
  <c r="M420" i="17"/>
  <c r="T419" i="17"/>
  <c r="M419" i="17"/>
  <c r="T418" i="17"/>
  <c r="M418" i="17"/>
  <c r="T417" i="17"/>
  <c r="M417" i="17"/>
  <c r="T416" i="17"/>
  <c r="M416" i="17"/>
  <c r="T415" i="17"/>
  <c r="M415" i="17"/>
  <c r="T414" i="17"/>
  <c r="M414" i="17"/>
  <c r="T413" i="17"/>
  <c r="M413" i="17"/>
  <c r="T412" i="17"/>
  <c r="M412" i="17"/>
  <c r="T411" i="17"/>
  <c r="M411" i="17"/>
  <c r="T410" i="17"/>
  <c r="M410" i="17"/>
  <c r="T409" i="17"/>
  <c r="M409" i="17"/>
  <c r="T408" i="17"/>
  <c r="M408" i="17"/>
  <c r="T407" i="17"/>
  <c r="M407" i="17"/>
  <c r="T406" i="17"/>
  <c r="M406" i="17"/>
  <c r="T405" i="17"/>
  <c r="M405" i="17"/>
  <c r="T404" i="17"/>
  <c r="M404" i="17"/>
  <c r="T403" i="17"/>
  <c r="M403" i="17"/>
  <c r="T402" i="17"/>
  <c r="M402" i="17"/>
  <c r="T401" i="17"/>
  <c r="M401" i="17"/>
  <c r="T400" i="17"/>
  <c r="M400" i="17"/>
  <c r="T399" i="17"/>
  <c r="M399" i="17"/>
  <c r="T398" i="17"/>
  <c r="M398" i="17"/>
  <c r="T397" i="17"/>
  <c r="M397" i="17"/>
  <c r="T396" i="17"/>
  <c r="M396" i="17"/>
  <c r="T395" i="17"/>
  <c r="M395" i="17"/>
  <c r="T394" i="17"/>
  <c r="M394" i="17"/>
  <c r="T393" i="17"/>
  <c r="M393" i="17"/>
  <c r="T392" i="17"/>
  <c r="M392" i="17"/>
  <c r="T391" i="17"/>
  <c r="M391" i="17"/>
  <c r="T390" i="17"/>
  <c r="M390" i="17"/>
  <c r="T389" i="17"/>
  <c r="M389" i="17"/>
  <c r="T388" i="17"/>
  <c r="M388" i="17"/>
  <c r="T387" i="17"/>
  <c r="M387" i="17"/>
  <c r="T386" i="17"/>
  <c r="M386" i="17"/>
  <c r="T385" i="17"/>
  <c r="M385" i="17"/>
  <c r="T384" i="17"/>
  <c r="M384" i="17"/>
  <c r="T383" i="17"/>
  <c r="M383" i="17"/>
  <c r="T382" i="17"/>
  <c r="M382" i="17"/>
  <c r="T381" i="17"/>
  <c r="M381" i="17"/>
  <c r="T380" i="17"/>
  <c r="M380" i="17"/>
  <c r="T379" i="17"/>
  <c r="M379" i="17"/>
  <c r="T378" i="17"/>
  <c r="M378" i="17"/>
  <c r="T377" i="17"/>
  <c r="M377" i="17"/>
  <c r="T376" i="17"/>
  <c r="M376" i="17"/>
  <c r="T375" i="17"/>
  <c r="M375" i="17"/>
  <c r="T374" i="17"/>
  <c r="M374" i="17"/>
  <c r="T373" i="17"/>
  <c r="M373" i="17"/>
  <c r="T372" i="17"/>
  <c r="M372" i="17"/>
  <c r="T371" i="17"/>
  <c r="M371" i="17"/>
  <c r="T370" i="17"/>
  <c r="M370" i="17"/>
  <c r="T369" i="17"/>
  <c r="M369" i="17"/>
  <c r="T368" i="17"/>
  <c r="M368" i="17"/>
  <c r="T367" i="17"/>
  <c r="M367" i="17"/>
  <c r="T366" i="17"/>
  <c r="M366" i="17"/>
  <c r="T365" i="17"/>
  <c r="M365" i="17"/>
  <c r="T364" i="17"/>
  <c r="M364" i="17"/>
  <c r="T363" i="17"/>
  <c r="M363" i="17"/>
  <c r="T362" i="17"/>
  <c r="M362" i="17"/>
  <c r="T361" i="17"/>
  <c r="M361" i="17"/>
  <c r="T360" i="17"/>
  <c r="M360" i="17"/>
  <c r="T359" i="17"/>
  <c r="M359" i="17"/>
  <c r="T358" i="17"/>
  <c r="M358" i="17"/>
  <c r="T357" i="17"/>
  <c r="M357" i="17"/>
  <c r="T356" i="17"/>
  <c r="M356" i="17"/>
  <c r="T355" i="17"/>
  <c r="M355" i="17"/>
  <c r="T354" i="17"/>
  <c r="M354" i="17"/>
  <c r="T353" i="17"/>
  <c r="M353" i="17"/>
  <c r="T352" i="17"/>
  <c r="M352" i="17"/>
  <c r="T351" i="17"/>
  <c r="M351" i="17"/>
  <c r="T350" i="17"/>
  <c r="M350" i="17"/>
  <c r="T349" i="17"/>
  <c r="M349" i="17"/>
  <c r="T348" i="17"/>
  <c r="M348" i="17"/>
  <c r="T347" i="17"/>
  <c r="M347" i="17"/>
  <c r="T346" i="17"/>
  <c r="M346" i="17"/>
  <c r="T345" i="17"/>
  <c r="M345" i="17"/>
  <c r="T344" i="17"/>
  <c r="M344" i="17"/>
  <c r="T343" i="17"/>
  <c r="M343" i="17"/>
  <c r="T342" i="17"/>
  <c r="M342" i="17"/>
  <c r="T341" i="17"/>
  <c r="M341" i="17"/>
  <c r="T340" i="17"/>
  <c r="M340" i="17"/>
  <c r="T339" i="17"/>
  <c r="M339" i="17"/>
  <c r="T338" i="17"/>
  <c r="M338" i="17"/>
  <c r="T337" i="17"/>
  <c r="M337" i="17"/>
  <c r="T336" i="17"/>
  <c r="M336" i="17"/>
  <c r="T335" i="17"/>
  <c r="M335" i="17"/>
  <c r="T334" i="17"/>
  <c r="M334" i="17"/>
  <c r="T333" i="17"/>
  <c r="M333" i="17"/>
  <c r="T332" i="17"/>
  <c r="M332" i="17"/>
  <c r="T331" i="17"/>
  <c r="M331" i="17"/>
  <c r="T330" i="17"/>
  <c r="M330" i="17"/>
  <c r="T329" i="17"/>
  <c r="M329" i="17"/>
  <c r="T328" i="17"/>
  <c r="M328" i="17"/>
  <c r="T327" i="17"/>
  <c r="M327" i="17"/>
  <c r="T326" i="17"/>
  <c r="M326" i="17"/>
  <c r="T325" i="17"/>
  <c r="M325" i="17"/>
  <c r="T324" i="17"/>
  <c r="M324" i="17"/>
  <c r="T323" i="17"/>
  <c r="M323" i="17"/>
  <c r="T322" i="17"/>
  <c r="M322" i="17"/>
  <c r="T321" i="17"/>
  <c r="M321" i="17"/>
  <c r="T320" i="17"/>
  <c r="M320" i="17"/>
  <c r="T319" i="17"/>
  <c r="M319" i="17"/>
  <c r="T318" i="17"/>
  <c r="M318" i="17"/>
  <c r="T317" i="17"/>
  <c r="M317" i="17"/>
  <c r="T316" i="17"/>
  <c r="M316" i="17"/>
  <c r="T315" i="17"/>
  <c r="M315" i="17"/>
  <c r="T314" i="17"/>
  <c r="M314" i="17"/>
  <c r="T313" i="17"/>
  <c r="M313" i="17"/>
  <c r="T312" i="17"/>
  <c r="M312" i="17"/>
  <c r="T311" i="17"/>
  <c r="M311" i="17"/>
  <c r="T310" i="17"/>
  <c r="M310" i="17"/>
  <c r="T309" i="17"/>
  <c r="M309" i="17"/>
  <c r="T308" i="17"/>
  <c r="M308" i="17"/>
  <c r="T307" i="17"/>
  <c r="M307" i="17"/>
  <c r="T306" i="17"/>
  <c r="M306" i="17"/>
  <c r="T305" i="17"/>
  <c r="M305" i="17"/>
  <c r="T304" i="17"/>
  <c r="M304" i="17"/>
  <c r="T303" i="17"/>
  <c r="M303" i="17"/>
  <c r="T302" i="17"/>
  <c r="M302" i="17"/>
  <c r="T301" i="17"/>
  <c r="M301" i="17"/>
  <c r="T300" i="17"/>
  <c r="M300" i="17"/>
  <c r="T299" i="17"/>
  <c r="M299" i="17"/>
  <c r="T298" i="17"/>
  <c r="M298" i="17"/>
  <c r="T297" i="17"/>
  <c r="M297" i="17"/>
  <c r="T296" i="17"/>
  <c r="M296" i="17"/>
  <c r="T295" i="17"/>
  <c r="M295" i="17"/>
  <c r="T294" i="17"/>
  <c r="M294" i="17"/>
  <c r="T293" i="17"/>
  <c r="M293" i="17"/>
  <c r="T292" i="17"/>
  <c r="M292" i="17"/>
  <c r="T291" i="17"/>
  <c r="M291" i="17"/>
  <c r="T290" i="17"/>
  <c r="M290" i="17"/>
  <c r="T289" i="17"/>
  <c r="M289" i="17"/>
  <c r="T288" i="17"/>
  <c r="M288" i="17"/>
  <c r="T287" i="17"/>
  <c r="M287" i="17"/>
  <c r="T286" i="17"/>
  <c r="M286" i="17"/>
  <c r="T285" i="17"/>
  <c r="M285" i="17"/>
  <c r="T284" i="17"/>
  <c r="M284" i="17"/>
  <c r="T283" i="17"/>
  <c r="M283" i="17"/>
  <c r="T282" i="17"/>
  <c r="M282" i="17"/>
  <c r="T281" i="17"/>
  <c r="M281" i="17"/>
  <c r="T280" i="17"/>
  <c r="M280" i="17"/>
  <c r="T279" i="17"/>
  <c r="M279" i="17"/>
  <c r="T278" i="17"/>
  <c r="M278" i="17"/>
  <c r="T277" i="17"/>
  <c r="M277" i="17"/>
  <c r="T276" i="17"/>
  <c r="M276" i="17"/>
  <c r="T275" i="17"/>
  <c r="M275" i="17"/>
  <c r="T274" i="17"/>
  <c r="M274" i="17"/>
  <c r="T273" i="17"/>
  <c r="M273" i="17"/>
  <c r="T272" i="17"/>
  <c r="M272" i="17"/>
  <c r="T271" i="17"/>
  <c r="M271" i="17"/>
  <c r="T270" i="17"/>
  <c r="M270" i="17"/>
  <c r="T269" i="17"/>
  <c r="M269" i="17"/>
  <c r="T268" i="17"/>
  <c r="M268" i="17"/>
  <c r="T267" i="17"/>
  <c r="M267" i="17"/>
  <c r="T266" i="17"/>
  <c r="M266" i="17"/>
  <c r="T265" i="17"/>
  <c r="M265" i="17"/>
  <c r="T264" i="17"/>
  <c r="M264" i="17"/>
  <c r="T263" i="17"/>
  <c r="M263" i="17"/>
  <c r="T262" i="17"/>
  <c r="M262" i="17"/>
  <c r="T261" i="17"/>
  <c r="M261" i="17"/>
  <c r="T260" i="17"/>
  <c r="M260" i="17"/>
  <c r="T259" i="17"/>
  <c r="M259" i="17"/>
  <c r="T258" i="17"/>
  <c r="M258" i="17"/>
  <c r="T257" i="17"/>
  <c r="M257" i="17"/>
  <c r="T256" i="17"/>
  <c r="M256" i="17"/>
  <c r="T255" i="17"/>
  <c r="M255" i="17"/>
  <c r="T254" i="17"/>
  <c r="M254" i="17"/>
  <c r="T253" i="17"/>
  <c r="M253" i="17"/>
  <c r="T252" i="17"/>
  <c r="M252" i="17"/>
  <c r="T251" i="17"/>
  <c r="M251" i="17"/>
  <c r="T250" i="17"/>
  <c r="M250" i="17"/>
  <c r="T249" i="17"/>
  <c r="M249" i="17"/>
  <c r="T248" i="17"/>
  <c r="M248" i="17"/>
  <c r="T247" i="17"/>
  <c r="M247" i="17"/>
  <c r="T246" i="17"/>
  <c r="M246" i="17"/>
  <c r="T245" i="17"/>
  <c r="M245" i="17"/>
  <c r="T244" i="17"/>
  <c r="M244" i="17"/>
  <c r="T243" i="17"/>
  <c r="M243" i="17"/>
  <c r="T242" i="17"/>
  <c r="M242" i="17"/>
  <c r="T241" i="17"/>
  <c r="M241" i="17"/>
  <c r="T240" i="17"/>
  <c r="M240" i="17"/>
  <c r="T239" i="17"/>
  <c r="M239" i="17"/>
  <c r="T238" i="17"/>
  <c r="M238" i="17"/>
  <c r="T237" i="17"/>
  <c r="M237" i="17"/>
  <c r="T236" i="17"/>
  <c r="M236" i="17"/>
  <c r="T235" i="17"/>
  <c r="M235" i="17"/>
  <c r="T234" i="17"/>
  <c r="M234" i="17"/>
  <c r="T233" i="17"/>
  <c r="M233" i="17"/>
  <c r="T232" i="17"/>
  <c r="M232" i="17"/>
  <c r="T231" i="17"/>
  <c r="M231" i="17"/>
  <c r="T230" i="17"/>
  <c r="M230" i="17"/>
  <c r="T229" i="17"/>
  <c r="M229" i="17"/>
  <c r="T228" i="17"/>
  <c r="M228" i="17"/>
  <c r="T227" i="17"/>
  <c r="M227" i="17"/>
  <c r="T226" i="17"/>
  <c r="M226" i="17"/>
  <c r="T225" i="17"/>
  <c r="M225" i="17"/>
  <c r="T224" i="17"/>
  <c r="M224" i="17"/>
  <c r="T223" i="17"/>
  <c r="M223" i="17"/>
  <c r="T222" i="17"/>
  <c r="M222" i="17"/>
  <c r="T221" i="17"/>
  <c r="M221" i="17"/>
  <c r="T220" i="17"/>
  <c r="M220" i="17"/>
  <c r="T219" i="17"/>
  <c r="M219" i="17"/>
  <c r="T218" i="17"/>
  <c r="M218" i="17"/>
  <c r="T217" i="17"/>
  <c r="M217" i="17"/>
  <c r="T216" i="17"/>
  <c r="M216" i="17"/>
  <c r="T215" i="17"/>
  <c r="M215" i="17"/>
  <c r="T214" i="17"/>
  <c r="M214" i="17"/>
  <c r="T213" i="17"/>
  <c r="M213" i="17"/>
  <c r="T212" i="17"/>
  <c r="M212" i="17"/>
  <c r="T211" i="17"/>
  <c r="M211" i="17"/>
  <c r="T210" i="17"/>
  <c r="M210" i="17"/>
  <c r="T209" i="17"/>
  <c r="M209" i="17"/>
  <c r="T208" i="17"/>
  <c r="M208" i="17"/>
  <c r="T207" i="17"/>
  <c r="M207" i="17"/>
  <c r="T206" i="17"/>
  <c r="M206" i="17"/>
  <c r="T205" i="17"/>
  <c r="M205" i="17"/>
  <c r="T204" i="17"/>
  <c r="M204" i="17"/>
  <c r="T203" i="17"/>
  <c r="M203" i="17"/>
  <c r="T202" i="17"/>
  <c r="M202" i="17"/>
  <c r="T201" i="17"/>
  <c r="M201" i="17"/>
  <c r="T200" i="17"/>
  <c r="M200" i="17"/>
  <c r="T199" i="17"/>
  <c r="M199" i="17"/>
  <c r="T198" i="17"/>
  <c r="M198" i="17"/>
  <c r="T197" i="17"/>
  <c r="M197" i="17"/>
  <c r="T196" i="17"/>
  <c r="M196" i="17"/>
  <c r="T195" i="17"/>
  <c r="M195" i="17"/>
  <c r="T194" i="17"/>
  <c r="M194" i="17"/>
  <c r="T193" i="17"/>
  <c r="M193" i="17"/>
  <c r="T192" i="17"/>
  <c r="M192" i="17"/>
  <c r="T191" i="17"/>
  <c r="M191" i="17"/>
  <c r="T190" i="17"/>
  <c r="M190" i="17"/>
  <c r="T189" i="17"/>
  <c r="M189" i="17"/>
  <c r="T188" i="17"/>
  <c r="M188" i="17"/>
  <c r="T187" i="17"/>
  <c r="M187" i="17"/>
  <c r="T186" i="17"/>
  <c r="M186" i="17"/>
  <c r="T185" i="17"/>
  <c r="M185" i="17"/>
  <c r="T184" i="17"/>
  <c r="M184" i="17"/>
  <c r="T183" i="17"/>
  <c r="M183" i="17"/>
  <c r="T182" i="17"/>
  <c r="M182" i="17"/>
  <c r="T181" i="17"/>
  <c r="M181" i="17"/>
  <c r="T180" i="17"/>
  <c r="M180" i="17"/>
  <c r="T179" i="17"/>
  <c r="M179" i="17"/>
  <c r="T178" i="17"/>
  <c r="M178" i="17"/>
  <c r="T177" i="17"/>
  <c r="M177" i="17"/>
  <c r="T176" i="17"/>
  <c r="M176" i="17"/>
  <c r="T175" i="17"/>
  <c r="M175" i="17"/>
  <c r="T174" i="17"/>
  <c r="M174" i="17"/>
  <c r="T173" i="17"/>
  <c r="M173" i="17"/>
  <c r="T172" i="17"/>
  <c r="M172" i="17"/>
  <c r="T171" i="17"/>
  <c r="M171" i="17"/>
  <c r="T170" i="17"/>
  <c r="M170" i="17"/>
  <c r="T169" i="17"/>
  <c r="M169" i="17"/>
  <c r="T168" i="17"/>
  <c r="M168" i="17"/>
  <c r="T167" i="17"/>
  <c r="M167" i="17"/>
  <c r="T166" i="17"/>
  <c r="M166" i="17"/>
  <c r="T165" i="17"/>
  <c r="M165" i="17"/>
  <c r="T164" i="17"/>
  <c r="M164" i="17"/>
  <c r="T163" i="17"/>
  <c r="M163" i="17"/>
  <c r="T162" i="17"/>
  <c r="M162" i="17"/>
  <c r="T161" i="17"/>
  <c r="M161" i="17"/>
  <c r="T160" i="17"/>
  <c r="M160" i="17"/>
  <c r="T159" i="17"/>
  <c r="M159" i="17"/>
  <c r="T158" i="17"/>
  <c r="M158" i="17"/>
  <c r="T157" i="17"/>
  <c r="M157" i="17"/>
  <c r="T156" i="17"/>
  <c r="M156" i="17"/>
  <c r="T155" i="17"/>
  <c r="M155" i="17"/>
  <c r="T154" i="17"/>
  <c r="M154" i="17"/>
  <c r="T153" i="17"/>
  <c r="M153" i="17"/>
  <c r="T152" i="17"/>
  <c r="M152" i="17"/>
  <c r="T151" i="17"/>
  <c r="M151" i="17"/>
  <c r="T150" i="17"/>
  <c r="M150" i="17"/>
  <c r="T149" i="17"/>
  <c r="M149" i="17"/>
  <c r="T148" i="17"/>
  <c r="M148" i="17"/>
  <c r="T147" i="17"/>
  <c r="M147" i="17"/>
  <c r="T146" i="17"/>
  <c r="M146" i="17"/>
  <c r="T145" i="17"/>
  <c r="M145" i="17"/>
  <c r="T144" i="17"/>
  <c r="M144" i="17"/>
  <c r="T143" i="17"/>
  <c r="M143" i="17"/>
  <c r="T142" i="17"/>
  <c r="M142" i="17"/>
  <c r="T141" i="17"/>
  <c r="M141" i="17"/>
  <c r="T140" i="17"/>
  <c r="M140" i="17"/>
  <c r="T139" i="17"/>
  <c r="M139" i="17"/>
  <c r="T138" i="17"/>
  <c r="M138" i="17"/>
  <c r="T137" i="17"/>
  <c r="M137" i="17"/>
  <c r="T136" i="17"/>
  <c r="M136" i="17"/>
  <c r="T135" i="17"/>
  <c r="M135" i="17"/>
  <c r="T134" i="17"/>
  <c r="M134" i="17"/>
  <c r="T133" i="17"/>
  <c r="M133" i="17"/>
  <c r="T132" i="17"/>
  <c r="M132" i="17"/>
  <c r="T131" i="17"/>
  <c r="M131" i="17"/>
  <c r="T130" i="17"/>
  <c r="M130" i="17"/>
  <c r="T129" i="17"/>
  <c r="M129" i="17"/>
  <c r="T128" i="17"/>
  <c r="M128" i="17"/>
  <c r="T127" i="17"/>
  <c r="M127" i="17"/>
  <c r="T126" i="17"/>
  <c r="M126" i="17"/>
  <c r="T125" i="17"/>
  <c r="M125" i="17"/>
  <c r="T124" i="17"/>
  <c r="M124" i="17"/>
  <c r="T123" i="17"/>
  <c r="M123" i="17"/>
  <c r="T122" i="17"/>
  <c r="M122" i="17"/>
  <c r="T121" i="17"/>
  <c r="M121" i="17"/>
  <c r="T120" i="17"/>
  <c r="M120" i="17"/>
  <c r="T119" i="17"/>
  <c r="M119" i="17"/>
  <c r="T118" i="17"/>
  <c r="M118" i="17"/>
  <c r="T117" i="17"/>
  <c r="M117" i="17"/>
  <c r="T116" i="17"/>
  <c r="M116" i="17"/>
  <c r="T115" i="17"/>
  <c r="M115" i="17"/>
  <c r="T114" i="17"/>
  <c r="M114" i="17"/>
  <c r="T113" i="17"/>
  <c r="M113" i="17"/>
  <c r="T112" i="17"/>
  <c r="M112" i="17"/>
  <c r="T111" i="17"/>
  <c r="M111" i="17"/>
  <c r="T110" i="17"/>
  <c r="M110" i="17"/>
  <c r="T109" i="17"/>
  <c r="M109" i="17"/>
  <c r="T108" i="17"/>
  <c r="M108" i="17"/>
  <c r="T107" i="17"/>
  <c r="M107" i="17"/>
  <c r="T106" i="17"/>
  <c r="M106" i="17"/>
  <c r="T105" i="17"/>
  <c r="M105" i="17"/>
  <c r="T104" i="17"/>
  <c r="M104" i="17"/>
  <c r="T103" i="17"/>
  <c r="M103" i="17"/>
  <c r="T102" i="17"/>
  <c r="M102" i="17"/>
  <c r="T101" i="17"/>
  <c r="M101" i="17"/>
  <c r="T100" i="17"/>
  <c r="M100" i="17"/>
  <c r="T99" i="17"/>
  <c r="M99" i="17"/>
  <c r="T98" i="17"/>
  <c r="M98" i="17"/>
  <c r="T97" i="17"/>
  <c r="M97" i="17"/>
  <c r="T96" i="17"/>
  <c r="M96" i="17"/>
  <c r="T95" i="17"/>
  <c r="M95" i="17"/>
  <c r="T94" i="17"/>
  <c r="M94" i="17"/>
  <c r="T93" i="17"/>
  <c r="M93" i="17"/>
  <c r="T92" i="17"/>
  <c r="M92" i="17"/>
  <c r="T91" i="17"/>
  <c r="M91" i="17"/>
  <c r="T90" i="17"/>
  <c r="M90" i="17"/>
  <c r="T89" i="17"/>
  <c r="M89" i="17"/>
  <c r="T88" i="17"/>
  <c r="M88" i="17"/>
  <c r="T87" i="17"/>
  <c r="M87" i="17"/>
  <c r="T86" i="17"/>
  <c r="M86" i="17"/>
  <c r="T85" i="17"/>
  <c r="M85" i="17"/>
  <c r="T84" i="17"/>
  <c r="M84" i="17"/>
  <c r="T83" i="17"/>
  <c r="M83" i="17"/>
  <c r="T82" i="17"/>
  <c r="M82" i="17"/>
  <c r="T81" i="17"/>
  <c r="M81" i="17"/>
  <c r="T80" i="17"/>
  <c r="M80" i="17"/>
  <c r="T79" i="17"/>
  <c r="M79" i="17"/>
  <c r="T78" i="17"/>
  <c r="M78" i="17"/>
  <c r="T77" i="17"/>
  <c r="M77" i="17"/>
  <c r="T76" i="17"/>
  <c r="M76" i="17"/>
  <c r="T75" i="17"/>
  <c r="M75" i="17"/>
  <c r="T74" i="17"/>
  <c r="M74" i="17"/>
  <c r="T73" i="17"/>
  <c r="M73" i="17"/>
  <c r="T72" i="17"/>
  <c r="M72" i="17"/>
  <c r="T71" i="17"/>
  <c r="M71" i="17"/>
  <c r="T70" i="17"/>
  <c r="M70" i="17"/>
  <c r="T69" i="17"/>
  <c r="M69" i="17"/>
  <c r="T68" i="17"/>
  <c r="M68" i="17"/>
  <c r="T67" i="17"/>
  <c r="M67" i="17"/>
  <c r="T66" i="17"/>
  <c r="M66" i="17"/>
  <c r="T65" i="17"/>
  <c r="M65" i="17"/>
  <c r="T64" i="17"/>
  <c r="M64" i="17"/>
  <c r="T63" i="17"/>
  <c r="M63" i="17"/>
  <c r="T62" i="17"/>
  <c r="M62" i="17"/>
  <c r="T61" i="17"/>
  <c r="M61" i="17"/>
  <c r="T60" i="17"/>
  <c r="M60" i="17"/>
  <c r="T59" i="17"/>
  <c r="M59" i="17"/>
  <c r="T58" i="17"/>
  <c r="M58" i="17"/>
  <c r="T57" i="17"/>
  <c r="M57" i="17"/>
  <c r="T56" i="17"/>
  <c r="M56" i="17"/>
  <c r="T55" i="17"/>
  <c r="M55" i="17"/>
  <c r="T54" i="17"/>
  <c r="M54" i="17"/>
  <c r="T53" i="17"/>
  <c r="M53" i="17"/>
  <c r="T52" i="17"/>
  <c r="M52" i="17"/>
  <c r="T51" i="17"/>
  <c r="M51" i="17"/>
  <c r="T50" i="17"/>
  <c r="M50" i="17"/>
  <c r="T49" i="17"/>
  <c r="M49" i="17"/>
  <c r="T48" i="17"/>
  <c r="M48" i="17"/>
  <c r="T47" i="17"/>
  <c r="M47" i="17"/>
  <c r="T46" i="17"/>
  <c r="M46" i="17"/>
  <c r="T45" i="17"/>
  <c r="M45" i="17"/>
  <c r="T44" i="17"/>
  <c r="M44" i="17"/>
  <c r="T43" i="17"/>
  <c r="M43" i="17"/>
  <c r="T42" i="17"/>
  <c r="M42" i="17"/>
  <c r="T41" i="17"/>
  <c r="M41" i="17"/>
  <c r="T40" i="17"/>
  <c r="M40" i="17"/>
  <c r="T39" i="17"/>
  <c r="M39" i="17"/>
  <c r="T38" i="17"/>
  <c r="M38" i="17"/>
  <c r="T37" i="17"/>
  <c r="M37" i="17"/>
  <c r="T36" i="17"/>
  <c r="M36" i="17"/>
  <c r="T35" i="17"/>
  <c r="M35" i="17"/>
  <c r="T34" i="17"/>
  <c r="M34" i="17"/>
  <c r="T33" i="17"/>
  <c r="M33" i="17"/>
  <c r="T32" i="17"/>
  <c r="M32" i="17"/>
  <c r="T31" i="17"/>
  <c r="M31" i="17"/>
  <c r="T30" i="17"/>
  <c r="M30" i="17"/>
  <c r="T29" i="17"/>
  <c r="M29" i="17"/>
  <c r="T28" i="17"/>
  <c r="M28" i="17"/>
  <c r="T27" i="17"/>
  <c r="M27" i="17"/>
  <c r="T26" i="17"/>
  <c r="M26" i="17"/>
  <c r="T25" i="17"/>
  <c r="M25" i="17"/>
  <c r="T24" i="17"/>
  <c r="M24" i="17"/>
  <c r="T23" i="17"/>
  <c r="M23" i="17"/>
  <c r="T22" i="17"/>
  <c r="M22" i="17"/>
  <c r="T21" i="17"/>
  <c r="M21" i="17"/>
  <c r="T20" i="17"/>
  <c r="M20" i="17"/>
  <c r="T19" i="17"/>
  <c r="M19" i="17"/>
  <c r="T18" i="17"/>
  <c r="M18" i="17"/>
  <c r="T17" i="17"/>
  <c r="M17" i="17"/>
  <c r="T16" i="17"/>
  <c r="M16" i="17"/>
  <c r="T15" i="17"/>
  <c r="M15" i="17"/>
  <c r="T14" i="17"/>
  <c r="M14" i="17"/>
  <c r="T13" i="17"/>
  <c r="M13" i="17"/>
  <c r="T12" i="17"/>
  <c r="M12" i="17"/>
  <c r="T11" i="17"/>
  <c r="M11" i="17"/>
  <c r="T10" i="17"/>
  <c r="M10" i="17"/>
  <c r="T9" i="17"/>
  <c r="M9" i="17"/>
  <c r="A1" i="17"/>
  <c r="E59" i="16"/>
  <c r="C59" i="16"/>
  <c r="G51" i="16"/>
  <c r="F51" i="16"/>
  <c r="F48" i="16"/>
  <c r="G41" i="16"/>
  <c r="F41" i="16"/>
  <c r="F32" i="16"/>
  <c r="F31" i="16"/>
  <c r="F39" i="16" s="1"/>
  <c r="F28" i="16"/>
  <c r="F22" i="16"/>
  <c r="G13" i="16"/>
  <c r="F13" i="16"/>
  <c r="F11" i="16"/>
  <c r="F40" i="16" s="1"/>
  <c r="A1" i="16"/>
  <c r="F37" i="15"/>
  <c r="C37" i="15"/>
  <c r="H32" i="15"/>
  <c r="G32" i="15"/>
  <c r="I32" i="15" s="1"/>
  <c r="F32" i="15"/>
  <c r="E32" i="15"/>
  <c r="D32" i="15"/>
  <c r="I30" i="15"/>
  <c r="F30" i="15"/>
  <c r="F29" i="15"/>
  <c r="I29" i="15" s="1"/>
  <c r="I28" i="15"/>
  <c r="F28" i="15"/>
  <c r="H27" i="15"/>
  <c r="G27" i="15"/>
  <c r="I27" i="15" s="1"/>
  <c r="E27" i="15"/>
  <c r="D27" i="15"/>
  <c r="F27" i="15" s="1"/>
  <c r="I26" i="15"/>
  <c r="F26" i="15"/>
  <c r="F25" i="15"/>
  <c r="I25" i="15" s="1"/>
  <c r="F24" i="15"/>
  <c r="I24" i="15" s="1"/>
  <c r="H23" i="15"/>
  <c r="G23" i="15"/>
  <c r="E23" i="15"/>
  <c r="D23" i="15"/>
  <c r="I22" i="15"/>
  <c r="F22" i="15"/>
  <c r="I21" i="15"/>
  <c r="F21" i="15"/>
  <c r="H20" i="15"/>
  <c r="G20" i="15"/>
  <c r="E20" i="15"/>
  <c r="F18" i="15"/>
  <c r="I18" i="15" s="1"/>
  <c r="F17" i="15"/>
  <c r="I17" i="15" s="1"/>
  <c r="I16" i="15"/>
  <c r="F16" i="15"/>
  <c r="H15" i="15"/>
  <c r="G15" i="15"/>
  <c r="G8" i="15" s="1"/>
  <c r="E15" i="15"/>
  <c r="D15" i="15"/>
  <c r="F15" i="15" s="1"/>
  <c r="I15" i="15" s="1"/>
  <c r="F14" i="15"/>
  <c r="I14" i="15" s="1"/>
  <c r="F13" i="15"/>
  <c r="I13" i="15" s="1"/>
  <c r="I12" i="15"/>
  <c r="F12" i="15"/>
  <c r="H11" i="15"/>
  <c r="G11" i="15"/>
  <c r="E11" i="15"/>
  <c r="E8" i="15" s="1"/>
  <c r="D11" i="15"/>
  <c r="D8" i="15" s="1"/>
  <c r="F10" i="15"/>
  <c r="I10" i="15" s="1"/>
  <c r="F9" i="15"/>
  <c r="H8" i="15"/>
  <c r="A1" i="15"/>
  <c r="E81" i="14"/>
  <c r="C81" i="14"/>
  <c r="I76" i="14"/>
  <c r="H76" i="14"/>
  <c r="G76" i="14"/>
  <c r="F76" i="14"/>
  <c r="E76" i="14"/>
  <c r="D76" i="14"/>
  <c r="I74" i="14"/>
  <c r="F74" i="14"/>
  <c r="F73" i="14"/>
  <c r="I73" i="14" s="1"/>
  <c r="F72" i="14"/>
  <c r="I72" i="14" s="1"/>
  <c r="I71" i="14"/>
  <c r="F71" i="14"/>
  <c r="H70" i="14"/>
  <c r="G70" i="14"/>
  <c r="E70" i="14"/>
  <c r="D70" i="14"/>
  <c r="D42" i="14" s="1"/>
  <c r="I69" i="14"/>
  <c r="F69" i="14"/>
  <c r="F68" i="14"/>
  <c r="I68" i="14" s="1"/>
  <c r="F67" i="14"/>
  <c r="I67" i="14" s="1"/>
  <c r="F66" i="14"/>
  <c r="I66" i="14" s="1"/>
  <c r="F65" i="14"/>
  <c r="I65" i="14" s="1"/>
  <c r="F64" i="14"/>
  <c r="I64" i="14" s="1"/>
  <c r="I63" i="14"/>
  <c r="F63" i="14"/>
  <c r="F62" i="14"/>
  <c r="I62" i="14" s="1"/>
  <c r="F61" i="14"/>
  <c r="I61" i="14" s="1"/>
  <c r="H60" i="14"/>
  <c r="G60" i="14"/>
  <c r="E60" i="14"/>
  <c r="D60" i="14"/>
  <c r="F60" i="14" s="1"/>
  <c r="I60" i="14" s="1"/>
  <c r="F59" i="14"/>
  <c r="I59" i="14" s="1"/>
  <c r="F58" i="14"/>
  <c r="I58" i="14" s="1"/>
  <c r="I57" i="14"/>
  <c r="F57" i="14"/>
  <c r="I56" i="14"/>
  <c r="F56" i="14"/>
  <c r="F55" i="14"/>
  <c r="I55" i="14" s="1"/>
  <c r="F54" i="14"/>
  <c r="I54" i="14" s="1"/>
  <c r="F53" i="14"/>
  <c r="I53" i="14" s="1"/>
  <c r="H52" i="14"/>
  <c r="G52" i="14"/>
  <c r="E52" i="14"/>
  <c r="F52" i="14" s="1"/>
  <c r="I52" i="14" s="1"/>
  <c r="D52" i="14"/>
  <c r="I51" i="14"/>
  <c r="F51" i="14"/>
  <c r="F50" i="14"/>
  <c r="I50" i="14" s="1"/>
  <c r="F49" i="14"/>
  <c r="I49" i="14" s="1"/>
  <c r="F48" i="14"/>
  <c r="I48" i="14" s="1"/>
  <c r="F47" i="14"/>
  <c r="I47" i="14" s="1"/>
  <c r="F46" i="14"/>
  <c r="I46" i="14" s="1"/>
  <c r="F45" i="14"/>
  <c r="I45" i="14" s="1"/>
  <c r="F44" i="14"/>
  <c r="I44" i="14" s="1"/>
  <c r="H43" i="14"/>
  <c r="G43" i="14"/>
  <c r="E43" i="14"/>
  <c r="D43" i="14"/>
  <c r="F40" i="14"/>
  <c r="I40" i="14" s="1"/>
  <c r="F39" i="14"/>
  <c r="I39" i="14" s="1"/>
  <c r="F38" i="14"/>
  <c r="I38" i="14" s="1"/>
  <c r="I37" i="14"/>
  <c r="F37" i="14"/>
  <c r="I36" i="14"/>
  <c r="H36" i="14"/>
  <c r="G36" i="14"/>
  <c r="E36" i="14"/>
  <c r="D36" i="14"/>
  <c r="F36" i="14" s="1"/>
  <c r="F35" i="14"/>
  <c r="I35" i="14" s="1"/>
  <c r="F34" i="14"/>
  <c r="I34" i="14" s="1"/>
  <c r="F33" i="14"/>
  <c r="I33" i="14" s="1"/>
  <c r="F32" i="14"/>
  <c r="I32" i="14" s="1"/>
  <c r="F31" i="14"/>
  <c r="I31" i="14" s="1"/>
  <c r="F30" i="14"/>
  <c r="I30" i="14" s="1"/>
  <c r="F29" i="14"/>
  <c r="I29" i="14" s="1"/>
  <c r="I28" i="14"/>
  <c r="F28" i="14"/>
  <c r="I27" i="14"/>
  <c r="F27" i="14"/>
  <c r="H26" i="14"/>
  <c r="G26" i="14"/>
  <c r="E26" i="14"/>
  <c r="F26" i="14" s="1"/>
  <c r="I26" i="14" s="1"/>
  <c r="D26" i="14"/>
  <c r="F25" i="14"/>
  <c r="I25" i="14" s="1"/>
  <c r="F24" i="14"/>
  <c r="I24" i="14" s="1"/>
  <c r="F23" i="14"/>
  <c r="I23" i="14" s="1"/>
  <c r="I22" i="14"/>
  <c r="F22" i="14"/>
  <c r="F21" i="14"/>
  <c r="I21" i="14" s="1"/>
  <c r="I20" i="14"/>
  <c r="F20" i="14"/>
  <c r="F19" i="14"/>
  <c r="I19" i="14" s="1"/>
  <c r="H18" i="14"/>
  <c r="G18" i="14"/>
  <c r="F18" i="14"/>
  <c r="E18" i="14"/>
  <c r="D18" i="14"/>
  <c r="I17" i="14"/>
  <c r="F17" i="14"/>
  <c r="F16" i="14"/>
  <c r="I16" i="14" s="1"/>
  <c r="F15" i="14"/>
  <c r="I15" i="14" s="1"/>
  <c r="F14" i="14"/>
  <c r="I14" i="14" s="1"/>
  <c r="I13" i="14"/>
  <c r="F13" i="14"/>
  <c r="I12" i="14"/>
  <c r="F12" i="14"/>
  <c r="I11" i="14"/>
  <c r="F11" i="14"/>
  <c r="I10" i="14"/>
  <c r="F10" i="14"/>
  <c r="H9" i="14"/>
  <c r="G9" i="14"/>
  <c r="E9" i="14"/>
  <c r="D9" i="14"/>
  <c r="E8" i="14"/>
  <c r="D8" i="14"/>
  <c r="B1" i="14"/>
  <c r="D68" i="13"/>
  <c r="A68" i="13"/>
  <c r="G62" i="13"/>
  <c r="F62" i="13"/>
  <c r="E62" i="13"/>
  <c r="D62" i="13"/>
  <c r="C62" i="13"/>
  <c r="B62" i="13"/>
  <c r="D60" i="13"/>
  <c r="G60" i="13" s="1"/>
  <c r="D59" i="13"/>
  <c r="G59" i="13" s="1"/>
  <c r="G58" i="13"/>
  <c r="D58" i="13"/>
  <c r="G57" i="13"/>
  <c r="D57" i="13"/>
  <c r="G56" i="13"/>
  <c r="D56" i="13"/>
  <c r="G55" i="13"/>
  <c r="D55" i="13"/>
  <c r="D54" i="13"/>
  <c r="G54" i="13" s="1"/>
  <c r="D53" i="13"/>
  <c r="G53" i="13" s="1"/>
  <c r="D52" i="13"/>
  <c r="G52" i="13" s="1"/>
  <c r="G51" i="13"/>
  <c r="D51" i="13"/>
  <c r="D50" i="13"/>
  <c r="G50" i="13" s="1"/>
  <c r="G49" i="13"/>
  <c r="D49" i="13"/>
  <c r="G48" i="13"/>
  <c r="D48" i="13"/>
  <c r="D47" i="13"/>
  <c r="G47" i="13" s="1"/>
  <c r="D46" i="13"/>
  <c r="G46" i="13" s="1"/>
  <c r="D45" i="13"/>
  <c r="G45" i="13" s="1"/>
  <c r="G44" i="13"/>
  <c r="D44" i="13"/>
  <c r="D43" i="13"/>
  <c r="G43" i="13" s="1"/>
  <c r="G42" i="13"/>
  <c r="D42" i="13"/>
  <c r="D41" i="13"/>
  <c r="G41" i="13" s="1"/>
  <c r="D40" i="13"/>
  <c r="G40" i="13" s="1"/>
  <c r="D39" i="13"/>
  <c r="G39" i="13" s="1"/>
  <c r="D38" i="13"/>
  <c r="G38" i="13" s="1"/>
  <c r="D37" i="13"/>
  <c r="G37" i="13" s="1"/>
  <c r="G36" i="13"/>
  <c r="D36" i="13"/>
  <c r="F35" i="13"/>
  <c r="E35" i="13"/>
  <c r="C35" i="13"/>
  <c r="B35" i="13"/>
  <c r="D33" i="13"/>
  <c r="G33" i="13" s="1"/>
  <c r="G32" i="13"/>
  <c r="D32" i="13"/>
  <c r="G31" i="13"/>
  <c r="D31" i="13"/>
  <c r="D30" i="13"/>
  <c r="G30" i="13" s="1"/>
  <c r="G29" i="13"/>
  <c r="D29" i="13"/>
  <c r="D28" i="13"/>
  <c r="G28" i="13" s="1"/>
  <c r="G27" i="13"/>
  <c r="D27" i="13"/>
  <c r="D26" i="13"/>
  <c r="G26" i="13" s="1"/>
  <c r="D25" i="13"/>
  <c r="G25" i="13" s="1"/>
  <c r="D24" i="13"/>
  <c r="G24" i="13" s="1"/>
  <c r="G23" i="13"/>
  <c r="D23" i="13"/>
  <c r="G22" i="13"/>
  <c r="D22" i="13"/>
  <c r="D21" i="13"/>
  <c r="G21" i="13" s="1"/>
  <c r="D20" i="13"/>
  <c r="G20" i="13" s="1"/>
  <c r="G19" i="13"/>
  <c r="D19" i="13"/>
  <c r="D18" i="13"/>
  <c r="G18" i="13" s="1"/>
  <c r="D17" i="13"/>
  <c r="G17" i="13" s="1"/>
  <c r="G16" i="13"/>
  <c r="D16" i="13"/>
  <c r="G15" i="13"/>
  <c r="D15" i="13"/>
  <c r="G14" i="13"/>
  <c r="D14" i="13"/>
  <c r="G13" i="13"/>
  <c r="D13" i="13"/>
  <c r="D12" i="13"/>
  <c r="G12" i="13" s="1"/>
  <c r="D11" i="13"/>
  <c r="G11" i="13" s="1"/>
  <c r="D10" i="13"/>
  <c r="G10" i="13" s="1"/>
  <c r="D9" i="13"/>
  <c r="F8" i="13"/>
  <c r="E8" i="13"/>
  <c r="C8" i="13"/>
  <c r="B8" i="13"/>
  <c r="A1" i="13"/>
  <c r="D105" i="12"/>
  <c r="A105" i="12"/>
  <c r="F99" i="12"/>
  <c r="E99" i="12"/>
  <c r="D99" i="12"/>
  <c r="C99" i="12"/>
  <c r="B99" i="12"/>
  <c r="D97" i="12"/>
  <c r="G97" i="12" s="1"/>
  <c r="D95" i="12"/>
  <c r="G95" i="12" s="1"/>
  <c r="D93" i="12"/>
  <c r="G93" i="12" s="1"/>
  <c r="G91" i="12"/>
  <c r="D91" i="12"/>
  <c r="G89" i="12"/>
  <c r="D89" i="12"/>
  <c r="D87" i="12"/>
  <c r="G87" i="12" s="1"/>
  <c r="D85" i="12"/>
  <c r="G85" i="12" s="1"/>
  <c r="G83" i="12"/>
  <c r="G99" i="12" s="1"/>
  <c r="D83" i="12"/>
  <c r="A75" i="12"/>
  <c r="F73" i="12"/>
  <c r="E73" i="12"/>
  <c r="D73" i="12"/>
  <c r="C73" i="12"/>
  <c r="B73" i="12"/>
  <c r="D71" i="12"/>
  <c r="G71" i="12" s="1"/>
  <c r="D70" i="12"/>
  <c r="G70" i="12" s="1"/>
  <c r="D69" i="12"/>
  <c r="G69" i="12" s="1"/>
  <c r="D68" i="12"/>
  <c r="G68" i="12" s="1"/>
  <c r="G73" i="12" s="1"/>
  <c r="A60" i="12"/>
  <c r="AJ32" i="12"/>
  <c r="AI32" i="12"/>
  <c r="AG32" i="12"/>
  <c r="AF32" i="12"/>
  <c r="AE32" i="12"/>
  <c r="AD32" i="12"/>
  <c r="AB32" i="12"/>
  <c r="T32" i="12"/>
  <c r="S32" i="12"/>
  <c r="R32" i="12"/>
  <c r="Q32" i="12"/>
  <c r="P32" i="12"/>
  <c r="O32" i="12"/>
  <c r="N32" i="12"/>
  <c r="L32" i="12"/>
  <c r="AH31" i="12"/>
  <c r="AE31" i="12"/>
  <c r="AC31" i="12"/>
  <c r="AB31" i="12"/>
  <c r="AA31" i="12"/>
  <c r="Z31" i="12"/>
  <c r="U31" i="12"/>
  <c r="T31" i="12"/>
  <c r="S31" i="12"/>
  <c r="R31" i="12"/>
  <c r="N31" i="12"/>
  <c r="L31" i="12"/>
  <c r="AG30" i="12"/>
  <c r="AF30" i="12"/>
  <c r="AE30" i="12"/>
  <c r="AD30" i="12"/>
  <c r="AC30" i="12"/>
  <c r="W30" i="12"/>
  <c r="T30" i="12"/>
  <c r="S30" i="12"/>
  <c r="R30" i="12"/>
  <c r="P30" i="12"/>
  <c r="O30" i="12"/>
  <c r="L30" i="12"/>
  <c r="AF29" i="12"/>
  <c r="AD29" i="12"/>
  <c r="AC29" i="12"/>
  <c r="AB29" i="12"/>
  <c r="Z29" i="12"/>
  <c r="X29" i="12"/>
  <c r="R29" i="12"/>
  <c r="Q29" i="12"/>
  <c r="P29" i="12"/>
  <c r="L29" i="12"/>
  <c r="AO28" i="12"/>
  <c r="AN28" i="12"/>
  <c r="AJ28" i="12"/>
  <c r="W28" i="12"/>
  <c r="U28" i="12"/>
  <c r="L28" i="12"/>
  <c r="AJ27" i="12"/>
  <c r="AI27" i="12"/>
  <c r="AH27" i="12"/>
  <c r="AG27" i="12"/>
  <c r="AF27" i="12"/>
  <c r="U27" i="12"/>
  <c r="T27" i="12"/>
  <c r="R27" i="12"/>
  <c r="P27" i="12"/>
  <c r="O27" i="12"/>
  <c r="N27" i="12"/>
  <c r="L27" i="12"/>
  <c r="AN26" i="12"/>
  <c r="AO26" i="12" s="1"/>
  <c r="AF26" i="12"/>
  <c r="AE26" i="12"/>
  <c r="AA26" i="12"/>
  <c r="L26" i="12"/>
  <c r="AD26" i="12" s="1"/>
  <c r="AN25" i="12"/>
  <c r="AO25" i="12" s="1"/>
  <c r="AG25" i="12"/>
  <c r="AA25" i="12"/>
  <c r="Z25" i="12"/>
  <c r="Y25" i="12"/>
  <c r="L25" i="12"/>
  <c r="AJ24" i="12"/>
  <c r="AG24" i="12"/>
  <c r="AF24" i="12"/>
  <c r="AE24" i="12"/>
  <c r="AD24" i="12"/>
  <c r="AC24" i="12"/>
  <c r="U24" i="12"/>
  <c r="T24" i="12"/>
  <c r="S24" i="12"/>
  <c r="R24" i="12"/>
  <c r="L24" i="12"/>
  <c r="AK23" i="12"/>
  <c r="AF23" i="12"/>
  <c r="AE23" i="12"/>
  <c r="AD23" i="12"/>
  <c r="AB23" i="12"/>
  <c r="Z23" i="12"/>
  <c r="T23" i="12"/>
  <c r="S23" i="12"/>
  <c r="R23" i="12"/>
  <c r="Q23" i="12"/>
  <c r="P23" i="12"/>
  <c r="L23" i="12"/>
  <c r="AN22" i="12"/>
  <c r="AO22" i="12" s="1"/>
  <c r="AJ22" i="12"/>
  <c r="AB22" i="12"/>
  <c r="Z22" i="12"/>
  <c r="W22" i="12"/>
  <c r="V22" i="12"/>
  <c r="U22" i="12"/>
  <c r="T22" i="12"/>
  <c r="N22" i="12"/>
  <c r="L22" i="12"/>
  <c r="AN21" i="12"/>
  <c r="AO21" i="12" s="1"/>
  <c r="AI21" i="12"/>
  <c r="AH21" i="12"/>
  <c r="AG21" i="12"/>
  <c r="AF21" i="12"/>
  <c r="AD21" i="12"/>
  <c r="U21" i="12"/>
  <c r="T21" i="12"/>
  <c r="R21" i="12"/>
  <c r="Q21" i="12"/>
  <c r="P21" i="12"/>
  <c r="O21" i="12"/>
  <c r="L21" i="12"/>
  <c r="L20" i="12"/>
  <c r="AF20" i="12" s="1"/>
  <c r="AK19" i="12"/>
  <c r="AB19" i="12"/>
  <c r="AA19" i="12"/>
  <c r="Z19" i="12"/>
  <c r="L19" i="12"/>
  <c r="AN18" i="12"/>
  <c r="AO18" i="12" s="1"/>
  <c r="AG18" i="12"/>
  <c r="AE18" i="12"/>
  <c r="AD18" i="12"/>
  <c r="AC18" i="12"/>
  <c r="U18" i="12"/>
  <c r="T18" i="12"/>
  <c r="R18" i="12"/>
  <c r="L18" i="12"/>
  <c r="S18" i="12" s="1"/>
  <c r="AB17" i="12"/>
  <c r="Z17" i="12"/>
  <c r="Y17" i="12"/>
  <c r="X17" i="12"/>
  <c r="S17" i="12"/>
  <c r="R17" i="12"/>
  <c r="Q17" i="12"/>
  <c r="P17" i="12"/>
  <c r="L17" i="12"/>
  <c r="AO16" i="12"/>
  <c r="AN16" i="12"/>
  <c r="AK16" i="12"/>
  <c r="AJ16" i="12"/>
  <c r="AE16" i="12"/>
  <c r="AB16" i="12"/>
  <c r="Z16" i="12"/>
  <c r="X16" i="12"/>
  <c r="R16" i="12"/>
  <c r="P16" i="12"/>
  <c r="O16" i="12"/>
  <c r="N16" i="12"/>
  <c r="L16" i="12"/>
  <c r="AO15" i="12"/>
  <c r="AN15" i="12"/>
  <c r="Y15" i="12"/>
  <c r="X15" i="12"/>
  <c r="W15" i="12"/>
  <c r="V15" i="12"/>
  <c r="P15" i="12"/>
  <c r="O15" i="12"/>
  <c r="N15" i="12"/>
  <c r="L15" i="12"/>
  <c r="AN14" i="12"/>
  <c r="AO14" i="12" s="1"/>
  <c r="AK14" i="12"/>
  <c r="AJ14" i="12"/>
  <c r="AI14" i="12"/>
  <c r="AH14" i="12"/>
  <c r="W14" i="12"/>
  <c r="L14" i="12"/>
  <c r="X14" i="12" s="1"/>
  <c r="AO13" i="12"/>
  <c r="AN13" i="12"/>
  <c r="AK13" i="12"/>
  <c r="M13" i="12"/>
  <c r="L13" i="12"/>
  <c r="AN12" i="12"/>
  <c r="AO12" i="12" s="1"/>
  <c r="AJ12" i="12"/>
  <c r="AF12" i="12"/>
  <c r="AE12" i="12"/>
  <c r="U12" i="12"/>
  <c r="T12" i="12"/>
  <c r="S12" i="12"/>
  <c r="R12" i="12"/>
  <c r="L12" i="12"/>
  <c r="AG11" i="12"/>
  <c r="AF11" i="12"/>
  <c r="AE11" i="12"/>
  <c r="AD11" i="12"/>
  <c r="U11" i="12"/>
  <c r="T11" i="12"/>
  <c r="S11" i="12"/>
  <c r="R11" i="12"/>
  <c r="Q11" i="12"/>
  <c r="L11" i="12"/>
  <c r="AJ10" i="12"/>
  <c r="AI10" i="12"/>
  <c r="AG10" i="12"/>
  <c r="AF10" i="12"/>
  <c r="AE10" i="12"/>
  <c r="AD10" i="12"/>
  <c r="AB10" i="12"/>
  <c r="U10" i="12"/>
  <c r="T10" i="12"/>
  <c r="S10" i="12"/>
  <c r="R10" i="12"/>
  <c r="P10" i="12"/>
  <c r="O10" i="12"/>
  <c r="L10" i="12"/>
  <c r="AG9" i="12"/>
  <c r="AF9" i="12"/>
  <c r="AD9" i="12"/>
  <c r="AC9" i="12"/>
  <c r="AB9" i="12"/>
  <c r="U9" i="12"/>
  <c r="T9" i="12"/>
  <c r="R9" i="12"/>
  <c r="Q9" i="12"/>
  <c r="P9" i="12"/>
  <c r="O9" i="12"/>
  <c r="N9" i="12"/>
  <c r="L9" i="12"/>
  <c r="AF8" i="12"/>
  <c r="AE8" i="12"/>
  <c r="AD8" i="12"/>
  <c r="AC8" i="12"/>
  <c r="AB8" i="12"/>
  <c r="Z8" i="12"/>
  <c r="T8" i="12"/>
  <c r="S8" i="12"/>
  <c r="R8" i="12"/>
  <c r="Q8" i="12"/>
  <c r="P8" i="12"/>
  <c r="O8" i="12"/>
  <c r="N8" i="12"/>
  <c r="L8" i="12"/>
  <c r="AK7" i="12"/>
  <c r="AK27" i="12" s="1"/>
  <c r="AJ7" i="12"/>
  <c r="AI7" i="12"/>
  <c r="AH7" i="12"/>
  <c r="AH19" i="12" s="1"/>
  <c r="AG7" i="12"/>
  <c r="AG15" i="12" s="1"/>
  <c r="AF7" i="12"/>
  <c r="AN27" i="12" s="1"/>
  <c r="AO27" i="12" s="1"/>
  <c r="AE7" i="12"/>
  <c r="AE27" i="12" s="1"/>
  <c r="AD7" i="12"/>
  <c r="AC7" i="12"/>
  <c r="AC32" i="12" s="1"/>
  <c r="AB7" i="12"/>
  <c r="AA7" i="12"/>
  <c r="AA22" i="12" s="1"/>
  <c r="Z7" i="12"/>
  <c r="Y7" i="12"/>
  <c r="X7" i="12"/>
  <c r="W7" i="12"/>
  <c r="V7" i="12"/>
  <c r="V25" i="12" s="1"/>
  <c r="U7" i="12"/>
  <c r="U23" i="12" s="1"/>
  <c r="T7" i="12"/>
  <c r="T17" i="12" s="1"/>
  <c r="S7" i="12"/>
  <c r="S27" i="12" s="1"/>
  <c r="R7" i="12"/>
  <c r="Q7" i="12"/>
  <c r="Q30" i="12" s="1"/>
  <c r="P7" i="12"/>
  <c r="O7" i="12"/>
  <c r="N7" i="12"/>
  <c r="M7" i="12"/>
  <c r="M19" i="12" s="1"/>
  <c r="A1" i="12"/>
  <c r="E1006" i="11" a="1"/>
  <c r="E1006" i="11" s="1"/>
  <c r="D1006" i="11" a="1"/>
  <c r="D1006" i="11" s="1"/>
  <c r="A1006" i="11"/>
  <c r="E1005" i="11" a="1"/>
  <c r="E1005" i="11" s="1"/>
  <c r="D1005" i="11" a="1"/>
  <c r="D1005" i="11" s="1"/>
  <c r="A1005" i="11"/>
  <c r="E1004" i="11" a="1"/>
  <c r="E1004" i="11"/>
  <c r="D1004" i="11" a="1"/>
  <c r="D1004" i="11" s="1"/>
  <c r="A1004" i="11"/>
  <c r="E1003" i="11" a="1"/>
  <c r="E1003" i="11"/>
  <c r="D1003" i="11" a="1"/>
  <c r="D1003" i="11" s="1"/>
  <c r="A1003" i="11"/>
  <c r="E1002" i="11" a="1"/>
  <c r="E1002" i="11"/>
  <c r="D1002" i="11" a="1"/>
  <c r="D1002" i="11" s="1"/>
  <c r="A1002" i="11"/>
  <c r="E1001" i="11" a="1"/>
  <c r="E1001" i="11" s="1"/>
  <c r="D1001" i="11" a="1"/>
  <c r="D1001" i="11"/>
  <c r="A1001" i="11"/>
  <c r="E1000" i="11" a="1"/>
  <c r="E1000" i="11" s="1"/>
  <c r="D1000" i="11" a="1"/>
  <c r="D1000" i="11" s="1"/>
  <c r="A1000" i="11"/>
  <c r="E999" i="11" a="1"/>
  <c r="E999" i="11"/>
  <c r="D999" i="11" a="1"/>
  <c r="D999" i="11" s="1"/>
  <c r="A999" i="11"/>
  <c r="E998" i="11" a="1"/>
  <c r="E998" i="11" s="1"/>
  <c r="D998" i="11" a="1"/>
  <c r="D998" i="11"/>
  <c r="A998" i="11"/>
  <c r="E997" i="11" a="1"/>
  <c r="E997" i="11" s="1"/>
  <c r="D997" i="11" a="1"/>
  <c r="D997" i="11"/>
  <c r="A997" i="11"/>
  <c r="E996" i="11" a="1"/>
  <c r="E996" i="11" s="1"/>
  <c r="D996" i="11" a="1"/>
  <c r="D996" i="11" s="1"/>
  <c r="A996" i="11"/>
  <c r="E995" i="11" a="1"/>
  <c r="E995" i="11" s="1"/>
  <c r="D995" i="11" a="1"/>
  <c r="D995" i="11"/>
  <c r="A995" i="11"/>
  <c r="E994" i="11" a="1"/>
  <c r="E994" i="11"/>
  <c r="D994" i="11" a="1"/>
  <c r="D994" i="11" s="1"/>
  <c r="A994" i="11"/>
  <c r="E993" i="11" a="1"/>
  <c r="E993" i="11" s="1"/>
  <c r="D993" i="11" a="1"/>
  <c r="D993" i="11"/>
  <c r="A993" i="11"/>
  <c r="E992" i="11" a="1"/>
  <c r="E992" i="11"/>
  <c r="D992" i="11" a="1"/>
  <c r="D992" i="11" s="1"/>
  <c r="A992" i="11"/>
  <c r="E991" i="11" a="1"/>
  <c r="E991" i="11" s="1"/>
  <c r="D991" i="11" a="1"/>
  <c r="D991" i="11"/>
  <c r="A991" i="11"/>
  <c r="E990" i="11" a="1"/>
  <c r="E990" i="11" s="1"/>
  <c r="D990" i="11" a="1"/>
  <c r="D990" i="11" s="1"/>
  <c r="A990" i="11"/>
  <c r="E989" i="11" a="1"/>
  <c r="E989" i="11"/>
  <c r="D989" i="11" a="1"/>
  <c r="D989" i="11"/>
  <c r="A989" i="11"/>
  <c r="E988" i="11" a="1"/>
  <c r="E988" i="11" s="1"/>
  <c r="D988" i="11" a="1"/>
  <c r="D988" i="11" s="1"/>
  <c r="A988" i="11"/>
  <c r="E987" i="11" a="1"/>
  <c r="E987" i="11" s="1"/>
  <c r="D987" i="11" a="1"/>
  <c r="D987" i="11" s="1"/>
  <c r="A987" i="11"/>
  <c r="E986" i="11" a="1"/>
  <c r="E986" i="11" s="1"/>
  <c r="D986" i="11" a="1"/>
  <c r="D986" i="11" s="1"/>
  <c r="A986" i="11"/>
  <c r="E985" i="11" a="1"/>
  <c r="E985" i="11" s="1"/>
  <c r="D985" i="11" a="1"/>
  <c r="D985" i="11"/>
  <c r="A985" i="11"/>
  <c r="E984" i="11" a="1"/>
  <c r="E984" i="11" s="1"/>
  <c r="D984" i="11" a="1"/>
  <c r="D984" i="11" s="1"/>
  <c r="A984" i="11"/>
  <c r="E983" i="11" a="1"/>
  <c r="E983" i="11" s="1"/>
  <c r="D983" i="11" a="1"/>
  <c r="D983" i="11"/>
  <c r="A983" i="11"/>
  <c r="E982" i="11" a="1"/>
  <c r="E982" i="11" s="1"/>
  <c r="D982" i="11" a="1"/>
  <c r="D982" i="11" s="1"/>
  <c r="A982" i="11"/>
  <c r="E981" i="11" a="1"/>
  <c r="E981" i="11" s="1"/>
  <c r="D981" i="11" a="1"/>
  <c r="D981" i="11" s="1"/>
  <c r="A981" i="11"/>
  <c r="E980" i="11" a="1"/>
  <c r="E980" i="11" s="1"/>
  <c r="D980" i="11" a="1"/>
  <c r="D980" i="11"/>
  <c r="A980" i="11"/>
  <c r="E979" i="11" a="1"/>
  <c r="E979" i="11"/>
  <c r="D979" i="11" a="1"/>
  <c r="D979" i="11" s="1"/>
  <c r="A979" i="11"/>
  <c r="E978" i="11" a="1"/>
  <c r="E978" i="11" s="1"/>
  <c r="D978" i="11" a="1"/>
  <c r="D978" i="11" s="1"/>
  <c r="A978" i="11"/>
  <c r="E977" i="11" a="1"/>
  <c r="E977" i="11" s="1"/>
  <c r="D977" i="11" a="1"/>
  <c r="D977" i="11"/>
  <c r="A977" i="11"/>
  <c r="E976" i="11" a="1"/>
  <c r="E976" i="11" s="1"/>
  <c r="D976" i="11" a="1"/>
  <c r="D976" i="11" s="1"/>
  <c r="A976" i="11"/>
  <c r="E975" i="11" a="1"/>
  <c r="E975" i="11" s="1"/>
  <c r="D975" i="11" a="1"/>
  <c r="D975" i="11" s="1"/>
  <c r="A975" i="11"/>
  <c r="E974" i="11" a="1"/>
  <c r="E974" i="11" s="1"/>
  <c r="D974" i="11" a="1"/>
  <c r="D974" i="11" s="1"/>
  <c r="A974" i="11"/>
  <c r="E973" i="11" a="1"/>
  <c r="E973" i="11"/>
  <c r="D973" i="11" a="1"/>
  <c r="D973" i="11" s="1"/>
  <c r="A973" i="11"/>
  <c r="E972" i="11" a="1"/>
  <c r="E972" i="11" s="1"/>
  <c r="D972" i="11" a="1"/>
  <c r="D972" i="11" s="1"/>
  <c r="A972" i="11"/>
  <c r="E971" i="11" a="1"/>
  <c r="E971" i="11" s="1"/>
  <c r="D971" i="11" a="1"/>
  <c r="D971" i="11" s="1"/>
  <c r="A971" i="11"/>
  <c r="E970" i="11" a="1"/>
  <c r="E970" i="11" s="1"/>
  <c r="D970" i="11" a="1"/>
  <c r="D970" i="11" s="1"/>
  <c r="A970" i="11"/>
  <c r="E969" i="11" a="1"/>
  <c r="E969" i="11" s="1"/>
  <c r="D969" i="11" a="1"/>
  <c r="D969" i="11" s="1"/>
  <c r="A969" i="11"/>
  <c r="E968" i="11" a="1"/>
  <c r="E968" i="11" s="1"/>
  <c r="D968" i="11" a="1"/>
  <c r="D968" i="11"/>
  <c r="A968" i="11"/>
  <c r="E967" i="11" a="1"/>
  <c r="E967" i="11"/>
  <c r="D967" i="11" a="1"/>
  <c r="D967" i="11"/>
  <c r="A967" i="11"/>
  <c r="E966" i="11" a="1"/>
  <c r="E966" i="11" s="1"/>
  <c r="D966" i="11" a="1"/>
  <c r="D966" i="11" s="1"/>
  <c r="A966" i="11"/>
  <c r="E965" i="11" a="1"/>
  <c r="E965" i="11"/>
  <c r="D965" i="11" a="1"/>
  <c r="D965" i="11" s="1"/>
  <c r="A965" i="11"/>
  <c r="E964" i="11" a="1"/>
  <c r="E964" i="11" s="1"/>
  <c r="D964" i="11" a="1"/>
  <c r="D964" i="11" s="1"/>
  <c r="A964" i="11"/>
  <c r="E963" i="11" a="1"/>
  <c r="E963" i="11"/>
  <c r="D963" i="11" a="1"/>
  <c r="D963" i="11" s="1"/>
  <c r="A963" i="11"/>
  <c r="E962" i="11" a="1"/>
  <c r="E962" i="11" s="1"/>
  <c r="D962" i="11" a="1"/>
  <c r="D962" i="11" s="1"/>
  <c r="A962" i="11"/>
  <c r="E961" i="11" a="1"/>
  <c r="E961" i="11"/>
  <c r="D961" i="11" a="1"/>
  <c r="D961" i="11"/>
  <c r="A961" i="11"/>
  <c r="E960" i="11" a="1"/>
  <c r="E960" i="11" s="1"/>
  <c r="D960" i="11" a="1"/>
  <c r="D960" i="11" s="1"/>
  <c r="A960" i="11"/>
  <c r="E959" i="11" a="1"/>
  <c r="E959" i="11" s="1"/>
  <c r="D959" i="11" a="1"/>
  <c r="D959" i="11" s="1"/>
  <c r="A959" i="11"/>
  <c r="E958" i="11" a="1"/>
  <c r="E958" i="11"/>
  <c r="D958" i="11" a="1"/>
  <c r="D958" i="11" s="1"/>
  <c r="A958" i="11"/>
  <c r="E957" i="11" a="1"/>
  <c r="E957" i="11"/>
  <c r="D957" i="11" a="1"/>
  <c r="D957" i="11" s="1"/>
  <c r="A957" i="11"/>
  <c r="E956" i="11" a="1"/>
  <c r="E956" i="11" s="1"/>
  <c r="D956" i="11" a="1"/>
  <c r="D956" i="11" s="1"/>
  <c r="A956" i="11"/>
  <c r="E955" i="11" a="1"/>
  <c r="E955" i="11"/>
  <c r="D955" i="11" a="1"/>
  <c r="D955" i="11" s="1"/>
  <c r="A955" i="11"/>
  <c r="E954" i="11" a="1"/>
  <c r="E954" i="11"/>
  <c r="D954" i="11" a="1"/>
  <c r="D954" i="11" s="1"/>
  <c r="A954" i="11"/>
  <c r="E953" i="11" a="1"/>
  <c r="E953" i="11"/>
  <c r="D953" i="11" a="1"/>
  <c r="D953" i="11" s="1"/>
  <c r="A953" i="11"/>
  <c r="E952" i="11" a="1"/>
  <c r="E952" i="11" s="1"/>
  <c r="D952" i="11" a="1"/>
  <c r="D952" i="11" s="1"/>
  <c r="A952" i="11"/>
  <c r="E951" i="11" a="1"/>
  <c r="E951" i="11"/>
  <c r="D951" i="11" a="1"/>
  <c r="D951" i="11" s="1"/>
  <c r="A951" i="11"/>
  <c r="E950" i="11" a="1"/>
  <c r="E950" i="11" s="1"/>
  <c r="D950" i="11" a="1"/>
  <c r="D950" i="11" s="1"/>
  <c r="A950" i="11"/>
  <c r="E949" i="11" a="1"/>
  <c r="E949" i="11" s="1"/>
  <c r="D949" i="11" a="1"/>
  <c r="D949" i="11" s="1"/>
  <c r="A949" i="11"/>
  <c r="E948" i="11" a="1"/>
  <c r="E948" i="11" s="1"/>
  <c r="D948" i="11" a="1"/>
  <c r="D948" i="11" s="1"/>
  <c r="A948" i="11"/>
  <c r="E947" i="11" a="1"/>
  <c r="E947" i="11"/>
  <c r="D947" i="11" a="1"/>
  <c r="D947" i="11" s="1"/>
  <c r="A947" i="11"/>
  <c r="E946" i="11" a="1"/>
  <c r="E946" i="11" s="1"/>
  <c r="D946" i="11" a="1"/>
  <c r="D946" i="11" s="1"/>
  <c r="A946" i="11"/>
  <c r="E945" i="11" a="1"/>
  <c r="E945" i="11" s="1"/>
  <c r="D945" i="11" a="1"/>
  <c r="D945" i="11" s="1"/>
  <c r="A945" i="11"/>
  <c r="E944" i="11" a="1"/>
  <c r="E944" i="11"/>
  <c r="D944" i="11" a="1"/>
  <c r="D944" i="11" s="1"/>
  <c r="A944" i="11"/>
  <c r="E943" i="11" a="1"/>
  <c r="E943" i="11" s="1"/>
  <c r="D943" i="11" a="1"/>
  <c r="D943" i="11"/>
  <c r="A943" i="11"/>
  <c r="E942" i="11" a="1"/>
  <c r="E942" i="11" s="1"/>
  <c r="D942" i="11" a="1"/>
  <c r="D942" i="11" s="1"/>
  <c r="A942" i="11"/>
  <c r="E941" i="11" a="1"/>
  <c r="E941" i="11"/>
  <c r="D941" i="11" a="1"/>
  <c r="D941" i="11" s="1"/>
  <c r="A941" i="11"/>
  <c r="E940" i="11" a="1"/>
  <c r="E940" i="11"/>
  <c r="D940" i="11" a="1"/>
  <c r="D940" i="11" s="1"/>
  <c r="A940" i="11"/>
  <c r="E939" i="11" a="1"/>
  <c r="E939" i="11" s="1"/>
  <c r="D939" i="11" a="1"/>
  <c r="D939" i="11" s="1"/>
  <c r="A939" i="11"/>
  <c r="E938" i="11" a="1"/>
  <c r="E938" i="11" s="1"/>
  <c r="D938" i="11" a="1"/>
  <c r="D938" i="11" s="1"/>
  <c r="A938" i="11"/>
  <c r="E937" i="11" a="1"/>
  <c r="E937" i="11" s="1"/>
  <c r="D937" i="11" a="1"/>
  <c r="D937" i="11" s="1"/>
  <c r="A937" i="11"/>
  <c r="E936" i="11" a="1"/>
  <c r="E936" i="11" s="1"/>
  <c r="D936" i="11" a="1"/>
  <c r="D936" i="11" s="1"/>
  <c r="A936" i="11"/>
  <c r="E935" i="11" a="1"/>
  <c r="E935" i="11" s="1"/>
  <c r="D935" i="11" a="1"/>
  <c r="D935" i="11" s="1"/>
  <c r="A935" i="11"/>
  <c r="E934" i="11" a="1"/>
  <c r="E934" i="11" s="1"/>
  <c r="D934" i="11" a="1"/>
  <c r="D934" i="11" s="1"/>
  <c r="A934" i="11"/>
  <c r="E933" i="11" a="1"/>
  <c r="E933" i="11"/>
  <c r="D933" i="11" a="1"/>
  <c r="D933" i="11" s="1"/>
  <c r="A933" i="11"/>
  <c r="E932" i="11" a="1"/>
  <c r="E932" i="11" s="1"/>
  <c r="D932" i="11" a="1"/>
  <c r="D932" i="11" s="1"/>
  <c r="A932" i="11"/>
  <c r="E931" i="11" a="1"/>
  <c r="E931" i="11" s="1"/>
  <c r="D931" i="11" a="1"/>
  <c r="D931" i="11" s="1"/>
  <c r="A931" i="11"/>
  <c r="E930" i="11" a="1"/>
  <c r="E930" i="11" s="1"/>
  <c r="D930" i="11" a="1"/>
  <c r="D930" i="11" s="1"/>
  <c r="A930" i="11"/>
  <c r="E929" i="11" a="1"/>
  <c r="E929" i="11" s="1"/>
  <c r="D929" i="11" a="1"/>
  <c r="D929" i="11"/>
  <c r="A929" i="11"/>
  <c r="E928" i="11" a="1"/>
  <c r="E928" i="11" s="1"/>
  <c r="D928" i="11" a="1"/>
  <c r="D928" i="11" s="1"/>
  <c r="A928" i="11"/>
  <c r="E927" i="11" a="1"/>
  <c r="E927" i="11" s="1"/>
  <c r="D927" i="11" a="1"/>
  <c r="D927" i="11" s="1"/>
  <c r="A927" i="11"/>
  <c r="E926" i="11" a="1"/>
  <c r="E926" i="11" s="1"/>
  <c r="D926" i="11" a="1"/>
  <c r="D926" i="11" s="1"/>
  <c r="A926" i="11"/>
  <c r="E925" i="11" a="1"/>
  <c r="E925" i="11" s="1"/>
  <c r="D925" i="11" a="1"/>
  <c r="D925" i="11" s="1"/>
  <c r="A925" i="11"/>
  <c r="E924" i="11" a="1"/>
  <c r="E924" i="11" s="1"/>
  <c r="D924" i="11" a="1"/>
  <c r="D924" i="11"/>
  <c r="A924" i="11"/>
  <c r="E923" i="11" a="1"/>
  <c r="E923" i="11" s="1"/>
  <c r="D923" i="11" a="1"/>
  <c r="D923" i="11" s="1"/>
  <c r="A923" i="11"/>
  <c r="E922" i="11" a="1"/>
  <c r="E922" i="11"/>
  <c r="D922" i="11" a="1"/>
  <c r="D922" i="11" s="1"/>
  <c r="A922" i="11"/>
  <c r="E921" i="11" a="1"/>
  <c r="E921" i="11" s="1"/>
  <c r="D921" i="11" a="1"/>
  <c r="D921" i="11"/>
  <c r="A921" i="11"/>
  <c r="E920" i="11" a="1"/>
  <c r="E920" i="11" s="1"/>
  <c r="D920" i="11" a="1"/>
  <c r="D920" i="11" s="1"/>
  <c r="A920" i="11"/>
  <c r="E919" i="11" a="1"/>
  <c r="E919" i="11" s="1"/>
  <c r="D919" i="11" a="1"/>
  <c r="D919" i="11"/>
  <c r="A919" i="11"/>
  <c r="E918" i="11" a="1"/>
  <c r="E918" i="11" s="1"/>
  <c r="D918" i="11" a="1"/>
  <c r="D918" i="11"/>
  <c r="A918" i="11"/>
  <c r="E917" i="11" a="1"/>
  <c r="E917" i="11" s="1"/>
  <c r="D917" i="11" a="1"/>
  <c r="D917" i="11"/>
  <c r="A917" i="11"/>
  <c r="E916" i="11" a="1"/>
  <c r="E916" i="11" s="1"/>
  <c r="D916" i="11" a="1"/>
  <c r="D916" i="11"/>
  <c r="A916" i="11"/>
  <c r="E915" i="11" a="1"/>
  <c r="E915" i="11"/>
  <c r="D915" i="11" a="1"/>
  <c r="D915" i="11" s="1"/>
  <c r="A915" i="11"/>
  <c r="E914" i="11" a="1"/>
  <c r="E914" i="11" s="1"/>
  <c r="D914" i="11" a="1"/>
  <c r="D914" i="11" s="1"/>
  <c r="A914" i="11"/>
  <c r="E913" i="11" a="1"/>
  <c r="E913" i="11" s="1"/>
  <c r="D913" i="11" a="1"/>
  <c r="D913" i="11" s="1"/>
  <c r="A913" i="11"/>
  <c r="E912" i="11" a="1"/>
  <c r="E912" i="11" s="1"/>
  <c r="D912" i="11" a="1"/>
  <c r="D912" i="11" s="1"/>
  <c r="A912" i="11"/>
  <c r="E911" i="11" a="1"/>
  <c r="E911" i="11" s="1"/>
  <c r="D911" i="11" a="1"/>
  <c r="D911" i="11" s="1"/>
  <c r="A911" i="11"/>
  <c r="E910" i="11" a="1"/>
  <c r="E910" i="11" s="1"/>
  <c r="D910" i="11" a="1"/>
  <c r="D910" i="11" s="1"/>
  <c r="A910" i="11"/>
  <c r="E909" i="11" a="1"/>
  <c r="E909" i="11" s="1"/>
  <c r="D909" i="11" a="1"/>
  <c r="D909" i="11"/>
  <c r="A909" i="11"/>
  <c r="E908" i="11" a="1"/>
  <c r="E908" i="11"/>
  <c r="D908" i="11" a="1"/>
  <c r="D908" i="11" s="1"/>
  <c r="A908" i="11"/>
  <c r="E907" i="11" a="1"/>
  <c r="E907" i="11" s="1"/>
  <c r="D907" i="11" a="1"/>
  <c r="D907" i="11" s="1"/>
  <c r="A907" i="11"/>
  <c r="E906" i="11" a="1"/>
  <c r="E906" i="11" s="1"/>
  <c r="D906" i="11" a="1"/>
  <c r="D906" i="11" s="1"/>
  <c r="A906" i="11"/>
  <c r="E905" i="11" a="1"/>
  <c r="E905" i="11"/>
  <c r="D905" i="11" a="1"/>
  <c r="D905" i="11"/>
  <c r="A905" i="11"/>
  <c r="E904" i="11" a="1"/>
  <c r="E904" i="11" s="1"/>
  <c r="D904" i="11" a="1"/>
  <c r="D904" i="11" s="1"/>
  <c r="A904" i="11"/>
  <c r="E903" i="11" a="1"/>
  <c r="E903" i="11"/>
  <c r="D903" i="11" a="1"/>
  <c r="D903" i="11"/>
  <c r="A903" i="11"/>
  <c r="E902" i="11" a="1"/>
  <c r="E902" i="11"/>
  <c r="D902" i="11" a="1"/>
  <c r="D902" i="11" s="1"/>
  <c r="A902" i="11"/>
  <c r="E901" i="11" a="1"/>
  <c r="E901" i="11" s="1"/>
  <c r="D901" i="11" a="1"/>
  <c r="D901" i="11" s="1"/>
  <c r="A901" i="11"/>
  <c r="E900" i="11" a="1"/>
  <c r="E900" i="11" s="1"/>
  <c r="D900" i="11" a="1"/>
  <c r="D900" i="11"/>
  <c r="A900" i="11"/>
  <c r="E899" i="11" a="1"/>
  <c r="E899" i="11" s="1"/>
  <c r="D899" i="11" a="1"/>
  <c r="D899" i="11" s="1"/>
  <c r="A899" i="11"/>
  <c r="E898" i="11" a="1"/>
  <c r="E898" i="11" s="1"/>
  <c r="D898" i="11" a="1"/>
  <c r="D898" i="11" s="1"/>
  <c r="A898" i="11"/>
  <c r="E897" i="11" a="1"/>
  <c r="E897" i="11"/>
  <c r="D897" i="11" a="1"/>
  <c r="D897" i="11" s="1"/>
  <c r="A897" i="11"/>
  <c r="E896" i="11" a="1"/>
  <c r="E896" i="11" s="1"/>
  <c r="D896" i="11" a="1"/>
  <c r="D896" i="11" s="1"/>
  <c r="A896" i="11"/>
  <c r="E895" i="11" a="1"/>
  <c r="E895" i="11"/>
  <c r="D895" i="11" a="1"/>
  <c r="D895" i="11" s="1"/>
  <c r="A895" i="11"/>
  <c r="E894" i="11" a="1"/>
  <c r="E894" i="11" s="1"/>
  <c r="D894" i="11" a="1"/>
  <c r="D894" i="11" s="1"/>
  <c r="A894" i="11"/>
  <c r="E893" i="11" a="1"/>
  <c r="E893" i="11"/>
  <c r="D893" i="11" a="1"/>
  <c r="D893" i="11"/>
  <c r="A893" i="11"/>
  <c r="E892" i="11" a="1"/>
  <c r="E892" i="11" s="1"/>
  <c r="D892" i="11" a="1"/>
  <c r="D892" i="11" s="1"/>
  <c r="A892" i="11"/>
  <c r="E891" i="11" a="1"/>
  <c r="E891" i="11"/>
  <c r="D891" i="11" a="1"/>
  <c r="D891" i="11" s="1"/>
  <c r="A891" i="11"/>
  <c r="E890" i="11" a="1"/>
  <c r="E890" i="11" s="1"/>
  <c r="D890" i="11" a="1"/>
  <c r="D890" i="11" s="1"/>
  <c r="A890" i="11"/>
  <c r="E889" i="11" a="1"/>
  <c r="E889" i="11" s="1"/>
  <c r="D889" i="11" a="1"/>
  <c r="D889" i="11" s="1"/>
  <c r="A889" i="11"/>
  <c r="E888" i="11" a="1"/>
  <c r="E888" i="11" s="1"/>
  <c r="D888" i="11" a="1"/>
  <c r="D888" i="11" s="1"/>
  <c r="A888" i="11"/>
  <c r="E887" i="11" a="1"/>
  <c r="E887" i="11" s="1"/>
  <c r="D887" i="11" a="1"/>
  <c r="D887" i="11" s="1"/>
  <c r="A887" i="11"/>
  <c r="E886" i="11" a="1"/>
  <c r="E886" i="11"/>
  <c r="D886" i="11" a="1"/>
  <c r="D886" i="11" s="1"/>
  <c r="A886" i="11"/>
  <c r="E885" i="11" a="1"/>
  <c r="E885" i="11" s="1"/>
  <c r="D885" i="11" a="1"/>
  <c r="D885" i="11" s="1"/>
  <c r="A885" i="11"/>
  <c r="E884" i="11" a="1"/>
  <c r="E884" i="11" s="1"/>
  <c r="D884" i="11" a="1"/>
  <c r="D884" i="11" s="1"/>
  <c r="A884" i="11"/>
  <c r="E883" i="11" a="1"/>
  <c r="E883" i="11"/>
  <c r="D883" i="11" a="1"/>
  <c r="D883" i="11" s="1"/>
  <c r="A883" i="11"/>
  <c r="E882" i="11" a="1"/>
  <c r="E882" i="11" s="1"/>
  <c r="D882" i="11" a="1"/>
  <c r="D882" i="11" s="1"/>
  <c r="A882" i="11"/>
  <c r="E881" i="11" a="1"/>
  <c r="E881" i="11"/>
  <c r="D881" i="11" a="1"/>
  <c r="D881" i="11" s="1"/>
  <c r="A881" i="11"/>
  <c r="E880" i="11" a="1"/>
  <c r="E880" i="11" s="1"/>
  <c r="D880" i="11" a="1"/>
  <c r="D880" i="11"/>
  <c r="A880" i="11"/>
  <c r="E879" i="11" a="1"/>
  <c r="E879" i="11" s="1"/>
  <c r="D879" i="11" a="1"/>
  <c r="D879" i="11"/>
  <c r="A879" i="11"/>
  <c r="E878" i="11" a="1"/>
  <c r="E878" i="11" s="1"/>
  <c r="D878" i="11" a="1"/>
  <c r="D878" i="11" s="1"/>
  <c r="A878" i="11"/>
  <c r="E877" i="11" a="1"/>
  <c r="E877" i="11" s="1"/>
  <c r="D877" i="11" a="1"/>
  <c r="D877" i="11"/>
  <c r="A877" i="11"/>
  <c r="E876" i="11" a="1"/>
  <c r="E876" i="11" s="1"/>
  <c r="D876" i="11" a="1"/>
  <c r="D876" i="11"/>
  <c r="A876" i="11"/>
  <c r="E875" i="11" a="1"/>
  <c r="E875" i="11" s="1"/>
  <c r="D875" i="11" a="1"/>
  <c r="D875" i="11" s="1"/>
  <c r="A875" i="11"/>
  <c r="E874" i="11" a="1"/>
  <c r="E874" i="11"/>
  <c r="D874" i="11" a="1"/>
  <c r="D874" i="11" s="1"/>
  <c r="A874" i="11"/>
  <c r="E873" i="11" a="1"/>
  <c r="E873" i="11" s="1"/>
  <c r="D873" i="11" a="1"/>
  <c r="D873" i="11"/>
  <c r="A873" i="11"/>
  <c r="E872" i="11" a="1"/>
  <c r="E872" i="11" s="1"/>
  <c r="D872" i="11" a="1"/>
  <c r="D872" i="11" s="1"/>
  <c r="A872" i="11"/>
  <c r="E871" i="11" a="1"/>
  <c r="E871" i="11"/>
  <c r="D871" i="11" a="1"/>
  <c r="D871" i="11" s="1"/>
  <c r="A871" i="11"/>
  <c r="E870" i="11" a="1"/>
  <c r="E870" i="11"/>
  <c r="D870" i="11" a="1"/>
  <c r="D870" i="11" s="1"/>
  <c r="A870" i="11"/>
  <c r="E869" i="11" a="1"/>
  <c r="E869" i="11"/>
  <c r="D869" i="11" a="1"/>
  <c r="D869" i="11"/>
  <c r="A869" i="11"/>
  <c r="E868" i="11" a="1"/>
  <c r="E868" i="11" s="1"/>
  <c r="D868" i="11" a="1"/>
  <c r="D868" i="11" s="1"/>
  <c r="A868" i="11"/>
  <c r="E867" i="11" a="1"/>
  <c r="E867" i="11" s="1"/>
  <c r="D867" i="11" a="1"/>
  <c r="D867" i="11" s="1"/>
  <c r="A867" i="11"/>
  <c r="E866" i="11" a="1"/>
  <c r="E866" i="11"/>
  <c r="D866" i="11" a="1"/>
  <c r="D866" i="11"/>
  <c r="A866" i="11"/>
  <c r="E865" i="11" a="1"/>
  <c r="E865" i="11" s="1"/>
  <c r="D865" i="11" a="1"/>
  <c r="D865" i="11" s="1"/>
  <c r="A865" i="11"/>
  <c r="E864" i="11" a="1"/>
  <c r="E864" i="11" s="1"/>
  <c r="D864" i="11" a="1"/>
  <c r="D864" i="11"/>
  <c r="A864" i="11"/>
  <c r="E863" i="11" a="1"/>
  <c r="E863" i="11" s="1"/>
  <c r="D863" i="11" a="1"/>
  <c r="D863" i="11"/>
  <c r="A863" i="11"/>
  <c r="E862" i="11" a="1"/>
  <c r="E862" i="11" s="1"/>
  <c r="D862" i="11" a="1"/>
  <c r="D862" i="11" s="1"/>
  <c r="A862" i="11"/>
  <c r="E861" i="11" a="1"/>
  <c r="E861" i="11"/>
  <c r="D861" i="11" a="1"/>
  <c r="D861" i="11" s="1"/>
  <c r="A861" i="11"/>
  <c r="E860" i="11" a="1"/>
  <c r="E860" i="11"/>
  <c r="D860" i="11" a="1"/>
  <c r="D860" i="11"/>
  <c r="A860" i="11"/>
  <c r="E859" i="11" a="1"/>
  <c r="E859" i="11" s="1"/>
  <c r="D859" i="11" a="1"/>
  <c r="D859" i="11"/>
  <c r="A859" i="11"/>
  <c r="E858" i="11" a="1"/>
  <c r="E858" i="11"/>
  <c r="D858" i="11" a="1"/>
  <c r="D858" i="11"/>
  <c r="A858" i="11"/>
  <c r="E857" i="11" a="1"/>
  <c r="E857" i="11" s="1"/>
  <c r="D857" i="11" a="1"/>
  <c r="D857" i="11" s="1"/>
  <c r="A857" i="11"/>
  <c r="E856" i="11" a="1"/>
  <c r="E856" i="11" s="1"/>
  <c r="D856" i="11" a="1"/>
  <c r="D856" i="11" s="1"/>
  <c r="A856" i="11"/>
  <c r="E855" i="11" a="1"/>
  <c r="E855" i="11"/>
  <c r="D855" i="11" a="1"/>
  <c r="D855" i="11" s="1"/>
  <c r="A855" i="11"/>
  <c r="E854" i="11" a="1"/>
  <c r="E854" i="11" s="1"/>
  <c r="D854" i="11" a="1"/>
  <c r="D854" i="11" s="1"/>
  <c r="A854" i="11"/>
  <c r="E853" i="11" a="1"/>
  <c r="E853" i="11" s="1"/>
  <c r="D853" i="11" a="1"/>
  <c r="D853" i="11"/>
  <c r="A853" i="11"/>
  <c r="E852" i="11" a="1"/>
  <c r="E852" i="11" s="1"/>
  <c r="D852" i="11" a="1"/>
  <c r="D852" i="11" s="1"/>
  <c r="A852" i="11"/>
  <c r="E851" i="11" a="1"/>
  <c r="E851" i="11"/>
  <c r="D851" i="11" a="1"/>
  <c r="D851" i="11" s="1"/>
  <c r="A851" i="11"/>
  <c r="E850" i="11" a="1"/>
  <c r="E850" i="11"/>
  <c r="D850" i="11" a="1"/>
  <c r="D850" i="11" s="1"/>
  <c r="A850" i="11"/>
  <c r="E849" i="11" a="1"/>
  <c r="E849" i="11" s="1"/>
  <c r="D849" i="11" a="1"/>
  <c r="D849" i="11"/>
  <c r="A849" i="11"/>
  <c r="E848" i="11" a="1"/>
  <c r="E848" i="11" s="1"/>
  <c r="D848" i="11" a="1"/>
  <c r="D848" i="11" s="1"/>
  <c r="A848" i="11"/>
  <c r="E847" i="11" a="1"/>
  <c r="E847" i="11"/>
  <c r="D847" i="11" a="1"/>
  <c r="D847" i="11"/>
  <c r="A847" i="11"/>
  <c r="E846" i="11" a="1"/>
  <c r="E846" i="11"/>
  <c r="D846" i="11" a="1"/>
  <c r="D846" i="11" s="1"/>
  <c r="A846" i="11"/>
  <c r="E845" i="11" a="1"/>
  <c r="E845" i="11"/>
  <c r="D845" i="11" a="1"/>
  <c r="D845" i="11"/>
  <c r="A845" i="11"/>
  <c r="E844" i="11" a="1"/>
  <c r="E844" i="11" s="1"/>
  <c r="D844" i="11" a="1"/>
  <c r="D844" i="11" s="1"/>
  <c r="A844" i="11"/>
  <c r="E843" i="11" a="1"/>
  <c r="E843" i="11"/>
  <c r="D843" i="11" a="1"/>
  <c r="D843" i="11" s="1"/>
  <c r="A843" i="11"/>
  <c r="E842" i="11" a="1"/>
  <c r="E842" i="11" s="1"/>
  <c r="D842" i="11" a="1"/>
  <c r="D842" i="11" s="1"/>
  <c r="A842" i="11"/>
  <c r="E841" i="11" a="1"/>
  <c r="E841" i="11" s="1"/>
  <c r="D841" i="11" a="1"/>
  <c r="D841" i="11" s="1"/>
  <c r="A841" i="11"/>
  <c r="E840" i="11" a="1"/>
  <c r="E840" i="11" s="1"/>
  <c r="D840" i="11" a="1"/>
  <c r="D840" i="11" s="1"/>
  <c r="A840" i="11"/>
  <c r="E839" i="11" a="1"/>
  <c r="E839" i="11" s="1"/>
  <c r="D839" i="11" a="1"/>
  <c r="D839" i="11" s="1"/>
  <c r="A839" i="11"/>
  <c r="E838" i="11" a="1"/>
  <c r="E838" i="11" s="1"/>
  <c r="D838" i="11" a="1"/>
  <c r="D838" i="11" s="1"/>
  <c r="A838" i="11"/>
  <c r="E837" i="11" a="1"/>
  <c r="E837" i="11" s="1"/>
  <c r="D837" i="11" a="1"/>
  <c r="D837" i="11" s="1"/>
  <c r="A837" i="11"/>
  <c r="E836" i="11" a="1"/>
  <c r="E836" i="11" s="1"/>
  <c r="D836" i="11" a="1"/>
  <c r="D836" i="11" s="1"/>
  <c r="A836" i="11"/>
  <c r="E835" i="11" a="1"/>
  <c r="E835" i="11" s="1"/>
  <c r="D835" i="11" a="1"/>
  <c r="D835" i="11" s="1"/>
  <c r="A835" i="11"/>
  <c r="E834" i="11" a="1"/>
  <c r="E834" i="11" s="1"/>
  <c r="D834" i="11" a="1"/>
  <c r="D834" i="11" s="1"/>
  <c r="A834" i="11"/>
  <c r="E833" i="11" a="1"/>
  <c r="E833" i="11"/>
  <c r="D833" i="11" a="1"/>
  <c r="D833" i="11"/>
  <c r="A833" i="11"/>
  <c r="E832" i="11" a="1"/>
  <c r="E832" i="11" s="1"/>
  <c r="D832" i="11" a="1"/>
  <c r="D832" i="11" s="1"/>
  <c r="A832" i="11"/>
  <c r="E831" i="11" a="1"/>
  <c r="E831" i="11"/>
  <c r="D831" i="11" a="1"/>
  <c r="D831" i="11"/>
  <c r="A831" i="11"/>
  <c r="E830" i="11" a="1"/>
  <c r="E830" i="11"/>
  <c r="D830" i="11" a="1"/>
  <c r="D830" i="11" s="1"/>
  <c r="A830" i="11"/>
  <c r="E829" i="11" a="1"/>
  <c r="E829" i="11" s="1"/>
  <c r="D829" i="11" a="1"/>
  <c r="D829" i="11" s="1"/>
  <c r="A829" i="11"/>
  <c r="E828" i="11" a="1"/>
  <c r="E828" i="11" s="1"/>
  <c r="D828" i="11" a="1"/>
  <c r="D828" i="11" s="1"/>
  <c r="A828" i="11"/>
  <c r="E827" i="11" a="1"/>
  <c r="E827" i="11" s="1"/>
  <c r="D827" i="11" a="1"/>
  <c r="D827" i="11" s="1"/>
  <c r="A827" i="11"/>
  <c r="E826" i="11" a="1"/>
  <c r="E826" i="11" s="1"/>
  <c r="D826" i="11" a="1"/>
  <c r="D826" i="11" s="1"/>
  <c r="A826" i="11"/>
  <c r="E825" i="11" a="1"/>
  <c r="E825" i="11" s="1"/>
  <c r="D825" i="11" a="1"/>
  <c r="D825" i="11" s="1"/>
  <c r="A825" i="11"/>
  <c r="E824" i="11" a="1"/>
  <c r="E824" i="11" s="1"/>
  <c r="D824" i="11" a="1"/>
  <c r="D824" i="11" s="1"/>
  <c r="A824" i="11"/>
  <c r="E823" i="11" a="1"/>
  <c r="E823" i="11"/>
  <c r="D823" i="11" a="1"/>
  <c r="D823" i="11" s="1"/>
  <c r="A823" i="11"/>
  <c r="E822" i="11" a="1"/>
  <c r="E822" i="11" s="1"/>
  <c r="D822" i="11" a="1"/>
  <c r="D822" i="11" s="1"/>
  <c r="A822" i="11"/>
  <c r="E821" i="11" a="1"/>
  <c r="E821" i="11" s="1"/>
  <c r="D821" i="11" a="1"/>
  <c r="D821" i="11"/>
  <c r="A821" i="11"/>
  <c r="E820" i="11" a="1"/>
  <c r="E820" i="11" s="1"/>
  <c r="D820" i="11" a="1"/>
  <c r="D820" i="11" s="1"/>
  <c r="A820" i="11"/>
  <c r="E819" i="11" a="1"/>
  <c r="E819" i="11"/>
  <c r="D819" i="11" a="1"/>
  <c r="D819" i="11" s="1"/>
  <c r="A819" i="11"/>
  <c r="E818" i="11" a="1"/>
  <c r="E818" i="11" s="1"/>
  <c r="D818" i="11" a="1"/>
  <c r="D818" i="11"/>
  <c r="A818" i="11"/>
  <c r="E817" i="11" a="1"/>
  <c r="E817" i="11" s="1"/>
  <c r="D817" i="11" a="1"/>
  <c r="D817" i="11"/>
  <c r="A817" i="11"/>
  <c r="E816" i="11" a="1"/>
  <c r="E816" i="11" s="1"/>
  <c r="D816" i="11" a="1"/>
  <c r="D816" i="11" s="1"/>
  <c r="A816" i="11"/>
  <c r="E815" i="11" a="1"/>
  <c r="E815" i="11" s="1"/>
  <c r="D815" i="11" a="1"/>
  <c r="D815" i="11" s="1"/>
  <c r="A815" i="11"/>
  <c r="E814" i="11" a="1"/>
  <c r="E814" i="11" s="1"/>
  <c r="D814" i="11" a="1"/>
  <c r="D814" i="11" s="1"/>
  <c r="A814" i="11"/>
  <c r="E813" i="11" a="1"/>
  <c r="E813" i="11" s="1"/>
  <c r="D813" i="11" a="1"/>
  <c r="D813" i="11" s="1"/>
  <c r="A813" i="11"/>
  <c r="E812" i="11" a="1"/>
  <c r="E812" i="11" s="1"/>
  <c r="D812" i="11" a="1"/>
  <c r="D812" i="11" s="1"/>
  <c r="A812" i="11"/>
  <c r="E811" i="11" a="1"/>
  <c r="E811" i="11"/>
  <c r="D811" i="11" a="1"/>
  <c r="D811" i="11" s="1"/>
  <c r="A811" i="11"/>
  <c r="E810" i="11" a="1"/>
  <c r="E810" i="11"/>
  <c r="D810" i="11" a="1"/>
  <c r="D810" i="11" s="1"/>
  <c r="A810" i="11"/>
  <c r="E809" i="11" a="1"/>
  <c r="E809" i="11"/>
  <c r="D809" i="11" a="1"/>
  <c r="D809" i="11"/>
  <c r="A809" i="11"/>
  <c r="E808" i="11" a="1"/>
  <c r="E808" i="11" s="1"/>
  <c r="D808" i="11" a="1"/>
  <c r="D808" i="11"/>
  <c r="A808" i="11"/>
  <c r="E807" i="11" a="1"/>
  <c r="E807" i="11" s="1"/>
  <c r="D807" i="11" a="1"/>
  <c r="D807" i="11" s="1"/>
  <c r="A807" i="11"/>
  <c r="E806" i="11" a="1"/>
  <c r="E806" i="11" s="1"/>
  <c r="D806" i="11" a="1"/>
  <c r="D806" i="11" s="1"/>
  <c r="A806" i="11"/>
  <c r="E805" i="11" a="1"/>
  <c r="E805" i="11" s="1"/>
  <c r="D805" i="11" a="1"/>
  <c r="D805" i="11"/>
  <c r="A805" i="11"/>
  <c r="E804" i="11" a="1"/>
  <c r="E804" i="11" s="1"/>
  <c r="D804" i="11" a="1"/>
  <c r="D804" i="11" s="1"/>
  <c r="A804" i="11"/>
  <c r="E803" i="11" a="1"/>
  <c r="E803" i="11"/>
  <c r="D803" i="11" a="1"/>
  <c r="D803" i="11"/>
  <c r="A803" i="11"/>
  <c r="E802" i="11" a="1"/>
  <c r="E802" i="11" s="1"/>
  <c r="D802" i="11" a="1"/>
  <c r="D802" i="11" s="1"/>
  <c r="A802" i="11"/>
  <c r="E801" i="11" a="1"/>
  <c r="E801" i="11" s="1"/>
  <c r="D801" i="11" a="1"/>
  <c r="D801" i="11" s="1"/>
  <c r="A801" i="11"/>
  <c r="E800" i="11" a="1"/>
  <c r="E800" i="11"/>
  <c r="D800" i="11" a="1"/>
  <c r="D800" i="11" s="1"/>
  <c r="A800" i="11"/>
  <c r="E799" i="11" a="1"/>
  <c r="E799" i="11"/>
  <c r="D799" i="11" a="1"/>
  <c r="D799" i="11"/>
  <c r="A799" i="11"/>
  <c r="E798" i="11" a="1"/>
  <c r="E798" i="11" s="1"/>
  <c r="D798" i="11" a="1"/>
  <c r="D798" i="11" s="1"/>
  <c r="A798" i="11"/>
  <c r="E797" i="11" a="1"/>
  <c r="E797" i="11"/>
  <c r="D797" i="11" a="1"/>
  <c r="D797" i="11"/>
  <c r="A797" i="11"/>
  <c r="E796" i="11" a="1"/>
  <c r="E796" i="11" s="1"/>
  <c r="D796" i="11" a="1"/>
  <c r="D796" i="11" s="1"/>
  <c r="A796" i="11"/>
  <c r="E795" i="11" a="1"/>
  <c r="E795" i="11" s="1"/>
  <c r="D795" i="11" a="1"/>
  <c r="D795" i="11" s="1"/>
  <c r="A795" i="11"/>
  <c r="E794" i="11" a="1"/>
  <c r="E794" i="11" s="1"/>
  <c r="D794" i="11" a="1"/>
  <c r="D794" i="11" s="1"/>
  <c r="A794" i="11"/>
  <c r="E793" i="11" a="1"/>
  <c r="E793" i="11" s="1"/>
  <c r="D793" i="11" a="1"/>
  <c r="D793" i="11" s="1"/>
  <c r="A793" i="11"/>
  <c r="E792" i="11" a="1"/>
  <c r="E792" i="11" s="1"/>
  <c r="D792" i="11" a="1"/>
  <c r="D792" i="11" s="1"/>
  <c r="A792" i="11"/>
  <c r="E791" i="11" a="1"/>
  <c r="E791" i="11" s="1"/>
  <c r="D791" i="11" a="1"/>
  <c r="D791" i="11" s="1"/>
  <c r="A791" i="11"/>
  <c r="E790" i="11" a="1"/>
  <c r="E790" i="11" s="1"/>
  <c r="D790" i="11" a="1"/>
  <c r="D790" i="11" s="1"/>
  <c r="A790" i="11"/>
  <c r="E789" i="11" a="1"/>
  <c r="E789" i="11" s="1"/>
  <c r="D789" i="11" a="1"/>
  <c r="D789" i="11" s="1"/>
  <c r="A789" i="11"/>
  <c r="E788" i="11" a="1"/>
  <c r="E788" i="11" s="1"/>
  <c r="D788" i="11" a="1"/>
  <c r="D788" i="11"/>
  <c r="A788" i="11"/>
  <c r="E787" i="11" a="1"/>
  <c r="E787" i="11" s="1"/>
  <c r="D787" i="11" a="1"/>
  <c r="D787" i="11"/>
  <c r="A787" i="11"/>
  <c r="E786" i="11" a="1"/>
  <c r="E786" i="11" s="1"/>
  <c r="D786" i="11" a="1"/>
  <c r="D786" i="11" s="1"/>
  <c r="A786" i="11"/>
  <c r="E785" i="11" a="1"/>
  <c r="E785" i="11" s="1"/>
  <c r="D785" i="11" a="1"/>
  <c r="D785" i="11"/>
  <c r="A785" i="11"/>
  <c r="E784" i="11" a="1"/>
  <c r="E784" i="11" s="1"/>
  <c r="D784" i="11" a="1"/>
  <c r="D784" i="11" s="1"/>
  <c r="A784" i="11"/>
  <c r="E783" i="11" a="1"/>
  <c r="E783" i="11" s="1"/>
  <c r="D783" i="11" a="1"/>
  <c r="D783" i="11" s="1"/>
  <c r="A783" i="11"/>
  <c r="E782" i="11" a="1"/>
  <c r="E782" i="11" s="1"/>
  <c r="D782" i="11" a="1"/>
  <c r="D782" i="11" s="1"/>
  <c r="A782" i="11"/>
  <c r="E781" i="11" a="1"/>
  <c r="E781" i="11" s="1"/>
  <c r="D781" i="11" a="1"/>
  <c r="D781" i="11" s="1"/>
  <c r="A781" i="11"/>
  <c r="E780" i="11" a="1"/>
  <c r="E780" i="11" s="1"/>
  <c r="D780" i="11" a="1"/>
  <c r="D780" i="11"/>
  <c r="A780" i="11"/>
  <c r="E779" i="11" a="1"/>
  <c r="E779" i="11" s="1"/>
  <c r="D779" i="11" a="1"/>
  <c r="D779" i="11" s="1"/>
  <c r="A779" i="11"/>
  <c r="E778" i="11" a="1"/>
  <c r="E778" i="11" s="1"/>
  <c r="D778" i="11" a="1"/>
  <c r="D778" i="11" s="1"/>
  <c r="A778" i="11"/>
  <c r="E777" i="11" a="1"/>
  <c r="E777" i="11" s="1"/>
  <c r="D777" i="11" a="1"/>
  <c r="D777" i="11"/>
  <c r="A777" i="11"/>
  <c r="E776" i="11" a="1"/>
  <c r="E776" i="11" s="1"/>
  <c r="D776" i="11" a="1"/>
  <c r="D776" i="11" s="1"/>
  <c r="A776" i="11"/>
  <c r="E775" i="11" a="1"/>
  <c r="E775" i="11"/>
  <c r="D775" i="11" a="1"/>
  <c r="D775" i="11"/>
  <c r="A775" i="11"/>
  <c r="E774" i="11" a="1"/>
  <c r="E774" i="11" s="1"/>
  <c r="D774" i="11" a="1"/>
  <c r="D774" i="11" s="1"/>
  <c r="A774" i="11"/>
  <c r="E773" i="11" a="1"/>
  <c r="E773" i="11" s="1"/>
  <c r="D773" i="11" a="1"/>
  <c r="D773" i="11" s="1"/>
  <c r="A773" i="11"/>
  <c r="E772" i="11" a="1"/>
  <c r="E772" i="11" s="1"/>
  <c r="D772" i="11" a="1"/>
  <c r="D772" i="11" s="1"/>
  <c r="A772" i="11"/>
  <c r="E771" i="11" a="1"/>
  <c r="E771" i="11" s="1"/>
  <c r="D771" i="11" a="1"/>
  <c r="D771" i="11" s="1"/>
  <c r="A771" i="11"/>
  <c r="E770" i="11" a="1"/>
  <c r="E770" i="11" s="1"/>
  <c r="D770" i="11" a="1"/>
  <c r="D770" i="11" s="1"/>
  <c r="A770" i="11"/>
  <c r="E769" i="11" a="1"/>
  <c r="E769" i="11" s="1"/>
  <c r="D769" i="11" a="1"/>
  <c r="D769" i="11" s="1"/>
  <c r="A769" i="11"/>
  <c r="E768" i="11" a="1"/>
  <c r="E768" i="11" s="1"/>
  <c r="D768" i="11" a="1"/>
  <c r="D768" i="11" s="1"/>
  <c r="A768" i="11"/>
  <c r="E767" i="11" a="1"/>
  <c r="E767" i="11" s="1"/>
  <c r="D767" i="11" a="1"/>
  <c r="D767" i="11" s="1"/>
  <c r="A767" i="11"/>
  <c r="E766" i="11" a="1"/>
  <c r="E766" i="11" s="1"/>
  <c r="D766" i="11" a="1"/>
  <c r="D766" i="11" s="1"/>
  <c r="A766" i="11"/>
  <c r="E765" i="11" a="1"/>
  <c r="E765" i="11" s="1"/>
  <c r="D765" i="11" a="1"/>
  <c r="D765" i="11" s="1"/>
  <c r="A765" i="11"/>
  <c r="E764" i="11" a="1"/>
  <c r="E764" i="11" s="1"/>
  <c r="D764" i="11" a="1"/>
  <c r="D764" i="11" s="1"/>
  <c r="A764" i="11"/>
  <c r="E763" i="11" a="1"/>
  <c r="E763" i="11"/>
  <c r="D763" i="11" a="1"/>
  <c r="D763" i="11" s="1"/>
  <c r="A763" i="11"/>
  <c r="E762" i="11" a="1"/>
  <c r="E762" i="11" s="1"/>
  <c r="D762" i="11" a="1"/>
  <c r="D762" i="11"/>
  <c r="A762" i="11"/>
  <c r="E761" i="11" a="1"/>
  <c r="E761" i="11" s="1"/>
  <c r="D761" i="11" a="1"/>
  <c r="D761" i="11"/>
  <c r="A761" i="11"/>
  <c r="E760" i="11" a="1"/>
  <c r="E760" i="11" s="1"/>
  <c r="D760" i="11" a="1"/>
  <c r="D760" i="11" s="1"/>
  <c r="A760" i="11"/>
  <c r="E759" i="11" a="1"/>
  <c r="E759" i="11" s="1"/>
  <c r="D759" i="11" a="1"/>
  <c r="D759" i="11" s="1"/>
  <c r="A759" i="11"/>
  <c r="E758" i="11" a="1"/>
  <c r="E758" i="11" s="1"/>
  <c r="D758" i="11" a="1"/>
  <c r="D758" i="11" s="1"/>
  <c r="A758" i="11"/>
  <c r="E757" i="11" a="1"/>
  <c r="E757" i="11" s="1"/>
  <c r="D757" i="11" a="1"/>
  <c r="D757" i="11"/>
  <c r="A757" i="11"/>
  <c r="E756" i="11" a="1"/>
  <c r="E756" i="11" s="1"/>
  <c r="D756" i="11" a="1"/>
  <c r="D756" i="11" s="1"/>
  <c r="A756" i="11"/>
  <c r="E755" i="11" a="1"/>
  <c r="E755" i="11" s="1"/>
  <c r="D755" i="11" a="1"/>
  <c r="D755" i="11" s="1"/>
  <c r="A755" i="11"/>
  <c r="E754" i="11" a="1"/>
  <c r="E754" i="11" s="1"/>
  <c r="D754" i="11" a="1"/>
  <c r="D754" i="11" s="1"/>
  <c r="A754" i="11"/>
  <c r="E753" i="11" a="1"/>
  <c r="E753" i="11"/>
  <c r="D753" i="11" a="1"/>
  <c r="D753" i="11" s="1"/>
  <c r="A753" i="11"/>
  <c r="E752" i="11" a="1"/>
  <c r="E752" i="11" s="1"/>
  <c r="D752" i="11" a="1"/>
  <c r="D752" i="11" s="1"/>
  <c r="A752" i="11"/>
  <c r="E751" i="11" a="1"/>
  <c r="E751" i="11"/>
  <c r="D751" i="11" a="1"/>
  <c r="D751" i="11" s="1"/>
  <c r="A751" i="11"/>
  <c r="E750" i="11" a="1"/>
  <c r="E750" i="11" s="1"/>
  <c r="D750" i="11" a="1"/>
  <c r="D750" i="11" s="1"/>
  <c r="A750" i="11"/>
  <c r="E749" i="11" a="1"/>
  <c r="E749" i="11" s="1"/>
  <c r="D749" i="11" a="1"/>
  <c r="D749" i="11" s="1"/>
  <c r="A749" i="11"/>
  <c r="E748" i="11" a="1"/>
  <c r="E748" i="11"/>
  <c r="D748" i="11" a="1"/>
  <c r="D748" i="11" s="1"/>
  <c r="A748" i="11"/>
  <c r="E747" i="11" a="1"/>
  <c r="E747" i="11"/>
  <c r="D747" i="11" a="1"/>
  <c r="D747" i="11"/>
  <c r="A747" i="11"/>
  <c r="E746" i="11" a="1"/>
  <c r="E746" i="11" s="1"/>
  <c r="D746" i="11" a="1"/>
  <c r="D746" i="11" s="1"/>
  <c r="A746" i="11"/>
  <c r="E745" i="11" a="1"/>
  <c r="E745" i="11"/>
  <c r="D745" i="11" a="1"/>
  <c r="D745" i="11"/>
  <c r="A745" i="11"/>
  <c r="E744" i="11" a="1"/>
  <c r="E744" i="11" s="1"/>
  <c r="D744" i="11" a="1"/>
  <c r="D744" i="11"/>
  <c r="A744" i="11"/>
  <c r="E743" i="11" a="1"/>
  <c r="E743" i="11" s="1"/>
  <c r="D743" i="11" a="1"/>
  <c r="D743" i="11" s="1"/>
  <c r="A743" i="11"/>
  <c r="E742" i="11" a="1"/>
  <c r="E742" i="11"/>
  <c r="D742" i="11" a="1"/>
  <c r="D742" i="11" s="1"/>
  <c r="A742" i="11"/>
  <c r="E741" i="11" a="1"/>
  <c r="E741" i="11"/>
  <c r="D741" i="11" a="1"/>
  <c r="D741" i="11" s="1"/>
  <c r="A741" i="11"/>
  <c r="E740" i="11" a="1"/>
  <c r="E740" i="11" s="1"/>
  <c r="D740" i="11" a="1"/>
  <c r="D740" i="11" s="1"/>
  <c r="A740" i="11"/>
  <c r="E739" i="11" a="1"/>
  <c r="E739" i="11"/>
  <c r="D739" i="11" a="1"/>
  <c r="D739" i="11" s="1"/>
  <c r="A739" i="11"/>
  <c r="E738" i="11" a="1"/>
  <c r="E738" i="11" s="1"/>
  <c r="D738" i="11" a="1"/>
  <c r="D738" i="11" s="1"/>
  <c r="A738" i="11"/>
  <c r="E737" i="11" a="1"/>
  <c r="E737" i="11" s="1"/>
  <c r="D737" i="11" a="1"/>
  <c r="D737" i="11" s="1"/>
  <c r="A737" i="11"/>
  <c r="E736" i="11" a="1"/>
  <c r="E736" i="11" s="1"/>
  <c r="D736" i="11" a="1"/>
  <c r="D736" i="11" s="1"/>
  <c r="A736" i="11"/>
  <c r="E735" i="11" a="1"/>
  <c r="E735" i="11"/>
  <c r="D735" i="11" a="1"/>
  <c r="D735" i="11"/>
  <c r="A735" i="11"/>
  <c r="E734" i="11" a="1"/>
  <c r="E734" i="11" s="1"/>
  <c r="D734" i="11" a="1"/>
  <c r="D734" i="11" s="1"/>
  <c r="A734" i="11"/>
  <c r="E733" i="11" a="1"/>
  <c r="E733" i="11" s="1"/>
  <c r="D733" i="11" a="1"/>
  <c r="D733" i="11" s="1"/>
  <c r="A733" i="11"/>
  <c r="E732" i="11" a="1"/>
  <c r="E732" i="11" s="1"/>
  <c r="D732" i="11" a="1"/>
  <c r="D732" i="11"/>
  <c r="A732" i="11"/>
  <c r="E731" i="11" a="1"/>
  <c r="E731" i="11" s="1"/>
  <c r="D731" i="11" a="1"/>
  <c r="D731" i="11" s="1"/>
  <c r="A731" i="11"/>
  <c r="E730" i="11" a="1"/>
  <c r="E730" i="11" s="1"/>
  <c r="D730" i="11" a="1"/>
  <c r="D730" i="11" s="1"/>
  <c r="A730" i="11"/>
  <c r="E729" i="11" a="1"/>
  <c r="E729" i="11"/>
  <c r="D729" i="11" a="1"/>
  <c r="D729" i="11" s="1"/>
  <c r="A729" i="11"/>
  <c r="E728" i="11" a="1"/>
  <c r="E728" i="11" s="1"/>
  <c r="D728" i="11" a="1"/>
  <c r="D728" i="11" s="1"/>
  <c r="A728" i="11"/>
  <c r="E727" i="11" a="1"/>
  <c r="E727" i="11" s="1"/>
  <c r="D727" i="11" a="1"/>
  <c r="D727" i="11" s="1"/>
  <c r="A727" i="11"/>
  <c r="E726" i="11" a="1"/>
  <c r="E726" i="11" s="1"/>
  <c r="D726" i="11" a="1"/>
  <c r="D726" i="11" s="1"/>
  <c r="A726" i="11"/>
  <c r="E725" i="11" a="1"/>
  <c r="E725" i="11" s="1"/>
  <c r="D725" i="11" a="1"/>
  <c r="D725" i="11"/>
  <c r="A725" i="11"/>
  <c r="E724" i="11" a="1"/>
  <c r="E724" i="11"/>
  <c r="D724" i="11" a="1"/>
  <c r="D724" i="11" s="1"/>
  <c r="A724" i="11"/>
  <c r="E723" i="11" a="1"/>
  <c r="E723" i="11" s="1"/>
  <c r="D723" i="11" a="1"/>
  <c r="D723" i="11" s="1"/>
  <c r="A723" i="11"/>
  <c r="E722" i="11" a="1"/>
  <c r="E722" i="11" s="1"/>
  <c r="D722" i="11" a="1"/>
  <c r="D722" i="11"/>
  <c r="A722" i="11"/>
  <c r="E721" i="11" a="1"/>
  <c r="E721" i="11" s="1"/>
  <c r="D721" i="11" a="1"/>
  <c r="D721" i="11" s="1"/>
  <c r="A721" i="11"/>
  <c r="E720" i="11" a="1"/>
  <c r="E720" i="11" s="1"/>
  <c r="D720" i="11" a="1"/>
  <c r="D720" i="11" s="1"/>
  <c r="A720" i="11"/>
  <c r="E719" i="11" a="1"/>
  <c r="E719" i="11" s="1"/>
  <c r="D719" i="11" a="1"/>
  <c r="D719" i="11" s="1"/>
  <c r="A719" i="11"/>
  <c r="E718" i="11" a="1"/>
  <c r="E718" i="11" s="1"/>
  <c r="D718" i="11" a="1"/>
  <c r="D718" i="11" s="1"/>
  <c r="A718" i="11"/>
  <c r="E717" i="11" a="1"/>
  <c r="E717" i="11"/>
  <c r="D717" i="11" a="1"/>
  <c r="D717" i="11" s="1"/>
  <c r="A717" i="11"/>
  <c r="E716" i="11" a="1"/>
  <c r="E716" i="11" s="1"/>
  <c r="D716" i="11" a="1"/>
  <c r="D716" i="11" s="1"/>
  <c r="A716" i="11"/>
  <c r="E715" i="11" a="1"/>
  <c r="E715" i="11"/>
  <c r="D715" i="11" a="1"/>
  <c r="D715" i="11"/>
  <c r="A715" i="11"/>
  <c r="E714" i="11" a="1"/>
  <c r="E714" i="11"/>
  <c r="D714" i="11" a="1"/>
  <c r="D714" i="11" s="1"/>
  <c r="A714" i="11"/>
  <c r="E713" i="11" a="1"/>
  <c r="E713" i="11" s="1"/>
  <c r="D713" i="11" a="1"/>
  <c r="D713" i="11"/>
  <c r="A713" i="11"/>
  <c r="E712" i="11" a="1"/>
  <c r="E712" i="11" s="1"/>
  <c r="D712" i="11" a="1"/>
  <c r="D712" i="11" s="1"/>
  <c r="A712" i="11"/>
  <c r="E711" i="11" a="1"/>
  <c r="E711" i="11"/>
  <c r="D711" i="11" a="1"/>
  <c r="D711" i="11" s="1"/>
  <c r="A711" i="11"/>
  <c r="E710" i="11" a="1"/>
  <c r="E710" i="11" s="1"/>
  <c r="D710" i="11" a="1"/>
  <c r="D710" i="11" s="1"/>
  <c r="A710" i="11"/>
  <c r="E709" i="11" a="1"/>
  <c r="E709" i="11" s="1"/>
  <c r="D709" i="11" a="1"/>
  <c r="D709" i="11" s="1"/>
  <c r="A709" i="11"/>
  <c r="E708" i="11" a="1"/>
  <c r="E708" i="11" s="1"/>
  <c r="D708" i="11" a="1"/>
  <c r="D708" i="11"/>
  <c r="A708" i="11"/>
  <c r="E707" i="11" a="1"/>
  <c r="E707" i="11" s="1"/>
  <c r="D707" i="11" a="1"/>
  <c r="D707" i="11" s="1"/>
  <c r="A707" i="11"/>
  <c r="E706" i="11" a="1"/>
  <c r="E706" i="11"/>
  <c r="D706" i="11" a="1"/>
  <c r="D706" i="11" s="1"/>
  <c r="A706" i="11"/>
  <c r="E705" i="11" a="1"/>
  <c r="E705" i="11"/>
  <c r="D705" i="11" a="1"/>
  <c r="D705" i="11"/>
  <c r="A705" i="11"/>
  <c r="E704" i="11" a="1"/>
  <c r="E704" i="11" s="1"/>
  <c r="D704" i="11" a="1"/>
  <c r="D704" i="11" s="1"/>
  <c r="A704" i="11"/>
  <c r="E703" i="11" a="1"/>
  <c r="E703" i="11" s="1"/>
  <c r="D703" i="11" a="1"/>
  <c r="D703" i="11" s="1"/>
  <c r="A703" i="11"/>
  <c r="E702" i="11" a="1"/>
  <c r="E702" i="11"/>
  <c r="D702" i="11" a="1"/>
  <c r="D702" i="11" s="1"/>
  <c r="A702" i="11"/>
  <c r="E701" i="11" a="1"/>
  <c r="E701" i="11" s="1"/>
  <c r="D701" i="11" a="1"/>
  <c r="D701" i="11"/>
  <c r="A701" i="11"/>
  <c r="E700" i="11" a="1"/>
  <c r="E700" i="11" s="1"/>
  <c r="D700" i="11" a="1"/>
  <c r="D700" i="11" s="1"/>
  <c r="A700" i="11"/>
  <c r="E699" i="11" a="1"/>
  <c r="E699" i="11" s="1"/>
  <c r="D699" i="11" a="1"/>
  <c r="D699" i="11" s="1"/>
  <c r="A699" i="11"/>
  <c r="E698" i="11" a="1"/>
  <c r="E698" i="11" s="1"/>
  <c r="D698" i="11" a="1"/>
  <c r="D698" i="11" s="1"/>
  <c r="A698" i="11"/>
  <c r="E697" i="11" a="1"/>
  <c r="E697" i="11" s="1"/>
  <c r="D697" i="11" a="1"/>
  <c r="D697" i="11" s="1"/>
  <c r="A697" i="11"/>
  <c r="E696" i="11" a="1"/>
  <c r="E696" i="11" s="1"/>
  <c r="D696" i="11" a="1"/>
  <c r="D696" i="11" s="1"/>
  <c r="A696" i="11"/>
  <c r="E695" i="11" a="1"/>
  <c r="E695" i="11" s="1"/>
  <c r="D695" i="11" a="1"/>
  <c r="D695" i="11" s="1"/>
  <c r="A695" i="11"/>
  <c r="E694" i="11" a="1"/>
  <c r="E694" i="11" s="1"/>
  <c r="D694" i="11" a="1"/>
  <c r="D694" i="11" s="1"/>
  <c r="A694" i="11"/>
  <c r="E693" i="11" a="1"/>
  <c r="E693" i="11" s="1"/>
  <c r="D693" i="11" a="1"/>
  <c r="D693" i="11"/>
  <c r="A693" i="11"/>
  <c r="E692" i="11" a="1"/>
  <c r="E692" i="11" s="1"/>
  <c r="D692" i="11" a="1"/>
  <c r="D692" i="11"/>
  <c r="A692" i="11"/>
  <c r="E691" i="11" a="1"/>
  <c r="E691" i="11" s="1"/>
  <c r="D691" i="11" a="1"/>
  <c r="D691" i="11" s="1"/>
  <c r="A691" i="11"/>
  <c r="E690" i="11" a="1"/>
  <c r="E690" i="11" s="1"/>
  <c r="D690" i="11" a="1"/>
  <c r="D690" i="11" s="1"/>
  <c r="A690" i="11"/>
  <c r="E689" i="11" a="1"/>
  <c r="E689" i="11"/>
  <c r="D689" i="11" a="1"/>
  <c r="D689" i="11"/>
  <c r="A689" i="11"/>
  <c r="E688" i="11" a="1"/>
  <c r="E688" i="11" s="1"/>
  <c r="D688" i="11" a="1"/>
  <c r="D688" i="11" s="1"/>
  <c r="A688" i="11"/>
  <c r="E687" i="11" a="1"/>
  <c r="E687" i="11"/>
  <c r="D687" i="11" a="1"/>
  <c r="D687" i="11"/>
  <c r="A687" i="11"/>
  <c r="E686" i="11" a="1"/>
  <c r="E686" i="11"/>
  <c r="D686" i="11" a="1"/>
  <c r="D686" i="11" s="1"/>
  <c r="A686" i="11"/>
  <c r="E685" i="11" a="1"/>
  <c r="E685" i="11" s="1"/>
  <c r="D685" i="11" a="1"/>
  <c r="D685" i="11" s="1"/>
  <c r="A685" i="11"/>
  <c r="E684" i="11" a="1"/>
  <c r="E684" i="11" s="1"/>
  <c r="D684" i="11" a="1"/>
  <c r="D684" i="11" s="1"/>
  <c r="A684" i="11"/>
  <c r="E683" i="11" a="1"/>
  <c r="E683" i="11" s="1"/>
  <c r="D683" i="11" a="1"/>
  <c r="D683" i="11" s="1"/>
  <c r="A683" i="11"/>
  <c r="E682" i="11" a="1"/>
  <c r="E682" i="11" s="1"/>
  <c r="D682" i="11" a="1"/>
  <c r="D682" i="11" s="1"/>
  <c r="A682" i="11"/>
  <c r="E681" i="11" a="1"/>
  <c r="E681" i="11" s="1"/>
  <c r="D681" i="11" a="1"/>
  <c r="D681" i="11" s="1"/>
  <c r="A681" i="11"/>
  <c r="E680" i="11" a="1"/>
  <c r="E680" i="11" s="1"/>
  <c r="D680" i="11" a="1"/>
  <c r="D680" i="11" s="1"/>
  <c r="A680" i="11"/>
  <c r="E679" i="11" a="1"/>
  <c r="E679" i="11"/>
  <c r="D679" i="11" a="1"/>
  <c r="D679" i="11" s="1"/>
  <c r="A679" i="11"/>
  <c r="E678" i="11" a="1"/>
  <c r="E678" i="11" s="1"/>
  <c r="D678" i="11" a="1"/>
  <c r="D678" i="11" s="1"/>
  <c r="A678" i="11"/>
  <c r="E677" i="11" a="1"/>
  <c r="E677" i="11" s="1"/>
  <c r="D677" i="11" a="1"/>
  <c r="D677" i="11" s="1"/>
  <c r="A677" i="11"/>
  <c r="E676" i="11" a="1"/>
  <c r="E676" i="11" s="1"/>
  <c r="D676" i="11" a="1"/>
  <c r="D676" i="11" s="1"/>
  <c r="A676" i="11"/>
  <c r="E675" i="11" a="1"/>
  <c r="E675" i="11" s="1"/>
  <c r="D675" i="11" a="1"/>
  <c r="D675" i="11"/>
  <c r="A675" i="11"/>
  <c r="E674" i="11" a="1"/>
  <c r="E674" i="11"/>
  <c r="D674" i="11" a="1"/>
  <c r="D674" i="11"/>
  <c r="A674" i="11"/>
  <c r="E673" i="11" a="1"/>
  <c r="E673" i="11" s="1"/>
  <c r="D673" i="11" a="1"/>
  <c r="D673" i="11" s="1"/>
  <c r="A673" i="11"/>
  <c r="E672" i="11" a="1"/>
  <c r="E672" i="11" s="1"/>
  <c r="D672" i="11" a="1"/>
  <c r="D672" i="11" s="1"/>
  <c r="A672" i="11"/>
  <c r="E671" i="11" a="1"/>
  <c r="E671" i="11" s="1"/>
  <c r="D671" i="11" a="1"/>
  <c r="D671" i="11" s="1"/>
  <c r="A671" i="11"/>
  <c r="E670" i="11" a="1"/>
  <c r="E670" i="11" s="1"/>
  <c r="D670" i="11" a="1"/>
  <c r="D670" i="11" s="1"/>
  <c r="A670" i="11"/>
  <c r="E669" i="11" a="1"/>
  <c r="E669" i="11"/>
  <c r="D669" i="11" a="1"/>
  <c r="D669" i="11" s="1"/>
  <c r="A669" i="11"/>
  <c r="E668" i="11" a="1"/>
  <c r="E668" i="11" s="1"/>
  <c r="D668" i="11" a="1"/>
  <c r="D668" i="11" s="1"/>
  <c r="A668" i="11"/>
  <c r="E667" i="11" a="1"/>
  <c r="E667" i="11" s="1"/>
  <c r="D667" i="11" a="1"/>
  <c r="D667" i="11" s="1"/>
  <c r="A667" i="11"/>
  <c r="E666" i="11" a="1"/>
  <c r="E666" i="11" s="1"/>
  <c r="D666" i="11" a="1"/>
  <c r="D666" i="11" s="1"/>
  <c r="A666" i="11"/>
  <c r="E665" i="11" a="1"/>
  <c r="E665" i="11" s="1"/>
  <c r="D665" i="11" a="1"/>
  <c r="D665" i="11"/>
  <c r="A665" i="11"/>
  <c r="E664" i="11" a="1"/>
  <c r="E664" i="11" s="1"/>
  <c r="D664" i="11" a="1"/>
  <c r="D664" i="11" s="1"/>
  <c r="A664" i="11"/>
  <c r="E663" i="11" a="1"/>
  <c r="E663" i="11" s="1"/>
  <c r="D663" i="11" a="1"/>
  <c r="D663" i="11" s="1"/>
  <c r="A663" i="11"/>
  <c r="E662" i="11" a="1"/>
  <c r="E662" i="11" s="1"/>
  <c r="D662" i="11" a="1"/>
  <c r="D662" i="11" s="1"/>
  <c r="A662" i="11"/>
  <c r="E661" i="11" a="1"/>
  <c r="E661" i="11" s="1"/>
  <c r="D661" i="11" a="1"/>
  <c r="D661" i="11"/>
  <c r="A661" i="11"/>
  <c r="E660" i="11" a="1"/>
  <c r="E660" i="11" s="1"/>
  <c r="D660" i="11" a="1"/>
  <c r="D660" i="11"/>
  <c r="A660" i="11"/>
  <c r="E659" i="11" a="1"/>
  <c r="E659" i="11" s="1"/>
  <c r="D659" i="11" a="1"/>
  <c r="D659" i="11"/>
  <c r="A659" i="11"/>
  <c r="E658" i="11" a="1"/>
  <c r="E658" i="11"/>
  <c r="D658" i="11" a="1"/>
  <c r="D658" i="11" s="1"/>
  <c r="A658" i="11"/>
  <c r="E657" i="11" a="1"/>
  <c r="E657" i="11"/>
  <c r="D657" i="11" a="1"/>
  <c r="D657" i="11" s="1"/>
  <c r="A657" i="11"/>
  <c r="E656" i="11" a="1"/>
  <c r="E656" i="11"/>
  <c r="D656" i="11" a="1"/>
  <c r="D656" i="11" s="1"/>
  <c r="A656" i="11"/>
  <c r="E655" i="11" a="1"/>
  <c r="E655" i="11" s="1"/>
  <c r="D655" i="11" a="1"/>
  <c r="D655" i="11" s="1"/>
  <c r="A655" i="11"/>
  <c r="E654" i="11" a="1"/>
  <c r="E654" i="11" s="1"/>
  <c r="D654" i="11" a="1"/>
  <c r="D654" i="11" s="1"/>
  <c r="A654" i="11"/>
  <c r="E653" i="11" a="1"/>
  <c r="E653" i="11"/>
  <c r="D653" i="11" a="1"/>
  <c r="D653" i="11"/>
  <c r="A653" i="11"/>
  <c r="E652" i="11" a="1"/>
  <c r="E652" i="11" s="1"/>
  <c r="D652" i="11" a="1"/>
  <c r="D652" i="11" s="1"/>
  <c r="A652" i="11"/>
  <c r="E651" i="11" a="1"/>
  <c r="E651" i="11" s="1"/>
  <c r="D651" i="11" a="1"/>
  <c r="D651" i="11" s="1"/>
  <c r="A651" i="11"/>
  <c r="E650" i="11" a="1"/>
  <c r="E650" i="11" s="1"/>
  <c r="D650" i="11" a="1"/>
  <c r="D650" i="11"/>
  <c r="A650" i="11"/>
  <c r="E649" i="11" a="1"/>
  <c r="E649" i="11" s="1"/>
  <c r="D649" i="11" a="1"/>
  <c r="D649" i="11" s="1"/>
  <c r="A649" i="11"/>
  <c r="E648" i="11" a="1"/>
  <c r="E648" i="11" s="1"/>
  <c r="D648" i="11" a="1"/>
  <c r="D648" i="11"/>
  <c r="A648" i="11"/>
  <c r="E647" i="11" a="1"/>
  <c r="E647" i="11" s="1"/>
  <c r="D647" i="11" a="1"/>
  <c r="D647" i="11"/>
  <c r="A647" i="11"/>
  <c r="E646" i="11" a="1"/>
  <c r="E646" i="11" s="1"/>
  <c r="D646" i="11" a="1"/>
  <c r="D646" i="11" s="1"/>
  <c r="A646" i="11"/>
  <c r="E645" i="11" a="1"/>
  <c r="E645" i="11" s="1"/>
  <c r="D645" i="11" a="1"/>
  <c r="D645" i="11" s="1"/>
  <c r="A645" i="11"/>
  <c r="E644" i="11" a="1"/>
  <c r="E644" i="11" s="1"/>
  <c r="D644" i="11" a="1"/>
  <c r="D644" i="11" s="1"/>
  <c r="A644" i="11"/>
  <c r="E643" i="11" a="1"/>
  <c r="E643" i="11"/>
  <c r="D643" i="11" a="1"/>
  <c r="D643" i="11" s="1"/>
  <c r="A643" i="11"/>
  <c r="E642" i="11" a="1"/>
  <c r="E642" i="11" s="1"/>
  <c r="D642" i="11" a="1"/>
  <c r="D642" i="11" s="1"/>
  <c r="A642" i="11"/>
  <c r="E641" i="11" a="1"/>
  <c r="E641" i="11" s="1"/>
  <c r="D641" i="11" a="1"/>
  <c r="D641" i="11" s="1"/>
  <c r="A641" i="11"/>
  <c r="E640" i="11" a="1"/>
  <c r="E640" i="11"/>
  <c r="D640" i="11" a="1"/>
  <c r="D640" i="11" s="1"/>
  <c r="A640" i="11"/>
  <c r="E639" i="11" a="1"/>
  <c r="E639" i="11" s="1"/>
  <c r="D639" i="11" a="1"/>
  <c r="D639" i="11" s="1"/>
  <c r="A639" i="11"/>
  <c r="E638" i="11" a="1"/>
  <c r="E638" i="11" s="1"/>
  <c r="D638" i="11" a="1"/>
  <c r="D638" i="11" s="1"/>
  <c r="A638" i="11"/>
  <c r="E637" i="11" a="1"/>
  <c r="E637" i="11"/>
  <c r="D637" i="11" a="1"/>
  <c r="D637" i="11"/>
  <c r="A637" i="11"/>
  <c r="E636" i="11" a="1"/>
  <c r="E636" i="11" s="1"/>
  <c r="D636" i="11" a="1"/>
  <c r="D636" i="11" s="1"/>
  <c r="A636" i="11"/>
  <c r="E635" i="11" a="1"/>
  <c r="E635" i="11" s="1"/>
  <c r="D635" i="11" a="1"/>
  <c r="D635" i="11" s="1"/>
  <c r="A635" i="11"/>
  <c r="E634" i="11" a="1"/>
  <c r="E634" i="11"/>
  <c r="D634" i="11" a="1"/>
  <c r="D634" i="11" s="1"/>
  <c r="A634" i="11"/>
  <c r="E633" i="11" a="1"/>
  <c r="E633" i="11" s="1"/>
  <c r="D633" i="11" a="1"/>
  <c r="D633" i="11" s="1"/>
  <c r="A633" i="11"/>
  <c r="E632" i="11" a="1"/>
  <c r="E632" i="11" s="1"/>
  <c r="D632" i="11" a="1"/>
  <c r="D632" i="11"/>
  <c r="A632" i="11"/>
  <c r="E631" i="11" a="1"/>
  <c r="E631" i="11"/>
  <c r="D631" i="11" a="1"/>
  <c r="D631" i="11" s="1"/>
  <c r="A631" i="11"/>
  <c r="E630" i="11" a="1"/>
  <c r="E630" i="11" s="1"/>
  <c r="D630" i="11" a="1"/>
  <c r="D630" i="11"/>
  <c r="A630" i="11"/>
  <c r="E629" i="11" a="1"/>
  <c r="E629" i="11"/>
  <c r="D629" i="11" a="1"/>
  <c r="D629" i="11"/>
  <c r="A629" i="11"/>
  <c r="E628" i="11" a="1"/>
  <c r="E628" i="11" s="1"/>
  <c r="D628" i="11" a="1"/>
  <c r="D628" i="11" s="1"/>
  <c r="A628" i="11"/>
  <c r="E627" i="11" a="1"/>
  <c r="E627" i="11"/>
  <c r="D627" i="11" a="1"/>
  <c r="D627" i="11" s="1"/>
  <c r="A627" i="11"/>
  <c r="E626" i="11" a="1"/>
  <c r="E626" i="11" s="1"/>
  <c r="D626" i="11" a="1"/>
  <c r="D626" i="11" s="1"/>
  <c r="A626" i="11"/>
  <c r="E625" i="11" a="1"/>
  <c r="E625" i="11" s="1"/>
  <c r="D625" i="11" a="1"/>
  <c r="D625" i="11" s="1"/>
  <c r="A625" i="11"/>
  <c r="E624" i="11" a="1"/>
  <c r="E624" i="11" s="1"/>
  <c r="D624" i="11" a="1"/>
  <c r="D624" i="11" s="1"/>
  <c r="A624" i="11"/>
  <c r="E623" i="11" a="1"/>
  <c r="E623" i="11" s="1"/>
  <c r="D623" i="11" a="1"/>
  <c r="D623" i="11"/>
  <c r="A623" i="11"/>
  <c r="E622" i="11" a="1"/>
  <c r="E622" i="11" s="1"/>
  <c r="D622" i="11" a="1"/>
  <c r="D622" i="11" s="1"/>
  <c r="A622" i="11"/>
  <c r="E621" i="11" a="1"/>
  <c r="E621" i="11" s="1"/>
  <c r="D621" i="11" a="1"/>
  <c r="D621" i="11" s="1"/>
  <c r="A621" i="11"/>
  <c r="E620" i="11" a="1"/>
  <c r="E620" i="11" s="1"/>
  <c r="D620" i="11" a="1"/>
  <c r="D620" i="11" s="1"/>
  <c r="A620" i="11"/>
  <c r="E619" i="11" a="1"/>
  <c r="E619" i="11"/>
  <c r="D619" i="11" a="1"/>
  <c r="D619" i="11" s="1"/>
  <c r="A619" i="11"/>
  <c r="E618" i="11" a="1"/>
  <c r="E618" i="11" s="1"/>
  <c r="D618" i="11" a="1"/>
  <c r="D618" i="11" s="1"/>
  <c r="A618" i="11"/>
  <c r="E617" i="11" a="1"/>
  <c r="E617" i="11" s="1"/>
  <c r="D617" i="11" a="1"/>
  <c r="D617" i="11" s="1"/>
  <c r="A617" i="11"/>
  <c r="E616" i="11" a="1"/>
  <c r="E616" i="11" s="1"/>
  <c r="D616" i="11" a="1"/>
  <c r="D616" i="11" s="1"/>
  <c r="A616" i="11"/>
  <c r="E615" i="11" a="1"/>
  <c r="E615" i="11" s="1"/>
  <c r="D615" i="11" a="1"/>
  <c r="D615" i="11" s="1"/>
  <c r="A615" i="11"/>
  <c r="E614" i="11" a="1"/>
  <c r="E614" i="11" s="1"/>
  <c r="D614" i="11" a="1"/>
  <c r="D614" i="11" s="1"/>
  <c r="A614" i="11"/>
  <c r="E613" i="11" a="1"/>
  <c r="E613" i="11" s="1"/>
  <c r="D613" i="11" a="1"/>
  <c r="D613" i="11"/>
  <c r="A613" i="11"/>
  <c r="E612" i="11" a="1"/>
  <c r="E612" i="11" s="1"/>
  <c r="D612" i="11" a="1"/>
  <c r="D612" i="11" s="1"/>
  <c r="A612" i="11"/>
  <c r="E611" i="11" a="1"/>
  <c r="E611" i="11" s="1"/>
  <c r="D611" i="11" a="1"/>
  <c r="D611" i="11" s="1"/>
  <c r="A611" i="11"/>
  <c r="E610" i="11" a="1"/>
  <c r="E610" i="11" s="1"/>
  <c r="D610" i="11" a="1"/>
  <c r="D610" i="11" s="1"/>
  <c r="A610" i="11"/>
  <c r="E609" i="11" a="1"/>
  <c r="E609" i="11" s="1"/>
  <c r="D609" i="11" a="1"/>
  <c r="D609" i="11" s="1"/>
  <c r="A609" i="11"/>
  <c r="E608" i="11" a="1"/>
  <c r="E608" i="11" s="1"/>
  <c r="D608" i="11" a="1"/>
  <c r="D608" i="11" s="1"/>
  <c r="A608" i="11"/>
  <c r="E607" i="11" a="1"/>
  <c r="E607" i="11"/>
  <c r="D607" i="11" a="1"/>
  <c r="D607" i="11" s="1"/>
  <c r="A607" i="11"/>
  <c r="E606" i="11" a="1"/>
  <c r="E606" i="11" s="1"/>
  <c r="D606" i="11" a="1"/>
  <c r="D606" i="11" s="1"/>
  <c r="A606" i="11"/>
  <c r="E605" i="11" a="1"/>
  <c r="E605" i="11" s="1"/>
  <c r="D605" i="11" a="1"/>
  <c r="D605" i="11" s="1"/>
  <c r="A605" i="11"/>
  <c r="E604" i="11" a="1"/>
  <c r="E604" i="11"/>
  <c r="D604" i="11" a="1"/>
  <c r="D604" i="11" s="1"/>
  <c r="A604" i="11"/>
  <c r="E603" i="11" a="1"/>
  <c r="E603" i="11"/>
  <c r="D603" i="11" a="1"/>
  <c r="D603" i="11" s="1"/>
  <c r="A603" i="11"/>
  <c r="E602" i="11" a="1"/>
  <c r="E602" i="11" s="1"/>
  <c r="D602" i="11" a="1"/>
  <c r="D602" i="11" s="1"/>
  <c r="A602" i="11"/>
  <c r="E601" i="11" a="1"/>
  <c r="E601" i="11" s="1"/>
  <c r="D601" i="11" a="1"/>
  <c r="D601" i="11" s="1"/>
  <c r="A601" i="11"/>
  <c r="E600" i="11" a="1"/>
  <c r="E600" i="11" s="1"/>
  <c r="D600" i="11" a="1"/>
  <c r="D600" i="11" s="1"/>
  <c r="E599" i="11" a="1"/>
  <c r="E599" i="11" s="1"/>
  <c r="D599" i="11" a="1"/>
  <c r="D599" i="11" s="1"/>
  <c r="E598" i="11" a="1"/>
  <c r="E598" i="11" s="1"/>
  <c r="D598" i="11" a="1"/>
  <c r="D598" i="11" s="1"/>
  <c r="E597" i="11" a="1"/>
  <c r="E597" i="11" s="1"/>
  <c r="D597" i="11" a="1"/>
  <c r="D597" i="11" s="1"/>
  <c r="E596" i="11" a="1"/>
  <c r="E596" i="11" s="1"/>
  <c r="D596" i="11" a="1"/>
  <c r="D596" i="11" s="1"/>
  <c r="E595" i="11" a="1"/>
  <c r="E595" i="11" s="1"/>
  <c r="D595" i="11" a="1"/>
  <c r="D595" i="11"/>
  <c r="E594" i="11" a="1"/>
  <c r="E594" i="11" s="1"/>
  <c r="D594" i="11" a="1"/>
  <c r="D594" i="11" s="1"/>
  <c r="E593" i="11" a="1"/>
  <c r="E593" i="11" s="1"/>
  <c r="D593" i="11" a="1"/>
  <c r="D593" i="11" s="1"/>
  <c r="E592" i="11" a="1"/>
  <c r="E592" i="11" s="1"/>
  <c r="D592" i="11" a="1"/>
  <c r="D592" i="11"/>
  <c r="E591" i="11" a="1"/>
  <c r="E591" i="11"/>
  <c r="D591" i="11" a="1"/>
  <c r="D591" i="11"/>
  <c r="E590" i="11" a="1"/>
  <c r="E590" i="11" s="1"/>
  <c r="D590" i="11" a="1"/>
  <c r="D590" i="11" s="1"/>
  <c r="E589" i="11" a="1"/>
  <c r="E589" i="11" s="1"/>
  <c r="D589" i="11" a="1"/>
  <c r="D589" i="11" s="1"/>
  <c r="E588" i="11" a="1"/>
  <c r="E588" i="11" s="1"/>
  <c r="D588" i="11" a="1"/>
  <c r="D588" i="11"/>
  <c r="E587" i="11" a="1"/>
  <c r="E587" i="11" s="1"/>
  <c r="D587" i="11" a="1"/>
  <c r="D587" i="11" s="1"/>
  <c r="E586" i="11" a="1"/>
  <c r="E586" i="11" s="1"/>
  <c r="D586" i="11" a="1"/>
  <c r="D586" i="11"/>
  <c r="E585" i="11" a="1"/>
  <c r="E585" i="11"/>
  <c r="D585" i="11" a="1"/>
  <c r="D585" i="11"/>
  <c r="E584" i="11" a="1"/>
  <c r="E584" i="11" s="1"/>
  <c r="D584" i="11" a="1"/>
  <c r="D584" i="11" s="1"/>
  <c r="E583" i="11" a="1"/>
  <c r="E583" i="11" s="1"/>
  <c r="D583" i="11" a="1"/>
  <c r="D583" i="11" s="1"/>
  <c r="E582" i="11" a="1"/>
  <c r="E582" i="11" s="1"/>
  <c r="D582" i="11" a="1"/>
  <c r="D582" i="11" s="1"/>
  <c r="E581" i="11" a="1"/>
  <c r="E581" i="11"/>
  <c r="D581" i="11" a="1"/>
  <c r="D581" i="11" s="1"/>
  <c r="E580" i="11" a="1"/>
  <c r="E580" i="11" s="1"/>
  <c r="D580" i="11" a="1"/>
  <c r="D580" i="11" s="1"/>
  <c r="E579" i="11" a="1"/>
  <c r="E579" i="11"/>
  <c r="D579" i="11" a="1"/>
  <c r="D579" i="11" s="1"/>
  <c r="E578" i="11" a="1"/>
  <c r="E578" i="11" s="1"/>
  <c r="D578" i="11" a="1"/>
  <c r="D578" i="11" s="1"/>
  <c r="E577" i="11" a="1"/>
  <c r="E577" i="11" s="1"/>
  <c r="D577" i="11" a="1"/>
  <c r="D577" i="11" s="1"/>
  <c r="E576" i="11" a="1"/>
  <c r="E576" i="11" s="1"/>
  <c r="D576" i="11" a="1"/>
  <c r="D576" i="11"/>
  <c r="E575" i="11" a="1"/>
  <c r="E575" i="11" s="1"/>
  <c r="D575" i="11" a="1"/>
  <c r="D575" i="11" s="1"/>
  <c r="E574" i="11" a="1"/>
  <c r="E574" i="11" s="1"/>
  <c r="D574" i="11" a="1"/>
  <c r="D574" i="11" s="1"/>
  <c r="E573" i="11" a="1"/>
  <c r="E573" i="11" s="1"/>
  <c r="D573" i="11" a="1"/>
  <c r="D573" i="11" s="1"/>
  <c r="E572" i="11" a="1"/>
  <c r="E572" i="11" s="1"/>
  <c r="D572" i="11" a="1"/>
  <c r="D572" i="11" s="1"/>
  <c r="E571" i="11" a="1"/>
  <c r="E571" i="11" s="1"/>
  <c r="D571" i="11" a="1"/>
  <c r="D571" i="11"/>
  <c r="E570" i="11" a="1"/>
  <c r="E570" i="11" s="1"/>
  <c r="D570" i="11" a="1"/>
  <c r="D570" i="11" s="1"/>
  <c r="E569" i="11" a="1"/>
  <c r="E569" i="11" s="1"/>
  <c r="D569" i="11" a="1"/>
  <c r="D569" i="11"/>
  <c r="E568" i="11" a="1"/>
  <c r="E568" i="11"/>
  <c r="D568" i="11" a="1"/>
  <c r="D568" i="11" s="1"/>
  <c r="E567" i="11" a="1"/>
  <c r="E567" i="11"/>
  <c r="D567" i="11" a="1"/>
  <c r="D567" i="11" s="1"/>
  <c r="E566" i="11" a="1"/>
  <c r="E566" i="11" s="1"/>
  <c r="D566" i="11" a="1"/>
  <c r="D566" i="11" s="1"/>
  <c r="E565" i="11" a="1"/>
  <c r="E565" i="11"/>
  <c r="D565" i="11" a="1"/>
  <c r="D565" i="11"/>
  <c r="E564" i="11" a="1"/>
  <c r="E564" i="11"/>
  <c r="D564" i="11" a="1"/>
  <c r="D564" i="11"/>
  <c r="E563" i="11" a="1"/>
  <c r="E563" i="11" s="1"/>
  <c r="D563" i="11" a="1"/>
  <c r="D563" i="11" s="1"/>
  <c r="E562" i="11" a="1"/>
  <c r="E562" i="11" s="1"/>
  <c r="D562" i="11" a="1"/>
  <c r="D562" i="11"/>
  <c r="E561" i="11" a="1"/>
  <c r="E561" i="11"/>
  <c r="D561" i="11" a="1"/>
  <c r="D561" i="11" s="1"/>
  <c r="E560" i="11" a="1"/>
  <c r="E560" i="11" s="1"/>
  <c r="D560" i="11" a="1"/>
  <c r="D560" i="11" s="1"/>
  <c r="E559" i="11" a="1"/>
  <c r="E559" i="11" s="1"/>
  <c r="D559" i="11" a="1"/>
  <c r="D559" i="11" s="1"/>
  <c r="E558" i="11" a="1"/>
  <c r="E558" i="11" s="1"/>
  <c r="D558" i="11" a="1"/>
  <c r="D558" i="11" s="1"/>
  <c r="E557" i="11" a="1"/>
  <c r="E557" i="11"/>
  <c r="D557" i="11" a="1"/>
  <c r="D557" i="11"/>
  <c r="E556" i="11" a="1"/>
  <c r="E556" i="11" s="1"/>
  <c r="D556" i="11" a="1"/>
  <c r="D556" i="11"/>
  <c r="E555" i="11" a="1"/>
  <c r="E555" i="11" s="1"/>
  <c r="D555" i="11" a="1"/>
  <c r="D555" i="11" s="1"/>
  <c r="E554" i="11" a="1"/>
  <c r="E554" i="11" s="1"/>
  <c r="D554" i="11" a="1"/>
  <c r="D554" i="11" s="1"/>
  <c r="E553" i="11" a="1"/>
  <c r="E553" i="11" s="1"/>
  <c r="D553" i="11" a="1"/>
  <c r="D553" i="11"/>
  <c r="E552" i="11" a="1"/>
  <c r="E552" i="11"/>
  <c r="D552" i="11" a="1"/>
  <c r="D552" i="11" s="1"/>
  <c r="E551" i="11" a="1"/>
  <c r="E551" i="11" s="1"/>
  <c r="D551" i="11" a="1"/>
  <c r="D551" i="11" s="1"/>
  <c r="E550" i="11" a="1"/>
  <c r="E550" i="11" s="1"/>
  <c r="D550" i="11" a="1"/>
  <c r="D550" i="11" s="1"/>
  <c r="E549" i="11" a="1"/>
  <c r="E549" i="11" s="1"/>
  <c r="D549" i="11" a="1"/>
  <c r="D549" i="11" s="1"/>
  <c r="E548" i="11" a="1"/>
  <c r="E548" i="11" s="1"/>
  <c r="D548" i="11" a="1"/>
  <c r="D548" i="11" s="1"/>
  <c r="E547" i="11" a="1"/>
  <c r="E547" i="11"/>
  <c r="D547" i="11" a="1"/>
  <c r="D547" i="11" s="1"/>
  <c r="E546" i="11" a="1"/>
  <c r="E546" i="11" s="1"/>
  <c r="D546" i="11" a="1"/>
  <c r="D546" i="11" s="1"/>
  <c r="E545" i="11" a="1"/>
  <c r="E545" i="11" s="1"/>
  <c r="D545" i="11" a="1"/>
  <c r="D545" i="11" s="1"/>
  <c r="E544" i="11" a="1"/>
  <c r="E544" i="11" s="1"/>
  <c r="D544" i="11" a="1"/>
  <c r="D544" i="11" s="1"/>
  <c r="E543" i="11" a="1"/>
  <c r="E543" i="11" s="1"/>
  <c r="D543" i="11" a="1"/>
  <c r="D543" i="11"/>
  <c r="E542" i="11" a="1"/>
  <c r="E542" i="11" s="1"/>
  <c r="D542" i="11" a="1"/>
  <c r="D542" i="11" s="1"/>
  <c r="E541" i="11" a="1"/>
  <c r="E541" i="11" s="1"/>
  <c r="D541" i="11" a="1"/>
  <c r="D541" i="11"/>
  <c r="E540" i="11" a="1"/>
  <c r="E540" i="11" s="1"/>
  <c r="D540" i="11" a="1"/>
  <c r="D540" i="11" s="1"/>
  <c r="E539" i="11" a="1"/>
  <c r="E539" i="11" s="1"/>
  <c r="D539" i="11" a="1"/>
  <c r="D539" i="11" s="1"/>
  <c r="E538" i="11" a="1"/>
  <c r="E538" i="11" s="1"/>
  <c r="D538" i="11" a="1"/>
  <c r="D538" i="11" s="1"/>
  <c r="E537" i="11" a="1"/>
  <c r="E537" i="11" s="1"/>
  <c r="D537" i="11" a="1"/>
  <c r="D537" i="11" s="1"/>
  <c r="E536" i="11" a="1"/>
  <c r="E536" i="11" s="1"/>
  <c r="D536" i="11" a="1"/>
  <c r="D536" i="11" s="1"/>
  <c r="E535" i="11" a="1"/>
  <c r="E535" i="11" s="1"/>
  <c r="D535" i="11" a="1"/>
  <c r="D535" i="11" s="1"/>
  <c r="E534" i="11" a="1"/>
  <c r="E534" i="11"/>
  <c r="D534" i="11" a="1"/>
  <c r="D534" i="11" s="1"/>
  <c r="E533" i="11" a="1"/>
  <c r="E533" i="11" s="1"/>
  <c r="D533" i="11" a="1"/>
  <c r="D533" i="11" s="1"/>
  <c r="E532" i="11" a="1"/>
  <c r="E532" i="11" s="1"/>
  <c r="D532" i="11" a="1"/>
  <c r="D532" i="11"/>
  <c r="E531" i="11" a="1"/>
  <c r="E531" i="11"/>
  <c r="D531" i="11" a="1"/>
  <c r="D531" i="11" s="1"/>
  <c r="E530" i="11" a="1"/>
  <c r="E530" i="11" s="1"/>
  <c r="D530" i="11" a="1"/>
  <c r="D530" i="11" s="1"/>
  <c r="E529" i="11" a="1"/>
  <c r="E529" i="11" s="1"/>
  <c r="D529" i="11" a="1"/>
  <c r="D529" i="11" s="1"/>
  <c r="E528" i="11" a="1"/>
  <c r="E528" i="11" s="1"/>
  <c r="D528" i="11" a="1"/>
  <c r="D528" i="11" s="1"/>
  <c r="E527" i="11" a="1"/>
  <c r="E527" i="11" s="1"/>
  <c r="D527" i="11" a="1"/>
  <c r="D527" i="11" s="1"/>
  <c r="E526" i="11" a="1"/>
  <c r="E526" i="11" s="1"/>
  <c r="D526" i="11" a="1"/>
  <c r="D526" i="11" s="1"/>
  <c r="E525" i="11" a="1"/>
  <c r="E525" i="11"/>
  <c r="D525" i="11" a="1"/>
  <c r="D525" i="11" s="1"/>
  <c r="E524" i="11" a="1"/>
  <c r="E524" i="11" s="1"/>
  <c r="D524" i="11" a="1"/>
  <c r="D524" i="11" s="1"/>
  <c r="E523" i="11" a="1"/>
  <c r="E523" i="11" s="1"/>
  <c r="D523" i="11" a="1"/>
  <c r="D523" i="11" s="1"/>
  <c r="E522" i="11" a="1"/>
  <c r="E522" i="11"/>
  <c r="D522" i="11" a="1"/>
  <c r="D522" i="11" s="1"/>
  <c r="E521" i="11" a="1"/>
  <c r="E521" i="11" s="1"/>
  <c r="D521" i="11" a="1"/>
  <c r="D521" i="11" s="1"/>
  <c r="E520" i="11" a="1"/>
  <c r="E520" i="11" s="1"/>
  <c r="D520" i="11" a="1"/>
  <c r="D520" i="11" s="1"/>
  <c r="E519" i="11" a="1"/>
  <c r="E519" i="11" s="1"/>
  <c r="D519" i="11" a="1"/>
  <c r="D519" i="11" s="1"/>
  <c r="E518" i="11" a="1"/>
  <c r="E518" i="11" s="1"/>
  <c r="D518" i="11" a="1"/>
  <c r="D518" i="11" s="1"/>
  <c r="E517" i="11" a="1"/>
  <c r="E517" i="11" s="1"/>
  <c r="D517" i="11" a="1"/>
  <c r="D517" i="11"/>
  <c r="E516" i="11" a="1"/>
  <c r="E516" i="11" s="1"/>
  <c r="D516" i="11" a="1"/>
  <c r="D516" i="11" s="1"/>
  <c r="E515" i="11" a="1"/>
  <c r="E515" i="11" s="1"/>
  <c r="D515" i="11" a="1"/>
  <c r="D515" i="11" s="1"/>
  <c r="E514" i="11" a="1"/>
  <c r="E514" i="11" s="1"/>
  <c r="D514" i="11" a="1"/>
  <c r="D514" i="11" s="1"/>
  <c r="E513" i="11" a="1"/>
  <c r="E513" i="11" s="1"/>
  <c r="D513" i="11" a="1"/>
  <c r="D513" i="11" s="1"/>
  <c r="E512" i="11" a="1"/>
  <c r="E512" i="11" s="1"/>
  <c r="D512" i="11" a="1"/>
  <c r="D512" i="11" s="1"/>
  <c r="E511" i="11" a="1"/>
  <c r="E511" i="11" s="1"/>
  <c r="D511" i="11" a="1"/>
  <c r="D511" i="11" s="1"/>
  <c r="E510" i="11" a="1"/>
  <c r="E510" i="11" s="1"/>
  <c r="D510" i="11" a="1"/>
  <c r="D510" i="11" s="1"/>
  <c r="E509" i="11" a="1"/>
  <c r="E509" i="11"/>
  <c r="D509" i="11" a="1"/>
  <c r="D509" i="11" s="1"/>
  <c r="E508" i="11" a="1"/>
  <c r="E508" i="11" s="1"/>
  <c r="D508" i="11" a="1"/>
  <c r="D508" i="11"/>
  <c r="E507" i="11" a="1"/>
  <c r="E507" i="11" s="1"/>
  <c r="D507" i="11" a="1"/>
  <c r="D507" i="11" s="1"/>
  <c r="E506" i="11" a="1"/>
  <c r="E506" i="11" s="1"/>
  <c r="D506" i="11" a="1"/>
  <c r="D506" i="11" s="1"/>
  <c r="E505" i="11" a="1"/>
  <c r="E505" i="11"/>
  <c r="D505" i="11" a="1"/>
  <c r="D505" i="11" s="1"/>
  <c r="E504" i="11" a="1"/>
  <c r="E504" i="11"/>
  <c r="D504" i="11" a="1"/>
  <c r="D504" i="11" s="1"/>
  <c r="E503" i="11" a="1"/>
  <c r="E503" i="11" s="1"/>
  <c r="D503" i="11" a="1"/>
  <c r="D503" i="11" s="1"/>
  <c r="E502" i="11" a="1"/>
  <c r="E502" i="11" s="1"/>
  <c r="D502" i="11" a="1"/>
  <c r="D502" i="11"/>
  <c r="E501" i="11" a="1"/>
  <c r="E501" i="11" s="1"/>
  <c r="D501" i="11" a="1"/>
  <c r="D501" i="11" s="1"/>
  <c r="E500" i="11" a="1"/>
  <c r="E500" i="11" s="1"/>
  <c r="D500" i="11" a="1"/>
  <c r="D500" i="11" s="1"/>
  <c r="E499" i="11" a="1"/>
  <c r="E499" i="11" s="1"/>
  <c r="D499" i="11" a="1"/>
  <c r="D499" i="11" s="1"/>
  <c r="E498" i="11" a="1"/>
  <c r="E498" i="11" s="1"/>
  <c r="D498" i="11" a="1"/>
  <c r="D498" i="11" s="1"/>
  <c r="E497" i="11" a="1"/>
  <c r="E497" i="11"/>
  <c r="D497" i="11" a="1"/>
  <c r="D497" i="11" s="1"/>
  <c r="E496" i="11" a="1"/>
  <c r="E496" i="11"/>
  <c r="D496" i="11" a="1"/>
  <c r="D496" i="11"/>
  <c r="E495" i="11" a="1"/>
  <c r="E495" i="11" s="1"/>
  <c r="D495" i="11" a="1"/>
  <c r="D495" i="11" s="1"/>
  <c r="E494" i="11" a="1"/>
  <c r="E494" i="11" s="1"/>
  <c r="D494" i="11" a="1"/>
  <c r="D494" i="11"/>
  <c r="E493" i="11" a="1"/>
  <c r="E493" i="11" s="1"/>
  <c r="D493" i="11" a="1"/>
  <c r="D493" i="11"/>
  <c r="E492" i="11" a="1"/>
  <c r="E492" i="11" s="1"/>
  <c r="D492" i="11" a="1"/>
  <c r="D492" i="11" s="1"/>
  <c r="E491" i="11" a="1"/>
  <c r="E491" i="11" s="1"/>
  <c r="D491" i="11" a="1"/>
  <c r="D491" i="11"/>
  <c r="E490" i="11" a="1"/>
  <c r="E490" i="11" s="1"/>
  <c r="D490" i="11" a="1"/>
  <c r="D490" i="11" s="1"/>
  <c r="E489" i="11" a="1"/>
  <c r="E489" i="11" s="1"/>
  <c r="D489" i="11" a="1"/>
  <c r="D489" i="11" s="1"/>
  <c r="E488" i="11" a="1"/>
  <c r="E488" i="11" s="1"/>
  <c r="D488" i="11" a="1"/>
  <c r="D488" i="11" s="1"/>
  <c r="E487" i="11" a="1"/>
  <c r="E487" i="11" s="1"/>
  <c r="D487" i="11" a="1"/>
  <c r="D487" i="11" s="1"/>
  <c r="E486" i="11" a="1"/>
  <c r="E486" i="11"/>
  <c r="D486" i="11" a="1"/>
  <c r="D486" i="11" s="1"/>
  <c r="E485" i="11" a="1"/>
  <c r="E485" i="11" s="1"/>
  <c r="D485" i="11" a="1"/>
  <c r="D485" i="11" s="1"/>
  <c r="E484" i="11" a="1"/>
  <c r="E484" i="11"/>
  <c r="D484" i="11" a="1"/>
  <c r="D484" i="11" s="1"/>
  <c r="E483" i="11" a="1"/>
  <c r="E483" i="11" s="1"/>
  <c r="D483" i="11" a="1"/>
  <c r="D483" i="11" s="1"/>
  <c r="E482" i="11" a="1"/>
  <c r="E482" i="11"/>
  <c r="D482" i="11" a="1"/>
  <c r="D482" i="11" s="1"/>
  <c r="E481" i="11" a="1"/>
  <c r="E481" i="11"/>
  <c r="D481" i="11" a="1"/>
  <c r="D481" i="11"/>
  <c r="E480" i="11" a="1"/>
  <c r="E480" i="11" s="1"/>
  <c r="D480" i="11" a="1"/>
  <c r="D480" i="11" s="1"/>
  <c r="E479" i="11" a="1"/>
  <c r="E479" i="11"/>
  <c r="D479" i="11" a="1"/>
  <c r="D479" i="11" s="1"/>
  <c r="E478" i="11" a="1"/>
  <c r="E478" i="11" s="1"/>
  <c r="D478" i="11" a="1"/>
  <c r="D478" i="11"/>
  <c r="E477" i="11" a="1"/>
  <c r="E477" i="11"/>
  <c r="D477" i="11" a="1"/>
  <c r="D477" i="11" s="1"/>
  <c r="E476" i="11" a="1"/>
  <c r="E476" i="11" s="1"/>
  <c r="D476" i="11" a="1"/>
  <c r="D476" i="11" s="1"/>
  <c r="E475" i="11" a="1"/>
  <c r="E475" i="11" s="1"/>
  <c r="D475" i="11" a="1"/>
  <c r="D475" i="11"/>
  <c r="E474" i="11" a="1"/>
  <c r="E474" i="11" s="1"/>
  <c r="D474" i="11" a="1"/>
  <c r="D474" i="11" s="1"/>
  <c r="E473" i="11" a="1"/>
  <c r="E473" i="11"/>
  <c r="D473" i="11" a="1"/>
  <c r="D473" i="11" s="1"/>
  <c r="E472" i="11" a="1"/>
  <c r="E472" i="11" s="1"/>
  <c r="D472" i="11" a="1"/>
  <c r="D472" i="11" s="1"/>
  <c r="E471" i="11" a="1"/>
  <c r="E471" i="11"/>
  <c r="D471" i="11" a="1"/>
  <c r="D471" i="11"/>
  <c r="E470" i="11" a="1"/>
  <c r="E470" i="11" s="1"/>
  <c r="D470" i="11" a="1"/>
  <c r="D470" i="11" s="1"/>
  <c r="E469" i="11" a="1"/>
  <c r="E469" i="11" s="1"/>
  <c r="D469" i="11" a="1"/>
  <c r="D469" i="11"/>
  <c r="E468" i="11" a="1"/>
  <c r="E468" i="11" s="1"/>
  <c r="D468" i="11" a="1"/>
  <c r="D468" i="11" s="1"/>
  <c r="E467" i="11" a="1"/>
  <c r="E467" i="11" s="1"/>
  <c r="D467" i="11" a="1"/>
  <c r="D467" i="11"/>
  <c r="E466" i="11" a="1"/>
  <c r="E466" i="11" s="1"/>
  <c r="D466" i="11" a="1"/>
  <c r="D466" i="11" s="1"/>
  <c r="E465" i="11" a="1"/>
  <c r="E465" i="11" s="1"/>
  <c r="D465" i="11" a="1"/>
  <c r="D465" i="11" s="1"/>
  <c r="E464" i="11" a="1"/>
  <c r="E464" i="11" s="1"/>
  <c r="D464" i="11" a="1"/>
  <c r="D464" i="11" s="1"/>
  <c r="E463" i="11" a="1"/>
  <c r="E463" i="11" s="1"/>
  <c r="D463" i="11" a="1"/>
  <c r="D463" i="11" s="1"/>
  <c r="E462" i="11" a="1"/>
  <c r="E462" i="11"/>
  <c r="D462" i="11" a="1"/>
  <c r="D462" i="11" s="1"/>
  <c r="E461" i="11" a="1"/>
  <c r="E461" i="11" s="1"/>
  <c r="D461" i="11" a="1"/>
  <c r="D461" i="11" s="1"/>
  <c r="E460" i="11" a="1"/>
  <c r="E460" i="11"/>
  <c r="D460" i="11" a="1"/>
  <c r="D460" i="11" s="1"/>
  <c r="E459" i="11" a="1"/>
  <c r="E459" i="11" s="1"/>
  <c r="D459" i="11" a="1"/>
  <c r="D459" i="11" s="1"/>
  <c r="E458" i="11" a="1"/>
  <c r="E458" i="11" s="1"/>
  <c r="D458" i="11" a="1"/>
  <c r="D458" i="11"/>
  <c r="E457" i="11" a="1"/>
  <c r="E457" i="11" s="1"/>
  <c r="D457" i="11" a="1"/>
  <c r="D457" i="11"/>
  <c r="E456" i="11" a="1"/>
  <c r="E456" i="11" s="1"/>
  <c r="D456" i="11" a="1"/>
  <c r="D456" i="11" s="1"/>
  <c r="E455" i="11" a="1"/>
  <c r="E455" i="11"/>
  <c r="D455" i="11" a="1"/>
  <c r="D455" i="11" s="1"/>
  <c r="E454" i="11" a="1"/>
  <c r="E454" i="11" s="1"/>
  <c r="D454" i="11" a="1"/>
  <c r="D454" i="11" s="1"/>
  <c r="E453" i="11" a="1"/>
  <c r="E453" i="11" s="1"/>
  <c r="D453" i="11" a="1"/>
  <c r="D453" i="11"/>
  <c r="E452" i="11" a="1"/>
  <c r="E452" i="11" s="1"/>
  <c r="D452" i="11" a="1"/>
  <c r="D452" i="11" s="1"/>
  <c r="E451" i="11" a="1"/>
  <c r="E451" i="11" s="1"/>
  <c r="D451" i="11" a="1"/>
  <c r="D451" i="11" s="1"/>
  <c r="E450" i="11" a="1"/>
  <c r="E450" i="11" s="1"/>
  <c r="D450" i="11" a="1"/>
  <c r="D450" i="11" s="1"/>
  <c r="E449" i="11" a="1"/>
  <c r="E449" i="11" s="1"/>
  <c r="D449" i="11" a="1"/>
  <c r="D449" i="11"/>
  <c r="E448" i="11" a="1"/>
  <c r="E448" i="11" s="1"/>
  <c r="D448" i="11" a="1"/>
  <c r="D448" i="11" s="1"/>
  <c r="E447" i="11" a="1"/>
  <c r="E447" i="11" s="1"/>
  <c r="D447" i="11" a="1"/>
  <c r="D447" i="11" s="1"/>
  <c r="E446" i="11" a="1"/>
  <c r="E446" i="11" s="1"/>
  <c r="D446" i="11" a="1"/>
  <c r="D446" i="11" s="1"/>
  <c r="E445" i="11" a="1"/>
  <c r="E445" i="11" s="1"/>
  <c r="D445" i="11" a="1"/>
  <c r="D445" i="11" s="1"/>
  <c r="E444" i="11" a="1"/>
  <c r="E444" i="11" s="1"/>
  <c r="D444" i="11" a="1"/>
  <c r="D444" i="11"/>
  <c r="E443" i="11" a="1"/>
  <c r="E443" i="11" s="1"/>
  <c r="D443" i="11" a="1"/>
  <c r="D443" i="11" s="1"/>
  <c r="E442" i="11" a="1"/>
  <c r="E442" i="11" s="1"/>
  <c r="D442" i="11" a="1"/>
  <c r="D442" i="11" s="1"/>
  <c r="E441" i="11" a="1"/>
  <c r="E441" i="11" s="1"/>
  <c r="D441" i="11" a="1"/>
  <c r="D441" i="11" s="1"/>
  <c r="E440" i="11" a="1"/>
  <c r="E440" i="11" s="1"/>
  <c r="D440" i="11" a="1"/>
  <c r="D440" i="11" s="1"/>
  <c r="E439" i="11" a="1"/>
  <c r="E439" i="11" s="1"/>
  <c r="D439" i="11" a="1"/>
  <c r="D439" i="11"/>
  <c r="E438" i="11" a="1"/>
  <c r="E438" i="11" s="1"/>
  <c r="D438" i="11" a="1"/>
  <c r="D438" i="11" s="1"/>
  <c r="E437" i="11" a="1"/>
  <c r="E437" i="11"/>
  <c r="D437" i="11" a="1"/>
  <c r="D437" i="11"/>
  <c r="E436" i="11" a="1"/>
  <c r="E436" i="11" s="1"/>
  <c r="D436" i="11" a="1"/>
  <c r="D436" i="11" s="1"/>
  <c r="E435" i="11" a="1"/>
  <c r="E435" i="11"/>
  <c r="D435" i="11" a="1"/>
  <c r="D435" i="11" s="1"/>
  <c r="E434" i="11" a="1"/>
  <c r="E434" i="11" s="1"/>
  <c r="D434" i="11" a="1"/>
  <c r="D434" i="11"/>
  <c r="E433" i="11" a="1"/>
  <c r="E433" i="11"/>
  <c r="D433" i="11" a="1"/>
  <c r="D433" i="11" s="1"/>
  <c r="E432" i="11" a="1"/>
  <c r="E432" i="11"/>
  <c r="D432" i="11" a="1"/>
  <c r="D432" i="11" s="1"/>
  <c r="E431" i="11" a="1"/>
  <c r="E431" i="11" s="1"/>
  <c r="D431" i="11" a="1"/>
  <c r="D431" i="11" s="1"/>
  <c r="E430" i="11" a="1"/>
  <c r="E430" i="11" s="1"/>
  <c r="D430" i="11" a="1"/>
  <c r="D430" i="11"/>
  <c r="E429" i="11" a="1"/>
  <c r="E429" i="11" s="1"/>
  <c r="D429" i="11" a="1"/>
  <c r="D429" i="11" s="1"/>
  <c r="E428" i="11" a="1"/>
  <c r="E428" i="11" s="1"/>
  <c r="D428" i="11" a="1"/>
  <c r="D428" i="11" s="1"/>
  <c r="E427" i="11" a="1"/>
  <c r="E427" i="11" s="1"/>
  <c r="D427" i="11" a="1"/>
  <c r="D427" i="11" s="1"/>
  <c r="E426" i="11" a="1"/>
  <c r="E426" i="11" s="1"/>
  <c r="D426" i="11" a="1"/>
  <c r="D426" i="11" s="1"/>
  <c r="E425" i="11" a="1"/>
  <c r="E425" i="11" s="1"/>
  <c r="D425" i="11" a="1"/>
  <c r="D425" i="11"/>
  <c r="E424" i="11" a="1"/>
  <c r="E424" i="11" s="1"/>
  <c r="D424" i="11" a="1"/>
  <c r="D424" i="11" s="1"/>
  <c r="E423" i="11" a="1"/>
  <c r="E423" i="11"/>
  <c r="D423" i="11" a="1"/>
  <c r="D423" i="11"/>
  <c r="E422" i="11" a="1"/>
  <c r="E422" i="11" s="1"/>
  <c r="D422" i="11" a="1"/>
  <c r="D422" i="11" s="1"/>
  <c r="E421" i="11" a="1"/>
  <c r="E421" i="11" s="1"/>
  <c r="D421" i="11" a="1"/>
  <c r="D421" i="11"/>
  <c r="E420" i="11" a="1"/>
  <c r="E420" i="11" s="1"/>
  <c r="D420" i="11" a="1"/>
  <c r="D420" i="11" s="1"/>
  <c r="E419" i="11" a="1"/>
  <c r="E419" i="11" s="1"/>
  <c r="D419" i="11" a="1"/>
  <c r="D419" i="11"/>
  <c r="E418" i="11" a="1"/>
  <c r="E418" i="11" s="1"/>
  <c r="D418" i="11" a="1"/>
  <c r="D418" i="11" s="1"/>
  <c r="E417" i="11" a="1"/>
  <c r="E417" i="11" s="1"/>
  <c r="D417" i="11" a="1"/>
  <c r="D417" i="11" s="1"/>
  <c r="E416" i="11" a="1"/>
  <c r="E416" i="11" s="1"/>
  <c r="D416" i="11" a="1"/>
  <c r="D416" i="11" s="1"/>
  <c r="E415" i="11" a="1"/>
  <c r="E415" i="11" s="1"/>
  <c r="D415" i="11" a="1"/>
  <c r="D415" i="11" s="1"/>
  <c r="E414" i="11" a="1"/>
  <c r="E414" i="11"/>
  <c r="D414" i="11" a="1"/>
  <c r="D414" i="11" s="1"/>
  <c r="E413" i="11" a="1"/>
  <c r="E413" i="11" s="1"/>
  <c r="D413" i="11" a="1"/>
  <c r="D413" i="11" s="1"/>
  <c r="E412" i="11" a="1"/>
  <c r="E412" i="11"/>
  <c r="D412" i="11" a="1"/>
  <c r="D412" i="11" s="1"/>
  <c r="E411" i="11" a="1"/>
  <c r="E411" i="11" s="1"/>
  <c r="D411" i="11" a="1"/>
  <c r="D411" i="11"/>
  <c r="E410" i="11" a="1"/>
  <c r="E410" i="11" s="1"/>
  <c r="D410" i="11" a="1"/>
  <c r="D410" i="11" s="1"/>
  <c r="E409" i="11" a="1"/>
  <c r="E409" i="11" s="1"/>
  <c r="D409" i="11" a="1"/>
  <c r="D409" i="11"/>
  <c r="E408" i="11" a="1"/>
  <c r="E408" i="11" s="1"/>
  <c r="D408" i="11" a="1"/>
  <c r="D408" i="11"/>
  <c r="E407" i="11" a="1"/>
  <c r="E407" i="11"/>
  <c r="D407" i="11" a="1"/>
  <c r="D407" i="11" s="1"/>
  <c r="E406" i="11" a="1"/>
  <c r="E406" i="11" s="1"/>
  <c r="D406" i="11" a="1"/>
  <c r="D406" i="11" s="1"/>
  <c r="E405" i="11" a="1"/>
  <c r="E405" i="11" s="1"/>
  <c r="D405" i="11" a="1"/>
  <c r="D405" i="11" s="1"/>
  <c r="E404" i="11" a="1"/>
  <c r="E404" i="11" s="1"/>
  <c r="D404" i="11" a="1"/>
  <c r="D404" i="11" s="1"/>
  <c r="E403" i="11" a="1"/>
  <c r="E403" i="11" s="1"/>
  <c r="D403" i="11" a="1"/>
  <c r="D403" i="11" s="1"/>
  <c r="E402" i="11" a="1"/>
  <c r="E402" i="11" s="1"/>
  <c r="D402" i="11" a="1"/>
  <c r="D402" i="11" s="1"/>
  <c r="E401" i="11" a="1"/>
  <c r="E401" i="11" s="1"/>
  <c r="D401" i="11" a="1"/>
  <c r="D401" i="11" s="1"/>
  <c r="E400" i="11" a="1"/>
  <c r="E400" i="11" s="1"/>
  <c r="D400" i="11" a="1"/>
  <c r="D400" i="11" s="1"/>
  <c r="E399" i="11" a="1"/>
  <c r="E399" i="11" s="1"/>
  <c r="D399" i="11" a="1"/>
  <c r="D399" i="11"/>
  <c r="E398" i="11" a="1"/>
  <c r="E398" i="11" s="1"/>
  <c r="D398" i="11" a="1"/>
  <c r="D398" i="11" s="1"/>
  <c r="E397" i="11" a="1"/>
  <c r="E397" i="11" s="1"/>
  <c r="D397" i="11" a="1"/>
  <c r="D397" i="11" s="1"/>
  <c r="E396" i="11" a="1"/>
  <c r="E396" i="11" s="1"/>
  <c r="D396" i="11" a="1"/>
  <c r="D396" i="11"/>
  <c r="E395" i="11" a="1"/>
  <c r="E395" i="11" s="1"/>
  <c r="D395" i="11" a="1"/>
  <c r="D395" i="11"/>
  <c r="E394" i="11" a="1"/>
  <c r="E394" i="11" s="1"/>
  <c r="D394" i="11" a="1"/>
  <c r="D394" i="11" s="1"/>
  <c r="E393" i="11" a="1"/>
  <c r="E393" i="11" s="1"/>
  <c r="D393" i="11" a="1"/>
  <c r="D393" i="11" s="1"/>
  <c r="E392" i="11" a="1"/>
  <c r="E392" i="11" s="1"/>
  <c r="D392" i="11" a="1"/>
  <c r="D392" i="11" s="1"/>
  <c r="E391" i="11" a="1"/>
  <c r="E391" i="11" s="1"/>
  <c r="D391" i="11" a="1"/>
  <c r="D391" i="11"/>
  <c r="E390" i="11" a="1"/>
  <c r="E390" i="11" s="1"/>
  <c r="D390" i="11" a="1"/>
  <c r="D390" i="11" s="1"/>
  <c r="E389" i="11" a="1"/>
  <c r="E389" i="11"/>
  <c r="D389" i="11" a="1"/>
  <c r="D389" i="11" s="1"/>
  <c r="E388" i="11" a="1"/>
  <c r="E388" i="11" s="1"/>
  <c r="D388" i="11" a="1"/>
  <c r="D388" i="11" s="1"/>
  <c r="E387" i="11" a="1"/>
  <c r="E387" i="11"/>
  <c r="D387" i="11" a="1"/>
  <c r="D387" i="11" s="1"/>
  <c r="E386" i="11" a="1"/>
  <c r="E386" i="11" s="1"/>
  <c r="D386" i="11" a="1"/>
  <c r="D386" i="11"/>
  <c r="E385" i="11" a="1"/>
  <c r="E385" i="11" s="1"/>
  <c r="D385" i="11" a="1"/>
  <c r="D385" i="11" s="1"/>
  <c r="E384" i="11" a="1"/>
  <c r="E384" i="11"/>
  <c r="D384" i="11" a="1"/>
  <c r="D384" i="11" s="1"/>
  <c r="E383" i="11" a="1"/>
  <c r="E383" i="11" s="1"/>
  <c r="D383" i="11" a="1"/>
  <c r="D383" i="11" s="1"/>
  <c r="E382" i="11" a="1"/>
  <c r="E382" i="11" s="1"/>
  <c r="D382" i="11" a="1"/>
  <c r="D382" i="11" s="1"/>
  <c r="E381" i="11" a="1"/>
  <c r="E381" i="11" s="1"/>
  <c r="D381" i="11" a="1"/>
  <c r="D381" i="11" s="1"/>
  <c r="E380" i="11" a="1"/>
  <c r="E380" i="11" s="1"/>
  <c r="D380" i="11" a="1"/>
  <c r="D380" i="11" s="1"/>
  <c r="E379" i="11" a="1"/>
  <c r="E379" i="11" s="1"/>
  <c r="D379" i="11" a="1"/>
  <c r="D379" i="11" s="1"/>
  <c r="E378" i="11" a="1"/>
  <c r="E378" i="11" s="1"/>
  <c r="D378" i="11" a="1"/>
  <c r="D378" i="11" s="1"/>
  <c r="E377" i="11" a="1"/>
  <c r="E377" i="11"/>
  <c r="D377" i="11" a="1"/>
  <c r="D377" i="11" s="1"/>
  <c r="E376" i="11" a="1"/>
  <c r="E376" i="11" s="1"/>
  <c r="D376" i="11" a="1"/>
  <c r="D376" i="11" s="1"/>
  <c r="E375" i="11" a="1"/>
  <c r="E375" i="11"/>
  <c r="D375" i="11" a="1"/>
  <c r="D375" i="11"/>
  <c r="E374" i="11" a="1"/>
  <c r="E374" i="11" s="1"/>
  <c r="D374" i="11" a="1"/>
  <c r="D374" i="11" s="1"/>
  <c r="E373" i="11" a="1"/>
  <c r="E373" i="11" s="1"/>
  <c r="D373" i="11" a="1"/>
  <c r="D373" i="11"/>
  <c r="E372" i="11" a="1"/>
  <c r="E372" i="11" s="1"/>
  <c r="D372" i="11" a="1"/>
  <c r="D372" i="11" s="1"/>
  <c r="E371" i="11" a="1"/>
  <c r="E371" i="11" s="1"/>
  <c r="D371" i="11" a="1"/>
  <c r="D371" i="11" s="1"/>
  <c r="E370" i="11" a="1"/>
  <c r="E370" i="11" s="1"/>
  <c r="D370" i="11" a="1"/>
  <c r="D370" i="11" s="1"/>
  <c r="E369" i="11" a="1"/>
  <c r="E369" i="11" s="1"/>
  <c r="D369" i="11" a="1"/>
  <c r="D369" i="11" s="1"/>
  <c r="E368" i="11" a="1"/>
  <c r="E368" i="11" s="1"/>
  <c r="D368" i="11" a="1"/>
  <c r="D368" i="11"/>
  <c r="E367" i="11" a="1"/>
  <c r="E367" i="11" s="1"/>
  <c r="D367" i="11" a="1"/>
  <c r="D367" i="11" s="1"/>
  <c r="E366" i="11" a="1"/>
  <c r="E366" i="11" s="1"/>
  <c r="D366" i="11" a="1"/>
  <c r="D366" i="11" s="1"/>
  <c r="E365" i="11" a="1"/>
  <c r="E365" i="11"/>
  <c r="D365" i="11" a="1"/>
  <c r="D365" i="11" s="1"/>
  <c r="E364" i="11" a="1"/>
  <c r="E364" i="11"/>
  <c r="D364" i="11" a="1"/>
  <c r="D364" i="11" s="1"/>
  <c r="E363" i="11" a="1"/>
  <c r="E363" i="11" s="1"/>
  <c r="D363" i="11" a="1"/>
  <c r="D363" i="11"/>
  <c r="E362" i="11" a="1"/>
  <c r="E362" i="11" s="1"/>
  <c r="D362" i="11" a="1"/>
  <c r="D362" i="11" s="1"/>
  <c r="E361" i="11" a="1"/>
  <c r="E361" i="11" s="1"/>
  <c r="D361" i="11" a="1"/>
  <c r="D361" i="11"/>
  <c r="E360" i="11" a="1"/>
  <c r="E360" i="11" s="1"/>
  <c r="D360" i="11" a="1"/>
  <c r="D360" i="11" s="1"/>
  <c r="E359" i="11" a="1"/>
  <c r="E359" i="11" s="1"/>
  <c r="D359" i="11" a="1"/>
  <c r="D359" i="11" s="1"/>
  <c r="E358" i="11" a="1"/>
  <c r="E358" i="11"/>
  <c r="D358" i="11" a="1"/>
  <c r="D358" i="11" s="1"/>
  <c r="E357" i="11" a="1"/>
  <c r="E357" i="11" s="1"/>
  <c r="D357" i="11" a="1"/>
  <c r="D357" i="11" s="1"/>
  <c r="E356" i="11" a="1"/>
  <c r="E356" i="11" s="1"/>
  <c r="D356" i="11" a="1"/>
  <c r="D356" i="11"/>
  <c r="E355" i="11" a="1"/>
  <c r="E355" i="11" s="1"/>
  <c r="D355" i="11" a="1"/>
  <c r="D355" i="11" s="1"/>
  <c r="E354" i="11" a="1"/>
  <c r="E354" i="11"/>
  <c r="D354" i="11" a="1"/>
  <c r="D354" i="11" s="1"/>
  <c r="E353" i="11" a="1"/>
  <c r="E353" i="11" s="1"/>
  <c r="D353" i="11" a="1"/>
  <c r="D353" i="11"/>
  <c r="E352" i="11" a="1"/>
  <c r="E352" i="11"/>
  <c r="D352" i="11" a="1"/>
  <c r="D352" i="11" s="1"/>
  <c r="E351" i="11" a="1"/>
  <c r="E351" i="11" s="1"/>
  <c r="D351" i="11" a="1"/>
  <c r="D351" i="11"/>
  <c r="E350" i="11" a="1"/>
  <c r="E350" i="11"/>
  <c r="D350" i="11" a="1"/>
  <c r="D350" i="11" s="1"/>
  <c r="E349" i="11" a="1"/>
  <c r="E349" i="11"/>
  <c r="D349" i="11" a="1"/>
  <c r="D349" i="11" s="1"/>
  <c r="E348" i="11" a="1"/>
  <c r="E348" i="11" s="1"/>
  <c r="D348" i="11" a="1"/>
  <c r="D348" i="11"/>
  <c r="E347" i="11" a="1"/>
  <c r="E347" i="11" s="1"/>
  <c r="D347" i="11" a="1"/>
  <c r="D347" i="11" s="1"/>
  <c r="E346" i="11" a="1"/>
  <c r="E346" i="11"/>
  <c r="D346" i="11" a="1"/>
  <c r="D346" i="11"/>
  <c r="E345" i="11" a="1"/>
  <c r="E345" i="11" s="1"/>
  <c r="D345" i="11" a="1"/>
  <c r="D345" i="11" s="1"/>
  <c r="E344" i="11" a="1"/>
  <c r="E344" i="11" s="1"/>
  <c r="D344" i="11" a="1"/>
  <c r="D344" i="11" s="1"/>
  <c r="E343" i="11" a="1"/>
  <c r="E343" i="11" s="1"/>
  <c r="D343" i="11" a="1"/>
  <c r="D343" i="11" s="1"/>
  <c r="E342" i="11" a="1"/>
  <c r="E342" i="11"/>
  <c r="D342" i="11" a="1"/>
  <c r="D342" i="11" s="1"/>
  <c r="E341" i="11" a="1"/>
  <c r="E341" i="11" s="1"/>
  <c r="D341" i="11" a="1"/>
  <c r="D341" i="11" s="1"/>
  <c r="E340" i="11" a="1"/>
  <c r="E340" i="11" s="1"/>
  <c r="D340" i="11" a="1"/>
  <c r="D340" i="11" s="1"/>
  <c r="E339" i="11" a="1"/>
  <c r="E339" i="11"/>
  <c r="D339" i="11" a="1"/>
  <c r="D339" i="11" s="1"/>
  <c r="E338" i="11" a="1"/>
  <c r="E338" i="11"/>
  <c r="D338" i="11" a="1"/>
  <c r="D338" i="11"/>
  <c r="E337" i="11" a="1"/>
  <c r="E337" i="11" s="1"/>
  <c r="D337" i="11" a="1"/>
  <c r="D337" i="11" s="1"/>
  <c r="E336" i="11" a="1"/>
  <c r="E336" i="11"/>
  <c r="D336" i="11" a="1"/>
  <c r="D336" i="11" s="1"/>
  <c r="E335" i="11" a="1"/>
  <c r="E335" i="11"/>
  <c r="D335" i="11" a="1"/>
  <c r="D335" i="11"/>
  <c r="E334" i="11" a="1"/>
  <c r="E334" i="11" s="1"/>
  <c r="D334" i="11" a="1"/>
  <c r="D334" i="11" s="1"/>
  <c r="E333" i="11" a="1"/>
  <c r="E333" i="11" s="1"/>
  <c r="D333" i="11" a="1"/>
  <c r="D333" i="11"/>
  <c r="E332" i="11" a="1"/>
  <c r="E332" i="11" s="1"/>
  <c r="D332" i="11" a="1"/>
  <c r="D332" i="11" s="1"/>
  <c r="E331" i="11" a="1"/>
  <c r="E331" i="11" s="1"/>
  <c r="D331" i="11" a="1"/>
  <c r="D331" i="11" s="1"/>
  <c r="E330" i="11" a="1"/>
  <c r="E330" i="11" s="1"/>
  <c r="D330" i="11" a="1"/>
  <c r="D330" i="11" s="1"/>
  <c r="E329" i="11" a="1"/>
  <c r="E329" i="11" s="1"/>
  <c r="D329" i="11" a="1"/>
  <c r="D329" i="11" s="1"/>
  <c r="E328" i="11" a="1"/>
  <c r="E328" i="11" s="1"/>
  <c r="D328" i="11" a="1"/>
  <c r="D328" i="11" s="1"/>
  <c r="E327" i="11" a="1"/>
  <c r="E327" i="11"/>
  <c r="D327" i="11" a="1"/>
  <c r="D327" i="11" s="1"/>
  <c r="E326" i="11" a="1"/>
  <c r="E326" i="11" s="1"/>
  <c r="D326" i="11" a="1"/>
  <c r="D326" i="11" s="1"/>
  <c r="E325" i="11" a="1"/>
  <c r="E325" i="11" s="1"/>
  <c r="D325" i="11" a="1"/>
  <c r="D325" i="11" s="1"/>
  <c r="E324" i="11" a="1"/>
  <c r="E324" i="11" s="1"/>
  <c r="D324" i="11" a="1"/>
  <c r="D324" i="11" s="1"/>
  <c r="E323" i="11" a="1"/>
  <c r="E323" i="11"/>
  <c r="D323" i="11" a="1"/>
  <c r="D323" i="11"/>
  <c r="E322" i="11" a="1"/>
  <c r="E322" i="11" s="1"/>
  <c r="D322" i="11" a="1"/>
  <c r="D322" i="11" s="1"/>
  <c r="E321" i="11" a="1"/>
  <c r="E321" i="11" s="1"/>
  <c r="D321" i="11" a="1"/>
  <c r="D321" i="11" s="1"/>
  <c r="E320" i="11" a="1"/>
  <c r="E320" i="11" s="1"/>
  <c r="D320" i="11" a="1"/>
  <c r="D320" i="11" s="1"/>
  <c r="E319" i="11" a="1"/>
  <c r="E319" i="11" s="1"/>
  <c r="D319" i="11" a="1"/>
  <c r="D319" i="11" s="1"/>
  <c r="E318" i="11" a="1"/>
  <c r="E318" i="11" s="1"/>
  <c r="D318" i="11" a="1"/>
  <c r="D318" i="11" s="1"/>
  <c r="E317" i="11" a="1"/>
  <c r="E317" i="11" s="1"/>
  <c r="D317" i="11" a="1"/>
  <c r="D317" i="11" s="1"/>
  <c r="E316" i="11" a="1"/>
  <c r="E316" i="11"/>
  <c r="D316" i="11" a="1"/>
  <c r="D316" i="11" s="1"/>
  <c r="E315" i="11" a="1"/>
  <c r="E315" i="11" s="1"/>
  <c r="D315" i="11" a="1"/>
  <c r="D315" i="11"/>
  <c r="E314" i="11" a="1"/>
  <c r="E314" i="11" s="1"/>
  <c r="D314" i="11" a="1"/>
  <c r="D314" i="11" s="1"/>
  <c r="E313" i="11" a="1"/>
  <c r="E313" i="11" s="1"/>
  <c r="D313" i="11" a="1"/>
  <c r="D313" i="11"/>
  <c r="E312" i="11" a="1"/>
  <c r="E312" i="11" s="1"/>
  <c r="D312" i="11" a="1"/>
  <c r="D312" i="11" s="1"/>
  <c r="E311" i="11" a="1"/>
  <c r="E311" i="11" s="1"/>
  <c r="D311" i="11" a="1"/>
  <c r="D311" i="11" s="1"/>
  <c r="E310" i="11" a="1"/>
  <c r="E310" i="11"/>
  <c r="D310" i="11" a="1"/>
  <c r="D310" i="11"/>
  <c r="E309" i="11" a="1"/>
  <c r="E309" i="11" s="1"/>
  <c r="D309" i="11" a="1"/>
  <c r="D309" i="11"/>
  <c r="E308" i="11" a="1"/>
  <c r="E308" i="11" s="1"/>
  <c r="D308" i="11" a="1"/>
  <c r="D308" i="11" s="1"/>
  <c r="E307" i="11" a="1"/>
  <c r="E307" i="11" s="1"/>
  <c r="D307" i="11" a="1"/>
  <c r="D307" i="11" s="1"/>
  <c r="E306" i="11" a="1"/>
  <c r="E306" i="11"/>
  <c r="D306" i="11" a="1"/>
  <c r="D306" i="11" s="1"/>
  <c r="E305" i="11" a="1"/>
  <c r="E305" i="11" s="1"/>
  <c r="D305" i="11" a="1"/>
  <c r="D305" i="11" s="1"/>
  <c r="E304" i="11" a="1"/>
  <c r="E304" i="11"/>
  <c r="D304" i="11" a="1"/>
  <c r="D304" i="11" s="1"/>
  <c r="E303" i="11" a="1"/>
  <c r="E303" i="11" s="1"/>
  <c r="D303" i="11" a="1"/>
  <c r="D303" i="11"/>
  <c r="E302" i="11" a="1"/>
  <c r="E302" i="11"/>
  <c r="D302" i="11" a="1"/>
  <c r="D302" i="11" s="1"/>
  <c r="E301" i="11" a="1"/>
  <c r="E301" i="11"/>
  <c r="D301" i="11" a="1"/>
  <c r="D301" i="11" s="1"/>
  <c r="E300" i="11" a="1"/>
  <c r="E300" i="11" s="1"/>
  <c r="D300" i="11" a="1"/>
  <c r="D300" i="11" s="1"/>
  <c r="E299" i="11" a="1"/>
  <c r="E299" i="11" s="1"/>
  <c r="D299" i="11" a="1"/>
  <c r="D299" i="11"/>
  <c r="E298" i="11" a="1"/>
  <c r="E298" i="11" s="1"/>
  <c r="D298" i="11" a="1"/>
  <c r="D298" i="11" s="1"/>
  <c r="E297" i="11" a="1"/>
  <c r="E297" i="11" s="1"/>
  <c r="D297" i="11" a="1"/>
  <c r="D297" i="11" s="1"/>
  <c r="E296" i="11" a="1"/>
  <c r="E296" i="11" s="1"/>
  <c r="D296" i="11" a="1"/>
  <c r="D296" i="11" s="1"/>
  <c r="E295" i="11" a="1"/>
  <c r="E295" i="11" s="1"/>
  <c r="D295" i="11" a="1"/>
  <c r="D295" i="11" s="1"/>
  <c r="E294" i="11" a="1"/>
  <c r="E294" i="11" s="1"/>
  <c r="D294" i="11" a="1"/>
  <c r="D294" i="11" s="1"/>
  <c r="E293" i="11" a="1"/>
  <c r="E293" i="11"/>
  <c r="D293" i="11" a="1"/>
  <c r="D293" i="11" s="1"/>
  <c r="E292" i="11" a="1"/>
  <c r="E292" i="11"/>
  <c r="D292" i="11" a="1"/>
  <c r="D292" i="11" s="1"/>
  <c r="E291" i="11" a="1"/>
  <c r="E291" i="11" s="1"/>
  <c r="D291" i="11" a="1"/>
  <c r="D291" i="11" s="1"/>
  <c r="E290" i="11" a="1"/>
  <c r="E290" i="11"/>
  <c r="D290" i="11" a="1"/>
  <c r="D290" i="11"/>
  <c r="E289" i="11" a="1"/>
  <c r="E289" i="11" s="1"/>
  <c r="D289" i="11" a="1"/>
  <c r="D289" i="11"/>
  <c r="E288" i="11" a="1"/>
  <c r="E288" i="11" s="1"/>
  <c r="D288" i="11" a="1"/>
  <c r="D288" i="11" s="1"/>
  <c r="E287" i="11" a="1"/>
  <c r="E287" i="11" s="1"/>
  <c r="D287" i="11" a="1"/>
  <c r="D287" i="11"/>
  <c r="E286" i="11" a="1"/>
  <c r="E286" i="11" s="1"/>
  <c r="D286" i="11" a="1"/>
  <c r="D286" i="11" s="1"/>
  <c r="E285" i="11" a="1"/>
  <c r="E285" i="11" s="1"/>
  <c r="D285" i="11" a="1"/>
  <c r="D285" i="11" s="1"/>
  <c r="E284" i="11" a="1"/>
  <c r="E284" i="11" s="1"/>
  <c r="D284" i="11" a="1"/>
  <c r="D284" i="11" s="1"/>
  <c r="E283" i="11" a="1"/>
  <c r="E283" i="11" s="1"/>
  <c r="D283" i="11" a="1"/>
  <c r="D283" i="11" s="1"/>
  <c r="E282" i="11" a="1"/>
  <c r="E282" i="11" s="1"/>
  <c r="D282" i="11" a="1"/>
  <c r="D282" i="11" s="1"/>
  <c r="E281" i="11" a="1"/>
  <c r="E281" i="11" s="1"/>
  <c r="D281" i="11" a="1"/>
  <c r="D281" i="11"/>
  <c r="E280" i="11" a="1"/>
  <c r="E280" i="11"/>
  <c r="D280" i="11" a="1"/>
  <c r="D280" i="11" s="1"/>
  <c r="E279" i="11" a="1"/>
  <c r="E279" i="11" s="1"/>
  <c r="D279" i="11" a="1"/>
  <c r="D279" i="11"/>
  <c r="E278" i="11" a="1"/>
  <c r="E278" i="11"/>
  <c r="D278" i="11" a="1"/>
  <c r="D278" i="11" s="1"/>
  <c r="E277" i="11" a="1"/>
  <c r="E277" i="11"/>
  <c r="D277" i="11" a="1"/>
  <c r="D277" i="11" s="1"/>
  <c r="E276" i="11" a="1"/>
  <c r="E276" i="11" s="1"/>
  <c r="D276" i="11" a="1"/>
  <c r="D276" i="11" s="1"/>
  <c r="E275" i="11" a="1"/>
  <c r="E275" i="11" s="1"/>
  <c r="D275" i="11" a="1"/>
  <c r="D275" i="11"/>
  <c r="E274" i="11" a="1"/>
  <c r="E274" i="11" s="1"/>
  <c r="D274" i="11" a="1"/>
  <c r="D274" i="11" s="1"/>
  <c r="E273" i="11" a="1"/>
  <c r="E273" i="11" s="1"/>
  <c r="D273" i="11" a="1"/>
  <c r="D273" i="11" s="1"/>
  <c r="E272" i="11" a="1"/>
  <c r="E272" i="11" s="1"/>
  <c r="D272" i="11" a="1"/>
  <c r="D272" i="11" s="1"/>
  <c r="E271" i="11" a="1"/>
  <c r="E271" i="11" s="1"/>
  <c r="D271" i="11" a="1"/>
  <c r="D271" i="11" s="1"/>
  <c r="E270" i="11" a="1"/>
  <c r="E270" i="11" s="1"/>
  <c r="D270" i="11" a="1"/>
  <c r="D270" i="11" s="1"/>
  <c r="E269" i="11" a="1"/>
  <c r="E269" i="11" s="1"/>
  <c r="D269" i="11" a="1"/>
  <c r="D269" i="11" s="1"/>
  <c r="E268" i="11" a="1"/>
  <c r="E268" i="11"/>
  <c r="D268" i="11" a="1"/>
  <c r="D268" i="11" s="1"/>
  <c r="E267" i="11" a="1"/>
  <c r="E267" i="11" s="1"/>
  <c r="D267" i="11" a="1"/>
  <c r="D267" i="11" s="1"/>
  <c r="E266" i="11" a="1"/>
  <c r="E266" i="11"/>
  <c r="D266" i="11" a="1"/>
  <c r="D266" i="11" s="1"/>
  <c r="E265" i="11" a="1"/>
  <c r="E265" i="11"/>
  <c r="D265" i="11" a="1"/>
  <c r="D265" i="11"/>
  <c r="E264" i="11" a="1"/>
  <c r="E264" i="11" s="1"/>
  <c r="D264" i="11" a="1"/>
  <c r="D264" i="11" s="1"/>
  <c r="E263" i="11" a="1"/>
  <c r="E263" i="11" s="1"/>
  <c r="D263" i="11" a="1"/>
  <c r="D263" i="11"/>
  <c r="E262" i="11" a="1"/>
  <c r="E262" i="11" s="1"/>
  <c r="D262" i="11" a="1"/>
  <c r="D262" i="11" s="1"/>
  <c r="E261" i="11" a="1"/>
  <c r="E261" i="11" s="1"/>
  <c r="D261" i="11" a="1"/>
  <c r="D261" i="11" s="1"/>
  <c r="E260" i="11" a="1"/>
  <c r="E260" i="11" s="1"/>
  <c r="D260" i="11" a="1"/>
  <c r="D260" i="11" s="1"/>
  <c r="E259" i="11" a="1"/>
  <c r="E259" i="11" s="1"/>
  <c r="D259" i="11" a="1"/>
  <c r="D259" i="11" s="1"/>
  <c r="E258" i="11" a="1"/>
  <c r="E258" i="11" s="1"/>
  <c r="D258" i="11" a="1"/>
  <c r="D258" i="11" s="1"/>
  <c r="E257" i="11" a="1"/>
  <c r="E257" i="11" s="1"/>
  <c r="D257" i="11" a="1"/>
  <c r="D257" i="11" s="1"/>
  <c r="E256" i="11" a="1"/>
  <c r="E256" i="11"/>
  <c r="D256" i="11" a="1"/>
  <c r="D256" i="11" s="1"/>
  <c r="E255" i="11" a="1"/>
  <c r="E255" i="11" s="1"/>
  <c r="D255" i="11" a="1"/>
  <c r="D255" i="11" s="1"/>
  <c r="E254" i="11" a="1"/>
  <c r="E254" i="11" s="1"/>
  <c r="D254" i="11" a="1"/>
  <c r="D254" i="11"/>
  <c r="E253" i="11" a="1"/>
  <c r="E253" i="11" s="1"/>
  <c r="D253" i="11" a="1"/>
  <c r="D253" i="11"/>
  <c r="E252" i="11" a="1"/>
  <c r="E252" i="11" s="1"/>
  <c r="D252" i="11" a="1"/>
  <c r="D252" i="11" s="1"/>
  <c r="E251" i="11" a="1"/>
  <c r="E251" i="11" s="1"/>
  <c r="D251" i="11" a="1"/>
  <c r="D251" i="11"/>
  <c r="E250" i="11" a="1"/>
  <c r="E250" i="11" s="1"/>
  <c r="D250" i="11" a="1"/>
  <c r="D250" i="11" s="1"/>
  <c r="E249" i="11" a="1"/>
  <c r="E249" i="11" s="1"/>
  <c r="D249" i="11" a="1"/>
  <c r="D249" i="11"/>
  <c r="E248" i="11" a="1"/>
  <c r="E248" i="11" s="1"/>
  <c r="D248" i="11" a="1"/>
  <c r="D248" i="11" s="1"/>
  <c r="E247" i="11" a="1"/>
  <c r="E247" i="11" s="1"/>
  <c r="D247" i="11" a="1"/>
  <c r="D247" i="11" s="1"/>
  <c r="E246" i="11" a="1"/>
  <c r="E246" i="11" s="1"/>
  <c r="D246" i="11" a="1"/>
  <c r="D246" i="11" s="1"/>
  <c r="E245" i="11" a="1"/>
  <c r="E245" i="11"/>
  <c r="D245" i="11" a="1"/>
  <c r="D245" i="11" s="1"/>
  <c r="E244" i="11" a="1"/>
  <c r="E244" i="11"/>
  <c r="D244" i="11" a="1"/>
  <c r="D244" i="11" s="1"/>
  <c r="E243" i="11" a="1"/>
  <c r="E243" i="11" s="1"/>
  <c r="D243" i="11" a="1"/>
  <c r="D243" i="11" s="1"/>
  <c r="E242" i="11" a="1"/>
  <c r="E242" i="11"/>
  <c r="D242" i="11" a="1"/>
  <c r="D242" i="11"/>
  <c r="E241" i="11" a="1"/>
  <c r="E241" i="11" s="1"/>
  <c r="D241" i="11" a="1"/>
  <c r="D241" i="11"/>
  <c r="E240" i="11" a="1"/>
  <c r="E240" i="11" s="1"/>
  <c r="D240" i="11" a="1"/>
  <c r="D240" i="11" s="1"/>
  <c r="E239" i="11" a="1"/>
  <c r="E239" i="11" s="1"/>
  <c r="D239" i="11" a="1"/>
  <c r="D239" i="11"/>
  <c r="E238" i="11" a="1"/>
  <c r="E238" i="11" s="1"/>
  <c r="D238" i="11" a="1"/>
  <c r="D238" i="11" s="1"/>
  <c r="E237" i="11" a="1"/>
  <c r="E237" i="11" s="1"/>
  <c r="D237" i="11" a="1"/>
  <c r="D237" i="11"/>
  <c r="E236" i="11" a="1"/>
  <c r="E236" i="11" s="1"/>
  <c r="D236" i="11" a="1"/>
  <c r="D236" i="11" s="1"/>
  <c r="E235" i="11" a="1"/>
  <c r="E235" i="11" s="1"/>
  <c r="D235" i="11" a="1"/>
  <c r="D235" i="11" s="1"/>
  <c r="E234" i="11" a="1"/>
  <c r="E234" i="11" s="1"/>
  <c r="D234" i="11" a="1"/>
  <c r="D234" i="11" s="1"/>
  <c r="E233" i="11" a="1"/>
  <c r="E233" i="11" s="1"/>
  <c r="D233" i="11" a="1"/>
  <c r="D233" i="11" s="1"/>
  <c r="E232" i="11" a="1"/>
  <c r="E232" i="11"/>
  <c r="D232" i="11" a="1"/>
  <c r="D232" i="11" s="1"/>
  <c r="E231" i="11" a="1"/>
  <c r="E231" i="11" s="1"/>
  <c r="D231" i="11" a="1"/>
  <c r="D231" i="11" s="1"/>
  <c r="E230" i="11" a="1"/>
  <c r="E230" i="11"/>
  <c r="D230" i="11" a="1"/>
  <c r="D230" i="11" s="1"/>
  <c r="E229" i="11" a="1"/>
  <c r="E229" i="11"/>
  <c r="D229" i="11" a="1"/>
  <c r="D229" i="11"/>
  <c r="E228" i="11" a="1"/>
  <c r="E228" i="11" s="1"/>
  <c r="D228" i="11" a="1"/>
  <c r="D228" i="11" s="1"/>
  <c r="E227" i="11" a="1"/>
  <c r="E227" i="11" s="1"/>
  <c r="D227" i="11" a="1"/>
  <c r="D227" i="11"/>
  <c r="E226" i="11" a="1"/>
  <c r="E226" i="11" s="1"/>
  <c r="D226" i="11" a="1"/>
  <c r="D226" i="11" s="1"/>
  <c r="E225" i="11" a="1"/>
  <c r="E225" i="11" s="1"/>
  <c r="D225" i="11" a="1"/>
  <c r="D225" i="11" s="1"/>
  <c r="E224" i="11" a="1"/>
  <c r="E224" i="11" s="1"/>
  <c r="D224" i="11" a="1"/>
  <c r="D224" i="11" s="1"/>
  <c r="E223" i="11" a="1"/>
  <c r="E223" i="11" s="1"/>
  <c r="D223" i="11" a="1"/>
  <c r="D223" i="11" s="1"/>
  <c r="E222" i="11" a="1"/>
  <c r="E222" i="11" s="1"/>
  <c r="D222" i="11" a="1"/>
  <c r="D222" i="11" s="1"/>
  <c r="E221" i="11" a="1"/>
  <c r="E221" i="11" s="1"/>
  <c r="D221" i="11" a="1"/>
  <c r="D221" i="11"/>
  <c r="E220" i="11" a="1"/>
  <c r="E220" i="11"/>
  <c r="D220" i="11" a="1"/>
  <c r="D220" i="11" s="1"/>
  <c r="E219" i="11" a="1"/>
  <c r="E219" i="11" s="1"/>
  <c r="D219" i="11" a="1"/>
  <c r="D219" i="11"/>
  <c r="E218" i="11" a="1"/>
  <c r="E218" i="11" s="1"/>
  <c r="D218" i="11" a="1"/>
  <c r="D218" i="11" s="1"/>
  <c r="E217" i="11" a="1"/>
  <c r="E217" i="11"/>
  <c r="D217" i="11" a="1"/>
  <c r="D217" i="11"/>
  <c r="E216" i="11" a="1"/>
  <c r="E216" i="11" s="1"/>
  <c r="D216" i="11" a="1"/>
  <c r="D216" i="11" s="1"/>
  <c r="E215" i="11" a="1"/>
  <c r="E215" i="11"/>
  <c r="D215" i="11" a="1"/>
  <c r="D215" i="11" s="1"/>
  <c r="E214" i="11" a="1"/>
  <c r="E214" i="11" s="1"/>
  <c r="D214" i="11" a="1"/>
  <c r="D214" i="11"/>
  <c r="E213" i="11" a="1"/>
  <c r="E213" i="11" s="1"/>
  <c r="D213" i="11" a="1"/>
  <c r="D213" i="11" s="1"/>
  <c r="E212" i="11" a="1"/>
  <c r="E212" i="11" s="1"/>
  <c r="D212" i="11" a="1"/>
  <c r="D212" i="11" s="1"/>
  <c r="E211" i="11" a="1"/>
  <c r="E211" i="11" s="1"/>
  <c r="D211" i="11" a="1"/>
  <c r="D211" i="11" s="1"/>
  <c r="E210" i="11" a="1"/>
  <c r="E210" i="11" s="1"/>
  <c r="D210" i="11" a="1"/>
  <c r="D210" i="11" s="1"/>
  <c r="E209" i="11" a="1"/>
  <c r="E209" i="11" s="1"/>
  <c r="D209" i="11" a="1"/>
  <c r="D209" i="11"/>
  <c r="E208" i="11" a="1"/>
  <c r="E208" i="11" s="1"/>
  <c r="D208" i="11" a="1"/>
  <c r="D208" i="11" s="1"/>
  <c r="E207" i="11" a="1"/>
  <c r="E207" i="11" s="1"/>
  <c r="D207" i="11" a="1"/>
  <c r="D207" i="11"/>
  <c r="E206" i="11" a="1"/>
  <c r="E206" i="11" s="1"/>
  <c r="D206" i="11" a="1"/>
  <c r="D206" i="11" s="1"/>
  <c r="E205" i="11" a="1"/>
  <c r="E205" i="11"/>
  <c r="D205" i="11" a="1"/>
  <c r="D205" i="11" s="1"/>
  <c r="E204" i="11" a="1"/>
  <c r="E204" i="11" s="1"/>
  <c r="D204" i="11" a="1"/>
  <c r="D204" i="11"/>
  <c r="E203" i="11" a="1"/>
  <c r="E203" i="11"/>
  <c r="D203" i="11" a="1"/>
  <c r="D203" i="11" s="1"/>
  <c r="E202" i="11" a="1"/>
  <c r="E202" i="11" s="1"/>
  <c r="D202" i="11" a="1"/>
  <c r="D202" i="11"/>
  <c r="E201" i="11" a="1"/>
  <c r="E201" i="11" s="1"/>
  <c r="D201" i="11" a="1"/>
  <c r="D201" i="11" s="1"/>
  <c r="E200" i="11" a="1"/>
  <c r="E200" i="11" s="1"/>
  <c r="D200" i="11" a="1"/>
  <c r="D200" i="11" s="1"/>
  <c r="E199" i="11" a="1"/>
  <c r="E199" i="11"/>
  <c r="D199" i="11" a="1"/>
  <c r="D199" i="11" s="1"/>
  <c r="E198" i="11" a="1"/>
  <c r="E198" i="11" s="1"/>
  <c r="D198" i="11" a="1"/>
  <c r="D198" i="11" s="1"/>
  <c r="E197" i="11" a="1"/>
  <c r="E197" i="11"/>
  <c r="D197" i="11" a="1"/>
  <c r="D197" i="11" s="1"/>
  <c r="E196" i="11" a="1"/>
  <c r="E196" i="11" s="1"/>
  <c r="D196" i="11" a="1"/>
  <c r="D196" i="11" s="1"/>
  <c r="E195" i="11" a="1"/>
  <c r="E195" i="11"/>
  <c r="D195" i="11" a="1"/>
  <c r="D195" i="11" s="1"/>
  <c r="E194" i="11" a="1"/>
  <c r="E194" i="11" s="1"/>
  <c r="D194" i="11" a="1"/>
  <c r="D194" i="11"/>
  <c r="E193" i="11" a="1"/>
  <c r="E193" i="11" s="1"/>
  <c r="D193" i="11" a="1"/>
  <c r="D193" i="11" s="1"/>
  <c r="E192" i="11" a="1"/>
  <c r="E192" i="11" s="1"/>
  <c r="D192" i="11" a="1"/>
  <c r="D192" i="11"/>
  <c r="E191" i="11" a="1"/>
  <c r="E191" i="11" s="1"/>
  <c r="D191" i="11" a="1"/>
  <c r="D191" i="11" s="1"/>
  <c r="E190" i="11" a="1"/>
  <c r="E190" i="11" s="1"/>
  <c r="D190" i="11" a="1"/>
  <c r="D190" i="11"/>
  <c r="E189" i="11" a="1"/>
  <c r="E189" i="11" s="1"/>
  <c r="D189" i="11" a="1"/>
  <c r="D189" i="11" s="1"/>
  <c r="E188" i="11" a="1"/>
  <c r="E188" i="11" s="1"/>
  <c r="D188" i="11" a="1"/>
  <c r="D188" i="11" s="1"/>
  <c r="E187" i="11" a="1"/>
  <c r="E187" i="11"/>
  <c r="D187" i="11" a="1"/>
  <c r="D187" i="11" s="1"/>
  <c r="E186" i="11" a="1"/>
  <c r="E186" i="11" s="1"/>
  <c r="D186" i="11" a="1"/>
  <c r="D186" i="11" s="1"/>
  <c r="E185" i="11" a="1"/>
  <c r="E185" i="11"/>
  <c r="D185" i="11" a="1"/>
  <c r="D185" i="11" s="1"/>
  <c r="E184" i="11" a="1"/>
  <c r="E184" i="11" s="1"/>
  <c r="D184" i="11" a="1"/>
  <c r="D184" i="11" s="1"/>
  <c r="E183" i="11" a="1"/>
  <c r="E183" i="11"/>
  <c r="D183" i="11" a="1"/>
  <c r="D183" i="11"/>
  <c r="E182" i="11" a="1"/>
  <c r="E182" i="11" s="1"/>
  <c r="D182" i="11" a="1"/>
  <c r="D182" i="11"/>
  <c r="E181" i="11" a="1"/>
  <c r="E181" i="11" s="1"/>
  <c r="D181" i="11" a="1"/>
  <c r="D181" i="11" s="1"/>
  <c r="E180" i="11" a="1"/>
  <c r="E180" i="11" s="1"/>
  <c r="D180" i="11" a="1"/>
  <c r="D180" i="11" s="1"/>
  <c r="E179" i="11" a="1"/>
  <c r="E179" i="11"/>
  <c r="D179" i="11" a="1"/>
  <c r="D179" i="11" s="1"/>
  <c r="E178" i="11" a="1"/>
  <c r="E178" i="11" s="1"/>
  <c r="D178" i="11" a="1"/>
  <c r="D178" i="11" s="1"/>
  <c r="E177" i="11" a="1"/>
  <c r="E177" i="11" s="1"/>
  <c r="D177" i="11" a="1"/>
  <c r="D177" i="11" s="1"/>
  <c r="E176" i="11" a="1"/>
  <c r="E176" i="11" s="1"/>
  <c r="D176" i="11" a="1"/>
  <c r="D176" i="11" s="1"/>
  <c r="E175" i="11" a="1"/>
  <c r="E175" i="11" s="1"/>
  <c r="D175" i="11" a="1"/>
  <c r="D175" i="11" s="1"/>
  <c r="E174" i="11" a="1"/>
  <c r="E174" i="11" s="1"/>
  <c r="D174" i="11" a="1"/>
  <c r="D174" i="11" s="1"/>
  <c r="E173" i="11" a="1"/>
  <c r="E173" i="11"/>
  <c r="D173" i="11" a="1"/>
  <c r="D173" i="11" s="1"/>
  <c r="E172" i="11" a="1"/>
  <c r="E172" i="11" s="1"/>
  <c r="D172" i="11" a="1"/>
  <c r="D172" i="11" s="1"/>
  <c r="E171" i="11" a="1"/>
  <c r="E171" i="11" s="1"/>
  <c r="D171" i="11" a="1"/>
  <c r="D171" i="11"/>
  <c r="E170" i="11" a="1"/>
  <c r="E170" i="11" s="1"/>
  <c r="D170" i="11" a="1"/>
  <c r="D170" i="11"/>
  <c r="E169" i="11" a="1"/>
  <c r="E169" i="11"/>
  <c r="D169" i="11" a="1"/>
  <c r="D169" i="11" s="1"/>
  <c r="E168" i="11" a="1"/>
  <c r="E168" i="11" s="1"/>
  <c r="D168" i="11" a="1"/>
  <c r="D168" i="11" s="1"/>
  <c r="E167" i="11" a="1"/>
  <c r="E167" i="11" s="1"/>
  <c r="D167" i="11" a="1"/>
  <c r="D167" i="11" s="1"/>
  <c r="E166" i="11" a="1"/>
  <c r="E166" i="11" s="1"/>
  <c r="D166" i="11" a="1"/>
  <c r="D166" i="11" s="1"/>
  <c r="E165" i="11" a="1"/>
  <c r="E165" i="11" s="1"/>
  <c r="D165" i="11" a="1"/>
  <c r="D165" i="11" s="1"/>
  <c r="E164" i="11" a="1"/>
  <c r="E164" i="11" s="1"/>
  <c r="D164" i="11" a="1"/>
  <c r="D164" i="11" s="1"/>
  <c r="E163" i="11" a="1"/>
  <c r="E163" i="11" s="1"/>
  <c r="D163" i="11" a="1"/>
  <c r="D163" i="11" s="1"/>
  <c r="E162" i="11" a="1"/>
  <c r="E162" i="11" s="1"/>
  <c r="D162" i="11" a="1"/>
  <c r="D162" i="11" s="1"/>
  <c r="E161" i="11" a="1"/>
  <c r="E161" i="11" s="1"/>
  <c r="D161" i="11" a="1"/>
  <c r="D161" i="11" s="1"/>
  <c r="E160" i="11" a="1"/>
  <c r="E160" i="11"/>
  <c r="D160" i="11" a="1"/>
  <c r="D160" i="11" s="1"/>
  <c r="E159" i="11" a="1"/>
  <c r="E159" i="11" s="1"/>
  <c r="D159" i="11" a="1"/>
  <c r="D159" i="11"/>
  <c r="E158" i="11" a="1"/>
  <c r="E158" i="11"/>
  <c r="D158" i="11" a="1"/>
  <c r="D158" i="11" s="1"/>
  <c r="E157" i="11" a="1"/>
  <c r="E157" i="11"/>
  <c r="D157" i="11" a="1"/>
  <c r="D157" i="11" s="1"/>
  <c r="E156" i="11" a="1"/>
  <c r="E156" i="11" s="1"/>
  <c r="D156" i="11" a="1"/>
  <c r="D156" i="11"/>
  <c r="E155" i="11" a="1"/>
  <c r="E155" i="11" s="1"/>
  <c r="D155" i="11" a="1"/>
  <c r="D155" i="11" s="1"/>
  <c r="E154" i="11" a="1"/>
  <c r="E154" i="11" s="1"/>
  <c r="D154" i="11" a="1"/>
  <c r="D154" i="11" s="1"/>
  <c r="E153" i="11" a="1"/>
  <c r="E153" i="11" s="1"/>
  <c r="D153" i="11" a="1"/>
  <c r="D153" i="11" s="1"/>
  <c r="E152" i="11" a="1"/>
  <c r="E152" i="11" s="1"/>
  <c r="D152" i="11" a="1"/>
  <c r="D152" i="11" s="1"/>
  <c r="E151" i="11" a="1"/>
  <c r="E151" i="11" s="1"/>
  <c r="D151" i="11" a="1"/>
  <c r="D151" i="11" s="1"/>
  <c r="E150" i="11" a="1"/>
  <c r="E150" i="11" s="1"/>
  <c r="D150" i="11" a="1"/>
  <c r="D150" i="11" s="1"/>
  <c r="E149" i="11" a="1"/>
  <c r="E149" i="11" s="1"/>
  <c r="D149" i="11" a="1"/>
  <c r="D149" i="11"/>
  <c r="E148" i="11" a="1"/>
  <c r="E148" i="11" s="1"/>
  <c r="D148" i="11" a="1"/>
  <c r="D148" i="11" s="1"/>
  <c r="E147" i="11" a="1"/>
  <c r="E147" i="11" s="1"/>
  <c r="D147" i="11" a="1"/>
  <c r="D147" i="11"/>
  <c r="E146" i="11" a="1"/>
  <c r="E146" i="11" s="1"/>
  <c r="D146" i="11" a="1"/>
  <c r="D146" i="11" s="1"/>
  <c r="E145" i="11" a="1"/>
  <c r="E145" i="11"/>
  <c r="D145" i="11" a="1"/>
  <c r="D145" i="11" s="1"/>
  <c r="E144" i="11" a="1"/>
  <c r="E144" i="11" s="1"/>
  <c r="D144" i="11" a="1"/>
  <c r="D144" i="11" s="1"/>
  <c r="E143" i="11" a="1"/>
  <c r="E143" i="11"/>
  <c r="D143" i="11" a="1"/>
  <c r="D143" i="11" s="1"/>
  <c r="E142" i="11" a="1"/>
  <c r="E142" i="11"/>
  <c r="D142" i="11" a="1"/>
  <c r="D142" i="11" s="1"/>
  <c r="E141" i="11" a="1"/>
  <c r="E141" i="11" s="1"/>
  <c r="D141" i="11" a="1"/>
  <c r="D141" i="11" s="1"/>
  <c r="E140" i="11" a="1"/>
  <c r="E140" i="11" s="1"/>
  <c r="D140" i="11" a="1"/>
  <c r="D140" i="11"/>
  <c r="E139" i="11" a="1"/>
  <c r="E139" i="11" s="1"/>
  <c r="D139" i="11" a="1"/>
  <c r="D139" i="11" s="1"/>
  <c r="E138" i="11" a="1"/>
  <c r="E138" i="11" s="1"/>
  <c r="D138" i="11" a="1"/>
  <c r="D138" i="11" s="1"/>
  <c r="E137" i="11" a="1"/>
  <c r="E137" i="11"/>
  <c r="D137" i="11" a="1"/>
  <c r="D137" i="11" s="1"/>
  <c r="E136" i="11" a="1"/>
  <c r="E136" i="11" s="1"/>
  <c r="D136" i="11" a="1"/>
  <c r="D136" i="11" s="1"/>
  <c r="E135" i="11" a="1"/>
  <c r="E135" i="11"/>
  <c r="D135" i="11" a="1"/>
  <c r="D135" i="11" s="1"/>
  <c r="E134" i="11" a="1"/>
  <c r="E134" i="11" s="1"/>
  <c r="D134" i="11" a="1"/>
  <c r="D134" i="11"/>
  <c r="E133" i="11" a="1"/>
  <c r="E133" i="11" s="1"/>
  <c r="D133" i="11" a="1"/>
  <c r="D133" i="11" s="1"/>
  <c r="E132" i="11" a="1"/>
  <c r="E132" i="11" s="1"/>
  <c r="D132" i="11" a="1"/>
  <c r="D132" i="11"/>
  <c r="E131" i="11" a="1"/>
  <c r="E131" i="11" s="1"/>
  <c r="D131" i="11" a="1"/>
  <c r="D131" i="11"/>
  <c r="E130" i="11" a="1"/>
  <c r="E130" i="11"/>
  <c r="D130" i="11" a="1"/>
  <c r="D130" i="11" s="1"/>
  <c r="E129" i="11" a="1"/>
  <c r="E129" i="11" s="1"/>
  <c r="D129" i="11" a="1"/>
  <c r="D129" i="11"/>
  <c r="E128" i="11" a="1"/>
  <c r="E128" i="11" s="1"/>
  <c r="D128" i="11" a="1"/>
  <c r="D128" i="11" s="1"/>
  <c r="E127" i="11" a="1"/>
  <c r="E127" i="11"/>
  <c r="D127" i="11" a="1"/>
  <c r="D127" i="11" s="1"/>
  <c r="E126" i="11" a="1"/>
  <c r="E126" i="11" s="1"/>
  <c r="D126" i="11" a="1"/>
  <c r="D126" i="11" s="1"/>
  <c r="E125" i="11" a="1"/>
  <c r="E125" i="11" s="1"/>
  <c r="D125" i="11" a="1"/>
  <c r="D125" i="11"/>
  <c r="E124" i="11" a="1"/>
  <c r="E124" i="11"/>
  <c r="D124" i="11" a="1"/>
  <c r="D124" i="11" s="1"/>
  <c r="E123" i="11" a="1"/>
  <c r="E123" i="11"/>
  <c r="D123" i="11" a="1"/>
  <c r="D123" i="11"/>
  <c r="E122" i="11" a="1"/>
  <c r="E122" i="11" s="1"/>
  <c r="D122" i="11" a="1"/>
  <c r="D122" i="11" s="1"/>
  <c r="E121" i="11" a="1"/>
  <c r="E121" i="11"/>
  <c r="D121" i="11" a="1"/>
  <c r="D121" i="11"/>
  <c r="E120" i="11" a="1"/>
  <c r="E120" i="11" s="1"/>
  <c r="D120" i="11" a="1"/>
  <c r="D120" i="11"/>
  <c r="E119" i="11" a="1"/>
  <c r="E119" i="11"/>
  <c r="D119" i="11" a="1"/>
  <c r="D119" i="11" s="1"/>
  <c r="E118" i="11" a="1"/>
  <c r="E118" i="11" s="1"/>
  <c r="D118" i="11" a="1"/>
  <c r="D118" i="11" s="1"/>
  <c r="E117" i="11" a="1"/>
  <c r="E117" i="11" s="1"/>
  <c r="D117" i="11" a="1"/>
  <c r="D117" i="11" s="1"/>
  <c r="E116" i="11" a="1"/>
  <c r="E116" i="11" s="1"/>
  <c r="D116" i="11" a="1"/>
  <c r="D116" i="11"/>
  <c r="E115" i="11" a="1"/>
  <c r="E115" i="11" s="1"/>
  <c r="D115" i="11" a="1"/>
  <c r="D115" i="11" s="1"/>
  <c r="E114" i="11" a="1"/>
  <c r="E114" i="11" s="1"/>
  <c r="D114" i="11" a="1"/>
  <c r="D114" i="11" s="1"/>
  <c r="E113" i="11" a="1"/>
  <c r="E113" i="11"/>
  <c r="D113" i="11" a="1"/>
  <c r="D113" i="11" s="1"/>
  <c r="E112" i="11" a="1"/>
  <c r="E112" i="11"/>
  <c r="D112" i="11" a="1"/>
  <c r="D112" i="11" s="1"/>
  <c r="E111" i="11" a="1"/>
  <c r="E111" i="11" s="1"/>
  <c r="D111" i="11" a="1"/>
  <c r="D111" i="11" s="1"/>
  <c r="E110" i="11" a="1"/>
  <c r="E110" i="11" s="1"/>
  <c r="D110" i="11" a="1"/>
  <c r="D110" i="11"/>
  <c r="E109" i="11" a="1"/>
  <c r="E109" i="11"/>
  <c r="D109" i="11" a="1"/>
  <c r="D109" i="11" s="1"/>
  <c r="E108" i="11" a="1"/>
  <c r="E108" i="11" s="1"/>
  <c r="D108" i="11" a="1"/>
  <c r="D108" i="11" s="1"/>
  <c r="E107" i="11" a="1"/>
  <c r="E107" i="11" s="1"/>
  <c r="D107" i="11" a="1"/>
  <c r="D107" i="11" s="1"/>
  <c r="E106" i="11" a="1"/>
  <c r="E106" i="11"/>
  <c r="D106" i="11" a="1"/>
  <c r="D106" i="11" s="1"/>
  <c r="E105" i="11" a="1"/>
  <c r="E105" i="11" s="1"/>
  <c r="D105" i="11" a="1"/>
  <c r="D105" i="11" s="1"/>
  <c r="E104" i="11" a="1"/>
  <c r="E104" i="11" s="1"/>
  <c r="D104" i="11" a="1"/>
  <c r="D104" i="11"/>
  <c r="E103" i="11" a="1"/>
  <c r="E103" i="11" s="1"/>
  <c r="D103" i="11" a="1"/>
  <c r="D103" i="11" s="1"/>
  <c r="E102" i="11" a="1"/>
  <c r="E102" i="11" s="1"/>
  <c r="D102" i="11" a="1"/>
  <c r="D102" i="11" s="1"/>
  <c r="E101" i="11" a="1"/>
  <c r="E101" i="11" s="1"/>
  <c r="D101" i="11" a="1"/>
  <c r="D101" i="11"/>
  <c r="E100" i="11" a="1"/>
  <c r="E100" i="11" s="1"/>
  <c r="D100" i="11" a="1"/>
  <c r="D100" i="11" s="1"/>
  <c r="E99" i="11" a="1"/>
  <c r="E99" i="11"/>
  <c r="D99" i="11" a="1"/>
  <c r="D99" i="11" s="1"/>
  <c r="E98" i="11" a="1"/>
  <c r="E98" i="11" s="1"/>
  <c r="D98" i="11" a="1"/>
  <c r="D98" i="11" s="1"/>
  <c r="E97" i="11" a="1"/>
  <c r="E97" i="11"/>
  <c r="D97" i="11" a="1"/>
  <c r="D97" i="11" s="1"/>
  <c r="E96" i="11" a="1"/>
  <c r="E96" i="11"/>
  <c r="D96" i="11" a="1"/>
  <c r="D96" i="11"/>
  <c r="E95" i="11" a="1"/>
  <c r="E95" i="11" s="1"/>
  <c r="D95" i="11" a="1"/>
  <c r="D95" i="11" s="1"/>
  <c r="E94" i="11" a="1"/>
  <c r="E94" i="11"/>
  <c r="D94" i="11" a="1"/>
  <c r="D94" i="11" s="1"/>
  <c r="E93" i="11" a="1"/>
  <c r="E93" i="11" s="1"/>
  <c r="D93" i="11" a="1"/>
  <c r="D93" i="11" s="1"/>
  <c r="E92" i="11" a="1"/>
  <c r="E92" i="11" s="1"/>
  <c r="D92" i="11" a="1"/>
  <c r="D92" i="11"/>
  <c r="E91" i="11" a="1"/>
  <c r="E91" i="11" s="1"/>
  <c r="D91" i="11" a="1"/>
  <c r="D91" i="11" s="1"/>
  <c r="E90" i="11" a="1"/>
  <c r="E90" i="11" s="1"/>
  <c r="D90" i="11" a="1"/>
  <c r="D90" i="11" s="1"/>
  <c r="E89" i="11" a="1"/>
  <c r="E89" i="11"/>
  <c r="D89" i="11" a="1"/>
  <c r="D89" i="11" s="1"/>
  <c r="E88" i="11" a="1"/>
  <c r="E88" i="11"/>
  <c r="D88" i="11" a="1"/>
  <c r="D88" i="11" s="1"/>
  <c r="E87" i="11" a="1"/>
  <c r="E87" i="11" s="1"/>
  <c r="D87" i="11" a="1"/>
  <c r="D87" i="11" s="1"/>
  <c r="E86" i="11" a="1"/>
  <c r="E86" i="11"/>
  <c r="D86" i="11" a="1"/>
  <c r="D86" i="11"/>
  <c r="E85" i="11" a="1"/>
  <c r="E85" i="11" s="1"/>
  <c r="D85" i="11" a="1"/>
  <c r="D85" i="11"/>
  <c r="E84" i="11" a="1"/>
  <c r="E84" i="11" s="1"/>
  <c r="D84" i="11" a="1"/>
  <c r="D84" i="11" s="1"/>
  <c r="E83" i="11" a="1"/>
  <c r="E83" i="11" s="1"/>
  <c r="D83" i="11" a="1"/>
  <c r="D83" i="11"/>
  <c r="E82" i="11" a="1"/>
  <c r="E82" i="11" s="1"/>
  <c r="D82" i="11" a="1"/>
  <c r="D82" i="11" s="1"/>
  <c r="E81" i="11" a="1"/>
  <c r="E81" i="11" s="1"/>
  <c r="D81" i="11" a="1"/>
  <c r="D81" i="11"/>
  <c r="E80" i="11" a="1"/>
  <c r="E80" i="11" s="1"/>
  <c r="D80" i="11" a="1"/>
  <c r="D80" i="11" s="1"/>
  <c r="E79" i="11" a="1"/>
  <c r="E79" i="11" s="1"/>
  <c r="D79" i="11" a="1"/>
  <c r="D79" i="11" s="1"/>
  <c r="E78" i="11" a="1"/>
  <c r="E78" i="11" s="1"/>
  <c r="D78" i="11" a="1"/>
  <c r="D78" i="11" s="1"/>
  <c r="E77" i="11" a="1"/>
  <c r="E77" i="11" s="1"/>
  <c r="D77" i="11" a="1"/>
  <c r="D77" i="11"/>
  <c r="E76" i="11" a="1"/>
  <c r="E76" i="11" s="1"/>
  <c r="D76" i="11" a="1"/>
  <c r="D76" i="11" s="1"/>
  <c r="E75" i="11" a="1"/>
  <c r="E75" i="11" s="1"/>
  <c r="D75" i="11" a="1"/>
  <c r="D75" i="11" s="1"/>
  <c r="E74" i="11" a="1"/>
  <c r="E74" i="11" s="1"/>
  <c r="D74" i="11" a="1"/>
  <c r="D74" i="11" s="1"/>
  <c r="E73" i="11" a="1"/>
  <c r="E73" i="11"/>
  <c r="D73" i="11" a="1"/>
  <c r="D73" i="11"/>
  <c r="E72" i="11" a="1"/>
  <c r="E72" i="11" s="1"/>
  <c r="D72" i="11" a="1"/>
  <c r="D72" i="11" s="1"/>
  <c r="E71" i="11" a="1"/>
  <c r="E71" i="11" s="1"/>
  <c r="D71" i="11" a="1"/>
  <c r="D71" i="11"/>
  <c r="E70" i="11" a="1"/>
  <c r="E70" i="11" s="1"/>
  <c r="D70" i="11" a="1"/>
  <c r="D70" i="11"/>
  <c r="E69" i="11" a="1"/>
  <c r="E69" i="11" s="1"/>
  <c r="D69" i="11" a="1"/>
  <c r="D69" i="11" s="1"/>
  <c r="E68" i="11" a="1"/>
  <c r="E68" i="11" s="1"/>
  <c r="D68" i="11" a="1"/>
  <c r="D68" i="11" s="1"/>
  <c r="E67" i="11" a="1"/>
  <c r="E67" i="11" s="1"/>
  <c r="D67" i="11" a="1"/>
  <c r="D67" i="11" s="1"/>
  <c r="E66" i="11" a="1"/>
  <c r="E66" i="11" s="1"/>
  <c r="D66" i="11" a="1"/>
  <c r="D66" i="11" s="1"/>
  <c r="E65" i="11" a="1"/>
  <c r="E65" i="11" s="1"/>
  <c r="D65" i="11" a="1"/>
  <c r="D65" i="11" s="1"/>
  <c r="E64" i="11" a="1"/>
  <c r="E64" i="11"/>
  <c r="D64" i="11" a="1"/>
  <c r="D64" i="11" s="1"/>
  <c r="E63" i="11" a="1"/>
  <c r="E63" i="11" s="1"/>
  <c r="D63" i="11" a="1"/>
  <c r="D63" i="11" s="1"/>
  <c r="E62" i="11" a="1"/>
  <c r="E62" i="11"/>
  <c r="D62" i="11" a="1"/>
  <c r="D62" i="11" s="1"/>
  <c r="E61" i="11" a="1"/>
  <c r="E61" i="11"/>
  <c r="D61" i="11" a="1"/>
  <c r="D61" i="11"/>
  <c r="E60" i="11" a="1"/>
  <c r="E60" i="11" s="1"/>
  <c r="D60" i="11" a="1"/>
  <c r="D60" i="11" s="1"/>
  <c r="E59" i="11" a="1"/>
  <c r="E59" i="11" s="1"/>
  <c r="D59" i="11" a="1"/>
  <c r="D59" i="11"/>
  <c r="E58" i="11" a="1"/>
  <c r="E58" i="11" s="1"/>
  <c r="D58" i="11" a="1"/>
  <c r="D58" i="11" s="1"/>
  <c r="E57" i="11" a="1"/>
  <c r="E57" i="11" s="1"/>
  <c r="D57" i="11" a="1"/>
  <c r="D57" i="11" s="1"/>
  <c r="E56" i="11" a="1"/>
  <c r="E56" i="11" s="1"/>
  <c r="D56" i="11" a="1"/>
  <c r="D56" i="11" s="1"/>
  <c r="E55" i="11" a="1"/>
  <c r="E55" i="11" s="1"/>
  <c r="D55" i="11" a="1"/>
  <c r="D55" i="11" s="1"/>
  <c r="E54" i="11" a="1"/>
  <c r="E54" i="11" s="1"/>
  <c r="D54" i="11" a="1"/>
  <c r="D54" i="11" s="1"/>
  <c r="E53" i="11" a="1"/>
  <c r="E53" i="11" s="1"/>
  <c r="D53" i="11" a="1"/>
  <c r="D53" i="11"/>
  <c r="E52" i="11" a="1"/>
  <c r="E52" i="11" s="1"/>
  <c r="D52" i="11" a="1"/>
  <c r="D52" i="11" s="1"/>
  <c r="E51" i="11" a="1"/>
  <c r="E51" i="11" s="1"/>
  <c r="D51" i="11" a="1"/>
  <c r="D51" i="11" s="1"/>
  <c r="E50" i="11" a="1"/>
  <c r="E50" i="11"/>
  <c r="D50" i="11" a="1"/>
  <c r="D50" i="11" s="1"/>
  <c r="E49" i="11" a="1"/>
  <c r="E49" i="11"/>
  <c r="D49" i="11" a="1"/>
  <c r="D49" i="11"/>
  <c r="E48" i="11" a="1"/>
  <c r="E48" i="11" s="1"/>
  <c r="D48" i="11" a="1"/>
  <c r="D48" i="11" s="1"/>
  <c r="E47" i="11" a="1"/>
  <c r="E47" i="11"/>
  <c r="D47" i="11" a="1"/>
  <c r="D47" i="11" s="1"/>
  <c r="E46" i="11" a="1"/>
  <c r="E46" i="11"/>
  <c r="D46" i="11" a="1"/>
  <c r="D46" i="11" s="1"/>
  <c r="E45" i="11" a="1"/>
  <c r="E45" i="11" s="1"/>
  <c r="D45" i="11" a="1"/>
  <c r="D45" i="11" s="1"/>
  <c r="E44" i="11" a="1"/>
  <c r="E44" i="11" s="1"/>
  <c r="D44" i="11" a="1"/>
  <c r="D44" i="11" s="1"/>
  <c r="E43" i="11" a="1"/>
  <c r="E43" i="11"/>
  <c r="D43" i="11" a="1"/>
  <c r="D43" i="11" s="1"/>
  <c r="E42" i="11" a="1"/>
  <c r="E42" i="11" s="1"/>
  <c r="D42" i="11" a="1"/>
  <c r="D42" i="11" s="1"/>
  <c r="E41" i="11" a="1"/>
  <c r="E41" i="11" s="1"/>
  <c r="D41" i="11" a="1"/>
  <c r="D41" i="11" s="1"/>
  <c r="E40" i="11" a="1"/>
  <c r="E40" i="11" s="1"/>
  <c r="D40" i="11" a="1"/>
  <c r="D40" i="11" s="1"/>
  <c r="E39" i="11" a="1"/>
  <c r="E39" i="11" s="1"/>
  <c r="D39" i="11" a="1"/>
  <c r="D39" i="11" s="1"/>
  <c r="E38" i="11" a="1"/>
  <c r="E38" i="11"/>
  <c r="D38" i="11" a="1"/>
  <c r="D38" i="11" s="1"/>
  <c r="E37" i="11" a="1"/>
  <c r="E37" i="11"/>
  <c r="D37" i="11" a="1"/>
  <c r="D37" i="11" s="1"/>
  <c r="E36" i="11" a="1"/>
  <c r="E36" i="11" s="1"/>
  <c r="D36" i="11" a="1"/>
  <c r="D36" i="11" s="1"/>
  <c r="E35" i="11" a="1"/>
  <c r="E35" i="11"/>
  <c r="D35" i="11" a="1"/>
  <c r="D35" i="11" s="1"/>
  <c r="E34" i="11" a="1"/>
  <c r="E34" i="11"/>
  <c r="D34" i="11" a="1"/>
  <c r="D34" i="11" s="1"/>
  <c r="E33" i="11" a="1"/>
  <c r="E33" i="11" s="1"/>
  <c r="D33" i="11" a="1"/>
  <c r="D33" i="11" s="1"/>
  <c r="E32" i="11" a="1"/>
  <c r="E32" i="11" s="1"/>
  <c r="D32" i="11" a="1"/>
  <c r="D32" i="11"/>
  <c r="E31" i="11" a="1"/>
  <c r="E31" i="11" s="1"/>
  <c r="D31" i="11" a="1"/>
  <c r="D31" i="11" s="1"/>
  <c r="E30" i="11" a="1"/>
  <c r="E30" i="11" s="1"/>
  <c r="D30" i="11" a="1"/>
  <c r="D30" i="11" s="1"/>
  <c r="E29" i="11" a="1"/>
  <c r="E29" i="11"/>
  <c r="D29" i="11" a="1"/>
  <c r="D29" i="11" s="1"/>
  <c r="E28" i="11" a="1"/>
  <c r="E28" i="11" s="1"/>
  <c r="D28" i="11" a="1"/>
  <c r="D28" i="11" s="1"/>
  <c r="E27" i="11" a="1"/>
  <c r="E27" i="11"/>
  <c r="D27" i="11" a="1"/>
  <c r="D27" i="11" s="1"/>
  <c r="E26" i="11" a="1"/>
  <c r="E26" i="11" s="1"/>
  <c r="D26" i="11" a="1"/>
  <c r="D26" i="11"/>
  <c r="E25" i="11" a="1"/>
  <c r="E25" i="11" s="1"/>
  <c r="D25" i="11" a="1"/>
  <c r="D25" i="11" s="1"/>
  <c r="E24" i="11" a="1"/>
  <c r="E24" i="11"/>
  <c r="D24" i="11" a="1"/>
  <c r="D24" i="11" s="1"/>
  <c r="E23" i="11" a="1"/>
  <c r="E23" i="11"/>
  <c r="D23" i="11" a="1"/>
  <c r="D23" i="11"/>
  <c r="E22" i="11" a="1"/>
  <c r="E22" i="11" s="1"/>
  <c r="D22" i="11" a="1"/>
  <c r="D22" i="11" s="1"/>
  <c r="E21" i="11" a="1"/>
  <c r="E21" i="11"/>
  <c r="D21" i="11" a="1"/>
  <c r="D21" i="11" s="1"/>
  <c r="E20" i="11" a="1"/>
  <c r="E20" i="11" s="1"/>
  <c r="D20" i="11" a="1"/>
  <c r="D20" i="11"/>
  <c r="E19" i="11" a="1"/>
  <c r="E19" i="11" s="1"/>
  <c r="D19" i="11" a="1"/>
  <c r="D19" i="11" s="1"/>
  <c r="E18" i="11" a="1"/>
  <c r="E18" i="11" s="1"/>
  <c r="D18" i="11" a="1"/>
  <c r="D18" i="11" s="1"/>
  <c r="E17" i="11" a="1"/>
  <c r="E17" i="11"/>
  <c r="D17" i="11" a="1"/>
  <c r="D17" i="11" s="1"/>
  <c r="E16" i="11" a="1"/>
  <c r="E16" i="11" s="1"/>
  <c r="D16" i="11" a="1"/>
  <c r="D16" i="11" s="1"/>
  <c r="E15" i="11" a="1"/>
  <c r="E15" i="11"/>
  <c r="D15" i="11" a="1"/>
  <c r="D15" i="11" s="1"/>
  <c r="E14" i="11" a="1"/>
  <c r="E14" i="11" s="1"/>
  <c r="D14" i="11" a="1"/>
  <c r="D14" i="11"/>
  <c r="E13" i="11" a="1"/>
  <c r="E13" i="11"/>
  <c r="D13" i="11" a="1"/>
  <c r="D13" i="11" s="1"/>
  <c r="E12" i="11" a="1"/>
  <c r="E12" i="11"/>
  <c r="D12" i="11" a="1"/>
  <c r="D12" i="11" s="1"/>
  <c r="E11" i="11" a="1"/>
  <c r="E11" i="11" s="1"/>
  <c r="D11" i="11" a="1"/>
  <c r="D11" i="11" s="1"/>
  <c r="E10" i="11" a="1"/>
  <c r="E10" i="11" s="1"/>
  <c r="D10" i="11" a="1"/>
  <c r="D10" i="11" s="1"/>
  <c r="E9" i="11" a="1"/>
  <c r="E9" i="11" s="1"/>
  <c r="D9" i="11" a="1"/>
  <c r="D9" i="11"/>
  <c r="E8" i="11" a="1"/>
  <c r="E8" i="11" s="1"/>
  <c r="D8" i="11" a="1"/>
  <c r="D8" i="11" s="1"/>
  <c r="A8" i="1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E7" i="11" a="1"/>
  <c r="E7" i="11" s="1"/>
  <c r="D7" i="11" a="1"/>
  <c r="D7" i="11" s="1"/>
  <c r="A7" i="11"/>
  <c r="AI6" i="11"/>
  <c r="AH6" i="11"/>
  <c r="AG6" i="11"/>
  <c r="AF6" i="11"/>
  <c r="AE6" i="11"/>
  <c r="AD6" i="11"/>
  <c r="C178" i="2" s="1"/>
  <c r="AC6" i="11"/>
  <c r="C177" i="2" s="1"/>
  <c r="AB6" i="11"/>
  <c r="AA6" i="11"/>
  <c r="C175" i="2" s="1"/>
  <c r="X6" i="11"/>
  <c r="W6" i="11"/>
  <c r="V6" i="11"/>
  <c r="U6" i="11"/>
  <c r="T6" i="11"/>
  <c r="S6" i="11"/>
  <c r="R6" i="11"/>
  <c r="Q6" i="11"/>
  <c r="P6" i="11"/>
  <c r="A3" i="11"/>
  <c r="A1" i="11"/>
  <c r="D44" i="5"/>
  <c r="B44" i="5"/>
  <c r="I35" i="5"/>
  <c r="H35" i="5"/>
  <c r="E35" i="5"/>
  <c r="H33" i="5"/>
  <c r="I33" i="5" s="1"/>
  <c r="E33" i="5"/>
  <c r="I32" i="5"/>
  <c r="H32" i="5"/>
  <c r="E32" i="5"/>
  <c r="H30" i="5"/>
  <c r="I30" i="5" s="1"/>
  <c r="E30" i="5"/>
  <c r="H27" i="5"/>
  <c r="I27" i="5" s="1"/>
  <c r="E27" i="5"/>
  <c r="F25" i="5"/>
  <c r="F9" i="5" s="1"/>
  <c r="H24" i="5"/>
  <c r="I24" i="5" s="1"/>
  <c r="E24" i="5"/>
  <c r="G15" i="5"/>
  <c r="F15" i="5"/>
  <c r="D15" i="5"/>
  <c r="C15" i="5"/>
  <c r="E15" i="5" s="1"/>
  <c r="G11" i="5"/>
  <c r="H11" i="5" s="1"/>
  <c r="F11" i="5"/>
  <c r="D11" i="5"/>
  <c r="C11" i="5"/>
  <c r="E11" i="5" s="1"/>
  <c r="G8" i="5"/>
  <c r="F8" i="5"/>
  <c r="D8" i="5"/>
  <c r="C8" i="5"/>
  <c r="E8" i="5" s="1"/>
  <c r="A3" i="5"/>
  <c r="A1" i="5"/>
  <c r="E67" i="4"/>
  <c r="C67" i="4"/>
  <c r="G53" i="4"/>
  <c r="G52" i="4" s="1"/>
  <c r="F53" i="4"/>
  <c r="F52" i="4"/>
  <c r="G48" i="4"/>
  <c r="G47" i="4" s="1"/>
  <c r="G57" i="4" s="1"/>
  <c r="F48" i="4"/>
  <c r="F47" i="4" s="1"/>
  <c r="F57" i="4" s="1"/>
  <c r="G41" i="4"/>
  <c r="F41" i="4"/>
  <c r="G37" i="4"/>
  <c r="G45" i="4" s="1"/>
  <c r="F37" i="4"/>
  <c r="F45" i="4" s="1"/>
  <c r="F35" i="4"/>
  <c r="G18" i="4"/>
  <c r="F18" i="4"/>
  <c r="G7" i="4"/>
  <c r="G35" i="4" s="1"/>
  <c r="F7" i="4"/>
  <c r="G5" i="4"/>
  <c r="F5" i="4"/>
  <c r="A3" i="4"/>
  <c r="A1" i="4"/>
  <c r="D2223" i="3"/>
  <c r="C2223" i="3"/>
  <c r="C70" i="2" s="1"/>
  <c r="G2222" i="3"/>
  <c r="G2221" i="3"/>
  <c r="G2220" i="3"/>
  <c r="G2219" i="3" s="1"/>
  <c r="F2219" i="3"/>
  <c r="E2219" i="3"/>
  <c r="G2218" i="3"/>
  <c r="H153" i="30" s="1"/>
  <c r="G2217" i="3"/>
  <c r="G2216" i="3"/>
  <c r="H152" i="30" s="1"/>
  <c r="G2215" i="3"/>
  <c r="G2214" i="3"/>
  <c r="H151" i="30" s="1"/>
  <c r="G2213" i="3"/>
  <c r="G2212" i="3"/>
  <c r="H150" i="30" s="1"/>
  <c r="G2211" i="3"/>
  <c r="G2210" i="3"/>
  <c r="H149" i="30" s="1"/>
  <c r="G2209" i="3"/>
  <c r="G2208" i="3"/>
  <c r="G2207" i="3"/>
  <c r="G2206" i="3"/>
  <c r="H147" i="30" s="1"/>
  <c r="G2205" i="3"/>
  <c r="F2204" i="3"/>
  <c r="E2204" i="3"/>
  <c r="G2203" i="3"/>
  <c r="H145" i="30" s="1"/>
  <c r="G2202" i="3"/>
  <c r="G2201" i="3"/>
  <c r="H144" i="30" s="1"/>
  <c r="G2200" i="3"/>
  <c r="G2199" i="3"/>
  <c r="H143" i="30" s="1"/>
  <c r="G2198" i="3"/>
  <c r="F2197" i="3"/>
  <c r="E2197" i="3"/>
  <c r="G2196" i="3"/>
  <c r="H141" i="30" s="1"/>
  <c r="G2195" i="3"/>
  <c r="G2194" i="3"/>
  <c r="H140" i="30" s="1"/>
  <c r="G2193" i="3"/>
  <c r="G2192" i="3"/>
  <c r="H139" i="30" s="1"/>
  <c r="G2191" i="3"/>
  <c r="G2190" i="3"/>
  <c r="H138" i="30" s="1"/>
  <c r="G2189" i="3"/>
  <c r="G2188" i="3"/>
  <c r="H137" i="30" s="1"/>
  <c r="G2187" i="3"/>
  <c r="G2186" i="3"/>
  <c r="H136" i="30" s="1"/>
  <c r="G2185" i="3"/>
  <c r="G2184" i="3"/>
  <c r="H135" i="30" s="1"/>
  <c r="G2183" i="3"/>
  <c r="G2182" i="3" s="1"/>
  <c r="F2182" i="3"/>
  <c r="E2182" i="3"/>
  <c r="G2181" i="3"/>
  <c r="H133" i="30" s="1"/>
  <c r="G2180" i="3"/>
  <c r="G2179" i="3"/>
  <c r="H132" i="30" s="1"/>
  <c r="G2178" i="3"/>
  <c r="G2177" i="3"/>
  <c r="H131" i="30" s="1"/>
  <c r="H130" i="30" s="1"/>
  <c r="G2176" i="3"/>
  <c r="G2175" i="3" s="1"/>
  <c r="F2175" i="3"/>
  <c r="E2175" i="3"/>
  <c r="G2174" i="3"/>
  <c r="H129" i="30" s="1"/>
  <c r="G2173" i="3"/>
  <c r="G2172" i="3"/>
  <c r="H128" i="30" s="1"/>
  <c r="G2171" i="3"/>
  <c r="G2170" i="3"/>
  <c r="H127" i="30" s="1"/>
  <c r="G2169" i="3"/>
  <c r="G2168" i="3"/>
  <c r="H126" i="30" s="1"/>
  <c r="G2167" i="3"/>
  <c r="G2166" i="3"/>
  <c r="H125" i="30" s="1"/>
  <c r="G2165" i="3"/>
  <c r="G2164" i="3"/>
  <c r="H124" i="30" s="1"/>
  <c r="G2163" i="3"/>
  <c r="G2162" i="3"/>
  <c r="H123" i="30" s="1"/>
  <c r="G2161" i="3"/>
  <c r="G2160" i="3"/>
  <c r="H122" i="30" s="1"/>
  <c r="G2159" i="3"/>
  <c r="G2158" i="3"/>
  <c r="H121" i="30" s="1"/>
  <c r="G2157" i="3"/>
  <c r="F2156" i="3"/>
  <c r="E2156" i="3"/>
  <c r="G2155" i="3"/>
  <c r="H119" i="30" s="1"/>
  <c r="G2154" i="3"/>
  <c r="G2153" i="3"/>
  <c r="H118" i="30" s="1"/>
  <c r="G2152" i="3"/>
  <c r="G2151" i="3"/>
  <c r="H117" i="30" s="1"/>
  <c r="G2150" i="3"/>
  <c r="G2149" i="3"/>
  <c r="H116" i="30" s="1"/>
  <c r="G2148" i="3"/>
  <c r="G2147" i="3"/>
  <c r="H115" i="30" s="1"/>
  <c r="G2146" i="3"/>
  <c r="G2145" i="3"/>
  <c r="H114" i="30" s="1"/>
  <c r="G2144" i="3"/>
  <c r="G2143" i="3"/>
  <c r="H113" i="30" s="1"/>
  <c r="G2142" i="3"/>
  <c r="G2141" i="3"/>
  <c r="H112" i="30" s="1"/>
  <c r="G2140" i="3"/>
  <c r="G2139" i="3"/>
  <c r="H111" i="30" s="1"/>
  <c r="G2138" i="3"/>
  <c r="F2137" i="3"/>
  <c r="E2137" i="3"/>
  <c r="G2136" i="3"/>
  <c r="H109" i="30" s="1"/>
  <c r="G2135" i="3"/>
  <c r="G2134" i="3"/>
  <c r="H108" i="30" s="1"/>
  <c r="G2133" i="3"/>
  <c r="G2132" i="3"/>
  <c r="H107" i="30" s="1"/>
  <c r="G2131" i="3"/>
  <c r="G2130" i="3"/>
  <c r="H106" i="30" s="1"/>
  <c r="G2129" i="3"/>
  <c r="G2128" i="3"/>
  <c r="G2127" i="3"/>
  <c r="H31" i="30" s="1"/>
  <c r="G2126" i="3"/>
  <c r="H104" i="30" s="1"/>
  <c r="G2125" i="3"/>
  <c r="G2124" i="3"/>
  <c r="H103" i="30" s="1"/>
  <c r="G2123" i="3"/>
  <c r="G2122" i="3"/>
  <c r="H102" i="30" s="1"/>
  <c r="G2121" i="3"/>
  <c r="G2120" i="3"/>
  <c r="H101" i="30" s="1"/>
  <c r="G2119" i="3"/>
  <c r="F2118" i="3"/>
  <c r="F2083" i="3" s="1"/>
  <c r="E2118" i="3"/>
  <c r="E2083" i="3" s="1"/>
  <c r="G2083" i="3" s="1"/>
  <c r="G2117" i="3"/>
  <c r="G2116" i="3"/>
  <c r="G2115" i="3"/>
  <c r="H98" i="30" s="1"/>
  <c r="G2114" i="3"/>
  <c r="G2113" i="3"/>
  <c r="H97" i="30" s="1"/>
  <c r="G2112" i="3"/>
  <c r="G2111" i="3"/>
  <c r="H96" i="30" s="1"/>
  <c r="G2110" i="3"/>
  <c r="G2109" i="3"/>
  <c r="H95" i="30" s="1"/>
  <c r="G2108" i="3"/>
  <c r="G2107" i="3"/>
  <c r="H94" i="30" s="1"/>
  <c r="G2106" i="3"/>
  <c r="G2105" i="3"/>
  <c r="H93" i="30" s="1"/>
  <c r="G2104" i="3"/>
  <c r="G2103" i="3"/>
  <c r="H92" i="30" s="1"/>
  <c r="G2102" i="3"/>
  <c r="G2101" i="3"/>
  <c r="G2100" i="3"/>
  <c r="F2099" i="3"/>
  <c r="E2099" i="3"/>
  <c r="G2098" i="3"/>
  <c r="H89" i="30" s="1"/>
  <c r="G2097" i="3"/>
  <c r="G2096" i="3"/>
  <c r="H88" i="30" s="1"/>
  <c r="G2095" i="3"/>
  <c r="G2094" i="3"/>
  <c r="H87" i="30" s="1"/>
  <c r="G2093" i="3"/>
  <c r="G2092" i="3"/>
  <c r="H86" i="30" s="1"/>
  <c r="G2091" i="3"/>
  <c r="G2090" i="3"/>
  <c r="H85" i="30" s="1"/>
  <c r="G2089" i="3"/>
  <c r="G2088" i="3"/>
  <c r="H84" i="30" s="1"/>
  <c r="G2087" i="3"/>
  <c r="G2086" i="3"/>
  <c r="H83" i="30" s="1"/>
  <c r="H82" i="30" s="1"/>
  <c r="G2085" i="3"/>
  <c r="F2084" i="3"/>
  <c r="E2084" i="3"/>
  <c r="G2082" i="3"/>
  <c r="G2081" i="3"/>
  <c r="G2080" i="3"/>
  <c r="G2079" i="3"/>
  <c r="G2078" i="3"/>
  <c r="G2077" i="3"/>
  <c r="G2076" i="3"/>
  <c r="G2075" i="3"/>
  <c r="G2074" i="3"/>
  <c r="G2073" i="3"/>
  <c r="G2072" i="3"/>
  <c r="G2071" i="3"/>
  <c r="G2070" i="3"/>
  <c r="G2069" i="3"/>
  <c r="F2068" i="3"/>
  <c r="E2068" i="3"/>
  <c r="G2067" i="3"/>
  <c r="G2066" i="3"/>
  <c r="G2065" i="3"/>
  <c r="G2064" i="3"/>
  <c r="G2063" i="3"/>
  <c r="G2062" i="3"/>
  <c r="F2061" i="3"/>
  <c r="E2061" i="3"/>
  <c r="G2060" i="3"/>
  <c r="G2059" i="3"/>
  <c r="G2058" i="3"/>
  <c r="G2057" i="3"/>
  <c r="G2056" i="3"/>
  <c r="G2055" i="3"/>
  <c r="G2054" i="3"/>
  <c r="G2053" i="3"/>
  <c r="G2052" i="3"/>
  <c r="G2051" i="3"/>
  <c r="G2050" i="3"/>
  <c r="G2049" i="3"/>
  <c r="G2048" i="3"/>
  <c r="G2047" i="3"/>
  <c r="F2046" i="3"/>
  <c r="E2046" i="3"/>
  <c r="G2045" i="3"/>
  <c r="G2044" i="3"/>
  <c r="G2043" i="3"/>
  <c r="G2042" i="3"/>
  <c r="G2041" i="3"/>
  <c r="G2040" i="3"/>
  <c r="F2039" i="3"/>
  <c r="E2039" i="3"/>
  <c r="G2038" i="3"/>
  <c r="G2037" i="3"/>
  <c r="G2036" i="3"/>
  <c r="G2035" i="3"/>
  <c r="G2034" i="3"/>
  <c r="G2033" i="3"/>
  <c r="G2032" i="3"/>
  <c r="G2031" i="3"/>
  <c r="G2030" i="3"/>
  <c r="G2029" i="3"/>
  <c r="G2028" i="3"/>
  <c r="G2027" i="3"/>
  <c r="G2026" i="3"/>
  <c r="G2025" i="3"/>
  <c r="G2024" i="3"/>
  <c r="G2020" i="3" s="1"/>
  <c r="G2023" i="3"/>
  <c r="G2022" i="3"/>
  <c r="G2021" i="3"/>
  <c r="F2020" i="3"/>
  <c r="E2020" i="3"/>
  <c r="G2019" i="3"/>
  <c r="G2018" i="3"/>
  <c r="G2017" i="3"/>
  <c r="G2016" i="3"/>
  <c r="G2015" i="3"/>
  <c r="G2014" i="3"/>
  <c r="G2013" i="3"/>
  <c r="G2012" i="3"/>
  <c r="G2011" i="3"/>
  <c r="G2010" i="3"/>
  <c r="G2009" i="3"/>
  <c r="G2008" i="3"/>
  <c r="G2007" i="3"/>
  <c r="G2006" i="3"/>
  <c r="G2005" i="3"/>
  <c r="G2004" i="3"/>
  <c r="G2003" i="3"/>
  <c r="G2002" i="3"/>
  <c r="G2001" i="3" s="1"/>
  <c r="F2001" i="3"/>
  <c r="E2001" i="3"/>
  <c r="G2000" i="3"/>
  <c r="G1999" i="3"/>
  <c r="G1998" i="3"/>
  <c r="G1997" i="3"/>
  <c r="G1996" i="3"/>
  <c r="G1995" i="3"/>
  <c r="G1994" i="3"/>
  <c r="G1993" i="3"/>
  <c r="G1992" i="3"/>
  <c r="G1991" i="3"/>
  <c r="G1990" i="3"/>
  <c r="G1989" i="3"/>
  <c r="G1988" i="3"/>
  <c r="G1987" i="3"/>
  <c r="G1986" i="3"/>
  <c r="G1985" i="3"/>
  <c r="G1984" i="3"/>
  <c r="G1983" i="3"/>
  <c r="F1982" i="3"/>
  <c r="E1982" i="3"/>
  <c r="G1981" i="3"/>
  <c r="G1980" i="3"/>
  <c r="G1979" i="3"/>
  <c r="G1978" i="3"/>
  <c r="G1977" i="3"/>
  <c r="G1976" i="3"/>
  <c r="G1975" i="3"/>
  <c r="G1974" i="3"/>
  <c r="G1973" i="3"/>
  <c r="G1972" i="3"/>
  <c r="G1971" i="3"/>
  <c r="G1970" i="3"/>
  <c r="G1969" i="3"/>
  <c r="G1968" i="3"/>
  <c r="G1967" i="3"/>
  <c r="G1966" i="3"/>
  <c r="G1965" i="3"/>
  <c r="G1964" i="3"/>
  <c r="F1963" i="3"/>
  <c r="E1963" i="3"/>
  <c r="G1962" i="3"/>
  <c r="G1961" i="3"/>
  <c r="G1960" i="3"/>
  <c r="G1959" i="3"/>
  <c r="G1958" i="3"/>
  <c r="G1957" i="3"/>
  <c r="G1956" i="3"/>
  <c r="G1955" i="3"/>
  <c r="G1954" i="3"/>
  <c r="G1953" i="3"/>
  <c r="G1952" i="3"/>
  <c r="G1951" i="3"/>
  <c r="G1950" i="3"/>
  <c r="G1949" i="3"/>
  <c r="F1948" i="3"/>
  <c r="E1948" i="3"/>
  <c r="F1947" i="3"/>
  <c r="E1947" i="3"/>
  <c r="G1947" i="3" s="1"/>
  <c r="G1946" i="3"/>
  <c r="G1945" i="3"/>
  <c r="G1944" i="3"/>
  <c r="G1943" i="3"/>
  <c r="G1942" i="3"/>
  <c r="G1941" i="3"/>
  <c r="G1940" i="3"/>
  <c r="G1939" i="3"/>
  <c r="G1938" i="3"/>
  <c r="G1937" i="3"/>
  <c r="G1936" i="3"/>
  <c r="G1935" i="3"/>
  <c r="G1934" i="3"/>
  <c r="G1933" i="3"/>
  <c r="F1932" i="3"/>
  <c r="E1932" i="3"/>
  <c r="F29" i="31" s="1"/>
  <c r="G1931" i="3"/>
  <c r="G1930" i="3"/>
  <c r="G1929" i="3"/>
  <c r="G1928" i="3"/>
  <c r="G1927" i="3"/>
  <c r="G1926" i="3"/>
  <c r="G1925" i="3"/>
  <c r="F1925" i="3"/>
  <c r="E1925" i="3"/>
  <c r="F28" i="31" s="1"/>
  <c r="C182" i="2" s="1"/>
  <c r="G1924" i="3"/>
  <c r="G1923" i="3"/>
  <c r="G1922" i="3"/>
  <c r="G1921" i="3"/>
  <c r="G1920" i="3"/>
  <c r="G1919" i="3"/>
  <c r="G1918" i="3"/>
  <c r="G1917" i="3"/>
  <c r="G1916" i="3"/>
  <c r="G1915" i="3"/>
  <c r="G1914" i="3"/>
  <c r="G1913" i="3"/>
  <c r="G1912" i="3"/>
  <c r="G1911" i="3"/>
  <c r="F1910" i="3"/>
  <c r="E1910" i="3"/>
  <c r="F27" i="31" s="1"/>
  <c r="C181" i="2" s="1"/>
  <c r="G1909" i="3"/>
  <c r="G1908" i="3"/>
  <c r="G1907" i="3"/>
  <c r="G1906" i="3"/>
  <c r="G1905" i="3"/>
  <c r="G1904" i="3"/>
  <c r="G1903" i="3"/>
  <c r="F1903" i="3"/>
  <c r="E1903" i="3"/>
  <c r="F26" i="31" s="1"/>
  <c r="G1902" i="3"/>
  <c r="G1901" i="3"/>
  <c r="G1900" i="3"/>
  <c r="G1899" i="3"/>
  <c r="G1898" i="3"/>
  <c r="G1897" i="3"/>
  <c r="G1896" i="3"/>
  <c r="G1895" i="3"/>
  <c r="G1894" i="3"/>
  <c r="G1893" i="3"/>
  <c r="G1884" i="3" s="1"/>
  <c r="G1892" i="3"/>
  <c r="G1891" i="3"/>
  <c r="G1890" i="3"/>
  <c r="G1889" i="3"/>
  <c r="G1888" i="3"/>
  <c r="G1887" i="3"/>
  <c r="G1886" i="3"/>
  <c r="G1885" i="3"/>
  <c r="F1884" i="3"/>
  <c r="E1884" i="3"/>
  <c r="F25" i="31" s="1"/>
  <c r="C179" i="2" s="1"/>
  <c r="G1883" i="3"/>
  <c r="G1882" i="3"/>
  <c r="G1881" i="3"/>
  <c r="G1880" i="3"/>
  <c r="G1879" i="3"/>
  <c r="G1878" i="3"/>
  <c r="G1877" i="3"/>
  <c r="G1876" i="3"/>
  <c r="G1875" i="3"/>
  <c r="G1874" i="3"/>
  <c r="G1873" i="3"/>
  <c r="G1872" i="3"/>
  <c r="G1871" i="3"/>
  <c r="G1870" i="3"/>
  <c r="G1869" i="3"/>
  <c r="G1868" i="3"/>
  <c r="G1867" i="3"/>
  <c r="G1866" i="3"/>
  <c r="F1865" i="3"/>
  <c r="E1865" i="3"/>
  <c r="F24" i="31" s="1"/>
  <c r="G1864" i="3"/>
  <c r="G1863" i="3"/>
  <c r="G1862" i="3"/>
  <c r="G1861" i="3"/>
  <c r="G1860" i="3"/>
  <c r="G1859" i="3"/>
  <c r="G1858" i="3"/>
  <c r="G1857" i="3"/>
  <c r="G1856" i="3"/>
  <c r="G1855" i="3"/>
  <c r="G1854" i="3"/>
  <c r="G1853" i="3"/>
  <c r="G1852" i="3"/>
  <c r="G1851" i="3"/>
  <c r="G1850" i="3"/>
  <c r="G1849" i="3"/>
  <c r="G1848" i="3"/>
  <c r="G1847" i="3"/>
  <c r="F1846" i="3"/>
  <c r="E1846" i="3"/>
  <c r="F23" i="31" s="1"/>
  <c r="G1845" i="3"/>
  <c r="G1844" i="3"/>
  <c r="G1843" i="3"/>
  <c r="G1842" i="3"/>
  <c r="G1841" i="3"/>
  <c r="G1840" i="3"/>
  <c r="G1839" i="3"/>
  <c r="G1838" i="3"/>
  <c r="G1837" i="3"/>
  <c r="G1827" i="3" s="1"/>
  <c r="G1836" i="3"/>
  <c r="G1835" i="3"/>
  <c r="G1834" i="3"/>
  <c r="G1833" i="3"/>
  <c r="G1832" i="3"/>
  <c r="G1831" i="3"/>
  <c r="G1830" i="3"/>
  <c r="G1829" i="3"/>
  <c r="G1828" i="3"/>
  <c r="F1827" i="3"/>
  <c r="E1827" i="3"/>
  <c r="G1826" i="3"/>
  <c r="G1825" i="3"/>
  <c r="G1824" i="3"/>
  <c r="G1823" i="3"/>
  <c r="G1822" i="3"/>
  <c r="G1821" i="3"/>
  <c r="G1820" i="3"/>
  <c r="G1819" i="3"/>
  <c r="G1818" i="3"/>
  <c r="G1817" i="3"/>
  <c r="G1816" i="3"/>
  <c r="G1815" i="3"/>
  <c r="G1814" i="3"/>
  <c r="G1813" i="3"/>
  <c r="F1812" i="3"/>
  <c r="E1812" i="3"/>
  <c r="F21" i="31" s="1"/>
  <c r="G1810" i="3"/>
  <c r="G1809" i="3"/>
  <c r="G1808" i="3"/>
  <c r="G1807" i="3"/>
  <c r="G1806" i="3"/>
  <c r="G1796" i="3" s="1"/>
  <c r="G1805" i="3"/>
  <c r="G1804" i="3"/>
  <c r="G1803" i="3"/>
  <c r="G1802" i="3"/>
  <c r="G1801" i="3"/>
  <c r="G1800" i="3"/>
  <c r="G1799" i="3"/>
  <c r="G1798" i="3"/>
  <c r="G1797" i="3"/>
  <c r="F1796" i="3"/>
  <c r="E1796" i="3"/>
  <c r="G1795" i="3"/>
  <c r="G1794" i="3"/>
  <c r="G1793" i="3"/>
  <c r="G1792" i="3"/>
  <c r="G1791" i="3"/>
  <c r="G1790" i="3"/>
  <c r="G1789" i="3"/>
  <c r="F1789" i="3"/>
  <c r="E1789" i="3"/>
  <c r="G1788" i="3"/>
  <c r="G1787" i="3"/>
  <c r="G1786" i="3"/>
  <c r="G1785" i="3"/>
  <c r="G1784" i="3"/>
  <c r="G1783" i="3"/>
  <c r="G1782" i="3"/>
  <c r="G1781" i="3"/>
  <c r="G1780" i="3"/>
  <c r="G1779" i="3"/>
  <c r="G1778" i="3"/>
  <c r="G1777" i="3"/>
  <c r="G1776" i="3"/>
  <c r="G1775" i="3"/>
  <c r="G1774" i="3"/>
  <c r="F1774" i="3"/>
  <c r="E1774" i="3"/>
  <c r="G1773" i="3"/>
  <c r="G1772" i="3"/>
  <c r="G1771" i="3"/>
  <c r="G1770" i="3"/>
  <c r="G1769" i="3"/>
  <c r="G1767" i="3" s="1"/>
  <c r="G1768" i="3"/>
  <c r="F1767" i="3"/>
  <c r="E1767" i="3"/>
  <c r="G1766" i="3"/>
  <c r="G1765" i="3"/>
  <c r="G1764" i="3"/>
  <c r="G1763" i="3"/>
  <c r="G1762" i="3"/>
  <c r="G1761" i="3"/>
  <c r="G1760" i="3"/>
  <c r="G1759" i="3"/>
  <c r="G1758" i="3"/>
  <c r="G1757" i="3"/>
  <c r="G1756" i="3"/>
  <c r="G1755" i="3"/>
  <c r="G1754" i="3"/>
  <c r="G1748" i="3" s="1"/>
  <c r="G1753" i="3"/>
  <c r="G1752" i="3"/>
  <c r="G1751" i="3"/>
  <c r="G1750" i="3"/>
  <c r="G1749" i="3"/>
  <c r="F1748" i="3"/>
  <c r="E1748" i="3"/>
  <c r="G1747" i="3"/>
  <c r="G1746" i="3"/>
  <c r="G1745" i="3"/>
  <c r="G1744" i="3"/>
  <c r="G1743" i="3"/>
  <c r="G1742" i="3"/>
  <c r="G1741" i="3"/>
  <c r="G1740" i="3"/>
  <c r="G1739" i="3"/>
  <c r="G1738" i="3"/>
  <c r="G1737" i="3"/>
  <c r="G1736" i="3"/>
  <c r="G1735" i="3"/>
  <c r="G1734" i="3"/>
  <c r="G1733" i="3"/>
  <c r="G1732" i="3"/>
  <c r="G1731" i="3"/>
  <c r="G1730" i="3"/>
  <c r="F1729" i="3"/>
  <c r="E1729" i="3"/>
  <c r="G1728" i="3"/>
  <c r="G1727" i="3"/>
  <c r="G1726" i="3"/>
  <c r="G1725" i="3"/>
  <c r="G1724" i="3"/>
  <c r="G1723" i="3"/>
  <c r="G1722" i="3"/>
  <c r="G1721" i="3"/>
  <c r="G1720" i="3"/>
  <c r="G1719" i="3"/>
  <c r="G1718" i="3"/>
  <c r="G1717" i="3"/>
  <c r="G1716" i="3"/>
  <c r="G1715" i="3"/>
  <c r="G1714" i="3"/>
  <c r="G1713" i="3"/>
  <c r="G1712" i="3"/>
  <c r="G1711" i="3"/>
  <c r="G1710" i="3" s="1"/>
  <c r="F1710" i="3"/>
  <c r="E1710" i="3"/>
  <c r="G1709" i="3"/>
  <c r="G1708" i="3"/>
  <c r="G1707" i="3"/>
  <c r="G1706" i="3"/>
  <c r="G1705" i="3"/>
  <c r="G1704" i="3"/>
  <c r="G1703" i="3"/>
  <c r="G1702" i="3"/>
  <c r="G1701" i="3"/>
  <c r="G1700" i="3"/>
  <c r="G1699" i="3"/>
  <c r="G1698" i="3"/>
  <c r="G1697" i="3"/>
  <c r="G1696" i="3"/>
  <c r="G1695" i="3"/>
  <c r="G1694" i="3"/>
  <c r="G1693" i="3"/>
  <c r="G1692" i="3"/>
  <c r="G1691" i="3" s="1"/>
  <c r="F1691" i="3"/>
  <c r="E1691" i="3"/>
  <c r="G1690" i="3"/>
  <c r="G1689" i="3"/>
  <c r="G1688" i="3"/>
  <c r="G1687" i="3"/>
  <c r="G1686" i="3"/>
  <c r="G1685" i="3"/>
  <c r="G1684" i="3"/>
  <c r="G1683" i="3"/>
  <c r="G1682" i="3"/>
  <c r="G1681" i="3"/>
  <c r="G1680" i="3"/>
  <c r="G1679" i="3"/>
  <c r="G1678" i="3"/>
  <c r="G1677" i="3"/>
  <c r="F1676" i="3"/>
  <c r="E1676" i="3"/>
  <c r="H1674" i="3"/>
  <c r="E153" i="30" s="1"/>
  <c r="H1673" i="3"/>
  <c r="H1672" i="3"/>
  <c r="E152" i="30" s="1"/>
  <c r="H1671" i="3"/>
  <c r="H1670" i="3"/>
  <c r="E151" i="30" s="1"/>
  <c r="H1669" i="3"/>
  <c r="H1668" i="3"/>
  <c r="E150" i="30" s="1"/>
  <c r="H1667" i="3"/>
  <c r="H1666" i="3"/>
  <c r="E149" i="30" s="1"/>
  <c r="H1665" i="3"/>
  <c r="H1664" i="3"/>
  <c r="E148" i="30" s="1"/>
  <c r="H1663" i="3"/>
  <c r="H1662" i="3"/>
  <c r="E147" i="30" s="1"/>
  <c r="H1661" i="3"/>
  <c r="H1660" i="3" s="1"/>
  <c r="D29" i="31" s="1"/>
  <c r="F1660" i="3"/>
  <c r="E1660" i="3"/>
  <c r="H1659" i="3"/>
  <c r="E145" i="30" s="1"/>
  <c r="H1658" i="3"/>
  <c r="H1657" i="3"/>
  <c r="E144" i="30" s="1"/>
  <c r="H1656" i="3"/>
  <c r="H1655" i="3"/>
  <c r="E143" i="30" s="1"/>
  <c r="H1654" i="3"/>
  <c r="F1653" i="3"/>
  <c r="E1653" i="3"/>
  <c r="H1652" i="3"/>
  <c r="E141" i="30" s="1"/>
  <c r="H1651" i="3"/>
  <c r="H1650" i="3"/>
  <c r="E140" i="30" s="1"/>
  <c r="H1649" i="3"/>
  <c r="H1648" i="3"/>
  <c r="H1647" i="3"/>
  <c r="H1646" i="3"/>
  <c r="E138" i="30" s="1"/>
  <c r="H1645" i="3"/>
  <c r="H1644" i="3"/>
  <c r="E137" i="30" s="1"/>
  <c r="H1643" i="3"/>
  <c r="H1642" i="3"/>
  <c r="E136" i="30" s="1"/>
  <c r="H1641" i="3"/>
  <c r="H1640" i="3"/>
  <c r="E135" i="30" s="1"/>
  <c r="H1639" i="3"/>
  <c r="H1638" i="3" s="1"/>
  <c r="D27" i="31" s="1"/>
  <c r="F1638" i="3"/>
  <c r="E1638" i="3"/>
  <c r="H1637" i="3"/>
  <c r="E133" i="30" s="1"/>
  <c r="H1636" i="3"/>
  <c r="H1635" i="3"/>
  <c r="E132" i="30" s="1"/>
  <c r="H1634" i="3"/>
  <c r="E58" i="30" s="1"/>
  <c r="H1633" i="3"/>
  <c r="E131" i="30" s="1"/>
  <c r="E130" i="30" s="1"/>
  <c r="H1632" i="3"/>
  <c r="F1631" i="3"/>
  <c r="E1631" i="3"/>
  <c r="H1630" i="3"/>
  <c r="E129" i="30" s="1"/>
  <c r="H1629" i="3"/>
  <c r="H1628" i="3"/>
  <c r="E128" i="30" s="1"/>
  <c r="H1627" i="3"/>
  <c r="H1626" i="3"/>
  <c r="E127" i="30" s="1"/>
  <c r="H1625" i="3"/>
  <c r="H1624" i="3"/>
  <c r="E126" i="30" s="1"/>
  <c r="H1623" i="3"/>
  <c r="H1622" i="3"/>
  <c r="E125" i="30" s="1"/>
  <c r="H1621" i="3"/>
  <c r="H1620" i="3"/>
  <c r="E124" i="30" s="1"/>
  <c r="H1619" i="3"/>
  <c r="H1618" i="3"/>
  <c r="E123" i="30" s="1"/>
  <c r="H1617" i="3"/>
  <c r="H1616" i="3"/>
  <c r="H1615" i="3"/>
  <c r="H1614" i="3"/>
  <c r="E121" i="30" s="1"/>
  <c r="H1613" i="3"/>
  <c r="F1612" i="3"/>
  <c r="E1612" i="3"/>
  <c r="H1611" i="3"/>
  <c r="E119" i="30" s="1"/>
  <c r="H1610" i="3"/>
  <c r="H1609" i="3"/>
  <c r="E118" i="30" s="1"/>
  <c r="H1608" i="3"/>
  <c r="H1607" i="3"/>
  <c r="E117" i="30" s="1"/>
  <c r="H1606" i="3"/>
  <c r="H1605" i="3"/>
  <c r="E116" i="30" s="1"/>
  <c r="H1604" i="3"/>
  <c r="H1603" i="3"/>
  <c r="E115" i="30" s="1"/>
  <c r="H1602" i="3"/>
  <c r="H1601" i="3"/>
  <c r="E114" i="30" s="1"/>
  <c r="H1600" i="3"/>
  <c r="H1599" i="3"/>
  <c r="E113" i="30" s="1"/>
  <c r="H1598" i="3"/>
  <c r="H1597" i="3"/>
  <c r="E112" i="30" s="1"/>
  <c r="H1596" i="3"/>
  <c r="H1595" i="3"/>
  <c r="E111" i="30" s="1"/>
  <c r="H1594" i="3"/>
  <c r="F1593" i="3"/>
  <c r="E1593" i="3"/>
  <c r="H1592" i="3"/>
  <c r="E109" i="30" s="1"/>
  <c r="H1591" i="3"/>
  <c r="H1590" i="3"/>
  <c r="E108" i="30" s="1"/>
  <c r="H1589" i="3"/>
  <c r="H1588" i="3"/>
  <c r="E107" i="30" s="1"/>
  <c r="H1587" i="3"/>
  <c r="E33" i="30" s="1"/>
  <c r="H1586" i="3"/>
  <c r="E106" i="30" s="1"/>
  <c r="H1585" i="3"/>
  <c r="H1584" i="3"/>
  <c r="E105" i="30" s="1"/>
  <c r="H1583" i="3"/>
  <c r="H1582" i="3"/>
  <c r="E104" i="30" s="1"/>
  <c r="H1581" i="3"/>
  <c r="H1580" i="3"/>
  <c r="E103" i="30" s="1"/>
  <c r="H1579" i="3"/>
  <c r="H1578" i="3"/>
  <c r="E102" i="30" s="1"/>
  <c r="H1577" i="3"/>
  <c r="H1576" i="3"/>
  <c r="E101" i="30" s="1"/>
  <c r="H1575" i="3"/>
  <c r="H1574" i="3" s="1"/>
  <c r="D23" i="31" s="1"/>
  <c r="F1574" i="3"/>
  <c r="E1574" i="3"/>
  <c r="H1573" i="3"/>
  <c r="E99" i="30" s="1"/>
  <c r="H1572" i="3"/>
  <c r="H1571" i="3"/>
  <c r="E98" i="30" s="1"/>
  <c r="H1570" i="3"/>
  <c r="E24" i="30" s="1"/>
  <c r="H1569" i="3"/>
  <c r="E97" i="30" s="1"/>
  <c r="H1568" i="3"/>
  <c r="H1567" i="3"/>
  <c r="E96" i="30" s="1"/>
  <c r="H1566" i="3"/>
  <c r="H1565" i="3"/>
  <c r="E95" i="30" s="1"/>
  <c r="H1564" i="3"/>
  <c r="H1563" i="3"/>
  <c r="E94" i="30" s="1"/>
  <c r="H1562" i="3"/>
  <c r="H1561" i="3"/>
  <c r="E93" i="30" s="1"/>
  <c r="H1560" i="3"/>
  <c r="H1559" i="3"/>
  <c r="E92" i="30" s="1"/>
  <c r="H1558" i="3"/>
  <c r="H1557" i="3"/>
  <c r="E91" i="30" s="1"/>
  <c r="E90" i="30" s="1"/>
  <c r="H1556" i="3"/>
  <c r="F1555" i="3"/>
  <c r="E1555" i="3"/>
  <c r="H1554" i="3"/>
  <c r="E89" i="30" s="1"/>
  <c r="H1553" i="3"/>
  <c r="H1552" i="3"/>
  <c r="E88" i="30" s="1"/>
  <c r="H1551" i="3"/>
  <c r="H1550" i="3"/>
  <c r="E87" i="30" s="1"/>
  <c r="H1549" i="3"/>
  <c r="H1548" i="3"/>
  <c r="E86" i="30" s="1"/>
  <c r="H1547" i="3"/>
  <c r="H1546" i="3"/>
  <c r="E85" i="30" s="1"/>
  <c r="H1545" i="3"/>
  <c r="H1544" i="3"/>
  <c r="E84" i="30" s="1"/>
  <c r="H1543" i="3"/>
  <c r="H1542" i="3"/>
  <c r="E83" i="30" s="1"/>
  <c r="H1541" i="3"/>
  <c r="F1540" i="3"/>
  <c r="E1540" i="3"/>
  <c r="G1538" i="3"/>
  <c r="G1537" i="3"/>
  <c r="G1536" i="3"/>
  <c r="G1535" i="3"/>
  <c r="G1534" i="3"/>
  <c r="G1533" i="3"/>
  <c r="G1532" i="3"/>
  <c r="G1531" i="3"/>
  <c r="G1530" i="3"/>
  <c r="G1529" i="3"/>
  <c r="G1528" i="3"/>
  <c r="G1527" i="3"/>
  <c r="G1526" i="3"/>
  <c r="G1525" i="3"/>
  <c r="G1524" i="3"/>
  <c r="F1524" i="3"/>
  <c r="E1524" i="3"/>
  <c r="G1523" i="3"/>
  <c r="G1522" i="3"/>
  <c r="G1521" i="3"/>
  <c r="G1520" i="3"/>
  <c r="G1519" i="3"/>
  <c r="G1518" i="3"/>
  <c r="G1517" i="3" s="1"/>
  <c r="F1517" i="3"/>
  <c r="E1517" i="3"/>
  <c r="G1516" i="3"/>
  <c r="G1515" i="3"/>
  <c r="G1514" i="3"/>
  <c r="G1513" i="3"/>
  <c r="G1512" i="3"/>
  <c r="G1511" i="3"/>
  <c r="G1510" i="3"/>
  <c r="G1509" i="3"/>
  <c r="G1508" i="3"/>
  <c r="G1507" i="3"/>
  <c r="G1506" i="3"/>
  <c r="G1505" i="3"/>
  <c r="G1504" i="3"/>
  <c r="G1503" i="3"/>
  <c r="G1502" i="3" s="1"/>
  <c r="F1502" i="3"/>
  <c r="E1502" i="3"/>
  <c r="G1501" i="3"/>
  <c r="G1500" i="3"/>
  <c r="G1499" i="3"/>
  <c r="G1498" i="3"/>
  <c r="G1497" i="3"/>
  <c r="G1496" i="3"/>
  <c r="G1495" i="3"/>
  <c r="F1495" i="3"/>
  <c r="E1495" i="3"/>
  <c r="G1494" i="3"/>
  <c r="G1493" i="3"/>
  <c r="G1492" i="3"/>
  <c r="G1491" i="3"/>
  <c r="G1490" i="3"/>
  <c r="G1489" i="3"/>
  <c r="G1488" i="3"/>
  <c r="G1487" i="3"/>
  <c r="G1486" i="3"/>
  <c r="G1485" i="3"/>
  <c r="G1484" i="3"/>
  <c r="G1483" i="3"/>
  <c r="G1482" i="3"/>
  <c r="G1481" i="3"/>
  <c r="G1480" i="3"/>
  <c r="G1479" i="3"/>
  <c r="G1478" i="3"/>
  <c r="G1477" i="3"/>
  <c r="F1476" i="3"/>
  <c r="E1476" i="3"/>
  <c r="G1475" i="3"/>
  <c r="G1474" i="3"/>
  <c r="G1473" i="3"/>
  <c r="G1472" i="3"/>
  <c r="G1471" i="3"/>
  <c r="G1470" i="3"/>
  <c r="G1469" i="3"/>
  <c r="G1468" i="3"/>
  <c r="G1467" i="3"/>
  <c r="G1466" i="3"/>
  <c r="G1465" i="3"/>
  <c r="G1464" i="3"/>
  <c r="G1463" i="3"/>
  <c r="G1462" i="3"/>
  <c r="G1461" i="3"/>
  <c r="G1460" i="3"/>
  <c r="G1459" i="3"/>
  <c r="G1458" i="3"/>
  <c r="F1457" i="3"/>
  <c r="E1457" i="3"/>
  <c r="G1456" i="3"/>
  <c r="G1455" i="3"/>
  <c r="G1454" i="3"/>
  <c r="G1453" i="3"/>
  <c r="G1452" i="3"/>
  <c r="G1451" i="3"/>
  <c r="G1450" i="3"/>
  <c r="G1449" i="3"/>
  <c r="G1438" i="3" s="1"/>
  <c r="G1448" i="3"/>
  <c r="G1447" i="3"/>
  <c r="G1446" i="3"/>
  <c r="G1445" i="3"/>
  <c r="G1444" i="3"/>
  <c r="G1443" i="3"/>
  <c r="G1442" i="3"/>
  <c r="G1441" i="3"/>
  <c r="G1440" i="3"/>
  <c r="G1439" i="3"/>
  <c r="F1438" i="3"/>
  <c r="E1438" i="3"/>
  <c r="G1437" i="3"/>
  <c r="G1436" i="3"/>
  <c r="G1435" i="3"/>
  <c r="G1434" i="3"/>
  <c r="G1433" i="3"/>
  <c r="G1432" i="3"/>
  <c r="G1431" i="3"/>
  <c r="G1430" i="3"/>
  <c r="G1429" i="3"/>
  <c r="G1428" i="3"/>
  <c r="G1427" i="3"/>
  <c r="G1426" i="3"/>
  <c r="G1419" i="3" s="1"/>
  <c r="G1425" i="3"/>
  <c r="G1424" i="3"/>
  <c r="G1423" i="3"/>
  <c r="G1422" i="3"/>
  <c r="G1421" i="3"/>
  <c r="G1420" i="3"/>
  <c r="F1419" i="3"/>
  <c r="E1419" i="3"/>
  <c r="G1418" i="3"/>
  <c r="G1417" i="3"/>
  <c r="G1416" i="3"/>
  <c r="G1415" i="3"/>
  <c r="G1414" i="3"/>
  <c r="G1413" i="3"/>
  <c r="G1412" i="3"/>
  <c r="G1411" i="3"/>
  <c r="G1410" i="3"/>
  <c r="G1409" i="3"/>
  <c r="G1408" i="3"/>
  <c r="G1407" i="3"/>
  <c r="G1406" i="3"/>
  <c r="G1405" i="3"/>
  <c r="G1404" i="3" s="1"/>
  <c r="F1404" i="3"/>
  <c r="E1404" i="3"/>
  <c r="H1402" i="3"/>
  <c r="D153" i="30" s="1"/>
  <c r="H1401" i="3"/>
  <c r="H1400" i="3"/>
  <c r="D152" i="30" s="1"/>
  <c r="H1399" i="3"/>
  <c r="H1398" i="3"/>
  <c r="D151" i="30" s="1"/>
  <c r="F151" i="30" s="1"/>
  <c r="I151" i="30" s="1"/>
  <c r="H1397" i="3"/>
  <c r="H1396" i="3"/>
  <c r="H1395" i="3"/>
  <c r="H1394" i="3"/>
  <c r="D149" i="30" s="1"/>
  <c r="F149" i="30" s="1"/>
  <c r="I149" i="30" s="1"/>
  <c r="H1393" i="3"/>
  <c r="H1392" i="3"/>
  <c r="D148" i="30" s="1"/>
  <c r="H1391" i="3"/>
  <c r="H1390" i="3"/>
  <c r="D147" i="30" s="1"/>
  <c r="H1389" i="3"/>
  <c r="F1388" i="3"/>
  <c r="E1388" i="3"/>
  <c r="H1387" i="3"/>
  <c r="D145" i="30" s="1"/>
  <c r="F145" i="30" s="1"/>
  <c r="I145" i="30" s="1"/>
  <c r="H1386" i="3"/>
  <c r="H1385" i="3"/>
  <c r="D144" i="30" s="1"/>
  <c r="F144" i="30" s="1"/>
  <c r="I144" i="30" s="1"/>
  <c r="H1384" i="3"/>
  <c r="H1383" i="3"/>
  <c r="D143" i="30" s="1"/>
  <c r="H1382" i="3"/>
  <c r="F1381" i="3"/>
  <c r="E1381" i="3"/>
  <c r="H1380" i="3"/>
  <c r="D141" i="30" s="1"/>
  <c r="F141" i="30" s="1"/>
  <c r="I141" i="30" s="1"/>
  <c r="H1379" i="3"/>
  <c r="H1378" i="3"/>
  <c r="D140" i="30" s="1"/>
  <c r="F140" i="30" s="1"/>
  <c r="I140" i="30" s="1"/>
  <c r="H1377" i="3"/>
  <c r="H1376" i="3"/>
  <c r="D139" i="30" s="1"/>
  <c r="H1375" i="3"/>
  <c r="H1374" i="3"/>
  <c r="D138" i="30" s="1"/>
  <c r="F138" i="30" s="1"/>
  <c r="I138" i="30" s="1"/>
  <c r="H1373" i="3"/>
  <c r="H1372" i="3"/>
  <c r="D137" i="30" s="1"/>
  <c r="F137" i="30" s="1"/>
  <c r="I137" i="30" s="1"/>
  <c r="H1371" i="3"/>
  <c r="H1370" i="3"/>
  <c r="D136" i="30" s="1"/>
  <c r="H1369" i="3"/>
  <c r="H1368" i="3"/>
  <c r="D135" i="30" s="1"/>
  <c r="H1367" i="3"/>
  <c r="F1366" i="3"/>
  <c r="E1366" i="3"/>
  <c r="H1365" i="3"/>
  <c r="D133" i="30" s="1"/>
  <c r="F133" i="30" s="1"/>
  <c r="I133" i="30" s="1"/>
  <c r="H1364" i="3"/>
  <c r="H1363" i="3"/>
  <c r="D132" i="30" s="1"/>
  <c r="F132" i="30" s="1"/>
  <c r="I132" i="30" s="1"/>
  <c r="H1362" i="3"/>
  <c r="H1361" i="3"/>
  <c r="D131" i="30" s="1"/>
  <c r="H1360" i="3"/>
  <c r="F1359" i="3"/>
  <c r="E1359" i="3"/>
  <c r="H1358" i="3"/>
  <c r="D129" i="30" s="1"/>
  <c r="F129" i="30" s="1"/>
  <c r="I129" i="30" s="1"/>
  <c r="H1357" i="3"/>
  <c r="H1356" i="3"/>
  <c r="D128" i="30" s="1"/>
  <c r="H1355" i="3"/>
  <c r="H1354" i="3"/>
  <c r="D127" i="30" s="1"/>
  <c r="F127" i="30" s="1"/>
  <c r="I127" i="30" s="1"/>
  <c r="H1353" i="3"/>
  <c r="H1352" i="3"/>
  <c r="D126" i="30" s="1"/>
  <c r="F126" i="30" s="1"/>
  <c r="I126" i="30" s="1"/>
  <c r="H1351" i="3"/>
  <c r="H1350" i="3"/>
  <c r="D125" i="30" s="1"/>
  <c r="H1349" i="3"/>
  <c r="H1348" i="3"/>
  <c r="D124" i="30" s="1"/>
  <c r="F124" i="30" s="1"/>
  <c r="I124" i="30" s="1"/>
  <c r="H1347" i="3"/>
  <c r="H1346" i="3"/>
  <c r="D123" i="30" s="1"/>
  <c r="F123" i="30" s="1"/>
  <c r="I123" i="30" s="1"/>
  <c r="H1345" i="3"/>
  <c r="H1344" i="3"/>
  <c r="D122" i="30" s="1"/>
  <c r="H1343" i="3"/>
  <c r="H1342" i="3"/>
  <c r="H1341" i="3"/>
  <c r="F1340" i="3"/>
  <c r="E1340" i="3"/>
  <c r="H1339" i="3"/>
  <c r="D119" i="30" s="1"/>
  <c r="H1338" i="3"/>
  <c r="H1337" i="3"/>
  <c r="D118" i="30" s="1"/>
  <c r="F118" i="30" s="1"/>
  <c r="I118" i="30" s="1"/>
  <c r="H1336" i="3"/>
  <c r="H1335" i="3"/>
  <c r="D117" i="30" s="1"/>
  <c r="F117" i="30" s="1"/>
  <c r="I117" i="30" s="1"/>
  <c r="H1334" i="3"/>
  <c r="H1333" i="3"/>
  <c r="D116" i="30" s="1"/>
  <c r="F116" i="30" s="1"/>
  <c r="I116" i="30" s="1"/>
  <c r="H1332" i="3"/>
  <c r="H1331" i="3"/>
  <c r="D115" i="30" s="1"/>
  <c r="F115" i="30" s="1"/>
  <c r="I115" i="30" s="1"/>
  <c r="H1330" i="3"/>
  <c r="H1329" i="3"/>
  <c r="D114" i="30" s="1"/>
  <c r="H1328" i="3"/>
  <c r="H1327" i="3"/>
  <c r="D113" i="30" s="1"/>
  <c r="H1326" i="3"/>
  <c r="H1325" i="3"/>
  <c r="D112" i="30" s="1"/>
  <c r="F112" i="30" s="1"/>
  <c r="I112" i="30" s="1"/>
  <c r="H1324" i="3"/>
  <c r="H1323" i="3"/>
  <c r="D111" i="30" s="1"/>
  <c r="H1322" i="3"/>
  <c r="F1321" i="3"/>
  <c r="E1321" i="3"/>
  <c r="H1320" i="3"/>
  <c r="D109" i="30" s="1"/>
  <c r="F109" i="30" s="1"/>
  <c r="I109" i="30" s="1"/>
  <c r="H1319" i="3"/>
  <c r="H1318" i="3"/>
  <c r="D108" i="30" s="1"/>
  <c r="H1317" i="3"/>
  <c r="H1316" i="3"/>
  <c r="D107" i="30" s="1"/>
  <c r="H1315" i="3"/>
  <c r="H1314" i="3"/>
  <c r="D106" i="30" s="1"/>
  <c r="F106" i="30" s="1"/>
  <c r="I106" i="30" s="1"/>
  <c r="H1313" i="3"/>
  <c r="H1312" i="3"/>
  <c r="D105" i="30" s="1"/>
  <c r="F105" i="30" s="1"/>
  <c r="I105" i="30" s="1"/>
  <c r="H1311" i="3"/>
  <c r="H1310" i="3"/>
  <c r="D104" i="30" s="1"/>
  <c r="F104" i="30" s="1"/>
  <c r="I104" i="30" s="1"/>
  <c r="H1309" i="3"/>
  <c r="H1308" i="3"/>
  <c r="D103" i="30" s="1"/>
  <c r="F103" i="30" s="1"/>
  <c r="I103" i="30" s="1"/>
  <c r="H1307" i="3"/>
  <c r="H1306" i="3"/>
  <c r="D102" i="30" s="1"/>
  <c r="H1305" i="3"/>
  <c r="H1304" i="3"/>
  <c r="D101" i="30" s="1"/>
  <c r="H1303" i="3"/>
  <c r="F1302" i="3"/>
  <c r="E1302" i="3"/>
  <c r="H1301" i="3"/>
  <c r="D99" i="30" s="1"/>
  <c r="F99" i="30" s="1"/>
  <c r="I99" i="30" s="1"/>
  <c r="H1300" i="3"/>
  <c r="H1299" i="3"/>
  <c r="D98" i="30" s="1"/>
  <c r="F98" i="30" s="1"/>
  <c r="I98" i="30" s="1"/>
  <c r="H1298" i="3"/>
  <c r="H1297" i="3"/>
  <c r="D97" i="30" s="1"/>
  <c r="H1296" i="3"/>
  <c r="H1295" i="3"/>
  <c r="D96" i="30" s="1"/>
  <c r="H1294" i="3"/>
  <c r="H1293" i="3"/>
  <c r="D95" i="30" s="1"/>
  <c r="H1292" i="3"/>
  <c r="H1291" i="3"/>
  <c r="D94" i="30" s="1"/>
  <c r="H1290" i="3"/>
  <c r="H1289" i="3"/>
  <c r="D93" i="30" s="1"/>
  <c r="F93" i="30" s="1"/>
  <c r="I93" i="30" s="1"/>
  <c r="H1288" i="3"/>
  <c r="H1287" i="3"/>
  <c r="D92" i="30" s="1"/>
  <c r="F92" i="30" s="1"/>
  <c r="I92" i="30" s="1"/>
  <c r="H1286" i="3"/>
  <c r="C18" i="29" s="1"/>
  <c r="H1285" i="3"/>
  <c r="H1284" i="3"/>
  <c r="F1283" i="3"/>
  <c r="E1283" i="3"/>
  <c r="H1282" i="3"/>
  <c r="D89" i="30" s="1"/>
  <c r="F89" i="30" s="1"/>
  <c r="I89" i="30" s="1"/>
  <c r="H1281" i="3"/>
  <c r="H1280" i="3"/>
  <c r="D88" i="30" s="1"/>
  <c r="F88" i="30" s="1"/>
  <c r="I88" i="30" s="1"/>
  <c r="H1279" i="3"/>
  <c r="H1278" i="3"/>
  <c r="D87" i="30" s="1"/>
  <c r="F87" i="30" s="1"/>
  <c r="I87" i="30" s="1"/>
  <c r="H1277" i="3"/>
  <c r="H1276" i="3"/>
  <c r="D86" i="30" s="1"/>
  <c r="F86" i="30" s="1"/>
  <c r="I86" i="30" s="1"/>
  <c r="H1275" i="3"/>
  <c r="H1274" i="3"/>
  <c r="D85" i="30" s="1"/>
  <c r="H1273" i="3"/>
  <c r="H1272" i="3"/>
  <c r="D84" i="30" s="1"/>
  <c r="H1271" i="3"/>
  <c r="H1270" i="3"/>
  <c r="D83" i="30" s="1"/>
  <c r="H1269" i="3"/>
  <c r="F1268" i="3"/>
  <c r="E1268" i="3"/>
  <c r="H1268" i="3" s="1"/>
  <c r="C21" i="31" s="1"/>
  <c r="F1267" i="3"/>
  <c r="H1265" i="3"/>
  <c r="G67" i="28" s="1"/>
  <c r="H1264" i="3"/>
  <c r="G66" i="28" s="1"/>
  <c r="F1263" i="3"/>
  <c r="E1263" i="3"/>
  <c r="E1260" i="3" s="1"/>
  <c r="H1262" i="3"/>
  <c r="G68" i="27" s="1"/>
  <c r="H1261" i="3"/>
  <c r="G67" i="27" s="1"/>
  <c r="F1260" i="3"/>
  <c r="H1259" i="3"/>
  <c r="G65" i="27" s="1"/>
  <c r="H1258" i="3"/>
  <c r="G64" i="27" s="1"/>
  <c r="H1257" i="3"/>
  <c r="H1256" i="3"/>
  <c r="G62" i="27" s="1"/>
  <c r="H62" i="27" s="1"/>
  <c r="H1255" i="3"/>
  <c r="H1254" i="3"/>
  <c r="H1253" i="3"/>
  <c r="G60" i="27" s="1"/>
  <c r="H60" i="27" s="1"/>
  <c r="H1252" i="3"/>
  <c r="H1251" i="3"/>
  <c r="F1250" i="3"/>
  <c r="E1250" i="3"/>
  <c r="H1249" i="3"/>
  <c r="G58" i="28" s="1"/>
  <c r="H58" i="28" s="1"/>
  <c r="H1248" i="3"/>
  <c r="G57" i="28" s="1"/>
  <c r="H1247" i="3"/>
  <c r="G57" i="27" s="1"/>
  <c r="H57" i="27" s="1"/>
  <c r="F1247" i="3"/>
  <c r="E1247" i="3"/>
  <c r="H1246" i="3"/>
  <c r="G32" i="28" s="1"/>
  <c r="H1245" i="3"/>
  <c r="G31" i="28" s="1"/>
  <c r="H1244" i="3"/>
  <c r="G30" i="28" s="1"/>
  <c r="H1243" i="3"/>
  <c r="G29" i="28" s="1"/>
  <c r="H1242" i="3"/>
  <c r="G28" i="28" s="1"/>
  <c r="F1241" i="3"/>
  <c r="E1241" i="3"/>
  <c r="H1240" i="3"/>
  <c r="G55" i="28" s="1"/>
  <c r="H1239" i="3"/>
  <c r="G54" i="28" s="1"/>
  <c r="H54" i="28" s="1"/>
  <c r="H1238" i="3"/>
  <c r="G53" i="28" s="1"/>
  <c r="H1237" i="3"/>
  <c r="F1236" i="3"/>
  <c r="E1236" i="3"/>
  <c r="H1235" i="3"/>
  <c r="H1234" i="3"/>
  <c r="G46" i="28" s="1"/>
  <c r="H46" i="28" s="1"/>
  <c r="H1233" i="3"/>
  <c r="G45" i="28" s="1"/>
  <c r="F1232" i="3"/>
  <c r="E1232" i="3"/>
  <c r="H1231" i="3"/>
  <c r="G37" i="28" s="1"/>
  <c r="H1230" i="3"/>
  <c r="G26" i="28" s="1"/>
  <c r="H26" i="28" s="1"/>
  <c r="H1229" i="3"/>
  <c r="G25" i="28" s="1"/>
  <c r="H1228" i="3"/>
  <c r="G24" i="28" s="1"/>
  <c r="H1227" i="3"/>
  <c r="G23" i="28" s="1"/>
  <c r="H1226" i="3"/>
  <c r="G22" i="28" s="1"/>
  <c r="H1225" i="3"/>
  <c r="G21" i="28" s="1"/>
  <c r="H1224" i="3"/>
  <c r="G20" i="28" s="1"/>
  <c r="H20" i="28" s="1"/>
  <c r="H1223" i="3"/>
  <c r="G19" i="28" s="1"/>
  <c r="H1222" i="3"/>
  <c r="G18" i="28" s="1"/>
  <c r="H18" i="28" s="1"/>
  <c r="H1221" i="3"/>
  <c r="G17" i="28" s="1"/>
  <c r="H1220" i="3"/>
  <c r="G16" i="28" s="1"/>
  <c r="F1219" i="3"/>
  <c r="F1218" i="3" s="1"/>
  <c r="E1219" i="3"/>
  <c r="E1218" i="3" s="1"/>
  <c r="E1172" i="3" s="1"/>
  <c r="H1217" i="3"/>
  <c r="G51" i="27" s="1"/>
  <c r="H51" i="27" s="1"/>
  <c r="H1216" i="3"/>
  <c r="G50" i="27" s="1"/>
  <c r="H50" i="27" s="1"/>
  <c r="H1215" i="3"/>
  <c r="G49" i="27" s="1"/>
  <c r="H1214" i="3"/>
  <c r="G48" i="27" s="1"/>
  <c r="H48" i="27" s="1"/>
  <c r="H1213" i="3"/>
  <c r="G47" i="27" s="1"/>
  <c r="H47" i="27" s="1"/>
  <c r="H1212" i="3"/>
  <c r="G46" i="27" s="1"/>
  <c r="H46" i="27" s="1"/>
  <c r="H1211" i="3"/>
  <c r="G45" i="27" s="1"/>
  <c r="H1210" i="3"/>
  <c r="G44" i="27" s="1"/>
  <c r="H1209" i="3"/>
  <c r="F1208" i="3"/>
  <c r="F1172" i="3" s="1"/>
  <c r="H1172" i="3" s="1"/>
  <c r="E1208" i="3"/>
  <c r="H1207" i="3"/>
  <c r="G41" i="27" s="1"/>
  <c r="H41" i="27" s="1"/>
  <c r="H1206" i="3"/>
  <c r="G40" i="27" s="1"/>
  <c r="H40" i="27" s="1"/>
  <c r="H1205" i="3"/>
  <c r="G39" i="27" s="1"/>
  <c r="H1204" i="3"/>
  <c r="G38" i="27" s="1"/>
  <c r="F1203" i="3"/>
  <c r="E1203" i="3"/>
  <c r="H1202" i="3"/>
  <c r="G36" i="27" s="1"/>
  <c r="H1201" i="3"/>
  <c r="G35" i="27" s="1"/>
  <c r="H1200" i="3"/>
  <c r="G34" i="27" s="1"/>
  <c r="H1199" i="3"/>
  <c r="G12" i="28" s="1"/>
  <c r="F1199" i="3"/>
  <c r="E1199" i="3"/>
  <c r="H1198" i="3"/>
  <c r="G32" i="27" s="1"/>
  <c r="H32" i="27" s="1"/>
  <c r="H1197" i="3"/>
  <c r="G31" i="27" s="1"/>
  <c r="H1196" i="3"/>
  <c r="G30" i="27" s="1"/>
  <c r="H30" i="27" s="1"/>
  <c r="H1195" i="3"/>
  <c r="G29" i="27" s="1"/>
  <c r="H29" i="27" s="1"/>
  <c r="H1194" i="3"/>
  <c r="G28" i="27" s="1"/>
  <c r="H28" i="27" s="1"/>
  <c r="H1193" i="3"/>
  <c r="F1192" i="3"/>
  <c r="E1192" i="3"/>
  <c r="H1191" i="3"/>
  <c r="G25" i="27" s="1"/>
  <c r="H25" i="27" s="1"/>
  <c r="H1190" i="3"/>
  <c r="G24" i="27" s="1"/>
  <c r="H1189" i="3"/>
  <c r="F1189" i="3"/>
  <c r="E1189" i="3"/>
  <c r="H1188" i="3"/>
  <c r="G22" i="27" s="1"/>
  <c r="H22" i="27" s="1"/>
  <c r="H1187" i="3"/>
  <c r="G21" i="27" s="1"/>
  <c r="H21" i="27" s="1"/>
  <c r="H1186" i="3"/>
  <c r="G20" i="27" s="1"/>
  <c r="H20" i="27" s="1"/>
  <c r="H1185" i="3"/>
  <c r="H1184" i="3"/>
  <c r="G18" i="27" s="1"/>
  <c r="F1183" i="3"/>
  <c r="E1183" i="3"/>
  <c r="H1182" i="3"/>
  <c r="G16" i="27" s="1"/>
  <c r="H1181" i="3"/>
  <c r="G15" i="27" s="1"/>
  <c r="H15" i="27" s="1"/>
  <c r="H1180" i="3"/>
  <c r="G14" i="27" s="1"/>
  <c r="H14" i="27" s="1"/>
  <c r="H1179" i="3"/>
  <c r="G13" i="27" s="1"/>
  <c r="H13" i="27" s="1"/>
  <c r="H1178" i="3"/>
  <c r="G12" i="27" s="1"/>
  <c r="H12" i="27" s="1"/>
  <c r="H1177" i="3"/>
  <c r="G11" i="27" s="1"/>
  <c r="H11" i="27" s="1"/>
  <c r="H1176" i="3"/>
  <c r="G10" i="27" s="1"/>
  <c r="H10" i="27" s="1"/>
  <c r="H1175" i="3"/>
  <c r="H1174" i="3"/>
  <c r="G8" i="27" s="1"/>
  <c r="F1173" i="3"/>
  <c r="E1173" i="3"/>
  <c r="H1171" i="3"/>
  <c r="H1170" i="3"/>
  <c r="H1169" i="3" s="1"/>
  <c r="F1169" i="3"/>
  <c r="E1169" i="3"/>
  <c r="E1166" i="3" s="1"/>
  <c r="H1168" i="3"/>
  <c r="H1167" i="3"/>
  <c r="H1165" i="3"/>
  <c r="H1164" i="3"/>
  <c r="H1163" i="3"/>
  <c r="H1162" i="3"/>
  <c r="H1161" i="3"/>
  <c r="H1160" i="3"/>
  <c r="H1159" i="3"/>
  <c r="H1158" i="3"/>
  <c r="H1157" i="3"/>
  <c r="F1156" i="3"/>
  <c r="F15" i="31" s="1"/>
  <c r="E1156" i="3"/>
  <c r="H1155" i="3"/>
  <c r="H1154" i="3"/>
  <c r="H1153" i="3"/>
  <c r="F1153" i="3"/>
  <c r="F57" i="27" s="1"/>
  <c r="E1153" i="3"/>
  <c r="H1152" i="3"/>
  <c r="H1151" i="3"/>
  <c r="H1150" i="3"/>
  <c r="H1149" i="3"/>
  <c r="H1147" i="3" s="1"/>
  <c r="H1148" i="3"/>
  <c r="F1147" i="3"/>
  <c r="F56" i="27" s="1"/>
  <c r="E1147" i="3"/>
  <c r="H1146" i="3"/>
  <c r="H1145" i="3"/>
  <c r="H1144" i="3"/>
  <c r="H1143" i="3"/>
  <c r="H1142" i="3" s="1"/>
  <c r="F1142" i="3"/>
  <c r="F55" i="27" s="1"/>
  <c r="E1142" i="3"/>
  <c r="H1141" i="3"/>
  <c r="H1140" i="3"/>
  <c r="H1139" i="3"/>
  <c r="H1138" i="3" s="1"/>
  <c r="F1138" i="3"/>
  <c r="F54" i="27" s="1"/>
  <c r="E1138" i="3"/>
  <c r="H1137" i="3"/>
  <c r="H1136" i="3"/>
  <c r="H1135" i="3"/>
  <c r="H1134" i="3"/>
  <c r="H1133" i="3"/>
  <c r="H1132" i="3"/>
  <c r="H1131" i="3"/>
  <c r="H1130" i="3"/>
  <c r="H1129" i="3"/>
  <c r="H1128" i="3"/>
  <c r="H1127" i="3"/>
  <c r="H1126" i="3"/>
  <c r="F1125" i="3"/>
  <c r="F53" i="27" s="1"/>
  <c r="E1125" i="3"/>
  <c r="F1124" i="3"/>
  <c r="E1124" i="3"/>
  <c r="H1123" i="3"/>
  <c r="H1122" i="3"/>
  <c r="H1121" i="3"/>
  <c r="H1120" i="3"/>
  <c r="H1119" i="3"/>
  <c r="H1118" i="3"/>
  <c r="H1117" i="3"/>
  <c r="H1116" i="3"/>
  <c r="H1114" i="3" s="1"/>
  <c r="H1115" i="3"/>
  <c r="F1114" i="3"/>
  <c r="E1114" i="3"/>
  <c r="H1113" i="3"/>
  <c r="H1112" i="3"/>
  <c r="H1111" i="3"/>
  <c r="H1110" i="3"/>
  <c r="F1109" i="3"/>
  <c r="E1109" i="3"/>
  <c r="H1108" i="3"/>
  <c r="H1107" i="3"/>
  <c r="H1105" i="3" s="1"/>
  <c r="H1106" i="3"/>
  <c r="F1105" i="3"/>
  <c r="E1105" i="3"/>
  <c r="H1104" i="3"/>
  <c r="H1103" i="3"/>
  <c r="H1098" i="3" s="1"/>
  <c r="H1102" i="3"/>
  <c r="H1101" i="3"/>
  <c r="H1100" i="3"/>
  <c r="H1099" i="3"/>
  <c r="F1098" i="3"/>
  <c r="E1098" i="3"/>
  <c r="H1097" i="3"/>
  <c r="H1096" i="3"/>
  <c r="H1095" i="3"/>
  <c r="F1095" i="3"/>
  <c r="E1095" i="3"/>
  <c r="H1094" i="3"/>
  <c r="H1093" i="3"/>
  <c r="H1092" i="3"/>
  <c r="H1091" i="3"/>
  <c r="H1090" i="3"/>
  <c r="H1089" i="3"/>
  <c r="F1089" i="3"/>
  <c r="E1089" i="3"/>
  <c r="H1088" i="3"/>
  <c r="H1087" i="3"/>
  <c r="H1086" i="3"/>
  <c r="H1085" i="3"/>
  <c r="H1084" i="3"/>
  <c r="H1083" i="3"/>
  <c r="H1082" i="3"/>
  <c r="H1081" i="3"/>
  <c r="H1080" i="3"/>
  <c r="F1079" i="3"/>
  <c r="E1079" i="3"/>
  <c r="G1077" i="3"/>
  <c r="G1076" i="3"/>
  <c r="D66" i="28" s="1"/>
  <c r="F1075" i="3"/>
  <c r="E1075" i="3"/>
  <c r="G1074" i="3"/>
  <c r="D68" i="27" s="1"/>
  <c r="G1073" i="3"/>
  <c r="D67" i="27" s="1"/>
  <c r="F1072" i="3"/>
  <c r="E1072" i="3"/>
  <c r="G1071" i="3"/>
  <c r="D65" i="27" s="1"/>
  <c r="G1070" i="3"/>
  <c r="D64" i="27" s="1"/>
  <c r="G1069" i="3"/>
  <c r="G1068" i="3"/>
  <c r="D62" i="27" s="1"/>
  <c r="G1067" i="3"/>
  <c r="G1062" i="3" s="1"/>
  <c r="D15" i="31" s="1"/>
  <c r="G1066" i="3"/>
  <c r="G1065" i="3"/>
  <c r="D60" i="27" s="1"/>
  <c r="G1064" i="3"/>
  <c r="G1063" i="3"/>
  <c r="F1062" i="3"/>
  <c r="E1062" i="3"/>
  <c r="G1061" i="3"/>
  <c r="D58" i="28" s="1"/>
  <c r="G1060" i="3"/>
  <c r="D57" i="28" s="1"/>
  <c r="G1059" i="3"/>
  <c r="D57" i="27" s="1"/>
  <c r="F1059" i="3"/>
  <c r="E1059" i="3"/>
  <c r="G1058" i="3"/>
  <c r="D32" i="28" s="1"/>
  <c r="G1057" i="3"/>
  <c r="D31" i="28" s="1"/>
  <c r="G1056" i="3"/>
  <c r="D30" i="28" s="1"/>
  <c r="G1055" i="3"/>
  <c r="D29" i="28" s="1"/>
  <c r="G1054" i="3"/>
  <c r="D28" i="28" s="1"/>
  <c r="D27" i="28" s="1"/>
  <c r="F1053" i="3"/>
  <c r="E1053" i="3"/>
  <c r="G1052" i="3"/>
  <c r="D55" i="28" s="1"/>
  <c r="G1051" i="3"/>
  <c r="D54" i="28" s="1"/>
  <c r="G1050" i="3"/>
  <c r="D53" i="28" s="1"/>
  <c r="G1049" i="3"/>
  <c r="F1048" i="3"/>
  <c r="E1048" i="3"/>
  <c r="G1047" i="3"/>
  <c r="G1046" i="3"/>
  <c r="D46" i="28" s="1"/>
  <c r="G1045" i="3"/>
  <c r="D45" i="28" s="1"/>
  <c r="D42" i="28" s="1"/>
  <c r="F1044" i="3"/>
  <c r="F1030" i="3" s="1"/>
  <c r="E1044" i="3"/>
  <c r="G1043" i="3"/>
  <c r="D37" i="28" s="1"/>
  <c r="G1042" i="3"/>
  <c r="D26" i="28" s="1"/>
  <c r="G1041" i="3"/>
  <c r="D25" i="28" s="1"/>
  <c r="G1040" i="3"/>
  <c r="D24" i="28" s="1"/>
  <c r="G1039" i="3"/>
  <c r="D23" i="28" s="1"/>
  <c r="G1038" i="3"/>
  <c r="D22" i="28" s="1"/>
  <c r="G1037" i="3"/>
  <c r="D21" i="28" s="1"/>
  <c r="G1036" i="3"/>
  <c r="D20" i="28" s="1"/>
  <c r="G1035" i="3"/>
  <c r="D19" i="28" s="1"/>
  <c r="G1034" i="3"/>
  <c r="D18" i="28" s="1"/>
  <c r="G1033" i="3"/>
  <c r="D17" i="28" s="1"/>
  <c r="G1032" i="3"/>
  <c r="D16" i="28" s="1"/>
  <c r="F1031" i="3"/>
  <c r="E1031" i="3"/>
  <c r="E1030" i="3" s="1"/>
  <c r="G1029" i="3"/>
  <c r="D51" i="27" s="1"/>
  <c r="G1028" i="3"/>
  <c r="D50" i="27" s="1"/>
  <c r="G1027" i="3"/>
  <c r="D49" i="27" s="1"/>
  <c r="G1026" i="3"/>
  <c r="D48" i="27" s="1"/>
  <c r="G1025" i="3"/>
  <c r="D47" i="27" s="1"/>
  <c r="G1024" i="3"/>
  <c r="D46" i="27" s="1"/>
  <c r="G1023" i="3"/>
  <c r="D45" i="27" s="1"/>
  <c r="G1022" i="3"/>
  <c r="D44" i="27" s="1"/>
  <c r="G1021" i="3"/>
  <c r="F1020" i="3"/>
  <c r="E1020" i="3"/>
  <c r="G1019" i="3"/>
  <c r="D41" i="27" s="1"/>
  <c r="G1018" i="3"/>
  <c r="D40" i="27" s="1"/>
  <c r="G1017" i="3"/>
  <c r="D39" i="27" s="1"/>
  <c r="G1016" i="3"/>
  <c r="D38" i="27" s="1"/>
  <c r="F1015" i="3"/>
  <c r="E1015" i="3"/>
  <c r="G1014" i="3"/>
  <c r="D36" i="27" s="1"/>
  <c r="G1013" i="3"/>
  <c r="G1012" i="3"/>
  <c r="D34" i="27" s="1"/>
  <c r="F1011" i="3"/>
  <c r="E1011" i="3"/>
  <c r="G1010" i="3"/>
  <c r="D32" i="27" s="1"/>
  <c r="G1009" i="3"/>
  <c r="D31" i="27" s="1"/>
  <c r="G1008" i="3"/>
  <c r="D30" i="27" s="1"/>
  <c r="G1007" i="3"/>
  <c r="D29" i="27" s="1"/>
  <c r="G1006" i="3"/>
  <c r="D28" i="27" s="1"/>
  <c r="G1005" i="3"/>
  <c r="F1004" i="3"/>
  <c r="E1004" i="3"/>
  <c r="G1003" i="3"/>
  <c r="D25" i="27" s="1"/>
  <c r="G1002" i="3"/>
  <c r="D24" i="27" s="1"/>
  <c r="D23" i="27" s="1"/>
  <c r="F1001" i="3"/>
  <c r="E1001" i="3"/>
  <c r="G1000" i="3"/>
  <c r="D22" i="27" s="1"/>
  <c r="G999" i="3"/>
  <c r="D21" i="27" s="1"/>
  <c r="G998" i="3"/>
  <c r="D20" i="27" s="1"/>
  <c r="G997" i="3"/>
  <c r="D19" i="27" s="1"/>
  <c r="G996" i="3"/>
  <c r="D18" i="27" s="1"/>
  <c r="F995" i="3"/>
  <c r="E995" i="3"/>
  <c r="G994" i="3"/>
  <c r="D16" i="27" s="1"/>
  <c r="G993" i="3"/>
  <c r="D15" i="27" s="1"/>
  <c r="G992" i="3"/>
  <c r="D14" i="27" s="1"/>
  <c r="G991" i="3"/>
  <c r="D13" i="27" s="1"/>
  <c r="G990" i="3"/>
  <c r="D12" i="27" s="1"/>
  <c r="G989" i="3"/>
  <c r="D11" i="27" s="1"/>
  <c r="G988" i="3"/>
  <c r="D10" i="27" s="1"/>
  <c r="G987" i="3"/>
  <c r="D9" i="27" s="1"/>
  <c r="G986" i="3"/>
  <c r="D8" i="27" s="1"/>
  <c r="F985" i="3"/>
  <c r="G985" i="3" s="1"/>
  <c r="E985" i="3"/>
  <c r="H983" i="3"/>
  <c r="H982" i="3"/>
  <c r="H981" i="3" s="1"/>
  <c r="H978" i="3" s="1"/>
  <c r="F981" i="3"/>
  <c r="E981" i="3"/>
  <c r="E978" i="3" s="1"/>
  <c r="H980" i="3"/>
  <c r="H979" i="3"/>
  <c r="F978" i="3"/>
  <c r="H977" i="3"/>
  <c r="H976" i="3"/>
  <c r="H975" i="3"/>
  <c r="H974" i="3"/>
  <c r="H973" i="3"/>
  <c r="H972" i="3"/>
  <c r="H971" i="3"/>
  <c r="H970" i="3"/>
  <c r="H969" i="3"/>
  <c r="F968" i="3"/>
  <c r="E968" i="3"/>
  <c r="H967" i="3"/>
  <c r="H966" i="3"/>
  <c r="H965" i="3"/>
  <c r="F965" i="3"/>
  <c r="F959" i="3" s="1"/>
  <c r="F936" i="3" s="1"/>
  <c r="E965" i="3"/>
  <c r="E959" i="3" s="1"/>
  <c r="H964" i="3"/>
  <c r="H963" i="3"/>
  <c r="H962" i="3"/>
  <c r="H961" i="3"/>
  <c r="H960" i="3"/>
  <c r="H958" i="3"/>
  <c r="H957" i="3"/>
  <c r="H956" i="3"/>
  <c r="H955" i="3"/>
  <c r="F954" i="3"/>
  <c r="E954" i="3"/>
  <c r="H953" i="3"/>
  <c r="H952" i="3"/>
  <c r="H951" i="3"/>
  <c r="F950" i="3"/>
  <c r="E950" i="3"/>
  <c r="H949" i="3"/>
  <c r="H948" i="3"/>
  <c r="H947" i="3"/>
  <c r="H946" i="3"/>
  <c r="H945" i="3"/>
  <c r="H944" i="3"/>
  <c r="H943" i="3"/>
  <c r="H942" i="3"/>
  <c r="H941" i="3"/>
  <c r="H937" i="3" s="1"/>
  <c r="H940" i="3"/>
  <c r="H939" i="3"/>
  <c r="H938" i="3"/>
  <c r="F937" i="3"/>
  <c r="E937" i="3"/>
  <c r="H935" i="3"/>
  <c r="H934" i="3"/>
  <c r="H933" i="3"/>
  <c r="H932" i="3"/>
  <c r="H931" i="3"/>
  <c r="H930" i="3"/>
  <c r="H929" i="3"/>
  <c r="H928" i="3"/>
  <c r="H927" i="3"/>
  <c r="F926" i="3"/>
  <c r="E926" i="3"/>
  <c r="H925" i="3"/>
  <c r="H924" i="3"/>
  <c r="H923" i="3"/>
  <c r="H922" i="3"/>
  <c r="H921" i="3"/>
  <c r="F921" i="3"/>
  <c r="F890" i="3" s="1"/>
  <c r="E921" i="3"/>
  <c r="H920" i="3"/>
  <c r="H919" i="3"/>
  <c r="H918" i="3"/>
  <c r="H917" i="3"/>
  <c r="F917" i="3"/>
  <c r="E917" i="3"/>
  <c r="H916" i="3"/>
  <c r="H915" i="3"/>
  <c r="H914" i="3"/>
  <c r="H913" i="3"/>
  <c r="H912" i="3"/>
  <c r="H910" i="3" s="1"/>
  <c r="H911" i="3"/>
  <c r="F910" i="3"/>
  <c r="E910" i="3"/>
  <c r="H909" i="3"/>
  <c r="H908" i="3"/>
  <c r="H907" i="3"/>
  <c r="F907" i="3"/>
  <c r="E907" i="3"/>
  <c r="H906" i="3"/>
  <c r="H905" i="3"/>
  <c r="H904" i="3"/>
  <c r="H903" i="3"/>
  <c r="H902" i="3"/>
  <c r="H901" i="3" s="1"/>
  <c r="F901" i="3"/>
  <c r="E901" i="3"/>
  <c r="H900" i="3"/>
  <c r="H899" i="3"/>
  <c r="H898" i="3"/>
  <c r="H897" i="3"/>
  <c r="H896" i="3"/>
  <c r="H895" i="3"/>
  <c r="H894" i="3"/>
  <c r="H893" i="3"/>
  <c r="H892" i="3"/>
  <c r="H891" i="3" s="1"/>
  <c r="F891" i="3"/>
  <c r="E891" i="3"/>
  <c r="G889" i="3"/>
  <c r="C67" i="28" s="1"/>
  <c r="G888" i="3"/>
  <c r="C66" i="28" s="1"/>
  <c r="G887" i="3"/>
  <c r="C69" i="27" s="1"/>
  <c r="F887" i="3"/>
  <c r="F884" i="3" s="1"/>
  <c r="E887" i="3"/>
  <c r="E884" i="3" s="1"/>
  <c r="G886" i="3"/>
  <c r="C68" i="27" s="1"/>
  <c r="G885" i="3"/>
  <c r="G883" i="3"/>
  <c r="C65" i="27" s="1"/>
  <c r="E65" i="27" s="1"/>
  <c r="G882" i="3"/>
  <c r="C64" i="27" s="1"/>
  <c r="E64" i="27" s="1"/>
  <c r="G881" i="3"/>
  <c r="G880" i="3"/>
  <c r="C62" i="27" s="1"/>
  <c r="E62" i="27" s="1"/>
  <c r="G879" i="3"/>
  <c r="G878" i="3"/>
  <c r="C61" i="27" s="1"/>
  <c r="G877" i="3"/>
  <c r="C60" i="27" s="1"/>
  <c r="E60" i="27" s="1"/>
  <c r="G876" i="3"/>
  <c r="C59" i="28" s="1"/>
  <c r="G875" i="3"/>
  <c r="F874" i="3"/>
  <c r="E874" i="3"/>
  <c r="G873" i="3"/>
  <c r="C58" i="28" s="1"/>
  <c r="G872" i="3"/>
  <c r="C57" i="28" s="1"/>
  <c r="G871" i="3"/>
  <c r="C57" i="27" s="1"/>
  <c r="E57" i="27" s="1"/>
  <c r="F871" i="3"/>
  <c r="E871" i="3"/>
  <c r="G870" i="3"/>
  <c r="C32" i="28" s="1"/>
  <c r="E32" i="28" s="1"/>
  <c r="G869" i="3"/>
  <c r="C31" i="28" s="1"/>
  <c r="E31" i="28" s="1"/>
  <c r="G868" i="3"/>
  <c r="C30" i="28" s="1"/>
  <c r="E30" i="28" s="1"/>
  <c r="G867" i="3"/>
  <c r="G866" i="3"/>
  <c r="C28" i="28" s="1"/>
  <c r="F865" i="3"/>
  <c r="E865" i="3"/>
  <c r="G864" i="3"/>
  <c r="C55" i="28" s="1"/>
  <c r="E55" i="28" s="1"/>
  <c r="G863" i="3"/>
  <c r="C54" i="28" s="1"/>
  <c r="E54" i="28" s="1"/>
  <c r="G862" i="3"/>
  <c r="C53" i="28" s="1"/>
  <c r="E53" i="28" s="1"/>
  <c r="G861" i="3"/>
  <c r="C52" i="28" s="1"/>
  <c r="F860" i="3"/>
  <c r="E860" i="3"/>
  <c r="G859" i="3"/>
  <c r="G858" i="3"/>
  <c r="C46" i="28" s="1"/>
  <c r="G857" i="3"/>
  <c r="F856" i="3"/>
  <c r="E856" i="3"/>
  <c r="G855" i="3"/>
  <c r="C37" i="28" s="1"/>
  <c r="G854" i="3"/>
  <c r="C26" i="28" s="1"/>
  <c r="E26" i="28" s="1"/>
  <c r="G853" i="3"/>
  <c r="C25" i="28" s="1"/>
  <c r="E25" i="28" s="1"/>
  <c r="G852" i="3"/>
  <c r="C24" i="28" s="1"/>
  <c r="E24" i="28" s="1"/>
  <c r="G851" i="3"/>
  <c r="C23" i="28" s="1"/>
  <c r="E23" i="28" s="1"/>
  <c r="G850" i="3"/>
  <c r="C22" i="28" s="1"/>
  <c r="E22" i="28" s="1"/>
  <c r="G849" i="3"/>
  <c r="C21" i="28" s="1"/>
  <c r="E21" i="28" s="1"/>
  <c r="G848" i="3"/>
  <c r="C20" i="28" s="1"/>
  <c r="G847" i="3"/>
  <c r="C19" i="28" s="1"/>
  <c r="E19" i="28" s="1"/>
  <c r="G846" i="3"/>
  <c r="C18" i="28" s="1"/>
  <c r="G845" i="3"/>
  <c r="C17" i="28" s="1"/>
  <c r="G844" i="3"/>
  <c r="C16" i="28" s="1"/>
  <c r="F843" i="3"/>
  <c r="F842" i="3" s="1"/>
  <c r="E843" i="3"/>
  <c r="E842" i="3" s="1"/>
  <c r="G841" i="3"/>
  <c r="C51" i="27" s="1"/>
  <c r="G840" i="3"/>
  <c r="C50" i="27" s="1"/>
  <c r="G839" i="3"/>
  <c r="C49" i="27" s="1"/>
  <c r="E49" i="27" s="1"/>
  <c r="G838" i="3"/>
  <c r="C48" i="27" s="1"/>
  <c r="G837" i="3"/>
  <c r="C47" i="27" s="1"/>
  <c r="G836" i="3"/>
  <c r="C46" i="27" s="1"/>
  <c r="E46" i="27" s="1"/>
  <c r="G835" i="3"/>
  <c r="C45" i="27" s="1"/>
  <c r="E45" i="27" s="1"/>
  <c r="G834" i="3"/>
  <c r="C44" i="27" s="1"/>
  <c r="E44" i="27" s="1"/>
  <c r="G833" i="3"/>
  <c r="F832" i="3"/>
  <c r="E832" i="3"/>
  <c r="G831" i="3"/>
  <c r="C41" i="27" s="1"/>
  <c r="G830" i="3"/>
  <c r="C40" i="27" s="1"/>
  <c r="G829" i="3"/>
  <c r="G828" i="3"/>
  <c r="C38" i="27" s="1"/>
  <c r="F827" i="3"/>
  <c r="E827" i="3"/>
  <c r="G826" i="3"/>
  <c r="C36" i="27" s="1"/>
  <c r="E36" i="27" s="1"/>
  <c r="G825" i="3"/>
  <c r="C35" i="27" s="1"/>
  <c r="G824" i="3"/>
  <c r="F823" i="3"/>
  <c r="E823" i="3"/>
  <c r="G822" i="3"/>
  <c r="C32" i="27" s="1"/>
  <c r="G821" i="3"/>
  <c r="C31" i="27" s="1"/>
  <c r="G820" i="3"/>
  <c r="C30" i="27" s="1"/>
  <c r="G819" i="3"/>
  <c r="C29" i="27" s="1"/>
  <c r="G818" i="3"/>
  <c r="C28" i="27" s="1"/>
  <c r="E28" i="27" s="1"/>
  <c r="G817" i="3"/>
  <c r="C27" i="27" s="1"/>
  <c r="F816" i="3"/>
  <c r="E816" i="3"/>
  <c r="G815" i="3"/>
  <c r="C25" i="27" s="1"/>
  <c r="E25" i="27" s="1"/>
  <c r="G814" i="3"/>
  <c r="C24" i="27" s="1"/>
  <c r="F813" i="3"/>
  <c r="E813" i="3"/>
  <c r="G812" i="3"/>
  <c r="C22" i="27" s="1"/>
  <c r="G811" i="3"/>
  <c r="C21" i="27" s="1"/>
  <c r="G810" i="3"/>
  <c r="C20" i="27" s="1"/>
  <c r="E20" i="27" s="1"/>
  <c r="G809" i="3"/>
  <c r="C19" i="27" s="1"/>
  <c r="E19" i="27" s="1"/>
  <c r="G808" i="3"/>
  <c r="C18" i="27" s="1"/>
  <c r="F807" i="3"/>
  <c r="E807" i="3"/>
  <c r="G806" i="3"/>
  <c r="C16" i="27" s="1"/>
  <c r="E16" i="27" s="1"/>
  <c r="G805" i="3"/>
  <c r="C15" i="27" s="1"/>
  <c r="E15" i="27" s="1"/>
  <c r="G804" i="3"/>
  <c r="C14" i="27" s="1"/>
  <c r="G803" i="3"/>
  <c r="C13" i="27" s="1"/>
  <c r="G802" i="3"/>
  <c r="C12" i="27" s="1"/>
  <c r="G801" i="3"/>
  <c r="C11" i="27" s="1"/>
  <c r="G800" i="3"/>
  <c r="C10" i="27" s="1"/>
  <c r="E10" i="27" s="1"/>
  <c r="G799" i="3"/>
  <c r="C9" i="27" s="1"/>
  <c r="E9" i="27" s="1"/>
  <c r="G798" i="3"/>
  <c r="C8" i="27" s="1"/>
  <c r="F797" i="3"/>
  <c r="F796" i="3" s="1"/>
  <c r="E797" i="3"/>
  <c r="D793" i="3"/>
  <c r="H792" i="3"/>
  <c r="H788" i="3" s="1"/>
  <c r="G791" i="3"/>
  <c r="G790" i="3"/>
  <c r="G789" i="3"/>
  <c r="F788" i="3"/>
  <c r="E788" i="3"/>
  <c r="D788" i="3"/>
  <c r="C788" i="3"/>
  <c r="H787" i="3"/>
  <c r="G786" i="3"/>
  <c r="H785" i="3"/>
  <c r="G784" i="3"/>
  <c r="G783" i="3" s="1"/>
  <c r="H783" i="3"/>
  <c r="F783" i="3"/>
  <c r="E783" i="3"/>
  <c r="D783" i="3"/>
  <c r="C783" i="3"/>
  <c r="C755" i="3" s="1"/>
  <c r="C793" i="3" s="1"/>
  <c r="C67" i="2" s="1"/>
  <c r="H782" i="3"/>
  <c r="H780" i="3" s="1"/>
  <c r="G781" i="3"/>
  <c r="G780" i="3"/>
  <c r="F780" i="3"/>
  <c r="E780" i="3"/>
  <c r="D780" i="3"/>
  <c r="C780" i="3"/>
  <c r="H779" i="3"/>
  <c r="G778" i="3"/>
  <c r="H777" i="3"/>
  <c r="G777" i="3"/>
  <c r="F777" i="3"/>
  <c r="E777" i="3"/>
  <c r="D777" i="3"/>
  <c r="C777" i="3"/>
  <c r="H776" i="3"/>
  <c r="G775" i="3"/>
  <c r="G770" i="3" s="1"/>
  <c r="H774" i="3"/>
  <c r="H770" i="3" s="1"/>
  <c r="G773" i="3"/>
  <c r="H772" i="3"/>
  <c r="G771" i="3"/>
  <c r="F770" i="3"/>
  <c r="E770" i="3"/>
  <c r="D770" i="3"/>
  <c r="C770" i="3"/>
  <c r="H769" i="3"/>
  <c r="G767" i="3"/>
  <c r="G763" i="3" s="1"/>
  <c r="H766" i="3"/>
  <c r="G764" i="3"/>
  <c r="F763" i="3"/>
  <c r="E763" i="3"/>
  <c r="D763" i="3"/>
  <c r="C763" i="3"/>
  <c r="H762" i="3"/>
  <c r="G761" i="3"/>
  <c r="H760" i="3"/>
  <c r="G759" i="3"/>
  <c r="G756" i="3" s="1"/>
  <c r="H758" i="3"/>
  <c r="H756" i="3" s="1"/>
  <c r="G757" i="3"/>
  <c r="F756" i="3"/>
  <c r="E756" i="3"/>
  <c r="E755" i="3" s="1"/>
  <c r="E793" i="3" s="1"/>
  <c r="D756" i="3"/>
  <c r="D755" i="3" s="1"/>
  <c r="C756" i="3"/>
  <c r="G749" i="3"/>
  <c r="F748" i="3"/>
  <c r="E748" i="3"/>
  <c r="C748" i="3"/>
  <c r="AY56" i="22" s="1"/>
  <c r="AY55" i="22" s="1"/>
  <c r="F747" i="3"/>
  <c r="E747" i="3"/>
  <c r="C747" i="3"/>
  <c r="G746" i="3"/>
  <c r="AX535" i="21" s="1"/>
  <c r="G745" i="3"/>
  <c r="AX534" i="21" s="1"/>
  <c r="G744" i="3"/>
  <c r="AX533" i="21" s="1"/>
  <c r="G743" i="3"/>
  <c r="AX532" i="21" s="1"/>
  <c r="G742" i="3"/>
  <c r="AX531" i="21" s="1"/>
  <c r="G741" i="3"/>
  <c r="AX530" i="21" s="1"/>
  <c r="G740" i="3"/>
  <c r="AX529" i="21" s="1"/>
  <c r="G739" i="3"/>
  <c r="AX528" i="21" s="1"/>
  <c r="G738" i="3"/>
  <c r="AX527" i="21" s="1"/>
  <c r="F737" i="3"/>
  <c r="E737" i="3"/>
  <c r="C737" i="3"/>
  <c r="AY54" i="22" s="1"/>
  <c r="G735" i="3"/>
  <c r="F735" i="3"/>
  <c r="E735" i="3"/>
  <c r="C735" i="3"/>
  <c r="G733" i="3"/>
  <c r="F733" i="3"/>
  <c r="E733" i="3"/>
  <c r="C733" i="3"/>
  <c r="G727" i="3"/>
  <c r="AX53" i="22" s="1"/>
  <c r="F727" i="3"/>
  <c r="F714" i="3" s="1"/>
  <c r="E727" i="3"/>
  <c r="C727" i="3"/>
  <c r="AY53" i="22" s="1"/>
  <c r="G726" i="3"/>
  <c r="AX519" i="21" s="1"/>
  <c r="G725" i="3"/>
  <c r="AX518" i="21" s="1"/>
  <c r="G724" i="3"/>
  <c r="AX52" i="22" s="1"/>
  <c r="F724" i="3"/>
  <c r="E724" i="3"/>
  <c r="C724" i="3"/>
  <c r="AY52" i="22" s="1"/>
  <c r="G723" i="3"/>
  <c r="AX516" i="21" s="1"/>
  <c r="G722" i="3"/>
  <c r="AX515" i="21" s="1"/>
  <c r="G721" i="3"/>
  <c r="AX514" i="21" s="1"/>
  <c r="G720" i="3"/>
  <c r="AX513" i="21" s="1"/>
  <c r="G719" i="3"/>
  <c r="AX512" i="21" s="1"/>
  <c r="G718" i="3"/>
  <c r="G717" i="3"/>
  <c r="AX510" i="21" s="1"/>
  <c r="G716" i="3"/>
  <c r="AX509" i="21" s="1"/>
  <c r="F715" i="3"/>
  <c r="E715" i="3"/>
  <c r="C715" i="3"/>
  <c r="AY51" i="22" s="1"/>
  <c r="E714" i="3"/>
  <c r="G713" i="3"/>
  <c r="AX506" i="21" s="1"/>
  <c r="AX505" i="21" s="1"/>
  <c r="G712" i="3"/>
  <c r="F712" i="3"/>
  <c r="E712" i="3"/>
  <c r="C712" i="3"/>
  <c r="G711" i="3"/>
  <c r="AX504" i="21" s="1"/>
  <c r="AX503" i="21" s="1"/>
  <c r="G710" i="3"/>
  <c r="F710" i="3"/>
  <c r="E710" i="3"/>
  <c r="C710" i="3"/>
  <c r="G709" i="3"/>
  <c r="AX49" i="22" s="1"/>
  <c r="F709" i="3"/>
  <c r="E709" i="3"/>
  <c r="C709" i="3"/>
  <c r="AY49" i="22" s="1"/>
  <c r="G708" i="3"/>
  <c r="F707" i="3"/>
  <c r="E707" i="3"/>
  <c r="C707" i="3"/>
  <c r="F706" i="3"/>
  <c r="E706" i="3"/>
  <c r="C706" i="3"/>
  <c r="AY48" i="22" s="1"/>
  <c r="G704" i="3"/>
  <c r="G701" i="3" s="1"/>
  <c r="AX47" i="22" s="1"/>
  <c r="F704" i="3"/>
  <c r="F701" i="3" s="1"/>
  <c r="E704" i="3"/>
  <c r="E701" i="3" s="1"/>
  <c r="C704" i="3"/>
  <c r="G703" i="3"/>
  <c r="AX496" i="21" s="1"/>
  <c r="AX495" i="21" s="1"/>
  <c r="AX494" i="21" s="1"/>
  <c r="G702" i="3"/>
  <c r="F702" i="3"/>
  <c r="E702" i="3"/>
  <c r="C702" i="3"/>
  <c r="C701" i="3"/>
  <c r="AY47" i="22" s="1"/>
  <c r="G699" i="3"/>
  <c r="F699" i="3"/>
  <c r="F696" i="3" s="1"/>
  <c r="E699" i="3"/>
  <c r="E696" i="3" s="1"/>
  <c r="C699" i="3"/>
  <c r="G698" i="3"/>
  <c r="F697" i="3"/>
  <c r="E697" i="3"/>
  <c r="C697" i="3"/>
  <c r="C696" i="3"/>
  <c r="AY46" i="22" s="1"/>
  <c r="G690" i="3"/>
  <c r="F690" i="3"/>
  <c r="F685" i="3" s="1"/>
  <c r="F684" i="3" s="1"/>
  <c r="E690" i="3"/>
  <c r="C690" i="3"/>
  <c r="G689" i="3"/>
  <c r="AX482" i="21" s="1"/>
  <c r="G688" i="3"/>
  <c r="AX481" i="21" s="1"/>
  <c r="G687" i="3"/>
  <c r="AX480" i="21" s="1"/>
  <c r="AX479" i="21" s="1"/>
  <c r="AX478" i="21" s="1"/>
  <c r="F686" i="3"/>
  <c r="E686" i="3"/>
  <c r="C686" i="3"/>
  <c r="C685" i="3" s="1"/>
  <c r="E685" i="3"/>
  <c r="G683" i="3"/>
  <c r="AX476" i="21" s="1"/>
  <c r="G682" i="3"/>
  <c r="AX475" i="21" s="1"/>
  <c r="AX474" i="21" s="1"/>
  <c r="F681" i="3"/>
  <c r="E681" i="3"/>
  <c r="E678" i="3" s="1"/>
  <c r="C681" i="3"/>
  <c r="G680" i="3"/>
  <c r="F679" i="3"/>
  <c r="F678" i="3" s="1"/>
  <c r="E679" i="3"/>
  <c r="C679" i="3"/>
  <c r="C678" i="3"/>
  <c r="AY43" i="22" s="1"/>
  <c r="G677" i="3"/>
  <c r="AX470" i="21" s="1"/>
  <c r="AX469" i="21" s="1"/>
  <c r="AX463" i="21" s="1"/>
  <c r="G676" i="3"/>
  <c r="F676" i="3"/>
  <c r="E676" i="3"/>
  <c r="C676" i="3"/>
  <c r="G675" i="3"/>
  <c r="AX468" i="21" s="1"/>
  <c r="G674" i="3"/>
  <c r="AX467" i="21" s="1"/>
  <c r="G673" i="3"/>
  <c r="G672" i="3"/>
  <c r="AX465" i="21" s="1"/>
  <c r="F671" i="3"/>
  <c r="E671" i="3"/>
  <c r="E670" i="3" s="1"/>
  <c r="C671" i="3"/>
  <c r="C670" i="3" s="1"/>
  <c r="AY42" i="22" s="1"/>
  <c r="F670" i="3"/>
  <c r="G669" i="3"/>
  <c r="AX462" i="21" s="1"/>
  <c r="G668" i="3"/>
  <c r="AX461" i="21" s="1"/>
  <c r="G667" i="3"/>
  <c r="AX460" i="21" s="1"/>
  <c r="AX459" i="21" s="1"/>
  <c r="G666" i="3"/>
  <c r="F666" i="3"/>
  <c r="E666" i="3"/>
  <c r="C666" i="3"/>
  <c r="G665" i="3"/>
  <c r="AX458" i="21" s="1"/>
  <c r="G664" i="3"/>
  <c r="AX457" i="21" s="1"/>
  <c r="G663" i="3"/>
  <c r="AX456" i="21" s="1"/>
  <c r="AX455" i="21" s="1"/>
  <c r="AX454" i="21" s="1"/>
  <c r="G662" i="3"/>
  <c r="G661" i="3" s="1"/>
  <c r="F662" i="3"/>
  <c r="E662" i="3"/>
  <c r="E661" i="3" s="1"/>
  <c r="C662" i="3"/>
  <c r="F661" i="3"/>
  <c r="F660" i="3" s="1"/>
  <c r="C661" i="3"/>
  <c r="AY41" i="22" s="1"/>
  <c r="E660" i="3"/>
  <c r="G659" i="3"/>
  <c r="F658" i="3"/>
  <c r="E658" i="3"/>
  <c r="C658" i="3"/>
  <c r="G657" i="3"/>
  <c r="AX450" i="21" s="1"/>
  <c r="G656" i="3"/>
  <c r="F655" i="3"/>
  <c r="E655" i="3"/>
  <c r="E654" i="3" s="1"/>
  <c r="C655" i="3"/>
  <c r="F654" i="3"/>
  <c r="C654" i="3"/>
  <c r="AY39" i="22" s="1"/>
  <c r="G653" i="3"/>
  <c r="AX446" i="21" s="1"/>
  <c r="AX445" i="21" s="1"/>
  <c r="G652" i="3"/>
  <c r="F652" i="3"/>
  <c r="F643" i="3" s="1"/>
  <c r="E652" i="3"/>
  <c r="C652" i="3"/>
  <c r="G651" i="3"/>
  <c r="AX444" i="21" s="1"/>
  <c r="AX443" i="21" s="1"/>
  <c r="G650" i="3"/>
  <c r="F650" i="3"/>
  <c r="E650" i="3"/>
  <c r="C650" i="3"/>
  <c r="G649" i="3"/>
  <c r="AX442" i="21" s="1"/>
  <c r="AX441" i="21" s="1"/>
  <c r="G648" i="3"/>
  <c r="F648" i="3"/>
  <c r="E648" i="3"/>
  <c r="C648" i="3"/>
  <c r="C643" i="3" s="1"/>
  <c r="AY38" i="22" s="1"/>
  <c r="G647" i="3"/>
  <c r="AX440" i="21" s="1"/>
  <c r="AX439" i="21" s="1"/>
  <c r="F646" i="3"/>
  <c r="E646" i="3"/>
  <c r="C646" i="3"/>
  <c r="G645" i="3"/>
  <c r="AX438" i="21" s="1"/>
  <c r="AX437" i="21" s="1"/>
  <c r="G644" i="3"/>
  <c r="F644" i="3"/>
  <c r="E644" i="3"/>
  <c r="E643" i="3" s="1"/>
  <c r="C644" i="3"/>
  <c r="G642" i="3"/>
  <c r="AX435" i="21" s="1"/>
  <c r="AX434" i="21" s="1"/>
  <c r="AX433" i="21" s="1"/>
  <c r="G641" i="3"/>
  <c r="G640" i="3" s="1"/>
  <c r="AX37" i="22" s="1"/>
  <c r="F641" i="3"/>
  <c r="E641" i="3"/>
  <c r="E640" i="3" s="1"/>
  <c r="C641" i="3"/>
  <c r="F640" i="3"/>
  <c r="C640" i="3"/>
  <c r="AY37" i="22" s="1"/>
  <c r="G639" i="3"/>
  <c r="AX432" i="21" s="1"/>
  <c r="G638" i="3"/>
  <c r="AX431" i="21" s="1"/>
  <c r="G637" i="3"/>
  <c r="AX430" i="21" s="1"/>
  <c r="G636" i="3"/>
  <c r="AX429" i="21" s="1"/>
  <c r="F635" i="3"/>
  <c r="E635" i="3"/>
  <c r="C635" i="3"/>
  <c r="G634" i="3"/>
  <c r="AX427" i="21" s="1"/>
  <c r="G633" i="3"/>
  <c r="AX426" i="21" s="1"/>
  <c r="G632" i="3"/>
  <c r="AX425" i="21" s="1"/>
  <c r="AX424" i="21" s="1"/>
  <c r="G631" i="3"/>
  <c r="F631" i="3"/>
  <c r="F630" i="3" s="1"/>
  <c r="E631" i="3"/>
  <c r="E630" i="3" s="1"/>
  <c r="C631" i="3"/>
  <c r="C630" i="3" s="1"/>
  <c r="AY36" i="22" s="1"/>
  <c r="G629" i="3"/>
  <c r="G628" i="3" s="1"/>
  <c r="F628" i="3"/>
  <c r="E628" i="3"/>
  <c r="C628" i="3"/>
  <c r="G627" i="3"/>
  <c r="AX420" i="21" s="1"/>
  <c r="AX419" i="21" s="1"/>
  <c r="G626" i="3"/>
  <c r="F626" i="3"/>
  <c r="F623" i="3" s="1"/>
  <c r="E626" i="3"/>
  <c r="E623" i="3" s="1"/>
  <c r="C626" i="3"/>
  <c r="G625" i="3"/>
  <c r="F624" i="3"/>
  <c r="E624" i="3"/>
  <c r="C624" i="3"/>
  <c r="G622" i="3"/>
  <c r="AX415" i="21" s="1"/>
  <c r="AX414" i="21" s="1"/>
  <c r="G621" i="3"/>
  <c r="F621" i="3"/>
  <c r="E621" i="3"/>
  <c r="C621" i="3"/>
  <c r="C610" i="3" s="1"/>
  <c r="AY34" i="22" s="1"/>
  <c r="G620" i="3"/>
  <c r="AX413" i="21" s="1"/>
  <c r="G619" i="3"/>
  <c r="AX412" i="21" s="1"/>
  <c r="G618" i="3"/>
  <c r="AX411" i="21" s="1"/>
  <c r="G617" i="3"/>
  <c r="AX410" i="21" s="1"/>
  <c r="G616" i="3"/>
  <c r="AX409" i="21" s="1"/>
  <c r="AX408" i="21" s="1"/>
  <c r="G615" i="3"/>
  <c r="F615" i="3"/>
  <c r="E615" i="3"/>
  <c r="C615" i="3"/>
  <c r="G614" i="3"/>
  <c r="AX407" i="21" s="1"/>
  <c r="AX406" i="21" s="1"/>
  <c r="G613" i="3"/>
  <c r="F613" i="3"/>
  <c r="F610" i="3" s="1"/>
  <c r="E613" i="3"/>
  <c r="C613" i="3"/>
  <c r="G612" i="3"/>
  <c r="F611" i="3"/>
  <c r="E611" i="3"/>
  <c r="C611" i="3"/>
  <c r="E610" i="3"/>
  <c r="G609" i="3"/>
  <c r="AX402" i="21" s="1"/>
  <c r="AX401" i="21" s="1"/>
  <c r="G608" i="3"/>
  <c r="F608" i="3"/>
  <c r="E608" i="3"/>
  <c r="C608" i="3"/>
  <c r="G607" i="3"/>
  <c r="AX400" i="21" s="1"/>
  <c r="G606" i="3"/>
  <c r="AX399" i="21" s="1"/>
  <c r="G605" i="3"/>
  <c r="AX398" i="21" s="1"/>
  <c r="G604" i="3"/>
  <c r="AX397" i="21" s="1"/>
  <c r="G603" i="3"/>
  <c r="AX396" i="21" s="1"/>
  <c r="G602" i="3"/>
  <c r="AX395" i="21" s="1"/>
  <c r="G601" i="3"/>
  <c r="AX394" i="21" s="1"/>
  <c r="G600" i="3"/>
  <c r="AX393" i="21" s="1"/>
  <c r="F599" i="3"/>
  <c r="E599" i="3"/>
  <c r="C599" i="3"/>
  <c r="F598" i="3"/>
  <c r="E598" i="3"/>
  <c r="C598" i="3"/>
  <c r="AY33" i="22" s="1"/>
  <c r="G597" i="3"/>
  <c r="G596" i="3"/>
  <c r="G595" i="3" s="1"/>
  <c r="AX390" i="21" s="1"/>
  <c r="F595" i="3"/>
  <c r="E595" i="3"/>
  <c r="C595" i="3"/>
  <c r="AY390" i="21" s="1"/>
  <c r="G594" i="3"/>
  <c r="AX389" i="21" s="1"/>
  <c r="G593" i="3"/>
  <c r="G592" i="3"/>
  <c r="AX387" i="21" s="1"/>
  <c r="AX386" i="21" s="1"/>
  <c r="F591" i="3"/>
  <c r="E591" i="3"/>
  <c r="C591" i="3"/>
  <c r="F590" i="3"/>
  <c r="E590" i="3"/>
  <c r="C590" i="3"/>
  <c r="G589" i="3"/>
  <c r="AX384" i="21" s="1"/>
  <c r="G588" i="3"/>
  <c r="AX383" i="21" s="1"/>
  <c r="G587" i="3"/>
  <c r="AX382" i="21" s="1"/>
  <c r="G586" i="3"/>
  <c r="AX381" i="21" s="1"/>
  <c r="G585" i="3"/>
  <c r="AX380" i="21" s="1"/>
  <c r="G584" i="3"/>
  <c r="AX379" i="21" s="1"/>
  <c r="G583" i="3"/>
  <c r="AX378" i="21" s="1"/>
  <c r="G582" i="3"/>
  <c r="AX377" i="21" s="1"/>
  <c r="G581" i="3"/>
  <c r="AX376" i="21" s="1"/>
  <c r="G580" i="3"/>
  <c r="AX375" i="21" s="1"/>
  <c r="G579" i="3"/>
  <c r="G578" i="3" s="1"/>
  <c r="F578" i="3"/>
  <c r="E578" i="3"/>
  <c r="C578" i="3"/>
  <c r="AY31" i="22" s="1"/>
  <c r="G576" i="3"/>
  <c r="AX371" i="21" s="1"/>
  <c r="G575" i="3"/>
  <c r="AX370" i="21" s="1"/>
  <c r="G574" i="3"/>
  <c r="AX369" i="21" s="1"/>
  <c r="G573" i="3"/>
  <c r="AX368" i="21" s="1"/>
  <c r="G572" i="3"/>
  <c r="AX367" i="21" s="1"/>
  <c r="G571" i="3"/>
  <c r="AX366" i="21" s="1"/>
  <c r="G570" i="3"/>
  <c r="AX365" i="21" s="1"/>
  <c r="G569" i="3"/>
  <c r="AX364" i="21" s="1"/>
  <c r="G568" i="3"/>
  <c r="AX363" i="21" s="1"/>
  <c r="F567" i="3"/>
  <c r="E567" i="3"/>
  <c r="C567" i="3"/>
  <c r="G566" i="3"/>
  <c r="AX361" i="21" s="1"/>
  <c r="G565" i="3"/>
  <c r="AX360" i="21" s="1"/>
  <c r="G564" i="3"/>
  <c r="AX359" i="21" s="1"/>
  <c r="G563" i="3"/>
  <c r="G562" i="3"/>
  <c r="AX357" i="21" s="1"/>
  <c r="F561" i="3"/>
  <c r="E561" i="3"/>
  <c r="C561" i="3"/>
  <c r="G560" i="3"/>
  <c r="AX355" i="21" s="1"/>
  <c r="G559" i="3"/>
  <c r="AX354" i="21" s="1"/>
  <c r="G558" i="3"/>
  <c r="AX353" i="21" s="1"/>
  <c r="G557" i="3"/>
  <c r="AX352" i="21" s="1"/>
  <c r="G556" i="3"/>
  <c r="AX351" i="21" s="1"/>
  <c r="G555" i="3"/>
  <c r="AX350" i="21" s="1"/>
  <c r="G554" i="3"/>
  <c r="AX349" i="21" s="1"/>
  <c r="G553" i="3"/>
  <c r="AX348" i="21" s="1"/>
  <c r="G552" i="3"/>
  <c r="F551" i="3"/>
  <c r="E551" i="3"/>
  <c r="C551" i="3"/>
  <c r="G550" i="3"/>
  <c r="AX345" i="21" s="1"/>
  <c r="G549" i="3"/>
  <c r="AX344" i="21" s="1"/>
  <c r="G548" i="3"/>
  <c r="AX343" i="21" s="1"/>
  <c r="G547" i="3"/>
  <c r="AX342" i="21" s="1"/>
  <c r="G546" i="3"/>
  <c r="AX341" i="21" s="1"/>
  <c r="G545" i="3"/>
  <c r="G544" i="3"/>
  <c r="AX339" i="21" s="1"/>
  <c r="F543" i="3"/>
  <c r="E543" i="3"/>
  <c r="C543" i="3"/>
  <c r="G542" i="3"/>
  <c r="AX337" i="21" s="1"/>
  <c r="G541" i="3"/>
  <c r="AX336" i="21" s="1"/>
  <c r="G540" i="3"/>
  <c r="AX335" i="21" s="1"/>
  <c r="G539" i="3"/>
  <c r="AX334" i="21" s="1"/>
  <c r="G538" i="3"/>
  <c r="AX333" i="21" s="1"/>
  <c r="G537" i="3"/>
  <c r="AX332" i="21" s="1"/>
  <c r="G536" i="3"/>
  <c r="AX331" i="21" s="1"/>
  <c r="G535" i="3"/>
  <c r="AX330" i="21" s="1"/>
  <c r="G534" i="3"/>
  <c r="F533" i="3"/>
  <c r="E533" i="3"/>
  <c r="C533" i="3"/>
  <c r="G532" i="3"/>
  <c r="AX327" i="21" s="1"/>
  <c r="G531" i="3"/>
  <c r="AX326" i="21" s="1"/>
  <c r="G530" i="3"/>
  <c r="AX325" i="21" s="1"/>
  <c r="G529" i="3"/>
  <c r="AX324" i="21" s="1"/>
  <c r="G528" i="3"/>
  <c r="AX323" i="21" s="1"/>
  <c r="G527" i="3"/>
  <c r="AX322" i="21" s="1"/>
  <c r="G526" i="3"/>
  <c r="AX321" i="21" s="1"/>
  <c r="G525" i="3"/>
  <c r="G524" i="3"/>
  <c r="F523" i="3"/>
  <c r="E523" i="3"/>
  <c r="C523" i="3"/>
  <c r="G522" i="3"/>
  <c r="AX317" i="21" s="1"/>
  <c r="G521" i="3"/>
  <c r="AX316" i="21" s="1"/>
  <c r="G520" i="3"/>
  <c r="AX315" i="21" s="1"/>
  <c r="G519" i="3"/>
  <c r="AX314" i="21" s="1"/>
  <c r="G518" i="3"/>
  <c r="AX313" i="21" s="1"/>
  <c r="G517" i="3"/>
  <c r="AX312" i="21" s="1"/>
  <c r="G516" i="3"/>
  <c r="AX311" i="21" s="1"/>
  <c r="G515" i="3"/>
  <c r="AX310" i="21" s="1"/>
  <c r="G514" i="3"/>
  <c r="AX309" i="21" s="1"/>
  <c r="F513" i="3"/>
  <c r="E513" i="3"/>
  <c r="C513" i="3"/>
  <c r="G512" i="3"/>
  <c r="AX307" i="21" s="1"/>
  <c r="G511" i="3"/>
  <c r="AX306" i="21" s="1"/>
  <c r="G510" i="3"/>
  <c r="AX305" i="21" s="1"/>
  <c r="G509" i="3"/>
  <c r="AX304" i="21" s="1"/>
  <c r="G508" i="3"/>
  <c r="AX303" i="21" s="1"/>
  <c r="G507" i="3"/>
  <c r="AX302" i="21" s="1"/>
  <c r="G506" i="3"/>
  <c r="AX301" i="21" s="1"/>
  <c r="G505" i="3"/>
  <c r="AX300" i="21" s="1"/>
  <c r="G504" i="3"/>
  <c r="AX299" i="21" s="1"/>
  <c r="G503" i="3"/>
  <c r="F503" i="3"/>
  <c r="E503" i="3"/>
  <c r="C503" i="3"/>
  <c r="G502" i="3"/>
  <c r="AX297" i="21" s="1"/>
  <c r="G501" i="3"/>
  <c r="AX296" i="21" s="1"/>
  <c r="G500" i="3"/>
  <c r="AX295" i="21" s="1"/>
  <c r="G499" i="3"/>
  <c r="AX294" i="21" s="1"/>
  <c r="G498" i="3"/>
  <c r="AX293" i="21" s="1"/>
  <c r="G497" i="3"/>
  <c r="AX292" i="21" s="1"/>
  <c r="G496" i="3"/>
  <c r="AX291" i="21" s="1"/>
  <c r="G495" i="3"/>
  <c r="AX290" i="21" s="1"/>
  <c r="G494" i="3"/>
  <c r="AX289" i="21" s="1"/>
  <c r="AX288" i="21" s="1"/>
  <c r="G493" i="3"/>
  <c r="F493" i="3"/>
  <c r="F492" i="3" s="1"/>
  <c r="E493" i="3"/>
  <c r="C493" i="3"/>
  <c r="C492" i="3" s="1"/>
  <c r="AY29" i="22" s="1"/>
  <c r="G491" i="3"/>
  <c r="AX286" i="21" s="1"/>
  <c r="G490" i="3"/>
  <c r="AX285" i="21" s="1"/>
  <c r="G489" i="3"/>
  <c r="AX284" i="21" s="1"/>
  <c r="G488" i="3"/>
  <c r="AX283" i="21" s="1"/>
  <c r="G487" i="3"/>
  <c r="AX282" i="21" s="1"/>
  <c r="G486" i="3"/>
  <c r="AX281" i="21" s="1"/>
  <c r="G485" i="3"/>
  <c r="AX280" i="21" s="1"/>
  <c r="G484" i="3"/>
  <c r="AX279" i="21" s="1"/>
  <c r="G483" i="3"/>
  <c r="AX278" i="21" s="1"/>
  <c r="F482" i="3"/>
  <c r="E482" i="3"/>
  <c r="C482" i="3"/>
  <c r="G481" i="3"/>
  <c r="AX276" i="21" s="1"/>
  <c r="G480" i="3"/>
  <c r="AX275" i="21" s="1"/>
  <c r="G479" i="3"/>
  <c r="AX274" i="21" s="1"/>
  <c r="G478" i="3"/>
  <c r="F478" i="3"/>
  <c r="E478" i="3"/>
  <c r="C478" i="3"/>
  <c r="G477" i="3"/>
  <c r="AX272" i="21" s="1"/>
  <c r="G476" i="3"/>
  <c r="AX271" i="21" s="1"/>
  <c r="G475" i="3"/>
  <c r="AX270" i="21" s="1"/>
  <c r="G474" i="3"/>
  <c r="G473" i="3"/>
  <c r="AX268" i="21" s="1"/>
  <c r="F472" i="3"/>
  <c r="E472" i="3"/>
  <c r="C472" i="3"/>
  <c r="C427" i="3" s="1"/>
  <c r="AY28" i="22" s="1"/>
  <c r="G471" i="3"/>
  <c r="AX266" i="21" s="1"/>
  <c r="G470" i="3"/>
  <c r="F469" i="3"/>
  <c r="E469" i="3"/>
  <c r="C469" i="3"/>
  <c r="G468" i="3"/>
  <c r="AX263" i="21" s="1"/>
  <c r="G467" i="3"/>
  <c r="AX262" i="21" s="1"/>
  <c r="G466" i="3"/>
  <c r="AX261" i="21" s="1"/>
  <c r="G465" i="3"/>
  <c r="AX260" i="21" s="1"/>
  <c r="G464" i="3"/>
  <c r="AX259" i="21" s="1"/>
  <c r="G463" i="3"/>
  <c r="AX258" i="21" s="1"/>
  <c r="G462" i="3"/>
  <c r="AX257" i="21" s="1"/>
  <c r="AX256" i="21" s="1"/>
  <c r="G461" i="3"/>
  <c r="F461" i="3"/>
  <c r="E461" i="3"/>
  <c r="C461" i="3"/>
  <c r="G460" i="3"/>
  <c r="AX255" i="21" s="1"/>
  <c r="G459" i="3"/>
  <c r="AX254" i="21" s="1"/>
  <c r="G458" i="3"/>
  <c r="AX253" i="21" s="1"/>
  <c r="G457" i="3"/>
  <c r="AX252" i="21" s="1"/>
  <c r="G456" i="3"/>
  <c r="AX251" i="21" s="1"/>
  <c r="G455" i="3"/>
  <c r="AX250" i="21" s="1"/>
  <c r="G454" i="3"/>
  <c r="AX249" i="21" s="1"/>
  <c r="G453" i="3"/>
  <c r="AX248" i="21" s="1"/>
  <c r="G452" i="3"/>
  <c r="F451" i="3"/>
  <c r="E451" i="3"/>
  <c r="C451" i="3"/>
  <c r="G441" i="3"/>
  <c r="F441" i="3"/>
  <c r="E441" i="3"/>
  <c r="C441" i="3"/>
  <c r="G440" i="3"/>
  <c r="AX235" i="21" s="1"/>
  <c r="G439" i="3"/>
  <c r="AX234" i="21" s="1"/>
  <c r="G438" i="3"/>
  <c r="AX233" i="21" s="1"/>
  <c r="G437" i="3"/>
  <c r="F437" i="3"/>
  <c r="E437" i="3"/>
  <c r="C437" i="3"/>
  <c r="G436" i="3"/>
  <c r="G435" i="3"/>
  <c r="AX230" i="21" s="1"/>
  <c r="G434" i="3"/>
  <c r="AX229" i="21" s="1"/>
  <c r="G433" i="3"/>
  <c r="AX228" i="21" s="1"/>
  <c r="G432" i="3"/>
  <c r="AX227" i="21" s="1"/>
  <c r="G431" i="3"/>
  <c r="AX226" i="21" s="1"/>
  <c r="G430" i="3"/>
  <c r="AX225" i="21" s="1"/>
  <c r="G429" i="3"/>
  <c r="AX224" i="21" s="1"/>
  <c r="G428" i="3"/>
  <c r="F428" i="3"/>
  <c r="E428" i="3"/>
  <c r="C428" i="3"/>
  <c r="G426" i="3"/>
  <c r="G425" i="3"/>
  <c r="F424" i="3"/>
  <c r="E424" i="3"/>
  <c r="C424" i="3"/>
  <c r="G423" i="3"/>
  <c r="AX218" i="21" s="1"/>
  <c r="G422" i="3"/>
  <c r="G421" i="3"/>
  <c r="AX216" i="21" s="1"/>
  <c r="G420" i="3"/>
  <c r="AX215" i="21" s="1"/>
  <c r="G419" i="3"/>
  <c r="AX214" i="21" s="1"/>
  <c r="G418" i="3"/>
  <c r="AX213" i="21" s="1"/>
  <c r="F417" i="3"/>
  <c r="E417" i="3"/>
  <c r="C417" i="3"/>
  <c r="G416" i="3"/>
  <c r="AX211" i="21" s="1"/>
  <c r="G415" i="3"/>
  <c r="AX210" i="21" s="1"/>
  <c r="G414" i="3"/>
  <c r="AX209" i="21" s="1"/>
  <c r="G413" i="3"/>
  <c r="F412" i="3"/>
  <c r="E412" i="3"/>
  <c r="C412" i="3"/>
  <c r="G411" i="3"/>
  <c r="AX206" i="21" s="1"/>
  <c r="G410" i="3"/>
  <c r="AX205" i="21" s="1"/>
  <c r="G409" i="3"/>
  <c r="AX204" i="21" s="1"/>
  <c r="G408" i="3"/>
  <c r="AX203" i="21" s="1"/>
  <c r="G407" i="3"/>
  <c r="AX202" i="21" s="1"/>
  <c r="G406" i="3"/>
  <c r="AX201" i="21" s="1"/>
  <c r="G405" i="3"/>
  <c r="AX200" i="21" s="1"/>
  <c r="G404" i="3"/>
  <c r="F403" i="3"/>
  <c r="E403" i="3"/>
  <c r="C403" i="3"/>
  <c r="G402" i="3"/>
  <c r="AX197" i="21" s="1"/>
  <c r="G401" i="3"/>
  <c r="AX196" i="21" s="1"/>
  <c r="G400" i="3"/>
  <c r="G399" i="3"/>
  <c r="AX194" i="21" s="1"/>
  <c r="F398" i="3"/>
  <c r="E398" i="3"/>
  <c r="C398" i="3"/>
  <c r="G396" i="3"/>
  <c r="AX191" i="21" s="1"/>
  <c r="G394" i="3"/>
  <c r="F393" i="3"/>
  <c r="F392" i="3" s="1"/>
  <c r="E393" i="3"/>
  <c r="C393" i="3"/>
  <c r="H389" i="3"/>
  <c r="AX183" i="21" s="1"/>
  <c r="H388" i="3"/>
  <c r="F388" i="3"/>
  <c r="E388" i="3"/>
  <c r="D388" i="3"/>
  <c r="H387" i="3"/>
  <c r="F386" i="3"/>
  <c r="E386" i="3"/>
  <c r="D386" i="3"/>
  <c r="H385" i="3"/>
  <c r="AX181" i="21" s="1"/>
  <c r="H384" i="3"/>
  <c r="F384" i="3"/>
  <c r="E384" i="3"/>
  <c r="E374" i="3" s="1"/>
  <c r="E356" i="3" s="1"/>
  <c r="D384" i="3"/>
  <c r="D374" i="3" s="1"/>
  <c r="AY23" i="22" s="1"/>
  <c r="H383" i="3"/>
  <c r="F382" i="3"/>
  <c r="E382" i="3"/>
  <c r="D382" i="3"/>
  <c r="H381" i="3"/>
  <c r="AX179" i="21" s="1"/>
  <c r="H380" i="3"/>
  <c r="F380" i="3"/>
  <c r="E380" i="3"/>
  <c r="D380" i="3"/>
  <c r="H379" i="3"/>
  <c r="AX178" i="21" s="1"/>
  <c r="H378" i="3"/>
  <c r="F378" i="3"/>
  <c r="F374" i="3" s="1"/>
  <c r="F356" i="3" s="1"/>
  <c r="E378" i="3"/>
  <c r="D378" i="3"/>
  <c r="H377" i="3"/>
  <c r="AX177" i="21" s="1"/>
  <c r="H376" i="3"/>
  <c r="F376" i="3"/>
  <c r="E376" i="3"/>
  <c r="D376" i="3"/>
  <c r="H373" i="3"/>
  <c r="F372" i="3"/>
  <c r="E372" i="3"/>
  <c r="D372" i="3"/>
  <c r="F371" i="3"/>
  <c r="E371" i="3"/>
  <c r="D371" i="3"/>
  <c r="AY22" i="22" s="1"/>
  <c r="H370" i="3"/>
  <c r="AX172" i="21" s="1"/>
  <c r="AX171" i="21" s="1"/>
  <c r="C10" i="24" s="1"/>
  <c r="F369" i="3"/>
  <c r="F368" i="3" s="1"/>
  <c r="E369" i="3"/>
  <c r="E368" i="3" s="1"/>
  <c r="D369" i="3"/>
  <c r="D368" i="3" s="1"/>
  <c r="AY21" i="22" s="1"/>
  <c r="H362" i="3"/>
  <c r="AX20" i="22" s="1"/>
  <c r="F362" i="3"/>
  <c r="E362" i="3"/>
  <c r="D362" i="3"/>
  <c r="AY20" i="22" s="1"/>
  <c r="H361" i="3"/>
  <c r="H360" i="3"/>
  <c r="F360" i="3"/>
  <c r="F357" i="3" s="1"/>
  <c r="E360" i="3"/>
  <c r="E357" i="3" s="1"/>
  <c r="D360" i="3"/>
  <c r="D357" i="3" s="1"/>
  <c r="H359" i="3"/>
  <c r="AX163" i="21" s="1"/>
  <c r="H358" i="3"/>
  <c r="H357" i="3" s="1"/>
  <c r="AX19" i="22" s="1"/>
  <c r="F358" i="3"/>
  <c r="E358" i="3"/>
  <c r="D358" i="3"/>
  <c r="H355" i="3"/>
  <c r="F354" i="3"/>
  <c r="E354" i="3"/>
  <c r="D354" i="3"/>
  <c r="H352" i="3"/>
  <c r="AX157" i="21" s="1"/>
  <c r="AX156" i="21" s="1"/>
  <c r="H351" i="3"/>
  <c r="F351" i="3"/>
  <c r="E351" i="3"/>
  <c r="D351" i="3"/>
  <c r="H349" i="3"/>
  <c r="H348" i="3"/>
  <c r="H347" i="3"/>
  <c r="F347" i="3"/>
  <c r="E347" i="3"/>
  <c r="D347" i="3"/>
  <c r="H345" i="3"/>
  <c r="H344" i="3"/>
  <c r="H343" i="3"/>
  <c r="F343" i="3"/>
  <c r="E343" i="3"/>
  <c r="D343" i="3"/>
  <c r="D342" i="3" s="1"/>
  <c r="AY17" i="22" s="1"/>
  <c r="E342" i="3"/>
  <c r="H341" i="3"/>
  <c r="AX148" i="21" s="1"/>
  <c r="H340" i="3"/>
  <c r="AX147" i="21" s="1"/>
  <c r="F339" i="3"/>
  <c r="E339" i="3"/>
  <c r="D339" i="3"/>
  <c r="H338" i="3"/>
  <c r="AX145" i="21" s="1"/>
  <c r="H337" i="3"/>
  <c r="AX144" i="21" s="1"/>
  <c r="H336" i="3"/>
  <c r="AX143" i="21" s="1"/>
  <c r="H335" i="3"/>
  <c r="AX142" i="21" s="1"/>
  <c r="H334" i="3"/>
  <c r="F333" i="3"/>
  <c r="E333" i="3"/>
  <c r="E309" i="3" s="1"/>
  <c r="E308" i="3" s="1"/>
  <c r="D333" i="3"/>
  <c r="H332" i="3"/>
  <c r="H331" i="3"/>
  <c r="H330" i="3"/>
  <c r="H329" i="3"/>
  <c r="AX138" i="21" s="1"/>
  <c r="H328" i="3"/>
  <c r="AX137" i="21" s="1"/>
  <c r="H327" i="3"/>
  <c r="F326" i="3"/>
  <c r="E326" i="3"/>
  <c r="D326" i="3"/>
  <c r="D309" i="3" s="1"/>
  <c r="H325" i="3"/>
  <c r="AX134" i="21" s="1"/>
  <c r="H324" i="3"/>
  <c r="AX133" i="21" s="1"/>
  <c r="AX132" i="21" s="1"/>
  <c r="F323" i="3"/>
  <c r="E323" i="3"/>
  <c r="D323" i="3"/>
  <c r="H322" i="3"/>
  <c r="AX131" i="21" s="1"/>
  <c r="H321" i="3"/>
  <c r="AX130" i="21" s="1"/>
  <c r="H320" i="3"/>
  <c r="AX129" i="21" s="1"/>
  <c r="H319" i="3"/>
  <c r="AX128" i="21" s="1"/>
  <c r="H318" i="3"/>
  <c r="AX127" i="21" s="1"/>
  <c r="H317" i="3"/>
  <c r="AX126" i="21" s="1"/>
  <c r="H316" i="3"/>
  <c r="AX125" i="21" s="1"/>
  <c r="H315" i="3"/>
  <c r="AX124" i="21" s="1"/>
  <c r="H314" i="3"/>
  <c r="AX123" i="21" s="1"/>
  <c r="H313" i="3"/>
  <c r="AX122" i="21" s="1"/>
  <c r="H312" i="3"/>
  <c r="AX121" i="21" s="1"/>
  <c r="H311" i="3"/>
  <c r="AX120" i="21" s="1"/>
  <c r="F310" i="3"/>
  <c r="E310" i="3"/>
  <c r="D310" i="3"/>
  <c r="H305" i="3"/>
  <c r="F305" i="3"/>
  <c r="E305" i="3"/>
  <c r="D305" i="3"/>
  <c r="H304" i="3"/>
  <c r="H303" i="3"/>
  <c r="AX112" i="21" s="1"/>
  <c r="AX111" i="21" s="1"/>
  <c r="F302" i="3"/>
  <c r="E302" i="3"/>
  <c r="D302" i="3"/>
  <c r="H301" i="3"/>
  <c r="H300" i="3"/>
  <c r="H299" i="3"/>
  <c r="H298" i="3"/>
  <c r="F297" i="3"/>
  <c r="E297" i="3"/>
  <c r="D297" i="3"/>
  <c r="H296" i="3"/>
  <c r="H295" i="3"/>
  <c r="AX104" i="21" s="1"/>
  <c r="AX103" i="21" s="1"/>
  <c r="H294" i="3"/>
  <c r="F294" i="3"/>
  <c r="F293" i="3" s="1"/>
  <c r="E294" i="3"/>
  <c r="E293" i="3" s="1"/>
  <c r="D294" i="3"/>
  <c r="D293" i="3" s="1"/>
  <c r="AY14" i="22" s="1"/>
  <c r="H292" i="3"/>
  <c r="AX101" i="21" s="1"/>
  <c r="H291" i="3"/>
  <c r="F291" i="3"/>
  <c r="E291" i="3"/>
  <c r="D291" i="3"/>
  <c r="H290" i="3"/>
  <c r="AX99" i="21" s="1"/>
  <c r="H289" i="3"/>
  <c r="AX98" i="21" s="1"/>
  <c r="H288" i="3"/>
  <c r="AX97" i="21" s="1"/>
  <c r="H287" i="3"/>
  <c r="AX96" i="21" s="1"/>
  <c r="H286" i="3"/>
  <c r="F285" i="3"/>
  <c r="E285" i="3"/>
  <c r="D285" i="3"/>
  <c r="H283" i="3"/>
  <c r="F282" i="3"/>
  <c r="E282" i="3"/>
  <c r="D282" i="3"/>
  <c r="H281" i="3"/>
  <c r="AX90" i="21" s="1"/>
  <c r="AX89" i="21" s="1"/>
  <c r="F280" i="3"/>
  <c r="E280" i="3"/>
  <c r="D280" i="3"/>
  <c r="H279" i="3"/>
  <c r="AX88" i="21" s="1"/>
  <c r="AX87" i="21" s="1"/>
  <c r="H278" i="3"/>
  <c r="F278" i="3"/>
  <c r="E278" i="3"/>
  <c r="D278" i="3"/>
  <c r="H277" i="3"/>
  <c r="AX86" i="21" s="1"/>
  <c r="AX85" i="21" s="1"/>
  <c r="F276" i="3"/>
  <c r="E276" i="3"/>
  <c r="D276" i="3"/>
  <c r="H275" i="3"/>
  <c r="AX84" i="21" s="1"/>
  <c r="AX83" i="21" s="1"/>
  <c r="H274" i="3"/>
  <c r="F274" i="3"/>
  <c r="E274" i="3"/>
  <c r="E272" i="3" s="1"/>
  <c r="D274" i="3"/>
  <c r="H270" i="3"/>
  <c r="AX79" i="21" s="1"/>
  <c r="AX78" i="21" s="1"/>
  <c r="F269" i="3"/>
  <c r="E269" i="3"/>
  <c r="D269" i="3"/>
  <c r="H266" i="3"/>
  <c r="AX75" i="21" s="1"/>
  <c r="H265" i="3"/>
  <c r="AX74" i="21" s="1"/>
  <c r="AX73" i="21" s="1"/>
  <c r="AX72" i="21" s="1"/>
  <c r="F264" i="3"/>
  <c r="F263" i="3" s="1"/>
  <c r="E264" i="3"/>
  <c r="D264" i="3"/>
  <c r="E263" i="3"/>
  <c r="D263" i="3"/>
  <c r="AY12" i="22" s="1"/>
  <c r="H262" i="3"/>
  <c r="H261" i="3"/>
  <c r="F261" i="3"/>
  <c r="E261" i="3"/>
  <c r="E231" i="3" s="1"/>
  <c r="D261" i="3"/>
  <c r="H260" i="3"/>
  <c r="AX69" i="21" s="1"/>
  <c r="AX68" i="21" s="1"/>
  <c r="F259" i="3"/>
  <c r="E259" i="3"/>
  <c r="D259" i="3"/>
  <c r="H258" i="3"/>
  <c r="AX67" i="21" s="1"/>
  <c r="H257" i="3"/>
  <c r="AX66" i="21" s="1"/>
  <c r="H256" i="3"/>
  <c r="AX65" i="21" s="1"/>
  <c r="H255" i="3"/>
  <c r="AX64" i="21" s="1"/>
  <c r="H254" i="3"/>
  <c r="AX63" i="21" s="1"/>
  <c r="H253" i="3"/>
  <c r="F253" i="3"/>
  <c r="E253" i="3"/>
  <c r="D253" i="3"/>
  <c r="H252" i="3"/>
  <c r="AX61" i="21" s="1"/>
  <c r="H251" i="3"/>
  <c r="AX60" i="21" s="1"/>
  <c r="H250" i="3"/>
  <c r="AX59" i="21" s="1"/>
  <c r="H249" i="3"/>
  <c r="AX58" i="21" s="1"/>
  <c r="H248" i="3"/>
  <c r="AX57" i="21" s="1"/>
  <c r="H247" i="3"/>
  <c r="AX56" i="21" s="1"/>
  <c r="H246" i="3"/>
  <c r="AX55" i="21" s="1"/>
  <c r="H245" i="3"/>
  <c r="AX54" i="21" s="1"/>
  <c r="H244" i="3"/>
  <c r="AX53" i="21" s="1"/>
  <c r="H243" i="3"/>
  <c r="AX52" i="21" s="1"/>
  <c r="H242" i="3"/>
  <c r="AX51" i="21" s="1"/>
  <c r="H241" i="3"/>
  <c r="AX50" i="21" s="1"/>
  <c r="H240" i="3"/>
  <c r="AX49" i="21" s="1"/>
  <c r="H239" i="3"/>
  <c r="AX48" i="21" s="1"/>
  <c r="F238" i="3"/>
  <c r="E238" i="3"/>
  <c r="D238" i="3"/>
  <c r="H236" i="3"/>
  <c r="AX45" i="21" s="1"/>
  <c r="H235" i="3"/>
  <c r="AX44" i="21" s="1"/>
  <c r="H234" i="3"/>
  <c r="AX43" i="21" s="1"/>
  <c r="H233" i="3"/>
  <c r="F232" i="3"/>
  <c r="E232" i="3"/>
  <c r="D232" i="3"/>
  <c r="H230" i="3"/>
  <c r="F229" i="3"/>
  <c r="E229" i="3"/>
  <c r="D229" i="3"/>
  <c r="H228" i="3"/>
  <c r="F227" i="3"/>
  <c r="F226" i="3" s="1"/>
  <c r="E227" i="3"/>
  <c r="E226" i="3" s="1"/>
  <c r="D227" i="3"/>
  <c r="H220" i="3"/>
  <c r="AX9" i="22" s="1"/>
  <c r="C84" i="2" s="1"/>
  <c r="F220" i="3"/>
  <c r="E220" i="3"/>
  <c r="D220" i="3"/>
  <c r="AY9" i="22" s="1"/>
  <c r="H219" i="3"/>
  <c r="AX28" i="21" s="1"/>
  <c r="AX27" i="21" s="1"/>
  <c r="F218" i="3"/>
  <c r="E218" i="3"/>
  <c r="D218" i="3"/>
  <c r="H217" i="3"/>
  <c r="H216" i="3"/>
  <c r="F216" i="3"/>
  <c r="E216" i="3"/>
  <c r="D216" i="3"/>
  <c r="H215" i="3"/>
  <c r="AX24" i="21" s="1"/>
  <c r="H214" i="3"/>
  <c r="AX23" i="21" s="1"/>
  <c r="H213" i="3"/>
  <c r="AX22" i="21" s="1"/>
  <c r="H212" i="3"/>
  <c r="AX21" i="21" s="1"/>
  <c r="H211" i="3"/>
  <c r="AX20" i="21" s="1"/>
  <c r="F210" i="3"/>
  <c r="E210" i="3"/>
  <c r="D210" i="3"/>
  <c r="H209" i="3"/>
  <c r="H208" i="3"/>
  <c r="H207" i="3"/>
  <c r="H206" i="3"/>
  <c r="H205" i="3"/>
  <c r="AX14" i="21" s="1"/>
  <c r="H204" i="3"/>
  <c r="AX13" i="21" s="1"/>
  <c r="H203" i="3"/>
  <c r="F202" i="3"/>
  <c r="E202" i="3"/>
  <c r="D202" i="3"/>
  <c r="H201" i="3"/>
  <c r="F200" i="3"/>
  <c r="E200" i="3"/>
  <c r="D200" i="3"/>
  <c r="E199" i="3"/>
  <c r="D199" i="3"/>
  <c r="H196" i="3"/>
  <c r="H195" i="3"/>
  <c r="BM103" i="18" s="1"/>
  <c r="F194" i="3"/>
  <c r="E194" i="3"/>
  <c r="D194" i="3"/>
  <c r="H193" i="3"/>
  <c r="BM101" i="18" s="1"/>
  <c r="H192" i="3"/>
  <c r="H191" i="3"/>
  <c r="BM99" i="18" s="1"/>
  <c r="F190" i="3"/>
  <c r="E190" i="3"/>
  <c r="D190" i="3"/>
  <c r="H189" i="3"/>
  <c r="BM97" i="18" s="1"/>
  <c r="H188" i="3"/>
  <c r="BM96" i="18" s="1"/>
  <c r="H187" i="3"/>
  <c r="BM95" i="18" s="1"/>
  <c r="H186" i="3"/>
  <c r="F186" i="3"/>
  <c r="E28" i="23" s="1"/>
  <c r="G28" i="23" s="1"/>
  <c r="E186" i="3"/>
  <c r="D186" i="3"/>
  <c r="H185" i="3"/>
  <c r="H184" i="3"/>
  <c r="BM92" i="18" s="1"/>
  <c r="H183" i="3"/>
  <c r="BM91" i="18" s="1"/>
  <c r="H182" i="3"/>
  <c r="BM90" i="18" s="1"/>
  <c r="F181" i="3"/>
  <c r="E181" i="3"/>
  <c r="D181" i="3"/>
  <c r="H177" i="3"/>
  <c r="H176" i="3"/>
  <c r="H175" i="3"/>
  <c r="F174" i="3"/>
  <c r="E174" i="3"/>
  <c r="D174" i="3"/>
  <c r="H172" i="3"/>
  <c r="BM78" i="18" s="1"/>
  <c r="H171" i="3"/>
  <c r="BM77" i="18" s="1"/>
  <c r="H170" i="3"/>
  <c r="BM76" i="18" s="1"/>
  <c r="H169" i="3"/>
  <c r="F168" i="3"/>
  <c r="E168" i="3"/>
  <c r="D168" i="3"/>
  <c r="H167" i="3"/>
  <c r="BM73" i="18" s="1"/>
  <c r="H166" i="3"/>
  <c r="BM72" i="18" s="1"/>
  <c r="H165" i="3"/>
  <c r="BM71" i="18" s="1"/>
  <c r="H164" i="3"/>
  <c r="BM70" i="18" s="1"/>
  <c r="H163" i="3"/>
  <c r="BM69" i="18" s="1"/>
  <c r="H162" i="3"/>
  <c r="F161" i="3"/>
  <c r="E161" i="3"/>
  <c r="D161" i="3"/>
  <c r="H160" i="3"/>
  <c r="BM66" i="18" s="1"/>
  <c r="H159" i="3"/>
  <c r="BM65" i="18" s="1"/>
  <c r="H158" i="3"/>
  <c r="BM64" i="18" s="1"/>
  <c r="BM63" i="18" s="1"/>
  <c r="E39" i="32" s="1"/>
  <c r="H157" i="3"/>
  <c r="F157" i="3"/>
  <c r="E157" i="3"/>
  <c r="D157" i="3"/>
  <c r="H156" i="3"/>
  <c r="BM62" i="18" s="1"/>
  <c r="A62" i="2" s="1"/>
  <c r="H154" i="3"/>
  <c r="BM60" i="18" s="1"/>
  <c r="A58" i="2" s="1"/>
  <c r="H152" i="3"/>
  <c r="F151" i="3"/>
  <c r="E151" i="3"/>
  <c r="D151" i="3"/>
  <c r="H150" i="3"/>
  <c r="BM56" i="18" s="1"/>
  <c r="H149" i="3"/>
  <c r="BM55" i="18" s="1"/>
  <c r="H148" i="3"/>
  <c r="BM54" i="18" s="1"/>
  <c r="BM53" i="18" s="1"/>
  <c r="E37" i="32" s="1"/>
  <c r="F147" i="3"/>
  <c r="E147" i="3"/>
  <c r="D147" i="3"/>
  <c r="H146" i="3"/>
  <c r="H145" i="3"/>
  <c r="BM51" i="18" s="1"/>
  <c r="F144" i="3"/>
  <c r="E144" i="3"/>
  <c r="D144" i="3"/>
  <c r="E143" i="3"/>
  <c r="D143" i="3"/>
  <c r="H142" i="3"/>
  <c r="H141" i="3"/>
  <c r="H140" i="3"/>
  <c r="F139" i="3"/>
  <c r="E139" i="3"/>
  <c r="D139" i="3"/>
  <c r="H138" i="3"/>
  <c r="BM40" i="20" s="1"/>
  <c r="H137" i="3"/>
  <c r="H135" i="3" s="1"/>
  <c r="H136" i="3"/>
  <c r="F135" i="3"/>
  <c r="E135" i="3"/>
  <c r="D135" i="3"/>
  <c r="H134" i="3"/>
  <c r="H133" i="3"/>
  <c r="H132" i="3"/>
  <c r="H131" i="3"/>
  <c r="H130" i="3"/>
  <c r="H129" i="3"/>
  <c r="BM34" i="18" s="1"/>
  <c r="F128" i="3"/>
  <c r="E128" i="3"/>
  <c r="D128" i="3"/>
  <c r="H127" i="3"/>
  <c r="H126" i="3"/>
  <c r="H125" i="3"/>
  <c r="F124" i="3"/>
  <c r="E124" i="3"/>
  <c r="D124" i="3"/>
  <c r="H122" i="3"/>
  <c r="BM27" i="18" s="1"/>
  <c r="BM26" i="18" s="1"/>
  <c r="E30" i="32" s="1"/>
  <c r="H121" i="3"/>
  <c r="F121" i="3"/>
  <c r="E121" i="3"/>
  <c r="D121" i="3"/>
  <c r="H120" i="3"/>
  <c r="H118" i="3"/>
  <c r="H117" i="3"/>
  <c r="F117" i="3"/>
  <c r="E117" i="3"/>
  <c r="D117" i="3"/>
  <c r="H116" i="3"/>
  <c r="H115" i="3"/>
  <c r="H114" i="3"/>
  <c r="H113" i="3"/>
  <c r="F113" i="3"/>
  <c r="E113" i="3"/>
  <c r="D113" i="3"/>
  <c r="H112" i="3"/>
  <c r="H111" i="3"/>
  <c r="H110" i="3"/>
  <c r="BM15" i="18" s="1"/>
  <c r="H109" i="3"/>
  <c r="H108" i="3"/>
  <c r="BM13" i="20" s="1"/>
  <c r="H107" i="3"/>
  <c r="H106" i="3"/>
  <c r="H105" i="3"/>
  <c r="H104" i="3"/>
  <c r="F103" i="3"/>
  <c r="E103" i="3"/>
  <c r="D103" i="3"/>
  <c r="G100" i="3"/>
  <c r="AF104" i="18" s="1"/>
  <c r="G99" i="3"/>
  <c r="AF103" i="18" s="1"/>
  <c r="G98" i="3"/>
  <c r="AF102" i="18" s="1"/>
  <c r="F97" i="3"/>
  <c r="G24" i="26" s="1"/>
  <c r="E97" i="3"/>
  <c r="F24" i="26" s="1"/>
  <c r="C97" i="3"/>
  <c r="H96" i="3"/>
  <c r="AF100" i="18" s="1"/>
  <c r="H95" i="3"/>
  <c r="AF99" i="18" s="1"/>
  <c r="H94" i="3"/>
  <c r="H93" i="3"/>
  <c r="AF97" i="18" s="1"/>
  <c r="H92" i="3"/>
  <c r="AF96" i="18" s="1"/>
  <c r="AF95" i="18" s="1"/>
  <c r="H91" i="3"/>
  <c r="F91" i="3"/>
  <c r="G23" i="26" s="1"/>
  <c r="E91" i="3"/>
  <c r="F23" i="26" s="1"/>
  <c r="D91" i="3"/>
  <c r="G90" i="3"/>
  <c r="AF94" i="18" s="1"/>
  <c r="G89" i="3"/>
  <c r="AF93" i="18" s="1"/>
  <c r="G88" i="3"/>
  <c r="AF92" i="18" s="1"/>
  <c r="G87" i="3"/>
  <c r="AF91" i="18" s="1"/>
  <c r="G86" i="3"/>
  <c r="AF90" i="18" s="1"/>
  <c r="G85" i="3"/>
  <c r="AF89" i="18" s="1"/>
  <c r="G84" i="3"/>
  <c r="F84" i="3"/>
  <c r="E84" i="3"/>
  <c r="F22" i="26" s="1"/>
  <c r="C84" i="3"/>
  <c r="H83" i="3"/>
  <c r="AF87" i="18" s="1"/>
  <c r="H82" i="3"/>
  <c r="AF86" i="18" s="1"/>
  <c r="H81" i="3"/>
  <c r="AF85" i="18" s="1"/>
  <c r="H80" i="3"/>
  <c r="AF84" i="18" s="1"/>
  <c r="H79" i="3"/>
  <c r="AF83" i="18" s="1"/>
  <c r="F78" i="3"/>
  <c r="G21" i="26" s="1"/>
  <c r="E78" i="3"/>
  <c r="F21" i="26" s="1"/>
  <c r="D78" i="3"/>
  <c r="G77" i="3"/>
  <c r="AF81" i="18" s="1"/>
  <c r="G76" i="3"/>
  <c r="AF80" i="18" s="1"/>
  <c r="G75" i="3"/>
  <c r="AF79" i="18" s="1"/>
  <c r="G74" i="3"/>
  <c r="AF78" i="18" s="1"/>
  <c r="G73" i="3"/>
  <c r="AF77" i="18" s="1"/>
  <c r="F72" i="3"/>
  <c r="G20" i="26" s="1"/>
  <c r="E72" i="3"/>
  <c r="F20" i="26" s="1"/>
  <c r="C72" i="3"/>
  <c r="G71" i="3"/>
  <c r="AF75" i="18" s="1"/>
  <c r="G70" i="3"/>
  <c r="AF74" i="18" s="1"/>
  <c r="G69" i="3"/>
  <c r="AF73" i="18" s="1"/>
  <c r="G68" i="3"/>
  <c r="AF72" i="18" s="1"/>
  <c r="G67" i="3"/>
  <c r="AF71" i="18" s="1"/>
  <c r="G66" i="3"/>
  <c r="AF70" i="18" s="1"/>
  <c r="G65" i="3"/>
  <c r="AF69" i="18" s="1"/>
  <c r="G64" i="3"/>
  <c r="AF68" i="18" s="1"/>
  <c r="F63" i="3"/>
  <c r="G19" i="26" s="1"/>
  <c r="E63" i="3"/>
  <c r="F19" i="26" s="1"/>
  <c r="C63" i="3"/>
  <c r="G62" i="3"/>
  <c r="AF66" i="18" s="1"/>
  <c r="G61" i="3"/>
  <c r="AF65" i="18" s="1"/>
  <c r="G60" i="3"/>
  <c r="AF64" i="18" s="1"/>
  <c r="G59" i="3"/>
  <c r="AF63" i="18" s="1"/>
  <c r="G58" i="3"/>
  <c r="AF62" i="18" s="1"/>
  <c r="G57" i="3"/>
  <c r="AF61" i="18" s="1"/>
  <c r="G56" i="3"/>
  <c r="AF60" i="18" s="1"/>
  <c r="F55" i="3"/>
  <c r="G18" i="26" s="1"/>
  <c r="E55" i="3"/>
  <c r="F18" i="26" s="1"/>
  <c r="C55" i="3"/>
  <c r="G54" i="3"/>
  <c r="AF58" i="18" s="1"/>
  <c r="G53" i="3"/>
  <c r="AF57" i="18" s="1"/>
  <c r="G52" i="3"/>
  <c r="G51" i="3"/>
  <c r="AF55" i="18" s="1"/>
  <c r="G50" i="3"/>
  <c r="AF54" i="18" s="1"/>
  <c r="AF53" i="18" s="1"/>
  <c r="G49" i="3"/>
  <c r="F49" i="3"/>
  <c r="G17" i="26" s="1"/>
  <c r="E49" i="3"/>
  <c r="F17" i="26" s="1"/>
  <c r="C49" i="3"/>
  <c r="G48" i="3"/>
  <c r="AF52" i="18" s="1"/>
  <c r="G47" i="3"/>
  <c r="AF51" i="18" s="1"/>
  <c r="G46" i="3"/>
  <c r="G45" i="3"/>
  <c r="AF49" i="18" s="1"/>
  <c r="F44" i="3"/>
  <c r="G16" i="26" s="1"/>
  <c r="E44" i="3"/>
  <c r="F16" i="26" s="1"/>
  <c r="C44" i="3"/>
  <c r="D43" i="3"/>
  <c r="G42" i="3"/>
  <c r="G41" i="3"/>
  <c r="AF43" i="20" s="1"/>
  <c r="G40" i="3"/>
  <c r="G39" i="3"/>
  <c r="F38" i="3"/>
  <c r="G14" i="26" s="1"/>
  <c r="E38" i="3"/>
  <c r="F14" i="26" s="1"/>
  <c r="C38" i="3"/>
  <c r="G37" i="3"/>
  <c r="G36" i="3"/>
  <c r="F35" i="3"/>
  <c r="G13" i="26" s="1"/>
  <c r="E35" i="3"/>
  <c r="F13" i="26" s="1"/>
  <c r="C35" i="3"/>
  <c r="G34" i="3"/>
  <c r="F33" i="3"/>
  <c r="G12" i="26" s="1"/>
  <c r="E33" i="3"/>
  <c r="F12" i="26" s="1"/>
  <c r="C33" i="3"/>
  <c r="G27" i="3"/>
  <c r="F27" i="3"/>
  <c r="E27" i="3"/>
  <c r="F11" i="26" s="1"/>
  <c r="C27" i="3"/>
  <c r="G26" i="3"/>
  <c r="G25" i="3"/>
  <c r="G24" i="3"/>
  <c r="AF27" i="18" s="1"/>
  <c r="G23" i="3"/>
  <c r="G22" i="3"/>
  <c r="F21" i="3"/>
  <c r="G10" i="26" s="1"/>
  <c r="E21" i="3"/>
  <c r="F10" i="26" s="1"/>
  <c r="C21" i="3"/>
  <c r="G20" i="3"/>
  <c r="G19" i="3"/>
  <c r="G18" i="3"/>
  <c r="G17" i="3"/>
  <c r="G16" i="3"/>
  <c r="G15" i="3"/>
  <c r="G14" i="3"/>
  <c r="F13" i="3"/>
  <c r="G9" i="26" s="1"/>
  <c r="E13" i="3"/>
  <c r="F9" i="26" s="1"/>
  <c r="C13" i="3"/>
  <c r="G12" i="3"/>
  <c r="G11" i="3"/>
  <c r="G10" i="3"/>
  <c r="G9" i="3"/>
  <c r="G8" i="3"/>
  <c r="G7" i="3"/>
  <c r="G6" i="3"/>
  <c r="F5" i="3"/>
  <c r="G8" i="26" s="1"/>
  <c r="E5" i="3"/>
  <c r="F8" i="26" s="1"/>
  <c r="C5" i="3"/>
  <c r="C4" i="3"/>
  <c r="G1" i="3"/>
  <c r="C1" i="3"/>
  <c r="E196" i="2"/>
  <c r="D196" i="2"/>
  <c r="E195" i="2"/>
  <c r="D195" i="2"/>
  <c r="E194" i="2"/>
  <c r="D194" i="2"/>
  <c r="E193" i="2"/>
  <c r="D193" i="2"/>
  <c r="E192" i="2"/>
  <c r="D192" i="2"/>
  <c r="E191" i="2"/>
  <c r="D191" i="2"/>
  <c r="E190" i="2"/>
  <c r="D190" i="2"/>
  <c r="E189" i="2"/>
  <c r="D189" i="2"/>
  <c r="E188" i="2"/>
  <c r="D188" i="2"/>
  <c r="E187" i="2"/>
  <c r="D187" i="2"/>
  <c r="E186" i="2"/>
  <c r="D186" i="2"/>
  <c r="E185" i="2"/>
  <c r="D185" i="2"/>
  <c r="C183" i="2"/>
  <c r="C180" i="2"/>
  <c r="C79" i="2"/>
  <c r="M61" i="2"/>
  <c r="M59" i="2"/>
  <c r="A59" i="2"/>
  <c r="M57" i="2"/>
  <c r="M49" i="2"/>
  <c r="A49" i="2"/>
  <c r="A44" i="2"/>
  <c r="A43" i="2"/>
  <c r="A38" i="2"/>
  <c r="A22" i="2"/>
  <c r="AM11" i="2"/>
  <c r="AG1" i="2"/>
  <c r="A3" i="17" l="1"/>
  <c r="A4" i="12"/>
  <c r="A3" i="16"/>
  <c r="H342" i="3"/>
  <c r="AX17" i="22" s="1"/>
  <c r="C91" i="2" s="1"/>
  <c r="AX31" i="22"/>
  <c r="S60" i="2"/>
  <c r="AY16" i="22"/>
  <c r="AY15" i="22" s="1"/>
  <c r="D308" i="3"/>
  <c r="AF13" i="18"/>
  <c r="AF13" i="20"/>
  <c r="AF23" i="20"/>
  <c r="AF23" i="18"/>
  <c r="BM43" i="20"/>
  <c r="BM46" i="18"/>
  <c r="H147" i="3"/>
  <c r="H339" i="3"/>
  <c r="F391" i="3"/>
  <c r="F390" i="3" s="1"/>
  <c r="AX208" i="21"/>
  <c r="AX207" i="21" s="1"/>
  <c r="G412" i="3"/>
  <c r="E577" i="3"/>
  <c r="C623" i="3"/>
  <c r="AY35" i="22" s="1"/>
  <c r="F128" i="30"/>
  <c r="I128" i="30" s="1"/>
  <c r="H1555" i="3"/>
  <c r="D22" i="31" s="1"/>
  <c r="D71" i="29"/>
  <c r="E71" i="30"/>
  <c r="H1653" i="3"/>
  <c r="D28" i="31" s="1"/>
  <c r="G1932" i="3"/>
  <c r="AF14" i="20"/>
  <c r="AF14" i="18"/>
  <c r="E10" i="26"/>
  <c r="H10" i="26" s="1"/>
  <c r="I10" i="26" s="1"/>
  <c r="E12" i="26"/>
  <c r="H12" i="26" s="1"/>
  <c r="I12" i="26" s="1"/>
  <c r="BM36" i="20"/>
  <c r="BM39" i="18"/>
  <c r="H128" i="3"/>
  <c r="BM44" i="20"/>
  <c r="BM47" i="18"/>
  <c r="BM50" i="20"/>
  <c r="F272" i="3"/>
  <c r="H323" i="3"/>
  <c r="AX146" i="21"/>
  <c r="AX160" i="21"/>
  <c r="AX159" i="21" s="1"/>
  <c r="H354" i="3"/>
  <c r="AX189" i="21"/>
  <c r="AX188" i="21" s="1"/>
  <c r="G393" i="3"/>
  <c r="AX199" i="21"/>
  <c r="AX198" i="21" s="1"/>
  <c r="G403" i="3"/>
  <c r="AX374" i="21"/>
  <c r="AX373" i="21" s="1"/>
  <c r="F577" i="3"/>
  <c r="H755" i="3"/>
  <c r="H793" i="3" s="1"/>
  <c r="G797" i="3"/>
  <c r="G807" i="3"/>
  <c r="G816" i="3"/>
  <c r="H950" i="3"/>
  <c r="H1079" i="3"/>
  <c r="F14" i="31"/>
  <c r="F29" i="5"/>
  <c r="F14" i="5" s="1"/>
  <c r="E1267" i="3"/>
  <c r="C19" i="29"/>
  <c r="D19" i="30"/>
  <c r="C25" i="29"/>
  <c r="E25" i="29" s="1"/>
  <c r="H25" i="29" s="1"/>
  <c r="D25" i="30"/>
  <c r="C37" i="29"/>
  <c r="D37" i="30"/>
  <c r="H1321" i="3"/>
  <c r="C24" i="31" s="1"/>
  <c r="C43" i="29"/>
  <c r="D43" i="30"/>
  <c r="C8" i="24"/>
  <c r="AX41" i="22"/>
  <c r="AX511" i="21"/>
  <c r="AX508" i="21" s="1"/>
  <c r="G715" i="3"/>
  <c r="C56" i="28"/>
  <c r="E57" i="28"/>
  <c r="H9" i="30"/>
  <c r="G9" i="29"/>
  <c r="G2084" i="3"/>
  <c r="H148" i="30"/>
  <c r="G23" i="16" s="1"/>
  <c r="G2204" i="3"/>
  <c r="AX265" i="21"/>
  <c r="AX264" i="21" s="1"/>
  <c r="G469" i="3"/>
  <c r="AX453" i="21"/>
  <c r="H69" i="30"/>
  <c r="G69" i="29"/>
  <c r="G2197" i="3"/>
  <c r="BM27" i="20"/>
  <c r="BM30" i="18"/>
  <c r="H124" i="3"/>
  <c r="C7" i="27"/>
  <c r="E8" i="27"/>
  <c r="G63" i="27"/>
  <c r="G38" i="28"/>
  <c r="H38" i="28" s="1"/>
  <c r="BM16" i="20"/>
  <c r="BM16" i="18"/>
  <c r="BM23" i="18"/>
  <c r="BM23" i="20"/>
  <c r="BM22" i="20" s="1"/>
  <c r="D102" i="3"/>
  <c r="D101" i="3" s="1"/>
  <c r="BM68" i="18"/>
  <c r="BM67" i="18" s="1"/>
  <c r="E40" i="32" s="1"/>
  <c r="H161" i="3"/>
  <c r="AX247" i="21"/>
  <c r="AX246" i="21" s="1"/>
  <c r="G451" i="3"/>
  <c r="G843" i="3"/>
  <c r="E37" i="28"/>
  <c r="H1250" i="3"/>
  <c r="D150" i="30"/>
  <c r="F150" i="30" s="1"/>
  <c r="I150" i="30" s="1"/>
  <c r="H1388" i="3"/>
  <c r="C29" i="31" s="1"/>
  <c r="E29" i="31" s="1"/>
  <c r="G29" i="31" s="1"/>
  <c r="H29" i="31" s="1"/>
  <c r="F1403" i="3"/>
  <c r="F1266" i="3" s="1"/>
  <c r="H1540" i="3"/>
  <c r="D21" i="31" s="1"/>
  <c r="G1676" i="3"/>
  <c r="BM28" i="20"/>
  <c r="BM31" i="18"/>
  <c r="AX180" i="21"/>
  <c r="H382" i="3"/>
  <c r="G599" i="3"/>
  <c r="G598" i="3" s="1"/>
  <c r="AX33" i="22" s="1"/>
  <c r="E18" i="27"/>
  <c r="C17" i="27"/>
  <c r="H1267" i="3"/>
  <c r="F22" i="31"/>
  <c r="C176" i="2" s="1"/>
  <c r="E1811" i="3"/>
  <c r="D67" i="28"/>
  <c r="G1075" i="3"/>
  <c r="F12" i="28"/>
  <c r="F11" i="31"/>
  <c r="E4" i="3"/>
  <c r="BM17" i="20"/>
  <c r="BM17" i="18"/>
  <c r="AX141" i="21"/>
  <c r="AX140" i="21" s="1"/>
  <c r="H333" i="3"/>
  <c r="D38" i="28"/>
  <c r="D63" i="27"/>
  <c r="AF48" i="20"/>
  <c r="E102" i="3"/>
  <c r="E101" i="3" s="1"/>
  <c r="D272" i="3"/>
  <c r="AY13" i="22" s="1"/>
  <c r="AX340" i="21"/>
  <c r="G543" i="3"/>
  <c r="E684" i="3"/>
  <c r="H15" i="30"/>
  <c r="G15" i="29"/>
  <c r="G2118" i="3"/>
  <c r="AX37" i="21"/>
  <c r="AX36" i="21" s="1"/>
  <c r="H227" i="3"/>
  <c r="H103" i="3"/>
  <c r="F427" i="3"/>
  <c r="BM64" i="20"/>
  <c r="E984" i="3"/>
  <c r="D36" i="28"/>
  <c r="D59" i="30"/>
  <c r="C59" i="29"/>
  <c r="D77" i="30"/>
  <c r="C77" i="29"/>
  <c r="AF11" i="20"/>
  <c r="AF11" i="18"/>
  <c r="AF21" i="20"/>
  <c r="AF21" i="18"/>
  <c r="E14" i="26"/>
  <c r="H14" i="26" s="1"/>
  <c r="I14" i="26" s="1"/>
  <c r="BN50" i="20"/>
  <c r="H218" i="3"/>
  <c r="AY19" i="22"/>
  <c r="AY18" i="22" s="1"/>
  <c r="D356" i="3"/>
  <c r="H369" i="3"/>
  <c r="H368" i="3" s="1"/>
  <c r="AX223" i="21"/>
  <c r="AX232" i="21"/>
  <c r="AX392" i="21"/>
  <c r="AX391" i="21" s="1"/>
  <c r="AX452" i="21"/>
  <c r="AX451" i="21" s="1"/>
  <c r="G658" i="3"/>
  <c r="AX526" i="21"/>
  <c r="C33" i="25" s="1"/>
  <c r="C34" i="27"/>
  <c r="G823" i="3"/>
  <c r="H968" i="3"/>
  <c r="D43" i="27"/>
  <c r="D42" i="27" s="1"/>
  <c r="G1020" i="3"/>
  <c r="D121" i="30"/>
  <c r="H1340" i="3"/>
  <c r="C25" i="31" s="1"/>
  <c r="E1675" i="3"/>
  <c r="G1675" i="3" s="1"/>
  <c r="G1948" i="3"/>
  <c r="G1963" i="3"/>
  <c r="G2061" i="3"/>
  <c r="AF15" i="18"/>
  <c r="AF15" i="20"/>
  <c r="AY8" i="22"/>
  <c r="AY7" i="22" s="1"/>
  <c r="AY24" i="22" s="1"/>
  <c r="D198" i="3"/>
  <c r="D197" i="3" s="1"/>
  <c r="C26" i="27"/>
  <c r="F14" i="28"/>
  <c r="F13" i="31"/>
  <c r="F34" i="5"/>
  <c r="E12" i="30"/>
  <c r="D12" i="29"/>
  <c r="G22" i="26"/>
  <c r="F43" i="3"/>
  <c r="E198" i="3"/>
  <c r="E197" i="3" s="1"/>
  <c r="AX42" i="21"/>
  <c r="AX41" i="21" s="1"/>
  <c r="H232" i="3"/>
  <c r="AX92" i="21"/>
  <c r="AX91" i="21" s="1"/>
  <c r="H282" i="3"/>
  <c r="AX418" i="21"/>
  <c r="AX417" i="21" s="1"/>
  <c r="G624" i="3"/>
  <c r="G623" i="3" s="1"/>
  <c r="AX35" i="22" s="1"/>
  <c r="E122" i="30"/>
  <c r="F122" i="30" s="1"/>
  <c r="I122" i="30" s="1"/>
  <c r="H1612" i="3"/>
  <c r="D25" i="31" s="1"/>
  <c r="F1811" i="3"/>
  <c r="AF53" i="20"/>
  <c r="BM32" i="18"/>
  <c r="BM29" i="20"/>
  <c r="AX358" i="21"/>
  <c r="G561" i="3"/>
  <c r="G630" i="3"/>
  <c r="AX36" i="22" s="1"/>
  <c r="D8" i="28"/>
  <c r="D7" i="31"/>
  <c r="D23" i="5"/>
  <c r="BM24" i="20"/>
  <c r="BM25" i="18"/>
  <c r="A61" i="2" s="1"/>
  <c r="BM100" i="18"/>
  <c r="BM98" i="18" s="1"/>
  <c r="E52" i="32" s="1"/>
  <c r="H190" i="3"/>
  <c r="AX423" i="21"/>
  <c r="H50" i="30"/>
  <c r="G50" i="29"/>
  <c r="G58" i="4"/>
  <c r="G60" i="4" s="1"/>
  <c r="G60" i="2"/>
  <c r="D14" i="23"/>
  <c r="G14" i="23" s="1"/>
  <c r="BN64" i="20"/>
  <c r="AX174" i="21"/>
  <c r="AX173" i="21" s="1"/>
  <c r="C11" i="24" s="1"/>
  <c r="H372" i="3"/>
  <c r="H371" i="3" s="1"/>
  <c r="AX22" i="22" s="1"/>
  <c r="AX320" i="21"/>
  <c r="AX318" i="21" s="1"/>
  <c r="G523" i="3"/>
  <c r="G21" i="29"/>
  <c r="H21" i="30"/>
  <c r="G10" i="28"/>
  <c r="G25" i="5"/>
  <c r="E1403" i="3"/>
  <c r="AG47" i="20"/>
  <c r="E16" i="26"/>
  <c r="C43" i="3"/>
  <c r="C3" i="3" s="1"/>
  <c r="AF40" i="18"/>
  <c r="AF39" i="20"/>
  <c r="BN48" i="20"/>
  <c r="F309" i="3"/>
  <c r="G737" i="3"/>
  <c r="AX54" i="22" s="1"/>
  <c r="C43" i="27"/>
  <c r="G832" i="3"/>
  <c r="G1031" i="3"/>
  <c r="D71" i="30"/>
  <c r="C71" i="29"/>
  <c r="AF12" i="18"/>
  <c r="AF12" i="20"/>
  <c r="AF22" i="20"/>
  <c r="AF22" i="18"/>
  <c r="G11" i="26"/>
  <c r="F4" i="3"/>
  <c r="F3" i="3" s="1"/>
  <c r="BM45" i="18"/>
  <c r="BM44" i="18" s="1"/>
  <c r="E34" i="32" s="1"/>
  <c r="BM42" i="20"/>
  <c r="BM41" i="20" s="1"/>
  <c r="H139" i="3"/>
  <c r="F143" i="3"/>
  <c r="AX12" i="21"/>
  <c r="AX11" i="21" s="1"/>
  <c r="H202" i="3"/>
  <c r="F231" i="3"/>
  <c r="H264" i="3"/>
  <c r="AX217" i="21"/>
  <c r="G417" i="3"/>
  <c r="AY32" i="22"/>
  <c r="C577" i="3"/>
  <c r="C660" i="3"/>
  <c r="C714" i="3"/>
  <c r="F755" i="3"/>
  <c r="F793" i="3" s="1"/>
  <c r="C68" i="2" s="1"/>
  <c r="H763" i="3"/>
  <c r="E796" i="3"/>
  <c r="D12" i="30"/>
  <c r="F12" i="30" s="1"/>
  <c r="I12" i="30" s="1"/>
  <c r="C12" i="29"/>
  <c r="E12" i="29" s="1"/>
  <c r="H12" i="29" s="1"/>
  <c r="D24" i="30"/>
  <c r="F24" i="30" s="1"/>
  <c r="I24" i="30" s="1"/>
  <c r="C24" i="29"/>
  <c r="E24" i="29" s="1"/>
  <c r="H24" i="29" s="1"/>
  <c r="C42" i="29"/>
  <c r="D42" i="30"/>
  <c r="C66" i="29"/>
  <c r="E66" i="29" s="1"/>
  <c r="H66" i="29" s="1"/>
  <c r="D66" i="30"/>
  <c r="F66" i="30" s="1"/>
  <c r="I66" i="30" s="1"/>
  <c r="AF10" i="20"/>
  <c r="AF10" i="18"/>
  <c r="AF20" i="20"/>
  <c r="AF20" i="18"/>
  <c r="E11" i="26"/>
  <c r="AF38" i="20"/>
  <c r="AF37" i="20" s="1"/>
  <c r="AF39" i="18"/>
  <c r="AF38" i="18" s="1"/>
  <c r="F13" i="32" s="1"/>
  <c r="AF54" i="20"/>
  <c r="BM52" i="18"/>
  <c r="H144" i="3"/>
  <c r="AX19" i="21"/>
  <c r="E392" i="3"/>
  <c r="AX428" i="21"/>
  <c r="G788" i="3"/>
  <c r="G755" i="3" s="1"/>
  <c r="G793" i="3" s="1"/>
  <c r="C69" i="2" s="1"/>
  <c r="E24" i="27"/>
  <c r="C23" i="27"/>
  <c r="E23" i="27" s="1"/>
  <c r="G860" i="3"/>
  <c r="C55" i="27" s="1"/>
  <c r="E55" i="27" s="1"/>
  <c r="H1156" i="3"/>
  <c r="F69" i="27"/>
  <c r="F1166" i="3"/>
  <c r="G52" i="28"/>
  <c r="H1236" i="3"/>
  <c r="G68" i="28"/>
  <c r="H66" i="28"/>
  <c r="G28" i="16"/>
  <c r="D58" i="30"/>
  <c r="F58" i="30" s="1"/>
  <c r="I58" i="30" s="1"/>
  <c r="C58" i="29"/>
  <c r="E58" i="29" s="1"/>
  <c r="H58" i="29" s="1"/>
  <c r="G1457" i="3"/>
  <c r="D11" i="29"/>
  <c r="E11" i="30"/>
  <c r="E28" i="30"/>
  <c r="D28" i="29"/>
  <c r="E34" i="30"/>
  <c r="D34" i="29"/>
  <c r="E40" i="30"/>
  <c r="D40" i="29"/>
  <c r="E52" i="30"/>
  <c r="D52" i="29"/>
  <c r="D63" i="29"/>
  <c r="E63" i="30"/>
  <c r="E74" i="30"/>
  <c r="D74" i="29"/>
  <c r="G1812" i="3"/>
  <c r="G1910" i="3"/>
  <c r="H20" i="30"/>
  <c r="G20" i="29"/>
  <c r="H105" i="30"/>
  <c r="G31" i="29"/>
  <c r="H110" i="30"/>
  <c r="G49" i="29"/>
  <c r="H49" i="30"/>
  <c r="H55" i="30"/>
  <c r="G55" i="29"/>
  <c r="C51" i="28"/>
  <c r="E52" i="28"/>
  <c r="E51" i="28" s="1"/>
  <c r="C63" i="27"/>
  <c r="E63" i="27" s="1"/>
  <c r="C38" i="28"/>
  <c r="E38" i="28" s="1"/>
  <c r="D52" i="28"/>
  <c r="D51" i="28" s="1"/>
  <c r="G1048" i="3"/>
  <c r="H1109" i="3"/>
  <c r="H25" i="28"/>
  <c r="H53" i="28"/>
  <c r="H67" i="28"/>
  <c r="G29" i="16"/>
  <c r="G48" i="16" s="1"/>
  <c r="D91" i="30"/>
  <c r="H1283" i="3"/>
  <c r="C22" i="31" s="1"/>
  <c r="E22" i="31" s="1"/>
  <c r="G22" i="31" s="1"/>
  <c r="H22" i="31" s="1"/>
  <c r="F97" i="30"/>
  <c r="I97" i="30" s="1"/>
  <c r="D29" i="30"/>
  <c r="C29" i="29"/>
  <c r="C35" i="29"/>
  <c r="D35" i="30"/>
  <c r="C41" i="29"/>
  <c r="D41" i="30"/>
  <c r="C70" i="29"/>
  <c r="D70" i="30"/>
  <c r="E17" i="30"/>
  <c r="E16" i="30" s="1"/>
  <c r="D17" i="29"/>
  <c r="E23" i="30"/>
  <c r="D23" i="29"/>
  <c r="G1846" i="3"/>
  <c r="G32" i="29"/>
  <c r="H32" i="30"/>
  <c r="G38" i="29"/>
  <c r="H38" i="30"/>
  <c r="H44" i="30"/>
  <c r="G44" i="29"/>
  <c r="H61" i="30"/>
  <c r="G61" i="29"/>
  <c r="H67" i="30"/>
  <c r="G67" i="29"/>
  <c r="C174" i="2"/>
  <c r="AF82" i="18"/>
  <c r="AG55" i="20"/>
  <c r="BN25" i="20"/>
  <c r="F111" i="30"/>
  <c r="I111" i="30" s="1"/>
  <c r="D110" i="30"/>
  <c r="F110" i="30" s="1"/>
  <c r="D78" i="30"/>
  <c r="F78" i="30" s="1"/>
  <c r="I78" i="30" s="1"/>
  <c r="C78" i="29"/>
  <c r="E37" i="30"/>
  <c r="D37" i="29"/>
  <c r="H1593" i="3"/>
  <c r="D24" i="31" s="1"/>
  <c r="D55" i="29"/>
  <c r="E55" i="30"/>
  <c r="F1675" i="3"/>
  <c r="H58" i="30"/>
  <c r="G58" i="29"/>
  <c r="T20" i="12"/>
  <c r="S20" i="12"/>
  <c r="R20" i="12"/>
  <c r="P20" i="12"/>
  <c r="AC20" i="12"/>
  <c r="AB20" i="12"/>
  <c r="Q20" i="12"/>
  <c r="O20" i="12"/>
  <c r="N20" i="12"/>
  <c r="AE20" i="12"/>
  <c r="AD20" i="12"/>
  <c r="F102" i="3"/>
  <c r="F101" i="3" s="1"/>
  <c r="AX267" i="21"/>
  <c r="AY45" i="22"/>
  <c r="AY44" i="22" s="1"/>
  <c r="C684" i="3"/>
  <c r="D35" i="27"/>
  <c r="E35" i="27" s="1"/>
  <c r="G1011" i="3"/>
  <c r="E1078" i="3"/>
  <c r="H1232" i="3"/>
  <c r="G54" i="27" s="1"/>
  <c r="H1241" i="3"/>
  <c r="G56" i="27" s="1"/>
  <c r="D20" i="30"/>
  <c r="F20" i="30" s="1"/>
  <c r="I20" i="30" s="1"/>
  <c r="C20" i="29"/>
  <c r="E20" i="29" s="1"/>
  <c r="H20" i="29" s="1"/>
  <c r="C49" i="29"/>
  <c r="E49" i="29" s="1"/>
  <c r="H49" i="29" s="1"/>
  <c r="D49" i="30"/>
  <c r="F49" i="30" s="1"/>
  <c r="I49" i="30" s="1"/>
  <c r="C55" i="29"/>
  <c r="E55" i="29" s="1"/>
  <c r="H55" i="29" s="1"/>
  <c r="D55" i="30"/>
  <c r="F55" i="30" s="1"/>
  <c r="I55" i="30" s="1"/>
  <c r="H1366" i="3"/>
  <c r="C27" i="31" s="1"/>
  <c r="E27" i="31" s="1"/>
  <c r="G27" i="31" s="1"/>
  <c r="H27" i="31" s="1"/>
  <c r="D43" i="29"/>
  <c r="E43" i="30"/>
  <c r="E49" i="30"/>
  <c r="D49" i="29"/>
  <c r="E66" i="30"/>
  <c r="D66" i="29"/>
  <c r="D77" i="29"/>
  <c r="E77" i="30"/>
  <c r="AF50" i="18"/>
  <c r="G44" i="3"/>
  <c r="E18" i="26"/>
  <c r="H18" i="26" s="1"/>
  <c r="I18" i="26" s="1"/>
  <c r="AG49" i="20"/>
  <c r="BM41" i="18"/>
  <c r="BM38" i="20"/>
  <c r="F199" i="3"/>
  <c r="H269" i="3"/>
  <c r="H280" i="3"/>
  <c r="AX102" i="21"/>
  <c r="H302" i="3"/>
  <c r="H293" i="3" s="1"/>
  <c r="AX14" i="22" s="1"/>
  <c r="AX221" i="21"/>
  <c r="AX219" i="21" s="1"/>
  <c r="G424" i="3"/>
  <c r="AX269" i="21"/>
  <c r="G472" i="3"/>
  <c r="G427" i="3" s="1"/>
  <c r="AX28" i="22" s="1"/>
  <c r="AX436" i="21"/>
  <c r="AX466" i="21"/>
  <c r="G671" i="3"/>
  <c r="G670" i="3" s="1"/>
  <c r="AX42" i="22" s="1"/>
  <c r="AX473" i="21"/>
  <c r="AX472" i="21" s="1"/>
  <c r="AX471" i="21" s="1"/>
  <c r="G679" i="3"/>
  <c r="C33" i="28"/>
  <c r="C59" i="27"/>
  <c r="G874" i="3"/>
  <c r="C15" i="31" s="1"/>
  <c r="E15" i="31" s="1"/>
  <c r="G15" i="31" s="1"/>
  <c r="H15" i="31" s="1"/>
  <c r="H954" i="3"/>
  <c r="H936" i="3" s="1"/>
  <c r="G1044" i="3"/>
  <c r="D54" i="27" s="1"/>
  <c r="G1053" i="3"/>
  <c r="D56" i="27" s="1"/>
  <c r="F7" i="31"/>
  <c r="F8" i="28"/>
  <c r="F23" i="5"/>
  <c r="F8" i="31"/>
  <c r="F9" i="28"/>
  <c r="G27" i="27"/>
  <c r="H1192" i="3"/>
  <c r="H19" i="28"/>
  <c r="G42" i="28"/>
  <c r="H45" i="28"/>
  <c r="G27" i="28"/>
  <c r="H28" i="28"/>
  <c r="F94" i="30"/>
  <c r="I94" i="30" s="1"/>
  <c r="C32" i="29"/>
  <c r="D32" i="30"/>
  <c r="C38" i="29"/>
  <c r="D38" i="30"/>
  <c r="D44" i="30"/>
  <c r="C44" i="29"/>
  <c r="D61" i="30"/>
  <c r="C61" i="29"/>
  <c r="C67" i="29"/>
  <c r="E67" i="29" s="1"/>
  <c r="H67" i="29" s="1"/>
  <c r="D67" i="30"/>
  <c r="F152" i="30"/>
  <c r="I152" i="30" s="1"/>
  <c r="D20" i="29"/>
  <c r="E20" i="30"/>
  <c r="E110" i="30"/>
  <c r="H91" i="30"/>
  <c r="H90" i="30" s="1"/>
  <c r="H81" i="30" s="1"/>
  <c r="C159" i="2" s="1"/>
  <c r="G2099" i="3"/>
  <c r="H29" i="30"/>
  <c r="G29" i="29"/>
  <c r="G35" i="29"/>
  <c r="H35" i="30"/>
  <c r="G41" i="29"/>
  <c r="G11" i="33" s="1"/>
  <c r="H41" i="30"/>
  <c r="G2156" i="3"/>
  <c r="AX10" i="21"/>
  <c r="AX9" i="21" s="1"/>
  <c r="AX8" i="21" s="1"/>
  <c r="H200" i="3"/>
  <c r="E59" i="28"/>
  <c r="F11" i="28"/>
  <c r="F10" i="31"/>
  <c r="E32" i="30"/>
  <c r="D32" i="29"/>
  <c r="E78" i="30"/>
  <c r="D78" i="29"/>
  <c r="G18" i="29"/>
  <c r="H18" i="30"/>
  <c r="D33" i="29"/>
  <c r="AF26" i="20"/>
  <c r="AF26" i="18"/>
  <c r="G21" i="3"/>
  <c r="BN49" i="20"/>
  <c r="H238" i="3"/>
  <c r="AY50" i="22"/>
  <c r="H29" i="28"/>
  <c r="C9" i="29"/>
  <c r="D9" i="30"/>
  <c r="C15" i="29"/>
  <c r="D15" i="30"/>
  <c r="H1302" i="3"/>
  <c r="C23" i="31" s="1"/>
  <c r="E23" i="31" s="1"/>
  <c r="D44" i="29"/>
  <c r="E44" i="30"/>
  <c r="D67" i="29"/>
  <c r="E67" i="30"/>
  <c r="G2068" i="3"/>
  <c r="H12" i="30"/>
  <c r="G12" i="29"/>
  <c r="H24" i="30"/>
  <c r="G24" i="29"/>
  <c r="F58" i="4"/>
  <c r="H8" i="5"/>
  <c r="AF17" i="20"/>
  <c r="AF17" i="18"/>
  <c r="G13" i="3"/>
  <c r="G63" i="3"/>
  <c r="G72" i="3"/>
  <c r="AG54" i="20"/>
  <c r="G97" i="3"/>
  <c r="BM10" i="18"/>
  <c r="BM10" i="20"/>
  <c r="BM19" i="18"/>
  <c r="BM19" i="20"/>
  <c r="BM25" i="20"/>
  <c r="BM58" i="20"/>
  <c r="BM84" i="18"/>
  <c r="H174" i="3"/>
  <c r="H181" i="3"/>
  <c r="D15" i="23"/>
  <c r="G15" i="23" s="1"/>
  <c r="BN65" i="20"/>
  <c r="D226" i="3"/>
  <c r="AY10" i="22" s="1"/>
  <c r="D231" i="3"/>
  <c r="AY11" i="22" s="1"/>
  <c r="AX47" i="21"/>
  <c r="H276" i="3"/>
  <c r="AX212" i="21"/>
  <c r="G482" i="3"/>
  <c r="G567" i="3"/>
  <c r="G591" i="3"/>
  <c r="G590" i="3" s="1"/>
  <c r="AX32" i="22" s="1"/>
  <c r="G686" i="3"/>
  <c r="G685" i="3" s="1"/>
  <c r="AX538" i="21"/>
  <c r="AX537" i="21" s="1"/>
  <c r="G748" i="3"/>
  <c r="E13" i="27"/>
  <c r="E31" i="27"/>
  <c r="C35" i="28"/>
  <c r="C68" i="28"/>
  <c r="E66" i="28"/>
  <c r="E28" i="16"/>
  <c r="E936" i="3"/>
  <c r="E890" i="3" s="1"/>
  <c r="H890" i="3" s="1"/>
  <c r="G995" i="3"/>
  <c r="D27" i="27"/>
  <c r="D26" i="27" s="1"/>
  <c r="G1004" i="3"/>
  <c r="D33" i="28"/>
  <c r="D59" i="27"/>
  <c r="H1125" i="3"/>
  <c r="H1124" i="3" s="1"/>
  <c r="G9" i="27"/>
  <c r="H9" i="27" s="1"/>
  <c r="H1173" i="3"/>
  <c r="H1203" i="3"/>
  <c r="H21" i="28"/>
  <c r="G55" i="27"/>
  <c r="G35" i="28"/>
  <c r="D82" i="30"/>
  <c r="F83" i="30"/>
  <c r="I83" i="30" s="1"/>
  <c r="F95" i="30"/>
  <c r="I95" i="30" s="1"/>
  <c r="C27" i="29"/>
  <c r="D27" i="30"/>
  <c r="C33" i="29"/>
  <c r="D33" i="30"/>
  <c r="F33" i="30" s="1"/>
  <c r="I33" i="30" s="1"/>
  <c r="C39" i="29"/>
  <c r="D39" i="30"/>
  <c r="F39" i="30" s="1"/>
  <c r="I39" i="30" s="1"/>
  <c r="C45" i="29"/>
  <c r="D45" i="30"/>
  <c r="F45" i="30" s="1"/>
  <c r="I45" i="30" s="1"/>
  <c r="E82" i="30"/>
  <c r="E21" i="30"/>
  <c r="D21" i="29"/>
  <c r="G1982" i="3"/>
  <c r="G2046" i="3"/>
  <c r="G71" i="29"/>
  <c r="H71" i="30"/>
  <c r="H77" i="30"/>
  <c r="G77" i="29"/>
  <c r="F26" i="5"/>
  <c r="F10" i="5" s="1"/>
  <c r="G9" i="13"/>
  <c r="G8" i="13" s="1"/>
  <c r="D8" i="13"/>
  <c r="E24" i="26"/>
  <c r="H24" i="26" s="1"/>
  <c r="I24" i="26" s="1"/>
  <c r="AX195" i="21"/>
  <c r="G398" i="3"/>
  <c r="AF28" i="20"/>
  <c r="AF28" i="18"/>
  <c r="E17" i="26"/>
  <c r="H17" i="26" s="1"/>
  <c r="I17" i="26" s="1"/>
  <c r="AG48" i="20"/>
  <c r="AF67" i="18"/>
  <c r="F19" i="32" s="1"/>
  <c r="BM35" i="18"/>
  <c r="BM32" i="20"/>
  <c r="BM85" i="18"/>
  <c r="BM59" i="20"/>
  <c r="E51" i="27"/>
  <c r="E67" i="28"/>
  <c r="E29" i="16"/>
  <c r="E48" i="16" s="1"/>
  <c r="H31" i="28"/>
  <c r="E27" i="30"/>
  <c r="D27" i="29"/>
  <c r="G2039" i="3"/>
  <c r="AF44" i="20"/>
  <c r="AF45" i="18"/>
  <c r="G38" i="3"/>
  <c r="BM9" i="20"/>
  <c r="BM9" i="18"/>
  <c r="BM39" i="20"/>
  <c r="BM42" i="18"/>
  <c r="BM68" i="20"/>
  <c r="BM66" i="20" s="1"/>
  <c r="H194" i="3"/>
  <c r="AX136" i="21"/>
  <c r="H326" i="3"/>
  <c r="F342" i="3"/>
  <c r="C39" i="27"/>
  <c r="E39" i="27" s="1"/>
  <c r="G827" i="3"/>
  <c r="C29" i="28"/>
  <c r="E29" i="28" s="1"/>
  <c r="G865" i="3"/>
  <c r="C56" i="27" s="1"/>
  <c r="F984" i="3"/>
  <c r="F52" i="27"/>
  <c r="G19" i="27"/>
  <c r="H19" i="27" s="1"/>
  <c r="H1183" i="3"/>
  <c r="G9" i="28" s="1"/>
  <c r="G59" i="27"/>
  <c r="G33" i="28"/>
  <c r="C21" i="29"/>
  <c r="E21" i="29" s="1"/>
  <c r="H21" i="29" s="1"/>
  <c r="D21" i="30"/>
  <c r="D50" i="30"/>
  <c r="C50" i="29"/>
  <c r="D134" i="30"/>
  <c r="F135" i="30"/>
  <c r="I135" i="30" s="1"/>
  <c r="E9" i="30"/>
  <c r="D9" i="29"/>
  <c r="D15" i="29"/>
  <c r="E15" i="30"/>
  <c r="E38" i="30"/>
  <c r="D38" i="29"/>
  <c r="E50" i="30"/>
  <c r="D50" i="29"/>
  <c r="D61" i="29"/>
  <c r="E61" i="30"/>
  <c r="G5" i="3"/>
  <c r="G55" i="3"/>
  <c r="AF76" i="18"/>
  <c r="F20" i="32" s="1"/>
  <c r="AF101" i="18"/>
  <c r="F24" i="32" s="1"/>
  <c r="BM75" i="18"/>
  <c r="BM74" i="18" s="1"/>
  <c r="E41" i="32" s="1"/>
  <c r="H168" i="3"/>
  <c r="BM89" i="18"/>
  <c r="E50" i="32" s="1"/>
  <c r="AX277" i="21"/>
  <c r="AX362" i="21"/>
  <c r="AX385" i="21"/>
  <c r="AX449" i="21"/>
  <c r="AX448" i="21" s="1"/>
  <c r="AX447" i="21" s="1"/>
  <c r="G655" i="3"/>
  <c r="G654" i="3" s="1"/>
  <c r="AX39" i="22" s="1"/>
  <c r="E41" i="27"/>
  <c r="G1015" i="3"/>
  <c r="D55" i="27"/>
  <c r="D35" i="28"/>
  <c r="D34" i="28" s="1"/>
  <c r="G37" i="27"/>
  <c r="H38" i="27"/>
  <c r="H49" i="27"/>
  <c r="D10" i="30"/>
  <c r="F10" i="30" s="1"/>
  <c r="I10" i="30" s="1"/>
  <c r="C10" i="29"/>
  <c r="E10" i="29" s="1"/>
  <c r="H10" i="29" s="1"/>
  <c r="H1359" i="3"/>
  <c r="C26" i="31" s="1"/>
  <c r="D10" i="29"/>
  <c r="E10" i="30"/>
  <c r="E1539" i="3"/>
  <c r="D39" i="29"/>
  <c r="E39" i="30"/>
  <c r="E45" i="30"/>
  <c r="D45" i="29"/>
  <c r="D51" i="29"/>
  <c r="E51" i="30"/>
  <c r="H1631" i="3"/>
  <c r="D26" i="31" s="1"/>
  <c r="E62" i="30"/>
  <c r="D62" i="29"/>
  <c r="E73" i="30"/>
  <c r="D73" i="29"/>
  <c r="E79" i="30"/>
  <c r="D79" i="29"/>
  <c r="AF19" i="20"/>
  <c r="AF19" i="18"/>
  <c r="AF29" i="20"/>
  <c r="AF29" i="18"/>
  <c r="G35" i="3"/>
  <c r="E43" i="3"/>
  <c r="AF59" i="18"/>
  <c r="F18" i="32" s="1"/>
  <c r="E22" i="26"/>
  <c r="H22" i="26" s="1"/>
  <c r="I22" i="26" s="1"/>
  <c r="AG53" i="20"/>
  <c r="BM12" i="20"/>
  <c r="BM12" i="18"/>
  <c r="BM21" i="20"/>
  <c r="BM21" i="18"/>
  <c r="BM58" i="18"/>
  <c r="H151" i="3"/>
  <c r="E29" i="23"/>
  <c r="G29" i="23" s="1"/>
  <c r="H210" i="3"/>
  <c r="H259" i="3"/>
  <c r="C392" i="3"/>
  <c r="E427" i="3"/>
  <c r="E492" i="3"/>
  <c r="G635" i="3"/>
  <c r="G646" i="3"/>
  <c r="G643" i="3" s="1"/>
  <c r="AX38" i="22" s="1"/>
  <c r="G681" i="3"/>
  <c r="G813" i="3"/>
  <c r="H926" i="3"/>
  <c r="H959" i="3"/>
  <c r="D37" i="27"/>
  <c r="H31" i="27"/>
  <c r="H39" i="27"/>
  <c r="H23" i="28"/>
  <c r="H1263" i="3"/>
  <c r="C69" i="29"/>
  <c r="D69" i="30"/>
  <c r="H1381" i="3"/>
  <c r="C28" i="31" s="1"/>
  <c r="E28" i="31" s="1"/>
  <c r="F148" i="30"/>
  <c r="I148" i="30" s="1"/>
  <c r="E23" i="16"/>
  <c r="G1476" i="3"/>
  <c r="F1539" i="3"/>
  <c r="H1539" i="3" s="1"/>
  <c r="E22" i="30"/>
  <c r="D22" i="29"/>
  <c r="E100" i="30"/>
  <c r="D57" i="29"/>
  <c r="E57" i="30"/>
  <c r="E146" i="30"/>
  <c r="G37" i="29"/>
  <c r="H37" i="30"/>
  <c r="G2137" i="3"/>
  <c r="H43" i="30"/>
  <c r="G43" i="29"/>
  <c r="H66" i="30"/>
  <c r="G66" i="29"/>
  <c r="H78" i="30"/>
  <c r="G78" i="29"/>
  <c r="BN52" i="20"/>
  <c r="E42" i="14"/>
  <c r="F38" i="16"/>
  <c r="F37" i="16" s="1"/>
  <c r="F27" i="16"/>
  <c r="G33" i="29"/>
  <c r="H33" i="30"/>
  <c r="C138" i="2"/>
  <c r="D24" i="29"/>
  <c r="E35" i="30"/>
  <c r="D35" i="29"/>
  <c r="G1865" i="3"/>
  <c r="H10" i="30"/>
  <c r="G10" i="29"/>
  <c r="G27" i="29"/>
  <c r="H27" i="30"/>
  <c r="G39" i="29"/>
  <c r="H39" i="30"/>
  <c r="G45" i="29"/>
  <c r="H45" i="30"/>
  <c r="H134" i="30"/>
  <c r="E9" i="26"/>
  <c r="H9" i="26" s="1"/>
  <c r="I9" i="26" s="1"/>
  <c r="F15" i="26"/>
  <c r="E21" i="26"/>
  <c r="H21" i="26" s="1"/>
  <c r="I21" i="26" s="1"/>
  <c r="AG52" i="20"/>
  <c r="H78" i="3"/>
  <c r="D13" i="23"/>
  <c r="G13" i="23" s="1"/>
  <c r="BN63" i="20"/>
  <c r="BM94" i="18"/>
  <c r="E51" i="32" s="1"/>
  <c r="AX62" i="21"/>
  <c r="AX107" i="21"/>
  <c r="AX106" i="21" s="1"/>
  <c r="H297" i="3"/>
  <c r="H310" i="3"/>
  <c r="AX151" i="21"/>
  <c r="AX150" i="21" s="1"/>
  <c r="AX273" i="21"/>
  <c r="AX298" i="21"/>
  <c r="AX287" i="21" s="1"/>
  <c r="G513" i="3"/>
  <c r="G492" i="3" s="1"/>
  <c r="AX29" i="22" s="1"/>
  <c r="C95" i="2" s="1"/>
  <c r="AX405" i="21"/>
  <c r="AX404" i="21" s="1"/>
  <c r="AX403" i="21" s="1"/>
  <c r="G611" i="3"/>
  <c r="G610" i="3" s="1"/>
  <c r="AX34" i="22" s="1"/>
  <c r="E16" i="28"/>
  <c r="C15" i="28"/>
  <c r="E58" i="28"/>
  <c r="G1001" i="3"/>
  <c r="D59" i="28"/>
  <c r="G43" i="27"/>
  <c r="H1208" i="3"/>
  <c r="H1219" i="3"/>
  <c r="G36" i="28"/>
  <c r="H37" i="28"/>
  <c r="H36" i="28" s="1"/>
  <c r="H55" i="28"/>
  <c r="G56" i="28"/>
  <c r="H57" i="28"/>
  <c r="H56" i="28" s="1"/>
  <c r="H64" i="27"/>
  <c r="F84" i="30"/>
  <c r="I84" i="30" s="1"/>
  <c r="D22" i="30"/>
  <c r="C22" i="29"/>
  <c r="F101" i="30"/>
  <c r="I101" i="30" s="1"/>
  <c r="D100" i="30"/>
  <c r="F107" i="30"/>
  <c r="I107" i="30" s="1"/>
  <c r="F113" i="30"/>
  <c r="I113" i="30" s="1"/>
  <c r="F119" i="30"/>
  <c r="I119" i="30" s="1"/>
  <c r="C51" i="29"/>
  <c r="E51" i="29" s="1"/>
  <c r="H51" i="29" s="1"/>
  <c r="D51" i="30"/>
  <c r="F51" i="30" s="1"/>
  <c r="I51" i="30" s="1"/>
  <c r="C62" i="29"/>
  <c r="E62" i="29" s="1"/>
  <c r="H62" i="29" s="1"/>
  <c r="D62" i="30"/>
  <c r="F62" i="30" s="1"/>
  <c r="I62" i="30" s="1"/>
  <c r="D73" i="30"/>
  <c r="C73" i="29"/>
  <c r="C79" i="29"/>
  <c r="D79" i="30"/>
  <c r="F79" i="30" s="1"/>
  <c r="I79" i="30" s="1"/>
  <c r="E18" i="30"/>
  <c r="F18" i="30" s="1"/>
  <c r="I18" i="30" s="1"/>
  <c r="D18" i="29"/>
  <c r="E18" i="29" s="1"/>
  <c r="H18" i="29" s="1"/>
  <c r="G22" i="29"/>
  <c r="H22" i="30"/>
  <c r="H100" i="30"/>
  <c r="G51" i="29"/>
  <c r="H51" i="30"/>
  <c r="G62" i="29"/>
  <c r="H62" i="30"/>
  <c r="G73" i="29"/>
  <c r="H73" i="30"/>
  <c r="G79" i="29"/>
  <c r="H79" i="30"/>
  <c r="H15" i="5"/>
  <c r="AE13" i="12"/>
  <c r="R13" i="12"/>
  <c r="AD13" i="12"/>
  <c r="AG13" i="12"/>
  <c r="AF13" i="12"/>
  <c r="U13" i="12"/>
  <c r="T13" i="12"/>
  <c r="S13" i="12"/>
  <c r="AJ13" i="12"/>
  <c r="AH13" i="12"/>
  <c r="BM15" i="20"/>
  <c r="AX182" i="21"/>
  <c r="H386" i="3"/>
  <c r="H374" i="3" s="1"/>
  <c r="AX23" i="22" s="1"/>
  <c r="E21" i="27"/>
  <c r="H35" i="27"/>
  <c r="D34" i="30"/>
  <c r="F34" i="30" s="1"/>
  <c r="I34" i="30" s="1"/>
  <c r="C34" i="29"/>
  <c r="E34" i="29" s="1"/>
  <c r="H34" i="29" s="1"/>
  <c r="F136" i="30"/>
  <c r="I136" i="30" s="1"/>
  <c r="F153" i="30"/>
  <c r="I153" i="30" s="1"/>
  <c r="G1729" i="3"/>
  <c r="G40" i="29"/>
  <c r="H40" i="30"/>
  <c r="H146" i="30"/>
  <c r="G32" i="16"/>
  <c r="AX422" i="21"/>
  <c r="AX421" i="21" s="1"/>
  <c r="E29" i="30"/>
  <c r="D29" i="29"/>
  <c r="E41" i="30"/>
  <c r="D41" i="29"/>
  <c r="D11" i="33" s="1"/>
  <c r="D69" i="29"/>
  <c r="E69" i="30"/>
  <c r="E8" i="26"/>
  <c r="BM14" i="20"/>
  <c r="BM14" i="18"/>
  <c r="BM34" i="20"/>
  <c r="BM37" i="18"/>
  <c r="BN51" i="20"/>
  <c r="BN53" i="20" s="1"/>
  <c r="AX119" i="21"/>
  <c r="AX139" i="21"/>
  <c r="AX308" i="21"/>
  <c r="AX347" i="21"/>
  <c r="AX346" i="21" s="1"/>
  <c r="G551" i="3"/>
  <c r="AY40" i="22"/>
  <c r="AX491" i="21"/>
  <c r="AX490" i="21" s="1"/>
  <c r="AX489" i="21" s="1"/>
  <c r="AX477" i="21" s="1"/>
  <c r="G697" i="3"/>
  <c r="G696" i="3" s="1"/>
  <c r="AX46" i="22" s="1"/>
  <c r="E11" i="27"/>
  <c r="E29" i="27"/>
  <c r="E47" i="27"/>
  <c r="E17" i="28"/>
  <c r="C67" i="27"/>
  <c r="H67" i="27" s="1"/>
  <c r="G884" i="3"/>
  <c r="F12" i="31"/>
  <c r="F13" i="28"/>
  <c r="H44" i="27"/>
  <c r="G15" i="28"/>
  <c r="H16" i="28"/>
  <c r="H65" i="27"/>
  <c r="C11" i="29"/>
  <c r="E11" i="29" s="1"/>
  <c r="H11" i="29" s="1"/>
  <c r="D11" i="30"/>
  <c r="F96" i="30"/>
  <c r="I96" i="30" s="1"/>
  <c r="C28" i="29"/>
  <c r="E28" i="29" s="1"/>
  <c r="H28" i="29" s="1"/>
  <c r="D28" i="30"/>
  <c r="F28" i="30" s="1"/>
  <c r="I28" i="30" s="1"/>
  <c r="D40" i="30"/>
  <c r="F40" i="30" s="1"/>
  <c r="I40" i="30" s="1"/>
  <c r="C40" i="29"/>
  <c r="E40" i="29" s="1"/>
  <c r="H40" i="29" s="1"/>
  <c r="F125" i="30"/>
  <c r="I125" i="30" s="1"/>
  <c r="D57" i="30"/>
  <c r="C57" i="29"/>
  <c r="F147" i="30"/>
  <c r="I147" i="30" s="1"/>
  <c r="D146" i="30"/>
  <c r="F146" i="30" s="1"/>
  <c r="E32" i="16"/>
  <c r="H11" i="30"/>
  <c r="G11" i="29"/>
  <c r="G28" i="29"/>
  <c r="H28" i="30"/>
  <c r="H34" i="30"/>
  <c r="G34" i="29"/>
  <c r="G57" i="29"/>
  <c r="H57" i="30"/>
  <c r="F7" i="26"/>
  <c r="F6" i="26" s="1"/>
  <c r="AF37" i="18"/>
  <c r="AF36" i="18" s="1"/>
  <c r="F12" i="32" s="1"/>
  <c r="AF36" i="20"/>
  <c r="G33" i="3"/>
  <c r="AF42" i="20"/>
  <c r="AF43" i="18"/>
  <c r="BM35" i="20"/>
  <c r="BM38" i="18"/>
  <c r="BM50" i="18"/>
  <c r="BM57" i="20"/>
  <c r="BM56" i="20" s="1"/>
  <c r="BM83" i="18"/>
  <c r="E27" i="23"/>
  <c r="G27" i="23" s="1"/>
  <c r="E54" i="32"/>
  <c r="E53" i="32" s="1"/>
  <c r="BM102" i="18"/>
  <c r="AX39" i="21"/>
  <c r="AX38" i="21" s="1"/>
  <c r="H229" i="3"/>
  <c r="AX95" i="21"/>
  <c r="AX94" i="21" s="1"/>
  <c r="H285" i="3"/>
  <c r="AX193" i="21"/>
  <c r="AX329" i="21"/>
  <c r="AX328" i="21" s="1"/>
  <c r="G533" i="3"/>
  <c r="AX501" i="21"/>
  <c r="AX500" i="21" s="1"/>
  <c r="AX499" i="21" s="1"/>
  <c r="G707" i="3"/>
  <c r="G706" i="3" s="1"/>
  <c r="AX48" i="22" s="1"/>
  <c r="E30" i="27"/>
  <c r="C45" i="28"/>
  <c r="G856" i="3"/>
  <c r="C54" i="27" s="1"/>
  <c r="E68" i="27"/>
  <c r="D61" i="27"/>
  <c r="E61" i="27" s="1"/>
  <c r="H1166" i="3"/>
  <c r="G7" i="27"/>
  <c r="H8" i="27"/>
  <c r="G17" i="27"/>
  <c r="H17" i="27" s="1"/>
  <c r="H18" i="27"/>
  <c r="H36" i="27"/>
  <c r="H45" i="27"/>
  <c r="H17" i="28"/>
  <c r="F85" i="30"/>
  <c r="I85" i="30" s="1"/>
  <c r="C17" i="29"/>
  <c r="D17" i="30"/>
  <c r="C23" i="29"/>
  <c r="E23" i="29" s="1"/>
  <c r="H23" i="29" s="1"/>
  <c r="D23" i="30"/>
  <c r="F23" i="30" s="1"/>
  <c r="I23" i="30" s="1"/>
  <c r="F102" i="30"/>
  <c r="I102" i="30" s="1"/>
  <c r="F108" i="30"/>
  <c r="I108" i="30" s="1"/>
  <c r="F114" i="30"/>
  <c r="I114" i="30" s="1"/>
  <c r="C52" i="29"/>
  <c r="E52" i="29" s="1"/>
  <c r="H52" i="29" s="1"/>
  <c r="D52" i="30"/>
  <c r="F131" i="30"/>
  <c r="I131" i="30" s="1"/>
  <c r="D130" i="30"/>
  <c r="F130" i="30" s="1"/>
  <c r="I130" i="30" s="1"/>
  <c r="D63" i="30"/>
  <c r="C63" i="29"/>
  <c r="E63" i="29" s="1"/>
  <c r="H63" i="29" s="1"/>
  <c r="D74" i="30"/>
  <c r="C74" i="29"/>
  <c r="E74" i="29" s="1"/>
  <c r="H74" i="29" s="1"/>
  <c r="H17" i="30"/>
  <c r="G17" i="29"/>
  <c r="H23" i="30"/>
  <c r="G23" i="29"/>
  <c r="H52" i="30"/>
  <c r="G52" i="29"/>
  <c r="G63" i="29"/>
  <c r="H63" i="30"/>
  <c r="H74" i="30"/>
  <c r="G74" i="29"/>
  <c r="F28" i="5"/>
  <c r="F12" i="5" s="1"/>
  <c r="N13" i="12"/>
  <c r="K13" i="12" s="1"/>
  <c r="AN38" i="12" s="1"/>
  <c r="AO38" i="12" s="1"/>
  <c r="I18" i="14"/>
  <c r="BN8" i="20"/>
  <c r="BN45" i="20" s="1"/>
  <c r="AF30" i="20"/>
  <c r="AH8" i="12"/>
  <c r="AH10" i="12"/>
  <c r="AD12" i="12"/>
  <c r="Z12" i="12"/>
  <c r="V24" i="12"/>
  <c r="M31" i="12"/>
  <c r="F70" i="14"/>
  <c r="I70" i="14" s="1"/>
  <c r="F11" i="15"/>
  <c r="I11" i="15" s="1"/>
  <c r="V32" i="12"/>
  <c r="V31" i="12"/>
  <c r="V20" i="12"/>
  <c r="V23" i="12"/>
  <c r="V16" i="12"/>
  <c r="V29" i="12"/>
  <c r="V26" i="12"/>
  <c r="V17" i="12"/>
  <c r="V8" i="12"/>
  <c r="V19" i="12"/>
  <c r="V11" i="12"/>
  <c r="V10" i="12"/>
  <c r="V9" i="12"/>
  <c r="V27" i="12"/>
  <c r="V21" i="12"/>
  <c r="V12" i="12"/>
  <c r="V30" i="12"/>
  <c r="AH32" i="12"/>
  <c r="AH30" i="12"/>
  <c r="AH15" i="12"/>
  <c r="AH16" i="12"/>
  <c r="AH23" i="12"/>
  <c r="AH29" i="12"/>
  <c r="AH26" i="12"/>
  <c r="AH20" i="12"/>
  <c r="AH17" i="12"/>
  <c r="AN29" i="12"/>
  <c r="AO29" i="12" s="1"/>
  <c r="AH28" i="12"/>
  <c r="AH24" i="12"/>
  <c r="AH22" i="12"/>
  <c r="AH18" i="12"/>
  <c r="AH25" i="12"/>
  <c r="AH11" i="12"/>
  <c r="AF14" i="12"/>
  <c r="S14" i="12"/>
  <c r="AE14" i="12"/>
  <c r="R14" i="12"/>
  <c r="AD14" i="12"/>
  <c r="AB14" i="12"/>
  <c r="Z14" i="12"/>
  <c r="V18" i="12"/>
  <c r="M20" i="12"/>
  <c r="AK21" i="12"/>
  <c r="AF44" i="18"/>
  <c r="W31" i="12"/>
  <c r="W25" i="12"/>
  <c r="W19" i="12"/>
  <c r="W13" i="12"/>
  <c r="W21" i="12"/>
  <c r="W29" i="12"/>
  <c r="W26" i="12"/>
  <c r="W17" i="12"/>
  <c r="W20" i="12"/>
  <c r="W32" i="12"/>
  <c r="W8" i="12"/>
  <c r="W24" i="12"/>
  <c r="W9" i="12"/>
  <c r="W11" i="12"/>
  <c r="W10" i="12"/>
  <c r="W27" i="12"/>
  <c r="W12" i="12"/>
  <c r="AI25" i="12"/>
  <c r="AI19" i="12"/>
  <c r="AI13" i="12"/>
  <c r="AI20" i="12"/>
  <c r="AI16" i="12"/>
  <c r="AI23" i="12"/>
  <c r="AI29" i="12"/>
  <c r="AI26" i="12"/>
  <c r="AI17" i="12"/>
  <c r="AI8" i="12"/>
  <c r="AI28" i="12"/>
  <c r="AI24" i="12"/>
  <c r="AI22" i="12"/>
  <c r="AN30" i="12"/>
  <c r="AO30" i="12" s="1"/>
  <c r="AI18" i="12"/>
  <c r="AI30" i="12"/>
  <c r="AI31" i="12"/>
  <c r="AH9" i="12"/>
  <c r="AI11" i="12"/>
  <c r="M14" i="12"/>
  <c r="AI15" i="12"/>
  <c r="AN17" i="12"/>
  <c r="AO17" i="12" s="1"/>
  <c r="W18" i="12"/>
  <c r="W23" i="12"/>
  <c r="S28" i="12"/>
  <c r="R28" i="12"/>
  <c r="AE28" i="12"/>
  <c r="AD28" i="12"/>
  <c r="G35" i="13"/>
  <c r="G42" i="14"/>
  <c r="F30" i="32"/>
  <c r="BM31" i="20"/>
  <c r="AY298" i="21"/>
  <c r="AY287" i="21" s="1"/>
  <c r="F26" i="27"/>
  <c r="G7" i="26"/>
  <c r="G6" i="26" s="1"/>
  <c r="AF25" i="20"/>
  <c r="AF24" i="20" s="1"/>
  <c r="AF25" i="18"/>
  <c r="AF24" i="18" s="1"/>
  <c r="F10" i="32" s="1"/>
  <c r="AF41" i="20"/>
  <c r="AF40" i="20" s="1"/>
  <c r="AF42" i="18"/>
  <c r="AF41" i="18" s="1"/>
  <c r="F14" i="32" s="1"/>
  <c r="G15" i="26"/>
  <c r="AF88" i="18"/>
  <c r="BM11" i="20"/>
  <c r="BM11" i="18"/>
  <c r="BM20" i="20"/>
  <c r="BM20" i="18"/>
  <c r="AY30" i="22"/>
  <c r="AX502" i="21"/>
  <c r="E12" i="27"/>
  <c r="E22" i="27"/>
  <c r="C37" i="27"/>
  <c r="E37" i="27" s="1"/>
  <c r="E38" i="27"/>
  <c r="E48" i="27"/>
  <c r="E18" i="28"/>
  <c r="D7" i="27"/>
  <c r="D17" i="27"/>
  <c r="D68" i="28"/>
  <c r="D63" i="28" s="1"/>
  <c r="H16" i="27"/>
  <c r="G23" i="27"/>
  <c r="H23" i="27" s="1"/>
  <c r="H24" i="27"/>
  <c r="H22" i="28"/>
  <c r="H30" i="28"/>
  <c r="G59" i="28"/>
  <c r="H59" i="28" s="1"/>
  <c r="H68" i="27"/>
  <c r="C13" i="29"/>
  <c r="D13" i="30"/>
  <c r="C30" i="29"/>
  <c r="D30" i="30"/>
  <c r="D47" i="30"/>
  <c r="C47" i="29"/>
  <c r="C53" i="29"/>
  <c r="E53" i="29" s="1"/>
  <c r="H53" i="29" s="1"/>
  <c r="D53" i="30"/>
  <c r="D64" i="30"/>
  <c r="F64" i="30" s="1"/>
  <c r="I64" i="30" s="1"/>
  <c r="C64" i="29"/>
  <c r="E64" i="29" s="1"/>
  <c r="H64" i="29" s="1"/>
  <c r="F143" i="30"/>
  <c r="I143" i="30" s="1"/>
  <c r="D142" i="30"/>
  <c r="F142" i="30" s="1"/>
  <c r="C75" i="29"/>
  <c r="D75" i="30"/>
  <c r="E13" i="30"/>
  <c r="D13" i="29"/>
  <c r="E30" i="30"/>
  <c r="D30" i="29"/>
  <c r="E47" i="30"/>
  <c r="D47" i="29"/>
  <c r="D53" i="29"/>
  <c r="E53" i="30"/>
  <c r="D64" i="29"/>
  <c r="E64" i="30"/>
  <c r="E142" i="30"/>
  <c r="D75" i="29"/>
  <c r="E75" i="30"/>
  <c r="H13" i="30"/>
  <c r="G13" i="29"/>
  <c r="G30" i="29"/>
  <c r="H30" i="30"/>
  <c r="H47" i="30"/>
  <c r="G47" i="29"/>
  <c r="H53" i="30"/>
  <c r="G53" i="29"/>
  <c r="G64" i="29"/>
  <c r="H64" i="30"/>
  <c r="H142" i="30"/>
  <c r="H75" i="30"/>
  <c r="G75" i="29"/>
  <c r="X31" i="12"/>
  <c r="X22" i="12"/>
  <c r="X20" i="12"/>
  <c r="X32" i="12"/>
  <c r="X8" i="12"/>
  <c r="X24" i="12"/>
  <c r="X9" i="12"/>
  <c r="X30" i="12"/>
  <c r="X27" i="12"/>
  <c r="X18" i="12"/>
  <c r="X10" i="12"/>
  <c r="X11" i="12"/>
  <c r="X12" i="12"/>
  <c r="X26" i="12"/>
  <c r="X21" i="12"/>
  <c r="AN19" i="12"/>
  <c r="AO19" i="12" s="1"/>
  <c r="X13" i="12"/>
  <c r="X28" i="12"/>
  <c r="X25" i="12"/>
  <c r="AJ31" i="12"/>
  <c r="AN31" i="12"/>
  <c r="AO31" i="12" s="1"/>
  <c r="AJ21" i="12"/>
  <c r="AJ23" i="12"/>
  <c r="AJ29" i="12"/>
  <c r="AJ26" i="12"/>
  <c r="AJ17" i="12"/>
  <c r="AJ20" i="12"/>
  <c r="AJ8" i="12"/>
  <c r="AJ9" i="12"/>
  <c r="AJ18" i="12"/>
  <c r="AJ30" i="12"/>
  <c r="AJ25" i="12"/>
  <c r="AJ19" i="12"/>
  <c r="AI9" i="12"/>
  <c r="AJ11" i="12"/>
  <c r="AG12" i="12"/>
  <c r="N14" i="12"/>
  <c r="AJ15" i="12"/>
  <c r="W16" i="12"/>
  <c r="X19" i="12"/>
  <c r="X23" i="12"/>
  <c r="T28" i="12"/>
  <c r="H42" i="14"/>
  <c r="BN30" i="20"/>
  <c r="D25" i="29"/>
  <c r="E25" i="30"/>
  <c r="D42" i="29"/>
  <c r="E42" i="30"/>
  <c r="E59" i="30"/>
  <c r="D59" i="29"/>
  <c r="H42" i="30"/>
  <c r="G42" i="29"/>
  <c r="G59" i="29"/>
  <c r="H59" i="30"/>
  <c r="M30" i="12"/>
  <c r="M24" i="12"/>
  <c r="M18" i="12"/>
  <c r="M12" i="12"/>
  <c r="M32" i="12"/>
  <c r="M27" i="12"/>
  <c r="M9" i="12"/>
  <c r="AN8" i="12"/>
  <c r="AO8" i="12" s="1"/>
  <c r="M21" i="12"/>
  <c r="M10" i="12"/>
  <c r="M11" i="12"/>
  <c r="K11" i="12" s="1"/>
  <c r="AN36" i="12" s="1"/>
  <c r="AO36" i="12" s="1"/>
  <c r="M16" i="12"/>
  <c r="M17" i="12"/>
  <c r="M29" i="12"/>
  <c r="M23" i="12"/>
  <c r="M25" i="12"/>
  <c r="M28" i="12"/>
  <c r="Y32" i="12"/>
  <c r="Y30" i="12"/>
  <c r="Y24" i="12"/>
  <c r="Y18" i="12"/>
  <c r="Y12" i="12"/>
  <c r="Y23" i="12"/>
  <c r="AN20" i="12"/>
  <c r="AO20" i="12" s="1"/>
  <c r="Y8" i="12"/>
  <c r="Y9" i="12"/>
  <c r="Y27" i="12"/>
  <c r="Y10" i="12"/>
  <c r="Y21" i="12"/>
  <c r="Y11" i="12"/>
  <c r="Y31" i="12"/>
  <c r="Y26" i="12"/>
  <c r="Y20" i="12"/>
  <c r="Y13" i="12"/>
  <c r="Y14" i="12"/>
  <c r="Y28" i="12"/>
  <c r="Y22" i="12"/>
  <c r="AN32" i="12"/>
  <c r="AO32" i="12" s="1"/>
  <c r="AK31" i="12"/>
  <c r="AK30" i="12"/>
  <c r="AK24" i="12"/>
  <c r="AK18" i="12"/>
  <c r="AK12" i="12"/>
  <c r="AK22" i="12"/>
  <c r="AK29" i="12"/>
  <c r="AK26" i="12"/>
  <c r="AK17" i="12"/>
  <c r="AK20" i="12"/>
  <c r="AK8" i="12"/>
  <c r="AK9" i="12"/>
  <c r="AK32" i="12"/>
  <c r="AK10" i="12"/>
  <c r="AK25" i="12"/>
  <c r="AK28" i="12"/>
  <c r="AK11" i="12"/>
  <c r="AH12" i="12"/>
  <c r="V13" i="12"/>
  <c r="O14" i="12"/>
  <c r="AK15" i="12"/>
  <c r="Y19" i="12"/>
  <c r="T26" i="12"/>
  <c r="S26" i="12"/>
  <c r="Z26" i="12"/>
  <c r="R26" i="12"/>
  <c r="Q26" i="12"/>
  <c r="O26" i="12"/>
  <c r="AB26" i="12"/>
  <c r="I9" i="15"/>
  <c r="I8" i="15" s="1"/>
  <c r="F8" i="15"/>
  <c r="E13" i="32"/>
  <c r="F44" i="32"/>
  <c r="BN82" i="18"/>
  <c r="AY385" i="21"/>
  <c r="AY372" i="21" s="1"/>
  <c r="D19" i="29"/>
  <c r="E19" i="30"/>
  <c r="E120" i="30"/>
  <c r="E70" i="30"/>
  <c r="D70" i="29"/>
  <c r="F30" i="31"/>
  <c r="G19" i="29"/>
  <c r="H19" i="30"/>
  <c r="H25" i="30"/>
  <c r="G25" i="29"/>
  <c r="H120" i="30"/>
  <c r="G70" i="29"/>
  <c r="H70" i="30"/>
  <c r="B3" i="18" a="1"/>
  <c r="B3" i="18" s="1"/>
  <c r="B3" i="20" a="1"/>
  <c r="B3" i="20" s="1"/>
  <c r="AF9" i="18"/>
  <c r="AF8" i="18" s="1"/>
  <c r="AF9" i="20"/>
  <c r="AF8" i="20" s="1"/>
  <c r="AF18" i="18"/>
  <c r="AF18" i="20"/>
  <c r="E13" i="26"/>
  <c r="H13" i="26" s="1"/>
  <c r="I13" i="26" s="1"/>
  <c r="AF48" i="18"/>
  <c r="E19" i="26"/>
  <c r="H19" i="26" s="1"/>
  <c r="I19" i="26" s="1"/>
  <c r="AG50" i="20"/>
  <c r="E20" i="26"/>
  <c r="H20" i="26" s="1"/>
  <c r="I20" i="26" s="1"/>
  <c r="AG51" i="20"/>
  <c r="BM33" i="20"/>
  <c r="BM36" i="18"/>
  <c r="BM33" i="18" s="1"/>
  <c r="E32" i="32" s="1"/>
  <c r="AX81" i="21"/>
  <c r="AX154" i="21"/>
  <c r="AX153" i="21" s="1"/>
  <c r="AX175" i="21"/>
  <c r="C12" i="24" s="1"/>
  <c r="AX338" i="21"/>
  <c r="AX356" i="21"/>
  <c r="AX517" i="21"/>
  <c r="C31" i="25" s="1"/>
  <c r="E14" i="27"/>
  <c r="E32" i="27"/>
  <c r="E40" i="27"/>
  <c r="E50" i="27"/>
  <c r="E20" i="28"/>
  <c r="E46" i="28"/>
  <c r="E28" i="28"/>
  <c r="E27" i="28" s="1"/>
  <c r="C27" i="28"/>
  <c r="D15" i="28"/>
  <c r="D56" i="28"/>
  <c r="D61" i="28" s="1"/>
  <c r="F9" i="31"/>
  <c r="F10" i="28"/>
  <c r="G33" i="27"/>
  <c r="H34" i="27"/>
  <c r="H24" i="28"/>
  <c r="H32" i="28"/>
  <c r="G61" i="27"/>
  <c r="H61" i="27" s="1"/>
  <c r="C14" i="29"/>
  <c r="E14" i="29" s="1"/>
  <c r="H14" i="29" s="1"/>
  <c r="D14" i="30"/>
  <c r="C31" i="29"/>
  <c r="D31" i="30"/>
  <c r="F31" i="30" s="1"/>
  <c r="I31" i="30" s="1"/>
  <c r="D48" i="30"/>
  <c r="C48" i="29"/>
  <c r="D54" i="30"/>
  <c r="C54" i="29"/>
  <c r="E54" i="29" s="1"/>
  <c r="H54" i="29" s="1"/>
  <c r="D65" i="30"/>
  <c r="C65" i="29"/>
  <c r="E65" i="29" s="1"/>
  <c r="H65" i="29" s="1"/>
  <c r="D76" i="30"/>
  <c r="C76" i="29"/>
  <c r="E76" i="29" s="1"/>
  <c r="H76" i="29" s="1"/>
  <c r="E14" i="30"/>
  <c r="D14" i="29"/>
  <c r="E31" i="30"/>
  <c r="D31" i="29"/>
  <c r="E48" i="30"/>
  <c r="D48" i="29"/>
  <c r="D54" i="29"/>
  <c r="E54" i="30"/>
  <c r="E139" i="30"/>
  <c r="F139" i="30" s="1"/>
  <c r="I139" i="30" s="1"/>
  <c r="E65" i="30"/>
  <c r="D65" i="29"/>
  <c r="E76" i="30"/>
  <c r="D76" i="29"/>
  <c r="G14" i="29"/>
  <c r="H14" i="30"/>
  <c r="H48" i="30"/>
  <c r="G48" i="29"/>
  <c r="G54" i="29"/>
  <c r="H54" i="30"/>
  <c r="H65" i="30"/>
  <c r="G65" i="29"/>
  <c r="G76" i="29"/>
  <c r="H76" i="30"/>
  <c r="AI12" i="12"/>
  <c r="T14" i="12"/>
  <c r="Y16" i="12"/>
  <c r="M22" i="12"/>
  <c r="M26" i="12"/>
  <c r="V28" i="12"/>
  <c r="Y29" i="12"/>
  <c r="E24" i="32"/>
  <c r="AF27" i="20"/>
  <c r="M8" i="12"/>
  <c r="V14" i="12"/>
  <c r="M15" i="12"/>
  <c r="N26" i="12"/>
  <c r="D35" i="13"/>
  <c r="E8" i="32"/>
  <c r="F39" i="32"/>
  <c r="AY146" i="21"/>
  <c r="H23" i="26"/>
  <c r="I23" i="26" s="1"/>
  <c r="AF19" i="12"/>
  <c r="R19" i="12"/>
  <c r="AE19" i="12"/>
  <c r="AD19" i="12"/>
  <c r="F12" i="16"/>
  <c r="F30" i="16"/>
  <c r="F36" i="32"/>
  <c r="AF25" i="12"/>
  <c r="R25" i="12"/>
  <c r="AE25" i="12"/>
  <c r="AD25" i="12"/>
  <c r="F23" i="15"/>
  <c r="D20" i="15"/>
  <c r="F52" i="32"/>
  <c r="AG30" i="20"/>
  <c r="AY119" i="21"/>
  <c r="AY118" i="21" s="1"/>
  <c r="AY117" i="21" s="1"/>
  <c r="F66" i="27"/>
  <c r="N24" i="12"/>
  <c r="N30" i="12"/>
  <c r="N21" i="12"/>
  <c r="N18" i="12"/>
  <c r="N10" i="12"/>
  <c r="N11" i="12"/>
  <c r="AN9" i="12"/>
  <c r="AO9" i="12" s="1"/>
  <c r="N28" i="12"/>
  <c r="N25" i="12"/>
  <c r="N12" i="12"/>
  <c r="Z32" i="12"/>
  <c r="Z9" i="12"/>
  <c r="Z27" i="12"/>
  <c r="Z24" i="12"/>
  <c r="Z10" i="12"/>
  <c r="Z30" i="12"/>
  <c r="Z21" i="12"/>
  <c r="Z18" i="12"/>
  <c r="Z11" i="12"/>
  <c r="Z15" i="12"/>
  <c r="AA16" i="12"/>
  <c r="AC17" i="12"/>
  <c r="N19" i="12"/>
  <c r="K19" i="12" s="1"/>
  <c r="AN44" i="12" s="1"/>
  <c r="AO44" i="12" s="1"/>
  <c r="AC23" i="12"/>
  <c r="Z28" i="12"/>
  <c r="U29" i="12"/>
  <c r="S29" i="12"/>
  <c r="AE29" i="12"/>
  <c r="E11" i="32"/>
  <c r="O29" i="12"/>
  <c r="O23" i="12"/>
  <c r="O17" i="12"/>
  <c r="O11" i="12"/>
  <c r="O25" i="12"/>
  <c r="O28" i="12"/>
  <c r="O12" i="12"/>
  <c r="AN10" i="12"/>
  <c r="AO10" i="12" s="1"/>
  <c r="O31" i="12"/>
  <c r="O22" i="12"/>
  <c r="O19" i="12"/>
  <c r="O13" i="12"/>
  <c r="AA29" i="12"/>
  <c r="AA23" i="12"/>
  <c r="AA17" i="12"/>
  <c r="AA11" i="12"/>
  <c r="AA32" i="12"/>
  <c r="AA24" i="12"/>
  <c r="AA27" i="12"/>
  <c r="AA10" i="12"/>
  <c r="AA30" i="12"/>
  <c r="AA21" i="12"/>
  <c r="AA18" i="12"/>
  <c r="AA12" i="12"/>
  <c r="AA15" i="12"/>
  <c r="AE17" i="12"/>
  <c r="U17" i="12"/>
  <c r="AD17" i="12"/>
  <c r="O18" i="12"/>
  <c r="S19" i="12"/>
  <c r="O24" i="12"/>
  <c r="S25" i="12"/>
  <c r="AA28" i="12"/>
  <c r="G8" i="14"/>
  <c r="F49" i="16"/>
  <c r="F47" i="16" s="1"/>
  <c r="BN33" i="18"/>
  <c r="AG37" i="20"/>
  <c r="A3" i="31"/>
  <c r="A4" i="33"/>
  <c r="B3" i="30"/>
  <c r="A3" i="24"/>
  <c r="A4" i="34"/>
  <c r="C4" i="14"/>
  <c r="A4" i="29"/>
  <c r="A3" i="27"/>
  <c r="A4" i="15"/>
  <c r="A3" i="32"/>
  <c r="A78" i="12"/>
  <c r="A3" i="28"/>
  <c r="A3" i="25"/>
  <c r="A4" i="13"/>
  <c r="A63" i="12"/>
  <c r="A3" i="23"/>
  <c r="AY356" i="21"/>
  <c r="AY436" i="21"/>
  <c r="AY453" i="21"/>
  <c r="P26" i="12"/>
  <c r="P11" i="12"/>
  <c r="P28" i="12"/>
  <c r="P12" i="12"/>
  <c r="P31" i="12"/>
  <c r="P25" i="12"/>
  <c r="P22" i="12"/>
  <c r="P19" i="12"/>
  <c r="P13" i="12"/>
  <c r="P14" i="12"/>
  <c r="AN11" i="12"/>
  <c r="AO11" i="12" s="1"/>
  <c r="AB25" i="12"/>
  <c r="AN23" i="12"/>
  <c r="AO23" i="12" s="1"/>
  <c r="AB30" i="12"/>
  <c r="AB24" i="12"/>
  <c r="AB21" i="12"/>
  <c r="AB18" i="12"/>
  <c r="AB11" i="12"/>
  <c r="AB12" i="12"/>
  <c r="AB28" i="12"/>
  <c r="AB13" i="12"/>
  <c r="AA8" i="12"/>
  <c r="AA9" i="12"/>
  <c r="Z13" i="12"/>
  <c r="AA14" i="12"/>
  <c r="AB15" i="12"/>
  <c r="AG16" i="12"/>
  <c r="T16" i="12"/>
  <c r="S16" i="12"/>
  <c r="AD16" i="12"/>
  <c r="AF17" i="12"/>
  <c r="P18" i="12"/>
  <c r="U19" i="12"/>
  <c r="Z20" i="12"/>
  <c r="AC21" i="12"/>
  <c r="N23" i="12"/>
  <c r="P24" i="12"/>
  <c r="T25" i="12"/>
  <c r="AB27" i="12"/>
  <c r="N29" i="12"/>
  <c r="H8" i="14"/>
  <c r="AG16" i="20"/>
  <c r="AG45" i="20" s="1"/>
  <c r="AY35" i="21"/>
  <c r="AY346" i="21"/>
  <c r="F36" i="29"/>
  <c r="Q28" i="12"/>
  <c r="Q22" i="12"/>
  <c r="Q16" i="12"/>
  <c r="Q10" i="12"/>
  <c r="Q27" i="12"/>
  <c r="Q12" i="12"/>
  <c r="Q31" i="12"/>
  <c r="Q25" i="12"/>
  <c r="Q19" i="12"/>
  <c r="Q13" i="12"/>
  <c r="Q14" i="12"/>
  <c r="Q15" i="12"/>
  <c r="AC28" i="12"/>
  <c r="AC22" i="12"/>
  <c r="AC16" i="12"/>
  <c r="AC10" i="12"/>
  <c r="AC26" i="12"/>
  <c r="AC11" i="12"/>
  <c r="AC12" i="12"/>
  <c r="AC13" i="12"/>
  <c r="AC25" i="12"/>
  <c r="AN24" i="12"/>
  <c r="AO24" i="12" s="1"/>
  <c r="AC19" i="12"/>
  <c r="AC14" i="12"/>
  <c r="AA13" i="12"/>
  <c r="AF15" i="12"/>
  <c r="R15" i="12"/>
  <c r="AC15" i="12"/>
  <c r="N17" i="12"/>
  <c r="AG17" i="12"/>
  <c r="Q18" i="12"/>
  <c r="AA20" i="12"/>
  <c r="S22" i="12"/>
  <c r="R22" i="12"/>
  <c r="AE22" i="12"/>
  <c r="Q24" i="12"/>
  <c r="U25" i="12"/>
  <c r="AC27" i="12"/>
  <c r="F43" i="14"/>
  <c r="E12" i="32"/>
  <c r="AY273" i="21"/>
  <c r="F37" i="32"/>
  <c r="AG82" i="18"/>
  <c r="E21" i="32" s="1"/>
  <c r="AY318" i="21"/>
  <c r="G120" i="30"/>
  <c r="AY19" i="21"/>
  <c r="AY8" i="21" s="1"/>
  <c r="AY7" i="21" s="1"/>
  <c r="AY184" i="21" s="1"/>
  <c r="AY416" i="21"/>
  <c r="AD27" i="12"/>
  <c r="AD15" i="12"/>
  <c r="AF16" i="12"/>
  <c r="AD22" i="12"/>
  <c r="AG23" i="12"/>
  <c r="AD31" i="12"/>
  <c r="U32" i="12"/>
  <c r="AG16" i="18"/>
  <c r="AY232" i="21"/>
  <c r="AY222" i="21" s="1"/>
  <c r="G46" i="30"/>
  <c r="AG95" i="18"/>
  <c r="E23" i="32" s="1"/>
  <c r="AG24" i="20"/>
  <c r="AY198" i="21"/>
  <c r="AY187" i="21" s="1"/>
  <c r="AY207" i="21"/>
  <c r="G7" i="23"/>
  <c r="C6" i="23"/>
  <c r="T29" i="12"/>
  <c r="T19" i="12"/>
  <c r="AF28" i="12"/>
  <c r="AF18" i="12"/>
  <c r="T15" i="12"/>
  <c r="U16" i="12"/>
  <c r="AF22" i="12"/>
  <c r="AF31" i="12"/>
  <c r="F9" i="14"/>
  <c r="AG76" i="18"/>
  <c r="U26" i="12"/>
  <c r="U20" i="12"/>
  <c r="U14" i="12"/>
  <c r="U8" i="12"/>
  <c r="U30" i="12"/>
  <c r="AG26" i="12"/>
  <c r="AG20" i="12"/>
  <c r="AG14" i="12"/>
  <c r="AG8" i="12"/>
  <c r="AG29" i="12"/>
  <c r="AG19" i="12"/>
  <c r="U15" i="12"/>
  <c r="AG22" i="12"/>
  <c r="AG28" i="12"/>
  <c r="AG31" i="12"/>
  <c r="BN22" i="18"/>
  <c r="BN48" i="18" s="1"/>
  <c r="BN80" i="18" s="1"/>
  <c r="AG41" i="18"/>
  <c r="AG53" i="18"/>
  <c r="E17" i="32" s="1"/>
  <c r="AY478" i="21"/>
  <c r="AY477" i="21" s="1"/>
  <c r="AY508" i="21"/>
  <c r="AY507" i="21" s="1"/>
  <c r="F33" i="27"/>
  <c r="F70" i="27" s="1"/>
  <c r="F40" i="34"/>
  <c r="AY408" i="21"/>
  <c r="AY403" i="21" s="1"/>
  <c r="F54" i="32"/>
  <c r="F53" i="32" s="1"/>
  <c r="BN102" i="18"/>
  <c r="AY277" i="21"/>
  <c r="AY489" i="21"/>
  <c r="G146" i="30"/>
  <c r="F23" i="16"/>
  <c r="F21" i="16" s="1"/>
  <c r="D40" i="34"/>
  <c r="F16" i="29"/>
  <c r="F8" i="33" s="1"/>
  <c r="G26" i="30"/>
  <c r="E14" i="34"/>
  <c r="H14" i="34" s="1"/>
  <c r="C8" i="34"/>
  <c r="G31" i="23"/>
  <c r="F30" i="23"/>
  <c r="G30" i="23" s="1"/>
  <c r="F60" i="29"/>
  <c r="H17" i="34"/>
  <c r="S9" i="12"/>
  <c r="AE9" i="12"/>
  <c r="S15" i="12"/>
  <c r="AE15" i="12"/>
  <c r="S21" i="12"/>
  <c r="AE21" i="12"/>
  <c r="AG88" i="18"/>
  <c r="E22" i="32" s="1"/>
  <c r="F55" i="32"/>
  <c r="AY392" i="21"/>
  <c r="AY391" i="21" s="1"/>
  <c r="G12" i="23"/>
  <c r="D10" i="23"/>
  <c r="E18" i="34"/>
  <c r="H18" i="34" s="1"/>
  <c r="E26" i="34"/>
  <c r="H26" i="34" s="1"/>
  <c r="F27" i="28"/>
  <c r="F51" i="28"/>
  <c r="F61" i="28" s="1"/>
  <c r="F72" i="29"/>
  <c r="G10" i="33"/>
  <c r="AY362" i="21"/>
  <c r="H13" i="34"/>
  <c r="H42" i="28"/>
  <c r="F56" i="28"/>
  <c r="G16" i="30"/>
  <c r="G7" i="30" s="1"/>
  <c r="G110" i="30"/>
  <c r="E9" i="34"/>
  <c r="H9" i="34" s="1"/>
  <c r="C7" i="25"/>
  <c r="C35" i="34"/>
  <c r="E36" i="34"/>
  <c r="H36" i="34" s="1"/>
  <c r="D35" i="34"/>
  <c r="F56" i="29"/>
  <c r="F9" i="33" s="1"/>
  <c r="H15" i="34"/>
  <c r="E28" i="34"/>
  <c r="H28" i="34" s="1"/>
  <c r="G68" i="30"/>
  <c r="G100" i="30"/>
  <c r="G81" i="30" s="1"/>
  <c r="C158" i="2" s="1"/>
  <c r="G8" i="34"/>
  <c r="G40" i="34" s="1"/>
  <c r="C139" i="2" s="1"/>
  <c r="G60" i="30"/>
  <c r="G142" i="30"/>
  <c r="C30" i="25" l="1"/>
  <c r="AX507" i="21"/>
  <c r="F8" i="16"/>
  <c r="F46" i="16" s="1"/>
  <c r="C131" i="2"/>
  <c r="M51" i="2"/>
  <c r="F13" i="33"/>
  <c r="AG57" i="20"/>
  <c r="G155" i="30"/>
  <c r="C134" i="2" s="1"/>
  <c r="C154" i="2"/>
  <c r="AY186" i="21"/>
  <c r="AY539" i="21" s="1"/>
  <c r="M54" i="2" s="1"/>
  <c r="AY540" i="21"/>
  <c r="M53" i="2"/>
  <c r="D12" i="33"/>
  <c r="D68" i="29"/>
  <c r="F73" i="30"/>
  <c r="I73" i="30" s="1"/>
  <c r="D72" i="30"/>
  <c r="E31" i="16"/>
  <c r="C172" i="2"/>
  <c r="D56" i="29"/>
  <c r="AY27" i="22"/>
  <c r="AY26" i="22" s="1"/>
  <c r="AY57" i="22" s="1"/>
  <c r="C391" i="3"/>
  <c r="C390" i="3" s="1"/>
  <c r="D753" i="3" s="1"/>
  <c r="D750" i="3" s="1"/>
  <c r="E26" i="31"/>
  <c r="D60" i="29"/>
  <c r="F50" i="30"/>
  <c r="I50" i="30" s="1"/>
  <c r="E134" i="30"/>
  <c r="E81" i="30" s="1"/>
  <c r="AX56" i="22"/>
  <c r="AX55" i="22" s="1"/>
  <c r="G747" i="3"/>
  <c r="E9" i="29"/>
  <c r="H9" i="29" s="1"/>
  <c r="C8" i="29"/>
  <c r="F39" i="28"/>
  <c r="D12" i="28"/>
  <c r="D11" i="31"/>
  <c r="F21" i="32"/>
  <c r="F29" i="30"/>
  <c r="I29" i="30" s="1"/>
  <c r="F16" i="31"/>
  <c r="F37" i="5"/>
  <c r="C13" i="31"/>
  <c r="E13" i="31" s="1"/>
  <c r="G13" i="31" s="1"/>
  <c r="H13" i="31" s="1"/>
  <c r="C14" i="28"/>
  <c r="E14" i="28" s="1"/>
  <c r="C34" i="5"/>
  <c r="G1403" i="3"/>
  <c r="G1266" i="3" s="1"/>
  <c r="G2223" i="3" s="1"/>
  <c r="D7" i="5"/>
  <c r="E27" i="27"/>
  <c r="C33" i="27"/>
  <c r="E34" i="27"/>
  <c r="H68" i="30"/>
  <c r="E56" i="28"/>
  <c r="F37" i="30"/>
  <c r="I37" i="30" s="1"/>
  <c r="D36" i="30"/>
  <c r="F36" i="30" s="1"/>
  <c r="I36" i="30" s="1"/>
  <c r="C8" i="31"/>
  <c r="E8" i="31" s="1"/>
  <c r="G8" i="31" s="1"/>
  <c r="H8" i="31" s="1"/>
  <c r="C9" i="28"/>
  <c r="E9" i="28" s="1"/>
  <c r="K20" i="12"/>
  <c r="AN45" i="12" s="1"/>
  <c r="AO45" i="12" s="1"/>
  <c r="BN54" i="20"/>
  <c r="E36" i="32"/>
  <c r="C16" i="31"/>
  <c r="C37" i="5"/>
  <c r="F21" i="30"/>
  <c r="I21" i="30" s="1"/>
  <c r="E46" i="32"/>
  <c r="F46" i="32"/>
  <c r="D10" i="31"/>
  <c r="D11" i="28"/>
  <c r="D39" i="28" s="1"/>
  <c r="D64" i="28" s="1"/>
  <c r="D26" i="5"/>
  <c r="D10" i="5" s="1"/>
  <c r="C34" i="25"/>
  <c r="AX536" i="21"/>
  <c r="AF55" i="20"/>
  <c r="F67" i="30"/>
  <c r="I67" i="30" s="1"/>
  <c r="F17" i="31"/>
  <c r="D36" i="29"/>
  <c r="E43" i="27"/>
  <c r="C42" i="27"/>
  <c r="E42" i="27" s="1"/>
  <c r="G9" i="5"/>
  <c r="G61" i="2"/>
  <c r="C114" i="2" s="1"/>
  <c r="S61" i="2"/>
  <c r="E26" i="27"/>
  <c r="G984" i="3"/>
  <c r="C36" i="29"/>
  <c r="E37" i="29"/>
  <c r="H37" i="29" s="1"/>
  <c r="C7" i="31"/>
  <c r="C8" i="28"/>
  <c r="C23" i="5"/>
  <c r="K22" i="12"/>
  <c r="AN47" i="12" s="1"/>
  <c r="AO47" i="12" s="1"/>
  <c r="F14" i="30"/>
  <c r="I14" i="30" s="1"/>
  <c r="K10" i="12"/>
  <c r="AN35" i="12" s="1"/>
  <c r="AO35" i="12" s="1"/>
  <c r="G46" i="29"/>
  <c r="K31" i="12"/>
  <c r="AN56" i="12" s="1"/>
  <c r="AO56" i="12" s="1"/>
  <c r="G16" i="29"/>
  <c r="H7" i="27"/>
  <c r="E67" i="27"/>
  <c r="C66" i="27"/>
  <c r="E15" i="28"/>
  <c r="F82" i="30"/>
  <c r="I82" i="30" s="1"/>
  <c r="AX45" i="22"/>
  <c r="AX44" i="22" s="1"/>
  <c r="G684" i="3"/>
  <c r="BM63" i="20"/>
  <c r="H27" i="28"/>
  <c r="E36" i="30"/>
  <c r="F42" i="30"/>
  <c r="I42" i="30" s="1"/>
  <c r="H231" i="3"/>
  <c r="AX11" i="22" s="1"/>
  <c r="C752" i="3"/>
  <c r="H1266" i="3"/>
  <c r="H63" i="27"/>
  <c r="AX51" i="22"/>
  <c r="AX50" i="22" s="1"/>
  <c r="G714" i="3"/>
  <c r="F25" i="30"/>
  <c r="I25" i="30" s="1"/>
  <c r="K21" i="12"/>
  <c r="AN46" i="12" s="1"/>
  <c r="AO46" i="12" s="1"/>
  <c r="H46" i="30"/>
  <c r="D46" i="29"/>
  <c r="D9" i="33" s="1"/>
  <c r="F53" i="30"/>
  <c r="I53" i="30" s="1"/>
  <c r="H16" i="30"/>
  <c r="AX135" i="21"/>
  <c r="AX118" i="21" s="1"/>
  <c r="AX117" i="21" s="1"/>
  <c r="H35" i="28"/>
  <c r="G34" i="28"/>
  <c r="D8" i="31"/>
  <c r="D9" i="28"/>
  <c r="E61" i="29"/>
  <c r="H61" i="29" s="1"/>
  <c r="C60" i="29"/>
  <c r="E60" i="29" s="1"/>
  <c r="H60" i="29" s="1"/>
  <c r="AF47" i="20"/>
  <c r="AF56" i="20" s="1"/>
  <c r="G43" i="3"/>
  <c r="E78" i="29"/>
  <c r="H78" i="29" s="1"/>
  <c r="D16" i="29"/>
  <c r="D90" i="30"/>
  <c r="F90" i="30" s="1"/>
  <c r="I90" i="30" s="1"/>
  <c r="F91" i="30"/>
  <c r="I91" i="30" s="1"/>
  <c r="E42" i="29"/>
  <c r="H42" i="29" s="1"/>
  <c r="F308" i="3"/>
  <c r="F17" i="32"/>
  <c r="F59" i="4"/>
  <c r="F60" i="4" s="1"/>
  <c r="C103" i="2" s="1"/>
  <c r="C102" i="2"/>
  <c r="S57" i="2"/>
  <c r="C107" i="2" s="1"/>
  <c r="AX40" i="21"/>
  <c r="AY58" i="22"/>
  <c r="D30" i="31"/>
  <c r="BM51" i="20"/>
  <c r="E31" i="29"/>
  <c r="H31" i="29" s="1"/>
  <c r="BM49" i="20"/>
  <c r="C98" i="2"/>
  <c r="G58" i="27"/>
  <c r="H59" i="27"/>
  <c r="D26" i="29"/>
  <c r="H55" i="27"/>
  <c r="AF51" i="20"/>
  <c r="F61" i="30"/>
  <c r="I61" i="30" s="1"/>
  <c r="D60" i="30"/>
  <c r="G60" i="29"/>
  <c r="G47" i="16"/>
  <c r="E3" i="3"/>
  <c r="E17" i="27"/>
  <c r="E7" i="27"/>
  <c r="F19" i="30"/>
  <c r="I19" i="30" s="1"/>
  <c r="F16" i="32"/>
  <c r="AF105" i="18"/>
  <c r="C147" i="2"/>
  <c r="F50" i="16"/>
  <c r="F10" i="16"/>
  <c r="C164" i="2" s="1"/>
  <c r="E46" i="30"/>
  <c r="F29" i="32"/>
  <c r="F76" i="30"/>
  <c r="I76" i="30" s="1"/>
  <c r="K9" i="12"/>
  <c r="AN34" i="12" s="1"/>
  <c r="AO34" i="12" s="1"/>
  <c r="E47" i="29"/>
  <c r="H47" i="29" s="1"/>
  <c r="C46" i="29"/>
  <c r="F74" i="30"/>
  <c r="I74" i="30" s="1"/>
  <c r="E22" i="16"/>
  <c r="E21" i="16" s="1"/>
  <c r="D16" i="30"/>
  <c r="F16" i="30" s="1"/>
  <c r="I16" i="30" s="1"/>
  <c r="F17" i="30"/>
  <c r="I17" i="30" s="1"/>
  <c r="D33" i="27"/>
  <c r="F11" i="30"/>
  <c r="I11" i="30" s="1"/>
  <c r="AF52" i="20"/>
  <c r="H43" i="3"/>
  <c r="H26" i="30"/>
  <c r="BM57" i="18"/>
  <c r="A60" i="2"/>
  <c r="C113" i="2" s="1"/>
  <c r="H37" i="27"/>
  <c r="BM52" i="20"/>
  <c r="E26" i="30"/>
  <c r="C86" i="2"/>
  <c r="E45" i="29"/>
  <c r="H45" i="29" s="1"/>
  <c r="E27" i="16"/>
  <c r="E38" i="16"/>
  <c r="E45" i="32"/>
  <c r="F45" i="32"/>
  <c r="F43" i="32" s="1"/>
  <c r="AF50" i="20"/>
  <c r="E44" i="29"/>
  <c r="H44" i="29" s="1"/>
  <c r="C167" i="2"/>
  <c r="I110" i="30"/>
  <c r="H60" i="30"/>
  <c r="F70" i="30"/>
  <c r="I70" i="30" s="1"/>
  <c r="H11" i="26"/>
  <c r="I11" i="26" s="1"/>
  <c r="E19" i="29"/>
  <c r="H19" i="29" s="1"/>
  <c r="E17" i="29"/>
  <c r="H17" i="29" s="1"/>
  <c r="C16" i="29"/>
  <c r="E16" i="29" s="1"/>
  <c r="H16" i="29" s="1"/>
  <c r="E12" i="16"/>
  <c r="E50" i="16" s="1"/>
  <c r="E49" i="16"/>
  <c r="E47" i="16" s="1"/>
  <c r="G26" i="29"/>
  <c r="C9" i="31"/>
  <c r="E9" i="31" s="1"/>
  <c r="G9" i="31" s="1"/>
  <c r="H9" i="31" s="1"/>
  <c r="C10" i="28"/>
  <c r="E10" i="28" s="1"/>
  <c r="C25" i="5"/>
  <c r="H25" i="5" s="1"/>
  <c r="I25" i="5" s="1"/>
  <c r="G13" i="28"/>
  <c r="G28" i="5"/>
  <c r="F44" i="30"/>
  <c r="I44" i="30" s="1"/>
  <c r="C58" i="27"/>
  <c r="E59" i="27"/>
  <c r="E18" i="32"/>
  <c r="E70" i="29"/>
  <c r="H70" i="29" s="1"/>
  <c r="E25" i="31"/>
  <c r="H102" i="3"/>
  <c r="H101" i="3" s="1"/>
  <c r="BM29" i="18"/>
  <c r="AX161" i="21"/>
  <c r="E1266" i="3"/>
  <c r="BM48" i="20"/>
  <c r="C142" i="2"/>
  <c r="F33" i="23"/>
  <c r="F65" i="30"/>
  <c r="I65" i="30" s="1"/>
  <c r="K28" i="12"/>
  <c r="AN53" i="12" s="1"/>
  <c r="AO53" i="12" s="1"/>
  <c r="K32" i="12"/>
  <c r="AN57" i="12" s="1"/>
  <c r="AO57" i="12" s="1"/>
  <c r="F30" i="30"/>
  <c r="I30" i="30" s="1"/>
  <c r="BM30" i="20"/>
  <c r="K14" i="12"/>
  <c r="AN39" i="12" s="1"/>
  <c r="AO39" i="12" s="1"/>
  <c r="G22" i="16"/>
  <c r="G21" i="16" s="1"/>
  <c r="F63" i="30"/>
  <c r="I63" i="30" s="1"/>
  <c r="E54" i="27"/>
  <c r="I146" i="30"/>
  <c r="G49" i="16"/>
  <c r="G12" i="16"/>
  <c r="G50" i="16" s="1"/>
  <c r="G53" i="27"/>
  <c r="H1218" i="3"/>
  <c r="G29" i="5" s="1"/>
  <c r="F33" i="16"/>
  <c r="F9" i="16" s="1"/>
  <c r="D8" i="29"/>
  <c r="E39" i="29"/>
  <c r="H39" i="29" s="1"/>
  <c r="G8" i="28"/>
  <c r="G23" i="5"/>
  <c r="E68" i="28"/>
  <c r="C63" i="28"/>
  <c r="E63" i="28" s="1"/>
  <c r="H272" i="3"/>
  <c r="AX13" i="22" s="1"/>
  <c r="C88" i="2" s="1"/>
  <c r="AF16" i="18"/>
  <c r="F9" i="32" s="1"/>
  <c r="F38" i="30"/>
  <c r="I38" i="30" s="1"/>
  <c r="G11" i="28"/>
  <c r="H11" i="28" s="1"/>
  <c r="G26" i="5"/>
  <c r="E33" i="28"/>
  <c r="H33" i="28"/>
  <c r="F41" i="30"/>
  <c r="I41" i="30" s="1"/>
  <c r="G38" i="16"/>
  <c r="G27" i="16"/>
  <c r="H263" i="3"/>
  <c r="AX12" i="22" s="1"/>
  <c r="C87" i="2" s="1"/>
  <c r="BM65" i="20"/>
  <c r="S59" i="2"/>
  <c r="C108" i="2" s="1"/>
  <c r="G59" i="2"/>
  <c r="C112" i="2" s="1"/>
  <c r="F121" i="30"/>
  <c r="I121" i="30" s="1"/>
  <c r="D120" i="30"/>
  <c r="F120" i="30" s="1"/>
  <c r="I120" i="30" s="1"/>
  <c r="AX222" i="21"/>
  <c r="H226" i="3"/>
  <c r="AX10" i="22" s="1"/>
  <c r="C85" i="2" s="1"/>
  <c r="D69" i="27"/>
  <c r="G1072" i="3"/>
  <c r="BM26" i="20"/>
  <c r="C7" i="24"/>
  <c r="G392" i="3"/>
  <c r="G577" i="3"/>
  <c r="K16" i="12"/>
  <c r="AN41" i="12" s="1"/>
  <c r="AO41" i="12" s="1"/>
  <c r="AQ12" i="12" s="1"/>
  <c r="AR12" i="12" s="1"/>
  <c r="A12" i="12" s="1"/>
  <c r="K15" i="12"/>
  <c r="AN40" i="12" s="1"/>
  <c r="AO40" i="12" s="1"/>
  <c r="K27" i="12"/>
  <c r="AN52" i="12" s="1"/>
  <c r="AO52" i="12" s="1"/>
  <c r="H33" i="27"/>
  <c r="K25" i="12"/>
  <c r="AN50" i="12" s="1"/>
  <c r="AO50" i="12" s="1"/>
  <c r="E30" i="29"/>
  <c r="H30" i="29" s="1"/>
  <c r="F41" i="32"/>
  <c r="E45" i="28"/>
  <c r="E42" i="28" s="1"/>
  <c r="E61" i="28" s="1"/>
  <c r="C42" i="28"/>
  <c r="C61" i="28" s="1"/>
  <c r="G28" i="31"/>
  <c r="H28" i="31" s="1"/>
  <c r="C173" i="2"/>
  <c r="AF16" i="20"/>
  <c r="AF45" i="20" s="1"/>
  <c r="AF57" i="20" s="1"/>
  <c r="G23" i="31"/>
  <c r="H23" i="31" s="1"/>
  <c r="C168" i="2"/>
  <c r="E38" i="29"/>
  <c r="H38" i="29" s="1"/>
  <c r="G26" i="27"/>
  <c r="H26" i="27" s="1"/>
  <c r="H27" i="27"/>
  <c r="G678" i="3"/>
  <c r="C11" i="33"/>
  <c r="E11" i="33" s="1"/>
  <c r="H11" i="33" s="1"/>
  <c r="E41" i="29"/>
  <c r="H41" i="29" s="1"/>
  <c r="E391" i="3"/>
  <c r="E390" i="3" s="1"/>
  <c r="E21" i="31"/>
  <c r="D13" i="31"/>
  <c r="D14" i="28"/>
  <c r="D34" i="5"/>
  <c r="AX21" i="22"/>
  <c r="AX18" i="22" s="1"/>
  <c r="H356" i="3"/>
  <c r="E77" i="29"/>
  <c r="H77" i="29" s="1"/>
  <c r="AX35" i="21"/>
  <c r="AX187" i="21"/>
  <c r="AX186" i="21" s="1"/>
  <c r="AX30" i="22"/>
  <c r="C96" i="2" s="1"/>
  <c r="F42" i="14"/>
  <c r="I43" i="14"/>
  <c r="I42" i="14" s="1"/>
  <c r="K8" i="12"/>
  <c r="AN33" i="12" s="1"/>
  <c r="AO33" i="12" s="1"/>
  <c r="AQ35" i="12" s="1"/>
  <c r="AR35" i="12" s="1"/>
  <c r="A35" i="12" s="1"/>
  <c r="F8" i="32"/>
  <c r="F47" i="30"/>
  <c r="I47" i="30" s="1"/>
  <c r="D46" i="30"/>
  <c r="E8" i="34"/>
  <c r="H8" i="34" s="1"/>
  <c r="C40" i="34"/>
  <c r="G6" i="23"/>
  <c r="C19" i="23"/>
  <c r="C77" i="2"/>
  <c r="K12" i="12"/>
  <c r="AN37" i="12" s="1"/>
  <c r="AO37" i="12" s="1"/>
  <c r="AQ37" i="12" s="1"/>
  <c r="AR37" i="12" s="1"/>
  <c r="A37" i="12" s="1"/>
  <c r="C100" i="2"/>
  <c r="H15" i="28"/>
  <c r="G14" i="28"/>
  <c r="G34" i="5"/>
  <c r="H36" i="30"/>
  <c r="D12" i="31"/>
  <c r="D13" i="28"/>
  <c r="D28" i="5"/>
  <c r="D12" i="5" s="1"/>
  <c r="F40" i="32"/>
  <c r="AG46" i="18"/>
  <c r="AG106" i="18" s="1"/>
  <c r="M50" i="2" s="1"/>
  <c r="I23" i="15"/>
  <c r="I20" i="15" s="1"/>
  <c r="F20" i="15"/>
  <c r="F54" i="30"/>
  <c r="I54" i="30" s="1"/>
  <c r="K23" i="12"/>
  <c r="AN48" i="12" s="1"/>
  <c r="AO48" i="12" s="1"/>
  <c r="K18" i="12"/>
  <c r="AN43" i="12" s="1"/>
  <c r="AO43" i="12" s="1"/>
  <c r="F75" i="30"/>
  <c r="I75" i="30" s="1"/>
  <c r="F13" i="30"/>
  <c r="I13" i="30" s="1"/>
  <c r="C146" i="2"/>
  <c r="E10" i="32"/>
  <c r="C56" i="29"/>
  <c r="E56" i="29" s="1"/>
  <c r="H56" i="29" s="1"/>
  <c r="E57" i="29"/>
  <c r="H57" i="29" s="1"/>
  <c r="G42" i="27"/>
  <c r="H42" i="27" s="1"/>
  <c r="H43" i="27"/>
  <c r="H309" i="3"/>
  <c r="G36" i="29"/>
  <c r="F69" i="30"/>
  <c r="I69" i="30" s="1"/>
  <c r="D68" i="30"/>
  <c r="AF49" i="20"/>
  <c r="E56" i="27"/>
  <c r="BM8" i="18"/>
  <c r="E33" i="29"/>
  <c r="H33" i="29" s="1"/>
  <c r="C34" i="28"/>
  <c r="E35" i="28"/>
  <c r="E34" i="28" s="1"/>
  <c r="BM18" i="20"/>
  <c r="F15" i="30"/>
  <c r="I15" i="30" s="1"/>
  <c r="H199" i="3"/>
  <c r="F32" i="30"/>
  <c r="I32" i="30" s="1"/>
  <c r="F198" i="3"/>
  <c r="H56" i="27"/>
  <c r="F35" i="30"/>
  <c r="I35" i="30" s="1"/>
  <c r="G63" i="28"/>
  <c r="H63" i="28" s="1"/>
  <c r="H68" i="28"/>
  <c r="E71" i="29"/>
  <c r="H71" i="29" s="1"/>
  <c r="E15" i="26"/>
  <c r="H15" i="26" s="1"/>
  <c r="I15" i="26" s="1"/>
  <c r="H16" i="26"/>
  <c r="I16" i="26" s="1"/>
  <c r="G62" i="2"/>
  <c r="C115" i="2" s="1"/>
  <c r="S62" i="2"/>
  <c r="C30" i="31"/>
  <c r="F13" i="5"/>
  <c r="C89" i="2" s="1"/>
  <c r="F31" i="5"/>
  <c r="F77" i="30"/>
  <c r="I77" i="30" s="1"/>
  <c r="F23" i="32"/>
  <c r="C36" i="28"/>
  <c r="BM22" i="18"/>
  <c r="E29" i="32" s="1"/>
  <c r="A57" i="2"/>
  <c r="F43" i="30"/>
  <c r="I43" i="30" s="1"/>
  <c r="F100" i="30"/>
  <c r="I100" i="30" s="1"/>
  <c r="AX149" i="21"/>
  <c r="E8" i="30"/>
  <c r="E35" i="34"/>
  <c r="H35" i="34" s="1"/>
  <c r="E20" i="32"/>
  <c r="F34" i="32"/>
  <c r="F32" i="32"/>
  <c r="F50" i="32"/>
  <c r="E48" i="29"/>
  <c r="H48" i="29" s="1"/>
  <c r="K29" i="12"/>
  <c r="AN54" i="12" s="1"/>
  <c r="AO54" i="12" s="1"/>
  <c r="K24" i="12"/>
  <c r="AN49" i="12" s="1"/>
  <c r="AO49" i="12" s="1"/>
  <c r="AQ15" i="12" s="1"/>
  <c r="AR15" i="12" s="1"/>
  <c r="A15" i="12" s="1"/>
  <c r="E75" i="29"/>
  <c r="H75" i="29" s="1"/>
  <c r="E13" i="29"/>
  <c r="H13" i="29" s="1"/>
  <c r="F22" i="32"/>
  <c r="E19" i="32"/>
  <c r="AG105" i="18"/>
  <c r="F52" i="30"/>
  <c r="I52" i="30" s="1"/>
  <c r="H56" i="30"/>
  <c r="F57" i="30"/>
  <c r="I57" i="30" s="1"/>
  <c r="D56" i="30"/>
  <c r="F56" i="30" s="1"/>
  <c r="I56" i="30" s="1"/>
  <c r="H8" i="26"/>
  <c r="I8" i="26" s="1"/>
  <c r="E7" i="26"/>
  <c r="H72" i="30"/>
  <c r="G31" i="16"/>
  <c r="E79" i="29"/>
  <c r="H79" i="29" s="1"/>
  <c r="E22" i="29"/>
  <c r="H22" i="29" s="1"/>
  <c r="C12" i="33"/>
  <c r="E12" i="33" s="1"/>
  <c r="H12" i="33" s="1"/>
  <c r="E69" i="29"/>
  <c r="H69" i="29" s="1"/>
  <c r="C68" i="29"/>
  <c r="D10" i="33"/>
  <c r="D72" i="29"/>
  <c r="G4" i="3"/>
  <c r="F134" i="30"/>
  <c r="I134" i="30" s="1"/>
  <c r="BM8" i="20"/>
  <c r="D26" i="30"/>
  <c r="F27" i="30"/>
  <c r="I27" i="30" s="1"/>
  <c r="BM18" i="18"/>
  <c r="C101" i="2"/>
  <c r="E15" i="29"/>
  <c r="H15" i="29" s="1"/>
  <c r="AX7" i="21"/>
  <c r="E32" i="29"/>
  <c r="H32" i="29" s="1"/>
  <c r="BM37" i="20"/>
  <c r="H54" i="27"/>
  <c r="E35" i="29"/>
  <c r="H35" i="29" s="1"/>
  <c r="BM47" i="20"/>
  <c r="H143" i="3"/>
  <c r="E795" i="3"/>
  <c r="E794" i="3" s="1"/>
  <c r="G796" i="3"/>
  <c r="G795" i="3" s="1"/>
  <c r="F71" i="30"/>
  <c r="I71" i="30" s="1"/>
  <c r="E59" i="29"/>
  <c r="H59" i="29" s="1"/>
  <c r="F1078" i="3"/>
  <c r="H1078" i="3" s="1"/>
  <c r="H795" i="3" s="1"/>
  <c r="H794" i="3" s="1"/>
  <c r="E36" i="28"/>
  <c r="G8" i="29"/>
  <c r="E43" i="29"/>
  <c r="H43" i="29" s="1"/>
  <c r="H61" i="28"/>
  <c r="D19" i="23"/>
  <c r="E14" i="32"/>
  <c r="C94" i="2"/>
  <c r="F80" i="29"/>
  <c r="I9" i="14"/>
  <c r="I8" i="14" s="1"/>
  <c r="F8" i="14"/>
  <c r="K26" i="12"/>
  <c r="AN51" i="12" s="1"/>
  <c r="AO51" i="12" s="1"/>
  <c r="F48" i="30"/>
  <c r="I48" i="30" s="1"/>
  <c r="K17" i="12"/>
  <c r="AN42" i="12" s="1"/>
  <c r="AO42" i="12" s="1"/>
  <c r="K30" i="12"/>
  <c r="AN55" i="12" s="1"/>
  <c r="AO55" i="12" s="1"/>
  <c r="F51" i="32"/>
  <c r="I142" i="30"/>
  <c r="E16" i="32"/>
  <c r="E44" i="32"/>
  <c r="E43" i="32" s="1"/>
  <c r="BM82" i="18"/>
  <c r="G56" i="29"/>
  <c r="E68" i="30"/>
  <c r="G72" i="29"/>
  <c r="C10" i="33"/>
  <c r="E10" i="33" s="1"/>
  <c r="H10" i="33" s="1"/>
  <c r="C72" i="29"/>
  <c r="E72" i="29" s="1"/>
  <c r="H72" i="29" s="1"/>
  <c r="E73" i="29"/>
  <c r="H73" i="29" s="1"/>
  <c r="F22" i="30"/>
  <c r="I22" i="30" s="1"/>
  <c r="D10" i="28"/>
  <c r="D9" i="31"/>
  <c r="D25" i="5"/>
  <c r="D9" i="5" s="1"/>
  <c r="E56" i="30"/>
  <c r="G69" i="27"/>
  <c r="H1260" i="3"/>
  <c r="G37" i="5" s="1"/>
  <c r="E72" i="30"/>
  <c r="E60" i="30"/>
  <c r="E50" i="29"/>
  <c r="H50" i="29" s="1"/>
  <c r="C12" i="31"/>
  <c r="E12" i="31" s="1"/>
  <c r="G12" i="31" s="1"/>
  <c r="H12" i="31" s="1"/>
  <c r="C13" i="28"/>
  <c r="C28" i="5"/>
  <c r="E27" i="29"/>
  <c r="H27" i="29" s="1"/>
  <c r="C26" i="29"/>
  <c r="E26" i="29" s="1"/>
  <c r="H26" i="29" s="1"/>
  <c r="D58" i="27"/>
  <c r="F9" i="30"/>
  <c r="I9" i="30" s="1"/>
  <c r="D8" i="30"/>
  <c r="F7" i="5"/>
  <c r="F22" i="5"/>
  <c r="BM40" i="18"/>
  <c r="E29" i="29"/>
  <c r="H29" i="29" s="1"/>
  <c r="G51" i="28"/>
  <c r="G61" i="28" s="1"/>
  <c r="G8" i="16" s="1"/>
  <c r="G46" i="16" s="1"/>
  <c r="G52" i="16" s="1"/>
  <c r="G53" i="16" s="1"/>
  <c r="H52" i="28"/>
  <c r="H51" i="28" s="1"/>
  <c r="D53" i="27"/>
  <c r="D52" i="27" s="1"/>
  <c r="G1030" i="3"/>
  <c r="AG56" i="20"/>
  <c r="S58" i="2"/>
  <c r="AX416" i="21"/>
  <c r="AX372" i="21" s="1"/>
  <c r="C11" i="31"/>
  <c r="E11" i="31" s="1"/>
  <c r="G11" i="31" s="1"/>
  <c r="H11" i="31" s="1"/>
  <c r="C12" i="28"/>
  <c r="F59" i="30"/>
  <c r="I59" i="30" s="1"/>
  <c r="G1811" i="3"/>
  <c r="C53" i="27"/>
  <c r="G842" i="3"/>
  <c r="G12" i="33"/>
  <c r="G68" i="29"/>
  <c r="H8" i="30"/>
  <c r="E24" i="31"/>
  <c r="C10" i="31"/>
  <c r="C11" i="28"/>
  <c r="E11" i="28" s="1"/>
  <c r="C26" i="5"/>
  <c r="F35" i="12" l="1"/>
  <c r="E35" i="12"/>
  <c r="C35" i="12"/>
  <c r="B35" i="12"/>
  <c r="D35" i="12" s="1"/>
  <c r="G35" i="12" s="1"/>
  <c r="E15" i="12"/>
  <c r="C15" i="12"/>
  <c r="B15" i="12"/>
  <c r="F15" i="12"/>
  <c r="E37" i="12"/>
  <c r="C37" i="12"/>
  <c r="B37" i="12"/>
  <c r="D37" i="12" s="1"/>
  <c r="F37" i="12"/>
  <c r="E12" i="12"/>
  <c r="C12" i="12"/>
  <c r="B12" i="12"/>
  <c r="D12" i="12" s="1"/>
  <c r="G12" i="12" s="1"/>
  <c r="F12" i="12"/>
  <c r="E26" i="5"/>
  <c r="C10" i="5"/>
  <c r="E10" i="5" s="1"/>
  <c r="F72" i="30"/>
  <c r="I72" i="30" s="1"/>
  <c r="C750" i="3"/>
  <c r="C754" i="3" s="1"/>
  <c r="D179" i="3"/>
  <c r="AQ36" i="12"/>
  <c r="AR36" i="12" s="1"/>
  <c r="A36" i="12" s="1"/>
  <c r="AQ42" i="12"/>
  <c r="AR42" i="12" s="1"/>
  <c r="A42" i="12" s="1"/>
  <c r="AQ51" i="12"/>
  <c r="AR51" i="12" s="1"/>
  <c r="A51" i="12" s="1"/>
  <c r="C116" i="2"/>
  <c r="AQ16" i="12"/>
  <c r="AR16" i="12" s="1"/>
  <c r="A16" i="12" s="1"/>
  <c r="AX27" i="22"/>
  <c r="G391" i="3"/>
  <c r="G58" i="2"/>
  <c r="C111" i="2" s="1"/>
  <c r="E27" i="32"/>
  <c r="BM48" i="18"/>
  <c r="F27" i="32"/>
  <c r="AQ44" i="12"/>
  <c r="AR44" i="12" s="1"/>
  <c r="A44" i="12" s="1"/>
  <c r="AQ41" i="12"/>
  <c r="AR41" i="12" s="1"/>
  <c r="A41" i="12" s="1"/>
  <c r="AQ30" i="12"/>
  <c r="AR30" i="12" s="1"/>
  <c r="A30" i="12" s="1"/>
  <c r="AQ33" i="12"/>
  <c r="AR33" i="12" s="1"/>
  <c r="A33" i="12" s="1"/>
  <c r="G25" i="31"/>
  <c r="H25" i="31" s="1"/>
  <c r="C170" i="2"/>
  <c r="F60" i="30"/>
  <c r="I60" i="30" s="1"/>
  <c r="E8" i="28"/>
  <c r="C39" i="28"/>
  <c r="G80" i="29"/>
  <c r="G8" i="33"/>
  <c r="G13" i="33" s="1"/>
  <c r="C8" i="33"/>
  <c r="E8" i="29"/>
  <c r="C80" i="29"/>
  <c r="C121" i="2" s="1"/>
  <c r="AX539" i="21"/>
  <c r="A54" i="2" s="1"/>
  <c r="H10" i="28"/>
  <c r="C6" i="25"/>
  <c r="C37" i="25" s="1"/>
  <c r="C123" i="2"/>
  <c r="E68" i="29"/>
  <c r="H68" i="29" s="1"/>
  <c r="E40" i="34"/>
  <c r="C136" i="2"/>
  <c r="AQ14" i="12"/>
  <c r="AR14" i="12" s="1"/>
  <c r="A14" i="12" s="1"/>
  <c r="AQ43" i="12"/>
  <c r="AR43" i="12" s="1"/>
  <c r="A43" i="12" s="1"/>
  <c r="AQ39" i="12"/>
  <c r="AR39" i="12" s="1"/>
  <c r="A39" i="12" s="1"/>
  <c r="AQ56" i="12"/>
  <c r="AR56" i="12" s="1"/>
  <c r="A56" i="12" s="1"/>
  <c r="E9" i="32"/>
  <c r="E7" i="32" s="1"/>
  <c r="E6" i="32" s="1"/>
  <c r="E7" i="31"/>
  <c r="C17" i="31"/>
  <c r="F36" i="5"/>
  <c r="F16" i="5"/>
  <c r="C16" i="24" s="1"/>
  <c r="C14" i="24" s="1"/>
  <c r="E8" i="16"/>
  <c r="E46" i="16" s="1"/>
  <c r="E52" i="16" s="1"/>
  <c r="E53" i="16" s="1"/>
  <c r="G3" i="3"/>
  <c r="AQ47" i="12"/>
  <c r="AR47" i="12" s="1"/>
  <c r="A47" i="12" s="1"/>
  <c r="AQ53" i="12"/>
  <c r="AR53" i="12" s="1"/>
  <c r="A53" i="12" s="1"/>
  <c r="G52" i="27"/>
  <c r="H53" i="27"/>
  <c r="F17" i="5"/>
  <c r="F15" i="32"/>
  <c r="E36" i="29"/>
  <c r="H36" i="29" s="1"/>
  <c r="E16" i="31"/>
  <c r="G16" i="31" s="1"/>
  <c r="H16" i="31" s="1"/>
  <c r="E33" i="27"/>
  <c r="G26" i="31"/>
  <c r="H26" i="31" s="1"/>
  <c r="C171" i="2"/>
  <c r="H7" i="26"/>
  <c r="I7" i="26" s="1"/>
  <c r="E6" i="26"/>
  <c r="AQ20" i="12"/>
  <c r="AR20" i="12" s="1"/>
  <c r="A20" i="12" s="1"/>
  <c r="E11" i="16"/>
  <c r="E39" i="16"/>
  <c r="E30" i="16"/>
  <c r="AQ24" i="12"/>
  <c r="AR24" i="12" s="1"/>
  <c r="A24" i="12" s="1"/>
  <c r="AQ18" i="12"/>
  <c r="AR18" i="12" s="1"/>
  <c r="A18" i="12" s="1"/>
  <c r="F38" i="5"/>
  <c r="G36" i="5"/>
  <c r="H37" i="5"/>
  <c r="G16" i="5"/>
  <c r="H16" i="5" s="1"/>
  <c r="H69" i="27"/>
  <c r="G66" i="27"/>
  <c r="H66" i="27" s="1"/>
  <c r="AQ17" i="12"/>
  <c r="AR17" i="12" s="1"/>
  <c r="A17" i="12" s="1"/>
  <c r="AQ54" i="12"/>
  <c r="AR54" i="12" s="1"/>
  <c r="A54" i="12" s="1"/>
  <c r="AQ38" i="12"/>
  <c r="AR38" i="12" s="1"/>
  <c r="A38" i="12" s="1"/>
  <c r="E15" i="32"/>
  <c r="AQ9" i="12"/>
  <c r="AR9" i="12" s="1"/>
  <c r="A9" i="12" s="1"/>
  <c r="D16" i="31"/>
  <c r="D37" i="5"/>
  <c r="E28" i="32"/>
  <c r="F28" i="32"/>
  <c r="G13" i="5"/>
  <c r="H13" i="5" s="1"/>
  <c r="H34" i="5"/>
  <c r="G31" i="5"/>
  <c r="AQ57" i="12"/>
  <c r="AR57" i="12" s="1"/>
  <c r="A57" i="12" s="1"/>
  <c r="D66" i="27"/>
  <c r="D70" i="27" s="1"/>
  <c r="E69" i="27"/>
  <c r="E58" i="27"/>
  <c r="E38" i="32"/>
  <c r="F38" i="32"/>
  <c r="F35" i="32" s="1"/>
  <c r="E46" i="29"/>
  <c r="H46" i="29" s="1"/>
  <c r="C9" i="33"/>
  <c r="E9" i="33" s="1"/>
  <c r="H9" i="33" s="1"/>
  <c r="H34" i="28"/>
  <c r="BM79" i="18"/>
  <c r="M55" i="2"/>
  <c r="E12" i="28"/>
  <c r="H12" i="28"/>
  <c r="H26" i="5"/>
  <c r="I26" i="5" s="1"/>
  <c r="G10" i="5"/>
  <c r="AQ31" i="12"/>
  <c r="AR31" i="12" s="1"/>
  <c r="A31" i="12" s="1"/>
  <c r="E66" i="27"/>
  <c r="H7" i="30"/>
  <c r="D7" i="30"/>
  <c r="F8" i="30"/>
  <c r="I8" i="30" s="1"/>
  <c r="C97" i="2"/>
  <c r="AQ46" i="12"/>
  <c r="AR46" i="12" s="1"/>
  <c r="A46" i="12" s="1"/>
  <c r="G794" i="3"/>
  <c r="F46" i="30"/>
  <c r="I46" i="30" s="1"/>
  <c r="AQ27" i="12"/>
  <c r="AR27" i="12" s="1"/>
  <c r="A27" i="12" s="1"/>
  <c r="D31" i="5"/>
  <c r="D13" i="5"/>
  <c r="AQ8" i="12"/>
  <c r="AR8" i="12" s="1"/>
  <c r="A8" i="12" s="1"/>
  <c r="AQ19" i="12"/>
  <c r="AR19" i="12" s="1"/>
  <c r="A19" i="12" s="1"/>
  <c r="H14" i="28"/>
  <c r="AF46" i="18"/>
  <c r="AF106" i="18" s="1"/>
  <c r="A50" i="2" s="1"/>
  <c r="AQ13" i="12"/>
  <c r="AR13" i="12" s="1"/>
  <c r="A13" i="12" s="1"/>
  <c r="AQ34" i="12"/>
  <c r="AR34" i="12" s="1"/>
  <c r="A34" i="12" s="1"/>
  <c r="AQ48" i="12"/>
  <c r="AR48" i="12" s="1"/>
  <c r="A48" i="12" s="1"/>
  <c r="AQ55" i="12"/>
  <c r="AR55" i="12" s="1"/>
  <c r="A55" i="12" s="1"/>
  <c r="AQ52" i="12"/>
  <c r="AR52" i="12" s="1"/>
  <c r="A52" i="12" s="1"/>
  <c r="E2223" i="3"/>
  <c r="G9" i="33"/>
  <c r="E35" i="32"/>
  <c r="F52" i="16"/>
  <c r="F53" i="16" s="1"/>
  <c r="AQ26" i="12"/>
  <c r="AR26" i="12" s="1"/>
  <c r="A26" i="12" s="1"/>
  <c r="C33" i="23"/>
  <c r="AQ49" i="12"/>
  <c r="AR49" i="12" s="1"/>
  <c r="A49" i="12" s="1"/>
  <c r="E23" i="5"/>
  <c r="C22" i="5"/>
  <c r="C38" i="5" s="1"/>
  <c r="C7" i="5"/>
  <c r="G24" i="31"/>
  <c r="H24" i="31" s="1"/>
  <c r="C169" i="2"/>
  <c r="AQ50" i="12"/>
  <c r="AR50" i="12" s="1"/>
  <c r="A50" i="12" s="1"/>
  <c r="G7" i="5"/>
  <c r="G22" i="5"/>
  <c r="H23" i="5"/>
  <c r="C14" i="31"/>
  <c r="C29" i="5"/>
  <c r="E7" i="30"/>
  <c r="E155" i="30" s="1"/>
  <c r="F68" i="30"/>
  <c r="I68" i="30" s="1"/>
  <c r="AQ22" i="12"/>
  <c r="AR22" i="12" s="1"/>
  <c r="A22" i="12" s="1"/>
  <c r="AQ32" i="12"/>
  <c r="AR32" i="12" s="1"/>
  <c r="A32" i="12" s="1"/>
  <c r="G39" i="28"/>
  <c r="H8" i="28"/>
  <c r="G30" i="16"/>
  <c r="G39" i="16"/>
  <c r="G11" i="16"/>
  <c r="AX8" i="22"/>
  <c r="AX7" i="22" s="1"/>
  <c r="H198" i="3"/>
  <c r="F7" i="32"/>
  <c r="AQ28" i="12"/>
  <c r="AR28" i="12" s="1"/>
  <c r="A28" i="12" s="1"/>
  <c r="AQ40" i="12"/>
  <c r="AR40" i="12" s="1"/>
  <c r="A40" i="12" s="1"/>
  <c r="AQ25" i="12"/>
  <c r="AR25" i="12" s="1"/>
  <c r="A25" i="12" s="1"/>
  <c r="AQ10" i="12"/>
  <c r="AR10" i="12" s="1"/>
  <c r="A10" i="12" s="1"/>
  <c r="G12" i="5"/>
  <c r="H28" i="5"/>
  <c r="I28" i="5" s="1"/>
  <c r="E37" i="16"/>
  <c r="C109" i="2"/>
  <c r="E25" i="5"/>
  <c r="C9" i="5"/>
  <c r="E9" i="5" s="1"/>
  <c r="AQ11" i="12"/>
  <c r="AR11" i="12" s="1"/>
  <c r="A11" i="12" s="1"/>
  <c r="E33" i="32"/>
  <c r="F33" i="32"/>
  <c r="H29" i="5"/>
  <c r="I29" i="5" s="1"/>
  <c r="G14" i="5"/>
  <c r="C31" i="5"/>
  <c r="C13" i="5"/>
  <c r="E34" i="5"/>
  <c r="E31" i="5" s="1"/>
  <c r="E10" i="31"/>
  <c r="G10" i="31" s="1"/>
  <c r="H10" i="31" s="1"/>
  <c r="AX43" i="22"/>
  <c r="AX40" i="22" s="1"/>
  <c r="G660" i="3"/>
  <c r="AQ21" i="12"/>
  <c r="AR21" i="12" s="1"/>
  <c r="A21" i="12" s="1"/>
  <c r="H9" i="28"/>
  <c r="AX184" i="21"/>
  <c r="G70" i="27"/>
  <c r="E37" i="5"/>
  <c r="E36" i="5" s="1"/>
  <c r="C16" i="5"/>
  <c r="C36" i="5"/>
  <c r="G33" i="16"/>
  <c r="G9" i="16" s="1"/>
  <c r="D14" i="31"/>
  <c r="D17" i="31" s="1"/>
  <c r="D29" i="5"/>
  <c r="D14" i="5" s="1"/>
  <c r="F197" i="3"/>
  <c r="E752" i="3" s="1"/>
  <c r="G37" i="16"/>
  <c r="E53" i="27"/>
  <c r="C52" i="27"/>
  <c r="E52" i="27" s="1"/>
  <c r="E28" i="5"/>
  <c r="C12" i="5"/>
  <c r="E12" i="5" s="1"/>
  <c r="F26" i="30"/>
  <c r="I26" i="30" s="1"/>
  <c r="E13" i="28"/>
  <c r="BM53" i="20"/>
  <c r="BM45" i="20"/>
  <c r="AX16" i="22"/>
  <c r="H308" i="3"/>
  <c r="G21" i="31"/>
  <c r="H21" i="31" s="1"/>
  <c r="E30" i="31"/>
  <c r="G30" i="31" s="1"/>
  <c r="H30" i="31" s="1"/>
  <c r="C166" i="2"/>
  <c r="AQ23" i="12"/>
  <c r="AR23" i="12" s="1"/>
  <c r="A23" i="12" s="1"/>
  <c r="AQ45" i="12"/>
  <c r="AR45" i="12" s="1"/>
  <c r="A45" i="12" s="1"/>
  <c r="AQ29" i="12"/>
  <c r="AR29" i="12" s="1"/>
  <c r="A29" i="12" s="1"/>
  <c r="D8" i="33"/>
  <c r="D13" i="33" s="1"/>
  <c r="D80" i="29"/>
  <c r="C122" i="2" s="1"/>
  <c r="E31" i="32"/>
  <c r="F31" i="32"/>
  <c r="H13" i="28"/>
  <c r="E33" i="16"/>
  <c r="E9" i="16" s="1"/>
  <c r="H58" i="27"/>
  <c r="G57" i="2"/>
  <c r="C110" i="2" s="1"/>
  <c r="H2223" i="3"/>
  <c r="C72" i="2" s="1"/>
  <c r="D81" i="30"/>
  <c r="F64" i="28"/>
  <c r="F7" i="16"/>
  <c r="C130" i="2"/>
  <c r="F795" i="3"/>
  <c r="C29" i="25"/>
  <c r="B22" i="12" l="1"/>
  <c r="D22" i="12" s="1"/>
  <c r="G22" i="12" s="1"/>
  <c r="F22" i="12"/>
  <c r="E22" i="12"/>
  <c r="C22" i="12"/>
  <c r="AX15" i="22"/>
  <c r="C90" i="2"/>
  <c r="F55" i="12"/>
  <c r="C55" i="12"/>
  <c r="B55" i="12"/>
  <c r="D55" i="12" s="1"/>
  <c r="E55" i="12"/>
  <c r="E9" i="12"/>
  <c r="C9" i="12"/>
  <c r="B9" i="12"/>
  <c r="F9" i="12"/>
  <c r="C18" i="12"/>
  <c r="E18" i="12"/>
  <c r="B18" i="12"/>
  <c r="D18" i="12" s="1"/>
  <c r="F18" i="12"/>
  <c r="G37" i="12"/>
  <c r="B25" i="12"/>
  <c r="F25" i="12"/>
  <c r="E25" i="12"/>
  <c r="C25" i="12"/>
  <c r="B40" i="12"/>
  <c r="D40" i="12" s="1"/>
  <c r="G40" i="12" s="1"/>
  <c r="E40" i="12"/>
  <c r="C40" i="12"/>
  <c r="F40" i="12"/>
  <c r="F794" i="3"/>
  <c r="F2223" i="3"/>
  <c r="H197" i="3"/>
  <c r="C14" i="5"/>
  <c r="E14" i="5" s="1"/>
  <c r="E29" i="5"/>
  <c r="E22" i="5" s="1"/>
  <c r="E38" i="5" s="1"/>
  <c r="BM54" i="20"/>
  <c r="AX24" i="22"/>
  <c r="AX58" i="22" s="1"/>
  <c r="E14" i="31"/>
  <c r="G14" i="31" s="1"/>
  <c r="H14" i="31" s="1"/>
  <c r="B48" i="12"/>
  <c r="F48" i="12"/>
  <c r="E48" i="12"/>
  <c r="C48" i="12"/>
  <c r="H10" i="5"/>
  <c r="G390" i="3"/>
  <c r="G754" i="3" s="1"/>
  <c r="F753" i="3"/>
  <c r="F23" i="12"/>
  <c r="E23" i="12"/>
  <c r="C23" i="12"/>
  <c r="B23" i="12"/>
  <c r="D23" i="12" s="1"/>
  <c r="G23" i="12" s="1"/>
  <c r="F34" i="12"/>
  <c r="C34" i="12"/>
  <c r="E34" i="12"/>
  <c r="B34" i="12"/>
  <c r="D34" i="12" s="1"/>
  <c r="G34" i="12" s="1"/>
  <c r="B38" i="12"/>
  <c r="F38" i="12"/>
  <c r="E38" i="12"/>
  <c r="C38" i="12"/>
  <c r="F24" i="12"/>
  <c r="E24" i="12"/>
  <c r="C24" i="12"/>
  <c r="B24" i="12"/>
  <c r="D24" i="12" s="1"/>
  <c r="G24" i="12" s="1"/>
  <c r="C92" i="2"/>
  <c r="AX26" i="22"/>
  <c r="AX57" i="22" s="1"/>
  <c r="C93" i="2"/>
  <c r="E13" i="5"/>
  <c r="C70" i="27"/>
  <c r="E70" i="27" s="1"/>
  <c r="G38" i="5"/>
  <c r="B13" i="12"/>
  <c r="F13" i="12"/>
  <c r="E13" i="12"/>
  <c r="C13" i="12"/>
  <c r="F46" i="12"/>
  <c r="E46" i="12"/>
  <c r="C46" i="12"/>
  <c r="B46" i="12"/>
  <c r="C54" i="12"/>
  <c r="F54" i="12"/>
  <c r="E54" i="12"/>
  <c r="B54" i="12"/>
  <c r="D54" i="12" s="1"/>
  <c r="G54" i="12" s="1"/>
  <c r="C83" i="2"/>
  <c r="G7" i="31"/>
  <c r="H7" i="31" s="1"/>
  <c r="B16" i="12"/>
  <c r="D16" i="12" s="1"/>
  <c r="F16" i="12"/>
  <c r="E16" i="12"/>
  <c r="C16" i="12"/>
  <c r="G10" i="16"/>
  <c r="C165" i="2" s="1"/>
  <c r="G40" i="16"/>
  <c r="H22" i="5"/>
  <c r="I23" i="5"/>
  <c r="H7" i="5"/>
  <c r="G17" i="5"/>
  <c r="F26" i="12"/>
  <c r="E26" i="12"/>
  <c r="C26" i="12"/>
  <c r="B26" i="12"/>
  <c r="D26" i="12" s="1"/>
  <c r="G26" i="12" s="1"/>
  <c r="C57" i="12"/>
  <c r="F57" i="12"/>
  <c r="E57" i="12"/>
  <c r="B57" i="12"/>
  <c r="D57" i="12" s="1"/>
  <c r="F17" i="12"/>
  <c r="E17" i="12"/>
  <c r="C17" i="12"/>
  <c r="B17" i="12"/>
  <c r="D17" i="12" s="1"/>
  <c r="G17" i="12" s="1"/>
  <c r="C126" i="2"/>
  <c r="C6" i="24"/>
  <c r="C18" i="24" s="1"/>
  <c r="C82" i="2" s="1"/>
  <c r="C120" i="2"/>
  <c r="C161" i="2"/>
  <c r="E33" i="12"/>
  <c r="F33" i="12"/>
  <c r="C33" i="12"/>
  <c r="B33" i="12"/>
  <c r="D33" i="12" s="1"/>
  <c r="G33" i="12" s="1"/>
  <c r="H9" i="5"/>
  <c r="D15" i="12"/>
  <c r="G15" i="12" s="1"/>
  <c r="F36" i="16"/>
  <c r="F42" i="16" s="1"/>
  <c r="F43" i="16" s="1"/>
  <c r="F6" i="16"/>
  <c r="F16" i="16" s="1"/>
  <c r="F17" i="16" s="1"/>
  <c r="F18" i="16" s="1"/>
  <c r="F24" i="16" s="1"/>
  <c r="F81" i="30"/>
  <c r="C144" i="2"/>
  <c r="C156" i="2"/>
  <c r="H40" i="28"/>
  <c r="F50" i="12"/>
  <c r="E50" i="12"/>
  <c r="C50" i="12"/>
  <c r="B50" i="12"/>
  <c r="D50" i="12" s="1"/>
  <c r="G50" i="12" s="1"/>
  <c r="E10" i="16"/>
  <c r="C163" i="2" s="1"/>
  <c r="E40" i="16"/>
  <c r="B56" i="12"/>
  <c r="E56" i="12"/>
  <c r="C56" i="12"/>
  <c r="F56" i="12"/>
  <c r="E30" i="12"/>
  <c r="F30" i="12"/>
  <c r="C30" i="12"/>
  <c r="B30" i="12"/>
  <c r="D30" i="12" s="1"/>
  <c r="G30" i="12" s="1"/>
  <c r="B51" i="12"/>
  <c r="E51" i="12"/>
  <c r="C51" i="12"/>
  <c r="F51" i="12"/>
  <c r="F29" i="12"/>
  <c r="E29" i="12"/>
  <c r="C29" i="12"/>
  <c r="B29" i="12"/>
  <c r="E45" i="12"/>
  <c r="F45" i="12"/>
  <c r="C45" i="12"/>
  <c r="B45" i="12"/>
  <c r="D45" i="12" s="1"/>
  <c r="G45" i="12" s="1"/>
  <c r="H12" i="5"/>
  <c r="H39" i="28"/>
  <c r="H64" i="28" s="1"/>
  <c r="G7" i="16"/>
  <c r="G64" i="28"/>
  <c r="I34" i="5"/>
  <c r="H31" i="5"/>
  <c r="I31" i="5" s="1"/>
  <c r="F20" i="12"/>
  <c r="E20" i="12"/>
  <c r="C20" i="12"/>
  <c r="B20" i="12"/>
  <c r="D20" i="12" s="1"/>
  <c r="H52" i="27"/>
  <c r="E39" i="12"/>
  <c r="F39" i="12"/>
  <c r="C39" i="12"/>
  <c r="B39" i="12"/>
  <c r="D39" i="12" s="1"/>
  <c r="G39" i="12" s="1"/>
  <c r="E80" i="29"/>
  <c r="H8" i="29"/>
  <c r="H80" i="29" s="1"/>
  <c r="F41" i="12"/>
  <c r="E41" i="12"/>
  <c r="C41" i="12"/>
  <c r="B41" i="12"/>
  <c r="B10" i="12"/>
  <c r="E10" i="12"/>
  <c r="C10" i="12"/>
  <c r="F10" i="12"/>
  <c r="F32" i="12"/>
  <c r="E32" i="12"/>
  <c r="B32" i="12"/>
  <c r="C32" i="12"/>
  <c r="B19" i="12"/>
  <c r="D19" i="12" s="1"/>
  <c r="E19" i="12"/>
  <c r="F19" i="12"/>
  <c r="C19" i="12"/>
  <c r="D155" i="30"/>
  <c r="C132" i="2" s="1"/>
  <c r="F7" i="30"/>
  <c r="C152" i="2"/>
  <c r="C140" i="2"/>
  <c r="H6" i="26"/>
  <c r="C104" i="2"/>
  <c r="B53" i="12"/>
  <c r="C53" i="12"/>
  <c r="F53" i="12"/>
  <c r="E53" i="12"/>
  <c r="C43" i="12"/>
  <c r="E43" i="12"/>
  <c r="F43" i="12"/>
  <c r="B43" i="12"/>
  <c r="E8" i="33"/>
  <c r="H8" i="33" s="1"/>
  <c r="H13" i="33" s="1"/>
  <c r="C13" i="33"/>
  <c r="E13" i="33" s="1"/>
  <c r="C44" i="12"/>
  <c r="B44" i="12"/>
  <c r="D44" i="12" s="1"/>
  <c r="F44" i="12"/>
  <c r="E44" i="12"/>
  <c r="F14" i="12"/>
  <c r="C14" i="12"/>
  <c r="B14" i="12"/>
  <c r="E14" i="12"/>
  <c r="F26" i="32"/>
  <c r="F25" i="32" s="1"/>
  <c r="D22" i="5"/>
  <c r="F8" i="12"/>
  <c r="E8" i="12"/>
  <c r="C8" i="12"/>
  <c r="B8" i="12"/>
  <c r="E11" i="12"/>
  <c r="C11" i="12"/>
  <c r="B11" i="12"/>
  <c r="D11" i="12" s="1"/>
  <c r="G11" i="12" s="1"/>
  <c r="F11" i="12"/>
  <c r="H36" i="5"/>
  <c r="I37" i="5"/>
  <c r="BM80" i="18"/>
  <c r="B42" i="12"/>
  <c r="C42" i="12"/>
  <c r="E42" i="12"/>
  <c r="F42" i="12"/>
  <c r="AX540" i="21"/>
  <c r="A53" i="2"/>
  <c r="C117" i="2"/>
  <c r="C47" i="12"/>
  <c r="B47" i="12"/>
  <c r="E47" i="12"/>
  <c r="F47" i="12"/>
  <c r="F179" i="3"/>
  <c r="E750" i="3"/>
  <c r="G752" i="3"/>
  <c r="G750" i="3" s="1"/>
  <c r="E21" i="12"/>
  <c r="C21" i="12"/>
  <c r="B21" i="12"/>
  <c r="D21" i="12" s="1"/>
  <c r="G21" i="12" s="1"/>
  <c r="F21" i="12"/>
  <c r="B28" i="12"/>
  <c r="D28" i="12" s="1"/>
  <c r="G28" i="12" s="1"/>
  <c r="C28" i="12"/>
  <c r="F28" i="12"/>
  <c r="E28" i="12"/>
  <c r="C71" i="2"/>
  <c r="F31" i="12"/>
  <c r="B31" i="12"/>
  <c r="E31" i="12"/>
  <c r="C31" i="12"/>
  <c r="D16" i="5"/>
  <c r="D17" i="5" s="1"/>
  <c r="D36" i="5"/>
  <c r="C129" i="2"/>
  <c r="H40" i="34"/>
  <c r="A28" i="2"/>
  <c r="C137" i="2"/>
  <c r="E7" i="16"/>
  <c r="C64" i="28"/>
  <c r="C128" i="2"/>
  <c r="E26" i="32"/>
  <c r="E25" i="32" s="1"/>
  <c r="C36" i="12"/>
  <c r="B36" i="12"/>
  <c r="D36" i="12" s="1"/>
  <c r="E36" i="12"/>
  <c r="F36" i="12"/>
  <c r="E7" i="5"/>
  <c r="H155" i="30"/>
  <c r="C135" i="2" s="1"/>
  <c r="C155" i="2"/>
  <c r="C143" i="2"/>
  <c r="F6" i="32"/>
  <c r="B49" i="12"/>
  <c r="F49" i="12"/>
  <c r="E49" i="12"/>
  <c r="C49" i="12"/>
  <c r="E52" i="12"/>
  <c r="F52" i="12"/>
  <c r="C52" i="12"/>
  <c r="B52" i="12"/>
  <c r="E27" i="12"/>
  <c r="C27" i="12"/>
  <c r="B27" i="12"/>
  <c r="D27" i="12" s="1"/>
  <c r="G27" i="12" s="1"/>
  <c r="F27" i="12"/>
  <c r="E39" i="28"/>
  <c r="E64" i="28" s="1"/>
  <c r="E26" i="23"/>
  <c r="BN87" i="18"/>
  <c r="BN61" i="20"/>
  <c r="BN60" i="20" s="1"/>
  <c r="BN69" i="20" s="1"/>
  <c r="BN70" i="20" s="1"/>
  <c r="E11" i="23"/>
  <c r="D178" i="3"/>
  <c r="D173" i="3" s="1"/>
  <c r="D754" i="3" s="1"/>
  <c r="C64" i="2" s="1"/>
  <c r="H180" i="3"/>
  <c r="G19" i="12" l="1"/>
  <c r="I81" i="30"/>
  <c r="C157" i="2"/>
  <c r="C145" i="2"/>
  <c r="D25" i="12"/>
  <c r="G25" i="12" s="1"/>
  <c r="G55" i="12"/>
  <c r="E10" i="23"/>
  <c r="G11" i="23"/>
  <c r="A55" i="2"/>
  <c r="G44" i="12"/>
  <c r="C127" i="2"/>
  <c r="C162" i="2"/>
  <c r="F750" i="3"/>
  <c r="E179" i="3"/>
  <c r="E178" i="3" s="1"/>
  <c r="E173" i="3" s="1"/>
  <c r="E754" i="3" s="1"/>
  <c r="C65" i="2" s="1"/>
  <c r="H753" i="3"/>
  <c r="H750" i="3" s="1"/>
  <c r="D31" i="12"/>
  <c r="G31" i="12" s="1"/>
  <c r="C58" i="12"/>
  <c r="C149" i="2" s="1"/>
  <c r="I6" i="26"/>
  <c r="C106" i="2" s="1"/>
  <c r="C105" i="2"/>
  <c r="D13" i="12"/>
  <c r="G13" i="12" s="1"/>
  <c r="E17" i="31"/>
  <c r="G17" i="31" s="1"/>
  <c r="H17" i="31" s="1"/>
  <c r="G6" i="16"/>
  <c r="G16" i="16" s="1"/>
  <c r="G17" i="16" s="1"/>
  <c r="G18" i="16" s="1"/>
  <c r="G24" i="16" s="1"/>
  <c r="G36" i="16"/>
  <c r="G42" i="16" s="1"/>
  <c r="G43" i="16" s="1"/>
  <c r="F178" i="3"/>
  <c r="F173" i="3" s="1"/>
  <c r="F754" i="3" s="1"/>
  <c r="G57" i="12"/>
  <c r="D38" i="12"/>
  <c r="G38" i="12" s="1"/>
  <c r="G18" i="12"/>
  <c r="G36" i="12"/>
  <c r="D53" i="12"/>
  <c r="G53" i="12" s="1"/>
  <c r="B58" i="12"/>
  <c r="C148" i="2" s="1"/>
  <c r="D8" i="12"/>
  <c r="D49" i="12"/>
  <c r="G49" i="12" s="1"/>
  <c r="D51" i="12"/>
  <c r="G51" i="12" s="1"/>
  <c r="E6" i="16"/>
  <c r="E16" i="16" s="1"/>
  <c r="E17" i="16" s="1"/>
  <c r="E18" i="16" s="1"/>
  <c r="E24" i="16" s="1"/>
  <c r="E36" i="16"/>
  <c r="E42" i="16" s="1"/>
  <c r="E43" i="16" s="1"/>
  <c r="A51" i="2"/>
  <c r="H38" i="5"/>
  <c r="I22" i="5"/>
  <c r="D56" i="12"/>
  <c r="G56" i="12" s="1"/>
  <c r="BN86" i="18"/>
  <c r="BN105" i="18" s="1"/>
  <c r="C75" i="2"/>
  <c r="D32" i="12"/>
  <c r="G32" i="12" s="1"/>
  <c r="E58" i="12"/>
  <c r="C150" i="2" s="1"/>
  <c r="D42" i="12"/>
  <c r="G42" i="12" s="1"/>
  <c r="D43" i="12"/>
  <c r="G43" i="12" s="1"/>
  <c r="F155" i="30"/>
  <c r="I7" i="30"/>
  <c r="C153" i="2"/>
  <c r="C141" i="2"/>
  <c r="AM37" i="2" s="1"/>
  <c r="A37" i="2" s="1"/>
  <c r="G20" i="12"/>
  <c r="G16" i="12"/>
  <c r="AM42" i="2"/>
  <c r="A42" i="2" s="1"/>
  <c r="AM26" i="2"/>
  <c r="A26" i="2" s="1"/>
  <c r="AM25" i="2"/>
  <c r="A25" i="2" s="1"/>
  <c r="AM24" i="2"/>
  <c r="AM47" i="2"/>
  <c r="A47" i="2" s="1"/>
  <c r="E16" i="5"/>
  <c r="E17" i="5" s="1"/>
  <c r="F58" i="12"/>
  <c r="C151" i="2" s="1"/>
  <c r="D38" i="5"/>
  <c r="D10" i="12"/>
  <c r="G10" i="12" s="1"/>
  <c r="D26" i="23"/>
  <c r="BM62" i="20"/>
  <c r="BM88" i="18"/>
  <c r="D52" i="12"/>
  <c r="G52" i="12" s="1"/>
  <c r="C17" i="5"/>
  <c r="D41" i="12"/>
  <c r="G41" i="12" s="1"/>
  <c r="H14" i="5"/>
  <c r="H17" i="5" s="1"/>
  <c r="D46" i="12"/>
  <c r="G46" i="12" s="1"/>
  <c r="D48" i="12"/>
  <c r="G48" i="12" s="1"/>
  <c r="C125" i="2"/>
  <c r="C119" i="2"/>
  <c r="D47" i="12"/>
  <c r="G47" i="12" s="1"/>
  <c r="I36" i="5"/>
  <c r="D14" i="12"/>
  <c r="G14" i="12" s="1"/>
  <c r="D29" i="12"/>
  <c r="G29" i="12" s="1"/>
  <c r="D9" i="12"/>
  <c r="G9" i="12" s="1"/>
  <c r="A24" i="2" l="1"/>
  <c r="E49" i="32"/>
  <c r="F49" i="32"/>
  <c r="E19" i="23"/>
  <c r="G10" i="23"/>
  <c r="C78" i="2" s="1"/>
  <c r="I155" i="30"/>
  <c r="C133" i="2"/>
  <c r="AM35" i="2" s="1"/>
  <c r="A35" i="2" s="1"/>
  <c r="M52" i="2"/>
  <c r="C73" i="2" s="1"/>
  <c r="BN106" i="18"/>
  <c r="C124" i="2"/>
  <c r="AM34" i="2" s="1"/>
  <c r="A34" i="2" s="1"/>
  <c r="C118" i="2"/>
  <c r="AM46" i="2" s="1"/>
  <c r="A46" i="2" s="1"/>
  <c r="C160" i="2"/>
  <c r="AM33" i="2" s="1"/>
  <c r="A33" i="2" s="1"/>
  <c r="H179" i="3"/>
  <c r="D24" i="23"/>
  <c r="G26" i="23"/>
  <c r="G8" i="12"/>
  <c r="G58" i="12" s="1"/>
  <c r="D58" i="12"/>
  <c r="A27" i="2" s="1"/>
  <c r="AM36" i="2"/>
  <c r="A36" i="2" s="1"/>
  <c r="D33" i="23" l="1"/>
  <c r="E25" i="23"/>
  <c r="BM61" i="20"/>
  <c r="BM60" i="20" s="1"/>
  <c r="BM69" i="20" s="1"/>
  <c r="BM70" i="20" s="1"/>
  <c r="BM87" i="18"/>
  <c r="H178" i="3"/>
  <c r="H173" i="3" s="1"/>
  <c r="H754" i="3" s="1"/>
  <c r="C66" i="2" s="1"/>
  <c r="G19" i="23"/>
  <c r="C80" i="2" s="1"/>
  <c r="C99" i="2"/>
  <c r="AM31" i="2" l="1"/>
  <c r="A31" i="2" s="1"/>
  <c r="AM21" i="2"/>
  <c r="AM20" i="2"/>
  <c r="A20" i="2" s="1"/>
  <c r="AM41" i="2"/>
  <c r="A41" i="2" s="1"/>
  <c r="AM32" i="2"/>
  <c r="A32" i="2" s="1"/>
  <c r="AM19" i="2"/>
  <c r="A19" i="2" s="1"/>
  <c r="AM16" i="2"/>
  <c r="A16" i="2" s="1"/>
  <c r="AM18" i="2"/>
  <c r="A18" i="2" s="1"/>
  <c r="AM17" i="2"/>
  <c r="A17" i="2" s="1"/>
  <c r="BM86" i="18"/>
  <c r="BM105" i="18" s="1"/>
  <c r="E48" i="32"/>
  <c r="E47" i="32" s="1"/>
  <c r="E42" i="32" s="1"/>
  <c r="E4" i="32" s="1"/>
  <c r="C76" i="2"/>
  <c r="F48" i="32"/>
  <c r="F47" i="32" s="1"/>
  <c r="F42" i="32" s="1"/>
  <c r="F4" i="32" s="1"/>
  <c r="E24" i="23"/>
  <c r="G25" i="23"/>
  <c r="G24" i="23" l="1"/>
  <c r="E33" i="23"/>
  <c r="G33" i="23" s="1"/>
  <c r="C81" i="2" s="1"/>
  <c r="AM15" i="2" s="1"/>
  <c r="A15" i="2" s="1"/>
  <c r="A52" i="2"/>
  <c r="C74" i="2" s="1"/>
  <c r="BM106" i="18"/>
  <c r="A21" i="2"/>
  <c r="AM30" i="2" l="1"/>
  <c r="A30" i="2" s="1"/>
  <c r="AM14" i="2"/>
  <c r="A14" i="2" s="1"/>
  <c r="AM40" i="2"/>
  <c r="A40" i="2" s="1"/>
</calcChain>
</file>

<file path=xl/sharedStrings.xml><?xml version="1.0" encoding="utf-8"?>
<sst xmlns="http://schemas.openxmlformats.org/spreadsheetml/2006/main" count="13071" uniqueCount="7480">
  <si>
    <t>Fin</t>
  </si>
  <si>
    <t>Función</t>
  </si>
  <si>
    <t>Sub-función</t>
  </si>
  <si>
    <t>Tipo de programa</t>
  </si>
  <si>
    <t>Tipo de indicador</t>
  </si>
  <si>
    <t>MIR</t>
  </si>
  <si>
    <t>Mensual</t>
  </si>
  <si>
    <t>1.1.2 Fiscalización</t>
  </si>
  <si>
    <t>Bimestral</t>
  </si>
  <si>
    <t>Porcentaje</t>
  </si>
  <si>
    <t>1.2.1 Impartición de justicia</t>
  </si>
  <si>
    <t>Trimestral</t>
  </si>
  <si>
    <t>1.2.2 Procuración de justicia</t>
  </si>
  <si>
    <t>Semestral</t>
  </si>
  <si>
    <t>Promedio</t>
  </si>
  <si>
    <t>Anual</t>
  </si>
  <si>
    <t>1.3.1 Presidencia / Gubernatura</t>
  </si>
  <si>
    <t>Bienal</t>
  </si>
  <si>
    <t>1.3.2 Política interior</t>
  </si>
  <si>
    <t>1.3.4 Función pública</t>
  </si>
  <si>
    <t>1.5.2 Asuntos hacendarios</t>
  </si>
  <si>
    <t>1.7.1 Policía</t>
  </si>
  <si>
    <t>1.7.2 Protección civil</t>
  </si>
  <si>
    <t>1.8.1 Servicios registrales, administrativos y patrimoniales</t>
  </si>
  <si>
    <t>1.8.3 Servicios de comunicación y medios</t>
  </si>
  <si>
    <t>1.8.4 Acceso a la información pública gubernamental</t>
  </si>
  <si>
    <t>2.1.6 Otros de protección ambiental</t>
  </si>
  <si>
    <t>2.2.1 Urbanización</t>
  </si>
  <si>
    <t>2.2.2 Desarrollo comunitario</t>
  </si>
  <si>
    <t>2.2.6 Servicios comunales</t>
  </si>
  <si>
    <t>2.2.7 Desarrollo regional</t>
  </si>
  <si>
    <t>2.3.1 Prestación de servicios de aalud a la comunidad</t>
  </si>
  <si>
    <t>2.4.2 Cultura</t>
  </si>
  <si>
    <t>2.5.1 Educación básica</t>
  </si>
  <si>
    <t>2.7.1 Otros asuntos sociales</t>
  </si>
  <si>
    <t>3.1.1 Asuntos económicos y comerciales en general</t>
  </si>
  <si>
    <t>3.8.2 Desarrollo tecnológico</t>
  </si>
  <si>
    <t>NOMBRE DEL ENTE PÚBLICO</t>
  </si>
  <si>
    <t>Guadalajara</t>
  </si>
  <si>
    <t>INFORMACIÓN</t>
  </si>
  <si>
    <t>Nombre del presidente municipal o titular de la entidad pública</t>
  </si>
  <si>
    <t>Vero</t>
  </si>
  <si>
    <t>Nombre del encargado de la hacienda pública o finanzas de la entidad pública</t>
  </si>
  <si>
    <t>Irlanda</t>
  </si>
  <si>
    <t>Mes o corte a informar</t>
  </si>
  <si>
    <t>AGOSTO</t>
  </si>
  <si>
    <t>VERIFICACIÓN DE ESTADOS E INFORMES FINANCIEROS</t>
  </si>
  <si>
    <t>Estados e informes contables:</t>
  </si>
  <si>
    <t>Estado de situación financiera (F1A)</t>
  </si>
  <si>
    <t>Estado de variación de la hacienda pública (F2)</t>
  </si>
  <si>
    <t>Estado de flujo de efectivo (F3)</t>
  </si>
  <si>
    <t>Conciliación entre los ingresos presupuestarios y contables (F4A1)</t>
  </si>
  <si>
    <t>Conciliación entre los egresos presupuestarios y los gastos contables (F4A2)</t>
  </si>
  <si>
    <t>Estado analítico del activo (F5)</t>
  </si>
  <si>
    <t>Estado de actividades (F6A)</t>
  </si>
  <si>
    <t>Estado de cambios en la situación financiera (F16)</t>
  </si>
  <si>
    <t>Informe sobre pasivos contingentes (F11)</t>
  </si>
  <si>
    <t>Estados e informes presupuestarios:</t>
  </si>
  <si>
    <t>Estado analítico de ingresos por clasificación por rubro de ingresos/fuente de financiamiento (F7)</t>
  </si>
  <si>
    <t>Estado analítico del ejercicio del presupuesto de egresos por clasificación por objeto del gasto (F8)</t>
  </si>
  <si>
    <t>Estado analítico del ejercicio del presupuesto de egresos por clasificación por tipo de gasto (F17)</t>
  </si>
  <si>
    <t>Estado analítico del ejercicio del presupuesto de egresos por clasificación administrativa (F18)</t>
  </si>
  <si>
    <t>Estado analítico del ejercicio del presupuesto de egresos por clasificación funcional (F19)</t>
  </si>
  <si>
    <t>Estados e informes de la Ley de Disciplina Financiera:</t>
  </si>
  <si>
    <t>Estado de situación financiera detallado - LDF (F1LDF)</t>
  </si>
  <si>
    <t>Informe analítico de la deuda pública y otros pasivos (F9-EDP)</t>
  </si>
  <si>
    <t>Informe analítico de obligaciones diferentes de financiamiento (F9-IAO)</t>
  </si>
  <si>
    <t>Balance presupuestario - LDF (F22)</t>
  </si>
  <si>
    <t>Estado analítico de ingresos detallados - LDF (F7B)</t>
  </si>
  <si>
    <t>Estado analítico del ejercicio del presupuesto de egresos detallado - LDF por clasificación por objeto del gasto (F8B)</t>
  </si>
  <si>
    <t>Estado analítico del ejercicio del presupuesto de egresos detallado - LDF por clasificación administrativa (F18A)</t>
  </si>
  <si>
    <t>Estado analítico del ejercicio del presupuesto de egresos detallado - LDF por clasificación funcional (F19A)</t>
  </si>
  <si>
    <t>Estado analítico del ejercicio del presupuesto de egresos detallado - LDF por servicios personales por categoría (F21)</t>
  </si>
  <si>
    <t>Informes complementarios:</t>
  </si>
  <si>
    <t>Estado analítico de situación financiera (F1)</t>
  </si>
  <si>
    <t>Estado analítico de actividades (F6)</t>
  </si>
  <si>
    <t>Informe analítico del clasificación por rubro de ingresos (F7A)</t>
  </si>
  <si>
    <t>Informativa de proveedores (F10)</t>
  </si>
  <si>
    <t>Informativa de obra pública (F23)</t>
  </si>
  <si>
    <t>Informe de Avances de Gestión Financiera</t>
  </si>
  <si>
    <t>Flujo contable de ingresos y egresos (F12)</t>
  </si>
  <si>
    <t>Avance de programas y/o procesos concluidos (F13)</t>
  </si>
  <si>
    <t>INFORMACIÓN FINANCIERA GENERAL</t>
  </si>
  <si>
    <t>CONCEPTO</t>
  </si>
  <si>
    <t>Activo</t>
  </si>
  <si>
    <t>Pasivo</t>
  </si>
  <si>
    <t>Hacienda pública/patrimonio</t>
  </si>
  <si>
    <t>Ingresos</t>
  </si>
  <si>
    <t>Egresos</t>
  </si>
  <si>
    <t>Ahorro/desahorro</t>
  </si>
  <si>
    <t>F1</t>
  </si>
  <si>
    <t>F9-EDP</t>
  </si>
  <si>
    <t>Deuda pública instituciones de crédito C/P</t>
  </si>
  <si>
    <t>Deuda pública instituciones de crédito L/P</t>
  </si>
  <si>
    <t>Deuda pública títulos y valores C/P</t>
  </si>
  <si>
    <t>Deuda pública títulos y valores L/P</t>
  </si>
  <si>
    <t>Deuda pública arrendamiento financiero C/P</t>
  </si>
  <si>
    <t>Deuda pública arrendamiento financiero L/P</t>
  </si>
  <si>
    <t>INCONSISTENCIAS</t>
  </si>
  <si>
    <t>1. Validación a la balanza de comprobación (contable)</t>
  </si>
  <si>
    <t>2. Validación a la balanza de comprobación (orden género 7)</t>
  </si>
  <si>
    <t>3. Validación a la balanza de comprobación (orden presupuestal)</t>
  </si>
  <si>
    <t>4. Validación al estado de situación financiera
(F1, F1A y F1LDF)</t>
  </si>
  <si>
    <t>5. Validación al estado de variación en la hacienda pública (F2)</t>
  </si>
  <si>
    <t>6A. Validación de conciliaciones prespu. vs conta. (F4A1)</t>
  </si>
  <si>
    <t>6B. Validación de conciliaciones prespu. vs conta. (F4A2)</t>
  </si>
  <si>
    <t>7. Validación al estado de cambios de la situación financiera (F16)</t>
  </si>
  <si>
    <t>8. Validación al estado de flujo de efectivo (F3)</t>
  </si>
  <si>
    <t>9. Validación al estado analítico del activo (F5)</t>
  </si>
  <si>
    <t>10. Validación al estado analítico de la deuda y otros pasivos (F9)</t>
  </si>
  <si>
    <t>11. Validación flujo contable de ingresos y egresos (F12)</t>
  </si>
  <si>
    <t>12. Validación Estado Analítico del Ingreso - LDF (F7B)</t>
  </si>
  <si>
    <t>13. Validación Estado Analítico del Egreso (COG) - LDF (F8B)</t>
  </si>
  <si>
    <t>14. Validación Estado Analítico del Egreso (CF) -  (F19A)</t>
  </si>
  <si>
    <t>15. Validación Estado Analítico del Egreso (CA) - LDF (F18A)</t>
  </si>
  <si>
    <t>16. Validación Balance Presupuestario - LDF (F22)</t>
  </si>
  <si>
    <t>17. Validación Avance de programas y/o procesos concluidos (F13)</t>
  </si>
  <si>
    <t>Acatic</t>
  </si>
  <si>
    <t>ENERO</t>
  </si>
  <si>
    <t>Indicaciones para actualizar el archivo de importar de cada año:</t>
  </si>
  <si>
    <t>Acatlán de Juárez</t>
  </si>
  <si>
    <t>FEBRERO</t>
  </si>
  <si>
    <t>Actualizar el catálogo de entidades</t>
  </si>
  <si>
    <t>Administración de Estacionómetros para la Asistencia Social del Municipio de Zapotlán el Grande</t>
  </si>
  <si>
    <t>MARZO</t>
  </si>
  <si>
    <t>Cambiar conforme a los días de febrero</t>
  </si>
  <si>
    <t xml:space="preserve">Agencia Metropolitana de Bosques Urbanos del Área Metropolitana de Guadalajara </t>
  </si>
  <si>
    <t>ABRIL</t>
  </si>
  <si>
    <t>Corresponde el primero al año de la cuenta y el segundo al anterior</t>
  </si>
  <si>
    <t xml:space="preserve">Agencia Metropolitana de Servicios de Infraestructura para la Movilidad del Área Metropolitana de Guadalajara </t>
  </si>
  <si>
    <t>MAYO</t>
  </si>
  <si>
    <t>Agua y Saneamiento del Municipio de Tepatitlán (ASTEPA)</t>
  </si>
  <si>
    <t>JUNIO, 1er. Informe de Avance de Gestión Financiera y Corte Semestral</t>
  </si>
  <si>
    <t>Ahualulco de Mercado</t>
  </si>
  <si>
    <t>JULIO</t>
  </si>
  <si>
    <t>Albergue Las Cuadritas "Fray Antonio Alcalde"</t>
  </si>
  <si>
    <t>Amacueca</t>
  </si>
  <si>
    <t>SEPTIEMBRE</t>
  </si>
  <si>
    <t>Amatitán</t>
  </si>
  <si>
    <t>OCTUBRE</t>
  </si>
  <si>
    <t>Ameca</t>
  </si>
  <si>
    <t>NOVIEMBRE</t>
  </si>
  <si>
    <t>Arandas</t>
  </si>
  <si>
    <t>DICIEMBRE, 2do. Informe de Avance de Gestión Financiera y Corte Anual</t>
  </si>
  <si>
    <t>Asociación Intermunicipal para la Protección del Medio Ambiente y el Desarrollo Sustentable del Lago de Chapala</t>
  </si>
  <si>
    <t>Atemajac de Brizuela</t>
  </si>
  <si>
    <t>Atengo</t>
  </si>
  <si>
    <t>Atenguillo</t>
  </si>
  <si>
    <t>Atotonilco el Alto</t>
  </si>
  <si>
    <t>Atoyac</t>
  </si>
  <si>
    <t>Autlán de Navarro</t>
  </si>
  <si>
    <t>Ayotlán</t>
  </si>
  <si>
    <t>Ayutla</t>
  </si>
  <si>
    <t>Bolaños</t>
  </si>
  <si>
    <t>Cabo Corrientes</t>
  </si>
  <si>
    <t>Cañadas de Obregón</t>
  </si>
  <si>
    <t>Casimiro Castillo</t>
  </si>
  <si>
    <t>Centro de Estimulación para Personas con Discapacidad Intelectual de Tlajomulco de Zúñiga</t>
  </si>
  <si>
    <t>Centro Ferial de Guadalajara</t>
  </si>
  <si>
    <t>Chapala</t>
  </si>
  <si>
    <t>Chimaltitán</t>
  </si>
  <si>
    <t>Chiquilistlán</t>
  </si>
  <si>
    <t>Cihuatlán</t>
  </si>
  <si>
    <t>Cocula</t>
  </si>
  <si>
    <t>Colotlán</t>
  </si>
  <si>
    <t>Comité de Feria de Zapotlán el Grande, Jalisco</t>
  </si>
  <si>
    <t>Comité del Carnaval Sayula</t>
  </si>
  <si>
    <t>Concepción de Buenos Aires</t>
  </si>
  <si>
    <t>Consejo Municipal contra las Adicciones en San Pedro Tlaquepaque</t>
  </si>
  <si>
    <t>Consejo Municipal del Deporte de Ahualulco de Mercado</t>
  </si>
  <si>
    <t>Consejo Municipal del Deporte de Ayutla</t>
  </si>
  <si>
    <t>Consejo Municipal del Deporte de Degollado, Jalisco</t>
  </si>
  <si>
    <t>Consejo Municipal del Deporte de Guadalajara</t>
  </si>
  <si>
    <t>Consejo Municipal del Deporte de Jocotepec</t>
  </si>
  <si>
    <t>Consejo Municipal del Deporte de La Barca</t>
  </si>
  <si>
    <t>Consejo Municipal del Deporte de Ocotlán, Jalisco</t>
  </si>
  <si>
    <t>Consejo Municipal del Deporte de Puerto Vallarta</t>
  </si>
  <si>
    <t>Consejo Municipal del Deporte de San Pedro Tlaquepaque</t>
  </si>
  <si>
    <t>Consejo Municipal del Deporte de Tonalá</t>
  </si>
  <si>
    <t>Consejo Municipal del Deporte de Yahualica</t>
  </si>
  <si>
    <t>Consejo Municipal del Deporte de Zapopan, Jalisco</t>
  </si>
  <si>
    <t>Consejo Social de Cooperación para el Desarrollo Urbano de Guadalajara</t>
  </si>
  <si>
    <t>Cuautitlán de García Barragán</t>
  </si>
  <si>
    <t>Cuautla</t>
  </si>
  <si>
    <t>Cuquío</t>
  </si>
  <si>
    <t>Degollado</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</si>
  <si>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</si>
  <si>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</si>
  <si>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</si>
  <si>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</si>
  <si>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</si>
  <si>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</si>
  <si>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</si>
  <si>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</si>
  <si>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</si>
  <si>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</si>
  <si>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</si>
  <si>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</si>
  <si>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</si>
  <si>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</si>
  <si>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</si>
  <si>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</si>
  <si>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</si>
  <si>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</si>
  <si>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</si>
  <si>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</si>
  <si>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</si>
  <si>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</si>
  <si>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Maestro de Fomento Económico para el Municipio de Zapopan (FIMAFEZ)</t>
  </si>
  <si>
    <t>Fideicomiso Público de Administración, Garantía y Fuente de Pago para la Concesión de Alumbrado Público del Municipio de Zapopan, Jalisco</t>
  </si>
  <si>
    <t>Fideicomiso Revocable de Administración, Inversión y Fuente de Pago "Av. Juan Palomar Arias"</t>
  </si>
  <si>
    <t>Gómez Farías</t>
  </si>
  <si>
    <t>Guachinango</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</si>
  <si>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</si>
  <si>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</si>
  <si>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</si>
  <si>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</si>
  <si>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</si>
  <si>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</si>
  <si>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</si>
  <si>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</si>
  <si>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</si>
  <si>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</si>
  <si>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</si>
  <si>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de las Mujeres y para la Igualdad Sustantiva del Municipio de San Pedro Tlaquepaque</t>
  </si>
  <si>
    <t>Instituto de Planeación y Gestión del Desarrollo</t>
  </si>
  <si>
    <t>Instituto Municipal de Atención a la Juventud de Guadalajara</t>
  </si>
  <si>
    <t>Instituto Municipal de Atención a la Juventud de Jocotepec, Jalisco</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</si>
  <si>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</si>
  <si>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</si>
  <si>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</si>
  <si>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</si>
  <si>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</si>
  <si>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</si>
  <si>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</si>
  <si>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Pihuamense</t>
  </si>
  <si>
    <t>Instituto Municipal de la Mujer Tlajomulquense de Tlajomulco de Zúñiga</t>
  </si>
  <si>
    <t>Instituto Municipal de la Mujer Yahualicense de Yahualica de González Gallo</t>
  </si>
  <si>
    <t>Instituto Municipal de la Mujer Zapotlense en Zapotlán el Grande</t>
  </si>
  <si>
    <t>Instituto Municipal de la Vivienda de Guadalajara</t>
  </si>
  <si>
    <t>Instituto Municipal de las Mujeres de El Grullo</t>
  </si>
  <si>
    <t>Instituto Municipal de las Mujeres de Ixtlahuacán de los Membrillos</t>
  </si>
  <si>
    <t>Instituto Municipal de las Mujeres de Jilotlán</t>
  </si>
  <si>
    <t>Instituto Municipal de las Mujeres de Mazamitla</t>
  </si>
  <si>
    <t>Instituto Municipal de las Mujeres de San Ignacio Cerro Gordo</t>
  </si>
  <si>
    <t>Instituto Municipal de las Mujeres de San Julián</t>
  </si>
  <si>
    <t>Instituto Municipal de las Mujeres de Teocaltiche</t>
  </si>
  <si>
    <t>Instituto Municipal de las Mujeres en Guadalajara</t>
  </si>
  <si>
    <t>Instituto Municipal de las Mujeres en Jamay, Jalisco</t>
  </si>
  <si>
    <t>Instituto Municipal de las Mujeres Tamazulenses</t>
  </si>
  <si>
    <t>Instituto Municipal de las Mujeres Tonayenses</t>
  </si>
  <si>
    <t>Instituto Municipal de las Mujeres Zapopanas para la Igualdad Sustantiva</t>
  </si>
  <si>
    <t>Instituto Municipal de Planeación de Lagos de Moreno</t>
  </si>
  <si>
    <t>Instituto Para la Igualdad Sustantiva entre Hombres y Mujeres de Jocotepec</t>
  </si>
  <si>
    <t>Instituto Tecalitlense de la Juventud</t>
  </si>
  <si>
    <t>Instituto Tecalitlense de la Mujer</t>
  </si>
  <si>
    <t>Instituto Vallartense de Cultura</t>
  </si>
  <si>
    <t xml:space="preserve">Instituto Zapotlense de la Juventud del municipio de Zapotlán el Grande, Jalisco </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</si>
  <si>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</si>
  <si>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</si>
  <si>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</si>
  <si>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</si>
  <si>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</si>
  <si>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</si>
  <si>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</si>
  <si>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</si>
  <si>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</si>
  <si>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</si>
  <si>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Altos Norte (JIAN)</t>
  </si>
  <si>
    <t>Junta Intermunicipal de Medio Ambiente de la Costa Sur</t>
  </si>
  <si>
    <t>Junta Intermunicipal de Medio Ambiente de Sierra Occidental y Costa</t>
  </si>
  <si>
    <t>Junta Intermunicipal de Medio Ambiente del Ayuquila Alto (JIMA Ayuquila Alto)</t>
  </si>
  <si>
    <t>Junta Intermunicipal de Medio Ambiente Lagunas</t>
  </si>
  <si>
    <t>Junta Intermunicipal de Medio Ambiente para la Gestión Integral de la Cuenca del Río Coahuayana (JIRCO)</t>
  </si>
  <si>
    <t>Junta Intermunicipal de Medio Ambiente para la Gestión Integral de la Región Norte del Estado de Jalisco (JINOR)</t>
  </si>
  <si>
    <t>Junta Intermunicipal de Medio Ambiente para la Gestión Integral de la Región Valles (JIMAV)</t>
  </si>
  <si>
    <t xml:space="preserve">Junta Intermunicipal del Medio Ambiente para la Gestión Integral de la Cuenca Baja del Río Ayuquila </t>
  </si>
  <si>
    <t>La Barca</t>
  </si>
  <si>
    <t>La Huerta</t>
  </si>
  <si>
    <t>La Manzanilla de la Paz</t>
  </si>
  <si>
    <t>Lagos de Moreno</t>
  </si>
  <si>
    <t>Magdalena</t>
  </si>
  <si>
    <t>Mascota</t>
  </si>
  <si>
    <t>Mazamitla</t>
  </si>
  <si>
    <t>Mexticacán</t>
  </si>
  <si>
    <t>Mezquitic</t>
  </si>
  <si>
    <t>Mixtlán</t>
  </si>
  <si>
    <t>Ocotlán</t>
  </si>
  <si>
    <t>Ojuelos de Jalisco</t>
  </si>
  <si>
    <t>Organismo Municipal del Agua y Saneamiento de Tala (OMAST)</t>
  </si>
  <si>
    <t>Organismo Público Descentralizado Servicios de Salud del Municipio de Zapopan</t>
  </si>
  <si>
    <t xml:space="preserve">Organismo Público Descentralizado Sierra de Quila (OPD Sierra de Quila) </t>
  </si>
  <si>
    <t>Organismo Público Descentralizado Zoológico Guadalajara</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</si>
  <si>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</si>
  <si>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</si>
  <si>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</si>
  <si>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</si>
  <si>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del Museo de Periodismo y Artes Gráficas</t>
  </si>
  <si>
    <t>Patronato Nacional de la Cerámica</t>
  </si>
  <si>
    <t>Pihuamo</t>
  </si>
  <si>
    <t>Policía Metropolitana de Guadalajara</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</si>
  <si>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</si>
  <si>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</si>
  <si>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</si>
  <si>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</si>
  <si>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</si>
  <si>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</si>
  <si>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</si>
  <si>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</si>
  <si>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</si>
  <si>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</si>
  <si>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</si>
  <si>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</si>
  <si>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</si>
  <si>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</si>
  <si>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</si>
  <si>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</si>
  <si>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</si>
  <si>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</si>
  <si>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</si>
  <si>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</si>
  <si>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 xml:space="preserve">Sistema Barquense de Agua Potable, Alcantarillado y Saneamiento (SIBAPAS) </t>
  </si>
  <si>
    <t>Sistema de Agua Potable y Alcantarillado de Mascota</t>
  </si>
  <si>
    <t>Sistema de Agua Potable y Alcantarillado de Tamazula de Gordiano</t>
  </si>
  <si>
    <t>Sistema de Agua Potable y Alcantarillado de Zapotlanejo, Jalisco</t>
  </si>
  <si>
    <t>Sistema de Agua Potable y Alcantarillado del Municipio de Unión de Tula</t>
  </si>
  <si>
    <t>Sistema de Agua Potable, Alcantarillado y Saneamiento de Magdalena</t>
  </si>
  <si>
    <t>Sistema de Agua Potable, Alcantarillado y Saneamiento del Municipio de Amacueca, Jalisco (SAPASA)</t>
  </si>
  <si>
    <t>Sistema de Agua Potable, Alcantarillado y Saneamiento del Municipio de Ameca</t>
  </si>
  <si>
    <t>Sistema de Agua Potable, Alcantarillado y Saneamiento del Municipio de Arandas Jalisco (SIMAPAAJAJ)</t>
  </si>
  <si>
    <t>Sistema de Agua Potable, Alcantarillado y Saneamiento del Municipio de Atotonilco el Alto (SAPAMA)</t>
  </si>
  <si>
    <t>Sistema de Agua Potable, Alcantarillado y Saneamiento del Municipio de Chapala, Jalisco (SIMAPA)</t>
  </si>
  <si>
    <t>Sistema de Agua Potable, Alcantarillado y Saneamiento del Municipio de Colotlán, Jalisco (SAPASCO)</t>
  </si>
  <si>
    <t>Sistema de Agua Potable, Alcantarillado y Saneamiento del Municipio de Degollado (SIAPADEG)</t>
  </si>
  <si>
    <t>Sistema de Agua Potable, Alcantarillado y Saneamiento del Municipio de Jamay (SIMAPAS)</t>
  </si>
  <si>
    <t>Sistema de Agua Potable, Alcantarillado y Saneamiento del Municipio de La Huerta</t>
  </si>
  <si>
    <t>Sistema de Agua Potable, Alcantarillado y Saneamiento del Municipio de Mazamitla Jalisco</t>
  </si>
  <si>
    <t>Sistema de Agua Potable, Alcantarillado y Saneamiento del Municipio de San Ignacio Cerro Gordo</t>
  </si>
  <si>
    <t>Sistema de Agua Potable, Alcantarillado y Saneamiento del Municipio de San Julián (SAPAJ)</t>
  </si>
  <si>
    <t>Sistema de Agua Potable, Alcantarillado y Saneamiento del Municipio de San Martín de Hidalgo, Jalisco</t>
  </si>
  <si>
    <t>Sistema de Agua Potable, Alcantarillado y Saneamiento del Municipio de San Miguel el Alto, Jalisco (SAPASMA)</t>
  </si>
  <si>
    <t>Sistema de Agua Potable, Alcantarillado y Saneamiento del Municipio de Talpa de Allende (SIAPAS-TALPA)</t>
  </si>
  <si>
    <t>Sistema de Agua Potable, Alcantarillado y Saneamiento del Municipio de Tototlán</t>
  </si>
  <si>
    <t>Sistema de Agua Potable, Alcantarillado y Saneamiento del Municipio de Villa Hidalgo, Jalisco</t>
  </si>
  <si>
    <t>Sistema de Agua Potable, Alcantarillado y Saneamiento del Municipio de Zapotlán el Grande</t>
  </si>
  <si>
    <t>Sistema de Agua Potable, Alcantarillados y Saneamiento del Municipio de Mezquitic</t>
  </si>
  <si>
    <t>Sistema de los Servicios de Agua Potable, Drenaje y Alcantarillado de Puerto Vallarta, Jalisco</t>
  </si>
  <si>
    <t>Sistema Integral de Agua de Tapalpa</t>
  </si>
  <si>
    <t>Sistema Integral del Agua de Ayotlán (SIAA)</t>
  </si>
  <si>
    <t>Sistema Intermunicipal de los Servicios de Agua Potable y Alcantarillado (SIAPA)</t>
  </si>
  <si>
    <t>Sistema Intermunicipal de Manejo de Residuos Ayuquila - Llano (SIMAR Ayuquila - Llano)</t>
  </si>
  <si>
    <t>Sistema Intermunicipal de Manejo de Residuos Ayuquila Valles (SIMAR Ayuquila Valles)</t>
  </si>
  <si>
    <t>Sistema Intermunicipal de Manejo de Residuos Lagunas (SIMAR Lagunas)</t>
  </si>
  <si>
    <t>Sistema Intermunicipal de Manejo de Residuos Sierra de Amula (SIMAR Sierra de Amula)</t>
  </si>
  <si>
    <t>Sistema Intermunicipal de Manejo de Residuos sólidos urbanos Sierra Sur (SIMAR Sierra Sur)</t>
  </si>
  <si>
    <t>Sistema Intermunicipal de Manejo de Residuos Sureste (SIMAR Sureste)</t>
  </si>
  <si>
    <t>Sistema Intermunicipal de Manejo de Residuos Sur-Sureste (SIMAR Sur-Sureste)</t>
  </si>
  <si>
    <t>Sistema Municipal de Agua El Arenal (SIMAARE)</t>
  </si>
  <si>
    <t xml:space="preserve">Sistema para el Desarrollo Integral de la Familia de San Martín Hidalgo, Jalisco </t>
  </si>
  <si>
    <t>Sistema para el Desarrollo Integral de la Familia del municipio Ahualulco de Mercado</t>
  </si>
  <si>
    <t>Sistema para el Desarrollo Integral de la Familia del municipio de Acatic</t>
  </si>
  <si>
    <t>Sistema para el Desarrollo Integral de la Familia del municipio de Acatlán de Juárez</t>
  </si>
  <si>
    <t>Sistema para el Desarrollo Integral de la Familia del municipio de Amatitán, Jalisco</t>
  </si>
  <si>
    <t xml:space="preserve">Sistema para el Desarrollo Integral de la Familia del municipio de Ameca, Jalisco </t>
  </si>
  <si>
    <t>Sistema para el Desarrollo Integral de la Familia del municipio de Arandas, Jalisco</t>
  </si>
  <si>
    <t>Sistema para el Desarrollo Integral de la Familia del municipio de Atemajac de Brizuela</t>
  </si>
  <si>
    <t>Sistema para el Desarrollo Integral de la Familia del municipio de Atengo</t>
  </si>
  <si>
    <t>Sistema para el Desarrollo Integral de la Familia del municipio de Atenguillo</t>
  </si>
  <si>
    <t>Sistema para el Desarrollo Integral de la Familia del municipio de Atotonilco el Alto, Jalisco</t>
  </si>
  <si>
    <t>Sistema para el Desarrollo Integral de la Familia del municipio de Atoyac, Jalisco</t>
  </si>
  <si>
    <t xml:space="preserve">Sistema para el Desarrollo Integral de la Familia del municipio de Autlán de Navarro, Jal. </t>
  </si>
  <si>
    <t>Sistema para el Desarrollo Integral de la Familia del municipio de Ayotlán, Jalisco</t>
  </si>
  <si>
    <t>Sistema para el Desarrollo Integral de la Familia del municipio de Ayutla, Jalisco</t>
  </si>
  <si>
    <t>Sistema para el Desarrollo Integral de la Familia del municipio de Bolaños</t>
  </si>
  <si>
    <t>Sistema para el Desarrollo Integral de la Familia del municipio de Cabo Corrientes</t>
  </si>
  <si>
    <t>Sistema para el Desarrollo Integral de la Familia del municipio de Cañadas de Obregón, Jalisco</t>
  </si>
  <si>
    <t>Sistema para el Desarrollo Integral de la Familia del municipio de Casimiro Castillo</t>
  </si>
  <si>
    <t>Sistema para el Desarrollo Integral de la Familia del municipio de Chapala</t>
  </si>
  <si>
    <t>Sistema para el Desarrollo Integral de la Familia del municipio de Chiquilistlán</t>
  </si>
  <si>
    <t>Sistema para el Desarrollo Integral de la Familia del municipio de Cihuatlán</t>
  </si>
  <si>
    <t>Sistema para el Desarrollo Integral de la Familia del municipio de Ciudad Guzmán, Jalisco</t>
  </si>
  <si>
    <t>Sistema para el Desarrollo Integral de la Familia del municipio de Cocula</t>
  </si>
  <si>
    <t>Sistema para el Desarrollo Integral de la Familia del municipio de Colotlán, Jalisco</t>
  </si>
  <si>
    <t>Sistema para el Desarrollo Integral de la Familia del municipio de Concepción de Buenos Aires</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</si>
  <si>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</si>
  <si>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</si>
  <si>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</si>
  <si>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Sistema para el Desarrollo Integral de la Familia del municipio de Degollado</t>
  </si>
  <si>
    <t>Sistema para el Desarrollo Integral de la Familia del municipio de Ejutla</t>
  </si>
  <si>
    <t>Sistema para el Desarrollo Integral de la Familia del municipio de El Arenal</t>
  </si>
  <si>
    <t>Sistema para el Desarrollo Integral de la Familia del municipio de El Grullo</t>
  </si>
  <si>
    <t>Sistema para el Desarrollo Integral de la Familia del municipio de El Limón</t>
  </si>
  <si>
    <t>Sistema para el Desarrollo Integral de la Familia del municipio de El Salto</t>
  </si>
  <si>
    <t>Sistema para el Desarrollo Integral de la Familia del municipio de Encarnación de Díaz</t>
  </si>
  <si>
    <t>Sistema para el Desarrollo Integral de la Familia del municipio de Etzatlán</t>
  </si>
  <si>
    <t>Sistema para el Desarrollo Integral de la Familia del municipio de Gómez Farías</t>
  </si>
  <si>
    <t>Sistema para el Desarrollo Integral de la Familia del Municipio de Guadalajara</t>
  </si>
  <si>
    <t>Sistema para el Desarrollo Integral de la Familia del municipio de Hostotipaquillo</t>
  </si>
  <si>
    <t>Sistema para el Desarrollo Integral de la Familia del municipio de Huejúcar</t>
  </si>
  <si>
    <t>Sistema para el Desarrollo Integral de la Familia del municipio de Huejuquilla el Alto</t>
  </si>
  <si>
    <t>Sistema para el Desarrollo Integral de la Familia del municipio de Ixtlahuacán de los Membrillos</t>
  </si>
  <si>
    <t>Sistema para el Desarrollo Integral de la Familia del municipio de Ixtlahuacán del Río</t>
  </si>
  <si>
    <t>Sistema para el Desarrollo Integral de la Familia del municipio de Jalostotitlán</t>
  </si>
  <si>
    <t>Sistema para el Desarrollo Integral de la Familia del municipio de Jamay</t>
  </si>
  <si>
    <t>Sistema para el Desarrollo Integral de la Familia del municipio de Jesús María</t>
  </si>
  <si>
    <t>Sistema para el Desarrollo Integral de la Familia del municipio de Jilotlán de los Dolores</t>
  </si>
  <si>
    <t>Sistema para el Desarrollo Integral de la Familia del municipio de Jocotepec</t>
  </si>
  <si>
    <t>Sistema para el Desarrollo Integral de la Familia del municipio de Juanacatlán</t>
  </si>
  <si>
    <t>Sistema para el Desarrollo Integral de la Familia del municipio de Juchitlán</t>
  </si>
  <si>
    <t>Sistema para el Desarrollo Integral de la Familia del municipio de La Barca, Jalisco</t>
  </si>
  <si>
    <t>Sistema para el Desarrollo Integral de la Familia del municipio de La Huerta</t>
  </si>
  <si>
    <t>Sistema para el Desarrollo Integral de la Familia del municipio de La Manzanilla de la Paz</t>
  </si>
  <si>
    <t>Sistema para el Desarrollo Integral de la Familia del municipio de Lagos de Moreno</t>
  </si>
  <si>
    <t>Sistema para el Desarrollo Integral de la Familia del municipio de Magdalena</t>
  </si>
  <si>
    <t>Sistema para el Desarrollo Integral de la Familia del municipio de Mascota, Jalisco</t>
  </si>
  <si>
    <t>Sistema para el Desarrollo Integral de la Familia del municipio de Mazamitla</t>
  </si>
  <si>
    <t>Sistema para el Desarrollo Integral de la Familia del municipio de Mezquitic</t>
  </si>
  <si>
    <t>Sistema para el Desarrollo Integral de la Familia del municipio de Mixtlán, Jalisco</t>
  </si>
  <si>
    <t>Sistema para el Desarrollo Integral de la Familia del municipio de Ocotlán, Jalisco</t>
  </si>
  <si>
    <t>Sistema para el Desarrollo Integral de la Familia del municipio de Ojuelos de Jalisco</t>
  </si>
  <si>
    <t>Sistema para el Desarrollo Integral de la Familia del municipio de Poncitlán</t>
  </si>
  <si>
    <t>Sistema para el Desarrollo Integral de la Familia del municipio de Puerto Vallarta</t>
  </si>
  <si>
    <t>Sistema para el Desarrollo Integral de la Familia del municipio de Quitupan</t>
  </si>
  <si>
    <t>Sistema para el Desarrollo Integral de la Familia del municipio de San Cristóbal de la Barranca</t>
  </si>
  <si>
    <t>Sistema para el Desarrollo Integral de la Familia del municipio de San Diego de Alejandría</t>
  </si>
  <si>
    <t>Sistema para el Desarrollo Integral de la Familia del municipio de San Gabriel</t>
  </si>
  <si>
    <t>Sistema para el Desarrollo Integral de la Familia del municipio de San Ignacio Cerro Gordo</t>
  </si>
  <si>
    <t>Sistema para el Desarrollo Integral de la Familia del municipio de San Juan de los Lagos</t>
  </si>
  <si>
    <t>Sistema para el Desarrollo Integral de la Familia del municipio de San Juanito de Escobedo</t>
  </si>
  <si>
    <t>Sistema para el Desarrollo Integral de la Familia del municipio de San Julián</t>
  </si>
  <si>
    <t>Sistema para el Desarrollo Integral de la Familia del municipio de San Miguel el Alto, Jalisco</t>
  </si>
  <si>
    <t>Sistema para el Desarrollo Integral de la Familia del municipio de San Pedro Tlaquepaque</t>
  </si>
  <si>
    <t>Sistema para el Desarrollo Integral de la Familia del municipio de San Sebastián del Oeste, Jalisco</t>
  </si>
  <si>
    <t>Sistema para el Desarrollo Integral de la Familia del municipio de Santa María de los Ángeles</t>
  </si>
  <si>
    <t>Sistema para el Desarrollo Integral de la Familia del municipio de Santa María del Oro</t>
  </si>
  <si>
    <t>Sistema para el Desarrollo Integral de la Familia del municipio de Sayula</t>
  </si>
  <si>
    <t>Sistema para el Desarrollo Integral de la Familia del municipio de Tala</t>
  </si>
  <si>
    <t>Sistema para el Desarrollo Integral de la Familia del municipio de Talpa de Allende</t>
  </si>
  <si>
    <t>Sistema para el Desarrollo Integral de la Familia del municipio de Tamazula de Gordiano</t>
  </si>
  <si>
    <t>Sistema para el Desarrollo Integral de la Familia del municipio de Tapalpa</t>
  </si>
  <si>
    <t>Sistema para el Desarrollo Integral de la Familia del municipio de Tecalitlán</t>
  </si>
  <si>
    <t>Sistema para el Desarrollo Integral de la Familia del municipio de Tecolotlán</t>
  </si>
  <si>
    <t>Sistema para el Desarrollo Integral de la Familia del municipio de Tenamaxtlán</t>
  </si>
  <si>
    <t>Sistema para el Desarrollo Integral de la Familia del municipio de Teocaltiche</t>
  </si>
  <si>
    <t>Sistema para el Desarrollo Integral de la Familia del municipio de Teocuitatlán de Corona</t>
  </si>
  <si>
    <t>Sistema para el Desarrollo Integral de la Familia del municipio de Tequila, Jalisco</t>
  </si>
  <si>
    <t>Sistema para el Desarrollo Integral de la Familia del municipio de Teuchitlán</t>
  </si>
  <si>
    <t>Sistema para el Desarrollo Integral de la Familia del municipio de Tizapán el Alto, Jalisco</t>
  </si>
  <si>
    <t>Sistema para el Desarrollo Integral de la Familia del municipio de Tlajomulco de Zúñiga</t>
  </si>
  <si>
    <t>Sistema para el Desarrollo Integral de la Familia del municipio de Tolimán</t>
  </si>
  <si>
    <t>Sistema para el Desarrollo Integral de la Familia del municipio de Tomatlán</t>
  </si>
  <si>
    <t>Sistema para el Desarrollo Integral de la Familia del municipio de Tonalá</t>
  </si>
  <si>
    <t>Sistema para el Desarrollo Integral de la Familia del municipio de Tonaya</t>
  </si>
  <si>
    <t>Sistema para el Desarrollo Integral de la Familia del municipio de Tonila</t>
  </si>
  <si>
    <t>Sistema para el Desarrollo Integral de la Familia del municipio de Totatiche</t>
  </si>
  <si>
    <t>Sistema para el Desarrollo Integral de la Familia del municipio de Tototlán</t>
  </si>
  <si>
    <t>Sistema para el Desarrollo Integral de la Familia del municipio de Tuxcacuesco</t>
  </si>
  <si>
    <t>Sistema para el Desarrollo Integral de la Familia del municipio de Tuxcueca</t>
  </si>
  <si>
    <t>Sistema para el Desarrollo Integral de la Familia del municipio de Tuxpan</t>
  </si>
  <si>
    <t>Sistema para el Desarrollo Integral de la Familia del municipio de Unión de San Antonio</t>
  </si>
  <si>
    <t>Sistema para el Desarrollo Integral de la Familia del municipio de Unión de Tula</t>
  </si>
  <si>
    <t>Sistema para el Desarrollo Integral de la Familia del municipio de Valle de Guadalupe</t>
  </si>
  <si>
    <t>Sistema para el Desarrollo Integral de la Familia del municipio de Valle de Juárez</t>
  </si>
  <si>
    <t>Sistema para el Desarrollo Integral de la Familia del municipio de Villa Corona</t>
  </si>
  <si>
    <t>Sistema para el Desarrollo Integral de la Familia del municipio de Villa Guerrero</t>
  </si>
  <si>
    <t>Sistema para el Desarrollo Integral de la Familia del municipio de Villa Hidalgo</t>
  </si>
  <si>
    <t>Sistema para el Desarrollo Integral de la Familia del municipio de Yahualica de González Gallo</t>
  </si>
  <si>
    <t>Sistema para el Desarrollo Integral de la Familia del municipio de Zacoalco de Torres</t>
  </si>
  <si>
    <t>Sistema para el Desarrollo Integral de la Familia del municipio de Zapopan</t>
  </si>
  <si>
    <t>Sistema para el Desarrollo Integral de la Familia del municipio de Zapotiltic</t>
  </si>
  <si>
    <t>Sistema para el Desarrollo Integral de la Familia del municipio de Zapotitlán de Vadillo</t>
  </si>
  <si>
    <t>Sistema para el desarrollo Integral de la Familia del municipio de Zapotlán del Rey, Jalisco</t>
  </si>
  <si>
    <t>Sistema para el Desarrollo Integral de la Familia del municipio de Zapotlanejo</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</si>
  <si>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</si>
  <si>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</si>
  <si>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</si>
  <si>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</si>
  <si>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</si>
  <si>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</si>
  <si>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</si>
  <si>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</si>
  <si>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</si>
  <si>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</si>
  <si>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</si>
  <si>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</si>
  <si>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</si>
  <si>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</si>
  <si>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</si>
  <si>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</si>
  <si>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</si>
  <si>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</si>
  <si>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</si>
  <si>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</si>
  <si>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</si>
  <si>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</si>
  <si>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</si>
  <si>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</si>
  <si>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</si>
  <si>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</si>
  <si>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</si>
  <si>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</si>
  <si>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</si>
  <si>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</si>
  <si>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</si>
  <si>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</si>
  <si>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</si>
  <si>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</si>
  <si>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</si>
  <si>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</si>
  <si>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</si>
  <si>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</si>
  <si>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</si>
  <si>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</si>
  <si>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</si>
  <si>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No. DE CUENTA</t>
  </si>
  <si>
    <t>NOMBRE DE LA CUENTA</t>
  </si>
  <si>
    <t>MOVIMIENTO</t>
  </si>
  <si>
    <t>DEUDOR</t>
  </si>
  <si>
    <t>ACREEDOR</t>
  </si>
  <si>
    <t xml:space="preserve">ACTIVO </t>
  </si>
  <si>
    <t>ACTIVO CIRCULANTE</t>
  </si>
  <si>
    <t>EFECTIVO Y EQUIVALENTES</t>
  </si>
  <si>
    <t>Efectivo</t>
  </si>
  <si>
    <t>Bancos/Tesorería</t>
  </si>
  <si>
    <t>Bancos/Dependencias y otros</t>
  </si>
  <si>
    <t>Inversiones temporales (hasta 3 meses)</t>
  </si>
  <si>
    <t>Fondos con afectación específica</t>
  </si>
  <si>
    <t>Depósitos de fondos de terceros en garantía y/o administración</t>
  </si>
  <si>
    <t>Otros efectivos y equivalentes</t>
  </si>
  <si>
    <t>DERECHOS A RECIBIR EFECTIVO O EQUIVALENTES</t>
  </si>
  <si>
    <t>Inversiones financieras de corto plazo</t>
  </si>
  <si>
    <t>Cuentas por cobrar a corto plazo</t>
  </si>
  <si>
    <t>11230</t>
  </si>
  <si>
    <t>Deudores diversos por cobrar a corto plazo</t>
  </si>
  <si>
    <t>11240</t>
  </si>
  <si>
    <t>Ingresos por recuperar a corto plazo</t>
  </si>
  <si>
    <t>11250</t>
  </si>
  <si>
    <t>Deudores por anticipos de la tesorería a corto plazo</t>
  </si>
  <si>
    <t>11260</t>
  </si>
  <si>
    <t>Préstamos otorgados a corto plazo</t>
  </si>
  <si>
    <t>11290</t>
  </si>
  <si>
    <t>Otros derechos a recibir efectivo o equivalentes a corto plazo</t>
  </si>
  <si>
    <t>11300</t>
  </si>
  <si>
    <t>DERECHOS A RECIBIR BIENES O SERVICIOS</t>
  </si>
  <si>
    <t>11310</t>
  </si>
  <si>
    <t>Anticipo a proveedores por adquisición de bienes y prestación de servicios a corto plazo</t>
  </si>
  <si>
    <t>11320</t>
  </si>
  <si>
    <t>Anticipo a proveedores por adquisición de bienes inmuebles y muebles a corto plazo</t>
  </si>
  <si>
    <t>11330</t>
  </si>
  <si>
    <t>Anticipo a proveedores por adquisición de bienes intangibles a corto plazo</t>
  </si>
  <si>
    <t>11340</t>
  </si>
  <si>
    <t>Anticipo a contratistas por obras públicas a corto plazo</t>
  </si>
  <si>
    <t>11390</t>
  </si>
  <si>
    <t>Otros derechos a recibir bienes o servicios a corto plazo</t>
  </si>
  <si>
    <t>11400</t>
  </si>
  <si>
    <t>INVENTARIOS</t>
  </si>
  <si>
    <t>11410</t>
  </si>
  <si>
    <t>Inventario de mercancías para venta</t>
  </si>
  <si>
    <t>11420</t>
  </si>
  <si>
    <t>Inventario de mercancías terminadas</t>
  </si>
  <si>
    <t>11430</t>
  </si>
  <si>
    <t>Inventario de mercancías en proceso de elaboración</t>
  </si>
  <si>
    <t>11440</t>
  </si>
  <si>
    <t>Inventario de materias primas, materiales y suministros para producción</t>
  </si>
  <si>
    <t>11450</t>
  </si>
  <si>
    <t>Bienes en tránsito</t>
  </si>
  <si>
    <t>11500</t>
  </si>
  <si>
    <t>ALMACENES</t>
  </si>
  <si>
    <t>11510</t>
  </si>
  <si>
    <t>Almacén de materiales y suministros de consumo</t>
  </si>
  <si>
    <t>11600</t>
  </si>
  <si>
    <t>ESTIMACIÓN POR PÉRDIDA O DETERIORO DE ACTIVOS CIRCULANTES</t>
  </si>
  <si>
    <t>11610</t>
  </si>
  <si>
    <t>Estimaciones para cuentas incobrables por derechos a recibir efectivo o equivalentes</t>
  </si>
  <si>
    <t>11620</t>
  </si>
  <si>
    <t>Estimación por deterioro de inventarios</t>
  </si>
  <si>
    <t>11900</t>
  </si>
  <si>
    <t>OTROS ACTIVOS CIRCULANTES</t>
  </si>
  <si>
    <t>11910</t>
  </si>
  <si>
    <t>Valores en garantía</t>
  </si>
  <si>
    <t>11920</t>
  </si>
  <si>
    <t>Bienes en garantía (excluye depósitos de fondos)</t>
  </si>
  <si>
    <t>11930</t>
  </si>
  <si>
    <t>Bienes derivados de embargos,  decomisos, aseguramientos y dación en pago</t>
  </si>
  <si>
    <t>11940</t>
  </si>
  <si>
    <t>Adquisición con fondos de terceros</t>
  </si>
  <si>
    <t>12000</t>
  </si>
  <si>
    <t>ACTIVO NO CIRCULANTE</t>
  </si>
  <si>
    <t>12100</t>
  </si>
  <si>
    <t>INVERSIONES FINANCIERAS A LARGO PLAZO</t>
  </si>
  <si>
    <t>12110</t>
  </si>
  <si>
    <t>Inversiones a largo plazo</t>
  </si>
  <si>
    <t>12120</t>
  </si>
  <si>
    <t>Títulos y valores a largo plazo</t>
  </si>
  <si>
    <t>12130</t>
  </si>
  <si>
    <t>Fideicomisos, mandatos y contratos análogos</t>
  </si>
  <si>
    <t>12140</t>
  </si>
  <si>
    <t>Participaciones y aportaciones de capital</t>
  </si>
  <si>
    <t>12200</t>
  </si>
  <si>
    <t>DERECHOS A RECIBIR EFECTIVO O EQUIVALENTES A LARGO PLAZO</t>
  </si>
  <si>
    <t>12210</t>
  </si>
  <si>
    <t>Documentos por cobrar a largo plazo</t>
  </si>
  <si>
    <t>12220</t>
  </si>
  <si>
    <t>Deudores diversos a largo plazo</t>
  </si>
  <si>
    <t>12230</t>
  </si>
  <si>
    <t>Ingresos por recuperar a largo plazo</t>
  </si>
  <si>
    <t>12240</t>
  </si>
  <si>
    <t>Préstamos otorgados a largo plazo</t>
  </si>
  <si>
    <t>12290</t>
  </si>
  <si>
    <t>Otros derechos a recibir efectivo o equivalentes a largo plazo</t>
  </si>
  <si>
    <t>12300</t>
  </si>
  <si>
    <t>BIENES INMUEBLES, INFRAESTRUCTURA Y CONSTRUCCIONES EN PROCESO</t>
  </si>
  <si>
    <t>12310</t>
  </si>
  <si>
    <t>Terrenos</t>
  </si>
  <si>
    <t>12320</t>
  </si>
  <si>
    <t>Viviendas</t>
  </si>
  <si>
    <t>12330</t>
  </si>
  <si>
    <t>Edificios no habitacionales</t>
  </si>
  <si>
    <t>12340</t>
  </si>
  <si>
    <t>Infraestructura</t>
  </si>
  <si>
    <t>12350</t>
  </si>
  <si>
    <t>Construcciones en proceso en bienes de dominio público</t>
  </si>
  <si>
    <t>12360</t>
  </si>
  <si>
    <t>Construcciones en proceso en bienes propios</t>
  </si>
  <si>
    <t>12390</t>
  </si>
  <si>
    <t>Otros bienes inmuebles</t>
  </si>
  <si>
    <t>12400</t>
  </si>
  <si>
    <t>BIENES MUEBLES</t>
  </si>
  <si>
    <t>12410</t>
  </si>
  <si>
    <t>Mobiliario y equipo de administración</t>
  </si>
  <si>
    <t>12420</t>
  </si>
  <si>
    <t>Mobiliario y equipo educacional y recreativo</t>
  </si>
  <si>
    <t>12430</t>
  </si>
  <si>
    <t>Equipo e instrumental médico y de laboratorio</t>
  </si>
  <si>
    <t>12440</t>
  </si>
  <si>
    <t>Vehículos y equipo de transporte</t>
  </si>
  <si>
    <t>12450</t>
  </si>
  <si>
    <t>Equipo de defensa y seguridad</t>
  </si>
  <si>
    <t>12460</t>
  </si>
  <si>
    <t>Maquinaria, otros equipos y herramientas</t>
  </si>
  <si>
    <t>12470</t>
  </si>
  <si>
    <t>Colecciones, obras de arte y objetos valiosos</t>
  </si>
  <si>
    <t>12480</t>
  </si>
  <si>
    <t>Activos biológicos</t>
  </si>
  <si>
    <t>12500</t>
  </si>
  <si>
    <t>ACTIVOS INTANGIBLES</t>
  </si>
  <si>
    <t>12510</t>
  </si>
  <si>
    <t>Software</t>
  </si>
  <si>
    <t>12520</t>
  </si>
  <si>
    <t>Patentes, marcas y derechos</t>
  </si>
  <si>
    <t>12530</t>
  </si>
  <si>
    <t>Concesiones y franquicias</t>
  </si>
  <si>
    <t>12540</t>
  </si>
  <si>
    <t>Licencias</t>
  </si>
  <si>
    <t>12590</t>
  </si>
  <si>
    <t>Otros activos intangibles</t>
  </si>
  <si>
    <t>12600</t>
  </si>
  <si>
    <t>DEPRECIACIÓN, DETERIORO Y AMORTIZACIÓN ACUMULADA DE BIENES</t>
  </si>
  <si>
    <t>12610</t>
  </si>
  <si>
    <t>Depreciación acumulada de bienes inmuebles</t>
  </si>
  <si>
    <t>12620</t>
  </si>
  <si>
    <t>Depreciación acumulada de infraestructura</t>
  </si>
  <si>
    <t>12630</t>
  </si>
  <si>
    <t>Depreciación acumulada de bienes muebles</t>
  </si>
  <si>
    <t>12640</t>
  </si>
  <si>
    <t>Deterioro acumulado de bienes</t>
  </si>
  <si>
    <t>12650</t>
  </si>
  <si>
    <t>Amortización acumulada de activos intangibles</t>
  </si>
  <si>
    <t>12700</t>
  </si>
  <si>
    <t>ACTIVOS DIFERIDOS</t>
  </si>
  <si>
    <t>12710</t>
  </si>
  <si>
    <t>Estudios, formulación y evaluación de proyectos</t>
  </si>
  <si>
    <t>12720</t>
  </si>
  <si>
    <t>Derechos sobre bienes en régimen de arrendamiento financiero</t>
  </si>
  <si>
    <t>12730</t>
  </si>
  <si>
    <t>Gastos pagados por adelantado a largo plazo</t>
  </si>
  <si>
    <t>12740</t>
  </si>
  <si>
    <t>Anticipos a largo plazo</t>
  </si>
  <si>
    <t>12750</t>
  </si>
  <si>
    <t>Beneficios al retiro de empleados pagados por adelantado</t>
  </si>
  <si>
    <t>12790</t>
  </si>
  <si>
    <t>Otros activos diferidos</t>
  </si>
  <si>
    <t>12800</t>
  </si>
  <si>
    <t>ESTIMACIÓN POR PÉRDIDA O DETERIORO DE ACTIVOS NO CIRCULANTES</t>
  </si>
  <si>
    <t>12810</t>
  </si>
  <si>
    <t>Estimaciones por pérdida de cuentas incobrables de documentos por cobrar a largo plazo</t>
  </si>
  <si>
    <t>12820</t>
  </si>
  <si>
    <t>Estimaciones por pérdida de cuentas incobrables de deudores diversos por cobrar a largo plazo</t>
  </si>
  <si>
    <t>12830</t>
  </si>
  <si>
    <t>Estimaciones por pérdida de cuentas incobrables de ingresos por cobrar a largo plazo</t>
  </si>
  <si>
    <t>12840</t>
  </si>
  <si>
    <t>Estimaciones por pérdida de cuentas incobrables de préstamos otorgados a largo plazo</t>
  </si>
  <si>
    <t>12890</t>
  </si>
  <si>
    <t>Estimaciones por pérdida de otras cuentas incobrables a largo plazo</t>
  </si>
  <si>
    <t>12900</t>
  </si>
  <si>
    <t>OTROS ACTIVOS NO CIRCULANTES</t>
  </si>
  <si>
    <t>12910</t>
  </si>
  <si>
    <t>Bienes en concesión</t>
  </si>
  <si>
    <t>12920</t>
  </si>
  <si>
    <t>Bienes en arrendamiento financiero</t>
  </si>
  <si>
    <t>12930</t>
  </si>
  <si>
    <t>Bienes en comodato</t>
  </si>
  <si>
    <t>20000</t>
  </si>
  <si>
    <t>PASIVO</t>
  </si>
  <si>
    <t>21000</t>
  </si>
  <si>
    <t>PASIVO CIRCULANTE</t>
  </si>
  <si>
    <t>21100</t>
  </si>
  <si>
    <t>CUENTAS POR PAGAR A CORTO PLAZO</t>
  </si>
  <si>
    <t>21110</t>
  </si>
  <si>
    <t>Servicios personales por pagar a corto plazo</t>
  </si>
  <si>
    <t>21120</t>
  </si>
  <si>
    <t>Proveedores por pagar a corto plazo</t>
  </si>
  <si>
    <t>21130</t>
  </si>
  <si>
    <t>Contratistas por obras públicas por pagar a corto plazo</t>
  </si>
  <si>
    <t>21140</t>
  </si>
  <si>
    <t>Participaciones y aportaciones por pagar a corto plazo</t>
  </si>
  <si>
    <t>21150</t>
  </si>
  <si>
    <t>Transferencias otorgadas por pagar a corto plazo</t>
  </si>
  <si>
    <t>21160</t>
  </si>
  <si>
    <t>Intereses, comisiones y otros gastos de la deuda pública por pagar a corto plazo</t>
  </si>
  <si>
    <t>21170</t>
  </si>
  <si>
    <t>Retenciones y contribuciones por pagar a corto plazo</t>
  </si>
  <si>
    <t>21180</t>
  </si>
  <si>
    <t>Devoluciones de la ley de ingresos por pagar a corto plazo</t>
  </si>
  <si>
    <t>21190</t>
  </si>
  <si>
    <t>Otras cuentas por pagar a corto plazo</t>
  </si>
  <si>
    <t>21200</t>
  </si>
  <si>
    <t>DOCUMENTOS POR PAGAR A CORTO PLAZO</t>
  </si>
  <si>
    <t>21210</t>
  </si>
  <si>
    <t>Documentos  comerciales por pagar a corto plazo</t>
  </si>
  <si>
    <t>21220</t>
  </si>
  <si>
    <t>Documentos con contratistas por obras públicas por pagar a corto plazo</t>
  </si>
  <si>
    <t>21290</t>
  </si>
  <si>
    <t>Otros documentos por pagar a corto plazo</t>
  </si>
  <si>
    <t>21300</t>
  </si>
  <si>
    <t>PORCIÓN A CORTO PLAZO DE LA DEUDA PÚBLICA A LARGO PLAZO</t>
  </si>
  <si>
    <t>21310</t>
  </si>
  <si>
    <t>Porción a corto plazo de la deuda pública interna</t>
  </si>
  <si>
    <t>21320</t>
  </si>
  <si>
    <t>Porción a corto plazo de la deuda pública externa</t>
  </si>
  <si>
    <t>21330</t>
  </si>
  <si>
    <t>Porción a corto plazo de arrendamiento financiero</t>
  </si>
  <si>
    <t>21400</t>
  </si>
  <si>
    <t>TÍTULOS Y VALORES A CORTO PLAZO</t>
  </si>
  <si>
    <t>21410</t>
  </si>
  <si>
    <t>Títulos y valores de la deuda pública interna a corto plazo</t>
  </si>
  <si>
    <t>21420</t>
  </si>
  <si>
    <t>Títulos y valores de la deuda pública externa a corto plazo</t>
  </si>
  <si>
    <t>21500</t>
  </si>
  <si>
    <t>PASIVOS DIFERIDOS A CORTO PLAZO</t>
  </si>
  <si>
    <t>21510</t>
  </si>
  <si>
    <t>Ingresos cobrados por adelantado a corto plazo</t>
  </si>
  <si>
    <t>21520</t>
  </si>
  <si>
    <t>Intereses cobrados por adelantado a corto plazo</t>
  </si>
  <si>
    <t>21590</t>
  </si>
  <si>
    <t>Otros pasivos diferidos a corto plazo</t>
  </si>
  <si>
    <t>21600</t>
  </si>
  <si>
    <t>FONDOS Y BIENES DE TERCEROS EN GARANTÍA Y/O ADMINISTRACIÓN A CORTO PLAZO</t>
  </si>
  <si>
    <t>21610</t>
  </si>
  <si>
    <t>Fondos en garantía a corto plazo</t>
  </si>
  <si>
    <t>21620</t>
  </si>
  <si>
    <t>Fondos en administración a corto plazo</t>
  </si>
  <si>
    <t>21630</t>
  </si>
  <si>
    <t>Fondos contingentes a corto plazo</t>
  </si>
  <si>
    <t>21640</t>
  </si>
  <si>
    <t>Fondos de fideicomisos, mandatos y contratos análogos a corto plazo</t>
  </si>
  <si>
    <t>21650</t>
  </si>
  <si>
    <t>Otros fondos de terceros en garantía y/o administración a corto plazo</t>
  </si>
  <si>
    <t>21660</t>
  </si>
  <si>
    <t>Valores y bienes en garantía a corto plazo</t>
  </si>
  <si>
    <t>21700</t>
  </si>
  <si>
    <t>PROVISIONES A CORTO PLAZO</t>
  </si>
  <si>
    <t>21710</t>
  </si>
  <si>
    <t>Provisión para demandas y juicios a corto plazo</t>
  </si>
  <si>
    <t>21720</t>
  </si>
  <si>
    <t>Provisión para contingencias a corto plazo</t>
  </si>
  <si>
    <t>21790</t>
  </si>
  <si>
    <t>Otras provisiones a corto plazo</t>
  </si>
  <si>
    <t>21900</t>
  </si>
  <si>
    <t>OTROS PASIVOS A CORTO PLAZO</t>
  </si>
  <si>
    <t>21910</t>
  </si>
  <si>
    <t>Ingresos por clasificar</t>
  </si>
  <si>
    <t>21920</t>
  </si>
  <si>
    <t>Recaudación por participar</t>
  </si>
  <si>
    <t>21990</t>
  </si>
  <si>
    <t>Otros pasivos circulantes</t>
  </si>
  <si>
    <t>22000</t>
  </si>
  <si>
    <t>PASIVO NO CIRCULANTE</t>
  </si>
  <si>
    <t>22100</t>
  </si>
  <si>
    <t>CUENTAS POR PAGAR A LARGO PLAZO</t>
  </si>
  <si>
    <t>22110</t>
  </si>
  <si>
    <t>Proveedores por pagar a largo plazo</t>
  </si>
  <si>
    <t>22120</t>
  </si>
  <si>
    <t>Contratistas por obras públicas por pagar a largo plazo</t>
  </si>
  <si>
    <t>22200</t>
  </si>
  <si>
    <t>DOCUMENTOS POR PAGAR A LARGO PLAZO</t>
  </si>
  <si>
    <t>22210</t>
  </si>
  <si>
    <t>Documentos comerciales por pagar a largo plazo</t>
  </si>
  <si>
    <t>22220</t>
  </si>
  <si>
    <t>Documentos con contratistas por obras públicas por pagar a largo plazo</t>
  </si>
  <si>
    <t>22290</t>
  </si>
  <si>
    <t>Otros documentos por pagar a largo plazo</t>
  </si>
  <si>
    <t>22300</t>
  </si>
  <si>
    <t>DEUDA PÚBLICA A LARGO PLAZO</t>
  </si>
  <si>
    <t>22310</t>
  </si>
  <si>
    <t>Títulos y valores de la deuda pública interna a largo plazo</t>
  </si>
  <si>
    <t>22320</t>
  </si>
  <si>
    <t>Títulos y valores de la deuda pública externa a largo plazo</t>
  </si>
  <si>
    <t>22330</t>
  </si>
  <si>
    <t>Préstamos de la deuda pública interna por pagar a largo plazo</t>
  </si>
  <si>
    <t>22340</t>
  </si>
  <si>
    <t>Préstamos de la deuda pública externa por pagar a largo plazo</t>
  </si>
  <si>
    <t>22350</t>
  </si>
  <si>
    <t>Arrendamiento financiero por pagar a largo plazo</t>
  </si>
  <si>
    <t>22400</t>
  </si>
  <si>
    <t>PASIVOS DIFERIDOS A LARGO PLAZO</t>
  </si>
  <si>
    <t>22410</t>
  </si>
  <si>
    <t>Créditos diferidos a largo plazo</t>
  </si>
  <si>
    <t>22420</t>
  </si>
  <si>
    <t>Intereses cobrados por adelantado a largo plazo</t>
  </si>
  <si>
    <t>22490</t>
  </si>
  <si>
    <t>Otros pasivos diferidos a largo plazo</t>
  </si>
  <si>
    <t>22500</t>
  </si>
  <si>
    <t>FONDOS Y BIENES DE TERCEROS EN GARANTÍA Y/O ADMINISTRACIÓN A LARGO PLAZO</t>
  </si>
  <si>
    <t>22510</t>
  </si>
  <si>
    <t>Fondos en garantía a largo plazo</t>
  </si>
  <si>
    <t>22520</t>
  </si>
  <si>
    <t>Fondos en administración a largo plazo</t>
  </si>
  <si>
    <t>22530</t>
  </si>
  <si>
    <t>Fondos contingentes a largo plazo</t>
  </si>
  <si>
    <t>22540</t>
  </si>
  <si>
    <t>Fondos de fideicomisos, mandatos y contratos análogos a largo plazo</t>
  </si>
  <si>
    <t>22550</t>
  </si>
  <si>
    <t>Otros fondos de terceros en garantía y/o administración a largo plazo</t>
  </si>
  <si>
    <t>22560</t>
  </si>
  <si>
    <t>Valores y bienes en garantía a largo plazo</t>
  </si>
  <si>
    <t>22600</t>
  </si>
  <si>
    <t>PROVISIONES A LARGO PLAZO</t>
  </si>
  <si>
    <t>22610</t>
  </si>
  <si>
    <t>Provisión para demandas y juicios a largo plazo</t>
  </si>
  <si>
    <t>22620</t>
  </si>
  <si>
    <t>Provisión para pensiones a largo plazo</t>
  </si>
  <si>
    <t>22630</t>
  </si>
  <si>
    <t>Provisión para contingencias a largo plazo</t>
  </si>
  <si>
    <t>22690</t>
  </si>
  <si>
    <t>Otras provisiones a largo plazo</t>
  </si>
  <si>
    <t>30000</t>
  </si>
  <si>
    <t>HACIENDA PÚBLICA/PATRIMONIO</t>
  </si>
  <si>
    <t>31000</t>
  </si>
  <si>
    <t>HACIENDA PÚBLICA/PATRIMONIO CONTRIBUIDO</t>
  </si>
  <si>
    <t>31100</t>
  </si>
  <si>
    <t>APORTACIONES</t>
  </si>
  <si>
    <t>31200</t>
  </si>
  <si>
    <t>DONACIONES DE CAPITAL</t>
  </si>
  <si>
    <t>31300</t>
  </si>
  <si>
    <t>ACTUALIZACIÓN DE LA HACIENDA PÚBLICA/PATRIMONIO</t>
  </si>
  <si>
    <t>32000</t>
  </si>
  <si>
    <t>HACIENDA PÚBLICA/PATRIMONIO GENERADO</t>
  </si>
  <si>
    <t>32100</t>
  </si>
  <si>
    <t>RESULTADOS DEL EJERCICIO (AHORRO/ DESAHORRO)</t>
  </si>
  <si>
    <t>32200</t>
  </si>
  <si>
    <t>RESULTADOS DE EJERCICIOS ANTERIORES</t>
  </si>
  <si>
    <t>32300</t>
  </si>
  <si>
    <t>REVALÚOS</t>
  </si>
  <si>
    <t>32310</t>
  </si>
  <si>
    <t>Revalúo de bienes inmuebles</t>
  </si>
  <si>
    <t>32320</t>
  </si>
  <si>
    <t>Revalúo de bienes muebles</t>
  </si>
  <si>
    <t>32330</t>
  </si>
  <si>
    <t>Revalúo de bienes intangibles</t>
  </si>
  <si>
    <t>32390</t>
  </si>
  <si>
    <t>Otros revalúos</t>
  </si>
  <si>
    <t>32400</t>
  </si>
  <si>
    <t>RESERVAS</t>
  </si>
  <si>
    <t>32410</t>
  </si>
  <si>
    <t>Reservas de patrimonio</t>
  </si>
  <si>
    <t>32420</t>
  </si>
  <si>
    <t>Reservas territoriales</t>
  </si>
  <si>
    <t>32430</t>
  </si>
  <si>
    <t>Reservas por contingencias</t>
  </si>
  <si>
    <t>32500</t>
  </si>
  <si>
    <t>RECTIFICACIONES DE RESULTADOS DE EJERCICIOS ANTERIORES</t>
  </si>
  <si>
    <t>32510</t>
  </si>
  <si>
    <t>Cambios en políticas contables</t>
  </si>
  <si>
    <t>32520</t>
  </si>
  <si>
    <t>Cambios por errores contables</t>
  </si>
  <si>
    <t>Cambios en estimaciones contables</t>
  </si>
  <si>
    <t>33000</t>
  </si>
  <si>
    <t>EXCESO O INSUFICIENCIA EN LA ACTUALIZACIÓN  DE LA HACIENDA PÚBLICA/PATRIMONIO</t>
  </si>
  <si>
    <t>33100</t>
  </si>
  <si>
    <t>RESULTADO POR POSICIÓN MONETARIA</t>
  </si>
  <si>
    <t>33200</t>
  </si>
  <si>
    <t>RESULTADO POR TENENCIA DE ACTIVOS NO MONETARIOS</t>
  </si>
  <si>
    <t>40000</t>
  </si>
  <si>
    <t>INGRESOS Y OTROS BENEFICIOS</t>
  </si>
  <si>
    <t>41000</t>
  </si>
  <si>
    <t>INGRESOS DE GESTIÓN</t>
  </si>
  <si>
    <t>41100</t>
  </si>
  <si>
    <t>IMPUESTOS</t>
  </si>
  <si>
    <t>Impuestos sobre los ingresos</t>
  </si>
  <si>
    <t>41110-1</t>
  </si>
  <si>
    <t>Impuestos sobre espectáculos públicos</t>
  </si>
  <si>
    <t>Impuestos sobre el patrimonio</t>
  </si>
  <si>
    <t>41120-1</t>
  </si>
  <si>
    <t xml:space="preserve">Impuesto predial </t>
  </si>
  <si>
    <t>41120-2</t>
  </si>
  <si>
    <t>Impuestos sobre transmisiones patrimoniales</t>
  </si>
  <si>
    <t>41120-3</t>
  </si>
  <si>
    <t>Impuestos sobre negocios jurídicos</t>
  </si>
  <si>
    <t>41130</t>
  </si>
  <si>
    <t>Impuesto sobre la producción, el consumo y las transacciones</t>
  </si>
  <si>
    <t>41140</t>
  </si>
  <si>
    <t>Impuestos al comercio exterior</t>
  </si>
  <si>
    <t>41150</t>
  </si>
  <si>
    <t>Impuestos sobre nóminas y asimilables</t>
  </si>
  <si>
    <t>41160</t>
  </si>
  <si>
    <t>Impuestos ecológicos</t>
  </si>
  <si>
    <t>41170</t>
  </si>
  <si>
    <t>Accesorios de impuestos</t>
  </si>
  <si>
    <t>41170-1</t>
  </si>
  <si>
    <t>Recargos</t>
  </si>
  <si>
    <t>41170-2</t>
  </si>
  <si>
    <t>Actualizaciones</t>
  </si>
  <si>
    <t>41170-3</t>
  </si>
  <si>
    <t>Multas</t>
  </si>
  <si>
    <t>41170-4</t>
  </si>
  <si>
    <t>Gastos de ejecución</t>
  </si>
  <si>
    <t>41170-5</t>
  </si>
  <si>
    <t>Otros no especificados</t>
  </si>
  <si>
    <t>41180</t>
  </si>
  <si>
    <t>Impuestos no comprendidos en la ley de ingresos vigente, causados en ejercicios fiscales anteriores pendientes de liquidar o pago</t>
  </si>
  <si>
    <t>41180-1</t>
  </si>
  <si>
    <t>41190</t>
  </si>
  <si>
    <t>Otros impuestos</t>
  </si>
  <si>
    <t>41190-1</t>
  </si>
  <si>
    <t>41200</t>
  </si>
  <si>
    <t>CUOTAS Y APORTACIONES DE SEGURIDAD SOCIAL</t>
  </si>
  <si>
    <t>41210</t>
  </si>
  <si>
    <t>Aportaciones para fondos de vivienda</t>
  </si>
  <si>
    <t>41220</t>
  </si>
  <si>
    <t xml:space="preserve">Cuotas para la seguridad social </t>
  </si>
  <si>
    <t>41230</t>
  </si>
  <si>
    <t>Cuotas de ahorro para el retiro</t>
  </si>
  <si>
    <t>41240</t>
  </si>
  <si>
    <t>Accesorios de cuotas y aportaciones de seguridad social</t>
  </si>
  <si>
    <t>41290</t>
  </si>
  <si>
    <t>Otras cuotas y aportaciones para la seguridad social</t>
  </si>
  <si>
    <t>41300</t>
  </si>
  <si>
    <t>CONTRIBUCIONES DE MEJORAS</t>
  </si>
  <si>
    <t>41310</t>
  </si>
  <si>
    <t>Contribución de mejoras por obras públicas</t>
  </si>
  <si>
    <t>41310-1</t>
  </si>
  <si>
    <t>Contribuciones de mejoras por obras públicas</t>
  </si>
  <si>
    <t>41320</t>
  </si>
  <si>
    <t>Contribuciones de mejoras no comprendidas en la ley de ingresos vigente, causadas en ejercicios fiscales anteriores pendientes de liquidación o pago</t>
  </si>
  <si>
    <t>41320-1</t>
  </si>
  <si>
    <t>41400</t>
  </si>
  <si>
    <t>DERECHOS</t>
  </si>
  <si>
    <t>41410</t>
  </si>
  <si>
    <t>Derechos por el uso, goce, aprovechamiento o explotación de bienes de dominio público</t>
  </si>
  <si>
    <t>41410-1</t>
  </si>
  <si>
    <t>Derechos por el uso del piso</t>
  </si>
  <si>
    <t>41410-2</t>
  </si>
  <si>
    <t>Derechos por el uso de los estacionamientos</t>
  </si>
  <si>
    <t>41410-3</t>
  </si>
  <si>
    <t>Derechos de uso de cementerios y panteones municipales</t>
  </si>
  <si>
    <t>41410-4</t>
  </si>
  <si>
    <t>Derechos de concesiones y demás inmuebles de propiedad municipal</t>
  </si>
  <si>
    <t>41420</t>
  </si>
  <si>
    <t>Derechos a los hidrocarburos (derogada)</t>
  </si>
  <si>
    <t>41430</t>
  </si>
  <si>
    <t>Derechos por prestación de servicios</t>
  </si>
  <si>
    <t>41430-1</t>
  </si>
  <si>
    <t>Derechos de licencias y permisos de giros</t>
  </si>
  <si>
    <t>41430-2</t>
  </si>
  <si>
    <t>Derechos de licencias y permisos de anuncios</t>
  </si>
  <si>
    <t>41430-3</t>
  </si>
  <si>
    <t>Derechos de licencias de construcción, reconstrucción, reparación o demolición de obras</t>
  </si>
  <si>
    <t>41430-4</t>
  </si>
  <si>
    <t>Derechos de regularizaciones de los registros de obra</t>
  </si>
  <si>
    <t>41430-5</t>
  </si>
  <si>
    <t>Derechos de alineamiento, designación de número oficial e inspección</t>
  </si>
  <si>
    <t>41430-6</t>
  </si>
  <si>
    <t>Derechos de licencias de cambio de régimen de propiedad y urbanización</t>
  </si>
  <si>
    <t>41430-7</t>
  </si>
  <si>
    <t>Derechos de servicios de obra</t>
  </si>
  <si>
    <t>41430-8</t>
  </si>
  <si>
    <t>Derechos de servicios de sanidad</t>
  </si>
  <si>
    <t>41430-9</t>
  </si>
  <si>
    <t>Derechos de servicio de limpieza, recolección, traslado, tratamiento y disposición final de residuos</t>
  </si>
  <si>
    <t>41430-10</t>
  </si>
  <si>
    <t>Derechos de agua potable, drenaje, alcantarillado, tratamiento y disposición final de aguas residuales</t>
  </si>
  <si>
    <t>41430-11</t>
  </si>
  <si>
    <t>Derechos del rastro</t>
  </si>
  <si>
    <t>41430-12</t>
  </si>
  <si>
    <t>Derechos del registro civil</t>
  </si>
  <si>
    <t>41430-13</t>
  </si>
  <si>
    <t>Derechos de las certificaciones</t>
  </si>
  <si>
    <t>41430-14</t>
  </si>
  <si>
    <t>Derechos de los servicios de catastro</t>
  </si>
  <si>
    <t>41440</t>
  </si>
  <si>
    <t>Accesorios de derecho</t>
  </si>
  <si>
    <t>41440-1</t>
  </si>
  <si>
    <t>41440-2</t>
  </si>
  <si>
    <t>41440-3</t>
  </si>
  <si>
    <t>41440-4</t>
  </si>
  <si>
    <t>41440-5</t>
  </si>
  <si>
    <t>41450</t>
  </si>
  <si>
    <t>Derechos no comprendidos en la ley de ingresos vigente, causados en ejercicios fiscales anteriores pendientes de liquidación o pago</t>
  </si>
  <si>
    <t>41450-1</t>
  </si>
  <si>
    <t>41490</t>
  </si>
  <si>
    <t>Otros derechos</t>
  </si>
  <si>
    <t>41490-1</t>
  </si>
  <si>
    <t>41500</t>
  </si>
  <si>
    <t>PRODUCTOS</t>
  </si>
  <si>
    <t>41510</t>
  </si>
  <si>
    <t>Productos</t>
  </si>
  <si>
    <t>41510-1</t>
  </si>
  <si>
    <t>Uso, goce, aprovechamiento o explotación de bienes de dominio privado</t>
  </si>
  <si>
    <t>41510-2</t>
  </si>
  <si>
    <t>Productos diversos</t>
  </si>
  <si>
    <t>41520</t>
  </si>
  <si>
    <t>Enajenación de bienes muebles no sujetos a ser inventariados (derogada)</t>
  </si>
  <si>
    <t>41530</t>
  </si>
  <si>
    <t>Accesorios de productos (derogada)</t>
  </si>
  <si>
    <t>41540</t>
  </si>
  <si>
    <t>Productos no comprendidos en la ley de ingresos vigente, causadas en ejercicios fiscales anteriores pendientes de liquidación o pago</t>
  </si>
  <si>
    <t>41540-1</t>
  </si>
  <si>
    <t>41590</t>
  </si>
  <si>
    <t>Otros productos que generan ingresos corrientes (derogada)</t>
  </si>
  <si>
    <t>41600</t>
  </si>
  <si>
    <t>APROVECHAMIENTOS</t>
  </si>
  <si>
    <t>41610</t>
  </si>
  <si>
    <t>Incentivos derivados de la colaboración fiscal (derogada)</t>
  </si>
  <si>
    <t>41620</t>
  </si>
  <si>
    <t>41620-1</t>
  </si>
  <si>
    <t>41630</t>
  </si>
  <si>
    <t>Indemnizaciones</t>
  </si>
  <si>
    <t>41630-1</t>
  </si>
  <si>
    <t>41640</t>
  </si>
  <si>
    <t>Reintegros</t>
  </si>
  <si>
    <t>41640-1</t>
  </si>
  <si>
    <t>41650</t>
  </si>
  <si>
    <t>Aprovechamientos provenientes de obras públicas</t>
  </si>
  <si>
    <t>41650-1</t>
  </si>
  <si>
    <t>41660</t>
  </si>
  <si>
    <t>Aprovechamientos no comprendidos en la ley de ingresos vigente, causados en ejercicios fiscales anteriores pendientes de liquidación o pago</t>
  </si>
  <si>
    <t>41660-1</t>
  </si>
  <si>
    <t>41670</t>
  </si>
  <si>
    <t>Aprovechamientos por aportaciones y cooperaciones (derogada)</t>
  </si>
  <si>
    <t>41680</t>
  </si>
  <si>
    <t>Accesorios de aprovechamiento</t>
  </si>
  <si>
    <t>41680-1</t>
  </si>
  <si>
    <t>41680-2</t>
  </si>
  <si>
    <t>41680-3</t>
  </si>
  <si>
    <t>41680-4</t>
  </si>
  <si>
    <t>41680-5</t>
  </si>
  <si>
    <t>41690</t>
  </si>
  <si>
    <t>Otros aprovechamientos</t>
  </si>
  <si>
    <t>41690-1</t>
  </si>
  <si>
    <t>41700</t>
  </si>
  <si>
    <t>INGRESOS POR VENTAS DE BIENES Y PRESTACIÓN DE SERVICIOS</t>
  </si>
  <si>
    <t>41710</t>
  </si>
  <si>
    <r>
      <rPr>
        <sz val="11"/>
        <color rgb="FF000000"/>
        <rFont val="Calibri"/>
      </rPr>
      <t>Ingresos por venta de bienes y prestación de servicios de instituciones públicas</t>
    </r>
    <r>
      <rPr>
        <sz val="11"/>
        <color rgb="FFFF0000"/>
        <rFont val="Calibri"/>
      </rPr>
      <t xml:space="preserve"> </t>
    </r>
    <r>
      <rPr>
        <sz val="11"/>
        <color rgb="FF000000"/>
        <rFont val="Calibri"/>
      </rPr>
      <t>de seguridad social</t>
    </r>
  </si>
  <si>
    <t>41710-1</t>
  </si>
  <si>
    <t>Ingresos por venta de bienes y prestación de servicios de instituciones públicas de seguridad social</t>
  </si>
  <si>
    <t>41720</t>
  </si>
  <si>
    <t>Ingresos por venta de bienes y prestación de servicios de empresas productivas del estado</t>
  </si>
  <si>
    <t>41730</t>
  </si>
  <si>
    <t>Ingresos por venta de bienes y prestación de servicios de entidades paraestatales y fideicomisos no empresariales y no financieros</t>
  </si>
  <si>
    <t>41730-1</t>
  </si>
  <si>
    <t>41740</t>
  </si>
  <si>
    <t>Ingresos por venta de bienes y prestación de servicios de entidades paraestatales empresariales no financieras con participación estatal mayoritaria</t>
  </si>
  <si>
    <t>41750</t>
  </si>
  <si>
    <t>Ingresos por venta de bienes y prestación de servicios de entidades paraestatales empresariales financieras monetarias con participación estatal mayoritaria</t>
  </si>
  <si>
    <t>41760</t>
  </si>
  <si>
    <t>Ingresos por venta de bienes y prestación de servicios de entidades paraestatales empresariales financieras no monetarias con participación estatal mayoritaria</t>
  </si>
  <si>
    <t>41770</t>
  </si>
  <si>
    <t>Ingresos por venta de bienes y prestación de servicios de fideicomisos financieros públicos con participación estatal mayoritaria</t>
  </si>
  <si>
    <t>41770-1</t>
  </si>
  <si>
    <t>41780</t>
  </si>
  <si>
    <t>Ingresos por venta de bienes y prestación de servicios de los poderes legislativo y judicial, y de los órganismos autónomos</t>
  </si>
  <si>
    <t>41900</t>
  </si>
  <si>
    <t xml:space="preserve">INGRESOS NO COMPRENDIDOS EN LAS FRACCIONES DE LA LEY DE INGRESOS CAUSADOS EN EJERCICIOS FISCALES ANTERIORES PENDIENTES DE LIQUIDACIÓN O PAGO (DEROGADA) </t>
  </si>
  <si>
    <t>41910</t>
  </si>
  <si>
    <t>Impuestos no comprendidos en las fracciones de la ley de ingresos causados en ejercicios fiscales anteriores pendientes de liquidación o pago (derogada)</t>
  </si>
  <si>
    <t>41920</t>
  </si>
  <si>
    <t>Cont. de mejoras, derechos, productos y aprovechamientos no comprendidos en las frac. de ley de la ingresos causados en ejercicios fiscales anteriores pendientes de liquidación o pago (derogada)</t>
  </si>
  <si>
    <t>42000</t>
  </si>
  <si>
    <t>PARTICIPACIONES, APORTACIONES, CONVENIOS, INCENTIVOS DERIVADOS DE LA COLABORACIÓN FISCAL, FONDOS DISTINTOS DE APORTACIONES, TRANSFERENCIAS, ASIGNACIONES, SUBSIDIOS Y SUBVENCIONES, Y PENSIONES Y JUBILACIONES</t>
  </si>
  <si>
    <t>42100</t>
  </si>
  <si>
    <t>PARTICIPACIONES, APORTACIONES, CONVENIOS, INCENTIVOS DERIVADOS DE LA COLABORACIÓN FISCAL Y FONDOS DISTINTOS DE APORTACIONES</t>
  </si>
  <si>
    <t>42110</t>
  </si>
  <si>
    <t>Participaciones</t>
  </si>
  <si>
    <t>42110-1</t>
  </si>
  <si>
    <t>Fondo general de participaciones (federal)</t>
  </si>
  <si>
    <t>42110-2</t>
  </si>
  <si>
    <t>Fondo de fomento municipal (federal)</t>
  </si>
  <si>
    <t>42110-3</t>
  </si>
  <si>
    <t>Fondo de fiscalización y recaudación (federal)</t>
  </si>
  <si>
    <t>42110-4</t>
  </si>
  <si>
    <t>Fondo de compensación (federal)</t>
  </si>
  <si>
    <t>42110-5</t>
  </si>
  <si>
    <t>Fondo de extracción de hidrocarburos (federal)</t>
  </si>
  <si>
    <t>42110-6</t>
  </si>
  <si>
    <t>Impuesto especial sobre producción y servicios (federal)</t>
  </si>
  <si>
    <t>42110-7</t>
  </si>
  <si>
    <t>0.136% de la recaudación federal participable (federal)</t>
  </si>
  <si>
    <t>42110-8</t>
  </si>
  <si>
    <t>3.17% sobre extracción de petróleo (federal)</t>
  </si>
  <si>
    <t>42110-9</t>
  </si>
  <si>
    <t>Gasolinas y diésel (federal)</t>
  </si>
  <si>
    <t>42110-10</t>
  </si>
  <si>
    <t>Fondo del impuesto sobre la renta (federal)</t>
  </si>
  <si>
    <t>42110-11</t>
  </si>
  <si>
    <t>Fondo de estabilización de los ingresos de las entidades federativas (federal)</t>
  </si>
  <si>
    <t>42110-12</t>
  </si>
  <si>
    <t>Participaciones del estado</t>
  </si>
  <si>
    <t>42120</t>
  </si>
  <si>
    <t>Aportaciones</t>
  </si>
  <si>
    <t>42120-1</t>
  </si>
  <si>
    <t>Fondo de aportaciones para la infraestructura social municipal</t>
  </si>
  <si>
    <t>42120-2</t>
  </si>
  <si>
    <t>Fondo de aportaciones para el fortalecimiento municipal</t>
  </si>
  <si>
    <t>42130</t>
  </si>
  <si>
    <t>Convenios</t>
  </si>
  <si>
    <t>42130-1</t>
  </si>
  <si>
    <t>Convenios de protección social en salud</t>
  </si>
  <si>
    <t>42130-2</t>
  </si>
  <si>
    <t>Convenios de descentralizados</t>
  </si>
  <si>
    <t>42130-3</t>
  </si>
  <si>
    <t>Convenio de reasignación</t>
  </si>
  <si>
    <t>42130-4</t>
  </si>
  <si>
    <t>Otros convenios y subsidios (Con ingresos de libre disposición)</t>
  </si>
  <si>
    <t>42130-5</t>
  </si>
  <si>
    <t>Otros convenios y subsidios (Con ingresos etiquetados federales)</t>
  </si>
  <si>
    <t>42130-6</t>
  </si>
  <si>
    <t>Otros convenios y subsidios (Con ingresos etiquetados estatales)</t>
  </si>
  <si>
    <t>42140</t>
  </si>
  <si>
    <t>Incentivos derivados de la colaboración fiscal</t>
  </si>
  <si>
    <t>42140-1</t>
  </si>
  <si>
    <t>Tenencia o uso de vehículos</t>
  </si>
  <si>
    <t>42140-2</t>
  </si>
  <si>
    <t>Fondo de compensación ISAN</t>
  </si>
  <si>
    <t>42140-3</t>
  </si>
  <si>
    <t>Impuesto sobre automóviles nuevos</t>
  </si>
  <si>
    <t>42140-4</t>
  </si>
  <si>
    <t>Fondo de compensación de repecos-intermedios</t>
  </si>
  <si>
    <t>42140-5</t>
  </si>
  <si>
    <t>Otros incentivos económicos</t>
  </si>
  <si>
    <t>42150</t>
  </si>
  <si>
    <t>Fondos distintos de aportaciones</t>
  </si>
  <si>
    <t>42150-1</t>
  </si>
  <si>
    <t>Fondo para entidades federativas y municipios productores de hidrocarburos</t>
  </si>
  <si>
    <t>42150-2</t>
  </si>
  <si>
    <t>Fondo minero</t>
  </si>
  <si>
    <t>42200</t>
  </si>
  <si>
    <t>TRANSFERENCIAS, ASIGNACIONES, SUBSIDIOS Y SUBVENCIONES, Y PENSIONES Y JUBILACIONES</t>
  </si>
  <si>
    <t>42210</t>
  </si>
  <si>
    <t>Transferencias y asignaciones</t>
  </si>
  <si>
    <t>42210-1</t>
  </si>
  <si>
    <t>Transferencias y asignaciones (con ingresos de libre disposición)</t>
  </si>
  <si>
    <t>42210-2</t>
  </si>
  <si>
    <t>Transferencias y asignaciones (con ingresos etiquetados)</t>
  </si>
  <si>
    <t>42220</t>
  </si>
  <si>
    <t>Transferencias del sector público (derogada)</t>
  </si>
  <si>
    <t>42230</t>
  </si>
  <si>
    <t>Subsidios y subvenciones</t>
  </si>
  <si>
    <t>42230-1</t>
  </si>
  <si>
    <t>Subsidios y subvenciones (con ingresos de libre disposición)</t>
  </si>
  <si>
    <t>42230-2</t>
  </si>
  <si>
    <t>Subsidios y subvenciones (con ingresos etiquetados)</t>
  </si>
  <si>
    <t>42240</t>
  </si>
  <si>
    <t>Ayudas sociales (derogada)</t>
  </si>
  <si>
    <t>42250</t>
  </si>
  <si>
    <t>Pensiones y jubilaciones</t>
  </si>
  <si>
    <t>42250-1</t>
  </si>
  <si>
    <t>42260</t>
  </si>
  <si>
    <t>Transferencias del exterior (derogada)</t>
  </si>
  <si>
    <t>42270</t>
  </si>
  <si>
    <t>Transferencias del fondo mexicano del petróleo para la estabilización y el desarrollo</t>
  </si>
  <si>
    <t>42270-1</t>
  </si>
  <si>
    <t>43000</t>
  </si>
  <si>
    <t>OTROS INGRESOS Y BENEFICIOS</t>
  </si>
  <si>
    <t>43100</t>
  </si>
  <si>
    <t>INGRESOS FINANCIEROS</t>
  </si>
  <si>
    <t>43110</t>
  </si>
  <si>
    <t>Intereses ganados de títulos, valores y demás instrumentos financieros</t>
  </si>
  <si>
    <t>43110-1</t>
  </si>
  <si>
    <t>43190</t>
  </si>
  <si>
    <t>Otros ingresos financieros</t>
  </si>
  <si>
    <t>43190-1</t>
  </si>
  <si>
    <t>43200</t>
  </si>
  <si>
    <t>INCREMENTO POR VARIACIÓN DE INVENTARIOS</t>
  </si>
  <si>
    <t>43210</t>
  </si>
  <si>
    <t>Incremento por variación de inventarios de mercancías para venta</t>
  </si>
  <si>
    <t>43220</t>
  </si>
  <si>
    <t>Incremento por variación de inventarios de mercancías terminadas</t>
  </si>
  <si>
    <t>43230</t>
  </si>
  <si>
    <t>Incremento por variación de inventarios de mercancías en proceso de elaboración</t>
  </si>
  <si>
    <t>43240</t>
  </si>
  <si>
    <t>Incremento por variación de inventarios de materias primas, materiales y suministros para producción</t>
  </si>
  <si>
    <t>43250</t>
  </si>
  <si>
    <t>Incremento por variación de almacén de mercancías primas, materiales y suministros de consumo</t>
  </si>
  <si>
    <t>43300</t>
  </si>
  <si>
    <t>DISMINUCIÓN DEL EXCESO DE ESTIMACIONES POR PÉRDIDA O DETERIORO U OBSOLESCENCIA</t>
  </si>
  <si>
    <t>43310</t>
  </si>
  <si>
    <t>Disminución del exceso de estimaciones por pérdida o deterioro u obsolescencia</t>
  </si>
  <si>
    <t>43310-1</t>
  </si>
  <si>
    <t>43400</t>
  </si>
  <si>
    <t>DISMINUCIÓN DEL EXCESO DE PROVISIONES</t>
  </si>
  <si>
    <t>43410</t>
  </si>
  <si>
    <t>Disminución del exceso de provisiones</t>
  </si>
  <si>
    <t>43410-1</t>
  </si>
  <si>
    <t>43900</t>
  </si>
  <si>
    <t>OTROS INGRESOS Y BENEFICIOS VARIOS</t>
  </si>
  <si>
    <t>43910</t>
  </si>
  <si>
    <t>Otros ingresos de ejercicios anteriores (derogada)</t>
  </si>
  <si>
    <t>43920</t>
  </si>
  <si>
    <t>Bonificaciones y descuentos obtenidos</t>
  </si>
  <si>
    <t>43920-1</t>
  </si>
  <si>
    <t>43930</t>
  </si>
  <si>
    <t>Diferencias por tipo de cambio a favor</t>
  </si>
  <si>
    <t>43930-1</t>
  </si>
  <si>
    <t>43940</t>
  </si>
  <si>
    <t>Diferencias de cotizaciones a favor en valores negociables</t>
  </si>
  <si>
    <t>43940-1</t>
  </si>
  <si>
    <t>43950</t>
  </si>
  <si>
    <t>Resultado por posición monetaria</t>
  </si>
  <si>
    <t>43950-1</t>
  </si>
  <si>
    <t>43960</t>
  </si>
  <si>
    <t>Utilidades por participación patrimonial</t>
  </si>
  <si>
    <t>43960-1</t>
  </si>
  <si>
    <t>43970</t>
  </si>
  <si>
    <t>Diferencias por reestructuración de deuda pública a favor</t>
  </si>
  <si>
    <t>43970-1</t>
  </si>
  <si>
    <t>43990</t>
  </si>
  <si>
    <t>Otros ingresos y beneficios varios</t>
  </si>
  <si>
    <t>43990-1</t>
  </si>
  <si>
    <t>50000</t>
  </si>
  <si>
    <t>GASTOS Y OTRAS PÉRDIDAS</t>
  </si>
  <si>
    <t>51000</t>
  </si>
  <si>
    <t>GASTOS DE FUNCIONAMIENTO</t>
  </si>
  <si>
    <t>51100</t>
  </si>
  <si>
    <t>SERVICIOS PERSONALES</t>
  </si>
  <si>
    <t>51110</t>
  </si>
  <si>
    <t>Remuneraciones al personal de carácter permanente</t>
  </si>
  <si>
    <t>51110-1</t>
  </si>
  <si>
    <t>Dietas</t>
  </si>
  <si>
    <t>51110-2</t>
  </si>
  <si>
    <t>Haberes</t>
  </si>
  <si>
    <t>51110-3</t>
  </si>
  <si>
    <t>Sueldos base al personal permanente</t>
  </si>
  <si>
    <t>51110-4</t>
  </si>
  <si>
    <t>Remuneraciones por adscripción laboral en el extranjero</t>
  </si>
  <si>
    <t>51120</t>
  </si>
  <si>
    <t>Remuneraciones al personal de carácter transitorio</t>
  </si>
  <si>
    <t>51120-1</t>
  </si>
  <si>
    <t>Honorarios asimilables a salarios</t>
  </si>
  <si>
    <t>51120-2</t>
  </si>
  <si>
    <t>Sueldos base al personal eventual</t>
  </si>
  <si>
    <t>51120-3</t>
  </si>
  <si>
    <t>Retribuciones por servicios de carácter social</t>
  </si>
  <si>
    <t>51120-4</t>
  </si>
  <si>
    <t>Retribución a los representantes de los trabajadores y de los patrones en la Junta de Conciliación y Arbitraje</t>
  </si>
  <si>
    <t>51130</t>
  </si>
  <si>
    <t>Remuneraciones adicionales y especiales</t>
  </si>
  <si>
    <t>51130-1</t>
  </si>
  <si>
    <t>Primas por años de servicios efectivos prestados</t>
  </si>
  <si>
    <t>51130-2</t>
  </si>
  <si>
    <t>Primas de vacaciones, dominical y gratificación de fin de año</t>
  </si>
  <si>
    <t>51130-3</t>
  </si>
  <si>
    <t>Horas extraordinarias</t>
  </si>
  <si>
    <t>51130-4</t>
  </si>
  <si>
    <t>Compensaciones</t>
  </si>
  <si>
    <t>51130-5</t>
  </si>
  <si>
    <t>Sobrehaberes</t>
  </si>
  <si>
    <t>51130-6</t>
  </si>
  <si>
    <t>Asignaciones de técnico, de mando, por comisión, de vuelo y de técnico especial</t>
  </si>
  <si>
    <t>51130-7</t>
  </si>
  <si>
    <t>Honorarios especiales</t>
  </si>
  <si>
    <t>51130-8</t>
  </si>
  <si>
    <t>Participaciones por vigilancia en el cumplimiento de la leyes y custodia de valores</t>
  </si>
  <si>
    <t>51140</t>
  </si>
  <si>
    <t>Seguridad social</t>
  </si>
  <si>
    <t>51140-1</t>
  </si>
  <si>
    <t>Aportaciones de seguridad social</t>
  </si>
  <si>
    <t>51140-2</t>
  </si>
  <si>
    <t>Aportaciones a fondos de vivienda</t>
  </si>
  <si>
    <t>51140-3</t>
  </si>
  <si>
    <t>Aportaciones al sistema para el retiro</t>
  </si>
  <si>
    <t>51140-4</t>
  </si>
  <si>
    <t>Aportaciones para seguros</t>
  </si>
  <si>
    <t>51150</t>
  </si>
  <si>
    <t>Otras prestaciones sociales y económicas</t>
  </si>
  <si>
    <t>51150-1</t>
  </si>
  <si>
    <t>Cuotas para el fondo de ahorro y fondo de trabajo</t>
  </si>
  <si>
    <t>51150-2</t>
  </si>
  <si>
    <t>51150-3</t>
  </si>
  <si>
    <t>Prestaciones y haberes de retiro</t>
  </si>
  <si>
    <t>51150-4</t>
  </si>
  <si>
    <t>Prestaciones contractuales</t>
  </si>
  <si>
    <t>51150-5</t>
  </si>
  <si>
    <t>Apoyos a la capacitación de los servidores públicos</t>
  </si>
  <si>
    <t>51150-6</t>
  </si>
  <si>
    <t>51160</t>
  </si>
  <si>
    <t>Pago de estímulos a servidores públicos</t>
  </si>
  <si>
    <t>51160-1</t>
  </si>
  <si>
    <t>Estímulos</t>
  </si>
  <si>
    <t>51160-2</t>
  </si>
  <si>
    <t>Recompensas</t>
  </si>
  <si>
    <t>51200</t>
  </si>
  <si>
    <t>MATERIALES Y SUMINISTROS</t>
  </si>
  <si>
    <t>51210</t>
  </si>
  <si>
    <t>Materiales de administración, emisión de documentos y artículos oficiales</t>
  </si>
  <si>
    <t>51210-1</t>
  </si>
  <si>
    <t>Materiales, útiles y equipos menores de oficina</t>
  </si>
  <si>
    <t>51210-2</t>
  </si>
  <si>
    <t>Materiales y útiles de impresión y reproducción</t>
  </si>
  <si>
    <t>51210-3</t>
  </si>
  <si>
    <t>Material estadístico y geográfico</t>
  </si>
  <si>
    <t>51210-4</t>
  </si>
  <si>
    <t>Materiales, útiles y equipos menores de tecnologías de la información y comunicaciones</t>
  </si>
  <si>
    <t>51210-5</t>
  </si>
  <si>
    <t>Material impreso e información digital</t>
  </si>
  <si>
    <t>51210-6</t>
  </si>
  <si>
    <t>Material de limpieza</t>
  </si>
  <si>
    <t>51210-7</t>
  </si>
  <si>
    <t>Materiales y útiles de enseñanza</t>
  </si>
  <si>
    <t>51210-8</t>
  </si>
  <si>
    <t>Materiales para el registro e identificación de bienes y personas</t>
  </si>
  <si>
    <t>51220</t>
  </si>
  <si>
    <t>Alimentos y utensilios</t>
  </si>
  <si>
    <t>51220-1</t>
  </si>
  <si>
    <t>Productos alimenticios para personas</t>
  </si>
  <si>
    <t>51220-2</t>
  </si>
  <si>
    <t>Productos alimenticios para animales</t>
  </si>
  <si>
    <t>51220-3</t>
  </si>
  <si>
    <t>Utensilios para el servicio de alimentación</t>
  </si>
  <si>
    <t>51230</t>
  </si>
  <si>
    <t>Materias primas y materiales de producción y comercialización</t>
  </si>
  <si>
    <t>51230-1</t>
  </si>
  <si>
    <t>Productos alimenticios, agropecuarios y forestales adquiridos como materia prima</t>
  </si>
  <si>
    <t>51230-2</t>
  </si>
  <si>
    <t>Insumos textiles adquiridos como materia prima</t>
  </si>
  <si>
    <t>51230-3</t>
  </si>
  <si>
    <t>Productos de papel, cartón e impresos adquiridos como materia prima</t>
  </si>
  <si>
    <t>51230-4</t>
  </si>
  <si>
    <t>Combustibles, lubricantes, aditivos, carbón y sus derivados adquiridos como materia prima</t>
  </si>
  <si>
    <t>51230-5</t>
  </si>
  <si>
    <t>Productos químicos, farmacéuticos y de laboratorio adquiridos como materia prima</t>
  </si>
  <si>
    <t>51230-6</t>
  </si>
  <si>
    <t>Productos metálicos y a base de minerales no metálicos adquiridos como materia prima</t>
  </si>
  <si>
    <t>51230-7</t>
  </si>
  <si>
    <t>Productos de cuero, piel, plástico y hule adquiridos como materia prima</t>
  </si>
  <si>
    <t>51230-8</t>
  </si>
  <si>
    <t>Mercancías adquiridas para su comercialización</t>
  </si>
  <si>
    <t>51230-9</t>
  </si>
  <si>
    <t>Otros productos adquiridos como materia prima</t>
  </si>
  <si>
    <t>51240</t>
  </si>
  <si>
    <t>Materiales y artículos de construcción y de reparación</t>
  </si>
  <si>
    <t>51240-1</t>
  </si>
  <si>
    <t>Productos minerales no metálicos</t>
  </si>
  <si>
    <t>51240-2</t>
  </si>
  <si>
    <t>Cemento y productos de concreto</t>
  </si>
  <si>
    <t>51240-3</t>
  </si>
  <si>
    <t>Cal, yeso y productos de yeso</t>
  </si>
  <si>
    <t>51240-4</t>
  </si>
  <si>
    <t>Madera y productos de madera</t>
  </si>
  <si>
    <t>51240-5</t>
  </si>
  <si>
    <t>Vidrio y productos de vidrio</t>
  </si>
  <si>
    <t>51240-6</t>
  </si>
  <si>
    <t>Material eléctrico y electrónico</t>
  </si>
  <si>
    <t>51240-7</t>
  </si>
  <si>
    <t>Artículos metálicos para la construcción</t>
  </si>
  <si>
    <t>51240-8</t>
  </si>
  <si>
    <t>Materiales complementarios</t>
  </si>
  <si>
    <t>51240-9</t>
  </si>
  <si>
    <t>Otros materiales y artículos de construcción y reparación</t>
  </si>
  <si>
    <t>51250</t>
  </si>
  <si>
    <t>Productos químicos, farmacéuticos y de laboratorio</t>
  </si>
  <si>
    <t>51250-1</t>
  </si>
  <si>
    <t>Productos químicos básicos</t>
  </si>
  <si>
    <t>51250-2</t>
  </si>
  <si>
    <t>Fertilizantes, pesticidas y otros agroquímicos</t>
  </si>
  <si>
    <t>51250-3</t>
  </si>
  <si>
    <t>Medicinas y productos farmacéuticos</t>
  </si>
  <si>
    <t>51250-4</t>
  </si>
  <si>
    <t>Materiales, accesorios y suministros médicos</t>
  </si>
  <si>
    <t>51250-5</t>
  </si>
  <si>
    <t>Materiales, accesorios y suministros de laboratorio</t>
  </si>
  <si>
    <t>51250-6</t>
  </si>
  <si>
    <t>Fibras sintéticas, hules plásticos y derivados</t>
  </si>
  <si>
    <t>51250-7</t>
  </si>
  <si>
    <t>Otros productos químicos</t>
  </si>
  <si>
    <t>51260</t>
  </si>
  <si>
    <t>Combustibles, lubricantes y aditivos</t>
  </si>
  <si>
    <t>51260-1</t>
  </si>
  <si>
    <t>51260-2</t>
  </si>
  <si>
    <t>Carbón y sus derivados</t>
  </si>
  <si>
    <t>51270</t>
  </si>
  <si>
    <t>Vestuario, blancos, prendas de protección y artículos deportivos</t>
  </si>
  <si>
    <t>51270-1</t>
  </si>
  <si>
    <t>Vestuario y uniformes</t>
  </si>
  <si>
    <t>51270-2</t>
  </si>
  <si>
    <t>Prendas de seguridad y protección personal</t>
  </si>
  <si>
    <t>51270-3</t>
  </si>
  <si>
    <t>Artículos deportivos</t>
  </si>
  <si>
    <t>51270-4</t>
  </si>
  <si>
    <t>Productos textiles</t>
  </si>
  <si>
    <t>51270-5</t>
  </si>
  <si>
    <t>Blancos y otros productos textiles, excepto prendas de vestir</t>
  </si>
  <si>
    <t>51280</t>
  </si>
  <si>
    <t>Materiales y suministros para seguridad</t>
  </si>
  <si>
    <t>51280-1</t>
  </si>
  <si>
    <t>Sustancias y materiales explosivos</t>
  </si>
  <si>
    <t>51280-2</t>
  </si>
  <si>
    <t>Materiales de seguridad pública</t>
  </si>
  <si>
    <t>51280-3</t>
  </si>
  <si>
    <t>Prendas de protección para seguridad pública y nacional</t>
  </si>
  <si>
    <t>51290</t>
  </si>
  <si>
    <t>Herramientas, refacciones y accesorios menores</t>
  </si>
  <si>
    <t>51290-1</t>
  </si>
  <si>
    <t>Herramientas menores</t>
  </si>
  <si>
    <t>51290-2</t>
  </si>
  <si>
    <t>Refacciones y accesorios menores de edificios</t>
  </si>
  <si>
    <t>51290-3</t>
  </si>
  <si>
    <t>Refacciones y accesorios menores de mobiliario  y equipo de administración, educacional y recreativo</t>
  </si>
  <si>
    <t>51290-4</t>
  </si>
  <si>
    <t>Refacciones y accesorios menores de equipo de cómputo y tecnologías de la información</t>
  </si>
  <si>
    <t>51290-5</t>
  </si>
  <si>
    <t>Refacciones y accesorios menores de equipo e instrumental médico y de laboratorio</t>
  </si>
  <si>
    <t>51290-6</t>
  </si>
  <si>
    <t>Refacciones y accesorios menores de equipo de transporte</t>
  </si>
  <si>
    <t>51290-7</t>
  </si>
  <si>
    <t>Refacciones y accesorios menores de equipo de defensa y seguridad</t>
  </si>
  <si>
    <t>51290-8</t>
  </si>
  <si>
    <t>Refacciones y accesorios menores de maquinaria y otros equipos</t>
  </si>
  <si>
    <t>51290-9</t>
  </si>
  <si>
    <t>Refacciones y accesorios menores otros bienes muebles</t>
  </si>
  <si>
    <t>51300</t>
  </si>
  <si>
    <t>SERVICIOS GENERALES</t>
  </si>
  <si>
    <t>51310</t>
  </si>
  <si>
    <t>Servicios básicos</t>
  </si>
  <si>
    <t>51310-1</t>
  </si>
  <si>
    <t>Energía eléctrica</t>
  </si>
  <si>
    <t>51310-2</t>
  </si>
  <si>
    <t xml:space="preserve">Gas </t>
  </si>
  <si>
    <t>51310-3</t>
  </si>
  <si>
    <t>Agua</t>
  </si>
  <si>
    <t>51310-4</t>
  </si>
  <si>
    <t>Telefonía tradicional</t>
  </si>
  <si>
    <t>51310-5</t>
  </si>
  <si>
    <t>Telefonía celular</t>
  </si>
  <si>
    <t>51310-6</t>
  </si>
  <si>
    <t>Servicios de telecomunicaciones y satélites</t>
  </si>
  <si>
    <t>51310-7</t>
  </si>
  <si>
    <t>Servicios de acceso de Internet, redes y procesamiento de información</t>
  </si>
  <si>
    <t>51310-8</t>
  </si>
  <si>
    <t>Servicios postales y telegráficos</t>
  </si>
  <si>
    <t>51310-9</t>
  </si>
  <si>
    <t>Servicios integrales y otros servicios</t>
  </si>
  <si>
    <t>51320</t>
  </si>
  <si>
    <t>Servicios de arrendamiento</t>
  </si>
  <si>
    <t>51320-1</t>
  </si>
  <si>
    <t>Arrendamiento de terrenos</t>
  </si>
  <si>
    <t>51320-2</t>
  </si>
  <si>
    <t>Arrendamiento de edificios</t>
  </si>
  <si>
    <t>51320-3</t>
  </si>
  <si>
    <t>Arrendamiento de mobiliario y equipo de administración, educacional y recreativo</t>
  </si>
  <si>
    <t>51320-4</t>
  </si>
  <si>
    <t>Arrendamiento de equipo e instrumental médico y de laboratorio</t>
  </si>
  <si>
    <t>51320-5</t>
  </si>
  <si>
    <t>Arrendamiento de equipo de transporte</t>
  </si>
  <si>
    <t>51320-6</t>
  </si>
  <si>
    <t>Arrendamiento de maquinaria, otros equipos y herramientas</t>
  </si>
  <si>
    <t>51320-7</t>
  </si>
  <si>
    <t>Arrendamiento de activos intangibles</t>
  </si>
  <si>
    <t>51320-8</t>
  </si>
  <si>
    <t>Arrendamiento financiero</t>
  </si>
  <si>
    <t>51320-9</t>
  </si>
  <si>
    <t>Otros arrendamientos</t>
  </si>
  <si>
    <t>51330</t>
  </si>
  <si>
    <t>Servicios profesionales, científicos, técnicos y otros servicios</t>
  </si>
  <si>
    <t>51330-1</t>
  </si>
  <si>
    <t>Servicios legales, de contabilidad, auditoría y relacionados</t>
  </si>
  <si>
    <t>51330-2</t>
  </si>
  <si>
    <t>Servicios de diseño, arquitectura, ingeniería y actividades relacionadas</t>
  </si>
  <si>
    <t>51330-3</t>
  </si>
  <si>
    <t>Servicios de consultoría administrativa, procesos, técnica y en tecnologías de la información</t>
  </si>
  <si>
    <t>51330-4</t>
  </si>
  <si>
    <t>Servicios de capacitación</t>
  </si>
  <si>
    <t>51330-5</t>
  </si>
  <si>
    <t>Servicios de investigación científica y desarrollo</t>
  </si>
  <si>
    <t>51330-6</t>
  </si>
  <si>
    <t>Servicios de apoyo administrativo, traducción, fotocopiado e impresión</t>
  </si>
  <si>
    <t>51330-7</t>
  </si>
  <si>
    <t>Servicios de protección y seguridad</t>
  </si>
  <si>
    <t>51330-8</t>
  </si>
  <si>
    <t>Servicios de vigilancia</t>
  </si>
  <si>
    <t>51330-9</t>
  </si>
  <si>
    <t>Servicios profesionales, científicos y técnicos integrales</t>
  </si>
  <si>
    <t>51340</t>
  </si>
  <si>
    <t>Servicios financieros, bancarios y comerciales</t>
  </si>
  <si>
    <t>51340-1</t>
  </si>
  <si>
    <t>Servicios financieros y bancarios</t>
  </si>
  <si>
    <t>51340-2</t>
  </si>
  <si>
    <t>Servicios de cobranza, investigación crediticia y similar</t>
  </si>
  <si>
    <t>51340-3</t>
  </si>
  <si>
    <t>Servicios de recaudación, traslado y custodia de valores</t>
  </si>
  <si>
    <t>51340-4</t>
  </si>
  <si>
    <t>Seguros de responsabilidad patrimonial y fianzas</t>
  </si>
  <si>
    <t>51340-5</t>
  </si>
  <si>
    <t>Seguro de bienes patrimoniales</t>
  </si>
  <si>
    <t>51340-6</t>
  </si>
  <si>
    <t>Almacenaje, envase y embalaje</t>
  </si>
  <si>
    <t>51340-7</t>
  </si>
  <si>
    <t>Fletes y maniobras</t>
  </si>
  <si>
    <t>51340-8</t>
  </si>
  <si>
    <t>Comisiones por ventas</t>
  </si>
  <si>
    <t>51340-9</t>
  </si>
  <si>
    <t>Servicios financieros, bancarios y comerciales integrales</t>
  </si>
  <si>
    <t>51350</t>
  </si>
  <si>
    <t>Servicios de instalación, reparación, mantenimiento y conservación</t>
  </si>
  <si>
    <t>51350-1</t>
  </si>
  <si>
    <t>Conservación y mantenimiento menor de inmuebles</t>
  </si>
  <si>
    <t>51350-2</t>
  </si>
  <si>
    <t>Instalación, reparación y mantenimiento de mobiliario y equipo de administración, educacional y recreativo</t>
  </si>
  <si>
    <t>51350-3</t>
  </si>
  <si>
    <t>Instalación, reparación y mantenimiento de equipo de cómputo y tecnología de la información</t>
  </si>
  <si>
    <t>51350-4</t>
  </si>
  <si>
    <t>Instalación, reparación y mantenimiento de equipo e instrumental médico y de laboratorio</t>
  </si>
  <si>
    <t>51350-5</t>
  </si>
  <si>
    <t>Reparación y mantenimiento de equipo de transporte</t>
  </si>
  <si>
    <t>51350-6</t>
  </si>
  <si>
    <t>Reparación y mantenimiento de equipo de defensa y seguridad</t>
  </si>
  <si>
    <t>51350-7</t>
  </si>
  <si>
    <t>Instalación, reparación y mantenimiento de maquinaria, otros equipos y herramienta</t>
  </si>
  <si>
    <t>51350-8</t>
  </si>
  <si>
    <t>Servicios de limpieza y manejo de desechos</t>
  </si>
  <si>
    <t>51350-9</t>
  </si>
  <si>
    <t>Servicios de jardinería y fumigación</t>
  </si>
  <si>
    <t>51360</t>
  </si>
  <si>
    <t>Servicios de comunicación social y publicidad</t>
  </si>
  <si>
    <t>51360-1</t>
  </si>
  <si>
    <t>Difusión por radio, televisión y otros medios de mensajes sobre programas y actividades gubernamentales</t>
  </si>
  <si>
    <t>51360-2</t>
  </si>
  <si>
    <t>Difusión por radio, televisión y otros medios de mensajes comerciales para promover la venta de bienes o servicios</t>
  </si>
  <si>
    <t>51360-3</t>
  </si>
  <si>
    <t>Servicios de creatividad, preproducción y producción de publicidad, excepto Internet</t>
  </si>
  <si>
    <t>51360-4</t>
  </si>
  <si>
    <t>Servicios de revelado de  fotografías</t>
  </si>
  <si>
    <t>51360-5</t>
  </si>
  <si>
    <t>Servicios de la industria fílmica, del sonido y del video</t>
  </si>
  <si>
    <t>51360-6</t>
  </si>
  <si>
    <t>Servicio de creación y difusión de contenido exclusivamente a través de Internet</t>
  </si>
  <si>
    <t>51360-7</t>
  </si>
  <si>
    <t>Otros servicios de información</t>
  </si>
  <si>
    <t>51370</t>
  </si>
  <si>
    <t>Servicios de traslado y viáticos</t>
  </si>
  <si>
    <t>51370-1</t>
  </si>
  <si>
    <t>Pasajes aéreos</t>
  </si>
  <si>
    <t>51370-2</t>
  </si>
  <si>
    <t>Pasajes terrestres</t>
  </si>
  <si>
    <t>51370-3</t>
  </si>
  <si>
    <t>Pasajes marítimos, lacustres y fluviales</t>
  </si>
  <si>
    <t>51370-4</t>
  </si>
  <si>
    <t>Autotransporte</t>
  </si>
  <si>
    <t>51370-5</t>
  </si>
  <si>
    <t>Viáticos en el país</t>
  </si>
  <si>
    <t>51370-6</t>
  </si>
  <si>
    <t xml:space="preserve">Viáticos en el extranjero </t>
  </si>
  <si>
    <t>51370-7</t>
  </si>
  <si>
    <t>Gastos de instalación y traslado de menaje</t>
  </si>
  <si>
    <t>51370-8</t>
  </si>
  <si>
    <t>Servicios integrales de traslado y viáticos</t>
  </si>
  <si>
    <t>51370-9</t>
  </si>
  <si>
    <t>Otros servicios de traslado y hospedaje</t>
  </si>
  <si>
    <t>51380</t>
  </si>
  <si>
    <t>Servicios oficiales</t>
  </si>
  <si>
    <t>51380-1</t>
  </si>
  <si>
    <t>Gastos de ceremonial</t>
  </si>
  <si>
    <t>51380-2</t>
  </si>
  <si>
    <t>Gastos de orden  social y cultural</t>
  </si>
  <si>
    <t>51380-3</t>
  </si>
  <si>
    <t>Congresos y convenciones</t>
  </si>
  <si>
    <t>51380-4</t>
  </si>
  <si>
    <t>Exposiciones</t>
  </si>
  <si>
    <t>51380-5</t>
  </si>
  <si>
    <t>Gastos de representación</t>
  </si>
  <si>
    <t>51390</t>
  </si>
  <si>
    <t>Otros servicios generales</t>
  </si>
  <si>
    <t>51390-1</t>
  </si>
  <si>
    <t>Servicios funerarios y de cementerios</t>
  </si>
  <si>
    <t>51390-2</t>
  </si>
  <si>
    <t>Impuestos y derechos</t>
  </si>
  <si>
    <t>51390-3</t>
  </si>
  <si>
    <t>Impuestos y derechos de importación</t>
  </si>
  <si>
    <t>51390-4</t>
  </si>
  <si>
    <t>Sentencias y resoluciones por autoridad competente</t>
  </si>
  <si>
    <t>51390-5</t>
  </si>
  <si>
    <t>Penas, multas, accesorios y actualizaciones</t>
  </si>
  <si>
    <t>51390-6</t>
  </si>
  <si>
    <t>Otros gastos por responsabilidades</t>
  </si>
  <si>
    <t>51390-7</t>
  </si>
  <si>
    <t>Utilidades</t>
  </si>
  <si>
    <t>51390-8</t>
  </si>
  <si>
    <t>Impuesto sobre nómina y otros que se deriven de una relación laboral</t>
  </si>
  <si>
    <t>51390-9</t>
  </si>
  <si>
    <t>52000</t>
  </si>
  <si>
    <t>TRANSFERENCIAS, ASIGNACIONES, SUBSIDIOS Y OTRAS  AYUDAS</t>
  </si>
  <si>
    <t>52100</t>
  </si>
  <si>
    <t>TRANSFERENCIAS INTERNAS Y ASIGNACIONES AL SECTOR PÚBLICO</t>
  </si>
  <si>
    <t>52110</t>
  </si>
  <si>
    <t>Asignaciones al sector público</t>
  </si>
  <si>
    <t>52110-1</t>
  </si>
  <si>
    <t>Asignaciones presupuestarias al Poder Ejecutivo</t>
  </si>
  <si>
    <t>52110-2</t>
  </si>
  <si>
    <t>Asignaciones presupuestarias al Poder Legislativo</t>
  </si>
  <si>
    <t>52110-3</t>
  </si>
  <si>
    <t>Asignaciones presupuestarias al Poder Judicial</t>
  </si>
  <si>
    <t>52110-4</t>
  </si>
  <si>
    <t>Asignaciones presupuestarias a Órganos Autónomos</t>
  </si>
  <si>
    <t>52110-5</t>
  </si>
  <si>
    <t>Transferencias internas otorgadas a entidades paraestatales no empresariales y no financieras</t>
  </si>
  <si>
    <t>52110-6</t>
  </si>
  <si>
    <t>Transferencias internas otorgadas a entidades paraestatales empresariales y no financieras</t>
  </si>
  <si>
    <t>52110-7</t>
  </si>
  <si>
    <t>Transferencias internas otorgadas a fideicomisos públicos empresariales y no financieros</t>
  </si>
  <si>
    <t>52110-8</t>
  </si>
  <si>
    <t>Transferencias internas otorgadas a instituciones paraestatales públicas financieras</t>
  </si>
  <si>
    <t>52110-9</t>
  </si>
  <si>
    <t>Transferencias internas otorgadas a fideicomisos públicos financieros</t>
  </si>
  <si>
    <t>52120</t>
  </si>
  <si>
    <t>Transferencias internas al sector público</t>
  </si>
  <si>
    <t>52200</t>
  </si>
  <si>
    <t>TRANSFERENCIAS AL RESTO DEL SECTOR PÚBLICO</t>
  </si>
  <si>
    <t>Transferencias a entidades paraestatales</t>
  </si>
  <si>
    <t>52210-1</t>
  </si>
  <si>
    <t>Transferencias otorgadas a entidades paraestatales no empresariales y no financieras</t>
  </si>
  <si>
    <t>52210-2</t>
  </si>
  <si>
    <t>Transferencias otorgadas para entidades paraestatales empresariales y no financieras</t>
  </si>
  <si>
    <t>52210-3</t>
  </si>
  <si>
    <t xml:space="preserve">Transferencias otorgadas para instituciones paraestatales públicas financieras  </t>
  </si>
  <si>
    <t>Transferencias a entidades federativas y municipios</t>
  </si>
  <si>
    <t>52220-1</t>
  </si>
  <si>
    <t>Transferencias otorgadas a entidades federativas y municipios</t>
  </si>
  <si>
    <t>52220-2</t>
  </si>
  <si>
    <t>Transferencias a fideicomisos de entidades federativas y municipios</t>
  </si>
  <si>
    <t>52300</t>
  </si>
  <si>
    <t>SUBSIDIOS Y SUBVENCIONES</t>
  </si>
  <si>
    <t>52310</t>
  </si>
  <si>
    <t>Subsidios</t>
  </si>
  <si>
    <t>52310-1</t>
  </si>
  <si>
    <t>Subsidios a la producción</t>
  </si>
  <si>
    <t>52310-2</t>
  </si>
  <si>
    <t>Subsidios a la distribución</t>
  </si>
  <si>
    <t>52310-3</t>
  </si>
  <si>
    <t>Subsidios a la inversión</t>
  </si>
  <si>
    <t>52310-4</t>
  </si>
  <si>
    <t>Subsidios a la prestación de servicios públicos</t>
  </si>
  <si>
    <t>52310-5</t>
  </si>
  <si>
    <t>Subsidios para cubrir diferenciales de tasas de interés</t>
  </si>
  <si>
    <t>52310-6</t>
  </si>
  <si>
    <t xml:space="preserve">Subsidios a la vivienda </t>
  </si>
  <si>
    <t>52310-7</t>
  </si>
  <si>
    <t>Subsidios a entidades federativas y municipios</t>
  </si>
  <si>
    <t>52310-8</t>
  </si>
  <si>
    <t>Otros subsidios</t>
  </si>
  <si>
    <t>52320</t>
  </si>
  <si>
    <t>Subvenciones</t>
  </si>
  <si>
    <t>52320-1</t>
  </si>
  <si>
    <t>Subvenciones al consumo</t>
  </si>
  <si>
    <t>52400</t>
  </si>
  <si>
    <t>AYUDAS SOCIALES</t>
  </si>
  <si>
    <t>52410</t>
  </si>
  <si>
    <t>Ayudas sociales a personas</t>
  </si>
  <si>
    <t>52410-1</t>
  </si>
  <si>
    <t xml:space="preserve">Ayudas sociales a personas </t>
  </si>
  <si>
    <t>52420</t>
  </si>
  <si>
    <t>Becas</t>
  </si>
  <si>
    <t>52420-1</t>
  </si>
  <si>
    <t>Becas y otras ayudas para programas de capacitación</t>
  </si>
  <si>
    <t>52430</t>
  </si>
  <si>
    <t>Ayudas sociales a instituciones</t>
  </si>
  <si>
    <t>52430-1</t>
  </si>
  <si>
    <t>Ayudas sociales a instituciones de enseñanza</t>
  </si>
  <si>
    <t>52430-2</t>
  </si>
  <si>
    <t>Ayudas sociales a actividades científicas o académicas</t>
  </si>
  <si>
    <t>52430-3</t>
  </si>
  <si>
    <t>Ayudas sociales a instituciones sin fines de lucro</t>
  </si>
  <si>
    <t>52430-4</t>
  </si>
  <si>
    <t>Ayudas sociales a cooperativas</t>
  </si>
  <si>
    <t>52430-5</t>
  </si>
  <si>
    <t>Ayudas sociales a entidades de interés público</t>
  </si>
  <si>
    <t>52440</t>
  </si>
  <si>
    <t>Ayudas sociales por desastres naturales y otros siniestros</t>
  </si>
  <si>
    <t>52440-1</t>
  </si>
  <si>
    <t>Ayudas por desastres naturales y otros siniestros</t>
  </si>
  <si>
    <t>52500</t>
  </si>
  <si>
    <t>PENSIONES Y JUBILACIONES</t>
  </si>
  <si>
    <t>52510</t>
  </si>
  <si>
    <t>Pensiones</t>
  </si>
  <si>
    <t>52510-1</t>
  </si>
  <si>
    <t>52520</t>
  </si>
  <si>
    <t>Jubilaciones</t>
  </si>
  <si>
    <t>52520-1</t>
  </si>
  <si>
    <t>52590</t>
  </si>
  <si>
    <t>Otras pensiones y jubilaciones</t>
  </si>
  <si>
    <t>52590-1</t>
  </si>
  <si>
    <t>52600</t>
  </si>
  <si>
    <t>TRANSFERENCIAS A FIDEICOMISOS, MANDATOS Y CONTRATOS ANÁLOGOS</t>
  </si>
  <si>
    <t>52610</t>
  </si>
  <si>
    <t>Transferencias a fideicomisos, mandatos y contratos análogos al gobierno</t>
  </si>
  <si>
    <t>52610-1</t>
  </si>
  <si>
    <t>Transferencias a fideicomisos del Poder Ejecutivo</t>
  </si>
  <si>
    <t>52610-2</t>
  </si>
  <si>
    <t>Transferencias a fideicomisos del Poder Legislativo</t>
  </si>
  <si>
    <t>52610-3</t>
  </si>
  <si>
    <t>Transferencias a fideicomisos del Poder Judicial</t>
  </si>
  <si>
    <t>52620</t>
  </si>
  <si>
    <t>Transferencias a fideicomisos, mandatos y contratos análogos a entidades paraestatales</t>
  </si>
  <si>
    <t>52620-1</t>
  </si>
  <si>
    <t>Transferencias a fideicomisos públicos de entidades paraestatales no empresariales y no financieras</t>
  </si>
  <si>
    <t>52620-2</t>
  </si>
  <si>
    <t>Transferencias a fideicomisos públicos de entidades paraestatales empresariales y no financieras</t>
  </si>
  <si>
    <t>52620-3</t>
  </si>
  <si>
    <t>Transferencias a fideicomisos de instituciones públicas financieras</t>
  </si>
  <si>
    <t>52620-4</t>
  </si>
  <si>
    <t xml:space="preserve">Otras transferencias a fideicomisos   </t>
  </si>
  <si>
    <t>52700</t>
  </si>
  <si>
    <t>TRANSFERENCIAS A LA SEGURIDAD SOCIAL</t>
  </si>
  <si>
    <t>52710</t>
  </si>
  <si>
    <t>Transferencias por obligaciones de ley</t>
  </si>
  <si>
    <t>52710-1</t>
  </si>
  <si>
    <t>Transferencias por obligación de ley</t>
  </si>
  <si>
    <t>52800</t>
  </si>
  <si>
    <t>DONATIVOS</t>
  </si>
  <si>
    <t>52810</t>
  </si>
  <si>
    <t>Donativos a instituciones sin fines de lucro</t>
  </si>
  <si>
    <t>52810-1</t>
  </si>
  <si>
    <t>52820</t>
  </si>
  <si>
    <t>Donativos a entidades federativas y municipios</t>
  </si>
  <si>
    <t>52820-1</t>
  </si>
  <si>
    <t xml:space="preserve">Donativos a entidades federativas </t>
  </si>
  <si>
    <t>52830</t>
  </si>
  <si>
    <r>
      <rPr>
        <sz val="11"/>
        <color theme="1"/>
        <rFont val="Calibri"/>
      </rPr>
      <t>Donativos a fideicomisos, mandatos y contratos análogos</t>
    </r>
    <r>
      <rPr>
        <sz val="11"/>
        <color theme="1"/>
        <rFont val="Calibri"/>
      </rPr>
      <t xml:space="preserve"> privados</t>
    </r>
  </si>
  <si>
    <t>52830-1</t>
  </si>
  <si>
    <t>Donativos a fideicomisos privados</t>
  </si>
  <si>
    <t>52840</t>
  </si>
  <si>
    <t>Donativos a fideicomisos mandatos y contratos análogos estatales</t>
  </si>
  <si>
    <t>52840-1</t>
  </si>
  <si>
    <t>Donativos a fideicomisos estatales</t>
  </si>
  <si>
    <t>52850</t>
  </si>
  <si>
    <t>Donativos internacionales</t>
  </si>
  <si>
    <t>52850-1</t>
  </si>
  <si>
    <t>52900</t>
  </si>
  <si>
    <t>TRANSFERENCIAS AL EXTERIOR</t>
  </si>
  <si>
    <t>52910</t>
  </si>
  <si>
    <t>Transferencias al exterior a gobiernos extranjeros y organismos internacionales</t>
  </si>
  <si>
    <t>52910-1</t>
  </si>
  <si>
    <t>Transferencias para gobiernos extranjeros</t>
  </si>
  <si>
    <t>52910-2</t>
  </si>
  <si>
    <t>Transferencias para organismos internacionales</t>
  </si>
  <si>
    <t>52920</t>
  </si>
  <si>
    <t>Transferencias al sector privado externo</t>
  </si>
  <si>
    <t>52920-1</t>
  </si>
  <si>
    <t>Transferencias para el sector privado externo</t>
  </si>
  <si>
    <t>53000</t>
  </si>
  <si>
    <t>PARTICIPACIONES Y APORTACIONES</t>
  </si>
  <si>
    <t>53100</t>
  </si>
  <si>
    <t>PARTICIPACIONES</t>
  </si>
  <si>
    <t>53110</t>
  </si>
  <si>
    <t>Participaciones de la federación a entidades federativas y municipios</t>
  </si>
  <si>
    <t>53110-1</t>
  </si>
  <si>
    <t>Fondo general de participaciones</t>
  </si>
  <si>
    <t>53110-2</t>
  </si>
  <si>
    <t>Otros conceptos participables de la Federación a entidades federativas</t>
  </si>
  <si>
    <t>53110-3</t>
  </si>
  <si>
    <t>Fondo de fomento municipal</t>
  </si>
  <si>
    <t>53120</t>
  </si>
  <si>
    <t>Participaciones de las entidades federativas a los municipios</t>
  </si>
  <si>
    <t>53120-1</t>
  </si>
  <si>
    <t>53120-2</t>
  </si>
  <si>
    <t>Otros conceptos participables de la Federación a municipios</t>
  </si>
  <si>
    <t>53120-3</t>
  </si>
  <si>
    <t>Convenios de colaboración administrativa</t>
  </si>
  <si>
    <t>53200</t>
  </si>
  <si>
    <t>53210</t>
  </si>
  <si>
    <t>Aportaciones de la federación a entidades federativas y municipios</t>
  </si>
  <si>
    <t>53210-1</t>
  </si>
  <si>
    <t>Aportaciones de la Federación a las entidades federativas</t>
  </si>
  <si>
    <t>53210-2</t>
  </si>
  <si>
    <t>Aportaciones de la Federación a municipios</t>
  </si>
  <si>
    <t>53210-3</t>
  </si>
  <si>
    <t>Aportaciones  previstas en leyes y decretos al sistema de protección social</t>
  </si>
  <si>
    <t>53210-4</t>
  </si>
  <si>
    <t>Aportaciones previstas en leyes y decretos compensatorias a entidades federativas y municipios</t>
  </si>
  <si>
    <t>53220</t>
  </si>
  <si>
    <t>Aportaciones de las entidades federativas a los municipios</t>
  </si>
  <si>
    <t>53220-1</t>
  </si>
  <si>
    <t>53300</t>
  </si>
  <si>
    <t>CONVENIOS</t>
  </si>
  <si>
    <t>53310</t>
  </si>
  <si>
    <t>Convenios de reasignación</t>
  </si>
  <si>
    <t>53310-1</t>
  </si>
  <si>
    <t>53320</t>
  </si>
  <si>
    <t>Convenios de descentralización y otros</t>
  </si>
  <si>
    <t>53320-1</t>
  </si>
  <si>
    <t>Convenios de descentralización</t>
  </si>
  <si>
    <t>53320-2</t>
  </si>
  <si>
    <t>Otros convenios</t>
  </si>
  <si>
    <t>54000</t>
  </si>
  <si>
    <t>INTERESES, COMISIONES Y OTROS GASTOS DE LA DEUDA PÚBLICA</t>
  </si>
  <si>
    <t>54100</t>
  </si>
  <si>
    <t>INTERESES DE LA DEUDA PÚBLICA</t>
  </si>
  <si>
    <t>54110</t>
  </si>
  <si>
    <t>Intereses de la deuda pública interna</t>
  </si>
  <si>
    <t>54110-1</t>
  </si>
  <si>
    <t>Intereses de la deuda interna con instituciones de crédito</t>
  </si>
  <si>
    <t>54110-2</t>
  </si>
  <si>
    <t>Intereses derivados de la colocación de títulos y valores</t>
  </si>
  <si>
    <t>54110-3</t>
  </si>
  <si>
    <t>Intereses por arrendamientos  financieros nacionales</t>
  </si>
  <si>
    <t>54120</t>
  </si>
  <si>
    <t>Intereses de la deuda pública externa</t>
  </si>
  <si>
    <t>54120-1</t>
  </si>
  <si>
    <t xml:space="preserve">Intereses de la deuda externa con instituciones de crédito </t>
  </si>
  <si>
    <t>54120-2</t>
  </si>
  <si>
    <t>Intereses de la deuda con organismos financieros internacionales</t>
  </si>
  <si>
    <t>54120-3</t>
  </si>
  <si>
    <t xml:space="preserve">Intereses de la deuda bilateral  </t>
  </si>
  <si>
    <t>54120-4</t>
  </si>
  <si>
    <t>Intereses derivados de la colocación de títulos y valores en el exterior</t>
  </si>
  <si>
    <t>54120-5</t>
  </si>
  <si>
    <t>Intereses por arrendamientos financieros internacionales</t>
  </si>
  <si>
    <t>54200</t>
  </si>
  <si>
    <t>COMISIONES DE LA DEUDA PÚBLICA</t>
  </si>
  <si>
    <t>54210</t>
  </si>
  <si>
    <t>Comisiones de la deuda pública interna</t>
  </si>
  <si>
    <t>54210-1</t>
  </si>
  <si>
    <t>54220</t>
  </si>
  <si>
    <t>Comisiones de la deuda pública externa</t>
  </si>
  <si>
    <t>54220-1</t>
  </si>
  <si>
    <t>54300</t>
  </si>
  <si>
    <t>GASTOS DE LA DEUDA PÚBLICA</t>
  </si>
  <si>
    <t>54310</t>
  </si>
  <si>
    <t>Gastos de la deuda pública interna</t>
  </si>
  <si>
    <t>54310-1</t>
  </si>
  <si>
    <t>54320</t>
  </si>
  <si>
    <t>Gastos de la deuda pública externa</t>
  </si>
  <si>
    <t>54320-1</t>
  </si>
  <si>
    <t>Gastos de la deuda  pública externa</t>
  </si>
  <si>
    <t>54400</t>
  </si>
  <si>
    <t>COSTO POR COBERTURAS</t>
  </si>
  <si>
    <t>54410</t>
  </si>
  <si>
    <t>Costo por coberturas</t>
  </si>
  <si>
    <t>54410-1</t>
  </si>
  <si>
    <t>Costos por coberturas</t>
  </si>
  <si>
    <t>54500</t>
  </si>
  <si>
    <t>APOYOS FINANCIEROS</t>
  </si>
  <si>
    <t>54510</t>
  </si>
  <si>
    <t>Apoyos financieros a intermediarios</t>
  </si>
  <si>
    <t>54510-1</t>
  </si>
  <si>
    <t>Apoyos a intermediarios financieros</t>
  </si>
  <si>
    <t>54520</t>
  </si>
  <si>
    <t>Apoyos financieros a ahorradores y deudores del sistema financiero nacional</t>
  </si>
  <si>
    <t>54520-1</t>
  </si>
  <si>
    <t>Apoyos a ahorradores y deudores del Sistema Financiero Nacional</t>
  </si>
  <si>
    <t>55000</t>
  </si>
  <si>
    <t>OTROS GASTOS Y PÉRDIDAS EXTRAORDINARIAS</t>
  </si>
  <si>
    <t>55100</t>
  </si>
  <si>
    <t>ESTIMACIONES, DEPRECIACIONES, DETERIOROS, OBSOLESCENCIA Y AMORTIZACIONES</t>
  </si>
  <si>
    <t>55110</t>
  </si>
  <si>
    <t>Estimaciones de pérdida por deterioro de activos circulantes</t>
  </si>
  <si>
    <t>55120</t>
  </si>
  <si>
    <t>Estimaciones de pérdida por deterioro de activo no circulante</t>
  </si>
  <si>
    <t>55130</t>
  </si>
  <si>
    <t>Depreciación de bienes inmuebles</t>
  </si>
  <si>
    <t>55140</t>
  </si>
  <si>
    <t>Depreciación de infraestructura</t>
  </si>
  <si>
    <t>55150</t>
  </si>
  <si>
    <t>Depreciación de bienes muebles</t>
  </si>
  <si>
    <t>55160</t>
  </si>
  <si>
    <t>Deterioro de bienes</t>
  </si>
  <si>
    <t>55170</t>
  </si>
  <si>
    <t>Amortización de activos intangibles</t>
  </si>
  <si>
    <t>55180</t>
  </si>
  <si>
    <t>Disminución de bienes por pérdida u obsolescencia</t>
  </si>
  <si>
    <t>55200</t>
  </si>
  <si>
    <t xml:space="preserve">PROVISIONES  </t>
  </si>
  <si>
    <t>55210</t>
  </si>
  <si>
    <t>Provisiones de pasivos a corto plazo</t>
  </si>
  <si>
    <t>55220</t>
  </si>
  <si>
    <t>Provisiones de pasivos a largo plazo</t>
  </si>
  <si>
    <t>55300</t>
  </si>
  <si>
    <t>DISMINUCIÓN DE INVENTARIOS</t>
  </si>
  <si>
    <t>55310</t>
  </si>
  <si>
    <t>Disminución de inventarios de mercancías para venta</t>
  </si>
  <si>
    <t>55320</t>
  </si>
  <si>
    <t>Disminución de inventarios de mercancías terminadas</t>
  </si>
  <si>
    <t>55330</t>
  </si>
  <si>
    <t>Disminución de inventarios de mercancías en proceso de elaboración</t>
  </si>
  <si>
    <t>55340</t>
  </si>
  <si>
    <t>Disminución de inventarios de materias primas, materiales y suministros para producción</t>
  </si>
  <si>
    <t>55350</t>
  </si>
  <si>
    <t>Disminución de almacén de materiales y suministros de consumo</t>
  </si>
  <si>
    <t>55400</t>
  </si>
  <si>
    <t>AUMENTO POR INSUFICIENCIA DE ESTIMACIONES POR PÉRDIDA O DETERIORO U OBSOLESCENCIA (Derogada)</t>
  </si>
  <si>
    <t>55410</t>
  </si>
  <si>
    <t>Aumento por insuficiencia de estimaciones por pérdida o deterioro u obsolescencia (Derogada)</t>
  </si>
  <si>
    <t>55500</t>
  </si>
  <si>
    <t>AUMENTO POR INSUFICIENCIA DE PROVISIONES (Derogada)</t>
  </si>
  <si>
    <t>55510</t>
  </si>
  <si>
    <t>55900</t>
  </si>
  <si>
    <t>OTROS GASTOS</t>
  </si>
  <si>
    <t>55910</t>
  </si>
  <si>
    <t>Gastos de ejercicios anteriores</t>
  </si>
  <si>
    <t>55920</t>
  </si>
  <si>
    <t>Pérdidas por responsabilidades</t>
  </si>
  <si>
    <t>55930</t>
  </si>
  <si>
    <t>Bonificaciones y descuentos otorgados</t>
  </si>
  <si>
    <t>55940</t>
  </si>
  <si>
    <t>Diferencias por tipo de cambio negativas</t>
  </si>
  <si>
    <t>55950</t>
  </si>
  <si>
    <t>Diferencias de cotizaciones negativas en valores negociables</t>
  </si>
  <si>
    <t>55960</t>
  </si>
  <si>
    <t>55970</t>
  </si>
  <si>
    <t>Pérdidas por participación patrimonial</t>
  </si>
  <si>
    <t>55980</t>
  </si>
  <si>
    <t>Diferencias por reestructuración de deuda pública negativas</t>
  </si>
  <si>
    <t>55990</t>
  </si>
  <si>
    <t>Otros gastos varios</t>
  </si>
  <si>
    <t>56000</t>
  </si>
  <si>
    <t>INVERSIÓN PÚBLICA</t>
  </si>
  <si>
    <t>56100</t>
  </si>
  <si>
    <t>INVERSIÓN PÚBLICA NO CAPITALIZABLE</t>
  </si>
  <si>
    <t>56110</t>
  </si>
  <si>
    <t>Construcción en bienes no capitalizables</t>
  </si>
  <si>
    <t>60000</t>
  </si>
  <si>
    <t>CUENTAS DE CIERRE CONTABLE</t>
  </si>
  <si>
    <t>61000</t>
  </si>
  <si>
    <t>RESUMEN DE INGRESOS Y GASTOS</t>
  </si>
  <si>
    <t>62000</t>
  </si>
  <si>
    <t>AHORRO DE LA GESTIÓN</t>
  </si>
  <si>
    <t>63000</t>
  </si>
  <si>
    <t>DESAHORRO DE LA GESTIÓN</t>
  </si>
  <si>
    <t xml:space="preserve"> </t>
  </si>
  <si>
    <t>SUMAS IGUALES DE CUENTAS FINANCIERAS</t>
  </si>
  <si>
    <t>CUENTAS DE ORDEN CONTABLES</t>
  </si>
  <si>
    <t>VALORES</t>
  </si>
  <si>
    <t>VALORES EN CUSTODIA</t>
  </si>
  <si>
    <t>CUSTODIA DE VALORES</t>
  </si>
  <si>
    <t>INSTRUMENTOS DE CRÉDITO PRESTADOS A FORMADORES DE MERCADO</t>
  </si>
  <si>
    <t>PRÉSTAMO DE INSTRUMENTOS DE CRÉDITO A FORMADORES DE MERCADO Y SU GARANTÍA</t>
  </si>
  <si>
    <t>INSTRUMENTOS DE CRÉDITO RECIBIDOS EN GARANTÍA DE LOS FORMADORES DE MERCADO</t>
  </si>
  <si>
    <t>GARANTÍA DE CRÉDITOS RECIBIDOS DE LOS FORMADORES DE MERCADO</t>
  </si>
  <si>
    <t>EMISION DE OBLIGACIONES</t>
  </si>
  <si>
    <t>AUTORIZACIÓN PARA LA EMISIÓN DE BONOS, TÍTULOS Y VALORES DE LA DEUDA PÚBLICA INTERNA</t>
  </si>
  <si>
    <t>AUTORIZACIÓN PARA LA EMISIÓN DE BONOS, TÍTULOS Y VALORES DE LA DEUDA PÚBLICA EXTERNA</t>
  </si>
  <si>
    <t>EMISIONES AUTORIZADAS DE LA DEUDA PÚBLICA INTERNA Y EXTERNA</t>
  </si>
  <si>
    <t>SUSCRIPCIÓN DE CONTRATOS DE PRÉSTAMOS Y OTRAS OBLIGACIONES DE LA DEUDA PÚBLICA INTERNA</t>
  </si>
  <si>
    <t>SUSCRIPCIÓN DE CONTRATOS DE PRÉSTAMOS Y OTRAS OBLIGACIONES DE LA DEUDA PÚBLICA EXTERNA</t>
  </si>
  <si>
    <t>CONTRATOS DE PRÉSTAMOS Y OTRAS OBLIGACIONES DE LA DEUDA PÚBLICA INTERNA Y EXTERNA</t>
  </si>
  <si>
    <t>AVALES Y GARANTIAS</t>
  </si>
  <si>
    <t>AVALES AUTORIZADOS</t>
  </si>
  <si>
    <t>AVALES FIRMADOS</t>
  </si>
  <si>
    <t>FIANZAS Y GARANTÍAS RECIBIDAS POR DEUDAS A COBRAR</t>
  </si>
  <si>
    <t>FIANZAS Y GARANTÍAS RECIBIDAS</t>
  </si>
  <si>
    <t>FIANZAS OTORGADAS PARA RESPALDAR OBLIGACIONES NO FISCALES DEL GOBIERNO</t>
  </si>
  <si>
    <t>FIANZAS OTORGADAS DEL GOBIERNO PARA RESPALDAR OBLIGACIONES NO FISCALES</t>
  </si>
  <si>
    <t>JUICIOS</t>
  </si>
  <si>
    <t>DEMANDAS JUDICIAL EN PROCESO DE RESOLUCIÓN</t>
  </si>
  <si>
    <t>RESOLUCIÓN DE DEMANDAS EN PROCESO JUDICIAL</t>
  </si>
  <si>
    <t>INVERSION MEDIANTE PROYECTOS PARA PRESTACION DE SERVICIOS (PPS) Y SIMILARES</t>
  </si>
  <si>
    <t>CONTRATOS PARA INVERSIÓN MEDIANTE PROYECTOS PARA PRESTACIÓN DE SERVICIOS (PPS) Y SIMILARES</t>
  </si>
  <si>
    <t>INVERSIÓN PÚBLICA CONTRATADA MEDIANTE PROYECTOS PARA PRESTACIÓN DE SERVICIOS (PPS) Y SIMILARES</t>
  </si>
  <si>
    <t>BIENES CONCESIONADOS O EN COMODATO</t>
  </si>
  <si>
    <t>BIENES BAJO CONTRATO EN CONCESIÓN</t>
  </si>
  <si>
    <t>CONTRATO DE CONCESIÓN POR BIENES</t>
  </si>
  <si>
    <t>BIENES BAJO CONTRATO EN COMODATO</t>
  </si>
  <si>
    <t>CONTRATO DE COMODATO POR BIENES</t>
  </si>
  <si>
    <t>BIENES ARQUEOLÓGICOS, ARTÍSTICOS E HISTÓRICOS</t>
  </si>
  <si>
    <t>BIENES ARQUEOLÓGICOS</t>
  </si>
  <si>
    <t>BIENES ARTÍSTICOS</t>
  </si>
  <si>
    <t>BIENES HISTÓRICOS</t>
  </si>
  <si>
    <t>ARQUEOLÓGICOS, ARTÍSTICOS E HISTÓRICOS BIENES</t>
  </si>
  <si>
    <t>SUMAS IGUALES DE CUENTAS DE ORDEN</t>
  </si>
  <si>
    <t>CUENTAS DE ORDEN PRESUPUESTARIAS</t>
  </si>
  <si>
    <t>LEY DE INGRESOS</t>
  </si>
  <si>
    <t>LEY DE INGRESOS ESTIMADA</t>
  </si>
  <si>
    <t>81100-10</t>
  </si>
  <si>
    <t>Impuestos</t>
  </si>
  <si>
    <t>81100-11</t>
  </si>
  <si>
    <t>81100-12</t>
  </si>
  <si>
    <t>Impuestos sobre patrimonio</t>
  </si>
  <si>
    <t>81100-13</t>
  </si>
  <si>
    <t>Impuestos sobre la producción, el consumo y las transacciones</t>
  </si>
  <si>
    <t>81100-14</t>
  </si>
  <si>
    <t>81100-15</t>
  </si>
  <si>
    <t>81100-16</t>
  </si>
  <si>
    <t>81100-17</t>
  </si>
  <si>
    <t>Accesorios</t>
  </si>
  <si>
    <t>81100-18</t>
  </si>
  <si>
    <t>81100-19</t>
  </si>
  <si>
    <t>Impuestos no Comprendidos en la ley de ingresos vigente, causados en ejercicios fiscales anteriores pendientes de liquidar o pago</t>
  </si>
  <si>
    <t>81100-20</t>
  </si>
  <si>
    <t>Cuotas y aportaciones de seguridad social</t>
  </si>
  <si>
    <t>81100-21</t>
  </si>
  <si>
    <t>81100-22</t>
  </si>
  <si>
    <t>Cuotas para la seguridad social</t>
  </si>
  <si>
    <t>81100-23</t>
  </si>
  <si>
    <t>81100-24</t>
  </si>
  <si>
    <t>81100-25</t>
  </si>
  <si>
    <t>81100-30</t>
  </si>
  <si>
    <t>Contribuciones de mejora</t>
  </si>
  <si>
    <t>81100-31</t>
  </si>
  <si>
    <t>81100-32</t>
  </si>
  <si>
    <t>Contribuciones de mejoras no  comprendidas en la ley de ingresos vigente, causadas en ejercicios fiscales anteriores pendientes de liquidación o pago</t>
  </si>
  <si>
    <t>81100-40</t>
  </si>
  <si>
    <t>Derechos</t>
  </si>
  <si>
    <t>81100-41</t>
  </si>
  <si>
    <t>81100-42</t>
  </si>
  <si>
    <t>Derecho a los hidrocarburos (derogado)</t>
  </si>
  <si>
    <t>81100-43</t>
  </si>
  <si>
    <t>81100-44</t>
  </si>
  <si>
    <t>81100-45</t>
  </si>
  <si>
    <t>Accesorios de derechos</t>
  </si>
  <si>
    <t>81100-46</t>
  </si>
  <si>
    <t>81100-50</t>
  </si>
  <si>
    <t>81100-51</t>
  </si>
  <si>
    <t>81100-52</t>
  </si>
  <si>
    <t>Productos de capital (derogado)</t>
  </si>
  <si>
    <t>81100-53</t>
  </si>
  <si>
    <t>Productos no comprendidos en la ley de ingresos vigente, causados en ejercicios fiscales anteriores pendientes de liquidación o pago</t>
  </si>
  <si>
    <t>81100-60</t>
  </si>
  <si>
    <t>Aprovechamientos</t>
  </si>
  <si>
    <t>81100-61</t>
  </si>
  <si>
    <t>81100-62</t>
  </si>
  <si>
    <t>Aprovechamientos patrimoniales</t>
  </si>
  <si>
    <t>81100-63</t>
  </si>
  <si>
    <t>Accesorios de aprovechamientos</t>
  </si>
  <si>
    <t>81100-64</t>
  </si>
  <si>
    <t>81100-70</t>
  </si>
  <si>
    <t>Ingresos por venta de bienes, prestación de servicios y otros ingresos</t>
  </si>
  <si>
    <t>81100-71</t>
  </si>
  <si>
    <t>81100-72</t>
  </si>
  <si>
    <t>81100-73</t>
  </si>
  <si>
    <t>81100-74</t>
  </si>
  <si>
    <t>Ingresos por venta de bienes y prestación de servicios de entidades paraestatales empresariales y no financieros con participación estatal mayoritaria</t>
  </si>
  <si>
    <t>81100-75</t>
  </si>
  <si>
    <t>81100-76</t>
  </si>
  <si>
    <t>81100-77</t>
  </si>
  <si>
    <t>81100-78</t>
  </si>
  <si>
    <t>Ingresos por venta de bienes y prestación de servicios de los poderes legislativo y judicial, y de los órganos autónomos</t>
  </si>
  <si>
    <t>81100-79</t>
  </si>
  <si>
    <t>Otros ingresos</t>
  </si>
  <si>
    <t>81100-80</t>
  </si>
  <si>
    <t>Participaciones, aportaciones, convenios, incentivos derivados de la colaboración fiscal y fondos distintos de aportaciones</t>
  </si>
  <si>
    <t>81100-81</t>
  </si>
  <si>
    <t>81100-81-1</t>
  </si>
  <si>
    <t>81100-81-2</t>
  </si>
  <si>
    <t>81100-81-3</t>
  </si>
  <si>
    <t>81100-81-4</t>
  </si>
  <si>
    <t>81100-81-5</t>
  </si>
  <si>
    <t>81100-81-6</t>
  </si>
  <si>
    <t>81100-81-7</t>
  </si>
  <si>
    <t>81100-81-8</t>
  </si>
  <si>
    <t>81100-81-9</t>
  </si>
  <si>
    <t>81100-81-10</t>
  </si>
  <si>
    <t>Fondo de impuesto sobre la renta (federal)</t>
  </si>
  <si>
    <t>81100-81-11</t>
  </si>
  <si>
    <t>81100-81-12</t>
  </si>
  <si>
    <t>Participaciones en ingresos locales (Participaciones del estado)</t>
  </si>
  <si>
    <t>81100-82</t>
  </si>
  <si>
    <t>81100-82-1</t>
  </si>
  <si>
    <t>81100-82-2</t>
  </si>
  <si>
    <t>Fondo de aportaciones para el fortalecimiento de los municipios y de las demarcaciones territoriales del distrito federal</t>
  </si>
  <si>
    <t>81100-83</t>
  </si>
  <si>
    <r>
      <rPr>
        <i/>
        <sz val="11"/>
        <color theme="1"/>
        <rFont val="Calibri"/>
      </rPr>
      <t xml:space="preserve">Convenios </t>
    </r>
    <r>
      <rPr>
        <i/>
        <sz val="11"/>
        <color rgb="FFFF0000"/>
        <rFont val="Calibri"/>
      </rPr>
      <t>(Con ingresos de libre disposición)</t>
    </r>
  </si>
  <si>
    <t>81100-84</t>
  </si>
  <si>
    <r>
      <rPr>
        <i/>
        <sz val="11"/>
        <color theme="1"/>
        <rFont val="Calibri"/>
      </rPr>
      <t xml:space="preserve">Convenios </t>
    </r>
    <r>
      <rPr>
        <i/>
        <sz val="11"/>
        <color rgb="FFFF0000"/>
        <rFont val="Calibri"/>
      </rPr>
      <t>(Con ingresos etiquetados)</t>
    </r>
  </si>
  <si>
    <t>81100-84-1</t>
  </si>
  <si>
    <t>81100-84-2</t>
  </si>
  <si>
    <t>81100-84-3</t>
  </si>
  <si>
    <t>81100-84-4</t>
  </si>
  <si>
    <t>Otros convenios y subsidios</t>
  </si>
  <si>
    <t>81100-85</t>
  </si>
  <si>
    <t>81100-85-1</t>
  </si>
  <si>
    <t>81100-85-2</t>
  </si>
  <si>
    <t>81100-85-3</t>
  </si>
  <si>
    <t>81100-85-4</t>
  </si>
  <si>
    <t>81100-85-5</t>
  </si>
  <si>
    <t>81100-86</t>
  </si>
  <si>
    <t>81100-86-1</t>
  </si>
  <si>
    <t>81100-86-2</t>
  </si>
  <si>
    <t>81100-90</t>
  </si>
  <si>
    <t>Transferencias, asignaciones, subsidios y subvenciones, y pensiones y jubilaciones</t>
  </si>
  <si>
    <t>81100-91</t>
  </si>
  <si>
    <r>
      <rPr>
        <i/>
        <sz val="11"/>
        <color theme="1"/>
        <rFont val="Calibri"/>
      </rPr>
      <t xml:space="preserve">Transferencias y asignaciones </t>
    </r>
    <r>
      <rPr>
        <i/>
        <sz val="11"/>
        <color rgb="FFFF0000"/>
        <rFont val="Calibri"/>
      </rPr>
      <t>(Con ingresos de libre disposición)</t>
    </r>
  </si>
  <si>
    <t>81100-92</t>
  </si>
  <si>
    <r>
      <rPr>
        <i/>
        <sz val="11"/>
        <color theme="1"/>
        <rFont val="Calibri"/>
      </rPr>
      <t xml:space="preserve">Transferencias y asignaciones </t>
    </r>
    <r>
      <rPr>
        <i/>
        <sz val="11"/>
        <color rgb="FFFF0000"/>
        <rFont val="Calibri"/>
      </rPr>
      <t>(Con ingresos etiquetados)</t>
    </r>
  </si>
  <si>
    <t>81100-93</t>
  </si>
  <si>
    <t>Transferencias al resto del sector público (derogado)</t>
  </si>
  <si>
    <t>81100-94</t>
  </si>
  <si>
    <r>
      <rPr>
        <i/>
        <sz val="11"/>
        <color theme="1"/>
        <rFont val="Calibri"/>
      </rPr>
      <t xml:space="preserve">Subsidios y subvenciones </t>
    </r>
    <r>
      <rPr>
        <i/>
        <sz val="11"/>
        <color rgb="FFFF0000"/>
        <rFont val="Calibri"/>
      </rPr>
      <t>(Con ingresos de libre disposición)</t>
    </r>
  </si>
  <si>
    <t>81100-95</t>
  </si>
  <si>
    <r>
      <rPr>
        <i/>
        <sz val="11"/>
        <color theme="1"/>
        <rFont val="Calibri"/>
      </rPr>
      <t xml:space="preserve">Subsidios y subvenciones </t>
    </r>
    <r>
      <rPr>
        <i/>
        <sz val="11"/>
        <color rgb="FFFF0000"/>
        <rFont val="Calibri"/>
      </rPr>
      <t>(Con ingresos etiquetados)</t>
    </r>
  </si>
  <si>
    <t>81100-96</t>
  </si>
  <si>
    <t>Ayudas sociales (derogado)</t>
  </si>
  <si>
    <t>81100-97</t>
  </si>
  <si>
    <t>81100-98</t>
  </si>
  <si>
    <t>Transferencias a fideicomisos, mandatos y análogos (derogado)</t>
  </si>
  <si>
    <t>81100-99</t>
  </si>
  <si>
    <t>81100-00</t>
  </si>
  <si>
    <t>Ingresos derivados de financiamiento</t>
  </si>
  <si>
    <t>81100-01</t>
  </si>
  <si>
    <t>Endeudamiento interno</t>
  </si>
  <si>
    <t>81100-02</t>
  </si>
  <si>
    <t>Endeudamiento externo</t>
  </si>
  <si>
    <t>81100-03</t>
  </si>
  <si>
    <t>Financiamiento interno</t>
  </si>
  <si>
    <t>81100-03-1</t>
  </si>
  <si>
    <t>Ingresos derivados de financiamiento con fuente de pago de ingresos de libre disposición</t>
  </si>
  <si>
    <t>81100-03-2</t>
  </si>
  <si>
    <t>Ingresos derivados de financiamiento con fuente de pago de transferencias federales etiquetadas</t>
  </si>
  <si>
    <t>LEY DE INGRESOS POR EJECUTAR</t>
  </si>
  <si>
    <t>81200-10</t>
  </si>
  <si>
    <t>81200-11</t>
  </si>
  <si>
    <t>81200-12</t>
  </si>
  <si>
    <t>81200-13</t>
  </si>
  <si>
    <t>81200-14</t>
  </si>
  <si>
    <t>81200-15</t>
  </si>
  <si>
    <t>81200-16</t>
  </si>
  <si>
    <t>81200-17</t>
  </si>
  <si>
    <t>81200-18</t>
  </si>
  <si>
    <t>81200-19</t>
  </si>
  <si>
    <t>81200-20</t>
  </si>
  <si>
    <t>81200-21</t>
  </si>
  <si>
    <t>81200-22</t>
  </si>
  <si>
    <t>81200-23</t>
  </si>
  <si>
    <t>81200-24</t>
  </si>
  <si>
    <t>81200-25</t>
  </si>
  <si>
    <t>81200-30</t>
  </si>
  <si>
    <t>81200-31</t>
  </si>
  <si>
    <t>81200-32</t>
  </si>
  <si>
    <t>81200-40</t>
  </si>
  <si>
    <t>81200-41</t>
  </si>
  <si>
    <t>81200-42</t>
  </si>
  <si>
    <t>81200-43</t>
  </si>
  <si>
    <t>81200-44</t>
  </si>
  <si>
    <t>81200-45</t>
  </si>
  <si>
    <t>81200-46</t>
  </si>
  <si>
    <t>81200-50</t>
  </si>
  <si>
    <t>81200-51</t>
  </si>
  <si>
    <t>81200-52</t>
  </si>
  <si>
    <t>81200-53</t>
  </si>
  <si>
    <t>81200-60</t>
  </si>
  <si>
    <t>81200-61</t>
  </si>
  <si>
    <t>81200-62</t>
  </si>
  <si>
    <t>81200-63</t>
  </si>
  <si>
    <t>81200-64</t>
  </si>
  <si>
    <t>81200-70</t>
  </si>
  <si>
    <t>81200-71</t>
  </si>
  <si>
    <t>81200-72</t>
  </si>
  <si>
    <t>81200-73</t>
  </si>
  <si>
    <t>81200-74</t>
  </si>
  <si>
    <t>81200-75</t>
  </si>
  <si>
    <t>81200-76</t>
  </si>
  <si>
    <t>81200-77</t>
  </si>
  <si>
    <t>81200-78</t>
  </si>
  <si>
    <t>81200-79</t>
  </si>
  <si>
    <t>81200-80</t>
  </si>
  <si>
    <t>81200-81</t>
  </si>
  <si>
    <t>81200-81-1</t>
  </si>
  <si>
    <t>81200-81-2</t>
  </si>
  <si>
    <t>81200-81-3</t>
  </si>
  <si>
    <t>81200-81-4</t>
  </si>
  <si>
    <t>81200-81-5</t>
  </si>
  <si>
    <t>81200-81-6</t>
  </si>
  <si>
    <t>81200-81-7</t>
  </si>
  <si>
    <t>81200-81-8</t>
  </si>
  <si>
    <t>81200-81-9</t>
  </si>
  <si>
    <t>81200-81-10</t>
  </si>
  <si>
    <t>81200-81-11</t>
  </si>
  <si>
    <t>81200-81-12</t>
  </si>
  <si>
    <t>81200-82</t>
  </si>
  <si>
    <t>81200-82-1</t>
  </si>
  <si>
    <t>81200-82-2</t>
  </si>
  <si>
    <t>81200-83</t>
  </si>
  <si>
    <r>
      <rPr>
        <i/>
        <sz val="11"/>
        <color theme="1"/>
        <rFont val="Calibri"/>
      </rPr>
      <t xml:space="preserve">Convenios </t>
    </r>
    <r>
      <rPr>
        <i/>
        <sz val="11"/>
        <color rgb="FFFF0000"/>
        <rFont val="Calibri"/>
      </rPr>
      <t>(Con ingresos de libre disposición)</t>
    </r>
  </si>
  <si>
    <t>81200-84</t>
  </si>
  <si>
    <r>
      <rPr>
        <i/>
        <sz val="11"/>
        <color theme="1"/>
        <rFont val="Calibri"/>
      </rPr>
      <t xml:space="preserve">Convenios </t>
    </r>
    <r>
      <rPr>
        <i/>
        <sz val="11"/>
        <color rgb="FFFF0000"/>
        <rFont val="Calibri"/>
      </rPr>
      <t>(Con ingresos etiquetados)</t>
    </r>
  </si>
  <si>
    <t>81200-84-1</t>
  </si>
  <si>
    <t>81200-84-2</t>
  </si>
  <si>
    <t>81200-84-3</t>
  </si>
  <si>
    <t>81200-84-4</t>
  </si>
  <si>
    <t>81200-85</t>
  </si>
  <si>
    <t>81200-85-1</t>
  </si>
  <si>
    <t>81200-85-2</t>
  </si>
  <si>
    <t>81200-85-3</t>
  </si>
  <si>
    <t>81200-85-4</t>
  </si>
  <si>
    <t>81200-85-5</t>
  </si>
  <si>
    <t>81200-86</t>
  </si>
  <si>
    <t>81200-86-1</t>
  </si>
  <si>
    <t>81200-86-2</t>
  </si>
  <si>
    <t>81200-90</t>
  </si>
  <si>
    <t>81200-91</t>
  </si>
  <si>
    <r>
      <rPr>
        <i/>
        <sz val="11"/>
        <color theme="1"/>
        <rFont val="Calibri"/>
      </rPr>
      <t xml:space="preserve">Transferencias y asignaciones </t>
    </r>
    <r>
      <rPr>
        <i/>
        <sz val="11"/>
        <color rgb="FFFF0000"/>
        <rFont val="Calibri"/>
      </rPr>
      <t>(Con ingresos de libre disposición)</t>
    </r>
  </si>
  <si>
    <t>81200-92</t>
  </si>
  <si>
    <r>
      <rPr>
        <i/>
        <sz val="11"/>
        <color theme="1"/>
        <rFont val="Calibri"/>
      </rPr>
      <t xml:space="preserve">Transferencias y asignaciones </t>
    </r>
    <r>
      <rPr>
        <i/>
        <sz val="11"/>
        <color rgb="FFFF0000"/>
        <rFont val="Calibri"/>
      </rPr>
      <t>(Con ingresos etiquetados)</t>
    </r>
  </si>
  <si>
    <t>81200-93</t>
  </si>
  <si>
    <t>81200-94</t>
  </si>
  <si>
    <r>
      <rPr>
        <i/>
        <sz val="11"/>
        <color theme="1"/>
        <rFont val="Calibri"/>
      </rPr>
      <t xml:space="preserve">Subsidios y subvenciones </t>
    </r>
    <r>
      <rPr>
        <i/>
        <sz val="11"/>
        <color rgb="FFFF0000"/>
        <rFont val="Calibri"/>
      </rPr>
      <t>(Con ingresos de libre disposición)</t>
    </r>
  </si>
  <si>
    <t>81200-95</t>
  </si>
  <si>
    <r>
      <rPr>
        <i/>
        <sz val="11"/>
        <color theme="1"/>
        <rFont val="Calibri"/>
      </rPr>
      <t xml:space="preserve">Subsidios y subvenciones </t>
    </r>
    <r>
      <rPr>
        <i/>
        <sz val="11"/>
        <color rgb="FFFF0000"/>
        <rFont val="Calibri"/>
      </rPr>
      <t>(Con ingresos etiquetados)</t>
    </r>
  </si>
  <si>
    <t>81200-96</t>
  </si>
  <si>
    <t>81200-97</t>
  </si>
  <si>
    <t>81200-98</t>
  </si>
  <si>
    <t>81200-99</t>
  </si>
  <si>
    <t>81200-00</t>
  </si>
  <si>
    <t>81200-01</t>
  </si>
  <si>
    <t>81200-02</t>
  </si>
  <si>
    <t>81200-03</t>
  </si>
  <si>
    <t>81200-03-1</t>
  </si>
  <si>
    <t>81200-03-2</t>
  </si>
  <si>
    <t>MODIFICACIONES A LA LEY DE INGRESOS ESTIMADA</t>
  </si>
  <si>
    <t>81300-10</t>
  </si>
  <si>
    <t>81300-11</t>
  </si>
  <si>
    <t>81300-12</t>
  </si>
  <si>
    <t>81300-13</t>
  </si>
  <si>
    <t>81300-14</t>
  </si>
  <si>
    <t>81300-15</t>
  </si>
  <si>
    <t>81300-16</t>
  </si>
  <si>
    <t>81300-17</t>
  </si>
  <si>
    <t>81300-18</t>
  </si>
  <si>
    <t>81300-19</t>
  </si>
  <si>
    <t>81300-20</t>
  </si>
  <si>
    <t>81300-21</t>
  </si>
  <si>
    <t>81300-22</t>
  </si>
  <si>
    <t>81300-23</t>
  </si>
  <si>
    <t>81300-24</t>
  </si>
  <si>
    <t>81300-25</t>
  </si>
  <si>
    <t>81300-30</t>
  </si>
  <si>
    <t>81300-31</t>
  </si>
  <si>
    <t>81300-32</t>
  </si>
  <si>
    <t>81300-40</t>
  </si>
  <si>
    <t>81300-41</t>
  </si>
  <si>
    <t>81300-42</t>
  </si>
  <si>
    <t>81300-43</t>
  </si>
  <si>
    <t>81300-44</t>
  </si>
  <si>
    <t>81300-45</t>
  </si>
  <si>
    <t>81300-46</t>
  </si>
  <si>
    <t>81300-50</t>
  </si>
  <si>
    <t>81300-51</t>
  </si>
  <si>
    <t>81300-52</t>
  </si>
  <si>
    <t>81300-53</t>
  </si>
  <si>
    <t>81300-60</t>
  </si>
  <si>
    <t>81300-61</t>
  </si>
  <si>
    <t>81300-62</t>
  </si>
  <si>
    <t>81300-63</t>
  </si>
  <si>
    <t>81300-64</t>
  </si>
  <si>
    <t>81300-70</t>
  </si>
  <si>
    <t>81300-71</t>
  </si>
  <si>
    <t>81300-72</t>
  </si>
  <si>
    <t>81300-73</t>
  </si>
  <si>
    <t>81300-74</t>
  </si>
  <si>
    <t>81300-75</t>
  </si>
  <si>
    <t>81300-76</t>
  </si>
  <si>
    <t>81300-77</t>
  </si>
  <si>
    <t>81300-78</t>
  </si>
  <si>
    <t>81300-79</t>
  </si>
  <si>
    <t>81300-80</t>
  </si>
  <si>
    <t>81300-81</t>
  </si>
  <si>
    <t>81300-81-1</t>
  </si>
  <si>
    <t>81300-81-2</t>
  </si>
  <si>
    <t>81300-81-3</t>
  </si>
  <si>
    <t>81300-81-4</t>
  </si>
  <si>
    <t>81300-81-5</t>
  </si>
  <si>
    <t>81300-81-6</t>
  </si>
  <si>
    <t>81300-81-7</t>
  </si>
  <si>
    <t>81300-81-8</t>
  </si>
  <si>
    <t>81300-81-9</t>
  </si>
  <si>
    <t>81300-81-10</t>
  </si>
  <si>
    <t>81300-81-11</t>
  </si>
  <si>
    <t>81300-81-12</t>
  </si>
  <si>
    <t>81300-82</t>
  </si>
  <si>
    <t>81300-82-1</t>
  </si>
  <si>
    <t>81300-82-2</t>
  </si>
  <si>
    <t>81300-83</t>
  </si>
  <si>
    <r>
      <rPr>
        <i/>
        <sz val="11"/>
        <color theme="1"/>
        <rFont val="Calibri"/>
      </rPr>
      <t xml:space="preserve">Convenios </t>
    </r>
    <r>
      <rPr>
        <i/>
        <sz val="11"/>
        <color rgb="FFFF0000"/>
        <rFont val="Calibri"/>
      </rPr>
      <t>(Con ingresos de libre disposición)</t>
    </r>
  </si>
  <si>
    <t>81300-84</t>
  </si>
  <si>
    <r>
      <rPr>
        <i/>
        <sz val="11"/>
        <color theme="1"/>
        <rFont val="Calibri"/>
      </rPr>
      <t xml:space="preserve">Convenios </t>
    </r>
    <r>
      <rPr>
        <i/>
        <sz val="11"/>
        <color rgb="FFFF0000"/>
        <rFont val="Calibri"/>
      </rPr>
      <t>(Con ingresos etiquetados)</t>
    </r>
  </si>
  <si>
    <t>81300-84-1</t>
  </si>
  <si>
    <t>81300-84-2</t>
  </si>
  <si>
    <t>81300-84-3</t>
  </si>
  <si>
    <t>81300-84-4</t>
  </si>
  <si>
    <t>81300-85</t>
  </si>
  <si>
    <t>81300-85-1</t>
  </si>
  <si>
    <t>81300-85-2</t>
  </si>
  <si>
    <t>81300-85-3</t>
  </si>
  <si>
    <t>81300-85-4</t>
  </si>
  <si>
    <t>81300-85-5</t>
  </si>
  <si>
    <t>81300-86</t>
  </si>
  <si>
    <t>81300-86-1</t>
  </si>
  <si>
    <t>81300-86-2</t>
  </si>
  <si>
    <t>81300-90</t>
  </si>
  <si>
    <t>81300-91</t>
  </si>
  <si>
    <r>
      <rPr>
        <i/>
        <sz val="11"/>
        <color theme="1"/>
        <rFont val="Calibri"/>
      </rPr>
      <t xml:space="preserve">Transferencias y asignaciones </t>
    </r>
    <r>
      <rPr>
        <i/>
        <sz val="11"/>
        <color rgb="FFFF0000"/>
        <rFont val="Calibri"/>
      </rPr>
      <t>(Con ingresos de libre disposición)</t>
    </r>
  </si>
  <si>
    <t>81300-92</t>
  </si>
  <si>
    <r>
      <rPr>
        <i/>
        <sz val="11"/>
        <color theme="1"/>
        <rFont val="Calibri"/>
      </rPr>
      <t xml:space="preserve">Transferencias y asignaciones </t>
    </r>
    <r>
      <rPr>
        <i/>
        <sz val="11"/>
        <color rgb="FFFF0000"/>
        <rFont val="Calibri"/>
      </rPr>
      <t>(Con ingresos etiquetados)</t>
    </r>
  </si>
  <si>
    <t>81300-93</t>
  </si>
  <si>
    <t>81300-94</t>
  </si>
  <si>
    <r>
      <rPr>
        <i/>
        <sz val="11"/>
        <color theme="1"/>
        <rFont val="Calibri"/>
      </rPr>
      <t xml:space="preserve">Subsidios y subvenciones </t>
    </r>
    <r>
      <rPr>
        <i/>
        <sz val="11"/>
        <color rgb="FFFF0000"/>
        <rFont val="Calibri"/>
      </rPr>
      <t>(Con ingresos de libre disposición)</t>
    </r>
  </si>
  <si>
    <t>81300-95</t>
  </si>
  <si>
    <r>
      <rPr>
        <i/>
        <sz val="11"/>
        <color theme="1"/>
        <rFont val="Calibri"/>
      </rPr>
      <t xml:space="preserve">Subsidios y subvenciones </t>
    </r>
    <r>
      <rPr>
        <i/>
        <sz val="11"/>
        <color rgb="FFFF0000"/>
        <rFont val="Calibri"/>
      </rPr>
      <t>(Con ingresos etiquetados)</t>
    </r>
  </si>
  <si>
    <t>81300-96</t>
  </si>
  <si>
    <t>81300-97</t>
  </si>
  <si>
    <t>81300-98</t>
  </si>
  <si>
    <t>81300-99</t>
  </si>
  <si>
    <t>81300-00</t>
  </si>
  <si>
    <t>81300-01</t>
  </si>
  <si>
    <t>81300-02</t>
  </si>
  <si>
    <t>81300-03</t>
  </si>
  <si>
    <t>81300-03-1</t>
  </si>
  <si>
    <t>81300-03-2</t>
  </si>
  <si>
    <t>LEY DE INGRESOS DEVENGADA</t>
  </si>
  <si>
    <t>81400-10</t>
  </si>
  <si>
    <t>81400-11</t>
  </si>
  <si>
    <t>81400-12</t>
  </si>
  <si>
    <t>81400-13</t>
  </si>
  <si>
    <t>81400-14</t>
  </si>
  <si>
    <t>81400-15</t>
  </si>
  <si>
    <t>81400-16</t>
  </si>
  <si>
    <t>81400-17</t>
  </si>
  <si>
    <t>81400-18</t>
  </si>
  <si>
    <t>81400-19</t>
  </si>
  <si>
    <t>81400-20</t>
  </si>
  <si>
    <t>81400-21</t>
  </si>
  <si>
    <t>81400-22</t>
  </si>
  <si>
    <t>81400-23</t>
  </si>
  <si>
    <t>81400-24</t>
  </si>
  <si>
    <t>81400-25</t>
  </si>
  <si>
    <t>81400-30</t>
  </si>
  <si>
    <t>81400-31</t>
  </si>
  <si>
    <t>81400-32</t>
  </si>
  <si>
    <t>81400-40</t>
  </si>
  <si>
    <t>81400-41</t>
  </si>
  <si>
    <t>81400-42</t>
  </si>
  <si>
    <t>81400-43</t>
  </si>
  <si>
    <t>81400-44</t>
  </si>
  <si>
    <t>81400-45</t>
  </si>
  <si>
    <t>81400-46</t>
  </si>
  <si>
    <t>81400-50</t>
  </si>
  <si>
    <t>81400-51</t>
  </si>
  <si>
    <t>81400-52</t>
  </si>
  <si>
    <t>81400-53</t>
  </si>
  <si>
    <t>81400-60</t>
  </si>
  <si>
    <t>81400-61</t>
  </si>
  <si>
    <t>81400-62</t>
  </si>
  <si>
    <t>81400-63</t>
  </si>
  <si>
    <t>81400-64</t>
  </si>
  <si>
    <t>81400-70</t>
  </si>
  <si>
    <t>81400-71</t>
  </si>
  <si>
    <t>81400-72</t>
  </si>
  <si>
    <t>81400-73</t>
  </si>
  <si>
    <t>81400-74</t>
  </si>
  <si>
    <t>81400-75</t>
  </si>
  <si>
    <t>81400-76</t>
  </si>
  <si>
    <t>81400-77</t>
  </si>
  <si>
    <t>81400-78</t>
  </si>
  <si>
    <t>81400-79</t>
  </si>
  <si>
    <t>81400-80</t>
  </si>
  <si>
    <t>81400-81</t>
  </si>
  <si>
    <t>81400-81-1</t>
  </si>
  <si>
    <t>81400-81-2</t>
  </si>
  <si>
    <t>81400-81-3</t>
  </si>
  <si>
    <t>81400-81-4</t>
  </si>
  <si>
    <t>81400-81-5</t>
  </si>
  <si>
    <t>81400-81-6</t>
  </si>
  <si>
    <t>81400-81-7</t>
  </si>
  <si>
    <t>81400-81-8</t>
  </si>
  <si>
    <t>81400-81-9</t>
  </si>
  <si>
    <t>81400-81-10</t>
  </si>
  <si>
    <t>81400-81-11</t>
  </si>
  <si>
    <t>81400-81-12</t>
  </si>
  <si>
    <t>81400-82</t>
  </si>
  <si>
    <t>81400-82-1</t>
  </si>
  <si>
    <t>81400-82-2</t>
  </si>
  <si>
    <t>81400-83</t>
  </si>
  <si>
    <r>
      <rPr>
        <i/>
        <sz val="11"/>
        <color theme="1"/>
        <rFont val="Calibri"/>
      </rPr>
      <t xml:space="preserve">Convenios </t>
    </r>
    <r>
      <rPr>
        <i/>
        <sz val="11"/>
        <color rgb="FFFF0000"/>
        <rFont val="Calibri"/>
      </rPr>
      <t>(Con ingresos de libre disposición)</t>
    </r>
  </si>
  <si>
    <t>81400-84</t>
  </si>
  <si>
    <r>
      <rPr>
        <i/>
        <sz val="11"/>
        <color theme="1"/>
        <rFont val="Calibri"/>
      </rPr>
      <t xml:space="preserve">Convenios </t>
    </r>
    <r>
      <rPr>
        <i/>
        <sz val="11"/>
        <color rgb="FFFF0000"/>
        <rFont val="Calibri"/>
      </rPr>
      <t>(Con ingresos etiquetados)</t>
    </r>
  </si>
  <si>
    <t>81400-84-1</t>
  </si>
  <si>
    <t>81400-84-2</t>
  </si>
  <si>
    <t>81400-84-3</t>
  </si>
  <si>
    <t>81400-84-4</t>
  </si>
  <si>
    <t>81400-85</t>
  </si>
  <si>
    <t>81400-85-1</t>
  </si>
  <si>
    <t>81400-85-2</t>
  </si>
  <si>
    <t>81400-85-3</t>
  </si>
  <si>
    <t>81400-85-4</t>
  </si>
  <si>
    <t>81400-85-5</t>
  </si>
  <si>
    <t>81400-86</t>
  </si>
  <si>
    <t>81400-86-1</t>
  </si>
  <si>
    <t>81400-86-2</t>
  </si>
  <si>
    <t>81400-90</t>
  </si>
  <si>
    <t>81400-91</t>
  </si>
  <si>
    <r>
      <rPr>
        <i/>
        <sz val="11"/>
        <color theme="1"/>
        <rFont val="Calibri"/>
      </rPr>
      <t xml:space="preserve">Transferencias y asignaciones </t>
    </r>
    <r>
      <rPr>
        <i/>
        <sz val="11"/>
        <color rgb="FFFF0000"/>
        <rFont val="Calibri"/>
      </rPr>
      <t>(Con ingresos de libre disposición)</t>
    </r>
  </si>
  <si>
    <t>81400-92</t>
  </si>
  <si>
    <r>
      <rPr>
        <i/>
        <sz val="11"/>
        <color theme="1"/>
        <rFont val="Calibri"/>
      </rPr>
      <t xml:space="preserve">Transferencias y asignaciones </t>
    </r>
    <r>
      <rPr>
        <i/>
        <sz val="11"/>
        <color rgb="FFFF0000"/>
        <rFont val="Calibri"/>
      </rPr>
      <t>(Con ingresos etiquetados)</t>
    </r>
  </si>
  <si>
    <t>81400-93</t>
  </si>
  <si>
    <t>81400-94</t>
  </si>
  <si>
    <r>
      <rPr>
        <i/>
        <sz val="11"/>
        <color theme="1"/>
        <rFont val="Calibri"/>
      </rPr>
      <t xml:space="preserve">Subsidios y subvenciones </t>
    </r>
    <r>
      <rPr>
        <i/>
        <sz val="11"/>
        <color rgb="FFFF0000"/>
        <rFont val="Calibri"/>
      </rPr>
      <t>(Con ingresos de libre disposición)</t>
    </r>
  </si>
  <si>
    <t>81400-95</t>
  </si>
  <si>
    <r>
      <rPr>
        <i/>
        <sz val="11"/>
        <color theme="1"/>
        <rFont val="Calibri"/>
      </rPr>
      <t xml:space="preserve">Subsidios y subvenciones </t>
    </r>
    <r>
      <rPr>
        <i/>
        <sz val="11"/>
        <color rgb="FFFF0000"/>
        <rFont val="Calibri"/>
      </rPr>
      <t>(Con ingresos etiquetados)</t>
    </r>
  </si>
  <si>
    <t>81400-96</t>
  </si>
  <si>
    <t>81400-97</t>
  </si>
  <si>
    <t>81400-98</t>
  </si>
  <si>
    <t>81400-99</t>
  </si>
  <si>
    <t>81400-00</t>
  </si>
  <si>
    <t>81400-01</t>
  </si>
  <si>
    <t>81400-02</t>
  </si>
  <si>
    <t>81400-03</t>
  </si>
  <si>
    <t>81400-03-1</t>
  </si>
  <si>
    <t>81400-03-2</t>
  </si>
  <si>
    <t>LEY DE INGRESOS RECAUDADA</t>
  </si>
  <si>
    <t>81500-10</t>
  </si>
  <si>
    <t>81500-11</t>
  </si>
  <si>
    <t>81500-12</t>
  </si>
  <si>
    <t>81500-13</t>
  </si>
  <si>
    <t>81500-14</t>
  </si>
  <si>
    <t>81500-15</t>
  </si>
  <si>
    <t>81500-16</t>
  </si>
  <si>
    <t>81500-17</t>
  </si>
  <si>
    <t>81500-18</t>
  </si>
  <si>
    <t>81500-19</t>
  </si>
  <si>
    <t>81500-20</t>
  </si>
  <si>
    <t>81500-21</t>
  </si>
  <si>
    <t>81500-22</t>
  </si>
  <si>
    <t>81500-23</t>
  </si>
  <si>
    <t>81500-24</t>
  </si>
  <si>
    <t>81500-25</t>
  </si>
  <si>
    <t>81500-30</t>
  </si>
  <si>
    <t>81500-31</t>
  </si>
  <si>
    <t>81500-32</t>
  </si>
  <si>
    <t>81500-40</t>
  </si>
  <si>
    <t>81500-41</t>
  </si>
  <si>
    <t>81500-42</t>
  </si>
  <si>
    <t>81500-43</t>
  </si>
  <si>
    <t>81500-44</t>
  </si>
  <si>
    <t>81500-45</t>
  </si>
  <si>
    <t>81500-46</t>
  </si>
  <si>
    <t>81500-50</t>
  </si>
  <si>
    <t>81500-51</t>
  </si>
  <si>
    <t>81500-52</t>
  </si>
  <si>
    <t>81500-53</t>
  </si>
  <si>
    <t>81500-60</t>
  </si>
  <si>
    <t>81500-61</t>
  </si>
  <si>
    <t>81500-62</t>
  </si>
  <si>
    <t>81500-63</t>
  </si>
  <si>
    <t>81500-64</t>
  </si>
  <si>
    <t>81500-70</t>
  </si>
  <si>
    <t>81500-71</t>
  </si>
  <si>
    <t>81500-72</t>
  </si>
  <si>
    <t>81500-73</t>
  </si>
  <si>
    <t>81500-74</t>
  </si>
  <si>
    <t>81500-75</t>
  </si>
  <si>
    <t>81500-76</t>
  </si>
  <si>
    <t>81500-77</t>
  </si>
  <si>
    <t>81500-78</t>
  </si>
  <si>
    <t>81500-79</t>
  </si>
  <si>
    <t>81500-80</t>
  </si>
  <si>
    <t>81500-81</t>
  </si>
  <si>
    <t>81500-81-1</t>
  </si>
  <si>
    <t>81500-81-2</t>
  </si>
  <si>
    <t>81500-81-3</t>
  </si>
  <si>
    <t>81500-81-4</t>
  </si>
  <si>
    <t>81500-81-5</t>
  </si>
  <si>
    <t>81500-81-6</t>
  </si>
  <si>
    <t>81500-81-7</t>
  </si>
  <si>
    <t>81500-81-8</t>
  </si>
  <si>
    <t>81500-81-9</t>
  </si>
  <si>
    <t>81500-81-10</t>
  </si>
  <si>
    <t>81500-81-11</t>
  </si>
  <si>
    <t>81500-81-12</t>
  </si>
  <si>
    <t>81500-82</t>
  </si>
  <si>
    <t>81500-82-1</t>
  </si>
  <si>
    <t>81500-82-2</t>
  </si>
  <si>
    <t>81500-83</t>
  </si>
  <si>
    <r>
      <rPr>
        <i/>
        <sz val="11"/>
        <color theme="1"/>
        <rFont val="Calibri"/>
      </rPr>
      <t xml:space="preserve">Convenios </t>
    </r>
    <r>
      <rPr>
        <i/>
        <sz val="11"/>
        <color rgb="FFFF0000"/>
        <rFont val="Calibri"/>
      </rPr>
      <t>(Con ingresos de libre disposición)</t>
    </r>
  </si>
  <si>
    <t>81500-84</t>
  </si>
  <si>
    <r>
      <rPr>
        <i/>
        <sz val="11"/>
        <color theme="1"/>
        <rFont val="Calibri"/>
      </rPr>
      <t xml:space="preserve">Convenios </t>
    </r>
    <r>
      <rPr>
        <i/>
        <sz val="11"/>
        <color rgb="FFFF0000"/>
        <rFont val="Calibri"/>
      </rPr>
      <t>(Con ingresos etiquetados)</t>
    </r>
  </si>
  <si>
    <t>81500-84-1</t>
  </si>
  <si>
    <t>81500-84-2</t>
  </si>
  <si>
    <t>81500-84-3</t>
  </si>
  <si>
    <t>81500-84-4</t>
  </si>
  <si>
    <t>81500-85</t>
  </si>
  <si>
    <t>81500-85-1</t>
  </si>
  <si>
    <t>81500-85-2</t>
  </si>
  <si>
    <t>81500-85-3</t>
  </si>
  <si>
    <t>81500-85-4</t>
  </si>
  <si>
    <t>81500-85-5</t>
  </si>
  <si>
    <t>81500-86</t>
  </si>
  <si>
    <t>81500-86-1</t>
  </si>
  <si>
    <t>81500-86-2</t>
  </si>
  <si>
    <t>81500-90</t>
  </si>
  <si>
    <t>81500-91</t>
  </si>
  <si>
    <r>
      <rPr>
        <i/>
        <sz val="11"/>
        <color theme="1"/>
        <rFont val="Calibri"/>
      </rPr>
      <t xml:space="preserve">Transferencias y asignaciones </t>
    </r>
    <r>
      <rPr>
        <i/>
        <sz val="11"/>
        <color rgb="FFFF0000"/>
        <rFont val="Calibri"/>
      </rPr>
      <t>(Con ingresos de libre disposición)</t>
    </r>
  </si>
  <si>
    <t>81500-92</t>
  </si>
  <si>
    <r>
      <rPr>
        <i/>
        <sz val="11"/>
        <color theme="1"/>
        <rFont val="Calibri"/>
      </rPr>
      <t xml:space="preserve">Transferencias y asignaciones </t>
    </r>
    <r>
      <rPr>
        <i/>
        <sz val="11"/>
        <color rgb="FFFF0000"/>
        <rFont val="Calibri"/>
      </rPr>
      <t>(Con ingresos etiquetados)</t>
    </r>
  </si>
  <si>
    <t>81500-93</t>
  </si>
  <si>
    <t>81500-94</t>
  </si>
  <si>
    <r>
      <rPr>
        <i/>
        <sz val="11"/>
        <color theme="1"/>
        <rFont val="Calibri"/>
      </rPr>
      <t xml:space="preserve">Subsidios y subvenciones </t>
    </r>
    <r>
      <rPr>
        <i/>
        <sz val="11"/>
        <color rgb="FFFF0000"/>
        <rFont val="Calibri"/>
      </rPr>
      <t>(Con ingresos de libre disposición)</t>
    </r>
  </si>
  <si>
    <t>81500-95</t>
  </si>
  <si>
    <r>
      <rPr>
        <i/>
        <sz val="11"/>
        <color theme="1"/>
        <rFont val="Calibri"/>
      </rPr>
      <t xml:space="preserve">Subsidios y subvenciones </t>
    </r>
    <r>
      <rPr>
        <i/>
        <sz val="11"/>
        <color rgb="FFFF0000"/>
        <rFont val="Calibri"/>
      </rPr>
      <t>(Con ingresos etiquetados)</t>
    </r>
  </si>
  <si>
    <t>81500-96</t>
  </si>
  <si>
    <t>81500-97</t>
  </si>
  <si>
    <t>81500-98</t>
  </si>
  <si>
    <t>81500-99</t>
  </si>
  <si>
    <t>81500-00</t>
  </si>
  <si>
    <t>81500-01</t>
  </si>
  <si>
    <t>81500-02</t>
  </si>
  <si>
    <t>81500-03</t>
  </si>
  <si>
    <t>81500-03-1</t>
  </si>
  <si>
    <t>81500-03-2</t>
  </si>
  <si>
    <t>PRESUPUESTO DE EGRESOS</t>
  </si>
  <si>
    <t>PRESUPUESTO DE EGRESOS APROBADO</t>
  </si>
  <si>
    <t>82100-100</t>
  </si>
  <si>
    <t>Servicios personales</t>
  </si>
  <si>
    <t>82100-101</t>
  </si>
  <si>
    <r>
      <rPr>
        <i/>
        <sz val="11"/>
        <color rgb="FF000000"/>
        <rFont val="Calibri"/>
      </rPr>
      <t xml:space="preserve">Remuneraciones al personal de carácter permanente </t>
    </r>
    <r>
      <rPr>
        <i/>
        <sz val="11"/>
        <color rgb="FFFF0000"/>
        <rFont val="Calibri"/>
      </rPr>
      <t>(no etiquetado)</t>
    </r>
  </si>
  <si>
    <t>82100-102</t>
  </si>
  <si>
    <r>
      <rPr>
        <i/>
        <sz val="11"/>
        <color rgb="FF000000"/>
        <rFont val="Calibri"/>
      </rPr>
      <t xml:space="preserve">Remuneraciones al personal de carácter permanente </t>
    </r>
    <r>
      <rPr>
        <i/>
        <sz val="11"/>
        <color rgb="FFFF0000"/>
        <rFont val="Calibri"/>
      </rPr>
      <t>(etiquetado)</t>
    </r>
  </si>
  <si>
    <t>82100-103</t>
  </si>
  <si>
    <r>
      <rPr>
        <i/>
        <sz val="11"/>
        <color rgb="FF000000"/>
        <rFont val="Calibri"/>
      </rPr>
      <t xml:space="preserve">Remuneraciones al personal de carácter transitorio </t>
    </r>
    <r>
      <rPr>
        <i/>
        <sz val="11"/>
        <color rgb="FFFF0000"/>
        <rFont val="Calibri"/>
      </rPr>
      <t>(no etiquetado)</t>
    </r>
  </si>
  <si>
    <t>82100-104</t>
  </si>
  <si>
    <r>
      <rPr>
        <i/>
        <sz val="11"/>
        <color rgb="FF000000"/>
        <rFont val="Calibri"/>
      </rPr>
      <t xml:space="preserve">Remuneraciones al personal de carácter transitorio </t>
    </r>
    <r>
      <rPr>
        <i/>
        <sz val="11"/>
        <color rgb="FFFF0000"/>
        <rFont val="Calibri"/>
      </rPr>
      <t>(etiquetado)</t>
    </r>
  </si>
  <si>
    <t>82100-105</t>
  </si>
  <si>
    <r>
      <rPr>
        <i/>
        <sz val="11"/>
        <color rgb="FF000000"/>
        <rFont val="Calibri"/>
      </rPr>
      <t xml:space="preserve">Remuneraciones adicionales especiales </t>
    </r>
    <r>
      <rPr>
        <i/>
        <sz val="11"/>
        <color rgb="FFFF0000"/>
        <rFont val="Calibri"/>
      </rPr>
      <t>(no etiquetado)</t>
    </r>
  </si>
  <si>
    <t>82100-106</t>
  </si>
  <si>
    <r>
      <rPr>
        <i/>
        <sz val="11"/>
        <color rgb="FF000000"/>
        <rFont val="Calibri"/>
      </rPr>
      <t xml:space="preserve">Remuneraciones adicionales especiales </t>
    </r>
    <r>
      <rPr>
        <i/>
        <sz val="11"/>
        <color rgb="FFFF0000"/>
        <rFont val="Calibri"/>
      </rPr>
      <t>(etiquetado)</t>
    </r>
  </si>
  <si>
    <t>82100-107</t>
  </si>
  <si>
    <r>
      <rPr>
        <i/>
        <sz val="11"/>
        <color rgb="FF000000"/>
        <rFont val="Calibri"/>
      </rPr>
      <t xml:space="preserve">Seguridad social </t>
    </r>
    <r>
      <rPr>
        <i/>
        <sz val="11"/>
        <color rgb="FFFF0000"/>
        <rFont val="Calibri"/>
      </rPr>
      <t>(no etiquetado)</t>
    </r>
  </si>
  <si>
    <t>82100-108</t>
  </si>
  <si>
    <r>
      <rPr>
        <i/>
        <sz val="11"/>
        <color rgb="FF000000"/>
        <rFont val="Calibri"/>
      </rPr>
      <t xml:space="preserve">Seguridad social </t>
    </r>
    <r>
      <rPr>
        <i/>
        <sz val="11"/>
        <color rgb="FFFF0000"/>
        <rFont val="Calibri"/>
      </rPr>
      <t>(etiquetado)</t>
    </r>
  </si>
  <si>
    <t>82100-109</t>
  </si>
  <si>
    <r>
      <rPr>
        <i/>
        <sz val="11"/>
        <color rgb="FF000000"/>
        <rFont val="Calibri"/>
      </rPr>
      <t xml:space="preserve">Otras prestaciones sociales y económicas </t>
    </r>
    <r>
      <rPr>
        <i/>
        <sz val="11"/>
        <color rgb="FFFF0000"/>
        <rFont val="Calibri"/>
      </rPr>
      <t>(no etiquetado)</t>
    </r>
  </si>
  <si>
    <t>82100-110</t>
  </si>
  <si>
    <r>
      <rPr>
        <i/>
        <sz val="11"/>
        <color rgb="FF000000"/>
        <rFont val="Calibri"/>
      </rPr>
      <t xml:space="preserve">Otras prestaciones sociales y económicas </t>
    </r>
    <r>
      <rPr>
        <i/>
        <sz val="11"/>
        <color rgb="FFFF0000"/>
        <rFont val="Calibri"/>
      </rPr>
      <t>(etiquetado)</t>
    </r>
  </si>
  <si>
    <t>82100-111</t>
  </si>
  <si>
    <r>
      <rPr>
        <i/>
        <sz val="11"/>
        <color rgb="FF000000"/>
        <rFont val="Calibri"/>
      </rPr>
      <t xml:space="preserve">Previsiones </t>
    </r>
    <r>
      <rPr>
        <i/>
        <sz val="11"/>
        <color rgb="FFFF0000"/>
        <rFont val="Calibri"/>
      </rPr>
      <t>(no etiquetado)</t>
    </r>
  </si>
  <si>
    <t>82100-112</t>
  </si>
  <si>
    <r>
      <rPr>
        <i/>
        <sz val="11"/>
        <color rgb="FF000000"/>
        <rFont val="Calibri"/>
      </rPr>
      <t xml:space="preserve">Previsiones </t>
    </r>
    <r>
      <rPr>
        <i/>
        <sz val="11"/>
        <color rgb="FFFF0000"/>
        <rFont val="Calibri"/>
      </rPr>
      <t>(etiquetado)</t>
    </r>
  </si>
  <si>
    <t>82100-113</t>
  </si>
  <si>
    <r>
      <rPr>
        <i/>
        <sz val="11"/>
        <color rgb="FF000000"/>
        <rFont val="Calibri"/>
      </rPr>
      <t xml:space="preserve">Pago de estímulos a servidores públicos </t>
    </r>
    <r>
      <rPr>
        <i/>
        <sz val="11"/>
        <color rgb="FFFF0000"/>
        <rFont val="Calibri"/>
      </rPr>
      <t>(no etiquetado)</t>
    </r>
  </si>
  <si>
    <t>82100-114</t>
  </si>
  <si>
    <r>
      <rPr>
        <i/>
        <sz val="11"/>
        <color rgb="FF000000"/>
        <rFont val="Calibri"/>
      </rPr>
      <t xml:space="preserve">Pago de estímulos a servidores públicos </t>
    </r>
    <r>
      <rPr>
        <i/>
        <sz val="11"/>
        <color rgb="FFFF0000"/>
        <rFont val="Calibri"/>
      </rPr>
      <t>(etiquetado)</t>
    </r>
  </si>
  <si>
    <t>82100-200</t>
  </si>
  <si>
    <t>Materiales y suministros</t>
  </si>
  <si>
    <t>82100-201</t>
  </si>
  <si>
    <r>
      <rPr>
        <i/>
        <sz val="11"/>
        <color rgb="FF000000"/>
        <rFont val="Calibri"/>
      </rPr>
      <t xml:space="preserve">Materiales de administración, emisión de documentos y artículos oficiales </t>
    </r>
    <r>
      <rPr>
        <i/>
        <sz val="11"/>
        <color rgb="FFFF0000"/>
        <rFont val="Calibri"/>
      </rPr>
      <t>(no etiquetado)</t>
    </r>
  </si>
  <si>
    <t>82100-202</t>
  </si>
  <si>
    <r>
      <rPr>
        <i/>
        <sz val="11"/>
        <color rgb="FF000000"/>
        <rFont val="Calibri"/>
      </rPr>
      <t xml:space="preserve">Materiales de administración, emisión de documentos y artículos oficiales </t>
    </r>
    <r>
      <rPr>
        <i/>
        <sz val="11"/>
        <color rgb="FFFF0000"/>
        <rFont val="Calibri"/>
      </rPr>
      <t>(etiquetado)</t>
    </r>
  </si>
  <si>
    <t>82100-203</t>
  </si>
  <si>
    <r>
      <rPr>
        <i/>
        <sz val="11"/>
        <color rgb="FF000000"/>
        <rFont val="Calibri"/>
      </rPr>
      <t xml:space="preserve">Alimentos y utensilios </t>
    </r>
    <r>
      <rPr>
        <i/>
        <sz val="11"/>
        <color rgb="FFFF0000"/>
        <rFont val="Calibri"/>
      </rPr>
      <t>(no etiquetado)</t>
    </r>
  </si>
  <si>
    <t>82100-204</t>
  </si>
  <si>
    <r>
      <rPr>
        <i/>
        <sz val="11"/>
        <color rgb="FF000000"/>
        <rFont val="Calibri"/>
      </rPr>
      <t xml:space="preserve">Alimentos y utensilios </t>
    </r>
    <r>
      <rPr>
        <i/>
        <sz val="11"/>
        <color rgb="FFFF0000"/>
        <rFont val="Calibri"/>
      </rPr>
      <t>(etiquetado)</t>
    </r>
  </si>
  <si>
    <t>82100-205</t>
  </si>
  <si>
    <r>
      <rPr>
        <i/>
        <sz val="11"/>
        <color rgb="FF000000"/>
        <rFont val="Calibri"/>
      </rPr>
      <t xml:space="preserve">Materias primas y materiales de producción y comercialización </t>
    </r>
    <r>
      <rPr>
        <i/>
        <sz val="11"/>
        <color rgb="FFFF0000"/>
        <rFont val="Calibri"/>
      </rPr>
      <t>(no etiquetado)</t>
    </r>
  </si>
  <si>
    <t>82100-206</t>
  </si>
  <si>
    <r>
      <rPr>
        <i/>
        <sz val="11"/>
        <color rgb="FF000000"/>
        <rFont val="Calibri"/>
      </rPr>
      <t xml:space="preserve">Materias primas y materiales de producción y comercialización </t>
    </r>
    <r>
      <rPr>
        <i/>
        <sz val="11"/>
        <color rgb="FFFF0000"/>
        <rFont val="Calibri"/>
      </rPr>
      <t>(etiquetado)</t>
    </r>
  </si>
  <si>
    <t>82100-207</t>
  </si>
  <si>
    <r>
      <rPr>
        <i/>
        <sz val="11"/>
        <color rgb="FF000000"/>
        <rFont val="Calibri"/>
      </rPr>
      <t xml:space="preserve">Materiales y artículos de construcción y de reparación </t>
    </r>
    <r>
      <rPr>
        <i/>
        <sz val="11"/>
        <color rgb="FFFF0000"/>
        <rFont val="Calibri"/>
      </rPr>
      <t>(no etiquetado)</t>
    </r>
  </si>
  <si>
    <t>82100-208</t>
  </si>
  <si>
    <r>
      <rPr>
        <i/>
        <sz val="11"/>
        <color rgb="FF000000"/>
        <rFont val="Calibri"/>
      </rPr>
      <t xml:space="preserve">Materiales y artículos de construcción y de reparación </t>
    </r>
    <r>
      <rPr>
        <i/>
        <sz val="11"/>
        <color rgb="FFFF0000"/>
        <rFont val="Calibri"/>
      </rPr>
      <t>(etiquetado)</t>
    </r>
  </si>
  <si>
    <t>82100-209</t>
  </si>
  <si>
    <r>
      <rPr>
        <i/>
        <sz val="11"/>
        <color rgb="FF000000"/>
        <rFont val="Calibri"/>
      </rPr>
      <t xml:space="preserve">Productos químicos, farmacéuticos y de laboratorio </t>
    </r>
    <r>
      <rPr>
        <i/>
        <sz val="11"/>
        <color rgb="FFFF0000"/>
        <rFont val="Calibri"/>
      </rPr>
      <t>(no etiquetado)</t>
    </r>
  </si>
  <si>
    <t>82100-210</t>
  </si>
  <si>
    <r>
      <rPr>
        <i/>
        <sz val="11"/>
        <color rgb="FF000000"/>
        <rFont val="Calibri"/>
      </rPr>
      <t xml:space="preserve">Productos químicos, farmacéuticos y de laboratorio </t>
    </r>
    <r>
      <rPr>
        <i/>
        <sz val="11"/>
        <color rgb="FFFF0000"/>
        <rFont val="Calibri"/>
      </rPr>
      <t>(etiquetado)</t>
    </r>
  </si>
  <si>
    <t>82100-211</t>
  </si>
  <si>
    <r>
      <rPr>
        <i/>
        <sz val="11"/>
        <color rgb="FF000000"/>
        <rFont val="Calibri"/>
      </rPr>
      <t xml:space="preserve">Combustibles, lubricantes y aditivos </t>
    </r>
    <r>
      <rPr>
        <i/>
        <sz val="11"/>
        <color rgb="FFFF0000"/>
        <rFont val="Calibri"/>
      </rPr>
      <t>(no etiquetado)</t>
    </r>
  </si>
  <si>
    <t>82100-212</t>
  </si>
  <si>
    <r>
      <rPr>
        <i/>
        <sz val="11"/>
        <color rgb="FF000000"/>
        <rFont val="Calibri"/>
      </rPr>
      <t xml:space="preserve">Combustibles, lubricantes y aditivos </t>
    </r>
    <r>
      <rPr>
        <i/>
        <sz val="11"/>
        <color rgb="FFFF0000"/>
        <rFont val="Calibri"/>
      </rPr>
      <t>(etiquetado)</t>
    </r>
  </si>
  <si>
    <t>82100-213</t>
  </si>
  <si>
    <r>
      <rPr>
        <i/>
        <sz val="11"/>
        <color rgb="FF000000"/>
        <rFont val="Calibri"/>
      </rPr>
      <t xml:space="preserve">Vestuario, blancos, prendas de protección y artículos deportivos </t>
    </r>
    <r>
      <rPr>
        <i/>
        <sz val="11"/>
        <color rgb="FFFF0000"/>
        <rFont val="Calibri"/>
      </rPr>
      <t>(no etiquetado)</t>
    </r>
  </si>
  <si>
    <t>82100-214</t>
  </si>
  <si>
    <r>
      <rPr>
        <i/>
        <sz val="11"/>
        <color rgb="FF000000"/>
        <rFont val="Calibri"/>
      </rPr>
      <t xml:space="preserve">Vestuario, blancos, prendas de protección y artículos deportivos </t>
    </r>
    <r>
      <rPr>
        <i/>
        <sz val="11"/>
        <color rgb="FFFF0000"/>
        <rFont val="Calibri"/>
      </rPr>
      <t>(etiquetado)</t>
    </r>
  </si>
  <si>
    <t>82100-215</t>
  </si>
  <si>
    <r>
      <rPr>
        <i/>
        <sz val="11"/>
        <color rgb="FF000000"/>
        <rFont val="Calibri"/>
      </rPr>
      <t xml:space="preserve">Materiales y suministros de seguridad </t>
    </r>
    <r>
      <rPr>
        <i/>
        <sz val="11"/>
        <color rgb="FFFF0000"/>
        <rFont val="Calibri"/>
      </rPr>
      <t>(no etiquetado)</t>
    </r>
  </si>
  <si>
    <t>82100-216</t>
  </si>
  <si>
    <r>
      <rPr>
        <i/>
        <sz val="11"/>
        <color rgb="FF000000"/>
        <rFont val="Calibri"/>
      </rPr>
      <t xml:space="preserve">Materiales y suministros de seguridad </t>
    </r>
    <r>
      <rPr>
        <i/>
        <sz val="11"/>
        <color rgb="FFFF0000"/>
        <rFont val="Calibri"/>
      </rPr>
      <t>(etiquetado)</t>
    </r>
  </si>
  <si>
    <t>82100-217</t>
  </si>
  <si>
    <r>
      <rPr>
        <i/>
        <sz val="11"/>
        <color rgb="FF000000"/>
        <rFont val="Calibri"/>
      </rPr>
      <t xml:space="preserve">Herramientas, refacciones y accesorios menores </t>
    </r>
    <r>
      <rPr>
        <i/>
        <sz val="11"/>
        <color rgb="FFFF0000"/>
        <rFont val="Calibri"/>
      </rPr>
      <t>(no etiquetado)</t>
    </r>
  </si>
  <si>
    <t>82100-218</t>
  </si>
  <si>
    <r>
      <rPr>
        <i/>
        <sz val="11"/>
        <color rgb="FF000000"/>
        <rFont val="Calibri"/>
      </rPr>
      <t xml:space="preserve">Herramientas, refacciones y accesorios menores </t>
    </r>
    <r>
      <rPr>
        <i/>
        <sz val="11"/>
        <color rgb="FFFF0000"/>
        <rFont val="Calibri"/>
      </rPr>
      <t>(etiquetado)</t>
    </r>
  </si>
  <si>
    <t>82100-300</t>
  </si>
  <si>
    <t>Servicios generales</t>
  </si>
  <si>
    <t>82100-301</t>
  </si>
  <si>
    <r>
      <rPr>
        <i/>
        <sz val="11"/>
        <color rgb="FF000000"/>
        <rFont val="Calibri"/>
      </rPr>
      <t xml:space="preserve">Servicios básicos </t>
    </r>
    <r>
      <rPr>
        <i/>
        <sz val="11"/>
        <color rgb="FFFF0000"/>
        <rFont val="Calibri"/>
      </rPr>
      <t>(no etiquetado)</t>
    </r>
  </si>
  <si>
    <t>82100-302</t>
  </si>
  <si>
    <r>
      <rPr>
        <i/>
        <sz val="11"/>
        <color rgb="FF000000"/>
        <rFont val="Calibri"/>
      </rPr>
      <t xml:space="preserve">Servicios básicos </t>
    </r>
    <r>
      <rPr>
        <i/>
        <sz val="11"/>
        <color rgb="FFFF0000"/>
        <rFont val="Calibri"/>
      </rPr>
      <t>(etiquetado)</t>
    </r>
  </si>
  <si>
    <t>82100-303</t>
  </si>
  <si>
    <r>
      <rPr>
        <i/>
        <sz val="11"/>
        <color rgb="FF000000"/>
        <rFont val="Calibri"/>
      </rPr>
      <t xml:space="preserve">Servicios de arrendamiento </t>
    </r>
    <r>
      <rPr>
        <i/>
        <sz val="11"/>
        <color rgb="FFFF0000"/>
        <rFont val="Calibri"/>
      </rPr>
      <t>(no etiquetado)</t>
    </r>
  </si>
  <si>
    <t>82100-304</t>
  </si>
  <si>
    <r>
      <rPr>
        <i/>
        <sz val="11"/>
        <color rgb="FF000000"/>
        <rFont val="Calibri"/>
      </rPr>
      <t xml:space="preserve">Servicios de arrendamiento </t>
    </r>
    <r>
      <rPr>
        <i/>
        <sz val="11"/>
        <color rgb="FFFF0000"/>
        <rFont val="Calibri"/>
      </rPr>
      <t>(etiquetado)</t>
    </r>
  </si>
  <si>
    <t>82100-305</t>
  </si>
  <si>
    <r>
      <rPr>
        <i/>
        <sz val="11"/>
        <color rgb="FF000000"/>
        <rFont val="Calibri"/>
      </rPr>
      <t xml:space="preserve">Servicios profesionales, científicos, técnicos y otros servicios </t>
    </r>
    <r>
      <rPr>
        <i/>
        <sz val="11"/>
        <color rgb="FFFF0000"/>
        <rFont val="Calibri"/>
      </rPr>
      <t>(no etiquetado)</t>
    </r>
  </si>
  <si>
    <t>82100-306</t>
  </si>
  <si>
    <r>
      <rPr>
        <i/>
        <sz val="11"/>
        <color rgb="FF000000"/>
        <rFont val="Calibri"/>
      </rPr>
      <t xml:space="preserve">Servicios profesionales, científicos, técnicos y otros servicios </t>
    </r>
    <r>
      <rPr>
        <i/>
        <sz val="11"/>
        <color rgb="FFFF0000"/>
        <rFont val="Calibri"/>
      </rPr>
      <t>(etiquetado)</t>
    </r>
  </si>
  <si>
    <t>82100-307</t>
  </si>
  <si>
    <r>
      <rPr>
        <i/>
        <sz val="11"/>
        <color rgb="FF000000"/>
        <rFont val="Calibri"/>
      </rPr>
      <t xml:space="preserve">Servicios financieros, bancarios y comerciales </t>
    </r>
    <r>
      <rPr>
        <i/>
        <sz val="11"/>
        <color rgb="FFFF0000"/>
        <rFont val="Calibri"/>
      </rPr>
      <t>(no etiquetado)</t>
    </r>
  </si>
  <si>
    <t>82100-308</t>
  </si>
  <si>
    <r>
      <rPr>
        <i/>
        <sz val="11"/>
        <color rgb="FF000000"/>
        <rFont val="Calibri"/>
      </rPr>
      <t xml:space="preserve">Servicios financieros, bancarios y comerciales </t>
    </r>
    <r>
      <rPr>
        <i/>
        <sz val="11"/>
        <color rgb="FFFF0000"/>
        <rFont val="Calibri"/>
      </rPr>
      <t>(etiquetado)</t>
    </r>
  </si>
  <si>
    <t>82100-309</t>
  </si>
  <si>
    <r>
      <rPr>
        <i/>
        <sz val="11"/>
        <color rgb="FF000000"/>
        <rFont val="Calibri"/>
      </rPr>
      <t xml:space="preserve">Servicios de instalación, reparación, mantenimiento y conservación </t>
    </r>
    <r>
      <rPr>
        <i/>
        <sz val="11"/>
        <color rgb="FFFF0000"/>
        <rFont val="Calibri"/>
      </rPr>
      <t>(no etiquetado)</t>
    </r>
  </si>
  <si>
    <t>82100-310</t>
  </si>
  <si>
    <r>
      <rPr>
        <i/>
        <sz val="11"/>
        <color rgb="FF000000"/>
        <rFont val="Calibri"/>
      </rPr>
      <t xml:space="preserve">Servicios de instalación, reparación, mantenimiento y conservación </t>
    </r>
    <r>
      <rPr>
        <i/>
        <sz val="11"/>
        <color rgb="FFFF0000"/>
        <rFont val="Calibri"/>
      </rPr>
      <t>(etiquetado)</t>
    </r>
  </si>
  <si>
    <t>82100-311</t>
  </si>
  <si>
    <r>
      <rPr>
        <i/>
        <sz val="11"/>
        <color rgb="FF000000"/>
        <rFont val="Calibri"/>
      </rPr>
      <t xml:space="preserve">Servicios de comunicación social y publicidad </t>
    </r>
    <r>
      <rPr>
        <i/>
        <sz val="11"/>
        <color rgb="FFFF0000"/>
        <rFont val="Calibri"/>
      </rPr>
      <t>(no etiquetado)</t>
    </r>
  </si>
  <si>
    <t>82100-312</t>
  </si>
  <si>
    <r>
      <rPr>
        <i/>
        <sz val="11"/>
        <color rgb="FF000000"/>
        <rFont val="Calibri"/>
      </rPr>
      <t xml:space="preserve">Servicios de comunicación social y publicidad </t>
    </r>
    <r>
      <rPr>
        <i/>
        <sz val="11"/>
        <color rgb="FFFF0000"/>
        <rFont val="Calibri"/>
      </rPr>
      <t>(etiquetado)</t>
    </r>
  </si>
  <si>
    <t>82100-313</t>
  </si>
  <si>
    <r>
      <rPr>
        <i/>
        <sz val="11"/>
        <color rgb="FF000000"/>
        <rFont val="Calibri"/>
      </rPr>
      <t xml:space="preserve">Servicios de traslado y viáticos </t>
    </r>
    <r>
      <rPr>
        <i/>
        <sz val="11"/>
        <color rgb="FFFF0000"/>
        <rFont val="Calibri"/>
      </rPr>
      <t>(no etiquetado)</t>
    </r>
  </si>
  <si>
    <t>82100-314</t>
  </si>
  <si>
    <r>
      <rPr>
        <i/>
        <sz val="11"/>
        <color rgb="FF000000"/>
        <rFont val="Calibri"/>
      </rPr>
      <t xml:space="preserve">Servicios de traslado y viáticos </t>
    </r>
    <r>
      <rPr>
        <i/>
        <sz val="11"/>
        <color rgb="FFFF0000"/>
        <rFont val="Calibri"/>
      </rPr>
      <t>(etiquetado)</t>
    </r>
  </si>
  <si>
    <t>82100-315</t>
  </si>
  <si>
    <r>
      <rPr>
        <i/>
        <sz val="11"/>
        <color rgb="FF000000"/>
        <rFont val="Calibri"/>
      </rPr>
      <t xml:space="preserve">Servicios oficiales </t>
    </r>
    <r>
      <rPr>
        <i/>
        <sz val="11"/>
        <color rgb="FFFF0000"/>
        <rFont val="Calibri"/>
      </rPr>
      <t>(no etiquetado)</t>
    </r>
  </si>
  <si>
    <t>82100-316</t>
  </si>
  <si>
    <r>
      <rPr>
        <i/>
        <sz val="11"/>
        <color rgb="FF000000"/>
        <rFont val="Calibri"/>
      </rPr>
      <t xml:space="preserve">Servicios oficiales </t>
    </r>
    <r>
      <rPr>
        <i/>
        <sz val="11"/>
        <color rgb="FFFF0000"/>
        <rFont val="Calibri"/>
      </rPr>
      <t>(etiquetado)</t>
    </r>
  </si>
  <si>
    <t>82100-317</t>
  </si>
  <si>
    <r>
      <rPr>
        <i/>
        <sz val="11"/>
        <color rgb="FF000000"/>
        <rFont val="Calibri"/>
      </rPr>
      <t xml:space="preserve">Otros servicios generales </t>
    </r>
    <r>
      <rPr>
        <i/>
        <sz val="11"/>
        <color rgb="FFFF0000"/>
        <rFont val="Calibri"/>
      </rPr>
      <t>(no etiquetado)</t>
    </r>
  </si>
  <si>
    <t>82100-318</t>
  </si>
  <si>
    <r>
      <rPr>
        <i/>
        <sz val="11"/>
        <color rgb="FF000000"/>
        <rFont val="Calibri"/>
      </rPr>
      <t xml:space="preserve">Otros servicios generales </t>
    </r>
    <r>
      <rPr>
        <i/>
        <sz val="11"/>
        <color rgb="FFFF0000"/>
        <rFont val="Calibri"/>
      </rPr>
      <t>(etiquetado)</t>
    </r>
  </si>
  <si>
    <t>82100-400</t>
  </si>
  <si>
    <t xml:space="preserve">Transferencias, asignaciones, subsidios y otras ayudas </t>
  </si>
  <si>
    <t>82100-401</t>
  </si>
  <si>
    <r>
      <rPr>
        <i/>
        <sz val="11"/>
        <color rgb="FF000000"/>
        <rFont val="Calibri"/>
      </rPr>
      <t xml:space="preserve">Transferencias internas y asignaciones al sector público </t>
    </r>
    <r>
      <rPr>
        <i/>
        <sz val="11"/>
        <color rgb="FFFF0000"/>
        <rFont val="Calibri"/>
      </rPr>
      <t>(no etiquetado)</t>
    </r>
  </si>
  <si>
    <t>82100-402</t>
  </si>
  <si>
    <r>
      <rPr>
        <i/>
        <sz val="11"/>
        <color rgb="FF000000"/>
        <rFont val="Calibri"/>
      </rPr>
      <t xml:space="preserve">Transferencias internas y asignaciones al sector público </t>
    </r>
    <r>
      <rPr>
        <i/>
        <sz val="11"/>
        <color rgb="FFFF0000"/>
        <rFont val="Calibri"/>
      </rPr>
      <t>(etiquetado)</t>
    </r>
  </si>
  <si>
    <t>82100-403</t>
  </si>
  <si>
    <r>
      <rPr>
        <i/>
        <sz val="11"/>
        <color rgb="FF000000"/>
        <rFont val="Calibri"/>
      </rPr>
      <t xml:space="preserve">Transferencias al resto del sector público </t>
    </r>
    <r>
      <rPr>
        <i/>
        <sz val="11"/>
        <color rgb="FFFF0000"/>
        <rFont val="Calibri"/>
      </rPr>
      <t>(no etiquetado)</t>
    </r>
  </si>
  <si>
    <t>82100-404</t>
  </si>
  <si>
    <r>
      <rPr>
        <i/>
        <sz val="11"/>
        <color rgb="FF000000"/>
        <rFont val="Calibri"/>
      </rPr>
      <t xml:space="preserve">Transferencias al resto del sector público </t>
    </r>
    <r>
      <rPr>
        <i/>
        <sz val="11"/>
        <color rgb="FFFF0000"/>
        <rFont val="Calibri"/>
      </rPr>
      <t>(etiquetado)</t>
    </r>
  </si>
  <si>
    <t>82100-405</t>
  </si>
  <si>
    <r>
      <rPr>
        <i/>
        <sz val="11"/>
        <color rgb="FF000000"/>
        <rFont val="Calibri"/>
      </rPr>
      <t xml:space="preserve">Subsidios y subvenciones </t>
    </r>
    <r>
      <rPr>
        <i/>
        <sz val="11"/>
        <color rgb="FFFF0000"/>
        <rFont val="Calibri"/>
      </rPr>
      <t>(no etiquetado)</t>
    </r>
  </si>
  <si>
    <t>82100-406</t>
  </si>
  <si>
    <r>
      <rPr>
        <i/>
        <sz val="11"/>
        <color rgb="FF000000"/>
        <rFont val="Calibri"/>
      </rPr>
      <t xml:space="preserve">Subsidios y subvenciones </t>
    </r>
    <r>
      <rPr>
        <i/>
        <sz val="11"/>
        <color rgb="FFFF0000"/>
        <rFont val="Calibri"/>
      </rPr>
      <t>(etiquetado)</t>
    </r>
  </si>
  <si>
    <t>82100-407</t>
  </si>
  <si>
    <r>
      <rPr>
        <i/>
        <sz val="11"/>
        <color rgb="FF000000"/>
        <rFont val="Calibri"/>
      </rPr>
      <t xml:space="preserve">Ayudas sociales </t>
    </r>
    <r>
      <rPr>
        <i/>
        <sz val="11"/>
        <color rgb="FFFF0000"/>
        <rFont val="Calibri"/>
      </rPr>
      <t>(no etiquetado)</t>
    </r>
  </si>
  <si>
    <t>82100-408</t>
  </si>
  <si>
    <r>
      <rPr>
        <i/>
        <sz val="11"/>
        <color rgb="FF000000"/>
        <rFont val="Calibri"/>
      </rPr>
      <t xml:space="preserve">Ayudas sociales  </t>
    </r>
    <r>
      <rPr>
        <i/>
        <sz val="11"/>
        <color rgb="FFFF0000"/>
        <rFont val="Calibri"/>
      </rPr>
      <t>(etiquetado)</t>
    </r>
  </si>
  <si>
    <t>82100-409</t>
  </si>
  <si>
    <r>
      <rPr>
        <i/>
        <sz val="11"/>
        <color rgb="FF000000"/>
        <rFont val="Calibri"/>
      </rPr>
      <t xml:space="preserve">Pensiones y jubilaciones </t>
    </r>
    <r>
      <rPr>
        <i/>
        <sz val="11"/>
        <color rgb="FFFF0000"/>
        <rFont val="Calibri"/>
      </rPr>
      <t>(no etiquetado)</t>
    </r>
  </si>
  <si>
    <t>82100-410</t>
  </si>
  <si>
    <r>
      <rPr>
        <i/>
        <sz val="11"/>
        <color rgb="FF000000"/>
        <rFont val="Calibri"/>
      </rPr>
      <t xml:space="preserve">Pensiones y jubilaciones </t>
    </r>
    <r>
      <rPr>
        <i/>
        <sz val="11"/>
        <color rgb="FFFF0000"/>
        <rFont val="Calibri"/>
      </rPr>
      <t>(etiquetado)</t>
    </r>
  </si>
  <si>
    <t>82100-411</t>
  </si>
  <si>
    <r>
      <rPr>
        <i/>
        <sz val="11"/>
        <color rgb="FF000000"/>
        <rFont val="Calibri"/>
      </rPr>
      <t xml:space="preserve">Transferencias a fideicomisos, mandatos y otros análogos </t>
    </r>
    <r>
      <rPr>
        <i/>
        <sz val="11"/>
        <color rgb="FFFF0000"/>
        <rFont val="Calibri"/>
      </rPr>
      <t>(no etiquetado)</t>
    </r>
  </si>
  <si>
    <t>82100-412</t>
  </si>
  <si>
    <r>
      <rPr>
        <i/>
        <sz val="11"/>
        <color rgb="FF000000"/>
        <rFont val="Calibri"/>
      </rPr>
      <t xml:space="preserve">Transferencias a fideicomisos, mandatos y otros análogos </t>
    </r>
    <r>
      <rPr>
        <i/>
        <sz val="11"/>
        <color rgb="FFFF0000"/>
        <rFont val="Calibri"/>
      </rPr>
      <t>(etiquetado)</t>
    </r>
  </si>
  <si>
    <t>82100-413</t>
  </si>
  <si>
    <r>
      <rPr>
        <i/>
        <sz val="11"/>
        <color rgb="FF000000"/>
        <rFont val="Calibri"/>
      </rPr>
      <t xml:space="preserve">Transferencias a la seguridad social </t>
    </r>
    <r>
      <rPr>
        <i/>
        <sz val="11"/>
        <color rgb="FFFF0000"/>
        <rFont val="Calibri"/>
      </rPr>
      <t>(no etiquetado)</t>
    </r>
  </si>
  <si>
    <t>82100-414</t>
  </si>
  <si>
    <r>
      <rPr>
        <i/>
        <sz val="11"/>
        <color rgb="FF000000"/>
        <rFont val="Calibri"/>
      </rPr>
      <t xml:space="preserve">Transferencias a la seguridad social </t>
    </r>
    <r>
      <rPr>
        <i/>
        <sz val="11"/>
        <color rgb="FFFF0000"/>
        <rFont val="Calibri"/>
      </rPr>
      <t>(etiquetado)</t>
    </r>
  </si>
  <si>
    <t>82100-415</t>
  </si>
  <si>
    <r>
      <rPr>
        <i/>
        <sz val="11"/>
        <color rgb="FF000000"/>
        <rFont val="Calibri"/>
      </rPr>
      <t xml:space="preserve">Donativos </t>
    </r>
    <r>
      <rPr>
        <i/>
        <sz val="11"/>
        <color rgb="FFFF0000"/>
        <rFont val="Calibri"/>
      </rPr>
      <t>(no etiquetado)</t>
    </r>
  </si>
  <si>
    <t>82100-416</t>
  </si>
  <si>
    <r>
      <rPr>
        <i/>
        <sz val="11"/>
        <color rgb="FF000000"/>
        <rFont val="Calibri"/>
      </rPr>
      <t xml:space="preserve">Donativos </t>
    </r>
    <r>
      <rPr>
        <i/>
        <sz val="11"/>
        <color rgb="FFFF0000"/>
        <rFont val="Calibri"/>
      </rPr>
      <t>(etiquetado)</t>
    </r>
  </si>
  <si>
    <t>82100-417</t>
  </si>
  <si>
    <r>
      <rPr>
        <i/>
        <sz val="11"/>
        <color rgb="FF000000"/>
        <rFont val="Calibri"/>
      </rPr>
      <t xml:space="preserve">Transferencias al exterior </t>
    </r>
    <r>
      <rPr>
        <i/>
        <sz val="11"/>
        <color rgb="FFFF0000"/>
        <rFont val="Calibri"/>
      </rPr>
      <t>(no etiquetado)</t>
    </r>
  </si>
  <si>
    <t>82100-418</t>
  </si>
  <si>
    <r>
      <rPr>
        <i/>
        <sz val="11"/>
        <color rgb="FF000000"/>
        <rFont val="Calibri"/>
      </rPr>
      <t xml:space="preserve">Transferencias al exterior </t>
    </r>
    <r>
      <rPr>
        <i/>
        <sz val="11"/>
        <color rgb="FFFF0000"/>
        <rFont val="Calibri"/>
      </rPr>
      <t>(etiquetado)</t>
    </r>
  </si>
  <si>
    <t>82100-500</t>
  </si>
  <si>
    <t>Bienes muebles, inmuebles e intangibles</t>
  </si>
  <si>
    <t>82100-501</t>
  </si>
  <si>
    <r>
      <rPr>
        <i/>
        <sz val="11"/>
        <color rgb="FF000000"/>
        <rFont val="Calibri"/>
      </rPr>
      <t xml:space="preserve">Mobiliario y equipo de administración </t>
    </r>
    <r>
      <rPr>
        <i/>
        <sz val="11"/>
        <color rgb="FFFF0000"/>
        <rFont val="Calibri"/>
      </rPr>
      <t>(no etiquetado)</t>
    </r>
  </si>
  <si>
    <t>82100-502</t>
  </si>
  <si>
    <r>
      <rPr>
        <i/>
        <sz val="11"/>
        <color rgb="FF000000"/>
        <rFont val="Calibri"/>
      </rPr>
      <t xml:space="preserve">Mobiliario y equipo de administración </t>
    </r>
    <r>
      <rPr>
        <i/>
        <sz val="11"/>
        <color rgb="FFFF0000"/>
        <rFont val="Calibri"/>
      </rPr>
      <t>(etiquetado)</t>
    </r>
  </si>
  <si>
    <t>82100-503</t>
  </si>
  <si>
    <r>
      <rPr>
        <i/>
        <sz val="11"/>
        <color rgb="FF000000"/>
        <rFont val="Calibri"/>
      </rPr>
      <t xml:space="preserve">Mobiliario y equipo educacional y recreativo </t>
    </r>
    <r>
      <rPr>
        <i/>
        <sz val="11"/>
        <color rgb="FFFF0000"/>
        <rFont val="Calibri"/>
      </rPr>
      <t>(no etiquetado)</t>
    </r>
  </si>
  <si>
    <t>82100-504</t>
  </si>
  <si>
    <r>
      <rPr>
        <i/>
        <sz val="11"/>
        <color rgb="FF000000"/>
        <rFont val="Calibri"/>
      </rPr>
      <t xml:space="preserve">Mobiliario y equipo educacional y recreativo </t>
    </r>
    <r>
      <rPr>
        <i/>
        <sz val="11"/>
        <color rgb="FFFF0000"/>
        <rFont val="Calibri"/>
      </rPr>
      <t>(etiquetado)</t>
    </r>
  </si>
  <si>
    <t>82100-505</t>
  </si>
  <si>
    <r>
      <rPr>
        <i/>
        <sz val="11"/>
        <color rgb="FF000000"/>
        <rFont val="Calibri"/>
      </rPr>
      <t xml:space="preserve">Equipo instrumental médico y de laboratorio </t>
    </r>
    <r>
      <rPr>
        <i/>
        <sz val="11"/>
        <color rgb="FFFF0000"/>
        <rFont val="Calibri"/>
      </rPr>
      <t>(no etiquetado)</t>
    </r>
  </si>
  <si>
    <t>82100-506</t>
  </si>
  <si>
    <r>
      <rPr>
        <i/>
        <sz val="11"/>
        <color rgb="FF000000"/>
        <rFont val="Calibri"/>
      </rPr>
      <t xml:space="preserve">Equipo instrumental médico y de laboratorio </t>
    </r>
    <r>
      <rPr>
        <i/>
        <sz val="11"/>
        <color rgb="FFFF0000"/>
        <rFont val="Calibri"/>
      </rPr>
      <t>(etiquetado)</t>
    </r>
  </si>
  <si>
    <t>82100-507</t>
  </si>
  <si>
    <r>
      <rPr>
        <i/>
        <sz val="11"/>
        <color rgb="FF000000"/>
        <rFont val="Calibri"/>
      </rPr>
      <t xml:space="preserve">Vehículos y equipo de transporte </t>
    </r>
    <r>
      <rPr>
        <i/>
        <sz val="11"/>
        <color rgb="FFFF0000"/>
        <rFont val="Calibri"/>
      </rPr>
      <t>(no etiquetado)</t>
    </r>
  </si>
  <si>
    <t>82100-508</t>
  </si>
  <si>
    <r>
      <rPr>
        <i/>
        <sz val="11"/>
        <color rgb="FF000000"/>
        <rFont val="Calibri"/>
      </rPr>
      <t xml:space="preserve">Vehículos y equipo de transporte </t>
    </r>
    <r>
      <rPr>
        <i/>
        <sz val="11"/>
        <color rgb="FFFF0000"/>
        <rFont val="Calibri"/>
      </rPr>
      <t>(etiquetado)</t>
    </r>
  </si>
  <si>
    <t>82100-509</t>
  </si>
  <si>
    <r>
      <rPr>
        <i/>
        <sz val="11"/>
        <color rgb="FF000000"/>
        <rFont val="Calibri"/>
      </rPr>
      <t xml:space="preserve">Equipo de defensa y seguridad </t>
    </r>
    <r>
      <rPr>
        <i/>
        <sz val="11"/>
        <color rgb="FFFF0000"/>
        <rFont val="Calibri"/>
      </rPr>
      <t>(no etiquetado)</t>
    </r>
  </si>
  <si>
    <t>82100-510</t>
  </si>
  <si>
    <r>
      <rPr>
        <i/>
        <sz val="11"/>
        <color rgb="FF000000"/>
        <rFont val="Calibri"/>
      </rPr>
      <t xml:space="preserve">Equipo de defensa y seguridad </t>
    </r>
    <r>
      <rPr>
        <i/>
        <sz val="11"/>
        <color rgb="FFFF0000"/>
        <rFont val="Calibri"/>
      </rPr>
      <t>(etiquetado)</t>
    </r>
  </si>
  <si>
    <t>82100-511</t>
  </si>
  <si>
    <r>
      <rPr>
        <i/>
        <sz val="11"/>
        <color rgb="FF000000"/>
        <rFont val="Calibri"/>
      </rPr>
      <t xml:space="preserve">Maquinaria, otros equipos y herramientas </t>
    </r>
    <r>
      <rPr>
        <i/>
        <sz val="11"/>
        <color rgb="FFFF0000"/>
        <rFont val="Calibri"/>
      </rPr>
      <t>(no etiquetado)</t>
    </r>
  </si>
  <si>
    <t>82100-512</t>
  </si>
  <si>
    <r>
      <rPr>
        <i/>
        <sz val="11"/>
        <color rgb="FF000000"/>
        <rFont val="Calibri"/>
      </rPr>
      <t xml:space="preserve">Maquinaria, otros equipos y herramientas </t>
    </r>
    <r>
      <rPr>
        <i/>
        <sz val="11"/>
        <color rgb="FFFF0000"/>
        <rFont val="Calibri"/>
      </rPr>
      <t>(etiquetado)</t>
    </r>
  </si>
  <si>
    <t>82100-513</t>
  </si>
  <si>
    <r>
      <rPr>
        <i/>
        <sz val="11"/>
        <color rgb="FF000000"/>
        <rFont val="Calibri"/>
      </rPr>
      <t xml:space="preserve">Activos biológicos </t>
    </r>
    <r>
      <rPr>
        <i/>
        <sz val="11"/>
        <color rgb="FFFF0000"/>
        <rFont val="Calibri"/>
      </rPr>
      <t>(no etiquetado)</t>
    </r>
  </si>
  <si>
    <t>82100-514</t>
  </si>
  <si>
    <r>
      <rPr>
        <i/>
        <sz val="11"/>
        <color rgb="FF000000"/>
        <rFont val="Calibri"/>
      </rPr>
      <t xml:space="preserve">Activos biológicos </t>
    </r>
    <r>
      <rPr>
        <i/>
        <sz val="11"/>
        <color rgb="FFFF0000"/>
        <rFont val="Calibri"/>
      </rPr>
      <t>(etiquetado)</t>
    </r>
  </si>
  <si>
    <t>82100-515</t>
  </si>
  <si>
    <r>
      <rPr>
        <i/>
        <sz val="11"/>
        <color rgb="FF000000"/>
        <rFont val="Calibri"/>
      </rPr>
      <t xml:space="preserve">Bienes inmuebles </t>
    </r>
    <r>
      <rPr>
        <i/>
        <sz val="11"/>
        <color rgb="FFFF0000"/>
        <rFont val="Calibri"/>
      </rPr>
      <t>(no etiquetado)</t>
    </r>
  </si>
  <si>
    <t>82100-516</t>
  </si>
  <si>
    <r>
      <rPr>
        <i/>
        <sz val="11"/>
        <color rgb="FF000000"/>
        <rFont val="Calibri"/>
      </rPr>
      <t xml:space="preserve">Bienes inmuebles </t>
    </r>
    <r>
      <rPr>
        <i/>
        <sz val="11"/>
        <color rgb="FFFF0000"/>
        <rFont val="Calibri"/>
      </rPr>
      <t>(etiquetado)</t>
    </r>
  </si>
  <si>
    <t>82100-517</t>
  </si>
  <si>
    <r>
      <rPr>
        <i/>
        <sz val="11"/>
        <color rgb="FF000000"/>
        <rFont val="Calibri"/>
      </rPr>
      <t xml:space="preserve">Activos intangibles </t>
    </r>
    <r>
      <rPr>
        <i/>
        <sz val="11"/>
        <color rgb="FFFF0000"/>
        <rFont val="Calibri"/>
      </rPr>
      <t>(no etiquetado)</t>
    </r>
  </si>
  <si>
    <t>82100-518</t>
  </si>
  <si>
    <r>
      <rPr>
        <i/>
        <sz val="11"/>
        <color rgb="FF000000"/>
        <rFont val="Calibri"/>
      </rPr>
      <t xml:space="preserve">Activos intangibles </t>
    </r>
    <r>
      <rPr>
        <i/>
        <sz val="11"/>
        <color rgb="FFFF0000"/>
        <rFont val="Calibri"/>
      </rPr>
      <t>(etiquetado)</t>
    </r>
  </si>
  <si>
    <t>82100-600</t>
  </si>
  <si>
    <t>Inversión pública</t>
  </si>
  <si>
    <t>82100-601</t>
  </si>
  <si>
    <r>
      <rPr>
        <i/>
        <sz val="11"/>
        <color rgb="FF000000"/>
        <rFont val="Calibri"/>
      </rPr>
      <t xml:space="preserve">Obra pública en bienes de dominio público </t>
    </r>
    <r>
      <rPr>
        <i/>
        <sz val="11"/>
        <color rgb="FFFF0000"/>
        <rFont val="Calibri"/>
      </rPr>
      <t>(no etiquetado)</t>
    </r>
  </si>
  <si>
    <t>82100-602</t>
  </si>
  <si>
    <r>
      <rPr>
        <i/>
        <sz val="11"/>
        <color rgb="FF000000"/>
        <rFont val="Calibri"/>
      </rPr>
      <t xml:space="preserve">Obra pública en bienes de dominio público </t>
    </r>
    <r>
      <rPr>
        <i/>
        <sz val="11"/>
        <color rgb="FFFF0000"/>
        <rFont val="Calibri"/>
      </rPr>
      <t>(etiquetado)</t>
    </r>
  </si>
  <si>
    <t>82100-603</t>
  </si>
  <si>
    <r>
      <rPr>
        <i/>
        <sz val="11"/>
        <color rgb="FF000000"/>
        <rFont val="Calibri"/>
      </rPr>
      <t xml:space="preserve">Obra pública en bienes de dominio propios </t>
    </r>
    <r>
      <rPr>
        <i/>
        <sz val="11"/>
        <color rgb="FFFF0000"/>
        <rFont val="Calibri"/>
      </rPr>
      <t>(no etiquetado)</t>
    </r>
  </si>
  <si>
    <t>82100-604</t>
  </si>
  <si>
    <r>
      <rPr>
        <i/>
        <sz val="11"/>
        <color rgb="FF000000"/>
        <rFont val="Calibri"/>
      </rPr>
      <t xml:space="preserve">Obra pública en bienes de dominio propios </t>
    </r>
    <r>
      <rPr>
        <i/>
        <sz val="11"/>
        <color rgb="FFFF0000"/>
        <rFont val="Calibri"/>
      </rPr>
      <t>(etiquetado)</t>
    </r>
  </si>
  <si>
    <t>82100-605</t>
  </si>
  <si>
    <r>
      <rPr>
        <i/>
        <sz val="11"/>
        <color rgb="FF000000"/>
        <rFont val="Calibri"/>
      </rPr>
      <t xml:space="preserve">Proyectos productivos y acciones de fomento </t>
    </r>
    <r>
      <rPr>
        <i/>
        <sz val="11"/>
        <color rgb="FFFF0000"/>
        <rFont val="Calibri"/>
      </rPr>
      <t>(no etiquetado)</t>
    </r>
  </si>
  <si>
    <t>82100-606</t>
  </si>
  <si>
    <r>
      <rPr>
        <i/>
        <sz val="11"/>
        <color rgb="FF000000"/>
        <rFont val="Calibri"/>
      </rPr>
      <t xml:space="preserve">Proyectos productivos y acciones de fomento </t>
    </r>
    <r>
      <rPr>
        <i/>
        <sz val="11"/>
        <color rgb="FFFF0000"/>
        <rFont val="Calibri"/>
      </rPr>
      <t>(etiquetado)</t>
    </r>
  </si>
  <si>
    <t>82100-700</t>
  </si>
  <si>
    <t>Inversiones financieras y otras provisiones</t>
  </si>
  <si>
    <t>82100-701</t>
  </si>
  <si>
    <r>
      <rPr>
        <i/>
        <sz val="11"/>
        <color rgb="FF000000"/>
        <rFont val="Calibri"/>
      </rPr>
      <t xml:space="preserve">Inversiones para el fomento de actividades productivas </t>
    </r>
    <r>
      <rPr>
        <i/>
        <sz val="11"/>
        <color rgb="FFFF0000"/>
        <rFont val="Calibri"/>
      </rPr>
      <t>(no etiquetado)</t>
    </r>
  </si>
  <si>
    <t>82100-702</t>
  </si>
  <si>
    <r>
      <rPr>
        <i/>
        <sz val="11"/>
        <color rgb="FF000000"/>
        <rFont val="Calibri"/>
      </rPr>
      <t xml:space="preserve">Inversiones para el fomento de actividades productivas </t>
    </r>
    <r>
      <rPr>
        <i/>
        <sz val="11"/>
        <color rgb="FFFF0000"/>
        <rFont val="Calibri"/>
      </rPr>
      <t>(etiquetado)</t>
    </r>
  </si>
  <si>
    <t>82100-703</t>
  </si>
  <si>
    <r>
      <rPr>
        <i/>
        <sz val="11"/>
        <color rgb="FF000000"/>
        <rFont val="Calibri"/>
      </rPr>
      <t xml:space="preserve">Acciones y participaciones de capital </t>
    </r>
    <r>
      <rPr>
        <i/>
        <sz val="11"/>
        <color rgb="FFFF0000"/>
        <rFont val="Calibri"/>
      </rPr>
      <t>(no etiquetado)</t>
    </r>
  </si>
  <si>
    <t>82100-704</t>
  </si>
  <si>
    <r>
      <rPr>
        <i/>
        <sz val="11"/>
        <color rgb="FF000000"/>
        <rFont val="Calibri"/>
      </rPr>
      <t xml:space="preserve">Acciones y participaciones de capital </t>
    </r>
    <r>
      <rPr>
        <i/>
        <sz val="11"/>
        <color rgb="FFFF0000"/>
        <rFont val="Calibri"/>
      </rPr>
      <t>(etiquetado)</t>
    </r>
  </si>
  <si>
    <t>82100-705</t>
  </si>
  <si>
    <r>
      <rPr>
        <i/>
        <sz val="11"/>
        <color rgb="FF000000"/>
        <rFont val="Calibri"/>
      </rPr>
      <t xml:space="preserve">Compra de títulos y valores </t>
    </r>
    <r>
      <rPr>
        <i/>
        <sz val="11"/>
        <color rgb="FFFF0000"/>
        <rFont val="Calibri"/>
      </rPr>
      <t>(no etiquetado)</t>
    </r>
  </si>
  <si>
    <t>82100-706</t>
  </si>
  <si>
    <r>
      <rPr>
        <i/>
        <sz val="11"/>
        <color rgb="FF000000"/>
        <rFont val="Calibri"/>
      </rPr>
      <t xml:space="preserve">Compra de títulos y valores </t>
    </r>
    <r>
      <rPr>
        <i/>
        <sz val="11"/>
        <color rgb="FFFF0000"/>
        <rFont val="Calibri"/>
      </rPr>
      <t>(etiquetado)</t>
    </r>
  </si>
  <si>
    <t>82100-707</t>
  </si>
  <si>
    <r>
      <rPr>
        <i/>
        <sz val="11"/>
        <color rgb="FF000000"/>
        <rFont val="Calibri"/>
      </rPr>
      <t xml:space="preserve">Concesión de préstamos </t>
    </r>
    <r>
      <rPr>
        <i/>
        <sz val="11"/>
        <color rgb="FFFF0000"/>
        <rFont val="Calibri"/>
      </rPr>
      <t>(no etiquetado)</t>
    </r>
  </si>
  <si>
    <t>82100-708</t>
  </si>
  <si>
    <r>
      <rPr>
        <i/>
        <sz val="11"/>
        <color rgb="FF000000"/>
        <rFont val="Calibri"/>
      </rPr>
      <t xml:space="preserve">Concesión de préstamos </t>
    </r>
    <r>
      <rPr>
        <i/>
        <sz val="11"/>
        <color rgb="FFFF0000"/>
        <rFont val="Calibri"/>
      </rPr>
      <t>(etiquetado)</t>
    </r>
  </si>
  <si>
    <t>82100-709</t>
  </si>
  <si>
    <r>
      <rPr>
        <i/>
        <sz val="11"/>
        <color rgb="FF000000"/>
        <rFont val="Calibri"/>
      </rPr>
      <t xml:space="preserve">Inversiones en fideicomisos, mandatos y otros análogos </t>
    </r>
    <r>
      <rPr>
        <i/>
        <sz val="11"/>
        <color rgb="FFFF0000"/>
        <rFont val="Calibri"/>
      </rPr>
      <t>(no etiquetado)</t>
    </r>
  </si>
  <si>
    <t>82100-710</t>
  </si>
  <si>
    <r>
      <rPr>
        <i/>
        <sz val="11"/>
        <color rgb="FF000000"/>
        <rFont val="Calibri"/>
      </rPr>
      <t xml:space="preserve">Inversiones en fideicomisos, mandatos y otros análogos </t>
    </r>
    <r>
      <rPr>
        <i/>
        <sz val="11"/>
        <color rgb="FFFF0000"/>
        <rFont val="Calibri"/>
      </rPr>
      <t>(etiquetado)</t>
    </r>
  </si>
  <si>
    <t>82100-711</t>
  </si>
  <si>
    <r>
      <rPr>
        <i/>
        <sz val="11"/>
        <color rgb="FF000000"/>
        <rFont val="Calibri"/>
      </rPr>
      <t xml:space="preserve">Otras inversiones financieras </t>
    </r>
    <r>
      <rPr>
        <i/>
        <sz val="11"/>
        <color rgb="FFFF0000"/>
        <rFont val="Calibri"/>
      </rPr>
      <t>(no etiquetado)</t>
    </r>
  </si>
  <si>
    <t>82100-712</t>
  </si>
  <si>
    <r>
      <rPr>
        <i/>
        <sz val="11"/>
        <color rgb="FF000000"/>
        <rFont val="Calibri"/>
      </rPr>
      <t xml:space="preserve">Otras inversiones financieras </t>
    </r>
    <r>
      <rPr>
        <i/>
        <sz val="11"/>
        <color rgb="FFFF0000"/>
        <rFont val="Calibri"/>
      </rPr>
      <t>(etiquetado)</t>
    </r>
  </si>
  <si>
    <t>82100-713</t>
  </si>
  <si>
    <r>
      <rPr>
        <i/>
        <sz val="11"/>
        <color rgb="FF000000"/>
        <rFont val="Calibri"/>
      </rPr>
      <t xml:space="preserve">Provisiones para contingencias y otras erogaciones especiales </t>
    </r>
    <r>
      <rPr>
        <i/>
        <sz val="11"/>
        <color rgb="FFFF0000"/>
        <rFont val="Calibri"/>
      </rPr>
      <t>(no etiquetado)</t>
    </r>
  </si>
  <si>
    <t>82100-714</t>
  </si>
  <si>
    <r>
      <rPr>
        <i/>
        <sz val="11"/>
        <color rgb="FF000000"/>
        <rFont val="Calibri"/>
      </rPr>
      <t xml:space="preserve">Provisiones para contingencias y otras erogaciones especiales </t>
    </r>
    <r>
      <rPr>
        <i/>
        <sz val="11"/>
        <color rgb="FFFF0000"/>
        <rFont val="Calibri"/>
      </rPr>
      <t>(etiquetado)</t>
    </r>
  </si>
  <si>
    <t>82100-800</t>
  </si>
  <si>
    <t>Participaciones y aportaciones</t>
  </si>
  <si>
    <t>82100-801</t>
  </si>
  <si>
    <r>
      <rPr>
        <i/>
        <sz val="11"/>
        <color theme="1"/>
        <rFont val="Calibri"/>
      </rPr>
      <t xml:space="preserve">Participaciones </t>
    </r>
    <r>
      <rPr>
        <i/>
        <sz val="11"/>
        <color rgb="FFFF0000"/>
        <rFont val="Calibri"/>
      </rPr>
      <t>(no etiquetado)</t>
    </r>
  </si>
  <si>
    <t>82100-802</t>
  </si>
  <si>
    <r>
      <rPr>
        <i/>
        <sz val="11"/>
        <color theme="1"/>
        <rFont val="Calibri"/>
      </rPr>
      <t xml:space="preserve">Participaciones </t>
    </r>
    <r>
      <rPr>
        <i/>
        <sz val="11"/>
        <color rgb="FFFF0000"/>
        <rFont val="Calibri"/>
      </rPr>
      <t>(etiquetado)</t>
    </r>
  </si>
  <si>
    <t>82100-803</t>
  </si>
  <si>
    <r>
      <rPr>
        <i/>
        <sz val="11"/>
        <color theme="1"/>
        <rFont val="Calibri"/>
      </rPr>
      <t xml:space="preserve">Aportaciones </t>
    </r>
    <r>
      <rPr>
        <i/>
        <sz val="11"/>
        <color rgb="FFFF0000"/>
        <rFont val="Calibri"/>
      </rPr>
      <t>(no etiquetado)</t>
    </r>
  </si>
  <si>
    <t>82100-804</t>
  </si>
  <si>
    <r>
      <rPr>
        <i/>
        <sz val="11"/>
        <color theme="1"/>
        <rFont val="Calibri"/>
      </rPr>
      <t xml:space="preserve">Aportaciones </t>
    </r>
    <r>
      <rPr>
        <i/>
        <sz val="11"/>
        <color rgb="FFFF0000"/>
        <rFont val="Calibri"/>
      </rPr>
      <t>(etiquetado)</t>
    </r>
  </si>
  <si>
    <t>82100-805</t>
  </si>
  <si>
    <r>
      <rPr>
        <i/>
        <sz val="11"/>
        <color theme="1"/>
        <rFont val="Calibri"/>
      </rPr>
      <t xml:space="preserve">Convenios </t>
    </r>
    <r>
      <rPr>
        <i/>
        <sz val="11"/>
        <color rgb="FFFF0000"/>
        <rFont val="Calibri"/>
      </rPr>
      <t>(no etiquetado)</t>
    </r>
  </si>
  <si>
    <t>82100-806</t>
  </si>
  <si>
    <r>
      <rPr>
        <i/>
        <sz val="11"/>
        <color theme="1"/>
        <rFont val="Calibri"/>
      </rPr>
      <t xml:space="preserve">Convenios </t>
    </r>
    <r>
      <rPr>
        <i/>
        <sz val="11"/>
        <color rgb="FFFF0000"/>
        <rFont val="Calibri"/>
      </rPr>
      <t>(etiquetado)</t>
    </r>
  </si>
  <si>
    <t>82100-900</t>
  </si>
  <si>
    <t>Deuda pública</t>
  </si>
  <si>
    <t>82100-901</t>
  </si>
  <si>
    <r>
      <rPr>
        <i/>
        <sz val="11"/>
        <color theme="1"/>
        <rFont val="Calibri"/>
      </rPr>
      <t xml:space="preserve">Amortización de la deuda pública </t>
    </r>
    <r>
      <rPr>
        <i/>
        <sz val="11"/>
        <color rgb="FFFF0000"/>
        <rFont val="Calibri"/>
      </rPr>
      <t>(no etiquetado)</t>
    </r>
  </si>
  <si>
    <t>82100-902</t>
  </si>
  <si>
    <r>
      <rPr>
        <i/>
        <sz val="11"/>
        <color theme="1"/>
        <rFont val="Calibri"/>
      </rPr>
      <t xml:space="preserve">Amortización de la deuda pública </t>
    </r>
    <r>
      <rPr>
        <i/>
        <sz val="11"/>
        <color rgb="FFFF0000"/>
        <rFont val="Calibri"/>
      </rPr>
      <t>(etiquetado)</t>
    </r>
  </si>
  <si>
    <t>82100-903</t>
  </si>
  <si>
    <r>
      <rPr>
        <i/>
        <sz val="11"/>
        <color theme="1"/>
        <rFont val="Calibri"/>
      </rPr>
      <t xml:space="preserve">Intereses de la deuda pública </t>
    </r>
    <r>
      <rPr>
        <i/>
        <sz val="11"/>
        <color rgb="FFFF0000"/>
        <rFont val="Calibri"/>
      </rPr>
      <t>(no etiquetado)</t>
    </r>
  </si>
  <si>
    <t>82100-904</t>
  </si>
  <si>
    <r>
      <rPr>
        <i/>
        <sz val="11"/>
        <color theme="1"/>
        <rFont val="Calibri"/>
      </rPr>
      <t xml:space="preserve">Intereses de la deuda pública </t>
    </r>
    <r>
      <rPr>
        <i/>
        <sz val="11"/>
        <color rgb="FFFF0000"/>
        <rFont val="Calibri"/>
      </rPr>
      <t>(etiquetado)</t>
    </r>
  </si>
  <si>
    <t>82100-905</t>
  </si>
  <si>
    <r>
      <rPr>
        <i/>
        <sz val="11"/>
        <color theme="1"/>
        <rFont val="Calibri"/>
      </rPr>
      <t xml:space="preserve">Comisiones de la deuda pública </t>
    </r>
    <r>
      <rPr>
        <i/>
        <sz val="11"/>
        <color rgb="FFFF0000"/>
        <rFont val="Calibri"/>
      </rPr>
      <t>(no etiquetado)</t>
    </r>
  </si>
  <si>
    <t>82100-906</t>
  </si>
  <si>
    <r>
      <rPr>
        <i/>
        <sz val="11"/>
        <color theme="1"/>
        <rFont val="Calibri"/>
      </rPr>
      <t xml:space="preserve">Comisiones de la deuda pública </t>
    </r>
    <r>
      <rPr>
        <i/>
        <sz val="11"/>
        <color rgb="FFFF0000"/>
        <rFont val="Calibri"/>
      </rPr>
      <t>(etiquetado)</t>
    </r>
  </si>
  <si>
    <t>82100-907</t>
  </si>
  <si>
    <r>
      <rPr>
        <i/>
        <sz val="11"/>
        <color theme="1"/>
        <rFont val="Calibri"/>
      </rPr>
      <t xml:space="preserve">Gastos de la deuda pública </t>
    </r>
    <r>
      <rPr>
        <i/>
        <sz val="11"/>
        <color rgb="FFFF0000"/>
        <rFont val="Calibri"/>
      </rPr>
      <t>(no etiquetado)</t>
    </r>
  </si>
  <si>
    <t>82100-908</t>
  </si>
  <si>
    <r>
      <rPr>
        <i/>
        <sz val="11"/>
        <color theme="1"/>
        <rFont val="Calibri"/>
      </rPr>
      <t xml:space="preserve">Gastos de la deuda pública </t>
    </r>
    <r>
      <rPr>
        <i/>
        <sz val="11"/>
        <color rgb="FFFF0000"/>
        <rFont val="Calibri"/>
      </rPr>
      <t>(etiquetado)</t>
    </r>
  </si>
  <si>
    <t>82100-909</t>
  </si>
  <si>
    <r>
      <rPr>
        <i/>
        <sz val="11"/>
        <color theme="1"/>
        <rFont val="Calibri"/>
      </rPr>
      <t xml:space="preserve">Costo por coberturas </t>
    </r>
    <r>
      <rPr>
        <i/>
        <sz val="11"/>
        <color rgb="FFFF0000"/>
        <rFont val="Calibri"/>
      </rPr>
      <t>(no etiquetado)</t>
    </r>
  </si>
  <si>
    <t>82100-910</t>
  </si>
  <si>
    <r>
      <rPr>
        <i/>
        <sz val="11"/>
        <color theme="1"/>
        <rFont val="Calibri"/>
      </rPr>
      <t xml:space="preserve">Costo por coberturas </t>
    </r>
    <r>
      <rPr>
        <i/>
        <sz val="11"/>
        <color rgb="FFFF0000"/>
        <rFont val="Calibri"/>
      </rPr>
      <t>(etiquetado)</t>
    </r>
  </si>
  <si>
    <t>82100-911</t>
  </si>
  <si>
    <r>
      <rPr>
        <i/>
        <sz val="11"/>
        <color theme="1"/>
        <rFont val="Calibri"/>
      </rPr>
      <t xml:space="preserve">Apoyos financieros </t>
    </r>
    <r>
      <rPr>
        <i/>
        <sz val="11"/>
        <color rgb="FFFF0000"/>
        <rFont val="Calibri"/>
      </rPr>
      <t>(no etiquetado)</t>
    </r>
  </si>
  <si>
    <t>82100-912</t>
  </si>
  <si>
    <r>
      <rPr>
        <i/>
        <sz val="11"/>
        <color theme="1"/>
        <rFont val="Calibri"/>
      </rPr>
      <t xml:space="preserve">Apoyos financieros </t>
    </r>
    <r>
      <rPr>
        <i/>
        <sz val="11"/>
        <color rgb="FFFF0000"/>
        <rFont val="Calibri"/>
      </rPr>
      <t>(etiquetado)</t>
    </r>
  </si>
  <si>
    <t>82100-913</t>
  </si>
  <si>
    <r>
      <rPr>
        <i/>
        <sz val="11"/>
        <color theme="1"/>
        <rFont val="Calibri"/>
      </rPr>
      <t xml:space="preserve">Adeudos de ejercicios anteriores (adefas) </t>
    </r>
    <r>
      <rPr>
        <i/>
        <sz val="11"/>
        <color rgb="FFFF0000"/>
        <rFont val="Calibri"/>
      </rPr>
      <t>(no etiquetado)</t>
    </r>
  </si>
  <si>
    <t>82100-914</t>
  </si>
  <si>
    <r>
      <rPr>
        <i/>
        <sz val="11"/>
        <color theme="1"/>
        <rFont val="Calibri"/>
      </rPr>
      <t xml:space="preserve">Adeudos de ejercicios anteriores (adefas) </t>
    </r>
    <r>
      <rPr>
        <i/>
        <sz val="11"/>
        <color rgb="FFFF0000"/>
        <rFont val="Calibri"/>
      </rPr>
      <t>(etiquetado)</t>
    </r>
  </si>
  <si>
    <t>PRESUPUESTO DE EGRESOS POR EJERCER</t>
  </si>
  <si>
    <t>82200-100</t>
  </si>
  <si>
    <t>82200-101</t>
  </si>
  <si>
    <r>
      <rPr>
        <i/>
        <sz val="11"/>
        <color rgb="FF000000"/>
        <rFont val="Calibri"/>
      </rPr>
      <t xml:space="preserve">Remuneraciones al personal de carácter permanente </t>
    </r>
    <r>
      <rPr>
        <i/>
        <sz val="11"/>
        <color rgb="FFFF0000"/>
        <rFont val="Calibri"/>
      </rPr>
      <t>(no etiquetado)</t>
    </r>
  </si>
  <si>
    <t>82200-102</t>
  </si>
  <si>
    <r>
      <rPr>
        <i/>
        <sz val="11"/>
        <color rgb="FF000000"/>
        <rFont val="Calibri"/>
      </rPr>
      <t xml:space="preserve">Remuneraciones al personal de carácter permanente </t>
    </r>
    <r>
      <rPr>
        <i/>
        <sz val="11"/>
        <color rgb="FFFF0000"/>
        <rFont val="Calibri"/>
      </rPr>
      <t>(etiquetado)</t>
    </r>
  </si>
  <si>
    <t>82200-103</t>
  </si>
  <si>
    <r>
      <rPr>
        <i/>
        <sz val="11"/>
        <color rgb="FF000000"/>
        <rFont val="Calibri"/>
      </rPr>
      <t xml:space="preserve">Remuneraciones al personal de carácter transitorio </t>
    </r>
    <r>
      <rPr>
        <i/>
        <sz val="11"/>
        <color rgb="FFFF0000"/>
        <rFont val="Calibri"/>
      </rPr>
      <t>(no etiquetado)</t>
    </r>
  </si>
  <si>
    <t>82200-104</t>
  </si>
  <si>
    <r>
      <rPr>
        <i/>
        <sz val="11"/>
        <color rgb="FF000000"/>
        <rFont val="Calibri"/>
      </rPr>
      <t xml:space="preserve">Remuneraciones al personal de carácter transitorio </t>
    </r>
    <r>
      <rPr>
        <i/>
        <sz val="11"/>
        <color rgb="FFFF0000"/>
        <rFont val="Calibri"/>
      </rPr>
      <t>(etiquetado)</t>
    </r>
  </si>
  <si>
    <t>82200-105</t>
  </si>
  <si>
    <r>
      <rPr>
        <i/>
        <sz val="11"/>
        <color rgb="FF000000"/>
        <rFont val="Calibri"/>
      </rPr>
      <t xml:space="preserve">Remuneraciones adicionales especiales </t>
    </r>
    <r>
      <rPr>
        <i/>
        <sz val="11"/>
        <color rgb="FFFF0000"/>
        <rFont val="Calibri"/>
      </rPr>
      <t>(no etiquetado)</t>
    </r>
  </si>
  <si>
    <t>82200-106</t>
  </si>
  <si>
    <r>
      <rPr>
        <i/>
        <sz val="11"/>
        <color rgb="FF000000"/>
        <rFont val="Calibri"/>
      </rPr>
      <t xml:space="preserve">Remuneraciones adicionales especiales </t>
    </r>
    <r>
      <rPr>
        <i/>
        <sz val="11"/>
        <color rgb="FFFF0000"/>
        <rFont val="Calibri"/>
      </rPr>
      <t>(etiquetado)</t>
    </r>
  </si>
  <si>
    <t>82200-107</t>
  </si>
  <si>
    <r>
      <rPr>
        <i/>
        <sz val="11"/>
        <color rgb="FF000000"/>
        <rFont val="Calibri"/>
      </rPr>
      <t xml:space="preserve">Seguridad social </t>
    </r>
    <r>
      <rPr>
        <i/>
        <sz val="11"/>
        <color rgb="FFFF0000"/>
        <rFont val="Calibri"/>
      </rPr>
      <t>(no etiquetado)</t>
    </r>
  </si>
  <si>
    <t>82200-108</t>
  </si>
  <si>
    <r>
      <rPr>
        <i/>
        <sz val="11"/>
        <color rgb="FF000000"/>
        <rFont val="Calibri"/>
      </rPr>
      <t xml:space="preserve">Seguridad social </t>
    </r>
    <r>
      <rPr>
        <i/>
        <sz val="11"/>
        <color rgb="FFFF0000"/>
        <rFont val="Calibri"/>
      </rPr>
      <t>(etiquetado)</t>
    </r>
  </si>
  <si>
    <t>82200-109</t>
  </si>
  <si>
    <r>
      <rPr>
        <i/>
        <sz val="11"/>
        <color rgb="FF000000"/>
        <rFont val="Calibri"/>
      </rPr>
      <t xml:space="preserve">Otras prestaciones sociales y económicas </t>
    </r>
    <r>
      <rPr>
        <i/>
        <sz val="11"/>
        <color rgb="FFFF0000"/>
        <rFont val="Calibri"/>
      </rPr>
      <t>(no etiquetado)</t>
    </r>
  </si>
  <si>
    <t>82200-110</t>
  </si>
  <si>
    <r>
      <rPr>
        <i/>
        <sz val="11"/>
        <color rgb="FF000000"/>
        <rFont val="Calibri"/>
      </rPr>
      <t xml:space="preserve">Otras prestaciones sociales y económicas </t>
    </r>
    <r>
      <rPr>
        <i/>
        <sz val="11"/>
        <color rgb="FFFF0000"/>
        <rFont val="Calibri"/>
      </rPr>
      <t>(etiquetado)</t>
    </r>
  </si>
  <si>
    <t>82200-111</t>
  </si>
  <si>
    <r>
      <rPr>
        <i/>
        <sz val="11"/>
        <color rgb="FF000000"/>
        <rFont val="Calibri"/>
      </rPr>
      <t xml:space="preserve">Previsiones </t>
    </r>
    <r>
      <rPr>
        <i/>
        <sz val="11"/>
        <color rgb="FFFF0000"/>
        <rFont val="Calibri"/>
      </rPr>
      <t>(no etiquetado)</t>
    </r>
  </si>
  <si>
    <t>82200-112</t>
  </si>
  <si>
    <r>
      <rPr>
        <i/>
        <sz val="11"/>
        <color rgb="FF000000"/>
        <rFont val="Calibri"/>
      </rPr>
      <t xml:space="preserve">Previsiones </t>
    </r>
    <r>
      <rPr>
        <i/>
        <sz val="11"/>
        <color rgb="FFFF0000"/>
        <rFont val="Calibri"/>
      </rPr>
      <t>(etiquetado)</t>
    </r>
  </si>
  <si>
    <t>82200-113</t>
  </si>
  <si>
    <r>
      <rPr>
        <i/>
        <sz val="11"/>
        <color rgb="FF000000"/>
        <rFont val="Calibri"/>
      </rPr>
      <t xml:space="preserve">Pago de estímulos a servidores públicos </t>
    </r>
    <r>
      <rPr>
        <i/>
        <sz val="11"/>
        <color rgb="FFFF0000"/>
        <rFont val="Calibri"/>
      </rPr>
      <t>(no etiquetado)</t>
    </r>
  </si>
  <si>
    <t>82200-114</t>
  </si>
  <si>
    <r>
      <rPr>
        <i/>
        <sz val="11"/>
        <color rgb="FF000000"/>
        <rFont val="Calibri"/>
      </rPr>
      <t xml:space="preserve">Pago de estímulos a servidores públicos </t>
    </r>
    <r>
      <rPr>
        <i/>
        <sz val="11"/>
        <color rgb="FFFF0000"/>
        <rFont val="Calibri"/>
      </rPr>
      <t>(etiquetado)</t>
    </r>
  </si>
  <si>
    <t>82200-200</t>
  </si>
  <si>
    <t>82200-201</t>
  </si>
  <si>
    <r>
      <rPr>
        <i/>
        <sz val="11"/>
        <color rgb="FF000000"/>
        <rFont val="Calibri"/>
      </rPr>
      <t xml:space="preserve">Materiales de administración, emisión de documentos y artículos oficiales </t>
    </r>
    <r>
      <rPr>
        <i/>
        <sz val="11"/>
        <color rgb="FFFF0000"/>
        <rFont val="Calibri"/>
      </rPr>
      <t>(no etiquetado)</t>
    </r>
  </si>
  <si>
    <t>82200-202</t>
  </si>
  <si>
    <r>
      <rPr>
        <i/>
        <sz val="11"/>
        <color rgb="FF000000"/>
        <rFont val="Calibri"/>
      </rPr>
      <t xml:space="preserve">Materiales de administración, emisión de documentos y artículos oficiales </t>
    </r>
    <r>
      <rPr>
        <i/>
        <sz val="11"/>
        <color rgb="FFFF0000"/>
        <rFont val="Calibri"/>
      </rPr>
      <t>(etiquetado)</t>
    </r>
  </si>
  <si>
    <t>82200-203</t>
  </si>
  <si>
    <r>
      <rPr>
        <i/>
        <sz val="11"/>
        <color rgb="FF000000"/>
        <rFont val="Calibri"/>
      </rPr>
      <t xml:space="preserve">Alimentos y utensilios </t>
    </r>
    <r>
      <rPr>
        <i/>
        <sz val="11"/>
        <color rgb="FFFF0000"/>
        <rFont val="Calibri"/>
      </rPr>
      <t>(no etiquetado)</t>
    </r>
  </si>
  <si>
    <t>82200-204</t>
  </si>
  <si>
    <r>
      <rPr>
        <i/>
        <sz val="11"/>
        <color rgb="FF000000"/>
        <rFont val="Calibri"/>
      </rPr>
      <t xml:space="preserve">Alimentos y utensilios </t>
    </r>
    <r>
      <rPr>
        <i/>
        <sz val="11"/>
        <color rgb="FFFF0000"/>
        <rFont val="Calibri"/>
      </rPr>
      <t>(etiquetado)</t>
    </r>
  </si>
  <si>
    <t>82200-205</t>
  </si>
  <si>
    <r>
      <rPr>
        <i/>
        <sz val="11"/>
        <color rgb="FF000000"/>
        <rFont val="Calibri"/>
      </rPr>
      <t xml:space="preserve">Materias primas y materiales de producción y comercialización </t>
    </r>
    <r>
      <rPr>
        <i/>
        <sz val="11"/>
        <color rgb="FFFF0000"/>
        <rFont val="Calibri"/>
      </rPr>
      <t>(no etiquetado)</t>
    </r>
  </si>
  <si>
    <t>82200-206</t>
  </si>
  <si>
    <r>
      <rPr>
        <i/>
        <sz val="11"/>
        <color rgb="FF000000"/>
        <rFont val="Calibri"/>
      </rPr>
      <t xml:space="preserve">Materias primas y materiales de producción y comercialización </t>
    </r>
    <r>
      <rPr>
        <i/>
        <sz val="11"/>
        <color rgb="FFFF0000"/>
        <rFont val="Calibri"/>
      </rPr>
      <t>(etiquetado)</t>
    </r>
  </si>
  <si>
    <t>82200-207</t>
  </si>
  <si>
    <r>
      <rPr>
        <i/>
        <sz val="11"/>
        <color rgb="FF000000"/>
        <rFont val="Calibri"/>
      </rPr>
      <t xml:space="preserve">Materiales y artículos de construcción y de reparación </t>
    </r>
    <r>
      <rPr>
        <i/>
        <sz val="11"/>
        <color rgb="FFFF0000"/>
        <rFont val="Calibri"/>
      </rPr>
      <t>(no etiquetado)</t>
    </r>
  </si>
  <si>
    <t>82200-208</t>
  </si>
  <si>
    <r>
      <rPr>
        <i/>
        <sz val="11"/>
        <color rgb="FF000000"/>
        <rFont val="Calibri"/>
      </rPr>
      <t xml:space="preserve">Materiales y artículos de construcción y de reparación </t>
    </r>
    <r>
      <rPr>
        <i/>
        <sz val="11"/>
        <color rgb="FFFF0000"/>
        <rFont val="Calibri"/>
      </rPr>
      <t>(etiquetado)</t>
    </r>
  </si>
  <si>
    <t>82200-209</t>
  </si>
  <si>
    <r>
      <rPr>
        <i/>
        <sz val="11"/>
        <color rgb="FF000000"/>
        <rFont val="Calibri"/>
      </rPr>
      <t xml:space="preserve">Productos químicos, farmacéuticos y de laboratorio </t>
    </r>
    <r>
      <rPr>
        <i/>
        <sz val="11"/>
        <color rgb="FFFF0000"/>
        <rFont val="Calibri"/>
      </rPr>
      <t>(no etiquetado)</t>
    </r>
  </si>
  <si>
    <t>82200-210</t>
  </si>
  <si>
    <r>
      <rPr>
        <i/>
        <sz val="11"/>
        <color rgb="FF000000"/>
        <rFont val="Calibri"/>
      </rPr>
      <t xml:space="preserve">Productos químicos, farmacéuticos y de laboratorio </t>
    </r>
    <r>
      <rPr>
        <i/>
        <sz val="11"/>
        <color rgb="FFFF0000"/>
        <rFont val="Calibri"/>
      </rPr>
      <t>(etiquetado)</t>
    </r>
  </si>
  <si>
    <t>82200-211</t>
  </si>
  <si>
    <r>
      <rPr>
        <i/>
        <sz val="11"/>
        <color rgb="FF000000"/>
        <rFont val="Calibri"/>
      </rPr>
      <t xml:space="preserve">Combustibles, lubricantes y aditivos </t>
    </r>
    <r>
      <rPr>
        <i/>
        <sz val="11"/>
        <color rgb="FFFF0000"/>
        <rFont val="Calibri"/>
      </rPr>
      <t>(no etiquetado)</t>
    </r>
  </si>
  <si>
    <t>82200-212</t>
  </si>
  <si>
    <r>
      <rPr>
        <i/>
        <sz val="11"/>
        <color rgb="FF000000"/>
        <rFont val="Calibri"/>
      </rPr>
      <t xml:space="preserve">Combustibles, lubricantes y aditivos </t>
    </r>
    <r>
      <rPr>
        <i/>
        <sz val="11"/>
        <color rgb="FFFF0000"/>
        <rFont val="Calibri"/>
      </rPr>
      <t>(etiquetado)</t>
    </r>
  </si>
  <si>
    <t>82200-213</t>
  </si>
  <si>
    <r>
      <rPr>
        <i/>
        <sz val="11"/>
        <color rgb="FF000000"/>
        <rFont val="Calibri"/>
      </rPr>
      <t xml:space="preserve">Vestuario, blancos, prendas de protección y artículos deportivos </t>
    </r>
    <r>
      <rPr>
        <i/>
        <sz val="11"/>
        <color rgb="FFFF0000"/>
        <rFont val="Calibri"/>
      </rPr>
      <t>(no etiquetado)</t>
    </r>
  </si>
  <si>
    <t>82200-214</t>
  </si>
  <si>
    <r>
      <rPr>
        <i/>
        <sz val="11"/>
        <color rgb="FF000000"/>
        <rFont val="Calibri"/>
      </rPr>
      <t xml:space="preserve">Vestuario, blancos, prendas de protección y artículos deportivos </t>
    </r>
    <r>
      <rPr>
        <i/>
        <sz val="11"/>
        <color rgb="FFFF0000"/>
        <rFont val="Calibri"/>
      </rPr>
      <t>(etiquetado)</t>
    </r>
  </si>
  <si>
    <t>82200-215</t>
  </si>
  <si>
    <r>
      <rPr>
        <i/>
        <sz val="11"/>
        <color rgb="FF000000"/>
        <rFont val="Calibri"/>
      </rPr>
      <t xml:space="preserve">Materiales y suministros de seguridad </t>
    </r>
    <r>
      <rPr>
        <i/>
        <sz val="11"/>
        <color rgb="FFFF0000"/>
        <rFont val="Calibri"/>
      </rPr>
      <t>(no etiquetado)</t>
    </r>
  </si>
  <si>
    <t>82200-216</t>
  </si>
  <si>
    <r>
      <rPr>
        <i/>
        <sz val="11"/>
        <color rgb="FF000000"/>
        <rFont val="Calibri"/>
      </rPr>
      <t xml:space="preserve">Materiales y suministros de seguridad </t>
    </r>
    <r>
      <rPr>
        <i/>
        <sz val="11"/>
        <color rgb="FFFF0000"/>
        <rFont val="Calibri"/>
      </rPr>
      <t>(etiquetado)</t>
    </r>
  </si>
  <si>
    <t>82200-217</t>
  </si>
  <si>
    <r>
      <rPr>
        <i/>
        <sz val="11"/>
        <color rgb="FF000000"/>
        <rFont val="Calibri"/>
      </rPr>
      <t xml:space="preserve">Herramientas, refacciones y accesorios menores </t>
    </r>
    <r>
      <rPr>
        <i/>
        <sz val="11"/>
        <color rgb="FFFF0000"/>
        <rFont val="Calibri"/>
      </rPr>
      <t>(no etiquetado)</t>
    </r>
  </si>
  <si>
    <t>82200-218</t>
  </si>
  <si>
    <r>
      <rPr>
        <i/>
        <sz val="11"/>
        <color rgb="FF000000"/>
        <rFont val="Calibri"/>
      </rPr>
      <t xml:space="preserve">Herramientas, refacciones y accesorios menores </t>
    </r>
    <r>
      <rPr>
        <i/>
        <sz val="11"/>
        <color rgb="FFFF0000"/>
        <rFont val="Calibri"/>
      </rPr>
      <t>(etiquetado)</t>
    </r>
  </si>
  <si>
    <t>82200-300</t>
  </si>
  <si>
    <t>82200-301</t>
  </si>
  <si>
    <r>
      <rPr>
        <i/>
        <sz val="11"/>
        <color rgb="FF000000"/>
        <rFont val="Calibri"/>
      </rPr>
      <t xml:space="preserve">Servicios básicos </t>
    </r>
    <r>
      <rPr>
        <i/>
        <sz val="11"/>
        <color rgb="FFFF0000"/>
        <rFont val="Calibri"/>
      </rPr>
      <t>(no etiquetado)</t>
    </r>
  </si>
  <si>
    <t>82200-302</t>
  </si>
  <si>
    <r>
      <rPr>
        <i/>
        <sz val="11"/>
        <color rgb="FF000000"/>
        <rFont val="Calibri"/>
      </rPr>
      <t xml:space="preserve">Servicios básicos </t>
    </r>
    <r>
      <rPr>
        <i/>
        <sz val="11"/>
        <color rgb="FFFF0000"/>
        <rFont val="Calibri"/>
      </rPr>
      <t>(etiquetado)</t>
    </r>
  </si>
  <si>
    <t>82200-303</t>
  </si>
  <si>
    <r>
      <rPr>
        <i/>
        <sz val="11"/>
        <color rgb="FF000000"/>
        <rFont val="Calibri"/>
      </rPr>
      <t xml:space="preserve">Servicios de arrendamiento </t>
    </r>
    <r>
      <rPr>
        <i/>
        <sz val="11"/>
        <color rgb="FFFF0000"/>
        <rFont val="Calibri"/>
      </rPr>
      <t>(no etiquetado)</t>
    </r>
  </si>
  <si>
    <t>82200-304</t>
  </si>
  <si>
    <r>
      <rPr>
        <i/>
        <sz val="11"/>
        <color rgb="FF000000"/>
        <rFont val="Calibri"/>
      </rPr>
      <t xml:space="preserve">Servicios de arrendamiento </t>
    </r>
    <r>
      <rPr>
        <i/>
        <sz val="11"/>
        <color rgb="FFFF0000"/>
        <rFont val="Calibri"/>
      </rPr>
      <t>(etiquetado)</t>
    </r>
  </si>
  <si>
    <t>82200-305</t>
  </si>
  <si>
    <r>
      <rPr>
        <i/>
        <sz val="11"/>
        <color rgb="FF000000"/>
        <rFont val="Calibri"/>
      </rPr>
      <t xml:space="preserve">Servicios profesionales, científicos, técnicos y otros servicios </t>
    </r>
    <r>
      <rPr>
        <i/>
        <sz val="11"/>
        <color rgb="FFFF0000"/>
        <rFont val="Calibri"/>
      </rPr>
      <t>(no etiquetado)</t>
    </r>
  </si>
  <si>
    <t>82200-306</t>
  </si>
  <si>
    <r>
      <rPr>
        <i/>
        <sz val="11"/>
        <color rgb="FF000000"/>
        <rFont val="Calibri"/>
      </rPr>
      <t xml:space="preserve">Servicios profesionales, científicos, técnicos y otros servicios </t>
    </r>
    <r>
      <rPr>
        <i/>
        <sz val="11"/>
        <color rgb="FFFF0000"/>
        <rFont val="Calibri"/>
      </rPr>
      <t>(etiquetado)</t>
    </r>
  </si>
  <si>
    <t>82200-307</t>
  </si>
  <si>
    <r>
      <rPr>
        <i/>
        <sz val="11"/>
        <color rgb="FF000000"/>
        <rFont val="Calibri"/>
      </rPr>
      <t xml:space="preserve">Servicios financieros, bancarios y comerciales </t>
    </r>
    <r>
      <rPr>
        <i/>
        <sz val="11"/>
        <color rgb="FFFF0000"/>
        <rFont val="Calibri"/>
      </rPr>
      <t>(no etiquetado)</t>
    </r>
  </si>
  <si>
    <t>82200-308</t>
  </si>
  <si>
    <r>
      <rPr>
        <i/>
        <sz val="11"/>
        <color rgb="FF000000"/>
        <rFont val="Calibri"/>
      </rPr>
      <t xml:space="preserve">Servicios financieros, bancarios y comerciales </t>
    </r>
    <r>
      <rPr>
        <i/>
        <sz val="11"/>
        <color rgb="FFFF0000"/>
        <rFont val="Calibri"/>
      </rPr>
      <t>(etiquetado)</t>
    </r>
  </si>
  <si>
    <t>82200-309</t>
  </si>
  <si>
    <r>
      <rPr>
        <i/>
        <sz val="11"/>
        <color rgb="FF000000"/>
        <rFont val="Calibri"/>
      </rPr>
      <t xml:space="preserve">Servicios de instalación, reparación, mantenimiento y conservación </t>
    </r>
    <r>
      <rPr>
        <i/>
        <sz val="11"/>
        <color rgb="FFFF0000"/>
        <rFont val="Calibri"/>
      </rPr>
      <t>(no etiquetado)</t>
    </r>
  </si>
  <si>
    <t>82200-310</t>
  </si>
  <si>
    <r>
      <rPr>
        <i/>
        <sz val="11"/>
        <color rgb="FF000000"/>
        <rFont val="Calibri"/>
      </rPr>
      <t xml:space="preserve">Servicios de instalación, reparación, mantenimiento y conservación </t>
    </r>
    <r>
      <rPr>
        <i/>
        <sz val="11"/>
        <color rgb="FFFF0000"/>
        <rFont val="Calibri"/>
      </rPr>
      <t>(etiquetado)</t>
    </r>
  </si>
  <si>
    <t>82200-311</t>
  </si>
  <si>
    <r>
      <rPr>
        <i/>
        <sz val="11"/>
        <color rgb="FF000000"/>
        <rFont val="Calibri"/>
      </rPr>
      <t xml:space="preserve">Servicios de comunicación social y publicidad </t>
    </r>
    <r>
      <rPr>
        <i/>
        <sz val="11"/>
        <color rgb="FFFF0000"/>
        <rFont val="Calibri"/>
      </rPr>
      <t>(no etiquetado)</t>
    </r>
  </si>
  <si>
    <t>82200-312</t>
  </si>
  <si>
    <r>
      <rPr>
        <i/>
        <sz val="11"/>
        <color rgb="FF000000"/>
        <rFont val="Calibri"/>
      </rPr>
      <t xml:space="preserve">Servicios de comunicación social y publicidad </t>
    </r>
    <r>
      <rPr>
        <i/>
        <sz val="11"/>
        <color rgb="FFFF0000"/>
        <rFont val="Calibri"/>
      </rPr>
      <t>(etiquetado)</t>
    </r>
  </si>
  <si>
    <t>82200-313</t>
  </si>
  <si>
    <r>
      <rPr>
        <i/>
        <sz val="11"/>
        <color rgb="FF000000"/>
        <rFont val="Calibri"/>
      </rPr>
      <t xml:space="preserve">Servicios de traslado y viáticos </t>
    </r>
    <r>
      <rPr>
        <i/>
        <sz val="11"/>
        <color rgb="FFFF0000"/>
        <rFont val="Calibri"/>
      </rPr>
      <t>(no etiquetado)</t>
    </r>
  </si>
  <si>
    <t>82200-314</t>
  </si>
  <si>
    <r>
      <rPr>
        <i/>
        <sz val="11"/>
        <color rgb="FF000000"/>
        <rFont val="Calibri"/>
      </rPr>
      <t xml:space="preserve">Servicios de traslado y viáticos </t>
    </r>
    <r>
      <rPr>
        <i/>
        <sz val="11"/>
        <color rgb="FFFF0000"/>
        <rFont val="Calibri"/>
      </rPr>
      <t>(etiquetado)</t>
    </r>
  </si>
  <si>
    <t>82200-315</t>
  </si>
  <si>
    <r>
      <rPr>
        <i/>
        <sz val="11"/>
        <color rgb="FF000000"/>
        <rFont val="Calibri"/>
      </rPr>
      <t xml:space="preserve">Servicios oficiales </t>
    </r>
    <r>
      <rPr>
        <i/>
        <sz val="11"/>
        <color rgb="FFFF0000"/>
        <rFont val="Calibri"/>
      </rPr>
      <t>(no etiquetado)</t>
    </r>
  </si>
  <si>
    <t>82200-316</t>
  </si>
  <si>
    <r>
      <rPr>
        <i/>
        <sz val="11"/>
        <color rgb="FF000000"/>
        <rFont val="Calibri"/>
      </rPr>
      <t xml:space="preserve">Servicios oficiales </t>
    </r>
    <r>
      <rPr>
        <i/>
        <sz val="11"/>
        <color rgb="FFFF0000"/>
        <rFont val="Calibri"/>
      </rPr>
      <t>(etiquetado)</t>
    </r>
  </si>
  <si>
    <t>82200-317</t>
  </si>
  <si>
    <r>
      <rPr>
        <i/>
        <sz val="11"/>
        <color rgb="FF000000"/>
        <rFont val="Calibri"/>
      </rPr>
      <t xml:space="preserve">Otros servicios generales </t>
    </r>
    <r>
      <rPr>
        <i/>
        <sz val="11"/>
        <color rgb="FFFF0000"/>
        <rFont val="Calibri"/>
      </rPr>
      <t>(no etiquetado)</t>
    </r>
  </si>
  <si>
    <t>82200-318</t>
  </si>
  <si>
    <r>
      <rPr>
        <i/>
        <sz val="11"/>
        <color rgb="FF000000"/>
        <rFont val="Calibri"/>
      </rPr>
      <t xml:space="preserve">Otros servicios generales </t>
    </r>
    <r>
      <rPr>
        <i/>
        <sz val="11"/>
        <color rgb="FFFF0000"/>
        <rFont val="Calibri"/>
      </rPr>
      <t>(etiquetado)</t>
    </r>
  </si>
  <si>
    <t>82200-400</t>
  </si>
  <si>
    <t>82200-401</t>
  </si>
  <si>
    <r>
      <rPr>
        <i/>
        <sz val="11"/>
        <color rgb="FF000000"/>
        <rFont val="Calibri"/>
      </rPr>
      <t xml:space="preserve">Transferencias internas y asignaciones al sector público </t>
    </r>
    <r>
      <rPr>
        <i/>
        <sz val="11"/>
        <color rgb="FFFF0000"/>
        <rFont val="Calibri"/>
      </rPr>
      <t>(no etiquetado)</t>
    </r>
  </si>
  <si>
    <t>82200-402</t>
  </si>
  <si>
    <r>
      <rPr>
        <i/>
        <sz val="11"/>
        <color rgb="FF000000"/>
        <rFont val="Calibri"/>
      </rPr>
      <t xml:space="preserve">Transferencias internas y asignaciones al sector público </t>
    </r>
    <r>
      <rPr>
        <i/>
        <sz val="11"/>
        <color rgb="FFFF0000"/>
        <rFont val="Calibri"/>
      </rPr>
      <t>(etiquetado)</t>
    </r>
  </si>
  <si>
    <t>82200-403</t>
  </si>
  <si>
    <r>
      <rPr>
        <i/>
        <sz val="11"/>
        <color rgb="FF000000"/>
        <rFont val="Calibri"/>
      </rPr>
      <t xml:space="preserve">Transferencias al resto del sector público </t>
    </r>
    <r>
      <rPr>
        <i/>
        <sz val="11"/>
        <color rgb="FFFF0000"/>
        <rFont val="Calibri"/>
      </rPr>
      <t>(no etiquetado)</t>
    </r>
  </si>
  <si>
    <t>82200-404</t>
  </si>
  <si>
    <r>
      <rPr>
        <i/>
        <sz val="11"/>
        <color rgb="FF000000"/>
        <rFont val="Calibri"/>
      </rPr>
      <t xml:space="preserve">Transferencias al resto del sector público </t>
    </r>
    <r>
      <rPr>
        <i/>
        <sz val="11"/>
        <color rgb="FFFF0000"/>
        <rFont val="Calibri"/>
      </rPr>
      <t>(etiquetado)</t>
    </r>
  </si>
  <si>
    <t>82200-405</t>
  </si>
  <si>
    <r>
      <rPr>
        <i/>
        <sz val="11"/>
        <color rgb="FF000000"/>
        <rFont val="Calibri"/>
      </rPr>
      <t xml:space="preserve">Subsidios y subvenciones </t>
    </r>
    <r>
      <rPr>
        <i/>
        <sz val="11"/>
        <color rgb="FFFF0000"/>
        <rFont val="Calibri"/>
      </rPr>
      <t>(no etiquetado)</t>
    </r>
  </si>
  <si>
    <t>82200-406</t>
  </si>
  <si>
    <r>
      <rPr>
        <i/>
        <sz val="11"/>
        <color rgb="FF000000"/>
        <rFont val="Calibri"/>
      </rPr>
      <t xml:space="preserve">Subsidios y subvenciones </t>
    </r>
    <r>
      <rPr>
        <i/>
        <sz val="11"/>
        <color rgb="FFFF0000"/>
        <rFont val="Calibri"/>
      </rPr>
      <t>(etiquetado)</t>
    </r>
  </si>
  <si>
    <t>82200-407</t>
  </si>
  <si>
    <r>
      <rPr>
        <i/>
        <sz val="11"/>
        <color rgb="FF000000"/>
        <rFont val="Calibri"/>
      </rPr>
      <t xml:space="preserve">Ayudas sociales </t>
    </r>
    <r>
      <rPr>
        <i/>
        <sz val="11"/>
        <color rgb="FFFF0000"/>
        <rFont val="Calibri"/>
      </rPr>
      <t>(no etiquetado)</t>
    </r>
  </si>
  <si>
    <t>82200-408</t>
  </si>
  <si>
    <r>
      <rPr>
        <i/>
        <sz val="11"/>
        <color rgb="FF000000"/>
        <rFont val="Calibri"/>
      </rPr>
      <t xml:space="preserve">Ayudas sociales  </t>
    </r>
    <r>
      <rPr>
        <i/>
        <sz val="11"/>
        <color rgb="FFFF0000"/>
        <rFont val="Calibri"/>
      </rPr>
      <t>(etiquetado)</t>
    </r>
  </si>
  <si>
    <t>82200-409</t>
  </si>
  <si>
    <r>
      <rPr>
        <i/>
        <sz val="11"/>
        <color rgb="FF000000"/>
        <rFont val="Calibri"/>
      </rPr>
      <t xml:space="preserve">Pensiones y jubilaciones </t>
    </r>
    <r>
      <rPr>
        <i/>
        <sz val="11"/>
        <color rgb="FFFF0000"/>
        <rFont val="Calibri"/>
      </rPr>
      <t>(no etiquetado)</t>
    </r>
  </si>
  <si>
    <t>82200-410</t>
  </si>
  <si>
    <r>
      <rPr>
        <i/>
        <sz val="11"/>
        <color rgb="FF000000"/>
        <rFont val="Calibri"/>
      </rPr>
      <t xml:space="preserve">Pensiones y jubilaciones </t>
    </r>
    <r>
      <rPr>
        <i/>
        <sz val="11"/>
        <color rgb="FFFF0000"/>
        <rFont val="Calibri"/>
      </rPr>
      <t>(etiquetado)</t>
    </r>
  </si>
  <si>
    <t>82200-411</t>
  </si>
  <si>
    <r>
      <rPr>
        <i/>
        <sz val="11"/>
        <color rgb="FF000000"/>
        <rFont val="Calibri"/>
      </rPr>
      <t xml:space="preserve">Transferencias a fideicomisos, mandatos y otros análogos </t>
    </r>
    <r>
      <rPr>
        <i/>
        <sz val="11"/>
        <color rgb="FFFF0000"/>
        <rFont val="Calibri"/>
      </rPr>
      <t>(no etiquetado)</t>
    </r>
  </si>
  <si>
    <t>82200-412</t>
  </si>
  <si>
    <r>
      <rPr>
        <i/>
        <sz val="11"/>
        <color rgb="FF000000"/>
        <rFont val="Calibri"/>
      </rPr>
      <t xml:space="preserve">Transferencias a fideicomisos, mandatos y otros análogos </t>
    </r>
    <r>
      <rPr>
        <i/>
        <sz val="11"/>
        <color rgb="FFFF0000"/>
        <rFont val="Calibri"/>
      </rPr>
      <t>(etiquetado)</t>
    </r>
  </si>
  <si>
    <t>82200-413</t>
  </si>
  <si>
    <r>
      <rPr>
        <i/>
        <sz val="11"/>
        <color rgb="FF000000"/>
        <rFont val="Calibri"/>
      </rPr>
      <t xml:space="preserve">Transferencias a la seguridad social </t>
    </r>
    <r>
      <rPr>
        <i/>
        <sz val="11"/>
        <color rgb="FFFF0000"/>
        <rFont val="Calibri"/>
      </rPr>
      <t>(no etiquetado)</t>
    </r>
  </si>
  <si>
    <t>82200-414</t>
  </si>
  <si>
    <r>
      <rPr>
        <i/>
        <sz val="11"/>
        <color rgb="FF000000"/>
        <rFont val="Calibri"/>
      </rPr>
      <t xml:space="preserve">Transferencias a la seguridad social </t>
    </r>
    <r>
      <rPr>
        <i/>
        <sz val="11"/>
        <color rgb="FFFF0000"/>
        <rFont val="Calibri"/>
      </rPr>
      <t>(etiquetado)</t>
    </r>
  </si>
  <si>
    <t>82200-415</t>
  </si>
  <si>
    <r>
      <rPr>
        <i/>
        <sz val="11"/>
        <color rgb="FF000000"/>
        <rFont val="Calibri"/>
      </rPr>
      <t xml:space="preserve">Donativos </t>
    </r>
    <r>
      <rPr>
        <i/>
        <sz val="11"/>
        <color rgb="FFFF0000"/>
        <rFont val="Calibri"/>
      </rPr>
      <t>(no etiquetado)</t>
    </r>
  </si>
  <si>
    <t>82200-416</t>
  </si>
  <si>
    <r>
      <rPr>
        <i/>
        <sz val="11"/>
        <color rgb="FF000000"/>
        <rFont val="Calibri"/>
      </rPr>
      <t xml:space="preserve">Donativos </t>
    </r>
    <r>
      <rPr>
        <i/>
        <sz val="11"/>
        <color rgb="FFFF0000"/>
        <rFont val="Calibri"/>
      </rPr>
      <t>(etiquetado)</t>
    </r>
  </si>
  <si>
    <t>82200-417</t>
  </si>
  <si>
    <r>
      <rPr>
        <i/>
        <sz val="11"/>
        <color rgb="FF000000"/>
        <rFont val="Calibri"/>
      </rPr>
      <t xml:space="preserve">Transferencias al exterior </t>
    </r>
    <r>
      <rPr>
        <i/>
        <sz val="11"/>
        <color rgb="FFFF0000"/>
        <rFont val="Calibri"/>
      </rPr>
      <t>(no etiquetado)</t>
    </r>
  </si>
  <si>
    <t>82200-418</t>
  </si>
  <si>
    <r>
      <rPr>
        <i/>
        <sz val="11"/>
        <color rgb="FF000000"/>
        <rFont val="Calibri"/>
      </rPr>
      <t xml:space="preserve">Transferencias al exterior </t>
    </r>
    <r>
      <rPr>
        <i/>
        <sz val="11"/>
        <color rgb="FFFF0000"/>
        <rFont val="Calibri"/>
      </rPr>
      <t>(etiquetado)</t>
    </r>
  </si>
  <si>
    <t>82200-500</t>
  </si>
  <si>
    <t>Bienes muebles, inmuebles e Intangibles</t>
  </si>
  <si>
    <t>82200-501</t>
  </si>
  <si>
    <r>
      <rPr>
        <i/>
        <sz val="11"/>
        <color rgb="FF000000"/>
        <rFont val="Calibri"/>
      </rPr>
      <t xml:space="preserve">Mobiliario y equipo de administración </t>
    </r>
    <r>
      <rPr>
        <i/>
        <sz val="11"/>
        <color rgb="FFFF0000"/>
        <rFont val="Calibri"/>
      </rPr>
      <t>(no etiquetado)</t>
    </r>
  </si>
  <si>
    <t>82200-502</t>
  </si>
  <si>
    <r>
      <rPr>
        <i/>
        <sz val="11"/>
        <color rgb="FF000000"/>
        <rFont val="Calibri"/>
      </rPr>
      <t xml:space="preserve">Mobiliario y equipo de administración </t>
    </r>
    <r>
      <rPr>
        <i/>
        <sz val="11"/>
        <color rgb="FFFF0000"/>
        <rFont val="Calibri"/>
      </rPr>
      <t>(etiquetado)</t>
    </r>
  </si>
  <si>
    <t>82200-503</t>
  </si>
  <si>
    <r>
      <rPr>
        <i/>
        <sz val="11"/>
        <color rgb="FF000000"/>
        <rFont val="Calibri"/>
      </rPr>
      <t xml:space="preserve">Mobiliario y equipo educacional y recreativo </t>
    </r>
    <r>
      <rPr>
        <i/>
        <sz val="11"/>
        <color rgb="FFFF0000"/>
        <rFont val="Calibri"/>
      </rPr>
      <t>(no etiquetado)</t>
    </r>
  </si>
  <si>
    <t>82200-504</t>
  </si>
  <si>
    <r>
      <rPr>
        <i/>
        <sz val="11"/>
        <color rgb="FF000000"/>
        <rFont val="Calibri"/>
      </rPr>
      <t xml:space="preserve">Mobiliario y equipo educacional y recreativo </t>
    </r>
    <r>
      <rPr>
        <i/>
        <sz val="11"/>
        <color rgb="FFFF0000"/>
        <rFont val="Calibri"/>
      </rPr>
      <t>(etiquetado)</t>
    </r>
  </si>
  <si>
    <t>82200-505</t>
  </si>
  <si>
    <r>
      <rPr>
        <i/>
        <sz val="11"/>
        <color rgb="FF000000"/>
        <rFont val="Calibri"/>
      </rPr>
      <t xml:space="preserve">Equipo instrumental médico y de laboratorio </t>
    </r>
    <r>
      <rPr>
        <i/>
        <sz val="11"/>
        <color rgb="FFFF0000"/>
        <rFont val="Calibri"/>
      </rPr>
      <t>(no etiquetado)</t>
    </r>
  </si>
  <si>
    <t>82200-506</t>
  </si>
  <si>
    <r>
      <rPr>
        <i/>
        <sz val="11"/>
        <color rgb="FF000000"/>
        <rFont val="Calibri"/>
      </rPr>
      <t xml:space="preserve">Equipo instrumental médico y de laboratorio </t>
    </r>
    <r>
      <rPr>
        <i/>
        <sz val="11"/>
        <color rgb="FFFF0000"/>
        <rFont val="Calibri"/>
      </rPr>
      <t>(etiquetado)</t>
    </r>
  </si>
  <si>
    <t>82200-507</t>
  </si>
  <si>
    <r>
      <rPr>
        <i/>
        <sz val="11"/>
        <color rgb="FF000000"/>
        <rFont val="Calibri"/>
      </rPr>
      <t xml:space="preserve">Vehículos y equipo de transporte </t>
    </r>
    <r>
      <rPr>
        <i/>
        <sz val="11"/>
        <color rgb="FFFF0000"/>
        <rFont val="Calibri"/>
      </rPr>
      <t>(no etiquetado)</t>
    </r>
  </si>
  <si>
    <t>82200-508</t>
  </si>
  <si>
    <r>
      <rPr>
        <i/>
        <sz val="11"/>
        <color rgb="FF000000"/>
        <rFont val="Calibri"/>
      </rPr>
      <t xml:space="preserve">Vehículos y equipo de transporte </t>
    </r>
    <r>
      <rPr>
        <i/>
        <sz val="11"/>
        <color rgb="FFFF0000"/>
        <rFont val="Calibri"/>
      </rPr>
      <t>(etiquetado)</t>
    </r>
  </si>
  <si>
    <t>82200-509</t>
  </si>
  <si>
    <r>
      <rPr>
        <i/>
        <sz val="11"/>
        <color rgb="FF000000"/>
        <rFont val="Calibri"/>
      </rPr>
      <t xml:space="preserve">Equipo de defensa y seguridad </t>
    </r>
    <r>
      <rPr>
        <i/>
        <sz val="11"/>
        <color rgb="FFFF0000"/>
        <rFont val="Calibri"/>
      </rPr>
      <t>(no etiquetado)</t>
    </r>
  </si>
  <si>
    <t>82200-510</t>
  </si>
  <si>
    <r>
      <rPr>
        <i/>
        <sz val="11"/>
        <color rgb="FF000000"/>
        <rFont val="Calibri"/>
      </rPr>
      <t xml:space="preserve">Equipo de defensa y seguridad </t>
    </r>
    <r>
      <rPr>
        <i/>
        <sz val="11"/>
        <color rgb="FFFF0000"/>
        <rFont val="Calibri"/>
      </rPr>
      <t>(etiquetado)</t>
    </r>
  </si>
  <si>
    <t>82200-511</t>
  </si>
  <si>
    <r>
      <rPr>
        <i/>
        <sz val="11"/>
        <color rgb="FF000000"/>
        <rFont val="Calibri"/>
      </rPr>
      <t xml:space="preserve">Maquinaria, otros equipos y herramientas </t>
    </r>
    <r>
      <rPr>
        <i/>
        <sz val="11"/>
        <color rgb="FFFF0000"/>
        <rFont val="Calibri"/>
      </rPr>
      <t>(no etiquetado)</t>
    </r>
  </si>
  <si>
    <t>82200-512</t>
  </si>
  <si>
    <r>
      <rPr>
        <i/>
        <sz val="11"/>
        <color rgb="FF000000"/>
        <rFont val="Calibri"/>
      </rPr>
      <t xml:space="preserve">Maquinaria, otros equipos y herramientas </t>
    </r>
    <r>
      <rPr>
        <i/>
        <sz val="11"/>
        <color rgb="FFFF0000"/>
        <rFont val="Calibri"/>
      </rPr>
      <t>(etiquetado)</t>
    </r>
  </si>
  <si>
    <t>82200-513</t>
  </si>
  <si>
    <r>
      <rPr>
        <i/>
        <sz val="11"/>
        <color rgb="FF000000"/>
        <rFont val="Calibri"/>
      </rPr>
      <t xml:space="preserve">Activos biológicos </t>
    </r>
    <r>
      <rPr>
        <i/>
        <sz val="11"/>
        <color rgb="FFFF0000"/>
        <rFont val="Calibri"/>
      </rPr>
      <t>(no etiquetado)</t>
    </r>
  </si>
  <si>
    <t>82200-514</t>
  </si>
  <si>
    <r>
      <rPr>
        <i/>
        <sz val="11"/>
        <color rgb="FF000000"/>
        <rFont val="Calibri"/>
      </rPr>
      <t xml:space="preserve">Activos biológicos </t>
    </r>
    <r>
      <rPr>
        <i/>
        <sz val="11"/>
        <color rgb="FFFF0000"/>
        <rFont val="Calibri"/>
      </rPr>
      <t>(etiquetado)</t>
    </r>
  </si>
  <si>
    <t>82200-515</t>
  </si>
  <si>
    <r>
      <rPr>
        <i/>
        <sz val="11"/>
        <color rgb="FF000000"/>
        <rFont val="Calibri"/>
      </rPr>
      <t xml:space="preserve">Bienes inmuebles </t>
    </r>
    <r>
      <rPr>
        <i/>
        <sz val="11"/>
        <color rgb="FFFF0000"/>
        <rFont val="Calibri"/>
      </rPr>
      <t>(no etiquetado)</t>
    </r>
  </si>
  <si>
    <t>82200-516</t>
  </si>
  <si>
    <r>
      <rPr>
        <i/>
        <sz val="11"/>
        <color rgb="FF000000"/>
        <rFont val="Calibri"/>
      </rPr>
      <t xml:space="preserve">Bienes inmuebles </t>
    </r>
    <r>
      <rPr>
        <i/>
        <sz val="11"/>
        <color rgb="FFFF0000"/>
        <rFont val="Calibri"/>
      </rPr>
      <t>(etiquetado)</t>
    </r>
  </si>
  <si>
    <t>82200-517</t>
  </si>
  <si>
    <r>
      <rPr>
        <i/>
        <sz val="11"/>
        <color rgb="FF000000"/>
        <rFont val="Calibri"/>
      </rPr>
      <t xml:space="preserve">Activos intangibles </t>
    </r>
    <r>
      <rPr>
        <i/>
        <sz val="11"/>
        <color rgb="FFFF0000"/>
        <rFont val="Calibri"/>
      </rPr>
      <t>(no etiquetado)</t>
    </r>
  </si>
  <si>
    <t>82200-518</t>
  </si>
  <si>
    <r>
      <rPr>
        <i/>
        <sz val="11"/>
        <color rgb="FF000000"/>
        <rFont val="Calibri"/>
      </rPr>
      <t xml:space="preserve">Activos intangibles </t>
    </r>
    <r>
      <rPr>
        <i/>
        <sz val="11"/>
        <color rgb="FFFF0000"/>
        <rFont val="Calibri"/>
      </rPr>
      <t>(etiquetado)</t>
    </r>
  </si>
  <si>
    <t>82200-600</t>
  </si>
  <si>
    <t>82200-601</t>
  </si>
  <si>
    <r>
      <rPr>
        <i/>
        <sz val="11"/>
        <color rgb="FF000000"/>
        <rFont val="Calibri"/>
      </rPr>
      <t xml:space="preserve">Obra pública en bienes de dominio público </t>
    </r>
    <r>
      <rPr>
        <i/>
        <sz val="11"/>
        <color rgb="FFFF0000"/>
        <rFont val="Calibri"/>
      </rPr>
      <t>(no etiquetado)</t>
    </r>
  </si>
  <si>
    <t>82200-602</t>
  </si>
  <si>
    <r>
      <rPr>
        <i/>
        <sz val="11"/>
        <color rgb="FF000000"/>
        <rFont val="Calibri"/>
      </rPr>
      <t xml:space="preserve">Obra pública en bienes de dominio público </t>
    </r>
    <r>
      <rPr>
        <i/>
        <sz val="11"/>
        <color rgb="FFFF0000"/>
        <rFont val="Calibri"/>
      </rPr>
      <t>(etiquetado)</t>
    </r>
  </si>
  <si>
    <t>82200-603</t>
  </si>
  <si>
    <r>
      <rPr>
        <i/>
        <sz val="11"/>
        <color rgb="FF000000"/>
        <rFont val="Calibri"/>
      </rPr>
      <t xml:space="preserve">Obra pública en bienes de dominio propios </t>
    </r>
    <r>
      <rPr>
        <i/>
        <sz val="11"/>
        <color rgb="FFFF0000"/>
        <rFont val="Calibri"/>
      </rPr>
      <t>(no etiquetado)</t>
    </r>
  </si>
  <si>
    <t>82200-604</t>
  </si>
  <si>
    <r>
      <rPr>
        <i/>
        <sz val="11"/>
        <color rgb="FF000000"/>
        <rFont val="Calibri"/>
      </rPr>
      <t xml:space="preserve">Obra pública en bienes de dominio propios </t>
    </r>
    <r>
      <rPr>
        <i/>
        <sz val="11"/>
        <color rgb="FFFF0000"/>
        <rFont val="Calibri"/>
      </rPr>
      <t>(etiquetado)</t>
    </r>
  </si>
  <si>
    <t>82200-605</t>
  </si>
  <si>
    <r>
      <rPr>
        <i/>
        <sz val="11"/>
        <color rgb="FF000000"/>
        <rFont val="Calibri"/>
      </rPr>
      <t xml:space="preserve">Proyectos productivos y acciones de fomento </t>
    </r>
    <r>
      <rPr>
        <i/>
        <sz val="11"/>
        <color rgb="FFFF0000"/>
        <rFont val="Calibri"/>
      </rPr>
      <t>(no etiquetado)</t>
    </r>
  </si>
  <si>
    <t>82200-606</t>
  </si>
  <si>
    <r>
      <rPr>
        <i/>
        <sz val="11"/>
        <color rgb="FF000000"/>
        <rFont val="Calibri"/>
      </rPr>
      <t xml:space="preserve">Proyectos productivos y acciones de fomento </t>
    </r>
    <r>
      <rPr>
        <i/>
        <sz val="11"/>
        <color rgb="FFFF0000"/>
        <rFont val="Calibri"/>
      </rPr>
      <t>(etiquetado)</t>
    </r>
  </si>
  <si>
    <t>82200-700</t>
  </si>
  <si>
    <t>82200-701</t>
  </si>
  <si>
    <r>
      <rPr>
        <i/>
        <sz val="11"/>
        <color rgb="FF000000"/>
        <rFont val="Calibri"/>
      </rPr>
      <t xml:space="preserve">Inversiones para el fomento de actividades productivas </t>
    </r>
    <r>
      <rPr>
        <i/>
        <sz val="11"/>
        <color rgb="FFFF0000"/>
        <rFont val="Calibri"/>
      </rPr>
      <t>(no etiquetado)</t>
    </r>
  </si>
  <si>
    <t>82200-702</t>
  </si>
  <si>
    <r>
      <rPr>
        <i/>
        <sz val="11"/>
        <color rgb="FF000000"/>
        <rFont val="Calibri"/>
      </rPr>
      <t xml:space="preserve">Inversiones para el fomento de actividades productivas </t>
    </r>
    <r>
      <rPr>
        <i/>
        <sz val="11"/>
        <color rgb="FFFF0000"/>
        <rFont val="Calibri"/>
      </rPr>
      <t>(etiquetado)</t>
    </r>
  </si>
  <si>
    <t>82200-703</t>
  </si>
  <si>
    <r>
      <rPr>
        <i/>
        <sz val="11"/>
        <color rgb="FF000000"/>
        <rFont val="Calibri"/>
      </rPr>
      <t xml:space="preserve">Acciones y participaciones de capital </t>
    </r>
    <r>
      <rPr>
        <i/>
        <sz val="11"/>
        <color rgb="FFFF0000"/>
        <rFont val="Calibri"/>
      </rPr>
      <t>(no etiquetado)</t>
    </r>
  </si>
  <si>
    <t>82200-704</t>
  </si>
  <si>
    <r>
      <rPr>
        <i/>
        <sz val="11"/>
        <color rgb="FF000000"/>
        <rFont val="Calibri"/>
      </rPr>
      <t xml:space="preserve">Acciones y participaciones de capital </t>
    </r>
    <r>
      <rPr>
        <i/>
        <sz val="11"/>
        <color rgb="FFFF0000"/>
        <rFont val="Calibri"/>
      </rPr>
      <t>(etiquetado)</t>
    </r>
  </si>
  <si>
    <t>82200-705</t>
  </si>
  <si>
    <r>
      <rPr>
        <i/>
        <sz val="11"/>
        <color rgb="FF000000"/>
        <rFont val="Calibri"/>
      </rPr>
      <t xml:space="preserve">Compra de títulos y valores </t>
    </r>
    <r>
      <rPr>
        <i/>
        <sz val="11"/>
        <color rgb="FFFF0000"/>
        <rFont val="Calibri"/>
      </rPr>
      <t>(no etiquetado)</t>
    </r>
  </si>
  <si>
    <t>82200-706</t>
  </si>
  <si>
    <r>
      <rPr>
        <i/>
        <sz val="11"/>
        <color rgb="FF000000"/>
        <rFont val="Calibri"/>
      </rPr>
      <t xml:space="preserve">Compra de títulos y valores </t>
    </r>
    <r>
      <rPr>
        <i/>
        <sz val="11"/>
        <color rgb="FFFF0000"/>
        <rFont val="Calibri"/>
      </rPr>
      <t>(etiquetado)</t>
    </r>
  </si>
  <si>
    <t>82200-707</t>
  </si>
  <si>
    <r>
      <rPr>
        <i/>
        <sz val="11"/>
        <color rgb="FF000000"/>
        <rFont val="Calibri"/>
      </rPr>
      <t xml:space="preserve">Concesión de préstamos </t>
    </r>
    <r>
      <rPr>
        <i/>
        <sz val="11"/>
        <color rgb="FFFF0000"/>
        <rFont val="Calibri"/>
      </rPr>
      <t>(no etiquetado)</t>
    </r>
  </si>
  <si>
    <t>82200-708</t>
  </si>
  <si>
    <r>
      <rPr>
        <i/>
        <sz val="11"/>
        <color rgb="FF000000"/>
        <rFont val="Calibri"/>
      </rPr>
      <t xml:space="preserve">Concesión de préstamos </t>
    </r>
    <r>
      <rPr>
        <i/>
        <sz val="11"/>
        <color rgb="FFFF0000"/>
        <rFont val="Calibri"/>
      </rPr>
      <t>(etiquetado)</t>
    </r>
  </si>
  <si>
    <t>82200-709</t>
  </si>
  <si>
    <r>
      <rPr>
        <i/>
        <sz val="11"/>
        <color rgb="FF000000"/>
        <rFont val="Calibri"/>
      </rPr>
      <t xml:space="preserve">Inversiones en fideicomisos, mandatos y otros análogos </t>
    </r>
    <r>
      <rPr>
        <i/>
        <sz val="11"/>
        <color rgb="FFFF0000"/>
        <rFont val="Calibri"/>
      </rPr>
      <t>(no etiquetado)</t>
    </r>
  </si>
  <si>
    <t>82200-710</t>
  </si>
  <si>
    <r>
      <rPr>
        <i/>
        <sz val="11"/>
        <color rgb="FF000000"/>
        <rFont val="Calibri"/>
      </rPr>
      <t xml:space="preserve">Inversiones en fideicomisos, mandatos y otros análogos </t>
    </r>
    <r>
      <rPr>
        <i/>
        <sz val="11"/>
        <color rgb="FFFF0000"/>
        <rFont val="Calibri"/>
      </rPr>
      <t>(etiquetado)</t>
    </r>
  </si>
  <si>
    <t>82200-711</t>
  </si>
  <si>
    <r>
      <rPr>
        <i/>
        <sz val="11"/>
        <color rgb="FF000000"/>
        <rFont val="Calibri"/>
      </rPr>
      <t xml:space="preserve">Otras inversiones financieras </t>
    </r>
    <r>
      <rPr>
        <i/>
        <sz val="11"/>
        <color rgb="FFFF0000"/>
        <rFont val="Calibri"/>
      </rPr>
      <t>(no etiquetado)</t>
    </r>
  </si>
  <si>
    <t>82200-712</t>
  </si>
  <si>
    <r>
      <rPr>
        <i/>
        <sz val="11"/>
        <color rgb="FF000000"/>
        <rFont val="Calibri"/>
      </rPr>
      <t xml:space="preserve">Otras inversiones financieras </t>
    </r>
    <r>
      <rPr>
        <i/>
        <sz val="11"/>
        <color rgb="FFFF0000"/>
        <rFont val="Calibri"/>
      </rPr>
      <t>(etiquetado)</t>
    </r>
  </si>
  <si>
    <t>82200-713</t>
  </si>
  <si>
    <r>
      <rPr>
        <i/>
        <sz val="11"/>
        <color rgb="FF000000"/>
        <rFont val="Calibri"/>
      </rPr>
      <t xml:space="preserve">Provisiones para contingencias y otras erogaciones especiales </t>
    </r>
    <r>
      <rPr>
        <i/>
        <sz val="11"/>
        <color rgb="FFFF0000"/>
        <rFont val="Calibri"/>
      </rPr>
      <t>(no etiquetado)</t>
    </r>
  </si>
  <si>
    <t>82200-714</t>
  </si>
  <si>
    <r>
      <rPr>
        <i/>
        <sz val="11"/>
        <color rgb="FF000000"/>
        <rFont val="Calibri"/>
      </rPr>
      <t xml:space="preserve">Provisiones para contingencias y otras erogaciones especiales </t>
    </r>
    <r>
      <rPr>
        <i/>
        <sz val="11"/>
        <color rgb="FFFF0000"/>
        <rFont val="Calibri"/>
      </rPr>
      <t>(etiquetado)</t>
    </r>
  </si>
  <si>
    <t>82200-800</t>
  </si>
  <si>
    <t>82200-801</t>
  </si>
  <si>
    <r>
      <rPr>
        <i/>
        <sz val="11"/>
        <color theme="1"/>
        <rFont val="Calibri"/>
      </rPr>
      <t xml:space="preserve">Participaciones </t>
    </r>
    <r>
      <rPr>
        <i/>
        <sz val="11"/>
        <color rgb="FFFF0000"/>
        <rFont val="Calibri"/>
      </rPr>
      <t>(no etiquetado)</t>
    </r>
  </si>
  <si>
    <t>82200-802</t>
  </si>
  <si>
    <r>
      <rPr>
        <i/>
        <sz val="11"/>
        <color theme="1"/>
        <rFont val="Calibri"/>
      </rPr>
      <t xml:space="preserve">Participaciones </t>
    </r>
    <r>
      <rPr>
        <i/>
        <sz val="11"/>
        <color rgb="FFFF0000"/>
        <rFont val="Calibri"/>
      </rPr>
      <t>(etiquetado)</t>
    </r>
  </si>
  <si>
    <t>82200-803</t>
  </si>
  <si>
    <r>
      <rPr>
        <i/>
        <sz val="11"/>
        <color theme="1"/>
        <rFont val="Calibri"/>
      </rPr>
      <t xml:space="preserve">Aportaciones </t>
    </r>
    <r>
      <rPr>
        <i/>
        <sz val="11"/>
        <color rgb="FFFF0000"/>
        <rFont val="Calibri"/>
      </rPr>
      <t>(no etiquetado)</t>
    </r>
  </si>
  <si>
    <t>82200-804</t>
  </si>
  <si>
    <r>
      <rPr>
        <i/>
        <sz val="11"/>
        <color theme="1"/>
        <rFont val="Calibri"/>
      </rPr>
      <t xml:space="preserve">Aportaciones </t>
    </r>
    <r>
      <rPr>
        <i/>
        <sz val="11"/>
        <color rgb="FFFF0000"/>
        <rFont val="Calibri"/>
      </rPr>
      <t>(etiquetado)</t>
    </r>
  </si>
  <si>
    <t>82200-805</t>
  </si>
  <si>
    <r>
      <rPr>
        <i/>
        <sz val="11"/>
        <color theme="1"/>
        <rFont val="Calibri"/>
      </rPr>
      <t xml:space="preserve">Convenios </t>
    </r>
    <r>
      <rPr>
        <i/>
        <sz val="11"/>
        <color rgb="FFFF0000"/>
        <rFont val="Calibri"/>
      </rPr>
      <t>(no etiquetado)</t>
    </r>
  </si>
  <si>
    <t>82200-806</t>
  </si>
  <si>
    <r>
      <rPr>
        <i/>
        <sz val="11"/>
        <color theme="1"/>
        <rFont val="Calibri"/>
      </rPr>
      <t xml:space="preserve">Convenios </t>
    </r>
    <r>
      <rPr>
        <i/>
        <sz val="11"/>
        <color rgb="FFFF0000"/>
        <rFont val="Calibri"/>
      </rPr>
      <t>(etiquetado)</t>
    </r>
  </si>
  <si>
    <t>82200-900</t>
  </si>
  <si>
    <t>82200-901</t>
  </si>
  <si>
    <r>
      <rPr>
        <i/>
        <sz val="11"/>
        <color theme="1"/>
        <rFont val="Calibri"/>
      </rPr>
      <t xml:space="preserve">Amortización de la deuda pública </t>
    </r>
    <r>
      <rPr>
        <i/>
        <sz val="11"/>
        <color rgb="FFFF0000"/>
        <rFont val="Calibri"/>
      </rPr>
      <t>(no etiquetado)</t>
    </r>
  </si>
  <si>
    <t>82200-902</t>
  </si>
  <si>
    <r>
      <rPr>
        <i/>
        <sz val="11"/>
        <color theme="1"/>
        <rFont val="Calibri"/>
      </rPr>
      <t xml:space="preserve">Amortización de la deuda pública </t>
    </r>
    <r>
      <rPr>
        <i/>
        <sz val="11"/>
        <color rgb="FFFF0000"/>
        <rFont val="Calibri"/>
      </rPr>
      <t>(etiquetado)</t>
    </r>
  </si>
  <si>
    <t>82200-903</t>
  </si>
  <si>
    <r>
      <rPr>
        <i/>
        <sz val="11"/>
        <color theme="1"/>
        <rFont val="Calibri"/>
      </rPr>
      <t xml:space="preserve">Intereses de la deuda pública </t>
    </r>
    <r>
      <rPr>
        <i/>
        <sz val="11"/>
        <color rgb="FFFF0000"/>
        <rFont val="Calibri"/>
      </rPr>
      <t>(no etiquetado)</t>
    </r>
  </si>
  <si>
    <t>82200-904</t>
  </si>
  <si>
    <r>
      <rPr>
        <i/>
        <sz val="11"/>
        <color theme="1"/>
        <rFont val="Calibri"/>
      </rPr>
      <t xml:space="preserve">Intereses de la deuda pública </t>
    </r>
    <r>
      <rPr>
        <i/>
        <sz val="11"/>
        <color rgb="FFFF0000"/>
        <rFont val="Calibri"/>
      </rPr>
      <t>(etiquetado)</t>
    </r>
  </si>
  <si>
    <t>82200-905</t>
  </si>
  <si>
    <r>
      <rPr>
        <i/>
        <sz val="11"/>
        <color theme="1"/>
        <rFont val="Calibri"/>
      </rPr>
      <t xml:space="preserve">Comisiones de la deuda pública </t>
    </r>
    <r>
      <rPr>
        <i/>
        <sz val="11"/>
        <color rgb="FFFF0000"/>
        <rFont val="Calibri"/>
      </rPr>
      <t>(no etiquetado)</t>
    </r>
  </si>
  <si>
    <t>82200-906</t>
  </si>
  <si>
    <r>
      <rPr>
        <i/>
        <sz val="11"/>
        <color theme="1"/>
        <rFont val="Calibri"/>
      </rPr>
      <t xml:space="preserve">Comisiones de la deuda pública </t>
    </r>
    <r>
      <rPr>
        <i/>
        <sz val="11"/>
        <color rgb="FFFF0000"/>
        <rFont val="Calibri"/>
      </rPr>
      <t>(etiquetado)</t>
    </r>
  </si>
  <si>
    <t>82200-907</t>
  </si>
  <si>
    <r>
      <rPr>
        <i/>
        <sz val="11"/>
        <color theme="1"/>
        <rFont val="Calibri"/>
      </rPr>
      <t xml:space="preserve">Gastos de la deuda pública </t>
    </r>
    <r>
      <rPr>
        <i/>
        <sz val="11"/>
        <color rgb="FFFF0000"/>
        <rFont val="Calibri"/>
      </rPr>
      <t>(no etiquetado)</t>
    </r>
  </si>
  <si>
    <t>82200-908</t>
  </si>
  <si>
    <r>
      <rPr>
        <i/>
        <sz val="11"/>
        <color theme="1"/>
        <rFont val="Calibri"/>
      </rPr>
      <t xml:space="preserve">Gastos de la deuda pública </t>
    </r>
    <r>
      <rPr>
        <i/>
        <sz val="11"/>
        <color rgb="FFFF0000"/>
        <rFont val="Calibri"/>
      </rPr>
      <t>(etiquetado)</t>
    </r>
  </si>
  <si>
    <t>82200-909</t>
  </si>
  <si>
    <r>
      <rPr>
        <i/>
        <sz val="11"/>
        <color theme="1"/>
        <rFont val="Calibri"/>
      </rPr>
      <t xml:space="preserve">Costo por coberturas </t>
    </r>
    <r>
      <rPr>
        <i/>
        <sz val="11"/>
        <color rgb="FFFF0000"/>
        <rFont val="Calibri"/>
      </rPr>
      <t>(no etiquetado)</t>
    </r>
  </si>
  <si>
    <t>82200-910</t>
  </si>
  <si>
    <r>
      <rPr>
        <i/>
        <sz val="11"/>
        <color theme="1"/>
        <rFont val="Calibri"/>
      </rPr>
      <t xml:space="preserve">Costo por coberturas </t>
    </r>
    <r>
      <rPr>
        <i/>
        <sz val="11"/>
        <color rgb="FFFF0000"/>
        <rFont val="Calibri"/>
      </rPr>
      <t>(etiquetado)</t>
    </r>
  </si>
  <si>
    <t>82200-911</t>
  </si>
  <si>
    <r>
      <rPr>
        <i/>
        <sz val="11"/>
        <color theme="1"/>
        <rFont val="Calibri"/>
      </rPr>
      <t xml:space="preserve">Apoyos financieros </t>
    </r>
    <r>
      <rPr>
        <i/>
        <sz val="11"/>
        <color rgb="FFFF0000"/>
        <rFont val="Calibri"/>
      </rPr>
      <t>(no etiquetado)</t>
    </r>
  </si>
  <si>
    <t>82200-912</t>
  </si>
  <si>
    <r>
      <rPr>
        <i/>
        <sz val="11"/>
        <color theme="1"/>
        <rFont val="Calibri"/>
      </rPr>
      <t xml:space="preserve">Apoyos financieros </t>
    </r>
    <r>
      <rPr>
        <i/>
        <sz val="11"/>
        <color rgb="FFFF0000"/>
        <rFont val="Calibri"/>
      </rPr>
      <t>(etiquetado)</t>
    </r>
  </si>
  <si>
    <t>82200-913</t>
  </si>
  <si>
    <r>
      <rPr>
        <i/>
        <sz val="11"/>
        <color theme="1"/>
        <rFont val="Calibri"/>
      </rPr>
      <t xml:space="preserve">Adeudos de ejercicios anteriores (adefas) </t>
    </r>
    <r>
      <rPr>
        <i/>
        <sz val="11"/>
        <color rgb="FFFF0000"/>
        <rFont val="Calibri"/>
      </rPr>
      <t>(no etiquetado)</t>
    </r>
  </si>
  <si>
    <t>82200-914</t>
  </si>
  <si>
    <r>
      <rPr>
        <i/>
        <sz val="11"/>
        <color theme="1"/>
        <rFont val="Calibri"/>
      </rPr>
      <t xml:space="preserve">Adeudos de ejercicios anteriores (adefas) </t>
    </r>
    <r>
      <rPr>
        <i/>
        <sz val="11"/>
        <color rgb="FFFF0000"/>
        <rFont val="Calibri"/>
      </rPr>
      <t>(etiquetado)</t>
    </r>
  </si>
  <si>
    <t>MODIFICACIONES AL PRESUPUESTO DE EGRESOS APROBADO</t>
  </si>
  <si>
    <t>82300-100</t>
  </si>
  <si>
    <t>82300-101</t>
  </si>
  <si>
    <r>
      <rPr>
        <i/>
        <sz val="11"/>
        <color rgb="FF000000"/>
        <rFont val="Calibri"/>
      </rPr>
      <t xml:space="preserve">Remuneraciones al personal de carácter permanente </t>
    </r>
    <r>
      <rPr>
        <i/>
        <sz val="11"/>
        <color rgb="FFFF0000"/>
        <rFont val="Calibri"/>
      </rPr>
      <t>(no etiquetado)</t>
    </r>
  </si>
  <si>
    <t>82300-102</t>
  </si>
  <si>
    <r>
      <rPr>
        <i/>
        <sz val="11"/>
        <color rgb="FF000000"/>
        <rFont val="Calibri"/>
      </rPr>
      <t xml:space="preserve">Remuneraciones al personal de carácter permanente </t>
    </r>
    <r>
      <rPr>
        <i/>
        <sz val="11"/>
        <color rgb="FFFF0000"/>
        <rFont val="Calibri"/>
      </rPr>
      <t>(etiquetado)</t>
    </r>
  </si>
  <si>
    <t>82300-103</t>
  </si>
  <si>
    <r>
      <rPr>
        <i/>
        <sz val="11"/>
        <color rgb="FF000000"/>
        <rFont val="Calibri"/>
      </rPr>
      <t xml:space="preserve">Remuneraciones al personal de carácter transitorio </t>
    </r>
    <r>
      <rPr>
        <i/>
        <sz val="11"/>
        <color rgb="FFFF0000"/>
        <rFont val="Calibri"/>
      </rPr>
      <t>(no etiquetado)</t>
    </r>
  </si>
  <si>
    <t>82300-104</t>
  </si>
  <si>
    <r>
      <rPr>
        <i/>
        <sz val="11"/>
        <color rgb="FF000000"/>
        <rFont val="Calibri"/>
      </rPr>
      <t xml:space="preserve">Remuneraciones al personal de carácter transitorio </t>
    </r>
    <r>
      <rPr>
        <i/>
        <sz val="11"/>
        <color rgb="FFFF0000"/>
        <rFont val="Calibri"/>
      </rPr>
      <t>(etiquetado)</t>
    </r>
  </si>
  <si>
    <t>82300-105</t>
  </si>
  <si>
    <r>
      <rPr>
        <i/>
        <sz val="11"/>
        <color rgb="FF000000"/>
        <rFont val="Calibri"/>
      </rPr>
      <t xml:space="preserve">Remuneraciones adicionales especiales </t>
    </r>
    <r>
      <rPr>
        <i/>
        <sz val="11"/>
        <color rgb="FFFF0000"/>
        <rFont val="Calibri"/>
      </rPr>
      <t>(no etiquetado)</t>
    </r>
  </si>
  <si>
    <t>82300-106</t>
  </si>
  <si>
    <r>
      <rPr>
        <i/>
        <sz val="11"/>
        <color rgb="FF000000"/>
        <rFont val="Calibri"/>
      </rPr>
      <t xml:space="preserve">Remuneraciones adicionales especiales </t>
    </r>
    <r>
      <rPr>
        <i/>
        <sz val="11"/>
        <color rgb="FFFF0000"/>
        <rFont val="Calibri"/>
      </rPr>
      <t>(etiquetado)</t>
    </r>
  </si>
  <si>
    <t>82300-107</t>
  </si>
  <si>
    <r>
      <rPr>
        <i/>
        <sz val="11"/>
        <color rgb="FF000000"/>
        <rFont val="Calibri"/>
      </rPr>
      <t xml:space="preserve">Seguridad social </t>
    </r>
    <r>
      <rPr>
        <i/>
        <sz val="11"/>
        <color rgb="FFFF0000"/>
        <rFont val="Calibri"/>
      </rPr>
      <t>(no etiquetado)</t>
    </r>
  </si>
  <si>
    <t>82300-108</t>
  </si>
  <si>
    <r>
      <rPr>
        <i/>
        <sz val="11"/>
        <color rgb="FF000000"/>
        <rFont val="Calibri"/>
      </rPr>
      <t xml:space="preserve">Seguridad social </t>
    </r>
    <r>
      <rPr>
        <i/>
        <sz val="11"/>
        <color rgb="FFFF0000"/>
        <rFont val="Calibri"/>
      </rPr>
      <t>(etiquetado)</t>
    </r>
  </si>
  <si>
    <t>82300-109</t>
  </si>
  <si>
    <r>
      <rPr>
        <i/>
        <sz val="11"/>
        <color rgb="FF000000"/>
        <rFont val="Calibri"/>
      </rPr>
      <t xml:space="preserve">Otras prestaciones sociales y económicas </t>
    </r>
    <r>
      <rPr>
        <i/>
        <sz val="11"/>
        <color rgb="FFFF0000"/>
        <rFont val="Calibri"/>
      </rPr>
      <t>(no etiquetado)</t>
    </r>
  </si>
  <si>
    <t>82300-110</t>
  </si>
  <si>
    <r>
      <rPr>
        <i/>
        <sz val="11"/>
        <color rgb="FF000000"/>
        <rFont val="Calibri"/>
      </rPr>
      <t xml:space="preserve">Otras prestaciones sociales y económicas </t>
    </r>
    <r>
      <rPr>
        <i/>
        <sz val="11"/>
        <color rgb="FFFF0000"/>
        <rFont val="Calibri"/>
      </rPr>
      <t>(etiquetado)</t>
    </r>
  </si>
  <si>
    <t>82300-111</t>
  </si>
  <si>
    <r>
      <rPr>
        <i/>
        <sz val="11"/>
        <color rgb="FF000000"/>
        <rFont val="Calibri"/>
      </rPr>
      <t xml:space="preserve">Previsiones </t>
    </r>
    <r>
      <rPr>
        <i/>
        <sz val="11"/>
        <color rgb="FFFF0000"/>
        <rFont val="Calibri"/>
      </rPr>
      <t>(no etiquetado)</t>
    </r>
  </si>
  <si>
    <t>82300-112</t>
  </si>
  <si>
    <r>
      <rPr>
        <i/>
        <sz val="11"/>
        <color rgb="FF000000"/>
        <rFont val="Calibri"/>
      </rPr>
      <t xml:space="preserve">Previsiones </t>
    </r>
    <r>
      <rPr>
        <i/>
        <sz val="11"/>
        <color rgb="FFFF0000"/>
        <rFont val="Calibri"/>
      </rPr>
      <t>(etiquetado)</t>
    </r>
  </si>
  <si>
    <t>82300-113</t>
  </si>
  <si>
    <r>
      <rPr>
        <i/>
        <sz val="11"/>
        <color rgb="FF000000"/>
        <rFont val="Calibri"/>
      </rPr>
      <t xml:space="preserve">Pago de estímulos a servidores públicos </t>
    </r>
    <r>
      <rPr>
        <i/>
        <sz val="11"/>
        <color rgb="FFFF0000"/>
        <rFont val="Calibri"/>
      </rPr>
      <t>(no etiquetado)</t>
    </r>
  </si>
  <si>
    <t>82300-114</t>
  </si>
  <si>
    <r>
      <rPr>
        <i/>
        <sz val="11"/>
        <color rgb="FF000000"/>
        <rFont val="Calibri"/>
      </rPr>
      <t xml:space="preserve">Pago de estímulos a servidores públicos </t>
    </r>
    <r>
      <rPr>
        <i/>
        <sz val="11"/>
        <color rgb="FFFF0000"/>
        <rFont val="Calibri"/>
      </rPr>
      <t>(etiquetado)</t>
    </r>
  </si>
  <si>
    <t>82300-200</t>
  </si>
  <si>
    <t>82300-201</t>
  </si>
  <si>
    <r>
      <rPr>
        <i/>
        <sz val="11"/>
        <color rgb="FF000000"/>
        <rFont val="Calibri"/>
      </rPr>
      <t xml:space="preserve">Materiales de administración, emisión de documentos y artículos oficiales </t>
    </r>
    <r>
      <rPr>
        <i/>
        <sz val="11"/>
        <color rgb="FFFF0000"/>
        <rFont val="Calibri"/>
      </rPr>
      <t>(no etiquetado)</t>
    </r>
  </si>
  <si>
    <t>82300-202</t>
  </si>
  <si>
    <r>
      <rPr>
        <i/>
        <sz val="11"/>
        <color rgb="FF000000"/>
        <rFont val="Calibri"/>
      </rPr>
      <t xml:space="preserve">Materiales de administración, emisión de documentos y artículos oficiales </t>
    </r>
    <r>
      <rPr>
        <i/>
        <sz val="11"/>
        <color rgb="FFFF0000"/>
        <rFont val="Calibri"/>
      </rPr>
      <t>(etiquetado)</t>
    </r>
  </si>
  <si>
    <t>82300-203</t>
  </si>
  <si>
    <r>
      <rPr>
        <i/>
        <sz val="11"/>
        <color rgb="FF000000"/>
        <rFont val="Calibri"/>
      </rPr>
      <t xml:space="preserve">Alimentos y utensilios </t>
    </r>
    <r>
      <rPr>
        <i/>
        <sz val="11"/>
        <color rgb="FFFF0000"/>
        <rFont val="Calibri"/>
      </rPr>
      <t>(no etiquetado)</t>
    </r>
  </si>
  <si>
    <t>82300-204</t>
  </si>
  <si>
    <r>
      <rPr>
        <i/>
        <sz val="11"/>
        <color rgb="FF000000"/>
        <rFont val="Calibri"/>
      </rPr>
      <t xml:space="preserve">Alimentos y utensilios </t>
    </r>
    <r>
      <rPr>
        <i/>
        <sz val="11"/>
        <color rgb="FFFF0000"/>
        <rFont val="Calibri"/>
      </rPr>
      <t>(etiquetado)</t>
    </r>
  </si>
  <si>
    <t>82300-205</t>
  </si>
  <si>
    <r>
      <rPr>
        <i/>
        <sz val="11"/>
        <color rgb="FF000000"/>
        <rFont val="Calibri"/>
      </rPr>
      <t xml:space="preserve">Materias primas y materiales de producción y comercialización </t>
    </r>
    <r>
      <rPr>
        <i/>
        <sz val="11"/>
        <color rgb="FFFF0000"/>
        <rFont val="Calibri"/>
      </rPr>
      <t>(no etiquetado)</t>
    </r>
  </si>
  <si>
    <t>82300-206</t>
  </si>
  <si>
    <r>
      <rPr>
        <i/>
        <sz val="11"/>
        <color rgb="FF000000"/>
        <rFont val="Calibri"/>
      </rPr>
      <t xml:space="preserve">Materias primas y materiales de producción y comercialización </t>
    </r>
    <r>
      <rPr>
        <i/>
        <sz val="11"/>
        <color rgb="FFFF0000"/>
        <rFont val="Calibri"/>
      </rPr>
      <t>(etiquetado)</t>
    </r>
  </si>
  <si>
    <t>82300-207</t>
  </si>
  <si>
    <r>
      <rPr>
        <i/>
        <sz val="11"/>
        <color rgb="FF000000"/>
        <rFont val="Calibri"/>
      </rPr>
      <t xml:space="preserve">Materiales y artículos de construcción y de reparación </t>
    </r>
    <r>
      <rPr>
        <i/>
        <sz val="11"/>
        <color rgb="FFFF0000"/>
        <rFont val="Calibri"/>
      </rPr>
      <t>(no etiquetado)</t>
    </r>
  </si>
  <si>
    <t>82300-208</t>
  </si>
  <si>
    <r>
      <rPr>
        <i/>
        <sz val="11"/>
        <color rgb="FF000000"/>
        <rFont val="Calibri"/>
      </rPr>
      <t xml:space="preserve">Materiales y artículos de construcción y de reparación </t>
    </r>
    <r>
      <rPr>
        <i/>
        <sz val="11"/>
        <color rgb="FFFF0000"/>
        <rFont val="Calibri"/>
      </rPr>
      <t>(etiquetado)</t>
    </r>
  </si>
  <si>
    <t>82300-209</t>
  </si>
  <si>
    <r>
      <rPr>
        <i/>
        <sz val="11"/>
        <color rgb="FF000000"/>
        <rFont val="Calibri"/>
      </rPr>
      <t xml:space="preserve">Productos químicos, farmacéuticos y de laboratorio </t>
    </r>
    <r>
      <rPr>
        <i/>
        <sz val="11"/>
        <color rgb="FFFF0000"/>
        <rFont val="Calibri"/>
      </rPr>
      <t>(no etiquetado)</t>
    </r>
  </si>
  <si>
    <t>82300-210</t>
  </si>
  <si>
    <r>
      <rPr>
        <i/>
        <sz val="11"/>
        <color rgb="FF000000"/>
        <rFont val="Calibri"/>
      </rPr>
      <t xml:space="preserve">Productos químicos, farmacéuticos y de laboratorio </t>
    </r>
    <r>
      <rPr>
        <i/>
        <sz val="11"/>
        <color rgb="FFFF0000"/>
        <rFont val="Calibri"/>
      </rPr>
      <t>(etiquetado)</t>
    </r>
  </si>
  <si>
    <t>82300-211</t>
  </si>
  <si>
    <r>
      <rPr>
        <i/>
        <sz val="11"/>
        <color rgb="FF000000"/>
        <rFont val="Calibri"/>
      </rPr>
      <t xml:space="preserve">Combustibles, lubricantes y aditivos </t>
    </r>
    <r>
      <rPr>
        <i/>
        <sz val="11"/>
        <color rgb="FFFF0000"/>
        <rFont val="Calibri"/>
      </rPr>
      <t>(no etiquetado)</t>
    </r>
  </si>
  <si>
    <t>82300-212</t>
  </si>
  <si>
    <r>
      <rPr>
        <i/>
        <sz val="11"/>
        <color rgb="FF000000"/>
        <rFont val="Calibri"/>
      </rPr>
      <t xml:space="preserve">Combustibles, lubricantes y aditivos </t>
    </r>
    <r>
      <rPr>
        <i/>
        <sz val="11"/>
        <color rgb="FFFF0000"/>
        <rFont val="Calibri"/>
      </rPr>
      <t>(etiquetado)</t>
    </r>
  </si>
  <si>
    <t>82300-213</t>
  </si>
  <si>
    <r>
      <rPr>
        <i/>
        <sz val="11"/>
        <color rgb="FF000000"/>
        <rFont val="Calibri"/>
      </rPr>
      <t xml:space="preserve">Vestuario, blancos, prendas de protección y artículos deportivos </t>
    </r>
    <r>
      <rPr>
        <i/>
        <sz val="11"/>
        <color rgb="FFFF0000"/>
        <rFont val="Calibri"/>
      </rPr>
      <t>(no etiquetado)</t>
    </r>
  </si>
  <si>
    <t>82300-214</t>
  </si>
  <si>
    <r>
      <rPr>
        <i/>
        <sz val="11"/>
        <color rgb="FF000000"/>
        <rFont val="Calibri"/>
      </rPr>
      <t xml:space="preserve">Vestuario, blancos, prendas de protección y artículos deportivos </t>
    </r>
    <r>
      <rPr>
        <i/>
        <sz val="11"/>
        <color rgb="FFFF0000"/>
        <rFont val="Calibri"/>
      </rPr>
      <t>(etiquetado)</t>
    </r>
  </si>
  <si>
    <t>82300-215</t>
  </si>
  <si>
    <r>
      <rPr>
        <i/>
        <sz val="11"/>
        <color rgb="FF000000"/>
        <rFont val="Calibri"/>
      </rPr>
      <t xml:space="preserve">Materiales y suministros de seguridad </t>
    </r>
    <r>
      <rPr>
        <i/>
        <sz val="11"/>
        <color rgb="FFFF0000"/>
        <rFont val="Calibri"/>
      </rPr>
      <t>(no etiquetado)</t>
    </r>
  </si>
  <si>
    <t>82300-216</t>
  </si>
  <si>
    <r>
      <rPr>
        <i/>
        <sz val="11"/>
        <color rgb="FF000000"/>
        <rFont val="Calibri"/>
      </rPr>
      <t xml:space="preserve">Materiales y suministros de seguridad </t>
    </r>
    <r>
      <rPr>
        <i/>
        <sz val="11"/>
        <color rgb="FFFF0000"/>
        <rFont val="Calibri"/>
      </rPr>
      <t>(etiquetado)</t>
    </r>
  </si>
  <si>
    <t>82300-217</t>
  </si>
  <si>
    <r>
      <rPr>
        <i/>
        <sz val="11"/>
        <color rgb="FF000000"/>
        <rFont val="Calibri"/>
      </rPr>
      <t xml:space="preserve">Herramientas, refacciones y accesorios menores </t>
    </r>
    <r>
      <rPr>
        <i/>
        <sz val="11"/>
        <color rgb="FFFF0000"/>
        <rFont val="Calibri"/>
      </rPr>
      <t>(no etiquetado)</t>
    </r>
  </si>
  <si>
    <t>82300-218</t>
  </si>
  <si>
    <r>
      <rPr>
        <i/>
        <sz val="11"/>
        <color rgb="FF000000"/>
        <rFont val="Calibri"/>
      </rPr>
      <t xml:space="preserve">Herramientas, refacciones y accesorios menores </t>
    </r>
    <r>
      <rPr>
        <i/>
        <sz val="11"/>
        <color rgb="FFFF0000"/>
        <rFont val="Calibri"/>
      </rPr>
      <t>(etiquetado)</t>
    </r>
  </si>
  <si>
    <t>82300-300</t>
  </si>
  <si>
    <t>82300-301</t>
  </si>
  <si>
    <r>
      <rPr>
        <i/>
        <sz val="11"/>
        <color rgb="FF000000"/>
        <rFont val="Calibri"/>
      </rPr>
      <t xml:space="preserve">Servicios básicos </t>
    </r>
    <r>
      <rPr>
        <i/>
        <sz val="11"/>
        <color rgb="FFFF0000"/>
        <rFont val="Calibri"/>
      </rPr>
      <t>(no etiquetado)</t>
    </r>
  </si>
  <si>
    <t>82300-302</t>
  </si>
  <si>
    <r>
      <rPr>
        <i/>
        <sz val="11"/>
        <color rgb="FF000000"/>
        <rFont val="Calibri"/>
      </rPr>
      <t xml:space="preserve">Servicios básicos </t>
    </r>
    <r>
      <rPr>
        <i/>
        <sz val="11"/>
        <color rgb="FFFF0000"/>
        <rFont val="Calibri"/>
      </rPr>
      <t>(etiquetado)</t>
    </r>
  </si>
  <si>
    <t>82300-303</t>
  </si>
  <si>
    <r>
      <rPr>
        <i/>
        <sz val="11"/>
        <color rgb="FF000000"/>
        <rFont val="Calibri"/>
      </rPr>
      <t xml:space="preserve">Servicios de arrendamiento </t>
    </r>
    <r>
      <rPr>
        <i/>
        <sz val="11"/>
        <color rgb="FFFF0000"/>
        <rFont val="Calibri"/>
      </rPr>
      <t>(no etiquetado)</t>
    </r>
  </si>
  <si>
    <t>82300-304</t>
  </si>
  <si>
    <r>
      <rPr>
        <i/>
        <sz val="11"/>
        <color rgb="FF000000"/>
        <rFont val="Calibri"/>
      </rPr>
      <t xml:space="preserve">Servicios de arrendamiento </t>
    </r>
    <r>
      <rPr>
        <i/>
        <sz val="11"/>
        <color rgb="FFFF0000"/>
        <rFont val="Calibri"/>
      </rPr>
      <t>(etiquetado)</t>
    </r>
  </si>
  <si>
    <t>82300-305</t>
  </si>
  <si>
    <r>
      <rPr>
        <i/>
        <sz val="11"/>
        <color rgb="FF000000"/>
        <rFont val="Calibri"/>
      </rPr>
      <t xml:space="preserve">Servicios profesionales, científicos, técnicos y otros servicios </t>
    </r>
    <r>
      <rPr>
        <i/>
        <sz val="11"/>
        <color rgb="FFFF0000"/>
        <rFont val="Calibri"/>
      </rPr>
      <t>(no etiquetado)</t>
    </r>
  </si>
  <si>
    <t>82300-306</t>
  </si>
  <si>
    <r>
      <rPr>
        <i/>
        <sz val="11"/>
        <color rgb="FF000000"/>
        <rFont val="Calibri"/>
      </rPr>
      <t xml:space="preserve">Servicios profesionales, científicos, técnicos y otros servicios </t>
    </r>
    <r>
      <rPr>
        <i/>
        <sz val="11"/>
        <color rgb="FFFF0000"/>
        <rFont val="Calibri"/>
      </rPr>
      <t>(etiquetado)</t>
    </r>
  </si>
  <si>
    <t>82300-307</t>
  </si>
  <si>
    <r>
      <rPr>
        <i/>
        <sz val="11"/>
        <color rgb="FF000000"/>
        <rFont val="Calibri"/>
      </rPr>
      <t xml:space="preserve">Servicios financieros, bancarios y comerciales </t>
    </r>
    <r>
      <rPr>
        <i/>
        <sz val="11"/>
        <color rgb="FFFF0000"/>
        <rFont val="Calibri"/>
      </rPr>
      <t>(no etiquetado)</t>
    </r>
  </si>
  <si>
    <t>82300-308</t>
  </si>
  <si>
    <r>
      <rPr>
        <i/>
        <sz val="11"/>
        <color rgb="FF000000"/>
        <rFont val="Calibri"/>
      </rPr>
      <t xml:space="preserve">Servicios financieros, bancarios y comerciales </t>
    </r>
    <r>
      <rPr>
        <i/>
        <sz val="11"/>
        <color rgb="FFFF0000"/>
        <rFont val="Calibri"/>
      </rPr>
      <t>(etiquetado)</t>
    </r>
  </si>
  <si>
    <t>82300-309</t>
  </si>
  <si>
    <r>
      <rPr>
        <i/>
        <sz val="11"/>
        <color rgb="FF000000"/>
        <rFont val="Calibri"/>
      </rPr>
      <t xml:space="preserve">Servicios de instalación, reparación, mantenimiento y conservación </t>
    </r>
    <r>
      <rPr>
        <i/>
        <sz val="11"/>
        <color rgb="FFFF0000"/>
        <rFont val="Calibri"/>
      </rPr>
      <t>(no etiquetado)</t>
    </r>
  </si>
  <si>
    <t>82300-310</t>
  </si>
  <si>
    <r>
      <rPr>
        <i/>
        <sz val="11"/>
        <color rgb="FF000000"/>
        <rFont val="Calibri"/>
      </rPr>
      <t xml:space="preserve">Servicios de instalación, reparación, mantenimiento y conservación </t>
    </r>
    <r>
      <rPr>
        <i/>
        <sz val="11"/>
        <color rgb="FFFF0000"/>
        <rFont val="Calibri"/>
      </rPr>
      <t>(etiquetado)</t>
    </r>
  </si>
  <si>
    <t>82300-311</t>
  </si>
  <si>
    <r>
      <rPr>
        <i/>
        <sz val="11"/>
        <color rgb="FF000000"/>
        <rFont val="Calibri"/>
      </rPr>
      <t xml:space="preserve">Servicios de comunicación social y publicidad </t>
    </r>
    <r>
      <rPr>
        <i/>
        <sz val="11"/>
        <color rgb="FFFF0000"/>
        <rFont val="Calibri"/>
      </rPr>
      <t>(no etiquetado)</t>
    </r>
  </si>
  <si>
    <t>82300-312</t>
  </si>
  <si>
    <r>
      <rPr>
        <i/>
        <sz val="11"/>
        <color rgb="FF000000"/>
        <rFont val="Calibri"/>
      </rPr>
      <t xml:space="preserve">Servicios de comunicación social y publicidad </t>
    </r>
    <r>
      <rPr>
        <i/>
        <sz val="11"/>
        <color rgb="FFFF0000"/>
        <rFont val="Calibri"/>
      </rPr>
      <t>(etiquetado)</t>
    </r>
  </si>
  <si>
    <t>82300-313</t>
  </si>
  <si>
    <r>
      <rPr>
        <i/>
        <sz val="11"/>
        <color rgb="FF000000"/>
        <rFont val="Calibri"/>
      </rPr>
      <t xml:space="preserve">Servicios de traslado y viáticos </t>
    </r>
    <r>
      <rPr>
        <i/>
        <sz val="11"/>
        <color rgb="FFFF0000"/>
        <rFont val="Calibri"/>
      </rPr>
      <t>(no etiquetado)</t>
    </r>
  </si>
  <si>
    <t>82300-314</t>
  </si>
  <si>
    <r>
      <rPr>
        <i/>
        <sz val="11"/>
        <color rgb="FF000000"/>
        <rFont val="Calibri"/>
      </rPr>
      <t xml:space="preserve">Servicios de traslado y viáticos </t>
    </r>
    <r>
      <rPr>
        <i/>
        <sz val="11"/>
        <color rgb="FFFF0000"/>
        <rFont val="Calibri"/>
      </rPr>
      <t>(etiquetado)</t>
    </r>
  </si>
  <si>
    <t>82300-315</t>
  </si>
  <si>
    <r>
      <rPr>
        <i/>
        <sz val="11"/>
        <color rgb="FF000000"/>
        <rFont val="Calibri"/>
      </rPr>
      <t xml:space="preserve">Servicios oficiales </t>
    </r>
    <r>
      <rPr>
        <i/>
        <sz val="11"/>
        <color rgb="FFFF0000"/>
        <rFont val="Calibri"/>
      </rPr>
      <t>(no etiquetado)</t>
    </r>
  </si>
  <si>
    <t>82300-316</t>
  </si>
  <si>
    <r>
      <rPr>
        <i/>
        <sz val="11"/>
        <color rgb="FF000000"/>
        <rFont val="Calibri"/>
      </rPr>
      <t xml:space="preserve">Servicios oficiales </t>
    </r>
    <r>
      <rPr>
        <i/>
        <sz val="11"/>
        <color rgb="FFFF0000"/>
        <rFont val="Calibri"/>
      </rPr>
      <t>(etiquetado)</t>
    </r>
  </si>
  <si>
    <t>82300-317</t>
  </si>
  <si>
    <r>
      <rPr>
        <i/>
        <sz val="11"/>
        <color rgb="FF000000"/>
        <rFont val="Calibri"/>
      </rPr>
      <t xml:space="preserve">Otros servicios generales </t>
    </r>
    <r>
      <rPr>
        <i/>
        <sz val="11"/>
        <color rgb="FFFF0000"/>
        <rFont val="Calibri"/>
      </rPr>
      <t>(no etiquetado)</t>
    </r>
  </si>
  <si>
    <t>82300-318</t>
  </si>
  <si>
    <r>
      <rPr>
        <i/>
        <sz val="11"/>
        <color rgb="FF000000"/>
        <rFont val="Calibri"/>
      </rPr>
      <t xml:space="preserve">Otros servicios generales </t>
    </r>
    <r>
      <rPr>
        <i/>
        <sz val="11"/>
        <color rgb="FFFF0000"/>
        <rFont val="Calibri"/>
      </rPr>
      <t>(etiquetado)</t>
    </r>
  </si>
  <si>
    <t>82300-400</t>
  </si>
  <si>
    <t>82300-401</t>
  </si>
  <si>
    <r>
      <rPr>
        <i/>
        <sz val="11"/>
        <color rgb="FF000000"/>
        <rFont val="Calibri"/>
      </rPr>
      <t xml:space="preserve">Transferencias internas y asignaciones al sector público </t>
    </r>
    <r>
      <rPr>
        <i/>
        <sz val="11"/>
        <color rgb="FFFF0000"/>
        <rFont val="Calibri"/>
      </rPr>
      <t>(no etiquetado)</t>
    </r>
  </si>
  <si>
    <t>82300-402</t>
  </si>
  <si>
    <r>
      <rPr>
        <i/>
        <sz val="11"/>
        <color rgb="FF000000"/>
        <rFont val="Calibri"/>
      </rPr>
      <t xml:space="preserve">Transferencias internas y asignaciones al sector público </t>
    </r>
    <r>
      <rPr>
        <i/>
        <sz val="11"/>
        <color rgb="FFFF0000"/>
        <rFont val="Calibri"/>
      </rPr>
      <t>(etiquetado)</t>
    </r>
  </si>
  <si>
    <t>82300-403</t>
  </si>
  <si>
    <r>
      <rPr>
        <i/>
        <sz val="11"/>
        <color rgb="FF000000"/>
        <rFont val="Calibri"/>
      </rPr>
      <t xml:space="preserve">Transferencias al resto del sector público </t>
    </r>
    <r>
      <rPr>
        <i/>
        <sz val="11"/>
        <color rgb="FFFF0000"/>
        <rFont val="Calibri"/>
      </rPr>
      <t>(no etiquetado)</t>
    </r>
  </si>
  <si>
    <t>82300-404</t>
  </si>
  <si>
    <r>
      <rPr>
        <i/>
        <sz val="11"/>
        <color rgb="FF000000"/>
        <rFont val="Calibri"/>
      </rPr>
      <t xml:space="preserve">Transferencias al resto del sector público </t>
    </r>
    <r>
      <rPr>
        <i/>
        <sz val="11"/>
        <color rgb="FFFF0000"/>
        <rFont val="Calibri"/>
      </rPr>
      <t>(etiquetado)</t>
    </r>
  </si>
  <si>
    <t>82300-405</t>
  </si>
  <si>
    <r>
      <rPr>
        <i/>
        <sz val="11"/>
        <color rgb="FF000000"/>
        <rFont val="Calibri"/>
      </rPr>
      <t xml:space="preserve">Subsidios y subvenciones </t>
    </r>
    <r>
      <rPr>
        <i/>
        <sz val="11"/>
        <color rgb="FFFF0000"/>
        <rFont val="Calibri"/>
      </rPr>
      <t>(no etiquetado)</t>
    </r>
  </si>
  <si>
    <t>82300-406</t>
  </si>
  <si>
    <r>
      <rPr>
        <i/>
        <sz val="11"/>
        <color rgb="FF000000"/>
        <rFont val="Calibri"/>
      </rPr>
      <t xml:space="preserve">Subsidios y subvenciones </t>
    </r>
    <r>
      <rPr>
        <i/>
        <sz val="11"/>
        <color rgb="FFFF0000"/>
        <rFont val="Calibri"/>
      </rPr>
      <t>(etiquetado)</t>
    </r>
  </si>
  <si>
    <t>82300-407</t>
  </si>
  <si>
    <r>
      <rPr>
        <i/>
        <sz val="11"/>
        <color rgb="FF000000"/>
        <rFont val="Calibri"/>
      </rPr>
      <t xml:space="preserve">Ayudas sociales </t>
    </r>
    <r>
      <rPr>
        <i/>
        <sz val="11"/>
        <color rgb="FFFF0000"/>
        <rFont val="Calibri"/>
      </rPr>
      <t>(no etiquetado)</t>
    </r>
  </si>
  <si>
    <t>82300-408</t>
  </si>
  <si>
    <r>
      <rPr>
        <i/>
        <sz val="11"/>
        <color rgb="FF000000"/>
        <rFont val="Calibri"/>
      </rPr>
      <t xml:space="preserve">Ayudas sociales  </t>
    </r>
    <r>
      <rPr>
        <i/>
        <sz val="11"/>
        <color rgb="FFFF0000"/>
        <rFont val="Calibri"/>
      </rPr>
      <t>(etiquetado)</t>
    </r>
  </si>
  <si>
    <t>82300-409</t>
  </si>
  <si>
    <r>
      <rPr>
        <i/>
        <sz val="11"/>
        <color rgb="FF000000"/>
        <rFont val="Calibri"/>
      </rPr>
      <t xml:space="preserve">Pensiones y jubilaciones </t>
    </r>
    <r>
      <rPr>
        <i/>
        <sz val="11"/>
        <color rgb="FFFF0000"/>
        <rFont val="Calibri"/>
      </rPr>
      <t>(no etiquetado)</t>
    </r>
  </si>
  <si>
    <t>82300-410</t>
  </si>
  <si>
    <r>
      <rPr>
        <i/>
        <sz val="11"/>
        <color rgb="FF000000"/>
        <rFont val="Calibri"/>
      </rPr>
      <t xml:space="preserve">Pensiones y jubilaciones </t>
    </r>
    <r>
      <rPr>
        <i/>
        <sz val="11"/>
        <color rgb="FFFF0000"/>
        <rFont val="Calibri"/>
      </rPr>
      <t>(etiquetado)</t>
    </r>
  </si>
  <si>
    <t>82300-411</t>
  </si>
  <si>
    <r>
      <rPr>
        <i/>
        <sz val="11"/>
        <color rgb="FF000000"/>
        <rFont val="Calibri"/>
      </rPr>
      <t xml:space="preserve">Transferencias a fideicomisos, mandatos y otros análogos </t>
    </r>
    <r>
      <rPr>
        <i/>
        <sz val="11"/>
        <color rgb="FFFF0000"/>
        <rFont val="Calibri"/>
      </rPr>
      <t>(no etiquetado)</t>
    </r>
  </si>
  <si>
    <t>82300-412</t>
  </si>
  <si>
    <r>
      <rPr>
        <i/>
        <sz val="11"/>
        <color rgb="FF000000"/>
        <rFont val="Calibri"/>
      </rPr>
      <t xml:space="preserve">Transferencias a fideicomisos, mandatos y otros análogos </t>
    </r>
    <r>
      <rPr>
        <i/>
        <sz val="11"/>
        <color rgb="FFFF0000"/>
        <rFont val="Calibri"/>
      </rPr>
      <t>(etiquetado)</t>
    </r>
  </si>
  <si>
    <t>82300-413</t>
  </si>
  <si>
    <r>
      <rPr>
        <i/>
        <sz val="11"/>
        <color rgb="FF000000"/>
        <rFont val="Calibri"/>
      </rPr>
      <t xml:space="preserve">Transferencias a la seguridad social </t>
    </r>
    <r>
      <rPr>
        <i/>
        <sz val="11"/>
        <color rgb="FFFF0000"/>
        <rFont val="Calibri"/>
      </rPr>
      <t>(no etiquetado)</t>
    </r>
  </si>
  <si>
    <t>82300-414</t>
  </si>
  <si>
    <r>
      <rPr>
        <i/>
        <sz val="11"/>
        <color rgb="FF000000"/>
        <rFont val="Calibri"/>
      </rPr>
      <t xml:space="preserve">Transferencias a la seguridad social </t>
    </r>
    <r>
      <rPr>
        <i/>
        <sz val="11"/>
        <color rgb="FFFF0000"/>
        <rFont val="Calibri"/>
      </rPr>
      <t>(etiquetado)</t>
    </r>
  </si>
  <si>
    <t>82300-415</t>
  </si>
  <si>
    <r>
      <rPr>
        <i/>
        <sz val="11"/>
        <color rgb="FF000000"/>
        <rFont val="Calibri"/>
      </rPr>
      <t xml:space="preserve">Donativos </t>
    </r>
    <r>
      <rPr>
        <i/>
        <sz val="11"/>
        <color rgb="FFFF0000"/>
        <rFont val="Calibri"/>
      </rPr>
      <t>(no etiquetado)</t>
    </r>
  </si>
  <si>
    <t>82300-416</t>
  </si>
  <si>
    <r>
      <rPr>
        <i/>
        <sz val="11"/>
        <color rgb="FF000000"/>
        <rFont val="Calibri"/>
      </rPr>
      <t xml:space="preserve">Donativos </t>
    </r>
    <r>
      <rPr>
        <i/>
        <sz val="11"/>
        <color rgb="FFFF0000"/>
        <rFont val="Calibri"/>
      </rPr>
      <t>(etiquetado)</t>
    </r>
  </si>
  <si>
    <t>82300-417</t>
  </si>
  <si>
    <r>
      <rPr>
        <i/>
        <sz val="11"/>
        <color rgb="FF000000"/>
        <rFont val="Calibri"/>
      </rPr>
      <t xml:space="preserve">Transferencias al exterior </t>
    </r>
    <r>
      <rPr>
        <i/>
        <sz val="11"/>
        <color rgb="FFFF0000"/>
        <rFont val="Calibri"/>
      </rPr>
      <t>(no etiquetado)</t>
    </r>
  </si>
  <si>
    <t>82300-418</t>
  </si>
  <si>
    <r>
      <rPr>
        <i/>
        <sz val="11"/>
        <color rgb="FF000000"/>
        <rFont val="Calibri"/>
      </rPr>
      <t xml:space="preserve">Transferencias al exterior </t>
    </r>
    <r>
      <rPr>
        <i/>
        <sz val="11"/>
        <color rgb="FFFF0000"/>
        <rFont val="Calibri"/>
      </rPr>
      <t>(etiquetado)</t>
    </r>
  </si>
  <si>
    <t>82300-500</t>
  </si>
  <si>
    <t>82300-501</t>
  </si>
  <si>
    <r>
      <rPr>
        <i/>
        <sz val="11"/>
        <color rgb="FF000000"/>
        <rFont val="Calibri"/>
      </rPr>
      <t xml:space="preserve">Mobiliario y equipo de administración </t>
    </r>
    <r>
      <rPr>
        <i/>
        <sz val="11"/>
        <color rgb="FFFF0000"/>
        <rFont val="Calibri"/>
      </rPr>
      <t>(no etiquetado)</t>
    </r>
  </si>
  <si>
    <t>82300-502</t>
  </si>
  <si>
    <r>
      <rPr>
        <i/>
        <sz val="11"/>
        <color rgb="FF000000"/>
        <rFont val="Calibri"/>
      </rPr>
      <t xml:space="preserve">Mobiliario y equipo de administración </t>
    </r>
    <r>
      <rPr>
        <i/>
        <sz val="11"/>
        <color rgb="FFFF0000"/>
        <rFont val="Calibri"/>
      </rPr>
      <t>(etiquetado)</t>
    </r>
  </si>
  <si>
    <t>82300-503</t>
  </si>
  <si>
    <r>
      <rPr>
        <i/>
        <sz val="11"/>
        <color rgb="FF000000"/>
        <rFont val="Calibri"/>
      </rPr>
      <t xml:space="preserve">Mobiliario y equipo educacional y recreativo </t>
    </r>
    <r>
      <rPr>
        <i/>
        <sz val="11"/>
        <color rgb="FFFF0000"/>
        <rFont val="Calibri"/>
      </rPr>
      <t>(no etiquetado)</t>
    </r>
  </si>
  <si>
    <t>82300-504</t>
  </si>
  <si>
    <r>
      <rPr>
        <i/>
        <sz val="11"/>
        <color rgb="FF000000"/>
        <rFont val="Calibri"/>
      </rPr>
      <t xml:space="preserve">Mobiliario y equipo educacional y recreativo </t>
    </r>
    <r>
      <rPr>
        <i/>
        <sz val="11"/>
        <color rgb="FFFF0000"/>
        <rFont val="Calibri"/>
      </rPr>
      <t>(etiquetado)</t>
    </r>
  </si>
  <si>
    <t>82300-505</t>
  </si>
  <si>
    <r>
      <rPr>
        <i/>
        <sz val="11"/>
        <color rgb="FF000000"/>
        <rFont val="Calibri"/>
      </rPr>
      <t xml:space="preserve">Equipo instrumental médico y de laboratorio </t>
    </r>
    <r>
      <rPr>
        <i/>
        <sz val="11"/>
        <color rgb="FFFF0000"/>
        <rFont val="Calibri"/>
      </rPr>
      <t>(no etiquetado)</t>
    </r>
  </si>
  <si>
    <t>82300-506</t>
  </si>
  <si>
    <r>
      <rPr>
        <i/>
        <sz val="11"/>
        <color rgb="FF000000"/>
        <rFont val="Calibri"/>
      </rPr>
      <t xml:space="preserve">Equipo instrumental médico y de laboratorio </t>
    </r>
    <r>
      <rPr>
        <i/>
        <sz val="11"/>
        <color rgb="FFFF0000"/>
        <rFont val="Calibri"/>
      </rPr>
      <t>(etiquetado)</t>
    </r>
  </si>
  <si>
    <t>82300-507</t>
  </si>
  <si>
    <r>
      <rPr>
        <i/>
        <sz val="11"/>
        <color rgb="FF000000"/>
        <rFont val="Calibri"/>
      </rPr>
      <t xml:space="preserve">Vehículos y equipo de transporte </t>
    </r>
    <r>
      <rPr>
        <i/>
        <sz val="11"/>
        <color rgb="FFFF0000"/>
        <rFont val="Calibri"/>
      </rPr>
      <t>(no etiquetado)</t>
    </r>
  </si>
  <si>
    <t>82300-508</t>
  </si>
  <si>
    <r>
      <rPr>
        <i/>
        <sz val="11"/>
        <color rgb="FF000000"/>
        <rFont val="Calibri"/>
      </rPr>
      <t xml:space="preserve">Vehículos y equipo de transporte </t>
    </r>
    <r>
      <rPr>
        <i/>
        <sz val="11"/>
        <color rgb="FFFF0000"/>
        <rFont val="Calibri"/>
      </rPr>
      <t>(etiquetado)</t>
    </r>
  </si>
  <si>
    <t>82300-509</t>
  </si>
  <si>
    <r>
      <rPr>
        <i/>
        <sz val="11"/>
        <color rgb="FF000000"/>
        <rFont val="Calibri"/>
      </rPr>
      <t xml:space="preserve">Equipo de defensa y seguridad </t>
    </r>
    <r>
      <rPr>
        <i/>
        <sz val="11"/>
        <color rgb="FFFF0000"/>
        <rFont val="Calibri"/>
      </rPr>
      <t>(no etiquetado)</t>
    </r>
  </si>
  <si>
    <t>82300-510</t>
  </si>
  <si>
    <r>
      <rPr>
        <i/>
        <sz val="11"/>
        <color rgb="FF000000"/>
        <rFont val="Calibri"/>
      </rPr>
      <t xml:space="preserve">Equipo de defensa y seguridad </t>
    </r>
    <r>
      <rPr>
        <i/>
        <sz val="11"/>
        <color rgb="FFFF0000"/>
        <rFont val="Calibri"/>
      </rPr>
      <t>(etiquetado)</t>
    </r>
  </si>
  <si>
    <t>82300-511</t>
  </si>
  <si>
    <r>
      <rPr>
        <i/>
        <sz val="11"/>
        <color rgb="FF000000"/>
        <rFont val="Calibri"/>
      </rPr>
      <t xml:space="preserve">Maquinaria, otros equipos y herramientas </t>
    </r>
    <r>
      <rPr>
        <i/>
        <sz val="11"/>
        <color rgb="FFFF0000"/>
        <rFont val="Calibri"/>
      </rPr>
      <t>(no etiquetado)</t>
    </r>
  </si>
  <si>
    <t>82300-512</t>
  </si>
  <si>
    <r>
      <rPr>
        <i/>
        <sz val="11"/>
        <color rgb="FF000000"/>
        <rFont val="Calibri"/>
      </rPr>
      <t xml:space="preserve">Maquinaria, otros equipos y herramientas </t>
    </r>
    <r>
      <rPr>
        <i/>
        <sz val="11"/>
        <color rgb="FFFF0000"/>
        <rFont val="Calibri"/>
      </rPr>
      <t>(etiquetado)</t>
    </r>
  </si>
  <si>
    <t>82300-513</t>
  </si>
  <si>
    <r>
      <rPr>
        <i/>
        <sz val="11"/>
        <color rgb="FF000000"/>
        <rFont val="Calibri"/>
      </rPr>
      <t xml:space="preserve">Activos biológicos </t>
    </r>
    <r>
      <rPr>
        <i/>
        <sz val="11"/>
        <color rgb="FFFF0000"/>
        <rFont val="Calibri"/>
      </rPr>
      <t>(no etiquetado)</t>
    </r>
  </si>
  <si>
    <t>82300-514</t>
  </si>
  <si>
    <r>
      <rPr>
        <i/>
        <sz val="11"/>
        <color rgb="FF000000"/>
        <rFont val="Calibri"/>
      </rPr>
      <t xml:space="preserve">Activos biológicos </t>
    </r>
    <r>
      <rPr>
        <i/>
        <sz val="11"/>
        <color rgb="FFFF0000"/>
        <rFont val="Calibri"/>
      </rPr>
      <t>(etiquetado)</t>
    </r>
  </si>
  <si>
    <t>82300-515</t>
  </si>
  <si>
    <r>
      <rPr>
        <i/>
        <sz val="11"/>
        <color rgb="FF000000"/>
        <rFont val="Calibri"/>
      </rPr>
      <t xml:space="preserve">Bienes inmuebles </t>
    </r>
    <r>
      <rPr>
        <i/>
        <sz val="11"/>
        <color rgb="FFFF0000"/>
        <rFont val="Calibri"/>
      </rPr>
      <t>(no etiquetado)</t>
    </r>
  </si>
  <si>
    <t>82300-516</t>
  </si>
  <si>
    <r>
      <rPr>
        <i/>
        <sz val="11"/>
        <color rgb="FF000000"/>
        <rFont val="Calibri"/>
      </rPr>
      <t xml:space="preserve">Bienes inmuebles </t>
    </r>
    <r>
      <rPr>
        <i/>
        <sz val="11"/>
        <color rgb="FFFF0000"/>
        <rFont val="Calibri"/>
      </rPr>
      <t>(etiquetado)</t>
    </r>
  </si>
  <si>
    <t>82300-517</t>
  </si>
  <si>
    <r>
      <rPr>
        <i/>
        <sz val="11"/>
        <color rgb="FF000000"/>
        <rFont val="Calibri"/>
      </rPr>
      <t xml:space="preserve">Activos intangibles </t>
    </r>
    <r>
      <rPr>
        <i/>
        <sz val="11"/>
        <color rgb="FFFF0000"/>
        <rFont val="Calibri"/>
      </rPr>
      <t>(no etiquetado)</t>
    </r>
  </si>
  <si>
    <t>82300-518</t>
  </si>
  <si>
    <r>
      <rPr>
        <i/>
        <sz val="11"/>
        <color rgb="FF000000"/>
        <rFont val="Calibri"/>
      </rPr>
      <t xml:space="preserve">Activos intangibles </t>
    </r>
    <r>
      <rPr>
        <i/>
        <sz val="11"/>
        <color rgb="FFFF0000"/>
        <rFont val="Calibri"/>
      </rPr>
      <t>(etiquetado)</t>
    </r>
  </si>
  <si>
    <t>82300-600</t>
  </si>
  <si>
    <t>82300-601</t>
  </si>
  <si>
    <r>
      <rPr>
        <i/>
        <sz val="11"/>
        <color rgb="FF000000"/>
        <rFont val="Calibri"/>
      </rPr>
      <t xml:space="preserve">Obra pública en bienes de dominio público </t>
    </r>
    <r>
      <rPr>
        <i/>
        <sz val="11"/>
        <color rgb="FFFF0000"/>
        <rFont val="Calibri"/>
      </rPr>
      <t>(no etiquetado)</t>
    </r>
  </si>
  <si>
    <t>82300-602</t>
  </si>
  <si>
    <r>
      <rPr>
        <i/>
        <sz val="11"/>
        <color rgb="FF000000"/>
        <rFont val="Calibri"/>
      </rPr>
      <t xml:space="preserve">Obra pública en bienes de dominio público </t>
    </r>
    <r>
      <rPr>
        <i/>
        <sz val="11"/>
        <color rgb="FFFF0000"/>
        <rFont val="Calibri"/>
      </rPr>
      <t>(etiquetado)</t>
    </r>
  </si>
  <si>
    <t>82300-603</t>
  </si>
  <si>
    <r>
      <rPr>
        <i/>
        <sz val="11"/>
        <color rgb="FF000000"/>
        <rFont val="Calibri"/>
      </rPr>
      <t xml:space="preserve">Obra pública en bienes de dominio propios </t>
    </r>
    <r>
      <rPr>
        <i/>
        <sz val="11"/>
        <color rgb="FFFF0000"/>
        <rFont val="Calibri"/>
      </rPr>
      <t>(no etiquetado)</t>
    </r>
  </si>
  <si>
    <t>82300-604</t>
  </si>
  <si>
    <r>
      <rPr>
        <i/>
        <sz val="11"/>
        <color rgb="FF000000"/>
        <rFont val="Calibri"/>
      </rPr>
      <t xml:space="preserve">Obra pública en bienes de dominio propios </t>
    </r>
    <r>
      <rPr>
        <i/>
        <sz val="11"/>
        <color rgb="FFFF0000"/>
        <rFont val="Calibri"/>
      </rPr>
      <t>(etiquetado)</t>
    </r>
  </si>
  <si>
    <t>82300-605</t>
  </si>
  <si>
    <r>
      <rPr>
        <i/>
        <sz val="11"/>
        <color rgb="FF000000"/>
        <rFont val="Calibri"/>
      </rPr>
      <t xml:space="preserve">Proyectos productivos y acciones de fomento </t>
    </r>
    <r>
      <rPr>
        <i/>
        <sz val="11"/>
        <color rgb="FFFF0000"/>
        <rFont val="Calibri"/>
      </rPr>
      <t>(no etiquetado)</t>
    </r>
  </si>
  <si>
    <t>82300-606</t>
  </si>
  <si>
    <r>
      <rPr>
        <i/>
        <sz val="11"/>
        <color rgb="FF000000"/>
        <rFont val="Calibri"/>
      </rPr>
      <t xml:space="preserve">Proyectos productivos y acciones de fomento </t>
    </r>
    <r>
      <rPr>
        <i/>
        <sz val="11"/>
        <color rgb="FFFF0000"/>
        <rFont val="Calibri"/>
      </rPr>
      <t>(etiquetado)</t>
    </r>
  </si>
  <si>
    <t>82300-700</t>
  </si>
  <si>
    <t>82300-701</t>
  </si>
  <si>
    <r>
      <rPr>
        <i/>
        <sz val="11"/>
        <color rgb="FF000000"/>
        <rFont val="Calibri"/>
      </rPr>
      <t xml:space="preserve">Inversiones para el fomento de actividades productivas </t>
    </r>
    <r>
      <rPr>
        <i/>
        <sz val="11"/>
        <color rgb="FFFF0000"/>
        <rFont val="Calibri"/>
      </rPr>
      <t>(no etiquetado)</t>
    </r>
  </si>
  <si>
    <t>82300-702</t>
  </si>
  <si>
    <r>
      <rPr>
        <i/>
        <sz val="11"/>
        <color rgb="FF000000"/>
        <rFont val="Calibri"/>
      </rPr>
      <t xml:space="preserve">Inversiones para el fomento de actividades productivas </t>
    </r>
    <r>
      <rPr>
        <i/>
        <sz val="11"/>
        <color rgb="FFFF0000"/>
        <rFont val="Calibri"/>
      </rPr>
      <t>(etiquetado)</t>
    </r>
  </si>
  <si>
    <t>82300-703</t>
  </si>
  <si>
    <r>
      <rPr>
        <i/>
        <sz val="11"/>
        <color rgb="FF000000"/>
        <rFont val="Calibri"/>
      </rPr>
      <t xml:space="preserve">Acciones y participaciones de capital </t>
    </r>
    <r>
      <rPr>
        <i/>
        <sz val="11"/>
        <color rgb="FFFF0000"/>
        <rFont val="Calibri"/>
      </rPr>
      <t>(no etiquetado)</t>
    </r>
  </si>
  <si>
    <t>82300-704</t>
  </si>
  <si>
    <r>
      <rPr>
        <i/>
        <sz val="11"/>
        <color rgb="FF000000"/>
        <rFont val="Calibri"/>
      </rPr>
      <t xml:space="preserve">Acciones y participaciones de capital </t>
    </r>
    <r>
      <rPr>
        <i/>
        <sz val="11"/>
        <color rgb="FFFF0000"/>
        <rFont val="Calibri"/>
      </rPr>
      <t>(etiquetado)</t>
    </r>
  </si>
  <si>
    <t>82300-705</t>
  </si>
  <si>
    <r>
      <rPr>
        <i/>
        <sz val="11"/>
        <color rgb="FF000000"/>
        <rFont val="Calibri"/>
      </rPr>
      <t xml:space="preserve">Compra de títulos y valores </t>
    </r>
    <r>
      <rPr>
        <i/>
        <sz val="11"/>
        <color rgb="FFFF0000"/>
        <rFont val="Calibri"/>
      </rPr>
      <t>(no etiquetado)</t>
    </r>
  </si>
  <si>
    <t>82300-706</t>
  </si>
  <si>
    <r>
      <rPr>
        <i/>
        <sz val="11"/>
        <color rgb="FF000000"/>
        <rFont val="Calibri"/>
      </rPr>
      <t xml:space="preserve">Compra de títulos y valores </t>
    </r>
    <r>
      <rPr>
        <i/>
        <sz val="11"/>
        <color rgb="FFFF0000"/>
        <rFont val="Calibri"/>
      </rPr>
      <t>(etiquetado)</t>
    </r>
  </si>
  <si>
    <t>82300-707</t>
  </si>
  <si>
    <r>
      <rPr>
        <i/>
        <sz val="11"/>
        <color rgb="FF000000"/>
        <rFont val="Calibri"/>
      </rPr>
      <t xml:space="preserve">Concesión de préstamos </t>
    </r>
    <r>
      <rPr>
        <i/>
        <sz val="11"/>
        <color rgb="FFFF0000"/>
        <rFont val="Calibri"/>
      </rPr>
      <t>(no etiquetado)</t>
    </r>
  </si>
  <si>
    <t>82300-708</t>
  </si>
  <si>
    <r>
      <rPr>
        <i/>
        <sz val="11"/>
        <color rgb="FF000000"/>
        <rFont val="Calibri"/>
      </rPr>
      <t xml:space="preserve">Concesión de préstamos </t>
    </r>
    <r>
      <rPr>
        <i/>
        <sz val="11"/>
        <color rgb="FFFF0000"/>
        <rFont val="Calibri"/>
      </rPr>
      <t>(etiquetado)</t>
    </r>
  </si>
  <si>
    <t>82300-709</t>
  </si>
  <si>
    <r>
      <rPr>
        <i/>
        <sz val="11"/>
        <color rgb="FF000000"/>
        <rFont val="Calibri"/>
      </rPr>
      <t xml:space="preserve">Inversiones en fideicomisos, mandatos y otros análogos </t>
    </r>
    <r>
      <rPr>
        <i/>
        <sz val="11"/>
        <color rgb="FFFF0000"/>
        <rFont val="Calibri"/>
      </rPr>
      <t>(no etiquetado)</t>
    </r>
  </si>
  <si>
    <t>82300-710</t>
  </si>
  <si>
    <r>
      <rPr>
        <i/>
        <sz val="11"/>
        <color rgb="FF000000"/>
        <rFont val="Calibri"/>
      </rPr>
      <t xml:space="preserve">Inversiones en fideicomisos, mandatos y otros análogos </t>
    </r>
    <r>
      <rPr>
        <i/>
        <sz val="11"/>
        <color rgb="FFFF0000"/>
        <rFont val="Calibri"/>
      </rPr>
      <t>(etiquetado)</t>
    </r>
  </si>
  <si>
    <t>82300-711</t>
  </si>
  <si>
    <r>
      <rPr>
        <i/>
        <sz val="11"/>
        <color rgb="FF000000"/>
        <rFont val="Calibri"/>
      </rPr>
      <t xml:space="preserve">Otras inversiones financieras </t>
    </r>
    <r>
      <rPr>
        <i/>
        <sz val="11"/>
        <color rgb="FFFF0000"/>
        <rFont val="Calibri"/>
      </rPr>
      <t>(no etiquetado)</t>
    </r>
  </si>
  <si>
    <t>82300-712</t>
  </si>
  <si>
    <r>
      <rPr>
        <i/>
        <sz val="11"/>
        <color rgb="FF000000"/>
        <rFont val="Calibri"/>
      </rPr>
      <t xml:space="preserve">Otras inversiones financieras </t>
    </r>
    <r>
      <rPr>
        <i/>
        <sz val="11"/>
        <color rgb="FFFF0000"/>
        <rFont val="Calibri"/>
      </rPr>
      <t>(etiquetado)</t>
    </r>
  </si>
  <si>
    <t>82300-713</t>
  </si>
  <si>
    <r>
      <rPr>
        <i/>
        <sz val="11"/>
        <color rgb="FF000000"/>
        <rFont val="Calibri"/>
      </rPr>
      <t xml:space="preserve">Provisiones para contingencias y otras erogaciones especiales </t>
    </r>
    <r>
      <rPr>
        <i/>
        <sz val="11"/>
        <color rgb="FFFF0000"/>
        <rFont val="Calibri"/>
      </rPr>
      <t>(no etiquetado)</t>
    </r>
  </si>
  <si>
    <t>82300-714</t>
  </si>
  <si>
    <r>
      <rPr>
        <i/>
        <sz val="11"/>
        <color rgb="FF000000"/>
        <rFont val="Calibri"/>
      </rPr>
      <t xml:space="preserve">Provisiones para contingencias y otras erogaciones especiales </t>
    </r>
    <r>
      <rPr>
        <i/>
        <sz val="11"/>
        <color rgb="FFFF0000"/>
        <rFont val="Calibri"/>
      </rPr>
      <t>(etiquetado)</t>
    </r>
  </si>
  <si>
    <t>82300-800</t>
  </si>
  <si>
    <t>82300-801</t>
  </si>
  <si>
    <r>
      <rPr>
        <i/>
        <sz val="11"/>
        <color theme="1"/>
        <rFont val="Calibri"/>
      </rPr>
      <t xml:space="preserve">Participaciones </t>
    </r>
    <r>
      <rPr>
        <i/>
        <sz val="11"/>
        <color rgb="FFFF0000"/>
        <rFont val="Calibri"/>
      </rPr>
      <t>(no etiquetado)</t>
    </r>
  </si>
  <si>
    <t>82300-802</t>
  </si>
  <si>
    <r>
      <rPr>
        <i/>
        <sz val="11"/>
        <color theme="1"/>
        <rFont val="Calibri"/>
      </rPr>
      <t xml:space="preserve">Participaciones </t>
    </r>
    <r>
      <rPr>
        <i/>
        <sz val="11"/>
        <color rgb="FFFF0000"/>
        <rFont val="Calibri"/>
      </rPr>
      <t>(etiquetado)</t>
    </r>
  </si>
  <si>
    <t>82300-803</t>
  </si>
  <si>
    <r>
      <rPr>
        <i/>
        <sz val="11"/>
        <color theme="1"/>
        <rFont val="Calibri"/>
      </rPr>
      <t xml:space="preserve">Aportaciones </t>
    </r>
    <r>
      <rPr>
        <i/>
        <sz val="11"/>
        <color rgb="FFFF0000"/>
        <rFont val="Calibri"/>
      </rPr>
      <t>(no etiquetado)</t>
    </r>
  </si>
  <si>
    <t>82300-804</t>
  </si>
  <si>
    <r>
      <rPr>
        <i/>
        <sz val="11"/>
        <color theme="1"/>
        <rFont val="Calibri"/>
      </rPr>
      <t xml:space="preserve">Aportaciones </t>
    </r>
    <r>
      <rPr>
        <i/>
        <sz val="11"/>
        <color rgb="FFFF0000"/>
        <rFont val="Calibri"/>
      </rPr>
      <t>(etiquetado)</t>
    </r>
  </si>
  <si>
    <t>82300-805</t>
  </si>
  <si>
    <r>
      <rPr>
        <i/>
        <sz val="11"/>
        <color theme="1"/>
        <rFont val="Calibri"/>
      </rPr>
      <t xml:space="preserve">Convenios </t>
    </r>
    <r>
      <rPr>
        <i/>
        <sz val="11"/>
        <color rgb="FFFF0000"/>
        <rFont val="Calibri"/>
      </rPr>
      <t>(no etiquetado)</t>
    </r>
  </si>
  <si>
    <t>82300-806</t>
  </si>
  <si>
    <r>
      <rPr>
        <i/>
        <sz val="11"/>
        <color theme="1"/>
        <rFont val="Calibri"/>
      </rPr>
      <t xml:space="preserve">Convenios </t>
    </r>
    <r>
      <rPr>
        <i/>
        <sz val="11"/>
        <color rgb="FFFF0000"/>
        <rFont val="Calibri"/>
      </rPr>
      <t>(etiquetado)</t>
    </r>
  </si>
  <si>
    <t>82300-900</t>
  </si>
  <si>
    <t>82300-901</t>
  </si>
  <si>
    <r>
      <rPr>
        <i/>
        <sz val="11"/>
        <color theme="1"/>
        <rFont val="Calibri"/>
      </rPr>
      <t xml:space="preserve">Amortización de la deuda pública </t>
    </r>
    <r>
      <rPr>
        <i/>
        <sz val="11"/>
        <color rgb="FFFF0000"/>
        <rFont val="Calibri"/>
      </rPr>
      <t>(no etiquetado)</t>
    </r>
  </si>
  <si>
    <t>82300-902</t>
  </si>
  <si>
    <r>
      <rPr>
        <i/>
        <sz val="11"/>
        <color theme="1"/>
        <rFont val="Calibri"/>
      </rPr>
      <t xml:space="preserve">Amortización de la deuda pública </t>
    </r>
    <r>
      <rPr>
        <i/>
        <sz val="11"/>
        <color rgb="FFFF0000"/>
        <rFont val="Calibri"/>
      </rPr>
      <t>(etiquetado)</t>
    </r>
  </si>
  <si>
    <t>82300-903</t>
  </si>
  <si>
    <r>
      <rPr>
        <i/>
        <sz val="11"/>
        <color theme="1"/>
        <rFont val="Calibri"/>
      </rPr>
      <t xml:space="preserve">Intereses de la deuda pública </t>
    </r>
    <r>
      <rPr>
        <i/>
        <sz val="11"/>
        <color rgb="FFFF0000"/>
        <rFont val="Calibri"/>
      </rPr>
      <t>(no etiquetado)</t>
    </r>
  </si>
  <si>
    <t>82300-904</t>
  </si>
  <si>
    <r>
      <rPr>
        <i/>
        <sz val="11"/>
        <color theme="1"/>
        <rFont val="Calibri"/>
      </rPr>
      <t xml:space="preserve">Intereses de la deuda pública </t>
    </r>
    <r>
      <rPr>
        <i/>
        <sz val="11"/>
        <color rgb="FFFF0000"/>
        <rFont val="Calibri"/>
      </rPr>
      <t>(etiquetado)</t>
    </r>
  </si>
  <si>
    <t>82300-905</t>
  </si>
  <si>
    <r>
      <rPr>
        <i/>
        <sz val="11"/>
        <color theme="1"/>
        <rFont val="Calibri"/>
      </rPr>
      <t xml:space="preserve">Comisiones de la deuda pública </t>
    </r>
    <r>
      <rPr>
        <i/>
        <sz val="11"/>
        <color rgb="FFFF0000"/>
        <rFont val="Calibri"/>
      </rPr>
      <t>(no etiquetado)</t>
    </r>
  </si>
  <si>
    <t>82300-906</t>
  </si>
  <si>
    <r>
      <rPr>
        <i/>
        <sz val="11"/>
        <color theme="1"/>
        <rFont val="Calibri"/>
      </rPr>
      <t xml:space="preserve">Comisiones de la deuda pública </t>
    </r>
    <r>
      <rPr>
        <i/>
        <sz val="11"/>
        <color rgb="FFFF0000"/>
        <rFont val="Calibri"/>
      </rPr>
      <t>(etiquetado)</t>
    </r>
  </si>
  <si>
    <t>82300-907</t>
  </si>
  <si>
    <r>
      <rPr>
        <i/>
        <sz val="11"/>
        <color theme="1"/>
        <rFont val="Calibri"/>
      </rPr>
      <t xml:space="preserve">Gastos de la deuda pública </t>
    </r>
    <r>
      <rPr>
        <i/>
        <sz val="11"/>
        <color rgb="FFFF0000"/>
        <rFont val="Calibri"/>
      </rPr>
      <t>(no etiquetado)</t>
    </r>
  </si>
  <si>
    <t>82300-908</t>
  </si>
  <si>
    <r>
      <rPr>
        <i/>
        <sz val="11"/>
        <color theme="1"/>
        <rFont val="Calibri"/>
      </rPr>
      <t xml:space="preserve">Gastos de la deuda pública </t>
    </r>
    <r>
      <rPr>
        <i/>
        <sz val="11"/>
        <color rgb="FFFF0000"/>
        <rFont val="Calibri"/>
      </rPr>
      <t>(etiquetado)</t>
    </r>
  </si>
  <si>
    <t>82300-909</t>
  </si>
  <si>
    <r>
      <rPr>
        <i/>
        <sz val="11"/>
        <color theme="1"/>
        <rFont val="Calibri"/>
      </rPr>
      <t xml:space="preserve">Costo por coberturas </t>
    </r>
    <r>
      <rPr>
        <i/>
        <sz val="11"/>
        <color rgb="FFFF0000"/>
        <rFont val="Calibri"/>
      </rPr>
      <t>(no etiquetado)</t>
    </r>
  </si>
  <si>
    <t>82300-910</t>
  </si>
  <si>
    <r>
      <rPr>
        <i/>
        <sz val="11"/>
        <color theme="1"/>
        <rFont val="Calibri"/>
      </rPr>
      <t xml:space="preserve">Costo por coberturas </t>
    </r>
    <r>
      <rPr>
        <i/>
        <sz val="11"/>
        <color rgb="FFFF0000"/>
        <rFont val="Calibri"/>
      </rPr>
      <t>(etiquetado)</t>
    </r>
  </si>
  <si>
    <t>82300-911</t>
  </si>
  <si>
    <r>
      <rPr>
        <i/>
        <sz val="11"/>
        <color theme="1"/>
        <rFont val="Calibri"/>
      </rPr>
      <t xml:space="preserve">Apoyos financieros </t>
    </r>
    <r>
      <rPr>
        <i/>
        <sz val="11"/>
        <color rgb="FFFF0000"/>
        <rFont val="Calibri"/>
      </rPr>
      <t>(no etiquetado)</t>
    </r>
  </si>
  <si>
    <t>82300-912</t>
  </si>
  <si>
    <r>
      <rPr>
        <i/>
        <sz val="11"/>
        <color theme="1"/>
        <rFont val="Calibri"/>
      </rPr>
      <t xml:space="preserve">Apoyos financieros </t>
    </r>
    <r>
      <rPr>
        <i/>
        <sz val="11"/>
        <color rgb="FFFF0000"/>
        <rFont val="Calibri"/>
      </rPr>
      <t>(etiquetado)</t>
    </r>
  </si>
  <si>
    <t>82300-913</t>
  </si>
  <si>
    <r>
      <rPr>
        <i/>
        <sz val="11"/>
        <color theme="1"/>
        <rFont val="Calibri"/>
      </rPr>
      <t xml:space="preserve">Adeudos de ejercicios anteriores (adefas) </t>
    </r>
    <r>
      <rPr>
        <i/>
        <sz val="11"/>
        <color rgb="FFFF0000"/>
        <rFont val="Calibri"/>
      </rPr>
      <t>(no etiquetado)</t>
    </r>
  </si>
  <si>
    <t>82300-914</t>
  </si>
  <si>
    <r>
      <rPr>
        <i/>
        <sz val="11"/>
        <color theme="1"/>
        <rFont val="Calibri"/>
      </rPr>
      <t xml:space="preserve">Adeudos de ejercicios anteriores (adefas) </t>
    </r>
    <r>
      <rPr>
        <i/>
        <sz val="11"/>
        <color rgb="FFFF0000"/>
        <rFont val="Calibri"/>
      </rPr>
      <t>(etiquetado)</t>
    </r>
  </si>
  <si>
    <t>PRESUPUESTO DE EGRESOS COMPROMETIDO</t>
  </si>
  <si>
    <t>82400-100</t>
  </si>
  <si>
    <t>82400-101</t>
  </si>
  <si>
    <r>
      <rPr>
        <i/>
        <sz val="11"/>
        <color rgb="FF000000"/>
        <rFont val="Calibri"/>
      </rPr>
      <t xml:space="preserve">Remuneraciones al personal de carácter permanente </t>
    </r>
    <r>
      <rPr>
        <i/>
        <sz val="11"/>
        <color rgb="FFFF0000"/>
        <rFont val="Calibri"/>
      </rPr>
      <t>(no etiquetado)</t>
    </r>
  </si>
  <si>
    <t>82400-102</t>
  </si>
  <si>
    <r>
      <rPr>
        <i/>
        <sz val="11"/>
        <color rgb="FF000000"/>
        <rFont val="Calibri"/>
      </rPr>
      <t xml:space="preserve">Remuneraciones al personal de carácter permanente </t>
    </r>
    <r>
      <rPr>
        <i/>
        <sz val="11"/>
        <color rgb="FFFF0000"/>
        <rFont val="Calibri"/>
      </rPr>
      <t>(etiquetado)</t>
    </r>
  </si>
  <si>
    <t>82400-103</t>
  </si>
  <si>
    <r>
      <rPr>
        <i/>
        <sz val="11"/>
        <color rgb="FF000000"/>
        <rFont val="Calibri"/>
      </rPr>
      <t xml:space="preserve">Remuneraciones al personal de carácter transitorio </t>
    </r>
    <r>
      <rPr>
        <i/>
        <sz val="11"/>
        <color rgb="FFFF0000"/>
        <rFont val="Calibri"/>
      </rPr>
      <t>(no etiquetado)</t>
    </r>
  </si>
  <si>
    <t>82400-104</t>
  </si>
  <si>
    <r>
      <rPr>
        <i/>
        <sz val="11"/>
        <color rgb="FF000000"/>
        <rFont val="Calibri"/>
      </rPr>
      <t xml:space="preserve">Remuneraciones al personal de carácter transitorio </t>
    </r>
    <r>
      <rPr>
        <i/>
        <sz val="11"/>
        <color rgb="FFFF0000"/>
        <rFont val="Calibri"/>
      </rPr>
      <t>(etiquetado)</t>
    </r>
  </si>
  <si>
    <t>82400-105</t>
  </si>
  <si>
    <r>
      <rPr>
        <i/>
        <sz val="11"/>
        <color rgb="FF000000"/>
        <rFont val="Calibri"/>
      </rPr>
      <t xml:space="preserve">Remuneraciones adicionales especiales </t>
    </r>
    <r>
      <rPr>
        <i/>
        <sz val="11"/>
        <color rgb="FFFF0000"/>
        <rFont val="Calibri"/>
      </rPr>
      <t>(no etiquetado)</t>
    </r>
  </si>
  <si>
    <t>82400-106</t>
  </si>
  <si>
    <r>
      <rPr>
        <i/>
        <sz val="11"/>
        <color rgb="FF000000"/>
        <rFont val="Calibri"/>
      </rPr>
      <t xml:space="preserve">Remuneraciones adicionales especiales </t>
    </r>
    <r>
      <rPr>
        <i/>
        <sz val="11"/>
        <color rgb="FFFF0000"/>
        <rFont val="Calibri"/>
      </rPr>
      <t>(etiquetado)</t>
    </r>
  </si>
  <si>
    <t>82400-107</t>
  </si>
  <si>
    <r>
      <rPr>
        <i/>
        <sz val="11"/>
        <color rgb="FF000000"/>
        <rFont val="Calibri"/>
      </rPr>
      <t xml:space="preserve">Seguridad social </t>
    </r>
    <r>
      <rPr>
        <i/>
        <sz val="11"/>
        <color rgb="FFFF0000"/>
        <rFont val="Calibri"/>
      </rPr>
      <t>(no etiquetado)</t>
    </r>
  </si>
  <si>
    <t>82400-108</t>
  </si>
  <si>
    <r>
      <rPr>
        <i/>
        <sz val="11"/>
        <color rgb="FF000000"/>
        <rFont val="Calibri"/>
      </rPr>
      <t xml:space="preserve">Seguridad social </t>
    </r>
    <r>
      <rPr>
        <i/>
        <sz val="11"/>
        <color rgb="FFFF0000"/>
        <rFont val="Calibri"/>
      </rPr>
      <t>(etiquetado)</t>
    </r>
  </si>
  <si>
    <t>82400-109</t>
  </si>
  <si>
    <r>
      <rPr>
        <i/>
        <sz val="11"/>
        <color rgb="FF000000"/>
        <rFont val="Calibri"/>
      </rPr>
      <t xml:space="preserve">Otras prestaciones sociales y económicas </t>
    </r>
    <r>
      <rPr>
        <i/>
        <sz val="11"/>
        <color rgb="FFFF0000"/>
        <rFont val="Calibri"/>
      </rPr>
      <t>(no etiquetado)</t>
    </r>
  </si>
  <si>
    <t>82400-110</t>
  </si>
  <si>
    <r>
      <rPr>
        <i/>
        <sz val="11"/>
        <color rgb="FF000000"/>
        <rFont val="Calibri"/>
      </rPr>
      <t xml:space="preserve">Otras prestaciones sociales y económicas </t>
    </r>
    <r>
      <rPr>
        <i/>
        <sz val="11"/>
        <color rgb="FFFF0000"/>
        <rFont val="Calibri"/>
      </rPr>
      <t>(etiquetado)</t>
    </r>
  </si>
  <si>
    <t>82400-111</t>
  </si>
  <si>
    <r>
      <rPr>
        <i/>
        <sz val="11"/>
        <color rgb="FF000000"/>
        <rFont val="Calibri"/>
      </rPr>
      <t xml:space="preserve">Previsiones </t>
    </r>
    <r>
      <rPr>
        <i/>
        <sz val="11"/>
        <color rgb="FFFF0000"/>
        <rFont val="Calibri"/>
      </rPr>
      <t>(no etiquetado)</t>
    </r>
  </si>
  <si>
    <t>82400-112</t>
  </si>
  <si>
    <r>
      <rPr>
        <i/>
        <sz val="11"/>
        <color rgb="FF000000"/>
        <rFont val="Calibri"/>
      </rPr>
      <t xml:space="preserve">Previsiones </t>
    </r>
    <r>
      <rPr>
        <i/>
        <sz val="11"/>
        <color rgb="FFFF0000"/>
        <rFont val="Calibri"/>
      </rPr>
      <t>(etiquetado)</t>
    </r>
  </si>
  <si>
    <t>82400-113</t>
  </si>
  <si>
    <r>
      <rPr>
        <i/>
        <sz val="11"/>
        <color rgb="FF000000"/>
        <rFont val="Calibri"/>
      </rPr>
      <t xml:space="preserve">Pago de estímulos a servidores públicos </t>
    </r>
    <r>
      <rPr>
        <i/>
        <sz val="11"/>
        <color rgb="FFFF0000"/>
        <rFont val="Calibri"/>
      </rPr>
      <t>(no etiquetado)</t>
    </r>
  </si>
  <si>
    <t>82400-114</t>
  </si>
  <si>
    <r>
      <rPr>
        <i/>
        <sz val="11"/>
        <color rgb="FF000000"/>
        <rFont val="Calibri"/>
      </rPr>
      <t xml:space="preserve">Pago de estímulos a servidores públicos </t>
    </r>
    <r>
      <rPr>
        <i/>
        <sz val="11"/>
        <color rgb="FFFF0000"/>
        <rFont val="Calibri"/>
      </rPr>
      <t>(etiquetado)</t>
    </r>
  </si>
  <si>
    <t>82400-200</t>
  </si>
  <si>
    <t>82400-201</t>
  </si>
  <si>
    <r>
      <rPr>
        <i/>
        <sz val="11"/>
        <color rgb="FF000000"/>
        <rFont val="Calibri"/>
      </rPr>
      <t xml:space="preserve">Materiales de administración, emisión de documentos y artículos oficiales </t>
    </r>
    <r>
      <rPr>
        <i/>
        <sz val="11"/>
        <color rgb="FFFF0000"/>
        <rFont val="Calibri"/>
      </rPr>
      <t>(no etiquetado)</t>
    </r>
  </si>
  <si>
    <t>82400-202</t>
  </si>
  <si>
    <r>
      <rPr>
        <i/>
        <sz val="11"/>
        <color rgb="FF000000"/>
        <rFont val="Calibri"/>
      </rPr>
      <t xml:space="preserve">Materiales de administración, emisión de documentos y artículos oficiales </t>
    </r>
    <r>
      <rPr>
        <i/>
        <sz val="11"/>
        <color rgb="FFFF0000"/>
        <rFont val="Calibri"/>
      </rPr>
      <t>(etiquetado)</t>
    </r>
  </si>
  <si>
    <t>82400-203</t>
  </si>
  <si>
    <r>
      <rPr>
        <i/>
        <sz val="11"/>
        <color rgb="FF000000"/>
        <rFont val="Calibri"/>
      </rPr>
      <t xml:space="preserve">Alimentos y utensilios </t>
    </r>
    <r>
      <rPr>
        <i/>
        <sz val="11"/>
        <color rgb="FFFF0000"/>
        <rFont val="Calibri"/>
      </rPr>
      <t>(no etiquetado)</t>
    </r>
  </si>
  <si>
    <t>82400-204</t>
  </si>
  <si>
    <r>
      <rPr>
        <i/>
        <sz val="11"/>
        <color rgb="FF000000"/>
        <rFont val="Calibri"/>
      </rPr>
      <t xml:space="preserve">Alimentos y utensilios </t>
    </r>
    <r>
      <rPr>
        <i/>
        <sz val="11"/>
        <color rgb="FFFF0000"/>
        <rFont val="Calibri"/>
      </rPr>
      <t>(etiquetado)</t>
    </r>
  </si>
  <si>
    <t>82400-205</t>
  </si>
  <si>
    <r>
      <rPr>
        <i/>
        <sz val="11"/>
        <color rgb="FF000000"/>
        <rFont val="Calibri"/>
      </rPr>
      <t xml:space="preserve">Materias primas y materiales de producción y comercialización </t>
    </r>
    <r>
      <rPr>
        <i/>
        <sz val="11"/>
        <color rgb="FFFF0000"/>
        <rFont val="Calibri"/>
      </rPr>
      <t>(no etiquetado)</t>
    </r>
  </si>
  <si>
    <t>82400-206</t>
  </si>
  <si>
    <r>
      <rPr>
        <i/>
        <sz val="11"/>
        <color rgb="FF000000"/>
        <rFont val="Calibri"/>
      </rPr>
      <t xml:space="preserve">Materias primas y materiales de producción y comercialización </t>
    </r>
    <r>
      <rPr>
        <i/>
        <sz val="11"/>
        <color rgb="FFFF0000"/>
        <rFont val="Calibri"/>
      </rPr>
      <t>(etiquetado)</t>
    </r>
  </si>
  <si>
    <t>82400-207</t>
  </si>
  <si>
    <r>
      <rPr>
        <i/>
        <sz val="11"/>
        <color rgb="FF000000"/>
        <rFont val="Calibri"/>
      </rPr>
      <t xml:space="preserve">Materiales y artículos de construcción y de reparación </t>
    </r>
    <r>
      <rPr>
        <i/>
        <sz val="11"/>
        <color rgb="FFFF0000"/>
        <rFont val="Calibri"/>
      </rPr>
      <t>(no etiquetado)</t>
    </r>
  </si>
  <si>
    <t>82400-208</t>
  </si>
  <si>
    <r>
      <rPr>
        <i/>
        <sz val="11"/>
        <color rgb="FF000000"/>
        <rFont val="Calibri"/>
      </rPr>
      <t xml:space="preserve">Materiales y artículos de construcción y de reparación </t>
    </r>
    <r>
      <rPr>
        <i/>
        <sz val="11"/>
        <color rgb="FFFF0000"/>
        <rFont val="Calibri"/>
      </rPr>
      <t>(etiquetado)</t>
    </r>
  </si>
  <si>
    <t>82400-209</t>
  </si>
  <si>
    <r>
      <rPr>
        <i/>
        <sz val="11"/>
        <color rgb="FF000000"/>
        <rFont val="Calibri"/>
      </rPr>
      <t xml:space="preserve">Productos químicos, farmacéuticos y de laboratorio </t>
    </r>
    <r>
      <rPr>
        <i/>
        <sz val="11"/>
        <color rgb="FFFF0000"/>
        <rFont val="Calibri"/>
      </rPr>
      <t>(no etiquetado)</t>
    </r>
  </si>
  <si>
    <t>82400-210</t>
  </si>
  <si>
    <r>
      <rPr>
        <i/>
        <sz val="11"/>
        <color rgb="FF000000"/>
        <rFont val="Calibri"/>
      </rPr>
      <t xml:space="preserve">Productos químicos, farmacéuticos y de laboratorio </t>
    </r>
    <r>
      <rPr>
        <i/>
        <sz val="11"/>
        <color rgb="FFFF0000"/>
        <rFont val="Calibri"/>
      </rPr>
      <t>(etiquetado)</t>
    </r>
  </si>
  <si>
    <t>82400-211</t>
  </si>
  <si>
    <r>
      <rPr>
        <i/>
        <sz val="11"/>
        <color rgb="FF000000"/>
        <rFont val="Calibri"/>
      </rPr>
      <t xml:space="preserve">Combustibles, lubricantes y aditivos </t>
    </r>
    <r>
      <rPr>
        <i/>
        <sz val="11"/>
        <color rgb="FFFF0000"/>
        <rFont val="Calibri"/>
      </rPr>
      <t>(no etiquetado)</t>
    </r>
  </si>
  <si>
    <t>82400-212</t>
  </si>
  <si>
    <r>
      <rPr>
        <i/>
        <sz val="11"/>
        <color rgb="FF000000"/>
        <rFont val="Calibri"/>
      </rPr>
      <t xml:space="preserve">Combustibles, lubricantes y aditivos </t>
    </r>
    <r>
      <rPr>
        <i/>
        <sz val="11"/>
        <color rgb="FFFF0000"/>
        <rFont val="Calibri"/>
      </rPr>
      <t>(etiquetado)</t>
    </r>
  </si>
  <si>
    <t>82400-213</t>
  </si>
  <si>
    <r>
      <rPr>
        <i/>
        <sz val="11"/>
        <color rgb="FF000000"/>
        <rFont val="Calibri"/>
      </rPr>
      <t xml:space="preserve">Vestuario, blancos, prendas de protección y artículos deportivos </t>
    </r>
    <r>
      <rPr>
        <i/>
        <sz val="11"/>
        <color rgb="FFFF0000"/>
        <rFont val="Calibri"/>
      </rPr>
      <t>(no etiquetado)</t>
    </r>
  </si>
  <si>
    <t>82400-214</t>
  </si>
  <si>
    <r>
      <rPr>
        <i/>
        <sz val="11"/>
        <color rgb="FF000000"/>
        <rFont val="Calibri"/>
      </rPr>
      <t xml:space="preserve">Vestuario, blancos, prendas de protección y artículos deportivos </t>
    </r>
    <r>
      <rPr>
        <i/>
        <sz val="11"/>
        <color rgb="FFFF0000"/>
        <rFont val="Calibri"/>
      </rPr>
      <t>(etiquetado)</t>
    </r>
  </si>
  <si>
    <t>82400-215</t>
  </si>
  <si>
    <r>
      <rPr>
        <i/>
        <sz val="11"/>
        <color rgb="FF000000"/>
        <rFont val="Calibri"/>
      </rPr>
      <t xml:space="preserve">Materiales y suministros de seguridad </t>
    </r>
    <r>
      <rPr>
        <i/>
        <sz val="11"/>
        <color rgb="FFFF0000"/>
        <rFont val="Calibri"/>
      </rPr>
      <t>(no etiquetado)</t>
    </r>
  </si>
  <si>
    <t>82400-216</t>
  </si>
  <si>
    <r>
      <rPr>
        <i/>
        <sz val="11"/>
        <color rgb="FF000000"/>
        <rFont val="Calibri"/>
      </rPr>
      <t xml:space="preserve">Materiales y suministros de seguridad </t>
    </r>
    <r>
      <rPr>
        <i/>
        <sz val="11"/>
        <color rgb="FFFF0000"/>
        <rFont val="Calibri"/>
      </rPr>
      <t>(etiquetado)</t>
    </r>
  </si>
  <si>
    <t>82400-217</t>
  </si>
  <si>
    <r>
      <rPr>
        <i/>
        <sz val="11"/>
        <color rgb="FF000000"/>
        <rFont val="Calibri"/>
      </rPr>
      <t xml:space="preserve">Herramientas, refacciones y accesorios menores </t>
    </r>
    <r>
      <rPr>
        <i/>
        <sz val="11"/>
        <color rgb="FFFF0000"/>
        <rFont val="Calibri"/>
      </rPr>
      <t>(no etiquetado)</t>
    </r>
  </si>
  <si>
    <t>82400-218</t>
  </si>
  <si>
    <r>
      <rPr>
        <i/>
        <sz val="11"/>
        <color rgb="FF000000"/>
        <rFont val="Calibri"/>
      </rPr>
      <t xml:space="preserve">Herramientas, refacciones y accesorios menores </t>
    </r>
    <r>
      <rPr>
        <i/>
        <sz val="11"/>
        <color rgb="FFFF0000"/>
        <rFont val="Calibri"/>
      </rPr>
      <t>(etiquetado)</t>
    </r>
  </si>
  <si>
    <t>82400-300</t>
  </si>
  <si>
    <t>82400-301</t>
  </si>
  <si>
    <r>
      <rPr>
        <i/>
        <sz val="11"/>
        <color rgb="FF000000"/>
        <rFont val="Calibri"/>
      </rPr>
      <t xml:space="preserve">Servicios básicos </t>
    </r>
    <r>
      <rPr>
        <i/>
        <sz val="11"/>
        <color rgb="FFFF0000"/>
        <rFont val="Calibri"/>
      </rPr>
      <t>(no etiquetado)</t>
    </r>
  </si>
  <si>
    <t>82400-302</t>
  </si>
  <si>
    <r>
      <rPr>
        <i/>
        <sz val="11"/>
        <color rgb="FF000000"/>
        <rFont val="Calibri"/>
      </rPr>
      <t xml:space="preserve">Servicios básicos </t>
    </r>
    <r>
      <rPr>
        <i/>
        <sz val="11"/>
        <color rgb="FFFF0000"/>
        <rFont val="Calibri"/>
      </rPr>
      <t>(etiquetado)</t>
    </r>
  </si>
  <si>
    <t>82400-303</t>
  </si>
  <si>
    <r>
      <rPr>
        <i/>
        <sz val="11"/>
        <color rgb="FF000000"/>
        <rFont val="Calibri"/>
      </rPr>
      <t xml:space="preserve">Servicios de arrendamiento </t>
    </r>
    <r>
      <rPr>
        <i/>
        <sz val="11"/>
        <color rgb="FFFF0000"/>
        <rFont val="Calibri"/>
      </rPr>
      <t>(no etiquetado)</t>
    </r>
  </si>
  <si>
    <t>82400-304</t>
  </si>
  <si>
    <r>
      <rPr>
        <i/>
        <sz val="11"/>
        <color rgb="FF000000"/>
        <rFont val="Calibri"/>
      </rPr>
      <t xml:space="preserve">Servicios de arrendamiento </t>
    </r>
    <r>
      <rPr>
        <i/>
        <sz val="11"/>
        <color rgb="FFFF0000"/>
        <rFont val="Calibri"/>
      </rPr>
      <t>(etiquetado)</t>
    </r>
  </si>
  <si>
    <t>82400-305</t>
  </si>
  <si>
    <r>
      <rPr>
        <i/>
        <sz val="11"/>
        <color rgb="FF000000"/>
        <rFont val="Calibri"/>
      </rPr>
      <t xml:space="preserve">Servicios profesionales, científicos, técnicos y otros servicios </t>
    </r>
    <r>
      <rPr>
        <i/>
        <sz val="11"/>
        <color rgb="FFFF0000"/>
        <rFont val="Calibri"/>
      </rPr>
      <t>(no etiquetado)</t>
    </r>
  </si>
  <si>
    <t>82400-306</t>
  </si>
  <si>
    <r>
      <rPr>
        <i/>
        <sz val="11"/>
        <color rgb="FF000000"/>
        <rFont val="Calibri"/>
      </rPr>
      <t xml:space="preserve">Servicios profesionales, científicos, técnicos y otros servicios </t>
    </r>
    <r>
      <rPr>
        <i/>
        <sz val="11"/>
        <color rgb="FFFF0000"/>
        <rFont val="Calibri"/>
      </rPr>
      <t>(etiquetado)</t>
    </r>
  </si>
  <si>
    <t>82400-307</t>
  </si>
  <si>
    <r>
      <rPr>
        <i/>
        <sz val="11"/>
        <color rgb="FF000000"/>
        <rFont val="Calibri"/>
      </rPr>
      <t xml:space="preserve">Servicios financieros, bancarios y comerciales </t>
    </r>
    <r>
      <rPr>
        <i/>
        <sz val="11"/>
        <color rgb="FFFF0000"/>
        <rFont val="Calibri"/>
      </rPr>
      <t>(no etiquetado)</t>
    </r>
  </si>
  <si>
    <t>82400-308</t>
  </si>
  <si>
    <r>
      <rPr>
        <i/>
        <sz val="11"/>
        <color rgb="FF000000"/>
        <rFont val="Calibri"/>
      </rPr>
      <t xml:space="preserve">Servicios financieros, bancarios y comerciales </t>
    </r>
    <r>
      <rPr>
        <i/>
        <sz val="11"/>
        <color rgb="FFFF0000"/>
        <rFont val="Calibri"/>
      </rPr>
      <t>(etiquetado)</t>
    </r>
  </si>
  <si>
    <t>82400-309</t>
  </si>
  <si>
    <r>
      <rPr>
        <i/>
        <sz val="11"/>
        <color rgb="FF000000"/>
        <rFont val="Calibri"/>
      </rPr>
      <t xml:space="preserve">Servicios de instalación, reparación, mantenimiento y conservación </t>
    </r>
    <r>
      <rPr>
        <i/>
        <sz val="11"/>
        <color rgb="FFFF0000"/>
        <rFont val="Calibri"/>
      </rPr>
      <t>(no etiquetado)</t>
    </r>
  </si>
  <si>
    <t>82400-310</t>
  </si>
  <si>
    <r>
      <rPr>
        <i/>
        <sz val="11"/>
        <color rgb="FF000000"/>
        <rFont val="Calibri"/>
      </rPr>
      <t xml:space="preserve">Servicios de instalación, reparación, mantenimiento y conservación </t>
    </r>
    <r>
      <rPr>
        <i/>
        <sz val="11"/>
        <color rgb="FFFF0000"/>
        <rFont val="Calibri"/>
      </rPr>
      <t>(etiquetado)</t>
    </r>
  </si>
  <si>
    <t>82400-311</t>
  </si>
  <si>
    <r>
      <rPr>
        <i/>
        <sz val="11"/>
        <color rgb="FF000000"/>
        <rFont val="Calibri"/>
      </rPr>
      <t xml:space="preserve">Servicios de comunicación social y publicidad </t>
    </r>
    <r>
      <rPr>
        <i/>
        <sz val="11"/>
        <color rgb="FFFF0000"/>
        <rFont val="Calibri"/>
      </rPr>
      <t>(no etiquetado)</t>
    </r>
  </si>
  <si>
    <t>82400-312</t>
  </si>
  <si>
    <r>
      <rPr>
        <i/>
        <sz val="11"/>
        <color rgb="FF000000"/>
        <rFont val="Calibri"/>
      </rPr>
      <t xml:space="preserve">Servicios de comunicación social y publicidad </t>
    </r>
    <r>
      <rPr>
        <i/>
        <sz val="11"/>
        <color rgb="FFFF0000"/>
        <rFont val="Calibri"/>
      </rPr>
      <t>(etiquetado)</t>
    </r>
  </si>
  <si>
    <t>82400-313</t>
  </si>
  <si>
    <r>
      <rPr>
        <i/>
        <sz val="11"/>
        <color rgb="FF000000"/>
        <rFont val="Calibri"/>
      </rPr>
      <t xml:space="preserve">Servicios de traslado y viáticos </t>
    </r>
    <r>
      <rPr>
        <i/>
        <sz val="11"/>
        <color rgb="FFFF0000"/>
        <rFont val="Calibri"/>
      </rPr>
      <t>(no etiquetado)</t>
    </r>
  </si>
  <si>
    <t>82400-314</t>
  </si>
  <si>
    <r>
      <rPr>
        <i/>
        <sz val="11"/>
        <color rgb="FF000000"/>
        <rFont val="Calibri"/>
      </rPr>
      <t xml:space="preserve">Servicios de traslado y viáticos </t>
    </r>
    <r>
      <rPr>
        <i/>
        <sz val="11"/>
        <color rgb="FFFF0000"/>
        <rFont val="Calibri"/>
      </rPr>
      <t>(etiquetado)</t>
    </r>
  </si>
  <si>
    <t>82400-315</t>
  </si>
  <si>
    <r>
      <rPr>
        <i/>
        <sz val="11"/>
        <color rgb="FF000000"/>
        <rFont val="Calibri"/>
      </rPr>
      <t xml:space="preserve">Servicios oficiales </t>
    </r>
    <r>
      <rPr>
        <i/>
        <sz val="11"/>
        <color rgb="FFFF0000"/>
        <rFont val="Calibri"/>
      </rPr>
      <t>(no etiquetado)</t>
    </r>
  </si>
  <si>
    <t>82400-316</t>
  </si>
  <si>
    <r>
      <rPr>
        <i/>
        <sz val="11"/>
        <color rgb="FF000000"/>
        <rFont val="Calibri"/>
      </rPr>
      <t xml:space="preserve">Servicios oficiales </t>
    </r>
    <r>
      <rPr>
        <i/>
        <sz val="11"/>
        <color rgb="FFFF0000"/>
        <rFont val="Calibri"/>
      </rPr>
      <t>(etiquetado)</t>
    </r>
  </si>
  <si>
    <t>82400-317</t>
  </si>
  <si>
    <r>
      <rPr>
        <i/>
        <sz val="11"/>
        <color rgb="FF000000"/>
        <rFont val="Calibri"/>
      </rPr>
      <t xml:space="preserve">Otros servicios generales </t>
    </r>
    <r>
      <rPr>
        <i/>
        <sz val="11"/>
        <color rgb="FFFF0000"/>
        <rFont val="Calibri"/>
      </rPr>
      <t>(no etiquetado)</t>
    </r>
  </si>
  <si>
    <t>82400-318</t>
  </si>
  <si>
    <r>
      <rPr>
        <i/>
        <sz val="11"/>
        <color rgb="FF000000"/>
        <rFont val="Calibri"/>
      </rPr>
      <t xml:space="preserve">Otros servicios generales </t>
    </r>
    <r>
      <rPr>
        <i/>
        <sz val="11"/>
        <color rgb="FFFF0000"/>
        <rFont val="Calibri"/>
      </rPr>
      <t>(etiquetado)</t>
    </r>
  </si>
  <si>
    <t>82400-400</t>
  </si>
  <si>
    <t>82400-401</t>
  </si>
  <si>
    <r>
      <rPr>
        <i/>
        <sz val="11"/>
        <color rgb="FF000000"/>
        <rFont val="Calibri"/>
      </rPr>
      <t xml:space="preserve">Transferencias internas y asignaciones al sector público </t>
    </r>
    <r>
      <rPr>
        <i/>
        <sz val="11"/>
        <color rgb="FFFF0000"/>
        <rFont val="Calibri"/>
      </rPr>
      <t>(no etiquetado)</t>
    </r>
  </si>
  <si>
    <t>82400-402</t>
  </si>
  <si>
    <r>
      <rPr>
        <i/>
        <sz val="11"/>
        <color rgb="FF000000"/>
        <rFont val="Calibri"/>
      </rPr>
      <t xml:space="preserve">Transferencias internas y asignaciones al sector público </t>
    </r>
    <r>
      <rPr>
        <i/>
        <sz val="11"/>
        <color rgb="FFFF0000"/>
        <rFont val="Calibri"/>
      </rPr>
      <t>(etiquetado)</t>
    </r>
  </si>
  <si>
    <t>82400-403</t>
  </si>
  <si>
    <r>
      <rPr>
        <i/>
        <sz val="11"/>
        <color rgb="FF000000"/>
        <rFont val="Calibri"/>
      </rPr>
      <t xml:space="preserve">Transferencias al resto del sector público </t>
    </r>
    <r>
      <rPr>
        <i/>
        <sz val="11"/>
        <color rgb="FFFF0000"/>
        <rFont val="Calibri"/>
      </rPr>
      <t>(no etiquetado)</t>
    </r>
  </si>
  <si>
    <t>82400-404</t>
  </si>
  <si>
    <r>
      <rPr>
        <i/>
        <sz val="11"/>
        <color rgb="FF000000"/>
        <rFont val="Calibri"/>
      </rPr>
      <t xml:space="preserve">Transferencias al resto del sector público </t>
    </r>
    <r>
      <rPr>
        <i/>
        <sz val="11"/>
        <color rgb="FFFF0000"/>
        <rFont val="Calibri"/>
      </rPr>
      <t>(etiquetado)</t>
    </r>
  </si>
  <si>
    <t>82400-405</t>
  </si>
  <si>
    <r>
      <rPr>
        <i/>
        <sz val="11"/>
        <color rgb="FF000000"/>
        <rFont val="Calibri"/>
      </rPr>
      <t xml:space="preserve">Subsidios y subvenciones </t>
    </r>
    <r>
      <rPr>
        <i/>
        <sz val="11"/>
        <color rgb="FFFF0000"/>
        <rFont val="Calibri"/>
      </rPr>
      <t>(no etiquetado)</t>
    </r>
  </si>
  <si>
    <t>82400-406</t>
  </si>
  <si>
    <r>
      <rPr>
        <i/>
        <sz val="11"/>
        <color rgb="FF000000"/>
        <rFont val="Calibri"/>
      </rPr>
      <t xml:space="preserve">Subsidios y subvenciones </t>
    </r>
    <r>
      <rPr>
        <i/>
        <sz val="11"/>
        <color rgb="FFFF0000"/>
        <rFont val="Calibri"/>
      </rPr>
      <t>(etiquetado)</t>
    </r>
  </si>
  <si>
    <t>82400-407</t>
  </si>
  <si>
    <r>
      <rPr>
        <i/>
        <sz val="11"/>
        <color rgb="FF000000"/>
        <rFont val="Calibri"/>
      </rPr>
      <t xml:space="preserve">Ayudas sociales </t>
    </r>
    <r>
      <rPr>
        <i/>
        <sz val="11"/>
        <color rgb="FFFF0000"/>
        <rFont val="Calibri"/>
      </rPr>
      <t>(no etiquetado)</t>
    </r>
  </si>
  <si>
    <t>82400-408</t>
  </si>
  <si>
    <r>
      <rPr>
        <i/>
        <sz val="11"/>
        <color rgb="FF000000"/>
        <rFont val="Calibri"/>
      </rPr>
      <t xml:space="preserve">Ayudas sociales  </t>
    </r>
    <r>
      <rPr>
        <i/>
        <sz val="11"/>
        <color rgb="FFFF0000"/>
        <rFont val="Calibri"/>
      </rPr>
      <t>(etiquetado)</t>
    </r>
  </si>
  <si>
    <t>82400-409</t>
  </si>
  <si>
    <r>
      <rPr>
        <i/>
        <sz val="11"/>
        <color rgb="FF000000"/>
        <rFont val="Calibri"/>
      </rPr>
      <t xml:space="preserve">Pensiones y jubilaciones </t>
    </r>
    <r>
      <rPr>
        <i/>
        <sz val="11"/>
        <color rgb="FFFF0000"/>
        <rFont val="Calibri"/>
      </rPr>
      <t>(no etiquetado)</t>
    </r>
  </si>
  <si>
    <t>82400-410</t>
  </si>
  <si>
    <r>
      <rPr>
        <i/>
        <sz val="11"/>
        <color rgb="FF000000"/>
        <rFont val="Calibri"/>
      </rPr>
      <t xml:space="preserve">Pensiones y jubilaciones </t>
    </r>
    <r>
      <rPr>
        <i/>
        <sz val="11"/>
        <color rgb="FFFF0000"/>
        <rFont val="Calibri"/>
      </rPr>
      <t>(etiquetado)</t>
    </r>
  </si>
  <si>
    <t>82400-411</t>
  </si>
  <si>
    <r>
      <rPr>
        <i/>
        <sz val="11"/>
        <color rgb="FF000000"/>
        <rFont val="Calibri"/>
      </rPr>
      <t xml:space="preserve">Transferencias a fideicomisos, mandatos y otros análogos </t>
    </r>
    <r>
      <rPr>
        <i/>
        <sz val="11"/>
        <color rgb="FFFF0000"/>
        <rFont val="Calibri"/>
      </rPr>
      <t>(no etiquetado)</t>
    </r>
  </si>
  <si>
    <t>82400-412</t>
  </si>
  <si>
    <r>
      <rPr>
        <i/>
        <sz val="11"/>
        <color rgb="FF000000"/>
        <rFont val="Calibri"/>
      </rPr>
      <t xml:space="preserve">Transferencias a fideicomisos, mandatos y otros análogos </t>
    </r>
    <r>
      <rPr>
        <i/>
        <sz val="11"/>
        <color rgb="FFFF0000"/>
        <rFont val="Calibri"/>
      </rPr>
      <t>(etiquetado)</t>
    </r>
  </si>
  <si>
    <t>82400-413</t>
  </si>
  <si>
    <r>
      <rPr>
        <i/>
        <sz val="11"/>
        <color rgb="FF000000"/>
        <rFont val="Calibri"/>
      </rPr>
      <t xml:space="preserve">Transferencias a la seguridad social </t>
    </r>
    <r>
      <rPr>
        <i/>
        <sz val="11"/>
        <color rgb="FFFF0000"/>
        <rFont val="Calibri"/>
      </rPr>
      <t>(no etiquetado)</t>
    </r>
  </si>
  <si>
    <t>82400-414</t>
  </si>
  <si>
    <r>
      <rPr>
        <i/>
        <sz val="11"/>
        <color rgb="FF000000"/>
        <rFont val="Calibri"/>
      </rPr>
      <t xml:space="preserve">Transferencias a la seguridad social </t>
    </r>
    <r>
      <rPr>
        <i/>
        <sz val="11"/>
        <color rgb="FFFF0000"/>
        <rFont val="Calibri"/>
      </rPr>
      <t>(etiquetado)</t>
    </r>
  </si>
  <si>
    <t>82400-415</t>
  </si>
  <si>
    <r>
      <rPr>
        <i/>
        <sz val="11"/>
        <color rgb="FF000000"/>
        <rFont val="Calibri"/>
      </rPr>
      <t xml:space="preserve">Donativos </t>
    </r>
    <r>
      <rPr>
        <i/>
        <sz val="11"/>
        <color rgb="FFFF0000"/>
        <rFont val="Calibri"/>
      </rPr>
      <t>(no etiquetado)</t>
    </r>
  </si>
  <si>
    <t>82400-416</t>
  </si>
  <si>
    <r>
      <rPr>
        <i/>
        <sz val="11"/>
        <color rgb="FF000000"/>
        <rFont val="Calibri"/>
      </rPr>
      <t xml:space="preserve">Donativos </t>
    </r>
    <r>
      <rPr>
        <i/>
        <sz val="11"/>
        <color rgb="FFFF0000"/>
        <rFont val="Calibri"/>
      </rPr>
      <t>(etiquetado)</t>
    </r>
  </si>
  <si>
    <t>82400-417</t>
  </si>
  <si>
    <r>
      <rPr>
        <i/>
        <sz val="11"/>
        <color rgb="FF000000"/>
        <rFont val="Calibri"/>
      </rPr>
      <t xml:space="preserve">Transferencias al exterior </t>
    </r>
    <r>
      <rPr>
        <i/>
        <sz val="11"/>
        <color rgb="FFFF0000"/>
        <rFont val="Calibri"/>
      </rPr>
      <t>(no etiquetado)</t>
    </r>
  </si>
  <si>
    <t>82400-418</t>
  </si>
  <si>
    <r>
      <rPr>
        <i/>
        <sz val="11"/>
        <color rgb="FF000000"/>
        <rFont val="Calibri"/>
      </rPr>
      <t xml:space="preserve">Transferencias al exterior </t>
    </r>
    <r>
      <rPr>
        <i/>
        <sz val="11"/>
        <color rgb="FFFF0000"/>
        <rFont val="Calibri"/>
      </rPr>
      <t>(etiquetado)</t>
    </r>
  </si>
  <si>
    <t>82400-500</t>
  </si>
  <si>
    <t>82400-501</t>
  </si>
  <si>
    <r>
      <rPr>
        <i/>
        <sz val="11"/>
        <color rgb="FF000000"/>
        <rFont val="Calibri"/>
      </rPr>
      <t xml:space="preserve">Mobiliario y equipo de administración </t>
    </r>
    <r>
      <rPr>
        <i/>
        <sz val="11"/>
        <color rgb="FFFF0000"/>
        <rFont val="Calibri"/>
      </rPr>
      <t>(no etiquetado)</t>
    </r>
  </si>
  <si>
    <t>82400-502</t>
  </si>
  <si>
    <r>
      <rPr>
        <i/>
        <sz val="11"/>
        <color rgb="FF000000"/>
        <rFont val="Calibri"/>
      </rPr>
      <t xml:space="preserve">Mobiliario y equipo de administración </t>
    </r>
    <r>
      <rPr>
        <i/>
        <sz val="11"/>
        <color rgb="FFFF0000"/>
        <rFont val="Calibri"/>
      </rPr>
      <t>(etiquetado)</t>
    </r>
  </si>
  <si>
    <t>82400-503</t>
  </si>
  <si>
    <r>
      <rPr>
        <i/>
        <sz val="11"/>
        <color rgb="FF000000"/>
        <rFont val="Calibri"/>
      </rPr>
      <t xml:space="preserve">Mobiliario y equipo educacional y recreativo </t>
    </r>
    <r>
      <rPr>
        <i/>
        <sz val="11"/>
        <color rgb="FFFF0000"/>
        <rFont val="Calibri"/>
      </rPr>
      <t>(no etiquetado)</t>
    </r>
  </si>
  <si>
    <t>82400-504</t>
  </si>
  <si>
    <r>
      <rPr>
        <i/>
        <sz val="11"/>
        <color rgb="FF000000"/>
        <rFont val="Calibri"/>
      </rPr>
      <t xml:space="preserve">Mobiliario y equipo educacional y recreativo </t>
    </r>
    <r>
      <rPr>
        <i/>
        <sz val="11"/>
        <color rgb="FFFF0000"/>
        <rFont val="Calibri"/>
      </rPr>
      <t>(etiquetado)</t>
    </r>
  </si>
  <si>
    <t>82400-505</t>
  </si>
  <si>
    <r>
      <rPr>
        <i/>
        <sz val="11"/>
        <color rgb="FF000000"/>
        <rFont val="Calibri"/>
      </rPr>
      <t xml:space="preserve">Equipo instrumental médico y de laboratorio </t>
    </r>
    <r>
      <rPr>
        <i/>
        <sz val="11"/>
        <color rgb="FFFF0000"/>
        <rFont val="Calibri"/>
      </rPr>
      <t>(no etiquetado)</t>
    </r>
  </si>
  <si>
    <t>82400-506</t>
  </si>
  <si>
    <r>
      <rPr>
        <i/>
        <sz val="11"/>
        <color rgb="FF000000"/>
        <rFont val="Calibri"/>
      </rPr>
      <t xml:space="preserve">Equipo instrumental médico y de laboratorio </t>
    </r>
    <r>
      <rPr>
        <i/>
        <sz val="11"/>
        <color rgb="FFFF0000"/>
        <rFont val="Calibri"/>
      </rPr>
      <t>(etiquetado)</t>
    </r>
  </si>
  <si>
    <t>82400-507</t>
  </si>
  <si>
    <r>
      <rPr>
        <i/>
        <sz val="11"/>
        <color rgb="FF000000"/>
        <rFont val="Calibri"/>
      </rPr>
      <t xml:space="preserve">Vehículos y equipo de transporte </t>
    </r>
    <r>
      <rPr>
        <i/>
        <sz val="11"/>
        <color rgb="FFFF0000"/>
        <rFont val="Calibri"/>
      </rPr>
      <t>(no etiquetado)</t>
    </r>
  </si>
  <si>
    <t>82400-508</t>
  </si>
  <si>
    <r>
      <rPr>
        <i/>
        <sz val="11"/>
        <color rgb="FF000000"/>
        <rFont val="Calibri"/>
      </rPr>
      <t xml:space="preserve">Vehículos y equipo de transporte </t>
    </r>
    <r>
      <rPr>
        <i/>
        <sz val="11"/>
        <color rgb="FFFF0000"/>
        <rFont val="Calibri"/>
      </rPr>
      <t>(etiquetado)</t>
    </r>
  </si>
  <si>
    <t>82400-509</t>
  </si>
  <si>
    <r>
      <rPr>
        <i/>
        <sz val="11"/>
        <color rgb="FF000000"/>
        <rFont val="Calibri"/>
      </rPr>
      <t xml:space="preserve">Equipo de defensa y seguridad </t>
    </r>
    <r>
      <rPr>
        <i/>
        <sz val="11"/>
        <color rgb="FFFF0000"/>
        <rFont val="Calibri"/>
      </rPr>
      <t>(no etiquetado)</t>
    </r>
  </si>
  <si>
    <t>82400-510</t>
  </si>
  <si>
    <r>
      <rPr>
        <i/>
        <sz val="11"/>
        <color rgb="FF000000"/>
        <rFont val="Calibri"/>
      </rPr>
      <t xml:space="preserve">Equipo de defensa y seguridad </t>
    </r>
    <r>
      <rPr>
        <i/>
        <sz val="11"/>
        <color rgb="FFFF0000"/>
        <rFont val="Calibri"/>
      </rPr>
      <t>(etiquetado)</t>
    </r>
  </si>
  <si>
    <t>82400-511</t>
  </si>
  <si>
    <r>
      <rPr>
        <i/>
        <sz val="11"/>
        <color rgb="FF000000"/>
        <rFont val="Calibri"/>
      </rPr>
      <t xml:space="preserve">Maquinaria, otros equipos y herramientas </t>
    </r>
    <r>
      <rPr>
        <i/>
        <sz val="11"/>
        <color rgb="FFFF0000"/>
        <rFont val="Calibri"/>
      </rPr>
      <t>(no etiquetado)</t>
    </r>
  </si>
  <si>
    <t>82400-512</t>
  </si>
  <si>
    <r>
      <rPr>
        <i/>
        <sz val="11"/>
        <color rgb="FF000000"/>
        <rFont val="Calibri"/>
      </rPr>
      <t xml:space="preserve">Maquinaria, otros equipos y herramientas </t>
    </r>
    <r>
      <rPr>
        <i/>
        <sz val="11"/>
        <color rgb="FFFF0000"/>
        <rFont val="Calibri"/>
      </rPr>
      <t>(etiquetado)</t>
    </r>
  </si>
  <si>
    <t>82400-513</t>
  </si>
  <si>
    <r>
      <rPr>
        <i/>
        <sz val="11"/>
        <color rgb="FF000000"/>
        <rFont val="Calibri"/>
      </rPr>
      <t xml:space="preserve">Activos biológicos </t>
    </r>
    <r>
      <rPr>
        <i/>
        <sz val="11"/>
        <color rgb="FFFF0000"/>
        <rFont val="Calibri"/>
      </rPr>
      <t>(no etiquetado)</t>
    </r>
  </si>
  <si>
    <t>82400-514</t>
  </si>
  <si>
    <r>
      <rPr>
        <i/>
        <sz val="11"/>
        <color rgb="FF000000"/>
        <rFont val="Calibri"/>
      </rPr>
      <t xml:space="preserve">Activos biológicos </t>
    </r>
    <r>
      <rPr>
        <i/>
        <sz val="11"/>
        <color rgb="FFFF0000"/>
        <rFont val="Calibri"/>
      </rPr>
      <t>(etiquetado)</t>
    </r>
  </si>
  <si>
    <t>82400-515</t>
  </si>
  <si>
    <r>
      <rPr>
        <i/>
        <sz val="11"/>
        <color rgb="FF000000"/>
        <rFont val="Calibri"/>
      </rPr>
      <t xml:space="preserve">Bienes inmuebles </t>
    </r>
    <r>
      <rPr>
        <i/>
        <sz val="11"/>
        <color rgb="FFFF0000"/>
        <rFont val="Calibri"/>
      </rPr>
      <t>(no etiquetado)</t>
    </r>
  </si>
  <si>
    <t>82400-516</t>
  </si>
  <si>
    <r>
      <rPr>
        <i/>
        <sz val="11"/>
        <color rgb="FF000000"/>
        <rFont val="Calibri"/>
      </rPr>
      <t xml:space="preserve">Bienes inmuebles </t>
    </r>
    <r>
      <rPr>
        <i/>
        <sz val="11"/>
        <color rgb="FFFF0000"/>
        <rFont val="Calibri"/>
      </rPr>
      <t>(etiquetado)</t>
    </r>
  </si>
  <si>
    <t>82400-517</t>
  </si>
  <si>
    <r>
      <rPr>
        <i/>
        <sz val="11"/>
        <color rgb="FF000000"/>
        <rFont val="Calibri"/>
      </rPr>
      <t xml:space="preserve">Activos intangibles </t>
    </r>
    <r>
      <rPr>
        <i/>
        <sz val="11"/>
        <color rgb="FFFF0000"/>
        <rFont val="Calibri"/>
      </rPr>
      <t>(no etiquetado)</t>
    </r>
  </si>
  <si>
    <t>82400-518</t>
  </si>
  <si>
    <r>
      <rPr>
        <i/>
        <sz val="11"/>
        <color rgb="FF000000"/>
        <rFont val="Calibri"/>
      </rPr>
      <t xml:space="preserve">Activos intangibles </t>
    </r>
    <r>
      <rPr>
        <i/>
        <sz val="11"/>
        <color rgb="FFFF0000"/>
        <rFont val="Calibri"/>
      </rPr>
      <t>(etiquetado)</t>
    </r>
  </si>
  <si>
    <t>82400-600</t>
  </si>
  <si>
    <t>82400-601</t>
  </si>
  <si>
    <r>
      <rPr>
        <i/>
        <sz val="11"/>
        <color rgb="FF000000"/>
        <rFont val="Calibri"/>
      </rPr>
      <t xml:space="preserve">Obra pública en bienes de dominio público </t>
    </r>
    <r>
      <rPr>
        <i/>
        <sz val="11"/>
        <color rgb="FFFF0000"/>
        <rFont val="Calibri"/>
      </rPr>
      <t>(no etiquetado)</t>
    </r>
  </si>
  <si>
    <t>82400-602</t>
  </si>
  <si>
    <r>
      <rPr>
        <i/>
        <sz val="11"/>
        <color rgb="FF000000"/>
        <rFont val="Calibri"/>
      </rPr>
      <t xml:space="preserve">Obra pública en bienes de dominio público </t>
    </r>
    <r>
      <rPr>
        <i/>
        <sz val="11"/>
        <color rgb="FFFF0000"/>
        <rFont val="Calibri"/>
      </rPr>
      <t>(etiquetado)</t>
    </r>
  </si>
  <si>
    <t>82400-603</t>
  </si>
  <si>
    <r>
      <rPr>
        <i/>
        <sz val="11"/>
        <color rgb="FF000000"/>
        <rFont val="Calibri"/>
      </rPr>
      <t xml:space="preserve">Obra pública en bienes de dominio propios </t>
    </r>
    <r>
      <rPr>
        <i/>
        <sz val="11"/>
        <color rgb="FFFF0000"/>
        <rFont val="Calibri"/>
      </rPr>
      <t>(no etiquetado)</t>
    </r>
  </si>
  <si>
    <t>82400-604</t>
  </si>
  <si>
    <r>
      <rPr>
        <i/>
        <sz val="11"/>
        <color rgb="FF000000"/>
        <rFont val="Calibri"/>
      </rPr>
      <t xml:space="preserve">Obra pública en bienes de dominio propios </t>
    </r>
    <r>
      <rPr>
        <i/>
        <sz val="11"/>
        <color rgb="FFFF0000"/>
        <rFont val="Calibri"/>
      </rPr>
      <t>(etiquetado)</t>
    </r>
  </si>
  <si>
    <t>82400-605</t>
  </si>
  <si>
    <r>
      <rPr>
        <i/>
        <sz val="11"/>
        <color rgb="FF000000"/>
        <rFont val="Calibri"/>
      </rPr>
      <t xml:space="preserve">Proyectos productivos y acciones de fomento </t>
    </r>
    <r>
      <rPr>
        <i/>
        <sz val="11"/>
        <color rgb="FFFF0000"/>
        <rFont val="Calibri"/>
      </rPr>
      <t>(no etiquetado)</t>
    </r>
  </si>
  <si>
    <t>82400-606</t>
  </si>
  <si>
    <r>
      <rPr>
        <i/>
        <sz val="11"/>
        <color rgb="FF000000"/>
        <rFont val="Calibri"/>
      </rPr>
      <t xml:space="preserve">Proyectos productivos y acciones de fomento </t>
    </r>
    <r>
      <rPr>
        <i/>
        <sz val="11"/>
        <color rgb="FFFF0000"/>
        <rFont val="Calibri"/>
      </rPr>
      <t>(etiquetado)</t>
    </r>
  </si>
  <si>
    <t>82400-700</t>
  </si>
  <si>
    <t>82400-701</t>
  </si>
  <si>
    <r>
      <rPr>
        <i/>
        <sz val="11"/>
        <color rgb="FF000000"/>
        <rFont val="Calibri"/>
      </rPr>
      <t xml:space="preserve">Inversiones para el fomento de actividades productivas </t>
    </r>
    <r>
      <rPr>
        <i/>
        <sz val="11"/>
        <color rgb="FFFF0000"/>
        <rFont val="Calibri"/>
      </rPr>
      <t>(no etiquetado)</t>
    </r>
  </si>
  <si>
    <t>82400-702</t>
  </si>
  <si>
    <r>
      <rPr>
        <i/>
        <sz val="11"/>
        <color rgb="FF000000"/>
        <rFont val="Calibri"/>
      </rPr>
      <t xml:space="preserve">Inversiones para el fomento de actividades productivas </t>
    </r>
    <r>
      <rPr>
        <i/>
        <sz val="11"/>
        <color rgb="FFFF0000"/>
        <rFont val="Calibri"/>
      </rPr>
      <t>(etiquetado)</t>
    </r>
  </si>
  <si>
    <t>82400-703</t>
  </si>
  <si>
    <r>
      <rPr>
        <i/>
        <sz val="11"/>
        <color rgb="FF000000"/>
        <rFont val="Calibri"/>
      </rPr>
      <t xml:space="preserve">Acciones y participaciones de capital </t>
    </r>
    <r>
      <rPr>
        <i/>
        <sz val="11"/>
        <color rgb="FFFF0000"/>
        <rFont val="Calibri"/>
      </rPr>
      <t>(no etiquetado)</t>
    </r>
  </si>
  <si>
    <t>82400-704</t>
  </si>
  <si>
    <r>
      <rPr>
        <i/>
        <sz val="11"/>
        <color rgb="FF000000"/>
        <rFont val="Calibri"/>
      </rPr>
      <t xml:space="preserve">Acciones y participaciones de capital </t>
    </r>
    <r>
      <rPr>
        <i/>
        <sz val="11"/>
        <color rgb="FFFF0000"/>
        <rFont val="Calibri"/>
      </rPr>
      <t>(etiquetado)</t>
    </r>
  </si>
  <si>
    <t>82400-705</t>
  </si>
  <si>
    <r>
      <rPr>
        <i/>
        <sz val="11"/>
        <color rgb="FF000000"/>
        <rFont val="Calibri"/>
      </rPr>
      <t xml:space="preserve">Compra de títulos y valores </t>
    </r>
    <r>
      <rPr>
        <i/>
        <sz val="11"/>
        <color rgb="FFFF0000"/>
        <rFont val="Calibri"/>
      </rPr>
      <t>(no etiquetado)</t>
    </r>
  </si>
  <si>
    <t>82400-706</t>
  </si>
  <si>
    <r>
      <rPr>
        <i/>
        <sz val="11"/>
        <color rgb="FF000000"/>
        <rFont val="Calibri"/>
      </rPr>
      <t xml:space="preserve">Compra de títulos y valores </t>
    </r>
    <r>
      <rPr>
        <i/>
        <sz val="11"/>
        <color rgb="FFFF0000"/>
        <rFont val="Calibri"/>
      </rPr>
      <t>(etiquetado)</t>
    </r>
  </si>
  <si>
    <t>82400-707</t>
  </si>
  <si>
    <r>
      <rPr>
        <i/>
        <sz val="11"/>
        <color rgb="FF000000"/>
        <rFont val="Calibri"/>
      </rPr>
      <t xml:space="preserve">Concesión de préstamos </t>
    </r>
    <r>
      <rPr>
        <i/>
        <sz val="11"/>
        <color rgb="FFFF0000"/>
        <rFont val="Calibri"/>
      </rPr>
      <t>(no etiquetado)</t>
    </r>
  </si>
  <si>
    <t>82400-708</t>
  </si>
  <si>
    <r>
      <rPr>
        <i/>
        <sz val="11"/>
        <color rgb="FF000000"/>
        <rFont val="Calibri"/>
      </rPr>
      <t xml:space="preserve">Concesión de préstamos </t>
    </r>
    <r>
      <rPr>
        <i/>
        <sz val="11"/>
        <color rgb="FFFF0000"/>
        <rFont val="Calibri"/>
      </rPr>
      <t>(etiquetado)</t>
    </r>
  </si>
  <si>
    <t>82400-709</t>
  </si>
  <si>
    <r>
      <rPr>
        <i/>
        <sz val="11"/>
        <color rgb="FF000000"/>
        <rFont val="Calibri"/>
      </rPr>
      <t xml:space="preserve">Inversiones en fideicomisos, mandatos y otros análogos </t>
    </r>
    <r>
      <rPr>
        <i/>
        <sz val="11"/>
        <color rgb="FFFF0000"/>
        <rFont val="Calibri"/>
      </rPr>
      <t>(no etiquetado)</t>
    </r>
  </si>
  <si>
    <t>82400-710</t>
  </si>
  <si>
    <r>
      <rPr>
        <i/>
        <sz val="11"/>
        <color rgb="FF000000"/>
        <rFont val="Calibri"/>
      </rPr>
      <t xml:space="preserve">Inversiones en fideicomisos, mandatos y otros análogos </t>
    </r>
    <r>
      <rPr>
        <i/>
        <sz val="11"/>
        <color rgb="FFFF0000"/>
        <rFont val="Calibri"/>
      </rPr>
      <t>(etiquetado)</t>
    </r>
  </si>
  <si>
    <t>82400-711</t>
  </si>
  <si>
    <r>
      <rPr>
        <i/>
        <sz val="11"/>
        <color rgb="FF000000"/>
        <rFont val="Calibri"/>
      </rPr>
      <t xml:space="preserve">Otras inversiones financieras </t>
    </r>
    <r>
      <rPr>
        <i/>
        <sz val="11"/>
        <color rgb="FFFF0000"/>
        <rFont val="Calibri"/>
      </rPr>
      <t>(no etiquetado)</t>
    </r>
  </si>
  <si>
    <t>82400-712</t>
  </si>
  <si>
    <r>
      <rPr>
        <i/>
        <sz val="11"/>
        <color rgb="FF000000"/>
        <rFont val="Calibri"/>
      </rPr>
      <t xml:space="preserve">Otras inversiones financieras </t>
    </r>
    <r>
      <rPr>
        <i/>
        <sz val="11"/>
        <color rgb="FFFF0000"/>
        <rFont val="Calibri"/>
      </rPr>
      <t>(etiquetado)</t>
    </r>
  </si>
  <si>
    <t>82400-713</t>
  </si>
  <si>
    <r>
      <rPr>
        <i/>
        <sz val="11"/>
        <color rgb="FF000000"/>
        <rFont val="Calibri"/>
      </rPr>
      <t xml:space="preserve">Provisiones para contingencias y otras erogaciones especiales </t>
    </r>
    <r>
      <rPr>
        <i/>
        <sz val="11"/>
        <color rgb="FFFF0000"/>
        <rFont val="Calibri"/>
      </rPr>
      <t>(no etiquetado)</t>
    </r>
  </si>
  <si>
    <t>82400-714</t>
  </si>
  <si>
    <r>
      <rPr>
        <i/>
        <sz val="11"/>
        <color rgb="FF000000"/>
        <rFont val="Calibri"/>
      </rPr>
      <t xml:space="preserve">Provisiones para contingencias y otras erogaciones especiales </t>
    </r>
    <r>
      <rPr>
        <i/>
        <sz val="11"/>
        <color rgb="FFFF0000"/>
        <rFont val="Calibri"/>
      </rPr>
      <t>(etiquetado)</t>
    </r>
  </si>
  <si>
    <t>82400-800</t>
  </si>
  <si>
    <t>Participaciones y portaciones</t>
  </si>
  <si>
    <t>82400-801</t>
  </si>
  <si>
    <r>
      <rPr>
        <i/>
        <sz val="11"/>
        <color theme="1"/>
        <rFont val="Calibri"/>
      </rPr>
      <t xml:space="preserve">Participaciones </t>
    </r>
    <r>
      <rPr>
        <i/>
        <sz val="11"/>
        <color rgb="FFFF0000"/>
        <rFont val="Calibri"/>
      </rPr>
      <t>(no etiquetado)</t>
    </r>
  </si>
  <si>
    <t>82400-802</t>
  </si>
  <si>
    <r>
      <rPr>
        <i/>
        <sz val="11"/>
        <color theme="1"/>
        <rFont val="Calibri"/>
      </rPr>
      <t xml:space="preserve">Participaciones </t>
    </r>
    <r>
      <rPr>
        <i/>
        <sz val="11"/>
        <color rgb="FFFF0000"/>
        <rFont val="Calibri"/>
      </rPr>
      <t>(etiquetado)</t>
    </r>
  </si>
  <si>
    <t>82400-803</t>
  </si>
  <si>
    <r>
      <rPr>
        <i/>
        <sz val="11"/>
        <color theme="1"/>
        <rFont val="Calibri"/>
      </rPr>
      <t xml:space="preserve">Aportaciones </t>
    </r>
    <r>
      <rPr>
        <i/>
        <sz val="11"/>
        <color rgb="FFFF0000"/>
        <rFont val="Calibri"/>
      </rPr>
      <t>(no etiquetado)</t>
    </r>
  </si>
  <si>
    <t>82400-804</t>
  </si>
  <si>
    <r>
      <rPr>
        <i/>
        <sz val="11"/>
        <color theme="1"/>
        <rFont val="Calibri"/>
      </rPr>
      <t xml:space="preserve">Aportaciones </t>
    </r>
    <r>
      <rPr>
        <i/>
        <sz val="11"/>
        <color rgb="FFFF0000"/>
        <rFont val="Calibri"/>
      </rPr>
      <t>(etiquetado)</t>
    </r>
  </si>
  <si>
    <t>82400-805</t>
  </si>
  <si>
    <r>
      <rPr>
        <i/>
        <sz val="11"/>
        <color theme="1"/>
        <rFont val="Calibri"/>
      </rPr>
      <t xml:space="preserve">Convenios </t>
    </r>
    <r>
      <rPr>
        <i/>
        <sz val="11"/>
        <color rgb="FFFF0000"/>
        <rFont val="Calibri"/>
      </rPr>
      <t>(no etiquetado)</t>
    </r>
  </si>
  <si>
    <t>82400-806</t>
  </si>
  <si>
    <r>
      <rPr>
        <i/>
        <sz val="11"/>
        <color theme="1"/>
        <rFont val="Calibri"/>
      </rPr>
      <t xml:space="preserve">Convenios </t>
    </r>
    <r>
      <rPr>
        <i/>
        <sz val="11"/>
        <color rgb="FFFF0000"/>
        <rFont val="Calibri"/>
      </rPr>
      <t>(etiquetado)</t>
    </r>
  </si>
  <si>
    <t>82400-900</t>
  </si>
  <si>
    <t>82400-901</t>
  </si>
  <si>
    <r>
      <rPr>
        <i/>
        <sz val="11"/>
        <color theme="1"/>
        <rFont val="Calibri"/>
      </rPr>
      <t xml:space="preserve">Amortización de la deuda pública </t>
    </r>
    <r>
      <rPr>
        <i/>
        <sz val="11"/>
        <color rgb="FFFF0000"/>
        <rFont val="Calibri"/>
      </rPr>
      <t>(no etiquetado)</t>
    </r>
  </si>
  <si>
    <t>82400-902</t>
  </si>
  <si>
    <r>
      <rPr>
        <i/>
        <sz val="11"/>
        <color theme="1"/>
        <rFont val="Calibri"/>
      </rPr>
      <t xml:space="preserve">Amortización de la deuda pública </t>
    </r>
    <r>
      <rPr>
        <i/>
        <sz val="11"/>
        <color rgb="FFFF0000"/>
        <rFont val="Calibri"/>
      </rPr>
      <t>(etiquetado)</t>
    </r>
  </si>
  <si>
    <t>82400-903</t>
  </si>
  <si>
    <r>
      <rPr>
        <i/>
        <sz val="11"/>
        <color theme="1"/>
        <rFont val="Calibri"/>
      </rPr>
      <t xml:space="preserve">Intereses de la deuda pública </t>
    </r>
    <r>
      <rPr>
        <i/>
        <sz val="11"/>
        <color rgb="FFFF0000"/>
        <rFont val="Calibri"/>
      </rPr>
      <t>(no etiquetado)</t>
    </r>
  </si>
  <si>
    <t>82400-904</t>
  </si>
  <si>
    <r>
      <rPr>
        <i/>
        <sz val="11"/>
        <color theme="1"/>
        <rFont val="Calibri"/>
      </rPr>
      <t xml:space="preserve">Intereses de la deuda pública </t>
    </r>
    <r>
      <rPr>
        <i/>
        <sz val="11"/>
        <color rgb="FFFF0000"/>
        <rFont val="Calibri"/>
      </rPr>
      <t>(etiquetado)</t>
    </r>
  </si>
  <si>
    <t>82400-905</t>
  </si>
  <si>
    <r>
      <rPr>
        <i/>
        <sz val="11"/>
        <color theme="1"/>
        <rFont val="Calibri"/>
      </rPr>
      <t xml:space="preserve">Comisiones de la deuda pública </t>
    </r>
    <r>
      <rPr>
        <i/>
        <sz val="11"/>
        <color rgb="FFFF0000"/>
        <rFont val="Calibri"/>
      </rPr>
      <t>(no etiquetado)</t>
    </r>
  </si>
  <si>
    <t>82400-906</t>
  </si>
  <si>
    <r>
      <rPr>
        <i/>
        <sz val="11"/>
        <color theme="1"/>
        <rFont val="Calibri"/>
      </rPr>
      <t xml:space="preserve">Comisiones de la deuda pública </t>
    </r>
    <r>
      <rPr>
        <i/>
        <sz val="11"/>
        <color rgb="FFFF0000"/>
        <rFont val="Calibri"/>
      </rPr>
      <t>(etiquetado)</t>
    </r>
  </si>
  <si>
    <t>82400-907</t>
  </si>
  <si>
    <r>
      <rPr>
        <i/>
        <sz val="11"/>
        <color theme="1"/>
        <rFont val="Calibri"/>
      </rPr>
      <t xml:space="preserve">Gastos de la deuda pública </t>
    </r>
    <r>
      <rPr>
        <i/>
        <sz val="11"/>
        <color rgb="FFFF0000"/>
        <rFont val="Calibri"/>
      </rPr>
      <t>(no etiquetado)</t>
    </r>
  </si>
  <si>
    <t>82400-908</t>
  </si>
  <si>
    <r>
      <rPr>
        <i/>
        <sz val="11"/>
        <color theme="1"/>
        <rFont val="Calibri"/>
      </rPr>
      <t xml:space="preserve">Gastos de la deuda pública </t>
    </r>
    <r>
      <rPr>
        <i/>
        <sz val="11"/>
        <color rgb="FFFF0000"/>
        <rFont val="Calibri"/>
      </rPr>
      <t>(etiquetado)</t>
    </r>
  </si>
  <si>
    <t>82400-909</t>
  </si>
  <si>
    <r>
      <rPr>
        <i/>
        <sz val="11"/>
        <color theme="1"/>
        <rFont val="Calibri"/>
      </rPr>
      <t xml:space="preserve">Costo por coberturas </t>
    </r>
    <r>
      <rPr>
        <i/>
        <sz val="11"/>
        <color rgb="FFFF0000"/>
        <rFont val="Calibri"/>
      </rPr>
      <t>(no etiquetado)</t>
    </r>
  </si>
  <si>
    <t>82400-910</t>
  </si>
  <si>
    <r>
      <rPr>
        <i/>
        <sz val="11"/>
        <color theme="1"/>
        <rFont val="Calibri"/>
      </rPr>
      <t xml:space="preserve">Costo por coberturas </t>
    </r>
    <r>
      <rPr>
        <i/>
        <sz val="11"/>
        <color rgb="FFFF0000"/>
        <rFont val="Calibri"/>
      </rPr>
      <t>(etiquetado)</t>
    </r>
  </si>
  <si>
    <t>82400-911</t>
  </si>
  <si>
    <r>
      <rPr>
        <i/>
        <sz val="11"/>
        <color theme="1"/>
        <rFont val="Calibri"/>
      </rPr>
      <t xml:space="preserve">Apoyos financieros </t>
    </r>
    <r>
      <rPr>
        <i/>
        <sz val="11"/>
        <color rgb="FFFF0000"/>
        <rFont val="Calibri"/>
      </rPr>
      <t>(no etiquetado)</t>
    </r>
  </si>
  <si>
    <t>82400-912</t>
  </si>
  <si>
    <r>
      <rPr>
        <i/>
        <sz val="11"/>
        <color theme="1"/>
        <rFont val="Calibri"/>
      </rPr>
      <t xml:space="preserve">Apoyos financieros </t>
    </r>
    <r>
      <rPr>
        <i/>
        <sz val="11"/>
        <color rgb="FFFF0000"/>
        <rFont val="Calibri"/>
      </rPr>
      <t>(etiquetado)</t>
    </r>
  </si>
  <si>
    <t>82400-913</t>
  </si>
  <si>
    <r>
      <rPr>
        <i/>
        <sz val="11"/>
        <color theme="1"/>
        <rFont val="Calibri"/>
      </rPr>
      <t xml:space="preserve">Adeudos de ejercicios anteriores (adefas) </t>
    </r>
    <r>
      <rPr>
        <i/>
        <sz val="11"/>
        <color rgb="FFFF0000"/>
        <rFont val="Calibri"/>
      </rPr>
      <t>(no etiquetado)</t>
    </r>
  </si>
  <si>
    <t>82400-914</t>
  </si>
  <si>
    <r>
      <rPr>
        <i/>
        <sz val="11"/>
        <color theme="1"/>
        <rFont val="Calibri"/>
      </rPr>
      <t xml:space="preserve">Adeudos de ejercicios anteriores (adefas) </t>
    </r>
    <r>
      <rPr>
        <i/>
        <sz val="11"/>
        <color rgb="FFFF0000"/>
        <rFont val="Calibri"/>
      </rPr>
      <t>(etiquetado)</t>
    </r>
  </si>
  <si>
    <t>PRESUPUESTO DE EGRESOS DEVENGADO</t>
  </si>
  <si>
    <t>82500-100</t>
  </si>
  <si>
    <t>82500-101</t>
  </si>
  <si>
    <r>
      <rPr>
        <i/>
        <sz val="11"/>
        <color rgb="FF000000"/>
        <rFont val="Calibri"/>
      </rPr>
      <t xml:space="preserve">Remuneraciones al personal de carácter permanente </t>
    </r>
    <r>
      <rPr>
        <i/>
        <sz val="11"/>
        <color rgb="FFFF0000"/>
        <rFont val="Calibri"/>
      </rPr>
      <t>(no etiquetado)</t>
    </r>
  </si>
  <si>
    <t>82500-102</t>
  </si>
  <si>
    <r>
      <rPr>
        <i/>
        <sz val="11"/>
        <color rgb="FF000000"/>
        <rFont val="Calibri"/>
      </rPr>
      <t xml:space="preserve">Remuneraciones al personal de carácter permanente </t>
    </r>
    <r>
      <rPr>
        <i/>
        <sz val="11"/>
        <color rgb="FFFF0000"/>
        <rFont val="Calibri"/>
      </rPr>
      <t>(etiquetado)</t>
    </r>
  </si>
  <si>
    <t>82500-103</t>
  </si>
  <si>
    <r>
      <rPr>
        <i/>
        <sz val="11"/>
        <color rgb="FF000000"/>
        <rFont val="Calibri"/>
      </rPr>
      <t xml:space="preserve">Remuneraciones al personal de carácter transitorio </t>
    </r>
    <r>
      <rPr>
        <i/>
        <sz val="11"/>
        <color rgb="FFFF0000"/>
        <rFont val="Calibri"/>
      </rPr>
      <t>(no etiquetado)</t>
    </r>
  </si>
  <si>
    <t>82500-104</t>
  </si>
  <si>
    <r>
      <rPr>
        <i/>
        <sz val="11"/>
        <color rgb="FF000000"/>
        <rFont val="Calibri"/>
      </rPr>
      <t xml:space="preserve">Remuneraciones al personal de carácter transitorio </t>
    </r>
    <r>
      <rPr>
        <i/>
        <sz val="11"/>
        <color rgb="FFFF0000"/>
        <rFont val="Calibri"/>
      </rPr>
      <t>(etiquetado)</t>
    </r>
  </si>
  <si>
    <t>82500-105</t>
  </si>
  <si>
    <r>
      <rPr>
        <i/>
        <sz val="11"/>
        <color rgb="FF000000"/>
        <rFont val="Calibri"/>
      </rPr>
      <t xml:space="preserve">Remuneraciones adicionales especiales </t>
    </r>
    <r>
      <rPr>
        <i/>
        <sz val="11"/>
        <color rgb="FFFF0000"/>
        <rFont val="Calibri"/>
      </rPr>
      <t>(no etiquetado)</t>
    </r>
  </si>
  <si>
    <t>82500-106</t>
  </si>
  <si>
    <r>
      <rPr>
        <i/>
        <sz val="11"/>
        <color rgb="FF000000"/>
        <rFont val="Calibri"/>
      </rPr>
      <t xml:space="preserve">Remuneraciones adicionales especiales </t>
    </r>
    <r>
      <rPr>
        <i/>
        <sz val="11"/>
        <color rgb="FFFF0000"/>
        <rFont val="Calibri"/>
      </rPr>
      <t>(etiquetado)</t>
    </r>
  </si>
  <si>
    <t>82500-107</t>
  </si>
  <si>
    <r>
      <rPr>
        <i/>
        <sz val="11"/>
        <color rgb="FF000000"/>
        <rFont val="Calibri"/>
      </rPr>
      <t xml:space="preserve">Seguridad social </t>
    </r>
    <r>
      <rPr>
        <i/>
        <sz val="11"/>
        <color rgb="FFFF0000"/>
        <rFont val="Calibri"/>
      </rPr>
      <t>(no etiquetado)</t>
    </r>
  </si>
  <si>
    <t>82500-108</t>
  </si>
  <si>
    <r>
      <rPr>
        <i/>
        <sz val="11"/>
        <color rgb="FF000000"/>
        <rFont val="Calibri"/>
      </rPr>
      <t xml:space="preserve">Seguridad social </t>
    </r>
    <r>
      <rPr>
        <i/>
        <sz val="11"/>
        <color rgb="FFFF0000"/>
        <rFont val="Calibri"/>
      </rPr>
      <t>(etiquetado)</t>
    </r>
  </si>
  <si>
    <t>82500-109</t>
  </si>
  <si>
    <r>
      <rPr>
        <i/>
        <sz val="11"/>
        <color rgb="FF000000"/>
        <rFont val="Calibri"/>
      </rPr>
      <t xml:space="preserve">Otras prestaciones sociales y económicas </t>
    </r>
    <r>
      <rPr>
        <i/>
        <sz val="11"/>
        <color rgb="FFFF0000"/>
        <rFont val="Calibri"/>
      </rPr>
      <t>(no etiquetado)</t>
    </r>
  </si>
  <si>
    <t>82500-110</t>
  </si>
  <si>
    <r>
      <rPr>
        <i/>
        <sz val="11"/>
        <color rgb="FF000000"/>
        <rFont val="Calibri"/>
      </rPr>
      <t xml:space="preserve">Otras prestaciones sociales y económicas </t>
    </r>
    <r>
      <rPr>
        <i/>
        <sz val="11"/>
        <color rgb="FFFF0000"/>
        <rFont val="Calibri"/>
      </rPr>
      <t>(etiquetado)</t>
    </r>
  </si>
  <si>
    <t>82500-111</t>
  </si>
  <si>
    <r>
      <rPr>
        <i/>
        <sz val="11"/>
        <color rgb="FF000000"/>
        <rFont val="Calibri"/>
      </rPr>
      <t xml:space="preserve">Previsiones </t>
    </r>
    <r>
      <rPr>
        <i/>
        <sz val="11"/>
        <color rgb="FFFF0000"/>
        <rFont val="Calibri"/>
      </rPr>
      <t>(no etiquetado)</t>
    </r>
  </si>
  <si>
    <t>82500-112</t>
  </si>
  <si>
    <r>
      <rPr>
        <i/>
        <sz val="11"/>
        <color rgb="FF000000"/>
        <rFont val="Calibri"/>
      </rPr>
      <t xml:space="preserve">Previsiones </t>
    </r>
    <r>
      <rPr>
        <i/>
        <sz val="11"/>
        <color rgb="FFFF0000"/>
        <rFont val="Calibri"/>
      </rPr>
      <t>(etiquetado)</t>
    </r>
  </si>
  <si>
    <t>82500-113</t>
  </si>
  <si>
    <r>
      <rPr>
        <i/>
        <sz val="11"/>
        <color rgb="FF000000"/>
        <rFont val="Calibri"/>
      </rPr>
      <t xml:space="preserve">Pago de estímulos a servidores públicos </t>
    </r>
    <r>
      <rPr>
        <i/>
        <sz val="11"/>
        <color rgb="FFFF0000"/>
        <rFont val="Calibri"/>
      </rPr>
      <t>(no etiquetado)</t>
    </r>
  </si>
  <si>
    <t>82500-114</t>
  </si>
  <si>
    <r>
      <rPr>
        <i/>
        <sz val="11"/>
        <color rgb="FF000000"/>
        <rFont val="Calibri"/>
      </rPr>
      <t xml:space="preserve">Pago de estímulos a servidores públicos </t>
    </r>
    <r>
      <rPr>
        <i/>
        <sz val="11"/>
        <color rgb="FFFF0000"/>
        <rFont val="Calibri"/>
      </rPr>
      <t>(etiquetado)</t>
    </r>
  </si>
  <si>
    <t>82500-200</t>
  </si>
  <si>
    <t>82500-201</t>
  </si>
  <si>
    <r>
      <rPr>
        <i/>
        <sz val="11"/>
        <color rgb="FF000000"/>
        <rFont val="Calibri"/>
      </rPr>
      <t xml:space="preserve">Materiales de administración, emisión de documentos y artículos oficiales </t>
    </r>
    <r>
      <rPr>
        <i/>
        <sz val="11"/>
        <color rgb="FFFF0000"/>
        <rFont val="Calibri"/>
      </rPr>
      <t>(no etiquetado)</t>
    </r>
  </si>
  <si>
    <t>82500-202</t>
  </si>
  <si>
    <r>
      <rPr>
        <i/>
        <sz val="11"/>
        <color rgb="FF000000"/>
        <rFont val="Calibri"/>
      </rPr>
      <t xml:space="preserve">Materiales de administración, emisión de documentos y artículos oficiales </t>
    </r>
    <r>
      <rPr>
        <i/>
        <sz val="11"/>
        <color rgb="FFFF0000"/>
        <rFont val="Calibri"/>
      </rPr>
      <t>(etiquetado)</t>
    </r>
  </si>
  <si>
    <t>82500-203</t>
  </si>
  <si>
    <r>
      <rPr>
        <i/>
        <sz val="11"/>
        <color rgb="FF000000"/>
        <rFont val="Calibri"/>
      </rPr>
      <t xml:space="preserve">Alimentos y utensilios </t>
    </r>
    <r>
      <rPr>
        <i/>
        <sz val="11"/>
        <color rgb="FFFF0000"/>
        <rFont val="Calibri"/>
      </rPr>
      <t>(no etiquetado)</t>
    </r>
  </si>
  <si>
    <t>82500-204</t>
  </si>
  <si>
    <r>
      <rPr>
        <i/>
        <sz val="11"/>
        <color rgb="FF000000"/>
        <rFont val="Calibri"/>
      </rPr>
      <t xml:space="preserve">Alimentos y utensilios </t>
    </r>
    <r>
      <rPr>
        <i/>
        <sz val="11"/>
        <color rgb="FFFF0000"/>
        <rFont val="Calibri"/>
      </rPr>
      <t>(etiquetado)</t>
    </r>
  </si>
  <si>
    <t>82500-205</t>
  </si>
  <si>
    <r>
      <rPr>
        <i/>
        <sz val="11"/>
        <color rgb="FF000000"/>
        <rFont val="Calibri"/>
      </rPr>
      <t xml:space="preserve">Materias primas y materiales de producción y comercialización </t>
    </r>
    <r>
      <rPr>
        <i/>
        <sz val="11"/>
        <color rgb="FFFF0000"/>
        <rFont val="Calibri"/>
      </rPr>
      <t>(no etiquetado)</t>
    </r>
  </si>
  <si>
    <t>82500-206</t>
  </si>
  <si>
    <r>
      <rPr>
        <i/>
        <sz val="11"/>
        <color rgb="FF000000"/>
        <rFont val="Calibri"/>
      </rPr>
      <t xml:space="preserve">Materias primas y materiales de producción y comercialización </t>
    </r>
    <r>
      <rPr>
        <i/>
        <sz val="11"/>
        <color rgb="FFFF0000"/>
        <rFont val="Calibri"/>
      </rPr>
      <t>(etiquetado)</t>
    </r>
  </si>
  <si>
    <t>82500-207</t>
  </si>
  <si>
    <r>
      <rPr>
        <i/>
        <sz val="11"/>
        <color rgb="FF000000"/>
        <rFont val="Calibri"/>
      </rPr>
      <t xml:space="preserve">Materiales y artículos de construcción y de reparación </t>
    </r>
    <r>
      <rPr>
        <i/>
        <sz val="11"/>
        <color rgb="FFFF0000"/>
        <rFont val="Calibri"/>
      </rPr>
      <t>(no etiquetado)</t>
    </r>
  </si>
  <si>
    <t>82500-208</t>
  </si>
  <si>
    <r>
      <rPr>
        <i/>
        <sz val="11"/>
        <color rgb="FF000000"/>
        <rFont val="Calibri"/>
      </rPr>
      <t xml:space="preserve">Materiales y artículos de construcción y de reparación </t>
    </r>
    <r>
      <rPr>
        <i/>
        <sz val="11"/>
        <color rgb="FFFF0000"/>
        <rFont val="Calibri"/>
      </rPr>
      <t>(etiquetado)</t>
    </r>
  </si>
  <si>
    <t>82500-209</t>
  </si>
  <si>
    <r>
      <rPr>
        <i/>
        <sz val="11"/>
        <color rgb="FF000000"/>
        <rFont val="Calibri"/>
      </rPr>
      <t xml:space="preserve">Productos químicos, farmacéuticos y de laboratorio </t>
    </r>
    <r>
      <rPr>
        <i/>
        <sz val="11"/>
        <color rgb="FFFF0000"/>
        <rFont val="Calibri"/>
      </rPr>
      <t>(no etiquetado)</t>
    </r>
  </si>
  <si>
    <t>82500-210</t>
  </si>
  <si>
    <r>
      <rPr>
        <i/>
        <sz val="11"/>
        <color rgb="FF000000"/>
        <rFont val="Calibri"/>
      </rPr>
      <t xml:space="preserve">Productos químicos, farmacéuticos y de laboratorio </t>
    </r>
    <r>
      <rPr>
        <i/>
        <sz val="11"/>
        <color rgb="FFFF0000"/>
        <rFont val="Calibri"/>
      </rPr>
      <t>(etiquetado)</t>
    </r>
  </si>
  <si>
    <t>82500-211</t>
  </si>
  <si>
    <r>
      <rPr>
        <i/>
        <sz val="11"/>
        <color rgb="FF000000"/>
        <rFont val="Calibri"/>
      </rPr>
      <t xml:space="preserve">Combustibles, lubricantes y aditivos </t>
    </r>
    <r>
      <rPr>
        <i/>
        <sz val="11"/>
        <color rgb="FFFF0000"/>
        <rFont val="Calibri"/>
      </rPr>
      <t>(no etiquetado)</t>
    </r>
  </si>
  <si>
    <t>82500-212</t>
  </si>
  <si>
    <r>
      <rPr>
        <i/>
        <sz val="11"/>
        <color rgb="FF000000"/>
        <rFont val="Calibri"/>
      </rPr>
      <t xml:space="preserve">Combustibles, lubricantes y aditivos </t>
    </r>
    <r>
      <rPr>
        <i/>
        <sz val="11"/>
        <color rgb="FFFF0000"/>
        <rFont val="Calibri"/>
      </rPr>
      <t>(etiquetado)</t>
    </r>
  </si>
  <si>
    <t>82500-213</t>
  </si>
  <si>
    <r>
      <rPr>
        <i/>
        <sz val="11"/>
        <color rgb="FF000000"/>
        <rFont val="Calibri"/>
      </rPr>
      <t xml:space="preserve">Vestuario, blancos, prendas de protección y artículos deportivos </t>
    </r>
    <r>
      <rPr>
        <i/>
        <sz val="11"/>
        <color rgb="FFFF0000"/>
        <rFont val="Calibri"/>
      </rPr>
      <t>(no etiquetado)</t>
    </r>
  </si>
  <si>
    <t>82500-214</t>
  </si>
  <si>
    <r>
      <rPr>
        <i/>
        <sz val="11"/>
        <color rgb="FF000000"/>
        <rFont val="Calibri"/>
      </rPr>
      <t xml:space="preserve">Vestuario, blancos, prendas de protección y artículos deportivos </t>
    </r>
    <r>
      <rPr>
        <i/>
        <sz val="11"/>
        <color rgb="FFFF0000"/>
        <rFont val="Calibri"/>
      </rPr>
      <t>(etiquetado)</t>
    </r>
  </si>
  <si>
    <t>82500-215</t>
  </si>
  <si>
    <r>
      <rPr>
        <i/>
        <sz val="11"/>
        <color rgb="FF000000"/>
        <rFont val="Calibri"/>
      </rPr>
      <t xml:space="preserve">Materiales y suministros de seguridad </t>
    </r>
    <r>
      <rPr>
        <i/>
        <sz val="11"/>
        <color rgb="FFFF0000"/>
        <rFont val="Calibri"/>
      </rPr>
      <t>(no etiquetado)</t>
    </r>
  </si>
  <si>
    <t>82500-216</t>
  </si>
  <si>
    <r>
      <rPr>
        <i/>
        <sz val="11"/>
        <color rgb="FF000000"/>
        <rFont val="Calibri"/>
      </rPr>
      <t xml:space="preserve">Materiales y suministros de seguridad </t>
    </r>
    <r>
      <rPr>
        <i/>
        <sz val="11"/>
        <color rgb="FFFF0000"/>
        <rFont val="Calibri"/>
      </rPr>
      <t>(etiquetado)</t>
    </r>
  </si>
  <si>
    <t>82500-217</t>
  </si>
  <si>
    <r>
      <rPr>
        <i/>
        <sz val="11"/>
        <color rgb="FF000000"/>
        <rFont val="Calibri"/>
      </rPr>
      <t xml:space="preserve">Herramientas, refacciones y accesorios menores </t>
    </r>
    <r>
      <rPr>
        <i/>
        <sz val="11"/>
        <color rgb="FFFF0000"/>
        <rFont val="Calibri"/>
      </rPr>
      <t>(no etiquetado)</t>
    </r>
  </si>
  <si>
    <t>82500-218</t>
  </si>
  <si>
    <r>
      <rPr>
        <i/>
        <sz val="11"/>
        <color rgb="FF000000"/>
        <rFont val="Calibri"/>
      </rPr>
      <t xml:space="preserve">Herramientas, refacciones y accesorios menores </t>
    </r>
    <r>
      <rPr>
        <i/>
        <sz val="11"/>
        <color rgb="FFFF0000"/>
        <rFont val="Calibri"/>
      </rPr>
      <t>(etiquetado)</t>
    </r>
  </si>
  <si>
    <t>82500-300</t>
  </si>
  <si>
    <t>82500-301</t>
  </si>
  <si>
    <r>
      <rPr>
        <i/>
        <sz val="11"/>
        <color rgb="FF000000"/>
        <rFont val="Calibri"/>
      </rPr>
      <t xml:space="preserve">Servicios básicos </t>
    </r>
    <r>
      <rPr>
        <i/>
        <sz val="11"/>
        <color rgb="FFFF0000"/>
        <rFont val="Calibri"/>
      </rPr>
      <t>(no etiquetado)</t>
    </r>
  </si>
  <si>
    <t>82500-302</t>
  </si>
  <si>
    <r>
      <rPr>
        <i/>
        <sz val="11"/>
        <color rgb="FF000000"/>
        <rFont val="Calibri"/>
      </rPr>
      <t xml:space="preserve">Servicios básicos </t>
    </r>
    <r>
      <rPr>
        <i/>
        <sz val="11"/>
        <color rgb="FFFF0000"/>
        <rFont val="Calibri"/>
      </rPr>
      <t>(etiquetado)</t>
    </r>
  </si>
  <si>
    <t>82500-303</t>
  </si>
  <si>
    <r>
      <rPr>
        <i/>
        <sz val="11"/>
        <color rgb="FF000000"/>
        <rFont val="Calibri"/>
      </rPr>
      <t xml:space="preserve">Servicios de arrendamiento </t>
    </r>
    <r>
      <rPr>
        <i/>
        <sz val="11"/>
        <color rgb="FFFF0000"/>
        <rFont val="Calibri"/>
      </rPr>
      <t>(no etiquetado)</t>
    </r>
  </si>
  <si>
    <t>82500-304</t>
  </si>
  <si>
    <r>
      <rPr>
        <i/>
        <sz val="11"/>
        <color rgb="FF000000"/>
        <rFont val="Calibri"/>
      </rPr>
      <t xml:space="preserve">Servicios de arrendamiento </t>
    </r>
    <r>
      <rPr>
        <i/>
        <sz val="11"/>
        <color rgb="FFFF0000"/>
        <rFont val="Calibri"/>
      </rPr>
      <t>(etiquetado)</t>
    </r>
  </si>
  <si>
    <t>82500-305</t>
  </si>
  <si>
    <r>
      <rPr>
        <i/>
        <sz val="11"/>
        <color rgb="FF000000"/>
        <rFont val="Calibri"/>
      </rPr>
      <t xml:space="preserve">Servicios profesionales, científicos, técnicos y otros servicios </t>
    </r>
    <r>
      <rPr>
        <i/>
        <sz val="11"/>
        <color rgb="FFFF0000"/>
        <rFont val="Calibri"/>
      </rPr>
      <t>(no etiquetado)</t>
    </r>
  </si>
  <si>
    <t>82500-306</t>
  </si>
  <si>
    <r>
      <rPr>
        <i/>
        <sz val="11"/>
        <color rgb="FF000000"/>
        <rFont val="Calibri"/>
      </rPr>
      <t xml:space="preserve">Servicios profesionales, científicos, técnicos y otros servicios </t>
    </r>
    <r>
      <rPr>
        <i/>
        <sz val="11"/>
        <color rgb="FFFF0000"/>
        <rFont val="Calibri"/>
      </rPr>
      <t>(etiquetado)</t>
    </r>
  </si>
  <si>
    <t>82500-307</t>
  </si>
  <si>
    <r>
      <rPr>
        <i/>
        <sz val="11"/>
        <color rgb="FF000000"/>
        <rFont val="Calibri"/>
      </rPr>
      <t xml:space="preserve">Servicios financieros, bancarios y comerciales </t>
    </r>
    <r>
      <rPr>
        <i/>
        <sz val="11"/>
        <color rgb="FFFF0000"/>
        <rFont val="Calibri"/>
      </rPr>
      <t>(no etiquetado)</t>
    </r>
  </si>
  <si>
    <t>82500-308</t>
  </si>
  <si>
    <r>
      <rPr>
        <i/>
        <sz val="11"/>
        <color rgb="FF000000"/>
        <rFont val="Calibri"/>
      </rPr>
      <t xml:space="preserve">Servicios financieros, bancarios y comerciales </t>
    </r>
    <r>
      <rPr>
        <i/>
        <sz val="11"/>
        <color rgb="FFFF0000"/>
        <rFont val="Calibri"/>
      </rPr>
      <t>(etiquetado)</t>
    </r>
  </si>
  <si>
    <t>82500-309</t>
  </si>
  <si>
    <r>
      <rPr>
        <i/>
        <sz val="11"/>
        <color rgb="FF000000"/>
        <rFont val="Calibri"/>
      </rPr>
      <t xml:space="preserve">Servicios de instalación, reparación, mantenimiento y conservación </t>
    </r>
    <r>
      <rPr>
        <i/>
        <sz val="11"/>
        <color rgb="FFFF0000"/>
        <rFont val="Calibri"/>
      </rPr>
      <t>(no etiquetado)</t>
    </r>
  </si>
  <si>
    <t>82500-310</t>
  </si>
  <si>
    <r>
      <rPr>
        <i/>
        <sz val="11"/>
        <color rgb="FF000000"/>
        <rFont val="Calibri"/>
      </rPr>
      <t xml:space="preserve">Servicios de instalación, reparación, mantenimiento y conservación </t>
    </r>
    <r>
      <rPr>
        <i/>
        <sz val="11"/>
        <color rgb="FFFF0000"/>
        <rFont val="Calibri"/>
      </rPr>
      <t>(etiquetado)</t>
    </r>
  </si>
  <si>
    <t>82500-311</t>
  </si>
  <si>
    <r>
      <rPr>
        <i/>
        <sz val="11"/>
        <color rgb="FF000000"/>
        <rFont val="Calibri"/>
      </rPr>
      <t xml:space="preserve">Servicios de comunicación social y publicidad </t>
    </r>
    <r>
      <rPr>
        <i/>
        <sz val="11"/>
        <color rgb="FFFF0000"/>
        <rFont val="Calibri"/>
      </rPr>
      <t>(no etiquetado)</t>
    </r>
  </si>
  <si>
    <t>82500-312</t>
  </si>
  <si>
    <r>
      <rPr>
        <i/>
        <sz val="11"/>
        <color rgb="FF000000"/>
        <rFont val="Calibri"/>
      </rPr>
      <t xml:space="preserve">Servicios de comunicación social y publicidad </t>
    </r>
    <r>
      <rPr>
        <i/>
        <sz val="11"/>
        <color rgb="FFFF0000"/>
        <rFont val="Calibri"/>
      </rPr>
      <t>(etiquetado)</t>
    </r>
  </si>
  <si>
    <t>82500-313</t>
  </si>
  <si>
    <r>
      <rPr>
        <i/>
        <sz val="11"/>
        <color rgb="FF000000"/>
        <rFont val="Calibri"/>
      </rPr>
      <t xml:space="preserve">Servicios de traslado y viáticos </t>
    </r>
    <r>
      <rPr>
        <i/>
        <sz val="11"/>
        <color rgb="FFFF0000"/>
        <rFont val="Calibri"/>
      </rPr>
      <t>(no etiquetado)</t>
    </r>
  </si>
  <si>
    <t>82500-314</t>
  </si>
  <si>
    <r>
      <rPr>
        <i/>
        <sz val="11"/>
        <color rgb="FF000000"/>
        <rFont val="Calibri"/>
      </rPr>
      <t xml:space="preserve">Servicios de traslado y viáticos </t>
    </r>
    <r>
      <rPr>
        <i/>
        <sz val="11"/>
        <color rgb="FFFF0000"/>
        <rFont val="Calibri"/>
      </rPr>
      <t>(etiquetado)</t>
    </r>
  </si>
  <si>
    <t>82500-315</t>
  </si>
  <si>
    <r>
      <rPr>
        <i/>
        <sz val="11"/>
        <color rgb="FF000000"/>
        <rFont val="Calibri"/>
      </rPr>
      <t xml:space="preserve">Servicios oficiales </t>
    </r>
    <r>
      <rPr>
        <i/>
        <sz val="11"/>
        <color rgb="FFFF0000"/>
        <rFont val="Calibri"/>
      </rPr>
      <t>(no etiquetado)</t>
    </r>
  </si>
  <si>
    <t>82500-316</t>
  </si>
  <si>
    <r>
      <rPr>
        <i/>
        <sz val="11"/>
        <color rgb="FF000000"/>
        <rFont val="Calibri"/>
      </rPr>
      <t xml:space="preserve">Servicios oficiales </t>
    </r>
    <r>
      <rPr>
        <i/>
        <sz val="11"/>
        <color rgb="FFFF0000"/>
        <rFont val="Calibri"/>
      </rPr>
      <t>(etiquetado)</t>
    </r>
  </si>
  <si>
    <t>82500-317</t>
  </si>
  <si>
    <r>
      <rPr>
        <i/>
        <sz val="11"/>
        <color rgb="FF000000"/>
        <rFont val="Calibri"/>
      </rPr>
      <t xml:space="preserve">Otros servicios generales </t>
    </r>
    <r>
      <rPr>
        <i/>
        <sz val="11"/>
        <color rgb="FFFF0000"/>
        <rFont val="Calibri"/>
      </rPr>
      <t>(no etiquetado)</t>
    </r>
  </si>
  <si>
    <t>82500-318</t>
  </si>
  <si>
    <r>
      <rPr>
        <i/>
        <sz val="11"/>
        <color rgb="FF000000"/>
        <rFont val="Calibri"/>
      </rPr>
      <t xml:space="preserve">Otros servicios generales </t>
    </r>
    <r>
      <rPr>
        <i/>
        <sz val="11"/>
        <color rgb="FFFF0000"/>
        <rFont val="Calibri"/>
      </rPr>
      <t>(etiquetado)</t>
    </r>
  </si>
  <si>
    <t>82500-400</t>
  </si>
  <si>
    <t>82500-401</t>
  </si>
  <si>
    <r>
      <rPr>
        <i/>
        <sz val="11"/>
        <color rgb="FF000000"/>
        <rFont val="Calibri"/>
      </rPr>
      <t xml:space="preserve">Transferencias internas y asignaciones al sector público </t>
    </r>
    <r>
      <rPr>
        <i/>
        <sz val="11"/>
        <color rgb="FFFF0000"/>
        <rFont val="Calibri"/>
      </rPr>
      <t>(no etiquetado)</t>
    </r>
  </si>
  <si>
    <t>82500-402</t>
  </si>
  <si>
    <r>
      <rPr>
        <i/>
        <sz val="11"/>
        <color rgb="FF000000"/>
        <rFont val="Calibri"/>
      </rPr>
      <t xml:space="preserve">Transferencias internas y asignaciones al sector público </t>
    </r>
    <r>
      <rPr>
        <i/>
        <sz val="11"/>
        <color rgb="FFFF0000"/>
        <rFont val="Calibri"/>
      </rPr>
      <t>(etiquetado)</t>
    </r>
  </si>
  <si>
    <t>82500-403</t>
  </si>
  <si>
    <r>
      <rPr>
        <i/>
        <sz val="11"/>
        <color rgb="FF000000"/>
        <rFont val="Calibri"/>
      </rPr>
      <t xml:space="preserve">Transferencias al resto del sector público </t>
    </r>
    <r>
      <rPr>
        <i/>
        <sz val="11"/>
        <color rgb="FFFF0000"/>
        <rFont val="Calibri"/>
      </rPr>
      <t>(no etiquetado)</t>
    </r>
  </si>
  <si>
    <t>82500-404</t>
  </si>
  <si>
    <r>
      <rPr>
        <i/>
        <sz val="11"/>
        <color rgb="FF000000"/>
        <rFont val="Calibri"/>
      </rPr>
      <t xml:space="preserve">Transferencias al resto del sector público </t>
    </r>
    <r>
      <rPr>
        <i/>
        <sz val="11"/>
        <color rgb="FFFF0000"/>
        <rFont val="Calibri"/>
      </rPr>
      <t>(etiquetado)</t>
    </r>
  </si>
  <si>
    <t>82500-405</t>
  </si>
  <si>
    <r>
      <rPr>
        <i/>
        <sz val="11"/>
        <color rgb="FF000000"/>
        <rFont val="Calibri"/>
      </rPr>
      <t xml:space="preserve">Subsidios y subvenciones </t>
    </r>
    <r>
      <rPr>
        <i/>
        <sz val="11"/>
        <color rgb="FFFF0000"/>
        <rFont val="Calibri"/>
      </rPr>
      <t>(no etiquetado)</t>
    </r>
  </si>
  <si>
    <t>82500-406</t>
  </si>
  <si>
    <r>
      <rPr>
        <i/>
        <sz val="11"/>
        <color rgb="FF000000"/>
        <rFont val="Calibri"/>
      </rPr>
      <t xml:space="preserve">Subsidios y subvenciones </t>
    </r>
    <r>
      <rPr>
        <i/>
        <sz val="11"/>
        <color rgb="FFFF0000"/>
        <rFont val="Calibri"/>
      </rPr>
      <t>(etiquetado)</t>
    </r>
  </si>
  <si>
    <t>82500-407</t>
  </si>
  <si>
    <r>
      <rPr>
        <i/>
        <sz val="11"/>
        <color rgb="FF000000"/>
        <rFont val="Calibri"/>
      </rPr>
      <t xml:space="preserve">Ayudas sociales </t>
    </r>
    <r>
      <rPr>
        <i/>
        <sz val="11"/>
        <color rgb="FFFF0000"/>
        <rFont val="Calibri"/>
      </rPr>
      <t>(no etiquetado)</t>
    </r>
  </si>
  <si>
    <t>82500-408</t>
  </si>
  <si>
    <r>
      <rPr>
        <i/>
        <sz val="11"/>
        <color rgb="FF000000"/>
        <rFont val="Calibri"/>
      </rPr>
      <t xml:space="preserve">Ayudas sociales  </t>
    </r>
    <r>
      <rPr>
        <i/>
        <sz val="11"/>
        <color rgb="FFFF0000"/>
        <rFont val="Calibri"/>
      </rPr>
      <t>(etiquetado)</t>
    </r>
  </si>
  <si>
    <t>82500-409</t>
  </si>
  <si>
    <r>
      <rPr>
        <i/>
        <sz val="11"/>
        <color rgb="FF000000"/>
        <rFont val="Calibri"/>
      </rPr>
      <t xml:space="preserve">Pensiones y jubilaciones </t>
    </r>
    <r>
      <rPr>
        <i/>
        <sz val="11"/>
        <color rgb="FFFF0000"/>
        <rFont val="Calibri"/>
      </rPr>
      <t>(no etiquetado)</t>
    </r>
  </si>
  <si>
    <t>82500-410</t>
  </si>
  <si>
    <r>
      <rPr>
        <i/>
        <sz val="11"/>
        <color rgb="FF000000"/>
        <rFont val="Calibri"/>
      </rPr>
      <t xml:space="preserve">Pensiones y jubilaciones </t>
    </r>
    <r>
      <rPr>
        <i/>
        <sz val="11"/>
        <color rgb="FFFF0000"/>
        <rFont val="Calibri"/>
      </rPr>
      <t>(etiquetado)</t>
    </r>
  </si>
  <si>
    <t>82500-411</t>
  </si>
  <si>
    <r>
      <rPr>
        <i/>
        <sz val="11"/>
        <color rgb="FF000000"/>
        <rFont val="Calibri"/>
      </rPr>
      <t xml:space="preserve">Transferencias a fideicomisos, mandatos y otros análogos </t>
    </r>
    <r>
      <rPr>
        <i/>
        <sz val="11"/>
        <color rgb="FFFF0000"/>
        <rFont val="Calibri"/>
      </rPr>
      <t>(no etiquetado)</t>
    </r>
  </si>
  <si>
    <t>82500-412</t>
  </si>
  <si>
    <r>
      <rPr>
        <i/>
        <sz val="11"/>
        <color rgb="FF000000"/>
        <rFont val="Calibri"/>
      </rPr>
      <t xml:space="preserve">Transferencias a fideicomisos, mandatos y otros análogos </t>
    </r>
    <r>
      <rPr>
        <i/>
        <sz val="11"/>
        <color rgb="FFFF0000"/>
        <rFont val="Calibri"/>
      </rPr>
      <t>(etiquetado)</t>
    </r>
  </si>
  <si>
    <t>82500-413</t>
  </si>
  <si>
    <r>
      <rPr>
        <i/>
        <sz val="11"/>
        <color rgb="FF000000"/>
        <rFont val="Calibri"/>
      </rPr>
      <t xml:space="preserve">Transferencias a la seguridad social </t>
    </r>
    <r>
      <rPr>
        <i/>
        <sz val="11"/>
        <color rgb="FFFF0000"/>
        <rFont val="Calibri"/>
      </rPr>
      <t>(no etiquetado)</t>
    </r>
  </si>
  <si>
    <t>82500-414</t>
  </si>
  <si>
    <r>
      <rPr>
        <i/>
        <sz val="11"/>
        <color rgb="FF000000"/>
        <rFont val="Calibri"/>
      </rPr>
      <t xml:space="preserve">Transferencias a la seguridad social </t>
    </r>
    <r>
      <rPr>
        <i/>
        <sz val="11"/>
        <color rgb="FFFF0000"/>
        <rFont val="Calibri"/>
      </rPr>
      <t>(etiquetado)</t>
    </r>
  </si>
  <si>
    <t>82500-415</t>
  </si>
  <si>
    <r>
      <rPr>
        <i/>
        <sz val="11"/>
        <color rgb="FF000000"/>
        <rFont val="Calibri"/>
      </rPr>
      <t xml:space="preserve">Donativos </t>
    </r>
    <r>
      <rPr>
        <i/>
        <sz val="11"/>
        <color rgb="FFFF0000"/>
        <rFont val="Calibri"/>
      </rPr>
      <t>(no etiquetado)</t>
    </r>
  </si>
  <si>
    <t>82500-416</t>
  </si>
  <si>
    <r>
      <rPr>
        <i/>
        <sz val="11"/>
        <color rgb="FF000000"/>
        <rFont val="Calibri"/>
      </rPr>
      <t xml:space="preserve">Donativos </t>
    </r>
    <r>
      <rPr>
        <i/>
        <sz val="11"/>
        <color rgb="FFFF0000"/>
        <rFont val="Calibri"/>
      </rPr>
      <t>(etiquetado)</t>
    </r>
  </si>
  <si>
    <t>82500-417</t>
  </si>
  <si>
    <r>
      <rPr>
        <i/>
        <sz val="11"/>
        <color rgb="FF000000"/>
        <rFont val="Calibri"/>
      </rPr>
      <t xml:space="preserve">Transferencias al exterior </t>
    </r>
    <r>
      <rPr>
        <i/>
        <sz val="11"/>
        <color rgb="FFFF0000"/>
        <rFont val="Calibri"/>
      </rPr>
      <t>(no etiquetado)</t>
    </r>
  </si>
  <si>
    <t>82500-418</t>
  </si>
  <si>
    <r>
      <rPr>
        <i/>
        <sz val="11"/>
        <color rgb="FF000000"/>
        <rFont val="Calibri"/>
      </rPr>
      <t xml:space="preserve">Transferencias al exterior </t>
    </r>
    <r>
      <rPr>
        <i/>
        <sz val="11"/>
        <color rgb="FFFF0000"/>
        <rFont val="Calibri"/>
      </rPr>
      <t>(etiquetado)</t>
    </r>
  </si>
  <si>
    <t>82500-500</t>
  </si>
  <si>
    <t>82500-501</t>
  </si>
  <si>
    <r>
      <rPr>
        <i/>
        <sz val="11"/>
        <color rgb="FF000000"/>
        <rFont val="Calibri"/>
      </rPr>
      <t xml:space="preserve">Mobiliario y equipo de administración </t>
    </r>
    <r>
      <rPr>
        <i/>
        <sz val="11"/>
        <color rgb="FFFF0000"/>
        <rFont val="Calibri"/>
      </rPr>
      <t>(no etiquetado)</t>
    </r>
  </si>
  <si>
    <t>82500-502</t>
  </si>
  <si>
    <r>
      <rPr>
        <i/>
        <sz val="11"/>
        <color rgb="FF000000"/>
        <rFont val="Calibri"/>
      </rPr>
      <t xml:space="preserve">Mobiliario y equipo de administración </t>
    </r>
    <r>
      <rPr>
        <i/>
        <sz val="11"/>
        <color rgb="FFFF0000"/>
        <rFont val="Calibri"/>
      </rPr>
      <t>(etiquetado)</t>
    </r>
  </si>
  <si>
    <t>82500-503</t>
  </si>
  <si>
    <r>
      <rPr>
        <i/>
        <sz val="11"/>
        <color rgb="FF000000"/>
        <rFont val="Calibri"/>
      </rPr>
      <t xml:space="preserve">Mobiliario y equipo educacional y recreativo </t>
    </r>
    <r>
      <rPr>
        <i/>
        <sz val="11"/>
        <color rgb="FFFF0000"/>
        <rFont val="Calibri"/>
      </rPr>
      <t>(no etiquetado)</t>
    </r>
  </si>
  <si>
    <t>82500-504</t>
  </si>
  <si>
    <r>
      <rPr>
        <i/>
        <sz val="11"/>
        <color rgb="FF000000"/>
        <rFont val="Calibri"/>
      </rPr>
      <t xml:space="preserve">Mobiliario y equipo educacional y recreativo </t>
    </r>
    <r>
      <rPr>
        <i/>
        <sz val="11"/>
        <color rgb="FFFF0000"/>
        <rFont val="Calibri"/>
      </rPr>
      <t>(etiquetado)</t>
    </r>
  </si>
  <si>
    <t>82500-505</t>
  </si>
  <si>
    <r>
      <rPr>
        <i/>
        <sz val="11"/>
        <color rgb="FF000000"/>
        <rFont val="Calibri"/>
      </rPr>
      <t xml:space="preserve">Equipo instrumental médico y de laboratorio </t>
    </r>
    <r>
      <rPr>
        <i/>
        <sz val="11"/>
        <color rgb="FFFF0000"/>
        <rFont val="Calibri"/>
      </rPr>
      <t>(no etiquetado)</t>
    </r>
  </si>
  <si>
    <t>82500-506</t>
  </si>
  <si>
    <r>
      <rPr>
        <i/>
        <sz val="11"/>
        <color rgb="FF000000"/>
        <rFont val="Calibri"/>
      </rPr>
      <t xml:space="preserve">Equipo instrumental médico y de laboratorio </t>
    </r>
    <r>
      <rPr>
        <i/>
        <sz val="11"/>
        <color rgb="FFFF0000"/>
        <rFont val="Calibri"/>
      </rPr>
      <t>(etiquetado)</t>
    </r>
  </si>
  <si>
    <t>82500-507</t>
  </si>
  <si>
    <r>
      <rPr>
        <i/>
        <sz val="11"/>
        <color rgb="FF000000"/>
        <rFont val="Calibri"/>
      </rPr>
      <t xml:space="preserve">Vehículos y equipo de transporte </t>
    </r>
    <r>
      <rPr>
        <i/>
        <sz val="11"/>
        <color rgb="FFFF0000"/>
        <rFont val="Calibri"/>
      </rPr>
      <t>(no etiquetado)</t>
    </r>
  </si>
  <si>
    <t>82500-508</t>
  </si>
  <si>
    <r>
      <rPr>
        <i/>
        <sz val="11"/>
        <color rgb="FF000000"/>
        <rFont val="Calibri"/>
      </rPr>
      <t xml:space="preserve">Vehículos y equipo de transporte </t>
    </r>
    <r>
      <rPr>
        <i/>
        <sz val="11"/>
        <color rgb="FFFF0000"/>
        <rFont val="Calibri"/>
      </rPr>
      <t>(etiquetado)</t>
    </r>
  </si>
  <si>
    <t>82500-509</t>
  </si>
  <si>
    <r>
      <rPr>
        <i/>
        <sz val="11"/>
        <color rgb="FF000000"/>
        <rFont val="Calibri"/>
      </rPr>
      <t xml:space="preserve">Equipo de defensa y seguridad </t>
    </r>
    <r>
      <rPr>
        <i/>
        <sz val="11"/>
        <color rgb="FFFF0000"/>
        <rFont val="Calibri"/>
      </rPr>
      <t>(no etiquetado)</t>
    </r>
  </si>
  <si>
    <t>82500-510</t>
  </si>
  <si>
    <r>
      <rPr>
        <i/>
        <sz val="11"/>
        <color rgb="FF000000"/>
        <rFont val="Calibri"/>
      </rPr>
      <t xml:space="preserve">Equipo de defensa y seguridad </t>
    </r>
    <r>
      <rPr>
        <i/>
        <sz val="11"/>
        <color rgb="FFFF0000"/>
        <rFont val="Calibri"/>
      </rPr>
      <t>(etiquetado)</t>
    </r>
  </si>
  <si>
    <t>82500-511</t>
  </si>
  <si>
    <r>
      <rPr>
        <i/>
        <sz val="11"/>
        <color rgb="FF000000"/>
        <rFont val="Calibri"/>
      </rPr>
      <t xml:space="preserve">Maquinaria, otros equipos y herramientas </t>
    </r>
    <r>
      <rPr>
        <i/>
        <sz val="11"/>
        <color rgb="FFFF0000"/>
        <rFont val="Calibri"/>
      </rPr>
      <t>(no etiquetado)</t>
    </r>
  </si>
  <si>
    <t>82500-512</t>
  </si>
  <si>
    <r>
      <rPr>
        <i/>
        <sz val="11"/>
        <color rgb="FF000000"/>
        <rFont val="Calibri"/>
      </rPr>
      <t xml:space="preserve">Maquinaria, otros equipos y herramientas </t>
    </r>
    <r>
      <rPr>
        <i/>
        <sz val="11"/>
        <color rgb="FFFF0000"/>
        <rFont val="Calibri"/>
      </rPr>
      <t>(etiquetado)</t>
    </r>
  </si>
  <si>
    <t>82500-513</t>
  </si>
  <si>
    <r>
      <rPr>
        <i/>
        <sz val="11"/>
        <color rgb="FF000000"/>
        <rFont val="Calibri"/>
      </rPr>
      <t xml:space="preserve">Activos biológicos </t>
    </r>
    <r>
      <rPr>
        <i/>
        <sz val="11"/>
        <color rgb="FFFF0000"/>
        <rFont val="Calibri"/>
      </rPr>
      <t>(no etiquetado)</t>
    </r>
  </si>
  <si>
    <t>82500-514</t>
  </si>
  <si>
    <r>
      <rPr>
        <i/>
        <sz val="11"/>
        <color rgb="FF000000"/>
        <rFont val="Calibri"/>
      </rPr>
      <t xml:space="preserve">Activos biológicos </t>
    </r>
    <r>
      <rPr>
        <i/>
        <sz val="11"/>
        <color rgb="FFFF0000"/>
        <rFont val="Calibri"/>
      </rPr>
      <t>(etiquetado)</t>
    </r>
  </si>
  <si>
    <t>82500-515</t>
  </si>
  <si>
    <r>
      <rPr>
        <i/>
        <sz val="11"/>
        <color rgb="FF000000"/>
        <rFont val="Calibri"/>
      </rPr>
      <t xml:space="preserve">Bienes inmuebles </t>
    </r>
    <r>
      <rPr>
        <i/>
        <sz val="11"/>
        <color rgb="FFFF0000"/>
        <rFont val="Calibri"/>
      </rPr>
      <t>(no etiquetado)</t>
    </r>
  </si>
  <si>
    <t>82500-516</t>
  </si>
  <si>
    <r>
      <rPr>
        <i/>
        <sz val="11"/>
        <color rgb="FF000000"/>
        <rFont val="Calibri"/>
      </rPr>
      <t xml:space="preserve">Bienes inmuebles </t>
    </r>
    <r>
      <rPr>
        <i/>
        <sz val="11"/>
        <color rgb="FFFF0000"/>
        <rFont val="Calibri"/>
      </rPr>
      <t>(etiquetado)</t>
    </r>
  </si>
  <si>
    <t>82500-517</t>
  </si>
  <si>
    <r>
      <rPr>
        <i/>
        <sz val="11"/>
        <color rgb="FF000000"/>
        <rFont val="Calibri"/>
      </rPr>
      <t xml:space="preserve">Activos intangibles </t>
    </r>
    <r>
      <rPr>
        <i/>
        <sz val="11"/>
        <color rgb="FFFF0000"/>
        <rFont val="Calibri"/>
      </rPr>
      <t>(no etiquetado)</t>
    </r>
  </si>
  <si>
    <t>82500-518</t>
  </si>
  <si>
    <r>
      <rPr>
        <i/>
        <sz val="11"/>
        <color rgb="FF000000"/>
        <rFont val="Calibri"/>
      </rPr>
      <t xml:space="preserve">Activos intangibles </t>
    </r>
    <r>
      <rPr>
        <i/>
        <sz val="11"/>
        <color rgb="FFFF0000"/>
        <rFont val="Calibri"/>
      </rPr>
      <t>(etiquetado)</t>
    </r>
  </si>
  <si>
    <t>82500-600</t>
  </si>
  <si>
    <t>82500-601</t>
  </si>
  <si>
    <r>
      <rPr>
        <i/>
        <sz val="11"/>
        <color rgb="FF000000"/>
        <rFont val="Calibri"/>
      </rPr>
      <t xml:space="preserve">Obra pública en bienes de dominio público </t>
    </r>
    <r>
      <rPr>
        <i/>
        <sz val="11"/>
        <color rgb="FFFF0000"/>
        <rFont val="Calibri"/>
      </rPr>
      <t>(no etiquetado)</t>
    </r>
  </si>
  <si>
    <t>82500-602</t>
  </si>
  <si>
    <r>
      <rPr>
        <i/>
        <sz val="11"/>
        <color rgb="FF000000"/>
        <rFont val="Calibri"/>
      </rPr>
      <t xml:space="preserve">Obra pública en bienes de dominio público </t>
    </r>
    <r>
      <rPr>
        <i/>
        <sz val="11"/>
        <color rgb="FFFF0000"/>
        <rFont val="Calibri"/>
      </rPr>
      <t>(etiquetado)</t>
    </r>
  </si>
  <si>
    <t>82500-603</t>
  </si>
  <si>
    <r>
      <rPr>
        <i/>
        <sz val="11"/>
        <color rgb="FF000000"/>
        <rFont val="Calibri"/>
      </rPr>
      <t xml:space="preserve">Obra pública en bienes de dominio propios </t>
    </r>
    <r>
      <rPr>
        <i/>
        <sz val="11"/>
        <color rgb="FFFF0000"/>
        <rFont val="Calibri"/>
      </rPr>
      <t>(no etiquetado)</t>
    </r>
  </si>
  <si>
    <t>82500-604</t>
  </si>
  <si>
    <r>
      <rPr>
        <i/>
        <sz val="11"/>
        <color rgb="FF000000"/>
        <rFont val="Calibri"/>
      </rPr>
      <t xml:space="preserve">Obra pública en bienes de dominio propios </t>
    </r>
    <r>
      <rPr>
        <i/>
        <sz val="11"/>
        <color rgb="FFFF0000"/>
        <rFont val="Calibri"/>
      </rPr>
      <t>(etiquetado)</t>
    </r>
  </si>
  <si>
    <t>82500-605</t>
  </si>
  <si>
    <r>
      <rPr>
        <i/>
        <sz val="11"/>
        <color rgb="FF000000"/>
        <rFont val="Calibri"/>
      </rPr>
      <t xml:space="preserve">Proyectos productivos y acciones de fomento </t>
    </r>
    <r>
      <rPr>
        <i/>
        <sz val="11"/>
        <color rgb="FFFF0000"/>
        <rFont val="Calibri"/>
      </rPr>
      <t>(no etiquetado)</t>
    </r>
  </si>
  <si>
    <t>82500-606</t>
  </si>
  <si>
    <r>
      <rPr>
        <i/>
        <sz val="11"/>
        <color rgb="FF000000"/>
        <rFont val="Calibri"/>
      </rPr>
      <t xml:space="preserve">Proyectos productivos y acciones de fomento </t>
    </r>
    <r>
      <rPr>
        <i/>
        <sz val="11"/>
        <color rgb="FFFF0000"/>
        <rFont val="Calibri"/>
      </rPr>
      <t>(etiquetado)</t>
    </r>
  </si>
  <si>
    <t>82500-700</t>
  </si>
  <si>
    <t>82500-701</t>
  </si>
  <si>
    <r>
      <rPr>
        <i/>
        <sz val="11"/>
        <color rgb="FF000000"/>
        <rFont val="Calibri"/>
      </rPr>
      <t xml:space="preserve">Inversiones para el fomento de actividades productivas </t>
    </r>
    <r>
      <rPr>
        <i/>
        <sz val="11"/>
        <color rgb="FFFF0000"/>
        <rFont val="Calibri"/>
      </rPr>
      <t>(no etiquetado)</t>
    </r>
  </si>
  <si>
    <t>82500-702</t>
  </si>
  <si>
    <r>
      <rPr>
        <i/>
        <sz val="11"/>
        <color rgb="FF000000"/>
        <rFont val="Calibri"/>
      </rPr>
      <t xml:space="preserve">Inversiones para el fomento de actividades productivas </t>
    </r>
    <r>
      <rPr>
        <i/>
        <sz val="11"/>
        <color rgb="FFFF0000"/>
        <rFont val="Calibri"/>
      </rPr>
      <t>(etiquetado)</t>
    </r>
  </si>
  <si>
    <t>82500-703</t>
  </si>
  <si>
    <r>
      <rPr>
        <i/>
        <sz val="11"/>
        <color rgb="FF000000"/>
        <rFont val="Calibri"/>
      </rPr>
      <t xml:space="preserve">Acciones y participaciones de capital </t>
    </r>
    <r>
      <rPr>
        <i/>
        <sz val="11"/>
        <color rgb="FFFF0000"/>
        <rFont val="Calibri"/>
      </rPr>
      <t>(no etiquetado)</t>
    </r>
  </si>
  <si>
    <t>82500-704</t>
  </si>
  <si>
    <r>
      <rPr>
        <i/>
        <sz val="11"/>
        <color rgb="FF000000"/>
        <rFont val="Calibri"/>
      </rPr>
      <t xml:space="preserve">Acciones y participaciones de capital </t>
    </r>
    <r>
      <rPr>
        <i/>
        <sz val="11"/>
        <color rgb="FFFF0000"/>
        <rFont val="Calibri"/>
      </rPr>
      <t>(etiquetado)</t>
    </r>
  </si>
  <si>
    <t>82500-705</t>
  </si>
  <si>
    <r>
      <rPr>
        <i/>
        <sz val="11"/>
        <color rgb="FF000000"/>
        <rFont val="Calibri"/>
      </rPr>
      <t xml:space="preserve">Compra de títulos y valores </t>
    </r>
    <r>
      <rPr>
        <i/>
        <sz val="11"/>
        <color rgb="FFFF0000"/>
        <rFont val="Calibri"/>
      </rPr>
      <t>(no etiquetado)</t>
    </r>
  </si>
  <si>
    <t>82500-706</t>
  </si>
  <si>
    <r>
      <rPr>
        <i/>
        <sz val="11"/>
        <color rgb="FF000000"/>
        <rFont val="Calibri"/>
      </rPr>
      <t xml:space="preserve">Compra de títulos y valores </t>
    </r>
    <r>
      <rPr>
        <i/>
        <sz val="11"/>
        <color rgb="FFFF0000"/>
        <rFont val="Calibri"/>
      </rPr>
      <t>(etiquetado)</t>
    </r>
  </si>
  <si>
    <t>82500-707</t>
  </si>
  <si>
    <r>
      <rPr>
        <i/>
        <sz val="11"/>
        <color rgb="FF000000"/>
        <rFont val="Calibri"/>
      </rPr>
      <t xml:space="preserve">Concesión de préstamos </t>
    </r>
    <r>
      <rPr>
        <i/>
        <sz val="11"/>
        <color rgb="FFFF0000"/>
        <rFont val="Calibri"/>
      </rPr>
      <t>(no etiquetado)</t>
    </r>
  </si>
  <si>
    <t>82500-708</t>
  </si>
  <si>
    <r>
      <rPr>
        <i/>
        <sz val="11"/>
        <color rgb="FF000000"/>
        <rFont val="Calibri"/>
      </rPr>
      <t xml:space="preserve">Concesión de préstamos </t>
    </r>
    <r>
      <rPr>
        <i/>
        <sz val="11"/>
        <color rgb="FFFF0000"/>
        <rFont val="Calibri"/>
      </rPr>
      <t>(etiquetado)</t>
    </r>
  </si>
  <si>
    <t>82500-709</t>
  </si>
  <si>
    <r>
      <rPr>
        <i/>
        <sz val="11"/>
        <color rgb="FF000000"/>
        <rFont val="Calibri"/>
      </rPr>
      <t xml:space="preserve">Inversiones en fideicomisos, mandatos y otros análogos </t>
    </r>
    <r>
      <rPr>
        <i/>
        <sz val="11"/>
        <color rgb="FFFF0000"/>
        <rFont val="Calibri"/>
      </rPr>
      <t>(no etiquetado)</t>
    </r>
  </si>
  <si>
    <t>82500-710</t>
  </si>
  <si>
    <r>
      <rPr>
        <i/>
        <sz val="11"/>
        <color rgb="FF000000"/>
        <rFont val="Calibri"/>
      </rPr>
      <t xml:space="preserve">Inversiones en fideicomisos, mandatos y otros análogos </t>
    </r>
    <r>
      <rPr>
        <i/>
        <sz val="11"/>
        <color rgb="FFFF0000"/>
        <rFont val="Calibri"/>
      </rPr>
      <t>(etiquetado)</t>
    </r>
  </si>
  <si>
    <t>82500-711</t>
  </si>
  <si>
    <r>
      <rPr>
        <i/>
        <sz val="11"/>
        <color rgb="FF000000"/>
        <rFont val="Calibri"/>
      </rPr>
      <t xml:space="preserve">Otras inversiones financieras </t>
    </r>
    <r>
      <rPr>
        <i/>
        <sz val="11"/>
        <color rgb="FFFF0000"/>
        <rFont val="Calibri"/>
      </rPr>
      <t>(no etiquetado)</t>
    </r>
  </si>
  <si>
    <t>82500-712</t>
  </si>
  <si>
    <r>
      <rPr>
        <i/>
        <sz val="11"/>
        <color rgb="FF000000"/>
        <rFont val="Calibri"/>
      </rPr>
      <t xml:space="preserve">Otras inversiones financieras </t>
    </r>
    <r>
      <rPr>
        <i/>
        <sz val="11"/>
        <color rgb="FFFF0000"/>
        <rFont val="Calibri"/>
      </rPr>
      <t>(etiquetado)</t>
    </r>
  </si>
  <si>
    <t>82500-713</t>
  </si>
  <si>
    <r>
      <rPr>
        <i/>
        <sz val="11"/>
        <color rgb="FF000000"/>
        <rFont val="Calibri"/>
      </rPr>
      <t xml:space="preserve">Provisiones para contingencias y otras erogaciones especiales </t>
    </r>
    <r>
      <rPr>
        <i/>
        <sz val="11"/>
        <color rgb="FFFF0000"/>
        <rFont val="Calibri"/>
      </rPr>
      <t>(no etiquetado)</t>
    </r>
  </si>
  <si>
    <t>82500-714</t>
  </si>
  <si>
    <r>
      <rPr>
        <i/>
        <sz val="11"/>
        <color rgb="FF000000"/>
        <rFont val="Calibri"/>
      </rPr>
      <t xml:space="preserve">Provisiones para contingencias y otras erogaciones especiales </t>
    </r>
    <r>
      <rPr>
        <i/>
        <sz val="11"/>
        <color rgb="FFFF0000"/>
        <rFont val="Calibri"/>
      </rPr>
      <t>(etiquetado)</t>
    </r>
  </si>
  <si>
    <t>82500-800</t>
  </si>
  <si>
    <t>82500-801</t>
  </si>
  <si>
    <r>
      <rPr>
        <i/>
        <sz val="11"/>
        <color theme="1"/>
        <rFont val="Calibri"/>
      </rPr>
      <t xml:space="preserve">Participaciones </t>
    </r>
    <r>
      <rPr>
        <i/>
        <sz val="11"/>
        <color rgb="FFFF0000"/>
        <rFont val="Calibri"/>
      </rPr>
      <t>(no etiquetado)</t>
    </r>
  </si>
  <si>
    <t>82500-802</t>
  </si>
  <si>
    <r>
      <rPr>
        <i/>
        <sz val="11"/>
        <color theme="1"/>
        <rFont val="Calibri"/>
      </rPr>
      <t xml:space="preserve">Participaciones </t>
    </r>
    <r>
      <rPr>
        <i/>
        <sz val="11"/>
        <color rgb="FFFF0000"/>
        <rFont val="Calibri"/>
      </rPr>
      <t>(etiquetado)</t>
    </r>
  </si>
  <si>
    <t>82500-803</t>
  </si>
  <si>
    <r>
      <rPr>
        <i/>
        <sz val="11"/>
        <color theme="1"/>
        <rFont val="Calibri"/>
      </rPr>
      <t xml:space="preserve">Aportaciones </t>
    </r>
    <r>
      <rPr>
        <i/>
        <sz val="11"/>
        <color rgb="FFFF0000"/>
        <rFont val="Calibri"/>
      </rPr>
      <t>(no etiquetado)</t>
    </r>
  </si>
  <si>
    <t>82500-804</t>
  </si>
  <si>
    <r>
      <rPr>
        <i/>
        <sz val="11"/>
        <color theme="1"/>
        <rFont val="Calibri"/>
      </rPr>
      <t xml:space="preserve">Aportaciones </t>
    </r>
    <r>
      <rPr>
        <i/>
        <sz val="11"/>
        <color rgb="FFFF0000"/>
        <rFont val="Calibri"/>
      </rPr>
      <t>(etiquetado)</t>
    </r>
  </si>
  <si>
    <t>82500-805</t>
  </si>
  <si>
    <r>
      <rPr>
        <i/>
        <sz val="11"/>
        <color theme="1"/>
        <rFont val="Calibri"/>
      </rPr>
      <t xml:space="preserve">Convenios </t>
    </r>
    <r>
      <rPr>
        <i/>
        <sz val="11"/>
        <color rgb="FFFF0000"/>
        <rFont val="Calibri"/>
      </rPr>
      <t>(no etiquetado)</t>
    </r>
  </si>
  <si>
    <t>82500-806</t>
  </si>
  <si>
    <r>
      <rPr>
        <i/>
        <sz val="11"/>
        <color theme="1"/>
        <rFont val="Calibri"/>
      </rPr>
      <t xml:space="preserve">Convenios </t>
    </r>
    <r>
      <rPr>
        <i/>
        <sz val="11"/>
        <color rgb="FFFF0000"/>
        <rFont val="Calibri"/>
      </rPr>
      <t>(etiquetado)</t>
    </r>
  </si>
  <si>
    <t>82500-900</t>
  </si>
  <si>
    <t>82500-901</t>
  </si>
  <si>
    <r>
      <rPr>
        <i/>
        <sz val="11"/>
        <color theme="1"/>
        <rFont val="Calibri"/>
      </rPr>
      <t xml:space="preserve">Amortización de la deuda pública </t>
    </r>
    <r>
      <rPr>
        <i/>
        <sz val="11"/>
        <color rgb="FFFF0000"/>
        <rFont val="Calibri"/>
      </rPr>
      <t>(no etiquetado)</t>
    </r>
  </si>
  <si>
    <t>82500-902</t>
  </si>
  <si>
    <r>
      <rPr>
        <i/>
        <sz val="11"/>
        <color theme="1"/>
        <rFont val="Calibri"/>
      </rPr>
      <t xml:space="preserve">Amortización de la deuda pública </t>
    </r>
    <r>
      <rPr>
        <i/>
        <sz val="11"/>
        <color rgb="FFFF0000"/>
        <rFont val="Calibri"/>
      </rPr>
      <t>(etiquetado)</t>
    </r>
  </si>
  <si>
    <t>82500-903</t>
  </si>
  <si>
    <r>
      <rPr>
        <i/>
        <sz val="11"/>
        <color theme="1"/>
        <rFont val="Calibri"/>
      </rPr>
      <t xml:space="preserve">Intereses de la deuda pública </t>
    </r>
    <r>
      <rPr>
        <i/>
        <sz val="11"/>
        <color rgb="FFFF0000"/>
        <rFont val="Calibri"/>
      </rPr>
      <t>(no etiquetado)</t>
    </r>
  </si>
  <si>
    <t>82500-904</t>
  </si>
  <si>
    <r>
      <rPr>
        <i/>
        <sz val="11"/>
        <color theme="1"/>
        <rFont val="Calibri"/>
      </rPr>
      <t xml:space="preserve">Intereses de la deuda pública </t>
    </r>
    <r>
      <rPr>
        <i/>
        <sz val="11"/>
        <color rgb="FFFF0000"/>
        <rFont val="Calibri"/>
      </rPr>
      <t>(etiquetado)</t>
    </r>
  </si>
  <si>
    <t>82500-905</t>
  </si>
  <si>
    <r>
      <rPr>
        <i/>
        <sz val="11"/>
        <color theme="1"/>
        <rFont val="Calibri"/>
      </rPr>
      <t xml:space="preserve">Comisiones de la deuda pública </t>
    </r>
    <r>
      <rPr>
        <i/>
        <sz val="11"/>
        <color rgb="FFFF0000"/>
        <rFont val="Calibri"/>
      </rPr>
      <t>(no etiquetado)</t>
    </r>
  </si>
  <si>
    <t>82500-906</t>
  </si>
  <si>
    <r>
      <rPr>
        <i/>
        <sz val="11"/>
        <color theme="1"/>
        <rFont val="Calibri"/>
      </rPr>
      <t xml:space="preserve">Comisiones de la deuda pública </t>
    </r>
    <r>
      <rPr>
        <i/>
        <sz val="11"/>
        <color rgb="FFFF0000"/>
        <rFont val="Calibri"/>
      </rPr>
      <t>(etiquetado)</t>
    </r>
  </si>
  <si>
    <t>82500-907</t>
  </si>
  <si>
    <r>
      <rPr>
        <i/>
        <sz val="11"/>
        <color theme="1"/>
        <rFont val="Calibri"/>
      </rPr>
      <t xml:space="preserve">Gastos de la deuda pública </t>
    </r>
    <r>
      <rPr>
        <i/>
        <sz val="11"/>
        <color rgb="FFFF0000"/>
        <rFont val="Calibri"/>
      </rPr>
      <t>(no etiquetado)</t>
    </r>
  </si>
  <si>
    <t>82500-908</t>
  </si>
  <si>
    <r>
      <rPr>
        <i/>
        <sz val="11"/>
        <color theme="1"/>
        <rFont val="Calibri"/>
      </rPr>
      <t xml:space="preserve">Gastos de la deuda pública </t>
    </r>
    <r>
      <rPr>
        <i/>
        <sz val="11"/>
        <color rgb="FFFF0000"/>
        <rFont val="Calibri"/>
      </rPr>
      <t>(etiquetado)</t>
    </r>
  </si>
  <si>
    <t>82500-909</t>
  </si>
  <si>
    <r>
      <rPr>
        <i/>
        <sz val="11"/>
        <color theme="1"/>
        <rFont val="Calibri"/>
      </rPr>
      <t xml:space="preserve">Costo por coberturas </t>
    </r>
    <r>
      <rPr>
        <i/>
        <sz val="11"/>
        <color rgb="FFFF0000"/>
        <rFont val="Calibri"/>
      </rPr>
      <t>(no etiquetado)</t>
    </r>
  </si>
  <si>
    <t>82500-910</t>
  </si>
  <si>
    <r>
      <rPr>
        <i/>
        <sz val="11"/>
        <color theme="1"/>
        <rFont val="Calibri"/>
      </rPr>
      <t xml:space="preserve">Costo por coberturas </t>
    </r>
    <r>
      <rPr>
        <i/>
        <sz val="11"/>
        <color rgb="FFFF0000"/>
        <rFont val="Calibri"/>
      </rPr>
      <t>(etiquetado)</t>
    </r>
  </si>
  <si>
    <t>82500-911</t>
  </si>
  <si>
    <r>
      <rPr>
        <i/>
        <sz val="11"/>
        <color theme="1"/>
        <rFont val="Calibri"/>
      </rPr>
      <t xml:space="preserve">Apoyos financieros </t>
    </r>
    <r>
      <rPr>
        <i/>
        <sz val="11"/>
        <color rgb="FFFF0000"/>
        <rFont val="Calibri"/>
      </rPr>
      <t>(no etiquetado)</t>
    </r>
  </si>
  <si>
    <t>82500-912</t>
  </si>
  <si>
    <r>
      <rPr>
        <i/>
        <sz val="11"/>
        <color theme="1"/>
        <rFont val="Calibri"/>
      </rPr>
      <t xml:space="preserve">Apoyos financieros </t>
    </r>
    <r>
      <rPr>
        <i/>
        <sz val="11"/>
        <color rgb="FFFF0000"/>
        <rFont val="Calibri"/>
      </rPr>
      <t>(etiquetado)</t>
    </r>
  </si>
  <si>
    <t>82500-913</t>
  </si>
  <si>
    <r>
      <rPr>
        <i/>
        <sz val="11"/>
        <color theme="1"/>
        <rFont val="Calibri"/>
      </rPr>
      <t xml:space="preserve">Adeudos de ejercicios anteriores (adefas) </t>
    </r>
    <r>
      <rPr>
        <i/>
        <sz val="11"/>
        <color rgb="FFFF0000"/>
        <rFont val="Calibri"/>
      </rPr>
      <t>(no etiquetado)</t>
    </r>
  </si>
  <si>
    <t>82500-914</t>
  </si>
  <si>
    <r>
      <rPr>
        <i/>
        <sz val="11"/>
        <color theme="1"/>
        <rFont val="Calibri"/>
      </rPr>
      <t xml:space="preserve">Adeudos de ejercicios anteriores (adefas) </t>
    </r>
    <r>
      <rPr>
        <i/>
        <sz val="11"/>
        <color rgb="FFFF0000"/>
        <rFont val="Calibri"/>
      </rPr>
      <t>(etiquetado)</t>
    </r>
  </si>
  <si>
    <t>PRESUPUESTO DE EGRESOS EJERCIDO</t>
  </si>
  <si>
    <t>82600-100</t>
  </si>
  <si>
    <t>82600-101</t>
  </si>
  <si>
    <r>
      <rPr>
        <i/>
        <sz val="11"/>
        <color rgb="FF000000"/>
        <rFont val="Calibri"/>
      </rPr>
      <t xml:space="preserve">Remuneraciones al personal de carácter permanente </t>
    </r>
    <r>
      <rPr>
        <i/>
        <sz val="11"/>
        <color rgb="FFFF0000"/>
        <rFont val="Calibri"/>
      </rPr>
      <t>(no etiquetado)</t>
    </r>
  </si>
  <si>
    <t>82600-102</t>
  </si>
  <si>
    <r>
      <rPr>
        <i/>
        <sz val="11"/>
        <color rgb="FF000000"/>
        <rFont val="Calibri"/>
      </rPr>
      <t xml:space="preserve">Remuneraciones al personal de carácter permanente </t>
    </r>
    <r>
      <rPr>
        <i/>
        <sz val="11"/>
        <color rgb="FFFF0000"/>
        <rFont val="Calibri"/>
      </rPr>
      <t>(etiquetado)</t>
    </r>
  </si>
  <si>
    <t>82600-103</t>
  </si>
  <si>
    <r>
      <rPr>
        <i/>
        <sz val="11"/>
        <color rgb="FF000000"/>
        <rFont val="Calibri"/>
      </rPr>
      <t xml:space="preserve">Remuneraciones al personal de carácter transitorio </t>
    </r>
    <r>
      <rPr>
        <i/>
        <sz val="11"/>
        <color rgb="FFFF0000"/>
        <rFont val="Calibri"/>
      </rPr>
      <t>(no etiquetado)</t>
    </r>
  </si>
  <si>
    <t>82600-104</t>
  </si>
  <si>
    <r>
      <rPr>
        <i/>
        <sz val="11"/>
        <color rgb="FF000000"/>
        <rFont val="Calibri"/>
      </rPr>
      <t xml:space="preserve">Remuneraciones al personal de carácter transitorio </t>
    </r>
    <r>
      <rPr>
        <i/>
        <sz val="11"/>
        <color rgb="FFFF0000"/>
        <rFont val="Calibri"/>
      </rPr>
      <t>(etiquetado)</t>
    </r>
  </si>
  <si>
    <t>82600-105</t>
  </si>
  <si>
    <r>
      <rPr>
        <i/>
        <sz val="11"/>
        <color rgb="FF000000"/>
        <rFont val="Calibri"/>
      </rPr>
      <t xml:space="preserve">Remuneraciones adicionales especiales </t>
    </r>
    <r>
      <rPr>
        <i/>
        <sz val="11"/>
        <color rgb="FFFF0000"/>
        <rFont val="Calibri"/>
      </rPr>
      <t>(no etiquetado)</t>
    </r>
  </si>
  <si>
    <t>82600-106</t>
  </si>
  <si>
    <r>
      <rPr>
        <i/>
        <sz val="11"/>
        <color rgb="FF000000"/>
        <rFont val="Calibri"/>
      </rPr>
      <t xml:space="preserve">Remuneraciones adicionales especiales </t>
    </r>
    <r>
      <rPr>
        <i/>
        <sz val="11"/>
        <color rgb="FFFF0000"/>
        <rFont val="Calibri"/>
      </rPr>
      <t>(etiquetado)</t>
    </r>
  </si>
  <si>
    <t>82600-107</t>
  </si>
  <si>
    <r>
      <rPr>
        <i/>
        <sz val="11"/>
        <color rgb="FF000000"/>
        <rFont val="Calibri"/>
      </rPr>
      <t xml:space="preserve">Seguridad social </t>
    </r>
    <r>
      <rPr>
        <i/>
        <sz val="11"/>
        <color rgb="FFFF0000"/>
        <rFont val="Calibri"/>
      </rPr>
      <t>(no etiquetado)</t>
    </r>
  </si>
  <si>
    <t>82600-108</t>
  </si>
  <si>
    <r>
      <rPr>
        <i/>
        <sz val="11"/>
        <color rgb="FF000000"/>
        <rFont val="Calibri"/>
      </rPr>
      <t xml:space="preserve">Seguridad social </t>
    </r>
    <r>
      <rPr>
        <i/>
        <sz val="11"/>
        <color rgb="FFFF0000"/>
        <rFont val="Calibri"/>
      </rPr>
      <t>(etiquetado)</t>
    </r>
  </si>
  <si>
    <t>82600-109</t>
  </si>
  <si>
    <r>
      <rPr>
        <i/>
        <sz val="11"/>
        <color rgb="FF000000"/>
        <rFont val="Calibri"/>
      </rPr>
      <t xml:space="preserve">Otras prestaciones sociales y económicas </t>
    </r>
    <r>
      <rPr>
        <i/>
        <sz val="11"/>
        <color rgb="FFFF0000"/>
        <rFont val="Calibri"/>
      </rPr>
      <t>(no etiquetado)</t>
    </r>
  </si>
  <si>
    <t>82600-110</t>
  </si>
  <si>
    <r>
      <rPr>
        <i/>
        <sz val="11"/>
        <color rgb="FF000000"/>
        <rFont val="Calibri"/>
      </rPr>
      <t xml:space="preserve">Otras prestaciones sociales y económicas </t>
    </r>
    <r>
      <rPr>
        <i/>
        <sz val="11"/>
        <color rgb="FFFF0000"/>
        <rFont val="Calibri"/>
      </rPr>
      <t>(etiquetado)</t>
    </r>
  </si>
  <si>
    <t>82600-111</t>
  </si>
  <si>
    <r>
      <rPr>
        <i/>
        <sz val="11"/>
        <color rgb="FF000000"/>
        <rFont val="Calibri"/>
      </rPr>
      <t xml:space="preserve">Previsiones </t>
    </r>
    <r>
      <rPr>
        <i/>
        <sz val="11"/>
        <color rgb="FFFF0000"/>
        <rFont val="Calibri"/>
      </rPr>
      <t>(no etiquetado)</t>
    </r>
  </si>
  <si>
    <t>82600-112</t>
  </si>
  <si>
    <r>
      <rPr>
        <i/>
        <sz val="11"/>
        <color rgb="FF000000"/>
        <rFont val="Calibri"/>
      </rPr>
      <t xml:space="preserve">Previsiones </t>
    </r>
    <r>
      <rPr>
        <i/>
        <sz val="11"/>
        <color rgb="FFFF0000"/>
        <rFont val="Calibri"/>
      </rPr>
      <t>(etiquetado)</t>
    </r>
  </si>
  <si>
    <t>82600-113</t>
  </si>
  <si>
    <r>
      <rPr>
        <i/>
        <sz val="11"/>
        <color rgb="FF000000"/>
        <rFont val="Calibri"/>
      </rPr>
      <t xml:space="preserve">Pago de estímulos a servidores públicos </t>
    </r>
    <r>
      <rPr>
        <i/>
        <sz val="11"/>
        <color rgb="FFFF0000"/>
        <rFont val="Calibri"/>
      </rPr>
      <t>(no etiquetado)</t>
    </r>
  </si>
  <si>
    <t>82600-114</t>
  </si>
  <si>
    <r>
      <rPr>
        <i/>
        <sz val="11"/>
        <color rgb="FF000000"/>
        <rFont val="Calibri"/>
      </rPr>
      <t xml:space="preserve">Pago de estímulos a servidores públicos </t>
    </r>
    <r>
      <rPr>
        <i/>
        <sz val="11"/>
        <color rgb="FFFF0000"/>
        <rFont val="Calibri"/>
      </rPr>
      <t>(etiquetado)</t>
    </r>
  </si>
  <si>
    <t>82600-200</t>
  </si>
  <si>
    <t>82600-201</t>
  </si>
  <si>
    <r>
      <rPr>
        <i/>
        <sz val="11"/>
        <color rgb="FF000000"/>
        <rFont val="Calibri"/>
      </rPr>
      <t xml:space="preserve">Materiales de administración, emisión de documentos y artículos oficiales </t>
    </r>
    <r>
      <rPr>
        <i/>
        <sz val="11"/>
        <color rgb="FFFF0000"/>
        <rFont val="Calibri"/>
      </rPr>
      <t>(no etiquetado)</t>
    </r>
  </si>
  <si>
    <t>82600-202</t>
  </si>
  <si>
    <r>
      <rPr>
        <i/>
        <sz val="11"/>
        <color rgb="FF000000"/>
        <rFont val="Calibri"/>
      </rPr>
      <t xml:space="preserve">Materiales de administración, emisión de documentos y artículos oficiales </t>
    </r>
    <r>
      <rPr>
        <i/>
        <sz val="11"/>
        <color rgb="FFFF0000"/>
        <rFont val="Calibri"/>
      </rPr>
      <t>(etiquetado)</t>
    </r>
  </si>
  <si>
    <t>82600-203</t>
  </si>
  <si>
    <r>
      <rPr>
        <i/>
        <sz val="11"/>
        <color rgb="FF000000"/>
        <rFont val="Calibri"/>
      </rPr>
      <t xml:space="preserve">Alimentos y utensilios </t>
    </r>
    <r>
      <rPr>
        <i/>
        <sz val="11"/>
        <color rgb="FFFF0000"/>
        <rFont val="Calibri"/>
      </rPr>
      <t>(no etiquetado)</t>
    </r>
  </si>
  <si>
    <t>82600-204</t>
  </si>
  <si>
    <r>
      <rPr>
        <i/>
        <sz val="11"/>
        <color rgb="FF000000"/>
        <rFont val="Calibri"/>
      </rPr>
      <t xml:space="preserve">Alimentos y utensilios </t>
    </r>
    <r>
      <rPr>
        <i/>
        <sz val="11"/>
        <color rgb="FFFF0000"/>
        <rFont val="Calibri"/>
      </rPr>
      <t>(etiquetado)</t>
    </r>
  </si>
  <si>
    <t>82600-205</t>
  </si>
  <si>
    <r>
      <rPr>
        <i/>
        <sz val="11"/>
        <color rgb="FF000000"/>
        <rFont val="Calibri"/>
      </rPr>
      <t xml:space="preserve">Materias primas y materiales de producción y comercialización </t>
    </r>
    <r>
      <rPr>
        <i/>
        <sz val="11"/>
        <color rgb="FFFF0000"/>
        <rFont val="Calibri"/>
      </rPr>
      <t>(no etiquetado)</t>
    </r>
  </si>
  <si>
    <t>82600-206</t>
  </si>
  <si>
    <r>
      <rPr>
        <i/>
        <sz val="11"/>
        <color rgb="FF000000"/>
        <rFont val="Calibri"/>
      </rPr>
      <t xml:space="preserve">Materias primas y materiales de producción y comercialización </t>
    </r>
    <r>
      <rPr>
        <i/>
        <sz val="11"/>
        <color rgb="FFFF0000"/>
        <rFont val="Calibri"/>
      </rPr>
      <t>(etiquetado)</t>
    </r>
  </si>
  <si>
    <t>82600-207</t>
  </si>
  <si>
    <r>
      <rPr>
        <i/>
        <sz val="11"/>
        <color rgb="FF000000"/>
        <rFont val="Calibri"/>
      </rPr>
      <t xml:space="preserve">Materiales y artículos de construcción y de reparación </t>
    </r>
    <r>
      <rPr>
        <i/>
        <sz val="11"/>
        <color rgb="FFFF0000"/>
        <rFont val="Calibri"/>
      </rPr>
      <t>(no etiquetado)</t>
    </r>
  </si>
  <si>
    <t>82600-208</t>
  </si>
  <si>
    <r>
      <rPr>
        <i/>
        <sz val="11"/>
        <color rgb="FF000000"/>
        <rFont val="Calibri"/>
      </rPr>
      <t xml:space="preserve">Materiales y artículos de construcción y de reparación </t>
    </r>
    <r>
      <rPr>
        <i/>
        <sz val="11"/>
        <color rgb="FFFF0000"/>
        <rFont val="Calibri"/>
      </rPr>
      <t>(etiquetado)</t>
    </r>
  </si>
  <si>
    <t>82600-209</t>
  </si>
  <si>
    <r>
      <rPr>
        <i/>
        <sz val="11"/>
        <color rgb="FF000000"/>
        <rFont val="Calibri"/>
      </rPr>
      <t xml:space="preserve">Productos químicos, farmacéuticos y de laboratorio </t>
    </r>
    <r>
      <rPr>
        <i/>
        <sz val="11"/>
        <color rgb="FFFF0000"/>
        <rFont val="Calibri"/>
      </rPr>
      <t>(no etiquetado)</t>
    </r>
  </si>
  <si>
    <t>82600-210</t>
  </si>
  <si>
    <r>
      <rPr>
        <i/>
        <sz val="11"/>
        <color rgb="FF000000"/>
        <rFont val="Calibri"/>
      </rPr>
      <t xml:space="preserve">Productos químicos, farmacéuticos y de laboratorio </t>
    </r>
    <r>
      <rPr>
        <i/>
        <sz val="11"/>
        <color rgb="FFFF0000"/>
        <rFont val="Calibri"/>
      </rPr>
      <t>(etiquetado)</t>
    </r>
  </si>
  <si>
    <t>82600-211</t>
  </si>
  <si>
    <r>
      <rPr>
        <i/>
        <sz val="11"/>
        <color rgb="FF000000"/>
        <rFont val="Calibri"/>
      </rPr>
      <t xml:space="preserve">Combustibles, lubricantes y aditivos </t>
    </r>
    <r>
      <rPr>
        <i/>
        <sz val="11"/>
        <color rgb="FFFF0000"/>
        <rFont val="Calibri"/>
      </rPr>
      <t>(no etiquetado)</t>
    </r>
  </si>
  <si>
    <t>82600-212</t>
  </si>
  <si>
    <r>
      <rPr>
        <i/>
        <sz val="11"/>
        <color rgb="FF000000"/>
        <rFont val="Calibri"/>
      </rPr>
      <t xml:space="preserve">Combustibles, lubricantes y aditivos </t>
    </r>
    <r>
      <rPr>
        <i/>
        <sz val="11"/>
        <color rgb="FFFF0000"/>
        <rFont val="Calibri"/>
      </rPr>
      <t>(etiquetado)</t>
    </r>
  </si>
  <si>
    <t>82600-213</t>
  </si>
  <si>
    <r>
      <rPr>
        <i/>
        <sz val="11"/>
        <color rgb="FF000000"/>
        <rFont val="Calibri"/>
      </rPr>
      <t xml:space="preserve">Vestuario, blancos, prendas de protección y artículos deportivos </t>
    </r>
    <r>
      <rPr>
        <i/>
        <sz val="11"/>
        <color rgb="FFFF0000"/>
        <rFont val="Calibri"/>
      </rPr>
      <t>(no etiquetado)</t>
    </r>
  </si>
  <si>
    <t>82600-214</t>
  </si>
  <si>
    <r>
      <rPr>
        <i/>
        <sz val="11"/>
        <color rgb="FF000000"/>
        <rFont val="Calibri"/>
      </rPr>
      <t xml:space="preserve">Vestuario, blancos, prendas de protección y artículos deportivos </t>
    </r>
    <r>
      <rPr>
        <i/>
        <sz val="11"/>
        <color rgb="FFFF0000"/>
        <rFont val="Calibri"/>
      </rPr>
      <t>(etiquetado)</t>
    </r>
  </si>
  <si>
    <t>82600-215</t>
  </si>
  <si>
    <r>
      <rPr>
        <i/>
        <sz val="11"/>
        <color rgb="FF000000"/>
        <rFont val="Calibri"/>
      </rPr>
      <t xml:space="preserve">Materiales y suministros de seguridad </t>
    </r>
    <r>
      <rPr>
        <i/>
        <sz val="11"/>
        <color rgb="FFFF0000"/>
        <rFont val="Calibri"/>
      </rPr>
      <t>(no etiquetado)</t>
    </r>
  </si>
  <si>
    <t>82600-216</t>
  </si>
  <si>
    <r>
      <rPr>
        <i/>
        <sz val="11"/>
        <color rgb="FF000000"/>
        <rFont val="Calibri"/>
      </rPr>
      <t xml:space="preserve">Materiales y suministros de seguridad </t>
    </r>
    <r>
      <rPr>
        <i/>
        <sz val="11"/>
        <color rgb="FFFF0000"/>
        <rFont val="Calibri"/>
      </rPr>
      <t>(etiquetado)</t>
    </r>
  </si>
  <si>
    <t>82600-217</t>
  </si>
  <si>
    <r>
      <rPr>
        <i/>
        <sz val="11"/>
        <color rgb="FF000000"/>
        <rFont val="Calibri"/>
      </rPr>
      <t xml:space="preserve">Herramientas, refacciones y accesorios menores </t>
    </r>
    <r>
      <rPr>
        <i/>
        <sz val="11"/>
        <color rgb="FFFF0000"/>
        <rFont val="Calibri"/>
      </rPr>
      <t>(no etiquetado)</t>
    </r>
  </si>
  <si>
    <t>82600-218</t>
  </si>
  <si>
    <r>
      <rPr>
        <i/>
        <sz val="11"/>
        <color rgb="FF000000"/>
        <rFont val="Calibri"/>
      </rPr>
      <t xml:space="preserve">Herramientas, refacciones y accesorios menores </t>
    </r>
    <r>
      <rPr>
        <i/>
        <sz val="11"/>
        <color rgb="FFFF0000"/>
        <rFont val="Calibri"/>
      </rPr>
      <t>(etiquetado)</t>
    </r>
  </si>
  <si>
    <t>82600-300</t>
  </si>
  <si>
    <t>82600-301</t>
  </si>
  <si>
    <r>
      <rPr>
        <i/>
        <sz val="11"/>
        <color rgb="FF000000"/>
        <rFont val="Calibri"/>
      </rPr>
      <t xml:space="preserve">Servicios básicos </t>
    </r>
    <r>
      <rPr>
        <i/>
        <sz val="11"/>
        <color rgb="FFFF0000"/>
        <rFont val="Calibri"/>
      </rPr>
      <t>(no etiquetado)</t>
    </r>
  </si>
  <si>
    <t>82600-302</t>
  </si>
  <si>
    <r>
      <rPr>
        <i/>
        <sz val="11"/>
        <color rgb="FF000000"/>
        <rFont val="Calibri"/>
      </rPr>
      <t xml:space="preserve">Servicios básicos </t>
    </r>
    <r>
      <rPr>
        <i/>
        <sz val="11"/>
        <color rgb="FFFF0000"/>
        <rFont val="Calibri"/>
      </rPr>
      <t>(etiquetado)</t>
    </r>
  </si>
  <si>
    <t>82600-303</t>
  </si>
  <si>
    <r>
      <rPr>
        <i/>
        <sz val="11"/>
        <color rgb="FF000000"/>
        <rFont val="Calibri"/>
      </rPr>
      <t xml:space="preserve">Servicios de arrendamiento </t>
    </r>
    <r>
      <rPr>
        <i/>
        <sz val="11"/>
        <color rgb="FFFF0000"/>
        <rFont val="Calibri"/>
      </rPr>
      <t>(no etiquetado)</t>
    </r>
  </si>
  <si>
    <t>82600-304</t>
  </si>
  <si>
    <r>
      <rPr>
        <i/>
        <sz val="11"/>
        <color rgb="FF000000"/>
        <rFont val="Calibri"/>
      </rPr>
      <t xml:space="preserve">Servicios de arrendamiento </t>
    </r>
    <r>
      <rPr>
        <i/>
        <sz val="11"/>
        <color rgb="FFFF0000"/>
        <rFont val="Calibri"/>
      </rPr>
      <t>(etiquetado)</t>
    </r>
  </si>
  <si>
    <t>82600-305</t>
  </si>
  <si>
    <r>
      <rPr>
        <i/>
        <sz val="11"/>
        <color rgb="FF000000"/>
        <rFont val="Calibri"/>
      </rPr>
      <t xml:space="preserve">Servicios profesionales, científicos, técnicos y otros servicios </t>
    </r>
    <r>
      <rPr>
        <i/>
        <sz val="11"/>
        <color rgb="FFFF0000"/>
        <rFont val="Calibri"/>
      </rPr>
      <t>(no etiquetado)</t>
    </r>
  </si>
  <si>
    <t>82600-306</t>
  </si>
  <si>
    <r>
      <rPr>
        <i/>
        <sz val="11"/>
        <color rgb="FF000000"/>
        <rFont val="Calibri"/>
      </rPr>
      <t xml:space="preserve">Servicios profesionales, científicos, técnicos y otros servicios </t>
    </r>
    <r>
      <rPr>
        <i/>
        <sz val="11"/>
        <color rgb="FFFF0000"/>
        <rFont val="Calibri"/>
      </rPr>
      <t>(etiquetado)</t>
    </r>
  </si>
  <si>
    <t>82600-307</t>
  </si>
  <si>
    <r>
      <rPr>
        <i/>
        <sz val="11"/>
        <color rgb="FF000000"/>
        <rFont val="Calibri"/>
      </rPr>
      <t xml:space="preserve">Servicios financieros, bancarios y comerciales </t>
    </r>
    <r>
      <rPr>
        <i/>
        <sz val="11"/>
        <color rgb="FFFF0000"/>
        <rFont val="Calibri"/>
      </rPr>
      <t>(no etiquetado)</t>
    </r>
  </si>
  <si>
    <t>82600-308</t>
  </si>
  <si>
    <r>
      <rPr>
        <i/>
        <sz val="11"/>
        <color rgb="FF000000"/>
        <rFont val="Calibri"/>
      </rPr>
      <t xml:space="preserve">Servicios financieros, bancarios y comerciales </t>
    </r>
    <r>
      <rPr>
        <i/>
        <sz val="11"/>
        <color rgb="FFFF0000"/>
        <rFont val="Calibri"/>
      </rPr>
      <t>(etiquetado)</t>
    </r>
  </si>
  <si>
    <t>82600-309</t>
  </si>
  <si>
    <r>
      <rPr>
        <i/>
        <sz val="11"/>
        <color rgb="FF000000"/>
        <rFont val="Calibri"/>
      </rPr>
      <t xml:space="preserve">Servicios de instalación, reparación, mantenimiento y conservación </t>
    </r>
    <r>
      <rPr>
        <i/>
        <sz val="11"/>
        <color rgb="FFFF0000"/>
        <rFont val="Calibri"/>
      </rPr>
      <t>(no etiquetado)</t>
    </r>
  </si>
  <si>
    <t>82600-310</t>
  </si>
  <si>
    <r>
      <rPr>
        <i/>
        <sz val="11"/>
        <color rgb="FF000000"/>
        <rFont val="Calibri"/>
      </rPr>
      <t xml:space="preserve">Servicios de instalación, reparación, mantenimiento y conservación </t>
    </r>
    <r>
      <rPr>
        <i/>
        <sz val="11"/>
        <color rgb="FFFF0000"/>
        <rFont val="Calibri"/>
      </rPr>
      <t>(etiquetado)</t>
    </r>
  </si>
  <si>
    <t>82600-311</t>
  </si>
  <si>
    <r>
      <rPr>
        <i/>
        <sz val="11"/>
        <color rgb="FF000000"/>
        <rFont val="Calibri"/>
      </rPr>
      <t xml:space="preserve">Servicios de comunicación social y publicidad </t>
    </r>
    <r>
      <rPr>
        <i/>
        <sz val="11"/>
        <color rgb="FFFF0000"/>
        <rFont val="Calibri"/>
      </rPr>
      <t>(no etiquetado)</t>
    </r>
  </si>
  <si>
    <t>82600-312</t>
  </si>
  <si>
    <r>
      <rPr>
        <i/>
        <sz val="11"/>
        <color rgb="FF000000"/>
        <rFont val="Calibri"/>
      </rPr>
      <t xml:space="preserve">Servicios de comunicación social y publicidad </t>
    </r>
    <r>
      <rPr>
        <i/>
        <sz val="11"/>
        <color rgb="FFFF0000"/>
        <rFont val="Calibri"/>
      </rPr>
      <t>(etiquetado)</t>
    </r>
  </si>
  <si>
    <t>82600-313</t>
  </si>
  <si>
    <r>
      <rPr>
        <i/>
        <sz val="11"/>
        <color rgb="FF000000"/>
        <rFont val="Calibri"/>
      </rPr>
      <t xml:space="preserve">Servicios de traslado y viáticos </t>
    </r>
    <r>
      <rPr>
        <i/>
        <sz val="11"/>
        <color rgb="FFFF0000"/>
        <rFont val="Calibri"/>
      </rPr>
      <t>(no etiquetado)</t>
    </r>
  </si>
  <si>
    <t>82600-314</t>
  </si>
  <si>
    <r>
      <rPr>
        <i/>
        <sz val="11"/>
        <color rgb="FF000000"/>
        <rFont val="Calibri"/>
      </rPr>
      <t xml:space="preserve">Servicios de traslado y viáticos </t>
    </r>
    <r>
      <rPr>
        <i/>
        <sz val="11"/>
        <color rgb="FFFF0000"/>
        <rFont val="Calibri"/>
      </rPr>
      <t>(etiquetado)</t>
    </r>
  </si>
  <si>
    <t>82600-315</t>
  </si>
  <si>
    <r>
      <rPr>
        <i/>
        <sz val="11"/>
        <color rgb="FF000000"/>
        <rFont val="Calibri"/>
      </rPr>
      <t xml:space="preserve">Servicios oficiales </t>
    </r>
    <r>
      <rPr>
        <i/>
        <sz val="11"/>
        <color rgb="FFFF0000"/>
        <rFont val="Calibri"/>
      </rPr>
      <t>(no etiquetado)</t>
    </r>
  </si>
  <si>
    <t>82600-316</t>
  </si>
  <si>
    <r>
      <rPr>
        <i/>
        <sz val="11"/>
        <color rgb="FF000000"/>
        <rFont val="Calibri"/>
      </rPr>
      <t xml:space="preserve">Servicios oficiales </t>
    </r>
    <r>
      <rPr>
        <i/>
        <sz val="11"/>
        <color rgb="FFFF0000"/>
        <rFont val="Calibri"/>
      </rPr>
      <t>(etiquetado)</t>
    </r>
  </si>
  <si>
    <t>82600-317</t>
  </si>
  <si>
    <r>
      <rPr>
        <i/>
        <sz val="11"/>
        <color rgb="FF000000"/>
        <rFont val="Calibri"/>
      </rPr>
      <t xml:space="preserve">Otros servicios generales </t>
    </r>
    <r>
      <rPr>
        <i/>
        <sz val="11"/>
        <color rgb="FFFF0000"/>
        <rFont val="Calibri"/>
      </rPr>
      <t>(no etiquetado)</t>
    </r>
  </si>
  <si>
    <t>82600-318</t>
  </si>
  <si>
    <r>
      <rPr>
        <i/>
        <sz val="11"/>
        <color rgb="FF000000"/>
        <rFont val="Calibri"/>
      </rPr>
      <t xml:space="preserve">Otros servicios generales </t>
    </r>
    <r>
      <rPr>
        <i/>
        <sz val="11"/>
        <color rgb="FFFF0000"/>
        <rFont val="Calibri"/>
      </rPr>
      <t>(etiquetado)</t>
    </r>
  </si>
  <si>
    <t>82600-400</t>
  </si>
  <si>
    <t>82600-401</t>
  </si>
  <si>
    <r>
      <rPr>
        <i/>
        <sz val="11"/>
        <color rgb="FF000000"/>
        <rFont val="Calibri"/>
      </rPr>
      <t xml:space="preserve">Transferencias internas y asignaciones al sector público </t>
    </r>
    <r>
      <rPr>
        <i/>
        <sz val="11"/>
        <color rgb="FFFF0000"/>
        <rFont val="Calibri"/>
      </rPr>
      <t>(no etiquetado)</t>
    </r>
  </si>
  <si>
    <t>82600-402</t>
  </si>
  <si>
    <r>
      <rPr>
        <i/>
        <sz val="11"/>
        <color rgb="FF000000"/>
        <rFont val="Calibri"/>
      </rPr>
      <t xml:space="preserve">Transferencias internas y asignaciones al sector público </t>
    </r>
    <r>
      <rPr>
        <i/>
        <sz val="11"/>
        <color rgb="FFFF0000"/>
        <rFont val="Calibri"/>
      </rPr>
      <t>(etiquetado)</t>
    </r>
  </si>
  <si>
    <t>82600-403</t>
  </si>
  <si>
    <r>
      <rPr>
        <i/>
        <sz val="11"/>
        <color rgb="FF000000"/>
        <rFont val="Calibri"/>
      </rPr>
      <t xml:space="preserve">Transferencias al resto del sector público </t>
    </r>
    <r>
      <rPr>
        <i/>
        <sz val="11"/>
        <color rgb="FFFF0000"/>
        <rFont val="Calibri"/>
      </rPr>
      <t>(no etiquetado)</t>
    </r>
  </si>
  <si>
    <t>82600-404</t>
  </si>
  <si>
    <r>
      <rPr>
        <i/>
        <sz val="11"/>
        <color rgb="FF000000"/>
        <rFont val="Calibri"/>
      </rPr>
      <t xml:space="preserve">Transferencias al resto del sector público </t>
    </r>
    <r>
      <rPr>
        <i/>
        <sz val="11"/>
        <color rgb="FFFF0000"/>
        <rFont val="Calibri"/>
      </rPr>
      <t>(etiquetado)</t>
    </r>
  </si>
  <si>
    <t>82600-405</t>
  </si>
  <si>
    <r>
      <rPr>
        <i/>
        <sz val="11"/>
        <color rgb="FF000000"/>
        <rFont val="Calibri"/>
      </rPr>
      <t xml:space="preserve">Subsidios y subvenciones </t>
    </r>
    <r>
      <rPr>
        <i/>
        <sz val="11"/>
        <color rgb="FFFF0000"/>
        <rFont val="Calibri"/>
      </rPr>
      <t>(no etiquetado)</t>
    </r>
  </si>
  <si>
    <t>82600-406</t>
  </si>
  <si>
    <r>
      <rPr>
        <i/>
        <sz val="11"/>
        <color rgb="FF000000"/>
        <rFont val="Calibri"/>
      </rPr>
      <t xml:space="preserve">Subsidios y subvenciones </t>
    </r>
    <r>
      <rPr>
        <i/>
        <sz val="11"/>
        <color rgb="FFFF0000"/>
        <rFont val="Calibri"/>
      </rPr>
      <t>(etiquetado)</t>
    </r>
  </si>
  <si>
    <t>82600-407</t>
  </si>
  <si>
    <r>
      <rPr>
        <i/>
        <sz val="11"/>
        <color rgb="FF000000"/>
        <rFont val="Calibri"/>
      </rPr>
      <t xml:space="preserve">Ayudas sociales </t>
    </r>
    <r>
      <rPr>
        <i/>
        <sz val="11"/>
        <color rgb="FFFF0000"/>
        <rFont val="Calibri"/>
      </rPr>
      <t>(no etiquetado)</t>
    </r>
  </si>
  <si>
    <t>82600-408</t>
  </si>
  <si>
    <r>
      <rPr>
        <i/>
        <sz val="11"/>
        <color rgb="FF000000"/>
        <rFont val="Calibri"/>
      </rPr>
      <t xml:space="preserve">Ayudas sociales  </t>
    </r>
    <r>
      <rPr>
        <i/>
        <sz val="11"/>
        <color rgb="FFFF0000"/>
        <rFont val="Calibri"/>
      </rPr>
      <t>(etiquetado)</t>
    </r>
  </si>
  <si>
    <t>82600-409</t>
  </si>
  <si>
    <r>
      <rPr>
        <i/>
        <sz val="11"/>
        <color rgb="FF000000"/>
        <rFont val="Calibri"/>
      </rPr>
      <t xml:space="preserve">Pensiones y jubilaciones </t>
    </r>
    <r>
      <rPr>
        <i/>
        <sz val="11"/>
        <color rgb="FFFF0000"/>
        <rFont val="Calibri"/>
      </rPr>
      <t>(no etiquetado)</t>
    </r>
  </si>
  <si>
    <t>82600-410</t>
  </si>
  <si>
    <r>
      <rPr>
        <i/>
        <sz val="11"/>
        <color rgb="FF000000"/>
        <rFont val="Calibri"/>
      </rPr>
      <t xml:space="preserve">Pensiones y jubilaciones </t>
    </r>
    <r>
      <rPr>
        <i/>
        <sz val="11"/>
        <color rgb="FFFF0000"/>
        <rFont val="Calibri"/>
      </rPr>
      <t>(etiquetado)</t>
    </r>
  </si>
  <si>
    <t>82600-411</t>
  </si>
  <si>
    <r>
      <rPr>
        <i/>
        <sz val="11"/>
        <color rgb="FF000000"/>
        <rFont val="Calibri"/>
      </rPr>
      <t xml:space="preserve">Transferencias a fideicomisos, mandatos y otros análogos </t>
    </r>
    <r>
      <rPr>
        <i/>
        <sz val="11"/>
        <color rgb="FFFF0000"/>
        <rFont val="Calibri"/>
      </rPr>
      <t>(no etiquetado)</t>
    </r>
  </si>
  <si>
    <t>82600-412</t>
  </si>
  <si>
    <r>
      <rPr>
        <i/>
        <sz val="11"/>
        <color rgb="FF000000"/>
        <rFont val="Calibri"/>
      </rPr>
      <t xml:space="preserve">Transferencias a fideicomisos, mandatos y otros análogos </t>
    </r>
    <r>
      <rPr>
        <i/>
        <sz val="11"/>
        <color rgb="FFFF0000"/>
        <rFont val="Calibri"/>
      </rPr>
      <t>(etiquetado)</t>
    </r>
  </si>
  <si>
    <t>82600-413</t>
  </si>
  <si>
    <r>
      <rPr>
        <i/>
        <sz val="11"/>
        <color rgb="FF000000"/>
        <rFont val="Calibri"/>
      </rPr>
      <t xml:space="preserve">Transferencias a la seguridad social </t>
    </r>
    <r>
      <rPr>
        <i/>
        <sz val="11"/>
        <color rgb="FFFF0000"/>
        <rFont val="Calibri"/>
      </rPr>
      <t>(no etiquetado)</t>
    </r>
  </si>
  <si>
    <t>82600-414</t>
  </si>
  <si>
    <r>
      <rPr>
        <i/>
        <sz val="11"/>
        <color rgb="FF000000"/>
        <rFont val="Calibri"/>
      </rPr>
      <t xml:space="preserve">Transferencias a la seguridad social </t>
    </r>
    <r>
      <rPr>
        <i/>
        <sz val="11"/>
        <color rgb="FFFF0000"/>
        <rFont val="Calibri"/>
      </rPr>
      <t>(etiquetado)</t>
    </r>
  </si>
  <si>
    <t>82600-415</t>
  </si>
  <si>
    <r>
      <rPr>
        <i/>
        <sz val="11"/>
        <color rgb="FF000000"/>
        <rFont val="Calibri"/>
      </rPr>
      <t xml:space="preserve">Donativos </t>
    </r>
    <r>
      <rPr>
        <i/>
        <sz val="11"/>
        <color rgb="FFFF0000"/>
        <rFont val="Calibri"/>
      </rPr>
      <t>(no etiquetado)</t>
    </r>
  </si>
  <si>
    <t>82600-416</t>
  </si>
  <si>
    <r>
      <rPr>
        <i/>
        <sz val="11"/>
        <color rgb="FF000000"/>
        <rFont val="Calibri"/>
      </rPr>
      <t xml:space="preserve">Donativos </t>
    </r>
    <r>
      <rPr>
        <i/>
        <sz val="11"/>
        <color rgb="FFFF0000"/>
        <rFont val="Calibri"/>
      </rPr>
      <t>(etiquetado)</t>
    </r>
  </si>
  <si>
    <t>82600-417</t>
  </si>
  <si>
    <r>
      <rPr>
        <i/>
        <sz val="11"/>
        <color rgb="FF000000"/>
        <rFont val="Calibri"/>
      </rPr>
      <t xml:space="preserve">Transferencias al exterior </t>
    </r>
    <r>
      <rPr>
        <i/>
        <sz val="11"/>
        <color rgb="FFFF0000"/>
        <rFont val="Calibri"/>
      </rPr>
      <t>(no etiquetado)</t>
    </r>
  </si>
  <si>
    <t>82600-418</t>
  </si>
  <si>
    <r>
      <rPr>
        <i/>
        <sz val="11"/>
        <color rgb="FF000000"/>
        <rFont val="Calibri"/>
      </rPr>
      <t xml:space="preserve">Transferencias al exterior </t>
    </r>
    <r>
      <rPr>
        <i/>
        <sz val="11"/>
        <color rgb="FFFF0000"/>
        <rFont val="Calibri"/>
      </rPr>
      <t>(etiquetado)</t>
    </r>
  </si>
  <si>
    <t>82600-500</t>
  </si>
  <si>
    <t>82600-501</t>
  </si>
  <si>
    <r>
      <rPr>
        <i/>
        <sz val="11"/>
        <color rgb="FF000000"/>
        <rFont val="Calibri"/>
      </rPr>
      <t xml:space="preserve">Mobiliario y equipo de administración </t>
    </r>
    <r>
      <rPr>
        <i/>
        <sz val="11"/>
        <color rgb="FFFF0000"/>
        <rFont val="Calibri"/>
      </rPr>
      <t>(no etiquetado)</t>
    </r>
  </si>
  <si>
    <t>82600-502</t>
  </si>
  <si>
    <r>
      <rPr>
        <i/>
        <sz val="11"/>
        <color rgb="FF000000"/>
        <rFont val="Calibri"/>
      </rPr>
      <t xml:space="preserve">Mobiliario y equipo de administración </t>
    </r>
    <r>
      <rPr>
        <i/>
        <sz val="11"/>
        <color rgb="FFFF0000"/>
        <rFont val="Calibri"/>
      </rPr>
      <t>(etiquetado)</t>
    </r>
  </si>
  <si>
    <t>82600-503</t>
  </si>
  <si>
    <r>
      <rPr>
        <i/>
        <sz val="11"/>
        <color rgb="FF000000"/>
        <rFont val="Calibri"/>
      </rPr>
      <t xml:space="preserve">Mobiliario y equipo educacional y recreativo </t>
    </r>
    <r>
      <rPr>
        <i/>
        <sz val="11"/>
        <color rgb="FFFF0000"/>
        <rFont val="Calibri"/>
      </rPr>
      <t>(no etiquetado)</t>
    </r>
  </si>
  <si>
    <t>82600-504</t>
  </si>
  <si>
    <r>
      <rPr>
        <i/>
        <sz val="11"/>
        <color rgb="FF000000"/>
        <rFont val="Calibri"/>
      </rPr>
      <t xml:space="preserve">Mobiliario y equipo educacional y recreativo </t>
    </r>
    <r>
      <rPr>
        <i/>
        <sz val="11"/>
        <color rgb="FFFF0000"/>
        <rFont val="Calibri"/>
      </rPr>
      <t>(etiquetado)</t>
    </r>
  </si>
  <si>
    <t>82600-505</t>
  </si>
  <si>
    <r>
      <rPr>
        <i/>
        <sz val="11"/>
        <color rgb="FF000000"/>
        <rFont val="Calibri"/>
      </rPr>
      <t xml:space="preserve">Equipo instrumental médico y de laboratorio </t>
    </r>
    <r>
      <rPr>
        <i/>
        <sz val="11"/>
        <color rgb="FFFF0000"/>
        <rFont val="Calibri"/>
      </rPr>
      <t>(no etiquetado)</t>
    </r>
  </si>
  <si>
    <t>82600-506</t>
  </si>
  <si>
    <r>
      <rPr>
        <i/>
        <sz val="11"/>
        <color rgb="FF000000"/>
        <rFont val="Calibri"/>
      </rPr>
      <t xml:space="preserve">Equipo instrumental médico y de laboratorio </t>
    </r>
    <r>
      <rPr>
        <i/>
        <sz val="11"/>
        <color rgb="FFFF0000"/>
        <rFont val="Calibri"/>
      </rPr>
      <t>(etiquetado)</t>
    </r>
  </si>
  <si>
    <t>82600-507</t>
  </si>
  <si>
    <r>
      <rPr>
        <i/>
        <sz val="11"/>
        <color rgb="FF000000"/>
        <rFont val="Calibri"/>
      </rPr>
      <t xml:space="preserve">Vehículos y equipo de transporte </t>
    </r>
    <r>
      <rPr>
        <i/>
        <sz val="11"/>
        <color rgb="FFFF0000"/>
        <rFont val="Calibri"/>
      </rPr>
      <t>(no etiquetado)</t>
    </r>
  </si>
  <si>
    <t>82600-508</t>
  </si>
  <si>
    <r>
      <rPr>
        <i/>
        <sz val="11"/>
        <color rgb="FF000000"/>
        <rFont val="Calibri"/>
      </rPr>
      <t xml:space="preserve">Vehículos y equipo de transporte </t>
    </r>
    <r>
      <rPr>
        <i/>
        <sz val="11"/>
        <color rgb="FFFF0000"/>
        <rFont val="Calibri"/>
      </rPr>
      <t>(etiquetado)</t>
    </r>
  </si>
  <si>
    <t>82600-509</t>
  </si>
  <si>
    <r>
      <rPr>
        <i/>
        <sz val="11"/>
        <color rgb="FF000000"/>
        <rFont val="Calibri"/>
      </rPr>
      <t xml:space="preserve">Equipo de defensa y seguridad </t>
    </r>
    <r>
      <rPr>
        <i/>
        <sz val="11"/>
        <color rgb="FFFF0000"/>
        <rFont val="Calibri"/>
      </rPr>
      <t>(no etiquetado)</t>
    </r>
  </si>
  <si>
    <t>82600-510</t>
  </si>
  <si>
    <r>
      <rPr>
        <i/>
        <sz val="11"/>
        <color rgb="FF000000"/>
        <rFont val="Calibri"/>
      </rPr>
      <t xml:space="preserve">Equipo de defensa y seguridad </t>
    </r>
    <r>
      <rPr>
        <i/>
        <sz val="11"/>
        <color rgb="FFFF0000"/>
        <rFont val="Calibri"/>
      </rPr>
      <t>(etiquetado)</t>
    </r>
  </si>
  <si>
    <t>82600-511</t>
  </si>
  <si>
    <r>
      <rPr>
        <i/>
        <sz val="11"/>
        <color rgb="FF000000"/>
        <rFont val="Calibri"/>
      </rPr>
      <t xml:space="preserve">Maquinaria, otros equipos y herramientas </t>
    </r>
    <r>
      <rPr>
        <i/>
        <sz val="11"/>
        <color rgb="FFFF0000"/>
        <rFont val="Calibri"/>
      </rPr>
      <t>(no etiquetado)</t>
    </r>
  </si>
  <si>
    <t>82600-512</t>
  </si>
  <si>
    <r>
      <rPr>
        <i/>
        <sz val="11"/>
        <color rgb="FF000000"/>
        <rFont val="Calibri"/>
      </rPr>
      <t xml:space="preserve">Maquinaria, otros equipos y herramientas </t>
    </r>
    <r>
      <rPr>
        <i/>
        <sz val="11"/>
        <color rgb="FFFF0000"/>
        <rFont val="Calibri"/>
      </rPr>
      <t>(etiquetado)</t>
    </r>
  </si>
  <si>
    <t>82600-513</t>
  </si>
  <si>
    <r>
      <rPr>
        <i/>
        <sz val="11"/>
        <color rgb="FF000000"/>
        <rFont val="Calibri"/>
      </rPr>
      <t xml:space="preserve">Activos biológicos </t>
    </r>
    <r>
      <rPr>
        <i/>
        <sz val="11"/>
        <color rgb="FFFF0000"/>
        <rFont val="Calibri"/>
      </rPr>
      <t>(no etiquetado)</t>
    </r>
  </si>
  <si>
    <t>82600-514</t>
  </si>
  <si>
    <r>
      <rPr>
        <i/>
        <sz val="11"/>
        <color rgb="FF000000"/>
        <rFont val="Calibri"/>
      </rPr>
      <t xml:space="preserve">Activos biológicos </t>
    </r>
    <r>
      <rPr>
        <i/>
        <sz val="11"/>
        <color rgb="FFFF0000"/>
        <rFont val="Calibri"/>
      </rPr>
      <t>(etiquetado)</t>
    </r>
  </si>
  <si>
    <t>82600-515</t>
  </si>
  <si>
    <r>
      <rPr>
        <i/>
        <sz val="11"/>
        <color rgb="FF000000"/>
        <rFont val="Calibri"/>
      </rPr>
      <t xml:space="preserve">Bienes inmuebles </t>
    </r>
    <r>
      <rPr>
        <i/>
        <sz val="11"/>
        <color rgb="FFFF0000"/>
        <rFont val="Calibri"/>
      </rPr>
      <t>(no etiquetado)</t>
    </r>
  </si>
  <si>
    <t>82600-516</t>
  </si>
  <si>
    <r>
      <rPr>
        <i/>
        <sz val="11"/>
        <color rgb="FF000000"/>
        <rFont val="Calibri"/>
      </rPr>
      <t xml:space="preserve">Bienes inmuebles </t>
    </r>
    <r>
      <rPr>
        <i/>
        <sz val="11"/>
        <color rgb="FFFF0000"/>
        <rFont val="Calibri"/>
      </rPr>
      <t>(etiquetado)</t>
    </r>
  </si>
  <si>
    <t>82600-517</t>
  </si>
  <si>
    <r>
      <rPr>
        <i/>
        <sz val="11"/>
        <color rgb="FF000000"/>
        <rFont val="Calibri"/>
      </rPr>
      <t xml:space="preserve">Activos intangibles </t>
    </r>
    <r>
      <rPr>
        <i/>
        <sz val="11"/>
        <color rgb="FFFF0000"/>
        <rFont val="Calibri"/>
      </rPr>
      <t>(no etiquetado)</t>
    </r>
  </si>
  <si>
    <t>82600-518</t>
  </si>
  <si>
    <r>
      <rPr>
        <i/>
        <sz val="11"/>
        <color rgb="FF000000"/>
        <rFont val="Calibri"/>
      </rPr>
      <t xml:space="preserve">Activos intangibles </t>
    </r>
    <r>
      <rPr>
        <i/>
        <sz val="11"/>
        <color rgb="FFFF0000"/>
        <rFont val="Calibri"/>
      </rPr>
      <t>(etiquetado)</t>
    </r>
  </si>
  <si>
    <t>82600-600</t>
  </si>
  <si>
    <t>82600-601</t>
  </si>
  <si>
    <r>
      <rPr>
        <i/>
        <sz val="11"/>
        <color rgb="FF000000"/>
        <rFont val="Calibri"/>
      </rPr>
      <t xml:space="preserve">Obra pública en bienes de dominio público </t>
    </r>
    <r>
      <rPr>
        <i/>
        <sz val="11"/>
        <color rgb="FFFF0000"/>
        <rFont val="Calibri"/>
      </rPr>
      <t>(no etiquetado)</t>
    </r>
  </si>
  <si>
    <t>82600-602</t>
  </si>
  <si>
    <r>
      <rPr>
        <i/>
        <sz val="11"/>
        <color rgb="FF000000"/>
        <rFont val="Calibri"/>
      </rPr>
      <t xml:space="preserve">Obra pública en bienes de dominio público </t>
    </r>
    <r>
      <rPr>
        <i/>
        <sz val="11"/>
        <color rgb="FFFF0000"/>
        <rFont val="Calibri"/>
      </rPr>
      <t>(etiquetado)</t>
    </r>
  </si>
  <si>
    <t>82600-603</t>
  </si>
  <si>
    <r>
      <rPr>
        <i/>
        <sz val="11"/>
        <color rgb="FF000000"/>
        <rFont val="Calibri"/>
      </rPr>
      <t xml:space="preserve">Obra pública en bienes de dominio propios </t>
    </r>
    <r>
      <rPr>
        <i/>
        <sz val="11"/>
        <color rgb="FFFF0000"/>
        <rFont val="Calibri"/>
      </rPr>
      <t>(no etiquetado)</t>
    </r>
  </si>
  <si>
    <t>82600-604</t>
  </si>
  <si>
    <r>
      <rPr>
        <i/>
        <sz val="11"/>
        <color rgb="FF000000"/>
        <rFont val="Calibri"/>
      </rPr>
      <t xml:space="preserve">Obra pública en bienes de dominio propios </t>
    </r>
    <r>
      <rPr>
        <i/>
        <sz val="11"/>
        <color rgb="FFFF0000"/>
        <rFont val="Calibri"/>
      </rPr>
      <t>(etiquetado)</t>
    </r>
  </si>
  <si>
    <t>82600-605</t>
  </si>
  <si>
    <r>
      <rPr>
        <i/>
        <sz val="11"/>
        <color rgb="FF000000"/>
        <rFont val="Calibri"/>
      </rPr>
      <t xml:space="preserve">Proyectos productivos y acciones de fomento </t>
    </r>
    <r>
      <rPr>
        <i/>
        <sz val="11"/>
        <color rgb="FFFF0000"/>
        <rFont val="Calibri"/>
      </rPr>
      <t>(no etiquetado)</t>
    </r>
  </si>
  <si>
    <t>82600-606</t>
  </si>
  <si>
    <r>
      <rPr>
        <i/>
        <sz val="11"/>
        <color rgb="FF000000"/>
        <rFont val="Calibri"/>
      </rPr>
      <t xml:space="preserve">Proyectos productivos y acciones de fomento </t>
    </r>
    <r>
      <rPr>
        <i/>
        <sz val="11"/>
        <color rgb="FFFF0000"/>
        <rFont val="Calibri"/>
      </rPr>
      <t>(etiquetado)</t>
    </r>
  </si>
  <si>
    <t>82600-700</t>
  </si>
  <si>
    <t>82600-701</t>
  </si>
  <si>
    <r>
      <rPr>
        <i/>
        <sz val="11"/>
        <color rgb="FF000000"/>
        <rFont val="Calibri"/>
      </rPr>
      <t xml:space="preserve">Inversiones para el fomento de actividades productivas </t>
    </r>
    <r>
      <rPr>
        <i/>
        <sz val="11"/>
        <color rgb="FFFF0000"/>
        <rFont val="Calibri"/>
      </rPr>
      <t>(no etiquetado)</t>
    </r>
  </si>
  <si>
    <t>82600-702</t>
  </si>
  <si>
    <r>
      <rPr>
        <i/>
        <sz val="11"/>
        <color rgb="FF000000"/>
        <rFont val="Calibri"/>
      </rPr>
      <t xml:space="preserve">Inversiones para el fomento de actividades productivas </t>
    </r>
    <r>
      <rPr>
        <i/>
        <sz val="11"/>
        <color rgb="FFFF0000"/>
        <rFont val="Calibri"/>
      </rPr>
      <t>(etiquetado)</t>
    </r>
  </si>
  <si>
    <t>82600-703</t>
  </si>
  <si>
    <r>
      <rPr>
        <i/>
        <sz val="11"/>
        <color rgb="FF000000"/>
        <rFont val="Calibri"/>
      </rPr>
      <t xml:space="preserve">Acciones y participaciones de capital </t>
    </r>
    <r>
      <rPr>
        <i/>
        <sz val="11"/>
        <color rgb="FFFF0000"/>
        <rFont val="Calibri"/>
      </rPr>
      <t>(no etiquetado)</t>
    </r>
  </si>
  <si>
    <t>82600-704</t>
  </si>
  <si>
    <r>
      <rPr>
        <i/>
        <sz val="11"/>
        <color rgb="FF000000"/>
        <rFont val="Calibri"/>
      </rPr>
      <t xml:space="preserve">Acciones y participaciones de capital </t>
    </r>
    <r>
      <rPr>
        <i/>
        <sz val="11"/>
        <color rgb="FFFF0000"/>
        <rFont val="Calibri"/>
      </rPr>
      <t>(etiquetado)</t>
    </r>
  </si>
  <si>
    <t>82600-705</t>
  </si>
  <si>
    <r>
      <rPr>
        <i/>
        <sz val="11"/>
        <color rgb="FF000000"/>
        <rFont val="Calibri"/>
      </rPr>
      <t xml:space="preserve">Compra de títulos y valores </t>
    </r>
    <r>
      <rPr>
        <i/>
        <sz val="11"/>
        <color rgb="FFFF0000"/>
        <rFont val="Calibri"/>
      </rPr>
      <t>(no etiquetado)</t>
    </r>
  </si>
  <si>
    <t>82600-706</t>
  </si>
  <si>
    <r>
      <rPr>
        <i/>
        <sz val="11"/>
        <color rgb="FF000000"/>
        <rFont val="Calibri"/>
      </rPr>
      <t xml:space="preserve">Compra de títulos y valores </t>
    </r>
    <r>
      <rPr>
        <i/>
        <sz val="11"/>
        <color rgb="FFFF0000"/>
        <rFont val="Calibri"/>
      </rPr>
      <t>(etiquetado)</t>
    </r>
  </si>
  <si>
    <t>82600-707</t>
  </si>
  <si>
    <r>
      <rPr>
        <i/>
        <sz val="11"/>
        <color rgb="FF000000"/>
        <rFont val="Calibri"/>
      </rPr>
      <t xml:space="preserve">Concesión de préstamos </t>
    </r>
    <r>
      <rPr>
        <i/>
        <sz val="11"/>
        <color rgb="FFFF0000"/>
        <rFont val="Calibri"/>
      </rPr>
      <t>(no etiquetado)</t>
    </r>
  </si>
  <si>
    <t>82600-708</t>
  </si>
  <si>
    <r>
      <rPr>
        <i/>
        <sz val="11"/>
        <color rgb="FF000000"/>
        <rFont val="Calibri"/>
      </rPr>
      <t xml:space="preserve">Concesión de préstamos </t>
    </r>
    <r>
      <rPr>
        <i/>
        <sz val="11"/>
        <color rgb="FFFF0000"/>
        <rFont val="Calibri"/>
      </rPr>
      <t>(etiquetado)</t>
    </r>
  </si>
  <si>
    <t>82600-709</t>
  </si>
  <si>
    <r>
      <rPr>
        <i/>
        <sz val="11"/>
        <color rgb="FF000000"/>
        <rFont val="Calibri"/>
      </rPr>
      <t xml:space="preserve">Inversiones en fideicomisos, mandatos y otros análogos </t>
    </r>
    <r>
      <rPr>
        <i/>
        <sz val="11"/>
        <color rgb="FFFF0000"/>
        <rFont val="Calibri"/>
      </rPr>
      <t>(no etiquetado)</t>
    </r>
  </si>
  <si>
    <t>82600-710</t>
  </si>
  <si>
    <r>
      <rPr>
        <i/>
        <sz val="11"/>
        <color rgb="FF000000"/>
        <rFont val="Calibri"/>
      </rPr>
      <t xml:space="preserve">Inversiones en fideicomisos, mandatos y otros análogos </t>
    </r>
    <r>
      <rPr>
        <i/>
        <sz val="11"/>
        <color rgb="FFFF0000"/>
        <rFont val="Calibri"/>
      </rPr>
      <t>(etiquetado)</t>
    </r>
  </si>
  <si>
    <t>82600-711</t>
  </si>
  <si>
    <r>
      <rPr>
        <i/>
        <sz val="11"/>
        <color rgb="FF000000"/>
        <rFont val="Calibri"/>
      </rPr>
      <t xml:space="preserve">Otras inversiones financieras </t>
    </r>
    <r>
      <rPr>
        <i/>
        <sz val="11"/>
        <color rgb="FFFF0000"/>
        <rFont val="Calibri"/>
      </rPr>
      <t>(no etiquetado)</t>
    </r>
  </si>
  <si>
    <t>82600-712</t>
  </si>
  <si>
    <r>
      <rPr>
        <i/>
        <sz val="11"/>
        <color rgb="FF000000"/>
        <rFont val="Calibri"/>
      </rPr>
      <t xml:space="preserve">Otras inversiones financieras </t>
    </r>
    <r>
      <rPr>
        <i/>
        <sz val="11"/>
        <color rgb="FFFF0000"/>
        <rFont val="Calibri"/>
      </rPr>
      <t>(etiquetado)</t>
    </r>
  </si>
  <si>
    <t>82600-713</t>
  </si>
  <si>
    <r>
      <rPr>
        <i/>
        <sz val="11"/>
        <color rgb="FF000000"/>
        <rFont val="Calibri"/>
      </rPr>
      <t xml:space="preserve">Provisiones para contingencias y otras erogaciones especiales </t>
    </r>
    <r>
      <rPr>
        <i/>
        <sz val="11"/>
        <color rgb="FFFF0000"/>
        <rFont val="Calibri"/>
      </rPr>
      <t>(no etiquetado)</t>
    </r>
  </si>
  <si>
    <t>82600-714</t>
  </si>
  <si>
    <r>
      <rPr>
        <i/>
        <sz val="11"/>
        <color rgb="FF000000"/>
        <rFont val="Calibri"/>
      </rPr>
      <t xml:space="preserve">Provisiones para contingencias y otras erogaciones especiales </t>
    </r>
    <r>
      <rPr>
        <i/>
        <sz val="11"/>
        <color rgb="FFFF0000"/>
        <rFont val="Calibri"/>
      </rPr>
      <t>(etiquetado)</t>
    </r>
  </si>
  <si>
    <t>82600-800</t>
  </si>
  <si>
    <t>82600-801</t>
  </si>
  <si>
    <r>
      <rPr>
        <i/>
        <sz val="11"/>
        <color theme="1"/>
        <rFont val="Calibri"/>
      </rPr>
      <t xml:space="preserve">Participaciones </t>
    </r>
    <r>
      <rPr>
        <i/>
        <sz val="11"/>
        <color rgb="FFFF0000"/>
        <rFont val="Calibri"/>
      </rPr>
      <t>(no etiquetado)</t>
    </r>
  </si>
  <si>
    <t>82600-802</t>
  </si>
  <si>
    <r>
      <rPr>
        <i/>
        <sz val="11"/>
        <color theme="1"/>
        <rFont val="Calibri"/>
      </rPr>
      <t xml:space="preserve">Participaciones </t>
    </r>
    <r>
      <rPr>
        <i/>
        <sz val="11"/>
        <color rgb="FFFF0000"/>
        <rFont val="Calibri"/>
      </rPr>
      <t>(etiquetado)</t>
    </r>
  </si>
  <si>
    <t>82600-803</t>
  </si>
  <si>
    <r>
      <rPr>
        <i/>
        <sz val="11"/>
        <color theme="1"/>
        <rFont val="Calibri"/>
      </rPr>
      <t xml:space="preserve">Aportaciones </t>
    </r>
    <r>
      <rPr>
        <i/>
        <sz val="11"/>
        <color rgb="FFFF0000"/>
        <rFont val="Calibri"/>
      </rPr>
      <t>(no etiquetado)</t>
    </r>
  </si>
  <si>
    <t>82600-804</t>
  </si>
  <si>
    <r>
      <rPr>
        <i/>
        <sz val="11"/>
        <color theme="1"/>
        <rFont val="Calibri"/>
      </rPr>
      <t xml:space="preserve">Aportaciones </t>
    </r>
    <r>
      <rPr>
        <i/>
        <sz val="11"/>
        <color rgb="FFFF0000"/>
        <rFont val="Calibri"/>
      </rPr>
      <t>(etiquetado)</t>
    </r>
  </si>
  <si>
    <t>82600-805</t>
  </si>
  <si>
    <r>
      <rPr>
        <i/>
        <sz val="11"/>
        <color theme="1"/>
        <rFont val="Calibri"/>
      </rPr>
      <t xml:space="preserve">Convenios </t>
    </r>
    <r>
      <rPr>
        <i/>
        <sz val="11"/>
        <color rgb="FFFF0000"/>
        <rFont val="Calibri"/>
      </rPr>
      <t>(no etiquetado)</t>
    </r>
  </si>
  <si>
    <t>82600-806</t>
  </si>
  <si>
    <r>
      <rPr>
        <i/>
        <sz val="11"/>
        <color theme="1"/>
        <rFont val="Calibri"/>
      </rPr>
      <t xml:space="preserve">Convenios </t>
    </r>
    <r>
      <rPr>
        <i/>
        <sz val="11"/>
        <color rgb="FFFF0000"/>
        <rFont val="Calibri"/>
      </rPr>
      <t>(etiquetado)</t>
    </r>
  </si>
  <si>
    <t>82600-900</t>
  </si>
  <si>
    <t>82600-901</t>
  </si>
  <si>
    <r>
      <rPr>
        <i/>
        <sz val="11"/>
        <color theme="1"/>
        <rFont val="Calibri"/>
      </rPr>
      <t xml:space="preserve">Amortización de la deuda pública </t>
    </r>
    <r>
      <rPr>
        <i/>
        <sz val="11"/>
        <color rgb="FFFF0000"/>
        <rFont val="Calibri"/>
      </rPr>
      <t>(no etiquetado)</t>
    </r>
  </si>
  <si>
    <t>82600-902</t>
  </si>
  <si>
    <r>
      <rPr>
        <i/>
        <sz val="11"/>
        <color theme="1"/>
        <rFont val="Calibri"/>
      </rPr>
      <t xml:space="preserve">Amortización de la deuda pública </t>
    </r>
    <r>
      <rPr>
        <i/>
        <sz val="11"/>
        <color rgb="FFFF0000"/>
        <rFont val="Calibri"/>
      </rPr>
      <t>(etiquetado)</t>
    </r>
  </si>
  <si>
    <t>82600-903</t>
  </si>
  <si>
    <r>
      <rPr>
        <i/>
        <sz val="11"/>
        <color theme="1"/>
        <rFont val="Calibri"/>
      </rPr>
      <t xml:space="preserve">Intereses de la deuda pública </t>
    </r>
    <r>
      <rPr>
        <i/>
        <sz val="11"/>
        <color rgb="FFFF0000"/>
        <rFont val="Calibri"/>
      </rPr>
      <t>(no etiquetado)</t>
    </r>
  </si>
  <si>
    <t>82600-904</t>
  </si>
  <si>
    <r>
      <rPr>
        <i/>
        <sz val="11"/>
        <color theme="1"/>
        <rFont val="Calibri"/>
      </rPr>
      <t xml:space="preserve">Intereses de la deuda pública </t>
    </r>
    <r>
      <rPr>
        <i/>
        <sz val="11"/>
        <color rgb="FFFF0000"/>
        <rFont val="Calibri"/>
      </rPr>
      <t>(etiquetado)</t>
    </r>
  </si>
  <si>
    <t>82600-905</t>
  </si>
  <si>
    <r>
      <rPr>
        <i/>
        <sz val="11"/>
        <color theme="1"/>
        <rFont val="Calibri"/>
      </rPr>
      <t xml:space="preserve">Comisiones de la deuda pública </t>
    </r>
    <r>
      <rPr>
        <i/>
        <sz val="11"/>
        <color rgb="FFFF0000"/>
        <rFont val="Calibri"/>
      </rPr>
      <t>(no etiquetado)</t>
    </r>
  </si>
  <si>
    <t>82600-906</t>
  </si>
  <si>
    <r>
      <rPr>
        <i/>
        <sz val="11"/>
        <color theme="1"/>
        <rFont val="Calibri"/>
      </rPr>
      <t xml:space="preserve">Comisiones de la deuda pública </t>
    </r>
    <r>
      <rPr>
        <i/>
        <sz val="11"/>
        <color rgb="FFFF0000"/>
        <rFont val="Calibri"/>
      </rPr>
      <t>(etiquetado)</t>
    </r>
  </si>
  <si>
    <t>82600-907</t>
  </si>
  <si>
    <r>
      <rPr>
        <i/>
        <sz val="11"/>
        <color theme="1"/>
        <rFont val="Calibri"/>
      </rPr>
      <t xml:space="preserve">Gastos de la deuda pública </t>
    </r>
    <r>
      <rPr>
        <i/>
        <sz val="11"/>
        <color rgb="FFFF0000"/>
        <rFont val="Calibri"/>
      </rPr>
      <t>(no etiquetado)</t>
    </r>
  </si>
  <si>
    <t>82600-908</t>
  </si>
  <si>
    <r>
      <rPr>
        <i/>
        <sz val="11"/>
        <color theme="1"/>
        <rFont val="Calibri"/>
      </rPr>
      <t xml:space="preserve">Gastos de la deuda pública </t>
    </r>
    <r>
      <rPr>
        <i/>
        <sz val="11"/>
        <color rgb="FFFF0000"/>
        <rFont val="Calibri"/>
      </rPr>
      <t>(etiquetado)</t>
    </r>
  </si>
  <si>
    <t>82600-909</t>
  </si>
  <si>
    <r>
      <rPr>
        <i/>
        <sz val="11"/>
        <color theme="1"/>
        <rFont val="Calibri"/>
      </rPr>
      <t xml:space="preserve">Costo por coberturas </t>
    </r>
    <r>
      <rPr>
        <i/>
        <sz val="11"/>
        <color rgb="FFFF0000"/>
        <rFont val="Calibri"/>
      </rPr>
      <t>(no etiquetado)</t>
    </r>
  </si>
  <si>
    <t>82600-910</t>
  </si>
  <si>
    <r>
      <rPr>
        <i/>
        <sz val="11"/>
        <color theme="1"/>
        <rFont val="Calibri"/>
      </rPr>
      <t xml:space="preserve">Costo por coberturas </t>
    </r>
    <r>
      <rPr>
        <i/>
        <sz val="11"/>
        <color rgb="FFFF0000"/>
        <rFont val="Calibri"/>
      </rPr>
      <t>(etiquetado)</t>
    </r>
  </si>
  <si>
    <t>82600-911</t>
  </si>
  <si>
    <r>
      <rPr>
        <i/>
        <sz val="11"/>
        <color theme="1"/>
        <rFont val="Calibri"/>
      </rPr>
      <t xml:space="preserve">Apoyos financieros </t>
    </r>
    <r>
      <rPr>
        <i/>
        <sz val="11"/>
        <color rgb="FFFF0000"/>
        <rFont val="Calibri"/>
      </rPr>
      <t>(no etiquetado)</t>
    </r>
  </si>
  <si>
    <t>82600-912</t>
  </si>
  <si>
    <r>
      <rPr>
        <i/>
        <sz val="11"/>
        <color theme="1"/>
        <rFont val="Calibri"/>
      </rPr>
      <t xml:space="preserve">Apoyos financieros </t>
    </r>
    <r>
      <rPr>
        <i/>
        <sz val="11"/>
        <color rgb="FFFF0000"/>
        <rFont val="Calibri"/>
      </rPr>
      <t>(etiquetado)</t>
    </r>
  </si>
  <si>
    <t>82600-913</t>
  </si>
  <si>
    <r>
      <rPr>
        <i/>
        <sz val="11"/>
        <color theme="1"/>
        <rFont val="Calibri"/>
      </rPr>
      <t xml:space="preserve">Adeudos de ejercicios anteriores (adefas) </t>
    </r>
    <r>
      <rPr>
        <i/>
        <sz val="11"/>
        <color rgb="FFFF0000"/>
        <rFont val="Calibri"/>
      </rPr>
      <t>(no etiquetado)</t>
    </r>
  </si>
  <si>
    <t>82600-914</t>
  </si>
  <si>
    <r>
      <rPr>
        <i/>
        <sz val="11"/>
        <color theme="1"/>
        <rFont val="Calibri"/>
      </rPr>
      <t xml:space="preserve">Adeudos de ejercicios anteriores (adefas) </t>
    </r>
    <r>
      <rPr>
        <i/>
        <sz val="11"/>
        <color rgb="FFFF0000"/>
        <rFont val="Calibri"/>
      </rPr>
      <t>(etiquetado)</t>
    </r>
  </si>
  <si>
    <t>PRESUPUESTO DE EGRESOS PAGADO</t>
  </si>
  <si>
    <t>82700-100</t>
  </si>
  <si>
    <t>82700-101</t>
  </si>
  <si>
    <r>
      <rPr>
        <i/>
        <sz val="11"/>
        <color rgb="FF000000"/>
        <rFont val="Calibri"/>
      </rPr>
      <t xml:space="preserve">Remuneraciones al personal de carácter permanente </t>
    </r>
    <r>
      <rPr>
        <i/>
        <sz val="11"/>
        <color rgb="FFFF0000"/>
        <rFont val="Calibri"/>
      </rPr>
      <t>(no etiquetado)</t>
    </r>
  </si>
  <si>
    <t>82700-102</t>
  </si>
  <si>
    <r>
      <rPr>
        <i/>
        <sz val="11"/>
        <color rgb="FF000000"/>
        <rFont val="Calibri"/>
      </rPr>
      <t xml:space="preserve">Remuneraciones al personal de carácter permanente </t>
    </r>
    <r>
      <rPr>
        <i/>
        <sz val="11"/>
        <color rgb="FFFF0000"/>
        <rFont val="Calibri"/>
      </rPr>
      <t>(etiquetado)</t>
    </r>
  </si>
  <si>
    <t>82700-103</t>
  </si>
  <si>
    <r>
      <rPr>
        <i/>
        <sz val="11"/>
        <color rgb="FF000000"/>
        <rFont val="Calibri"/>
      </rPr>
      <t xml:space="preserve">Remuneraciones al personal de carácter transitorio </t>
    </r>
    <r>
      <rPr>
        <i/>
        <sz val="11"/>
        <color rgb="FFFF0000"/>
        <rFont val="Calibri"/>
      </rPr>
      <t>(no etiquetado)</t>
    </r>
  </si>
  <si>
    <t>82700-104</t>
  </si>
  <si>
    <r>
      <rPr>
        <i/>
        <sz val="11"/>
        <color rgb="FF000000"/>
        <rFont val="Calibri"/>
      </rPr>
      <t xml:space="preserve">Remuneraciones al personal de carácter transitorio </t>
    </r>
    <r>
      <rPr>
        <i/>
        <sz val="11"/>
        <color rgb="FFFF0000"/>
        <rFont val="Calibri"/>
      </rPr>
      <t>(etiquetado)</t>
    </r>
  </si>
  <si>
    <t>82700-105</t>
  </si>
  <si>
    <r>
      <rPr>
        <i/>
        <sz val="11"/>
        <color rgb="FF000000"/>
        <rFont val="Calibri"/>
      </rPr>
      <t xml:space="preserve">Remuneraciones adicionales especiales </t>
    </r>
    <r>
      <rPr>
        <i/>
        <sz val="11"/>
        <color rgb="FFFF0000"/>
        <rFont val="Calibri"/>
      </rPr>
      <t>(no etiquetado)</t>
    </r>
  </si>
  <si>
    <t>82700-106</t>
  </si>
  <si>
    <r>
      <rPr>
        <i/>
        <sz val="11"/>
        <color rgb="FF000000"/>
        <rFont val="Calibri"/>
      </rPr>
      <t xml:space="preserve">Remuneraciones adicionales especiales </t>
    </r>
    <r>
      <rPr>
        <i/>
        <sz val="11"/>
        <color rgb="FFFF0000"/>
        <rFont val="Calibri"/>
      </rPr>
      <t>(etiquetado)</t>
    </r>
  </si>
  <si>
    <t>82700-107</t>
  </si>
  <si>
    <r>
      <rPr>
        <i/>
        <sz val="11"/>
        <color rgb="FF000000"/>
        <rFont val="Calibri"/>
      </rPr>
      <t xml:space="preserve">Seguridad social </t>
    </r>
    <r>
      <rPr>
        <i/>
        <sz val="11"/>
        <color rgb="FFFF0000"/>
        <rFont val="Calibri"/>
      </rPr>
      <t>(no etiquetado)</t>
    </r>
  </si>
  <si>
    <t>82700-108</t>
  </si>
  <si>
    <r>
      <rPr>
        <i/>
        <sz val="11"/>
        <color rgb="FF000000"/>
        <rFont val="Calibri"/>
      </rPr>
      <t xml:space="preserve">Seguridad social </t>
    </r>
    <r>
      <rPr>
        <i/>
        <sz val="11"/>
        <color rgb="FFFF0000"/>
        <rFont val="Calibri"/>
      </rPr>
      <t>(etiquetado)</t>
    </r>
  </si>
  <si>
    <t>82700-109</t>
  </si>
  <si>
    <r>
      <rPr>
        <i/>
        <sz val="11"/>
        <color rgb="FF000000"/>
        <rFont val="Calibri"/>
      </rPr>
      <t xml:space="preserve">Otras prestaciones sociales y económicas </t>
    </r>
    <r>
      <rPr>
        <i/>
        <sz val="11"/>
        <color rgb="FFFF0000"/>
        <rFont val="Calibri"/>
      </rPr>
      <t>(no etiquetado)</t>
    </r>
  </si>
  <si>
    <t>82700-110</t>
  </si>
  <si>
    <r>
      <rPr>
        <i/>
        <sz val="11"/>
        <color rgb="FF000000"/>
        <rFont val="Calibri"/>
      </rPr>
      <t xml:space="preserve">Otras prestaciones sociales y económicas </t>
    </r>
    <r>
      <rPr>
        <i/>
        <sz val="11"/>
        <color rgb="FFFF0000"/>
        <rFont val="Calibri"/>
      </rPr>
      <t>(etiquetado)</t>
    </r>
  </si>
  <si>
    <t>82700-111</t>
  </si>
  <si>
    <r>
      <rPr>
        <i/>
        <sz val="11"/>
        <color rgb="FF000000"/>
        <rFont val="Calibri"/>
      </rPr>
      <t xml:space="preserve">Previsiones </t>
    </r>
    <r>
      <rPr>
        <i/>
        <sz val="11"/>
        <color rgb="FFFF0000"/>
        <rFont val="Calibri"/>
      </rPr>
      <t>(no etiquetado)</t>
    </r>
  </si>
  <si>
    <t>82700-112</t>
  </si>
  <si>
    <r>
      <rPr>
        <i/>
        <sz val="11"/>
        <color rgb="FF000000"/>
        <rFont val="Calibri"/>
      </rPr>
      <t xml:space="preserve">Previsiones </t>
    </r>
    <r>
      <rPr>
        <i/>
        <sz val="11"/>
        <color rgb="FFFF0000"/>
        <rFont val="Calibri"/>
      </rPr>
      <t>(etiquetado)</t>
    </r>
  </si>
  <si>
    <t>82700-113</t>
  </si>
  <si>
    <r>
      <rPr>
        <i/>
        <sz val="11"/>
        <color rgb="FF000000"/>
        <rFont val="Calibri"/>
      </rPr>
      <t xml:space="preserve">Pago de estímulos a servidores públicos </t>
    </r>
    <r>
      <rPr>
        <i/>
        <sz val="11"/>
        <color rgb="FFFF0000"/>
        <rFont val="Calibri"/>
      </rPr>
      <t>(no etiquetado)</t>
    </r>
  </si>
  <si>
    <t>82700-114</t>
  </si>
  <si>
    <r>
      <rPr>
        <i/>
        <sz val="11"/>
        <color rgb="FF000000"/>
        <rFont val="Calibri"/>
      </rPr>
      <t xml:space="preserve">Pago de estímulos a servidores públicos </t>
    </r>
    <r>
      <rPr>
        <i/>
        <sz val="11"/>
        <color rgb="FFFF0000"/>
        <rFont val="Calibri"/>
      </rPr>
      <t>(etiquetado)</t>
    </r>
  </si>
  <si>
    <t>82700-200</t>
  </si>
  <si>
    <t>82700-201</t>
  </si>
  <si>
    <r>
      <rPr>
        <i/>
        <sz val="11"/>
        <color rgb="FF000000"/>
        <rFont val="Calibri"/>
      </rPr>
      <t xml:space="preserve">Materiales de administración, emisión de documentos y artículos oficiales </t>
    </r>
    <r>
      <rPr>
        <i/>
        <sz val="11"/>
        <color rgb="FFFF0000"/>
        <rFont val="Calibri"/>
      </rPr>
      <t>(no etiquetado)</t>
    </r>
  </si>
  <si>
    <t>82700-202</t>
  </si>
  <si>
    <r>
      <rPr>
        <i/>
        <sz val="11"/>
        <color rgb="FF000000"/>
        <rFont val="Calibri"/>
      </rPr>
      <t xml:space="preserve">Materiales de administración, emisión de documentos y artículos oficiales </t>
    </r>
    <r>
      <rPr>
        <i/>
        <sz val="11"/>
        <color rgb="FFFF0000"/>
        <rFont val="Calibri"/>
      </rPr>
      <t>(etiquetado)</t>
    </r>
  </si>
  <si>
    <t>82700-203</t>
  </si>
  <si>
    <r>
      <rPr>
        <i/>
        <sz val="11"/>
        <color rgb="FF000000"/>
        <rFont val="Calibri"/>
      </rPr>
      <t xml:space="preserve">Alimentos y utensilios </t>
    </r>
    <r>
      <rPr>
        <i/>
        <sz val="11"/>
        <color rgb="FFFF0000"/>
        <rFont val="Calibri"/>
      </rPr>
      <t>(no etiquetado)</t>
    </r>
  </si>
  <si>
    <t>82700-204</t>
  </si>
  <si>
    <r>
      <rPr>
        <i/>
        <sz val="11"/>
        <color rgb="FF000000"/>
        <rFont val="Calibri"/>
      </rPr>
      <t xml:space="preserve">Alimentos y utensilios </t>
    </r>
    <r>
      <rPr>
        <i/>
        <sz val="11"/>
        <color rgb="FFFF0000"/>
        <rFont val="Calibri"/>
      </rPr>
      <t>(etiquetado)</t>
    </r>
  </si>
  <si>
    <t>82700-205</t>
  </si>
  <si>
    <r>
      <rPr>
        <i/>
        <sz val="11"/>
        <color rgb="FF000000"/>
        <rFont val="Calibri"/>
      </rPr>
      <t xml:space="preserve">Materias primas y materiales de producción y comercialización </t>
    </r>
    <r>
      <rPr>
        <i/>
        <sz val="11"/>
        <color rgb="FFFF0000"/>
        <rFont val="Calibri"/>
      </rPr>
      <t>(no etiquetado)</t>
    </r>
  </si>
  <si>
    <t>82700-206</t>
  </si>
  <si>
    <r>
      <rPr>
        <i/>
        <sz val="11"/>
        <color rgb="FF000000"/>
        <rFont val="Calibri"/>
      </rPr>
      <t xml:space="preserve">Materias primas y materiales de producción y comercialización </t>
    </r>
    <r>
      <rPr>
        <i/>
        <sz val="11"/>
        <color rgb="FFFF0000"/>
        <rFont val="Calibri"/>
      </rPr>
      <t>(etiquetado)</t>
    </r>
  </si>
  <si>
    <t>82700-207</t>
  </si>
  <si>
    <r>
      <rPr>
        <i/>
        <sz val="11"/>
        <color rgb="FF000000"/>
        <rFont val="Calibri"/>
      </rPr>
      <t xml:space="preserve">Materiales y artículos de construcción y de reparación </t>
    </r>
    <r>
      <rPr>
        <i/>
        <sz val="11"/>
        <color rgb="FFFF0000"/>
        <rFont val="Calibri"/>
      </rPr>
      <t>(no etiquetado)</t>
    </r>
  </si>
  <si>
    <t>82700-208</t>
  </si>
  <si>
    <r>
      <rPr>
        <i/>
        <sz val="11"/>
        <color rgb="FF000000"/>
        <rFont val="Calibri"/>
      </rPr>
      <t xml:space="preserve">Materiales y artículos de construcción y de reparación </t>
    </r>
    <r>
      <rPr>
        <i/>
        <sz val="11"/>
        <color rgb="FFFF0000"/>
        <rFont val="Calibri"/>
      </rPr>
      <t>(etiquetado)</t>
    </r>
  </si>
  <si>
    <t>82700-209</t>
  </si>
  <si>
    <r>
      <rPr>
        <i/>
        <sz val="11"/>
        <color rgb="FF000000"/>
        <rFont val="Calibri"/>
      </rPr>
      <t xml:space="preserve">Productos químicos, farmacéuticos y de laboratorio </t>
    </r>
    <r>
      <rPr>
        <i/>
        <sz val="11"/>
        <color rgb="FFFF0000"/>
        <rFont val="Calibri"/>
      </rPr>
      <t>(no etiquetado)</t>
    </r>
  </si>
  <si>
    <t>82700-210</t>
  </si>
  <si>
    <r>
      <rPr>
        <i/>
        <sz val="11"/>
        <color rgb="FF000000"/>
        <rFont val="Calibri"/>
      </rPr>
      <t xml:space="preserve">Productos químicos, farmacéuticos y de laboratorio </t>
    </r>
    <r>
      <rPr>
        <i/>
        <sz val="11"/>
        <color rgb="FFFF0000"/>
        <rFont val="Calibri"/>
      </rPr>
      <t>(etiquetado)</t>
    </r>
  </si>
  <si>
    <t>82700-211</t>
  </si>
  <si>
    <r>
      <rPr>
        <i/>
        <sz val="11"/>
        <color rgb="FF000000"/>
        <rFont val="Calibri"/>
      </rPr>
      <t xml:space="preserve">Combustibles, lubricantes y aditivos </t>
    </r>
    <r>
      <rPr>
        <i/>
        <sz val="11"/>
        <color rgb="FFFF0000"/>
        <rFont val="Calibri"/>
      </rPr>
      <t>(no etiquetado)</t>
    </r>
  </si>
  <si>
    <t>82700-212</t>
  </si>
  <si>
    <r>
      <rPr>
        <i/>
        <sz val="11"/>
        <color rgb="FF000000"/>
        <rFont val="Calibri"/>
      </rPr>
      <t xml:space="preserve">Combustibles, lubricantes y aditivos </t>
    </r>
    <r>
      <rPr>
        <i/>
        <sz val="11"/>
        <color rgb="FFFF0000"/>
        <rFont val="Calibri"/>
      </rPr>
      <t>(etiquetado)</t>
    </r>
  </si>
  <si>
    <t>82700-213</t>
  </si>
  <si>
    <r>
      <rPr>
        <i/>
        <sz val="11"/>
        <color rgb="FF000000"/>
        <rFont val="Calibri"/>
      </rPr>
      <t xml:space="preserve">Vestuario, blancos, prendas de protección y artículos deportivos </t>
    </r>
    <r>
      <rPr>
        <i/>
        <sz val="11"/>
        <color rgb="FFFF0000"/>
        <rFont val="Calibri"/>
      </rPr>
      <t>(no etiquetado)</t>
    </r>
  </si>
  <si>
    <t>82700-214</t>
  </si>
  <si>
    <r>
      <rPr>
        <i/>
        <sz val="11"/>
        <color rgb="FF000000"/>
        <rFont val="Calibri"/>
      </rPr>
      <t xml:space="preserve">Vestuario, blancos, prendas de protección y artículos deportivos </t>
    </r>
    <r>
      <rPr>
        <i/>
        <sz val="11"/>
        <color rgb="FFFF0000"/>
        <rFont val="Calibri"/>
      </rPr>
      <t>(etiquetado)</t>
    </r>
  </si>
  <si>
    <t>82700-215</t>
  </si>
  <si>
    <r>
      <rPr>
        <i/>
        <sz val="11"/>
        <color rgb="FF000000"/>
        <rFont val="Calibri"/>
      </rPr>
      <t xml:space="preserve">Materiales y suministros de seguridad </t>
    </r>
    <r>
      <rPr>
        <i/>
        <sz val="11"/>
        <color rgb="FFFF0000"/>
        <rFont val="Calibri"/>
      </rPr>
      <t>(no etiquetado)</t>
    </r>
  </si>
  <si>
    <t>82700-216</t>
  </si>
  <si>
    <r>
      <rPr>
        <i/>
        <sz val="11"/>
        <color rgb="FF000000"/>
        <rFont val="Calibri"/>
      </rPr>
      <t xml:space="preserve">Materiales y suministros de seguridad </t>
    </r>
    <r>
      <rPr>
        <i/>
        <sz val="11"/>
        <color rgb="FFFF0000"/>
        <rFont val="Calibri"/>
      </rPr>
      <t>(etiquetado)</t>
    </r>
  </si>
  <si>
    <t>82700-217</t>
  </si>
  <si>
    <r>
      <rPr>
        <i/>
        <sz val="11"/>
        <color rgb="FF000000"/>
        <rFont val="Calibri"/>
      </rPr>
      <t xml:space="preserve">Herramientas, refacciones y accesorios menores </t>
    </r>
    <r>
      <rPr>
        <i/>
        <sz val="11"/>
        <color rgb="FFFF0000"/>
        <rFont val="Calibri"/>
      </rPr>
      <t>(no etiquetado)</t>
    </r>
  </si>
  <si>
    <t>82700-218</t>
  </si>
  <si>
    <r>
      <rPr>
        <i/>
        <sz val="11"/>
        <color rgb="FF000000"/>
        <rFont val="Calibri"/>
      </rPr>
      <t xml:space="preserve">Herramientas, refacciones y accesorios menores </t>
    </r>
    <r>
      <rPr>
        <i/>
        <sz val="11"/>
        <color rgb="FFFF0000"/>
        <rFont val="Calibri"/>
      </rPr>
      <t>(etiquetado)</t>
    </r>
  </si>
  <si>
    <t>82700-300</t>
  </si>
  <si>
    <t>82700-301</t>
  </si>
  <si>
    <r>
      <rPr>
        <i/>
        <sz val="11"/>
        <color rgb="FF000000"/>
        <rFont val="Calibri"/>
      </rPr>
      <t xml:space="preserve">Servicios básicos </t>
    </r>
    <r>
      <rPr>
        <i/>
        <sz val="11"/>
        <color rgb="FFFF0000"/>
        <rFont val="Calibri"/>
      </rPr>
      <t>(no etiquetado)</t>
    </r>
  </si>
  <si>
    <t>82700-302</t>
  </si>
  <si>
    <r>
      <rPr>
        <i/>
        <sz val="11"/>
        <color rgb="FF000000"/>
        <rFont val="Calibri"/>
      </rPr>
      <t xml:space="preserve">Servicios básicos </t>
    </r>
    <r>
      <rPr>
        <i/>
        <sz val="11"/>
        <color rgb="FFFF0000"/>
        <rFont val="Calibri"/>
      </rPr>
      <t>(etiquetado)</t>
    </r>
  </si>
  <si>
    <t>82700-303</t>
  </si>
  <si>
    <r>
      <rPr>
        <i/>
        <sz val="11"/>
        <color rgb="FF000000"/>
        <rFont val="Calibri"/>
      </rPr>
      <t xml:space="preserve">Servicios de arrendamiento </t>
    </r>
    <r>
      <rPr>
        <i/>
        <sz val="11"/>
        <color rgb="FFFF0000"/>
        <rFont val="Calibri"/>
      </rPr>
      <t>(no etiquetado)</t>
    </r>
  </si>
  <si>
    <t>82700-304</t>
  </si>
  <si>
    <r>
      <rPr>
        <i/>
        <sz val="11"/>
        <color rgb="FF000000"/>
        <rFont val="Calibri"/>
      </rPr>
      <t xml:space="preserve">Servicios de arrendamiento </t>
    </r>
    <r>
      <rPr>
        <i/>
        <sz val="11"/>
        <color rgb="FFFF0000"/>
        <rFont val="Calibri"/>
      </rPr>
      <t>(etiquetado)</t>
    </r>
  </si>
  <si>
    <t>82700-305</t>
  </si>
  <si>
    <r>
      <rPr>
        <i/>
        <sz val="11"/>
        <color rgb="FF000000"/>
        <rFont val="Calibri"/>
      </rPr>
      <t xml:space="preserve">Servicios profesionales, científicos, técnicos y otros servicios </t>
    </r>
    <r>
      <rPr>
        <i/>
        <sz val="11"/>
        <color rgb="FFFF0000"/>
        <rFont val="Calibri"/>
      </rPr>
      <t>(no etiquetado)</t>
    </r>
  </si>
  <si>
    <t>82700-306</t>
  </si>
  <si>
    <r>
      <rPr>
        <i/>
        <sz val="11"/>
        <color rgb="FF000000"/>
        <rFont val="Calibri"/>
      </rPr>
      <t xml:space="preserve">Servicios profesionales, científicos, técnicos y otros servicios </t>
    </r>
    <r>
      <rPr>
        <i/>
        <sz val="11"/>
        <color rgb="FFFF0000"/>
        <rFont val="Calibri"/>
      </rPr>
      <t>(etiquetado)</t>
    </r>
  </si>
  <si>
    <t>82700-307</t>
  </si>
  <si>
    <r>
      <rPr>
        <i/>
        <sz val="11"/>
        <color rgb="FF000000"/>
        <rFont val="Calibri"/>
      </rPr>
      <t xml:space="preserve">Servicios financieros, bancarios y comerciales </t>
    </r>
    <r>
      <rPr>
        <i/>
        <sz val="11"/>
        <color rgb="FFFF0000"/>
        <rFont val="Calibri"/>
      </rPr>
      <t>(no etiquetado)</t>
    </r>
  </si>
  <si>
    <t>82700-308</t>
  </si>
  <si>
    <r>
      <rPr>
        <i/>
        <sz val="11"/>
        <color rgb="FF000000"/>
        <rFont val="Calibri"/>
      </rPr>
      <t xml:space="preserve">Servicios financieros, bancarios y comerciales </t>
    </r>
    <r>
      <rPr>
        <i/>
        <sz val="11"/>
        <color rgb="FFFF0000"/>
        <rFont val="Calibri"/>
      </rPr>
      <t>(etiquetado)</t>
    </r>
  </si>
  <si>
    <t>82700-309</t>
  </si>
  <si>
    <r>
      <rPr>
        <i/>
        <sz val="11"/>
        <color rgb="FF000000"/>
        <rFont val="Calibri"/>
      </rPr>
      <t xml:space="preserve">Servicios de instalación, reparación, mantenimiento y conservación </t>
    </r>
    <r>
      <rPr>
        <i/>
        <sz val="11"/>
        <color rgb="FFFF0000"/>
        <rFont val="Calibri"/>
      </rPr>
      <t>(no etiquetado)</t>
    </r>
  </si>
  <si>
    <t>82700-310</t>
  </si>
  <si>
    <r>
      <rPr>
        <i/>
        <sz val="11"/>
        <color rgb="FF000000"/>
        <rFont val="Calibri"/>
      </rPr>
      <t xml:space="preserve">Servicios de instalación, reparación, mantenimiento y conservación </t>
    </r>
    <r>
      <rPr>
        <i/>
        <sz val="11"/>
        <color rgb="FFFF0000"/>
        <rFont val="Calibri"/>
      </rPr>
      <t>(etiquetado)</t>
    </r>
  </si>
  <si>
    <t>82700-311</t>
  </si>
  <si>
    <r>
      <rPr>
        <i/>
        <sz val="11"/>
        <color rgb="FF000000"/>
        <rFont val="Calibri"/>
      </rPr>
      <t xml:space="preserve">Servicios de comunicación social y publicidad </t>
    </r>
    <r>
      <rPr>
        <i/>
        <sz val="11"/>
        <color rgb="FFFF0000"/>
        <rFont val="Calibri"/>
      </rPr>
      <t>(no etiquetado)</t>
    </r>
  </si>
  <si>
    <t>82700-312</t>
  </si>
  <si>
    <r>
      <rPr>
        <i/>
        <sz val="11"/>
        <color rgb="FF000000"/>
        <rFont val="Calibri"/>
      </rPr>
      <t xml:space="preserve">Servicios de comunicación social y publicidad </t>
    </r>
    <r>
      <rPr>
        <i/>
        <sz val="11"/>
        <color rgb="FFFF0000"/>
        <rFont val="Calibri"/>
      </rPr>
      <t>(etiquetado)</t>
    </r>
  </si>
  <si>
    <t>82700-313</t>
  </si>
  <si>
    <r>
      <rPr>
        <i/>
        <sz val="11"/>
        <color rgb="FF000000"/>
        <rFont val="Calibri"/>
      </rPr>
      <t xml:space="preserve">Servicios de traslado y viáticos </t>
    </r>
    <r>
      <rPr>
        <i/>
        <sz val="11"/>
        <color rgb="FFFF0000"/>
        <rFont val="Calibri"/>
      </rPr>
      <t>(no etiquetado)</t>
    </r>
  </si>
  <si>
    <t>82700-314</t>
  </si>
  <si>
    <r>
      <rPr>
        <i/>
        <sz val="11"/>
        <color rgb="FF000000"/>
        <rFont val="Calibri"/>
      </rPr>
      <t xml:space="preserve">Servicios de traslado y viáticos </t>
    </r>
    <r>
      <rPr>
        <i/>
        <sz val="11"/>
        <color rgb="FFFF0000"/>
        <rFont val="Calibri"/>
      </rPr>
      <t>(etiquetado)</t>
    </r>
  </si>
  <si>
    <t>82700-315</t>
  </si>
  <si>
    <r>
      <rPr>
        <i/>
        <sz val="11"/>
        <color rgb="FF000000"/>
        <rFont val="Calibri"/>
      </rPr>
      <t xml:space="preserve">Servicios oficiales </t>
    </r>
    <r>
      <rPr>
        <i/>
        <sz val="11"/>
        <color rgb="FFFF0000"/>
        <rFont val="Calibri"/>
      </rPr>
      <t>(no etiquetado)</t>
    </r>
  </si>
  <si>
    <t>82700-316</t>
  </si>
  <si>
    <r>
      <rPr>
        <i/>
        <sz val="11"/>
        <color rgb="FF000000"/>
        <rFont val="Calibri"/>
      </rPr>
      <t xml:space="preserve">Servicios oficiales </t>
    </r>
    <r>
      <rPr>
        <i/>
        <sz val="11"/>
        <color rgb="FFFF0000"/>
        <rFont val="Calibri"/>
      </rPr>
      <t>(etiquetado)</t>
    </r>
  </si>
  <si>
    <t>82700-317</t>
  </si>
  <si>
    <r>
      <rPr>
        <i/>
        <sz val="11"/>
        <color rgb="FF000000"/>
        <rFont val="Calibri"/>
      </rPr>
      <t xml:space="preserve">Otros servicios generales </t>
    </r>
    <r>
      <rPr>
        <i/>
        <sz val="11"/>
        <color rgb="FFFF0000"/>
        <rFont val="Calibri"/>
      </rPr>
      <t>(no etiquetado)</t>
    </r>
  </si>
  <si>
    <t>82700-318</t>
  </si>
  <si>
    <r>
      <rPr>
        <i/>
        <sz val="11"/>
        <color rgb="FF000000"/>
        <rFont val="Calibri"/>
      </rPr>
      <t xml:space="preserve">Otros servicios generales </t>
    </r>
    <r>
      <rPr>
        <i/>
        <sz val="11"/>
        <color rgb="FFFF0000"/>
        <rFont val="Calibri"/>
      </rPr>
      <t>(etiquetado)</t>
    </r>
  </si>
  <si>
    <t>82700-400</t>
  </si>
  <si>
    <t>82700-401</t>
  </si>
  <si>
    <r>
      <rPr>
        <i/>
        <sz val="11"/>
        <color rgb="FF000000"/>
        <rFont val="Calibri"/>
      </rPr>
      <t xml:space="preserve">Transferencias internas y asignaciones al sector público </t>
    </r>
    <r>
      <rPr>
        <i/>
        <sz val="11"/>
        <color rgb="FFFF0000"/>
        <rFont val="Calibri"/>
      </rPr>
      <t>(no etiquetado)</t>
    </r>
  </si>
  <si>
    <t>82700-402</t>
  </si>
  <si>
    <r>
      <rPr>
        <i/>
        <sz val="11"/>
        <color rgb="FF000000"/>
        <rFont val="Calibri"/>
      </rPr>
      <t xml:space="preserve">Transferencias internas y asignaciones al sector público </t>
    </r>
    <r>
      <rPr>
        <i/>
        <sz val="11"/>
        <color rgb="FFFF0000"/>
        <rFont val="Calibri"/>
      </rPr>
      <t>(etiquetado)</t>
    </r>
  </si>
  <si>
    <t>82700-403</t>
  </si>
  <si>
    <r>
      <rPr>
        <i/>
        <sz val="11"/>
        <color rgb="FF000000"/>
        <rFont val="Calibri"/>
      </rPr>
      <t xml:space="preserve">Transferencias al resto del sector público </t>
    </r>
    <r>
      <rPr>
        <i/>
        <sz val="11"/>
        <color rgb="FFFF0000"/>
        <rFont val="Calibri"/>
      </rPr>
      <t>(no etiquetado)</t>
    </r>
  </si>
  <si>
    <t>82700-404</t>
  </si>
  <si>
    <r>
      <rPr>
        <i/>
        <sz val="11"/>
        <color rgb="FF000000"/>
        <rFont val="Calibri"/>
      </rPr>
      <t xml:space="preserve">Transferencias al resto del sector público </t>
    </r>
    <r>
      <rPr>
        <i/>
        <sz val="11"/>
        <color rgb="FFFF0000"/>
        <rFont val="Calibri"/>
      </rPr>
      <t>(etiquetado)</t>
    </r>
  </si>
  <si>
    <t>82700-405</t>
  </si>
  <si>
    <r>
      <rPr>
        <i/>
        <sz val="11"/>
        <color rgb="FF000000"/>
        <rFont val="Calibri"/>
      </rPr>
      <t xml:space="preserve">Subsidios y subvenciones </t>
    </r>
    <r>
      <rPr>
        <i/>
        <sz val="11"/>
        <color rgb="FFFF0000"/>
        <rFont val="Calibri"/>
      </rPr>
      <t>(no etiquetado)</t>
    </r>
  </si>
  <si>
    <t>82700-406</t>
  </si>
  <si>
    <r>
      <rPr>
        <i/>
        <sz val="11"/>
        <color rgb="FF000000"/>
        <rFont val="Calibri"/>
      </rPr>
      <t xml:space="preserve">Subsidios y subvenciones </t>
    </r>
    <r>
      <rPr>
        <i/>
        <sz val="11"/>
        <color rgb="FFFF0000"/>
        <rFont val="Calibri"/>
      </rPr>
      <t>(etiquetado)</t>
    </r>
  </si>
  <si>
    <t>82700-407</t>
  </si>
  <si>
    <r>
      <rPr>
        <i/>
        <sz val="11"/>
        <color rgb="FF000000"/>
        <rFont val="Calibri"/>
      </rPr>
      <t xml:space="preserve">Ayudas sociales </t>
    </r>
    <r>
      <rPr>
        <i/>
        <sz val="11"/>
        <color rgb="FFFF0000"/>
        <rFont val="Calibri"/>
      </rPr>
      <t>(no etiquetado)</t>
    </r>
  </si>
  <si>
    <t>82700-408</t>
  </si>
  <si>
    <r>
      <rPr>
        <i/>
        <sz val="11"/>
        <color rgb="FF000000"/>
        <rFont val="Calibri"/>
      </rPr>
      <t xml:space="preserve">Ayudas sociales  </t>
    </r>
    <r>
      <rPr>
        <i/>
        <sz val="11"/>
        <color rgb="FFFF0000"/>
        <rFont val="Calibri"/>
      </rPr>
      <t>(etiquetado)</t>
    </r>
  </si>
  <si>
    <t>82700-409</t>
  </si>
  <si>
    <r>
      <rPr>
        <i/>
        <sz val="11"/>
        <color rgb="FF000000"/>
        <rFont val="Calibri"/>
      </rPr>
      <t xml:space="preserve">Pensiones y jubilaciones </t>
    </r>
    <r>
      <rPr>
        <i/>
        <sz val="11"/>
        <color rgb="FFFF0000"/>
        <rFont val="Calibri"/>
      </rPr>
      <t>(no etiquetado)</t>
    </r>
  </si>
  <si>
    <t>82700-410</t>
  </si>
  <si>
    <r>
      <rPr>
        <i/>
        <sz val="11"/>
        <color rgb="FF000000"/>
        <rFont val="Calibri"/>
      </rPr>
      <t xml:space="preserve">Pensiones y jubilaciones </t>
    </r>
    <r>
      <rPr>
        <i/>
        <sz val="11"/>
        <color rgb="FFFF0000"/>
        <rFont val="Calibri"/>
      </rPr>
      <t>(etiquetado)</t>
    </r>
  </si>
  <si>
    <t>82700-411</t>
  </si>
  <si>
    <r>
      <rPr>
        <i/>
        <sz val="11"/>
        <color rgb="FF000000"/>
        <rFont val="Calibri"/>
      </rPr>
      <t xml:space="preserve">Transferencias a fideicomisos, mandatos y otros análogos </t>
    </r>
    <r>
      <rPr>
        <i/>
        <sz val="11"/>
        <color rgb="FFFF0000"/>
        <rFont val="Calibri"/>
      </rPr>
      <t>(no etiquetado)</t>
    </r>
  </si>
  <si>
    <t>82700-412</t>
  </si>
  <si>
    <r>
      <rPr>
        <i/>
        <sz val="11"/>
        <color rgb="FF000000"/>
        <rFont val="Calibri"/>
      </rPr>
      <t xml:space="preserve">Transferencias a fideicomisos, mandatos y otros análogos </t>
    </r>
    <r>
      <rPr>
        <i/>
        <sz val="11"/>
        <color rgb="FFFF0000"/>
        <rFont val="Calibri"/>
      </rPr>
      <t>(etiquetado)</t>
    </r>
  </si>
  <si>
    <t>82700-413</t>
  </si>
  <si>
    <r>
      <rPr>
        <i/>
        <sz val="11"/>
        <color rgb="FF000000"/>
        <rFont val="Calibri"/>
      </rPr>
      <t xml:space="preserve">Transferencias a la seguridad social </t>
    </r>
    <r>
      <rPr>
        <i/>
        <sz val="11"/>
        <color rgb="FFFF0000"/>
        <rFont val="Calibri"/>
      </rPr>
      <t>(no etiquetado)</t>
    </r>
  </si>
  <si>
    <t>82700-414</t>
  </si>
  <si>
    <r>
      <rPr>
        <i/>
        <sz val="11"/>
        <color rgb="FF000000"/>
        <rFont val="Calibri"/>
      </rPr>
      <t xml:space="preserve">Transferencias a la seguridad social </t>
    </r>
    <r>
      <rPr>
        <i/>
        <sz val="11"/>
        <color rgb="FFFF0000"/>
        <rFont val="Calibri"/>
      </rPr>
      <t>(etiquetado)</t>
    </r>
  </si>
  <si>
    <t>82700-415</t>
  </si>
  <si>
    <r>
      <rPr>
        <i/>
        <sz val="11"/>
        <color rgb="FF000000"/>
        <rFont val="Calibri"/>
      </rPr>
      <t xml:space="preserve">Donativos </t>
    </r>
    <r>
      <rPr>
        <i/>
        <sz val="11"/>
        <color rgb="FFFF0000"/>
        <rFont val="Calibri"/>
      </rPr>
      <t>(no etiquetado)</t>
    </r>
  </si>
  <si>
    <t>82700-416</t>
  </si>
  <si>
    <r>
      <rPr>
        <i/>
        <sz val="11"/>
        <color rgb="FF000000"/>
        <rFont val="Calibri"/>
      </rPr>
      <t xml:space="preserve">Donativos </t>
    </r>
    <r>
      <rPr>
        <i/>
        <sz val="11"/>
        <color rgb="FFFF0000"/>
        <rFont val="Calibri"/>
      </rPr>
      <t>(etiquetado)</t>
    </r>
  </si>
  <si>
    <t>82700-417</t>
  </si>
  <si>
    <r>
      <rPr>
        <i/>
        <sz val="11"/>
        <color rgb="FF000000"/>
        <rFont val="Calibri"/>
      </rPr>
      <t xml:space="preserve">Transferencias al exterior </t>
    </r>
    <r>
      <rPr>
        <i/>
        <sz val="11"/>
        <color rgb="FFFF0000"/>
        <rFont val="Calibri"/>
      </rPr>
      <t>(no etiquetado)</t>
    </r>
  </si>
  <si>
    <t>82700-418</t>
  </si>
  <si>
    <r>
      <rPr>
        <i/>
        <sz val="11"/>
        <color rgb="FF000000"/>
        <rFont val="Calibri"/>
      </rPr>
      <t xml:space="preserve">Transferencias al exterior </t>
    </r>
    <r>
      <rPr>
        <i/>
        <sz val="11"/>
        <color rgb="FFFF0000"/>
        <rFont val="Calibri"/>
      </rPr>
      <t>(etiquetado)</t>
    </r>
  </si>
  <si>
    <t>82700-500</t>
  </si>
  <si>
    <t>82700-501</t>
  </si>
  <si>
    <r>
      <rPr>
        <i/>
        <sz val="11"/>
        <color rgb="FF000000"/>
        <rFont val="Calibri"/>
      </rPr>
      <t xml:space="preserve">Mobiliario y equipo de administración </t>
    </r>
    <r>
      <rPr>
        <i/>
        <sz val="11"/>
        <color rgb="FFFF0000"/>
        <rFont val="Calibri"/>
      </rPr>
      <t>(no etiquetado)</t>
    </r>
  </si>
  <si>
    <t>82700-502</t>
  </si>
  <si>
    <r>
      <rPr>
        <i/>
        <sz val="11"/>
        <color rgb="FF000000"/>
        <rFont val="Calibri"/>
      </rPr>
      <t xml:space="preserve">Mobiliario y equipo de administración </t>
    </r>
    <r>
      <rPr>
        <i/>
        <sz val="11"/>
        <color rgb="FFFF0000"/>
        <rFont val="Calibri"/>
      </rPr>
      <t>(etiquetado)</t>
    </r>
  </si>
  <si>
    <t>82700-503</t>
  </si>
  <si>
    <r>
      <rPr>
        <i/>
        <sz val="11"/>
        <color rgb="FF000000"/>
        <rFont val="Calibri"/>
      </rPr>
      <t xml:space="preserve">Mobiliario y equipo educacional y recreativo </t>
    </r>
    <r>
      <rPr>
        <i/>
        <sz val="11"/>
        <color rgb="FFFF0000"/>
        <rFont val="Calibri"/>
      </rPr>
      <t>(no etiquetado)</t>
    </r>
  </si>
  <si>
    <t>82700-504</t>
  </si>
  <si>
    <r>
      <rPr>
        <i/>
        <sz val="11"/>
        <color rgb="FF000000"/>
        <rFont val="Calibri"/>
      </rPr>
      <t xml:space="preserve">Mobiliario y equipo educacional y recreativo </t>
    </r>
    <r>
      <rPr>
        <i/>
        <sz val="11"/>
        <color rgb="FFFF0000"/>
        <rFont val="Calibri"/>
      </rPr>
      <t>(etiquetado)</t>
    </r>
  </si>
  <si>
    <t>82700-505</t>
  </si>
  <si>
    <r>
      <rPr>
        <i/>
        <sz val="11"/>
        <color rgb="FF000000"/>
        <rFont val="Calibri"/>
      </rPr>
      <t xml:space="preserve">Equipo instrumental médico y de laboratorio </t>
    </r>
    <r>
      <rPr>
        <i/>
        <sz val="11"/>
        <color rgb="FFFF0000"/>
        <rFont val="Calibri"/>
      </rPr>
      <t>(no etiquetado)</t>
    </r>
  </si>
  <si>
    <t>82700-506</t>
  </si>
  <si>
    <r>
      <rPr>
        <i/>
        <sz val="11"/>
        <color rgb="FF000000"/>
        <rFont val="Calibri"/>
      </rPr>
      <t xml:space="preserve">Equipo instrumental médico y de laboratorio </t>
    </r>
    <r>
      <rPr>
        <i/>
        <sz val="11"/>
        <color rgb="FFFF0000"/>
        <rFont val="Calibri"/>
      </rPr>
      <t>(etiquetado)</t>
    </r>
  </si>
  <si>
    <t>82700-507</t>
  </si>
  <si>
    <r>
      <rPr>
        <i/>
        <sz val="11"/>
        <color rgb="FF000000"/>
        <rFont val="Calibri"/>
      </rPr>
      <t xml:space="preserve">Vehículos y equipo de transporte </t>
    </r>
    <r>
      <rPr>
        <i/>
        <sz val="11"/>
        <color rgb="FFFF0000"/>
        <rFont val="Calibri"/>
      </rPr>
      <t>(no etiquetado)</t>
    </r>
  </si>
  <si>
    <t>82700-508</t>
  </si>
  <si>
    <r>
      <rPr>
        <i/>
        <sz val="11"/>
        <color rgb="FF000000"/>
        <rFont val="Calibri"/>
      </rPr>
      <t xml:space="preserve">Vehículos y equipo de transporte </t>
    </r>
    <r>
      <rPr>
        <i/>
        <sz val="11"/>
        <color rgb="FFFF0000"/>
        <rFont val="Calibri"/>
      </rPr>
      <t>(etiquetado)</t>
    </r>
  </si>
  <si>
    <t>82700-509</t>
  </si>
  <si>
    <r>
      <rPr>
        <i/>
        <sz val="11"/>
        <color rgb="FF000000"/>
        <rFont val="Calibri"/>
      </rPr>
      <t xml:space="preserve">Equipo de defensa y seguridad </t>
    </r>
    <r>
      <rPr>
        <i/>
        <sz val="11"/>
        <color rgb="FFFF0000"/>
        <rFont val="Calibri"/>
      </rPr>
      <t>(no etiquetado)</t>
    </r>
  </si>
  <si>
    <t>82700-510</t>
  </si>
  <si>
    <r>
      <rPr>
        <i/>
        <sz val="11"/>
        <color rgb="FF000000"/>
        <rFont val="Calibri"/>
      </rPr>
      <t xml:space="preserve">Equipo de defensa y seguridad </t>
    </r>
    <r>
      <rPr>
        <i/>
        <sz val="11"/>
        <color rgb="FFFF0000"/>
        <rFont val="Calibri"/>
      </rPr>
      <t>(etiquetado)</t>
    </r>
  </si>
  <si>
    <t>82700-511</t>
  </si>
  <si>
    <r>
      <rPr>
        <i/>
        <sz val="11"/>
        <color rgb="FF000000"/>
        <rFont val="Calibri"/>
      </rPr>
      <t xml:space="preserve">Maquinaria, otros equipos y herramientas </t>
    </r>
    <r>
      <rPr>
        <i/>
        <sz val="11"/>
        <color rgb="FFFF0000"/>
        <rFont val="Calibri"/>
      </rPr>
      <t>(no etiquetado)</t>
    </r>
  </si>
  <si>
    <t>82700-512</t>
  </si>
  <si>
    <r>
      <rPr>
        <i/>
        <sz val="11"/>
        <color rgb="FF000000"/>
        <rFont val="Calibri"/>
      </rPr>
      <t xml:space="preserve">Maquinaria, otros equipos y herramientas </t>
    </r>
    <r>
      <rPr>
        <i/>
        <sz val="11"/>
        <color rgb="FFFF0000"/>
        <rFont val="Calibri"/>
      </rPr>
      <t>(etiquetado)</t>
    </r>
  </si>
  <si>
    <t>82700-513</t>
  </si>
  <si>
    <r>
      <rPr>
        <i/>
        <sz val="11"/>
        <color rgb="FF000000"/>
        <rFont val="Calibri"/>
      </rPr>
      <t xml:space="preserve">Activos biológicos </t>
    </r>
    <r>
      <rPr>
        <i/>
        <sz val="11"/>
        <color rgb="FFFF0000"/>
        <rFont val="Calibri"/>
      </rPr>
      <t>(no etiquetado)</t>
    </r>
  </si>
  <si>
    <t>82700-514</t>
  </si>
  <si>
    <r>
      <rPr>
        <i/>
        <sz val="11"/>
        <color rgb="FF000000"/>
        <rFont val="Calibri"/>
      </rPr>
      <t xml:space="preserve">Activos biológicos </t>
    </r>
    <r>
      <rPr>
        <i/>
        <sz val="11"/>
        <color rgb="FFFF0000"/>
        <rFont val="Calibri"/>
      </rPr>
      <t>(etiquetado)</t>
    </r>
  </si>
  <si>
    <t>82700-515</t>
  </si>
  <si>
    <r>
      <rPr>
        <i/>
        <sz val="11"/>
        <color rgb="FF000000"/>
        <rFont val="Calibri"/>
      </rPr>
      <t xml:space="preserve">Bienes inmuebles </t>
    </r>
    <r>
      <rPr>
        <i/>
        <sz val="11"/>
        <color rgb="FFFF0000"/>
        <rFont val="Calibri"/>
      </rPr>
      <t>(no etiquetado)</t>
    </r>
  </si>
  <si>
    <t>82700-516</t>
  </si>
  <si>
    <r>
      <rPr>
        <i/>
        <sz val="11"/>
        <color rgb="FF000000"/>
        <rFont val="Calibri"/>
      </rPr>
      <t xml:space="preserve">Bienes inmuebles </t>
    </r>
    <r>
      <rPr>
        <i/>
        <sz val="11"/>
        <color rgb="FFFF0000"/>
        <rFont val="Calibri"/>
      </rPr>
      <t>(etiquetado)</t>
    </r>
  </si>
  <si>
    <t>82700-517</t>
  </si>
  <si>
    <r>
      <rPr>
        <i/>
        <sz val="11"/>
        <color rgb="FF000000"/>
        <rFont val="Calibri"/>
      </rPr>
      <t xml:space="preserve">Activos intangibles </t>
    </r>
    <r>
      <rPr>
        <i/>
        <sz val="11"/>
        <color rgb="FFFF0000"/>
        <rFont val="Calibri"/>
      </rPr>
      <t>(no etiquetado)</t>
    </r>
  </si>
  <si>
    <t>82700-518</t>
  </si>
  <si>
    <r>
      <rPr>
        <i/>
        <sz val="11"/>
        <color rgb="FF000000"/>
        <rFont val="Calibri"/>
      </rPr>
      <t xml:space="preserve">Activos intangibles </t>
    </r>
    <r>
      <rPr>
        <i/>
        <sz val="11"/>
        <color rgb="FFFF0000"/>
        <rFont val="Calibri"/>
      </rPr>
      <t>(etiquetado)</t>
    </r>
  </si>
  <si>
    <t>82700-600</t>
  </si>
  <si>
    <t>82700-601</t>
  </si>
  <si>
    <r>
      <rPr>
        <i/>
        <sz val="11"/>
        <color rgb="FF000000"/>
        <rFont val="Calibri"/>
      </rPr>
      <t xml:space="preserve">Obra pública en bienes de dominio público </t>
    </r>
    <r>
      <rPr>
        <i/>
        <sz val="11"/>
        <color rgb="FFFF0000"/>
        <rFont val="Calibri"/>
      </rPr>
      <t>(no etiquetado)</t>
    </r>
  </si>
  <si>
    <t>82700-602</t>
  </si>
  <si>
    <r>
      <rPr>
        <i/>
        <sz val="11"/>
        <color rgb="FF000000"/>
        <rFont val="Calibri"/>
      </rPr>
      <t xml:space="preserve">Obra pública en bienes de dominio público </t>
    </r>
    <r>
      <rPr>
        <i/>
        <sz val="11"/>
        <color rgb="FFFF0000"/>
        <rFont val="Calibri"/>
      </rPr>
      <t>(etiquetado)</t>
    </r>
  </si>
  <si>
    <t>82700-603</t>
  </si>
  <si>
    <r>
      <rPr>
        <i/>
        <sz val="11"/>
        <color rgb="FF000000"/>
        <rFont val="Calibri"/>
      </rPr>
      <t xml:space="preserve">Obra pública en bienes de dominio propios </t>
    </r>
    <r>
      <rPr>
        <i/>
        <sz val="11"/>
        <color rgb="FFFF0000"/>
        <rFont val="Calibri"/>
      </rPr>
      <t>(no etiquetado)</t>
    </r>
  </si>
  <si>
    <t>82700-604</t>
  </si>
  <si>
    <r>
      <rPr>
        <i/>
        <sz val="11"/>
        <color rgb="FF000000"/>
        <rFont val="Calibri"/>
      </rPr>
      <t xml:space="preserve">Obra pública en bienes de dominio propios </t>
    </r>
    <r>
      <rPr>
        <i/>
        <sz val="11"/>
        <color rgb="FFFF0000"/>
        <rFont val="Calibri"/>
      </rPr>
      <t>(etiquetado)</t>
    </r>
  </si>
  <si>
    <t>82700-605</t>
  </si>
  <si>
    <r>
      <rPr>
        <i/>
        <sz val="11"/>
        <color rgb="FF000000"/>
        <rFont val="Calibri"/>
      </rPr>
      <t xml:space="preserve">Proyectos productivos y acciones de fomento </t>
    </r>
    <r>
      <rPr>
        <i/>
        <sz val="11"/>
        <color rgb="FFFF0000"/>
        <rFont val="Calibri"/>
      </rPr>
      <t>(no etiquetado)</t>
    </r>
  </si>
  <si>
    <t>82700-606</t>
  </si>
  <si>
    <r>
      <rPr>
        <i/>
        <sz val="11"/>
        <color rgb="FF000000"/>
        <rFont val="Calibri"/>
      </rPr>
      <t xml:space="preserve">Proyectos productivos y acciones de fomento </t>
    </r>
    <r>
      <rPr>
        <i/>
        <sz val="11"/>
        <color rgb="FFFF0000"/>
        <rFont val="Calibri"/>
      </rPr>
      <t>(etiquetado)</t>
    </r>
  </si>
  <si>
    <t>82700-700</t>
  </si>
  <si>
    <t>82700-701</t>
  </si>
  <si>
    <r>
      <rPr>
        <i/>
        <sz val="11"/>
        <color rgb="FF000000"/>
        <rFont val="Calibri"/>
      </rPr>
      <t xml:space="preserve">Inversiones para el fomento de actividades productivas </t>
    </r>
    <r>
      <rPr>
        <i/>
        <sz val="11"/>
        <color rgb="FFFF0000"/>
        <rFont val="Calibri"/>
      </rPr>
      <t>(no etiquetado)</t>
    </r>
  </si>
  <si>
    <t>82700-702</t>
  </si>
  <si>
    <r>
      <rPr>
        <i/>
        <sz val="11"/>
        <color rgb="FF000000"/>
        <rFont val="Calibri"/>
      </rPr>
      <t xml:space="preserve">Inversiones para el fomento de actividades productivas </t>
    </r>
    <r>
      <rPr>
        <i/>
        <sz val="11"/>
        <color rgb="FFFF0000"/>
        <rFont val="Calibri"/>
      </rPr>
      <t>(etiquetado)</t>
    </r>
  </si>
  <si>
    <t>82700-703</t>
  </si>
  <si>
    <r>
      <rPr>
        <i/>
        <sz val="11"/>
        <color rgb="FF000000"/>
        <rFont val="Calibri"/>
      </rPr>
      <t xml:space="preserve">Acciones y participaciones de capital </t>
    </r>
    <r>
      <rPr>
        <i/>
        <sz val="11"/>
        <color rgb="FFFF0000"/>
        <rFont val="Calibri"/>
      </rPr>
      <t>(no etiquetado)</t>
    </r>
  </si>
  <si>
    <t>82700-704</t>
  </si>
  <si>
    <r>
      <rPr>
        <i/>
        <sz val="11"/>
        <color rgb="FF000000"/>
        <rFont val="Calibri"/>
      </rPr>
      <t xml:space="preserve">Acciones y participaciones de capital </t>
    </r>
    <r>
      <rPr>
        <i/>
        <sz val="11"/>
        <color rgb="FFFF0000"/>
        <rFont val="Calibri"/>
      </rPr>
      <t>(etiquetado)</t>
    </r>
  </si>
  <si>
    <t>82700-705</t>
  </si>
  <si>
    <r>
      <rPr>
        <i/>
        <sz val="11"/>
        <color rgb="FF000000"/>
        <rFont val="Calibri"/>
      </rPr>
      <t xml:space="preserve">Compra de títulos y valores </t>
    </r>
    <r>
      <rPr>
        <i/>
        <sz val="11"/>
        <color rgb="FFFF0000"/>
        <rFont val="Calibri"/>
      </rPr>
      <t>(no etiquetado)</t>
    </r>
  </si>
  <si>
    <t>82700-706</t>
  </si>
  <si>
    <r>
      <rPr>
        <i/>
        <sz val="11"/>
        <color rgb="FF000000"/>
        <rFont val="Calibri"/>
      </rPr>
      <t xml:space="preserve">Compra de títulos y valores </t>
    </r>
    <r>
      <rPr>
        <i/>
        <sz val="11"/>
        <color rgb="FFFF0000"/>
        <rFont val="Calibri"/>
      </rPr>
      <t>(etiquetado)</t>
    </r>
  </si>
  <si>
    <t>82700-707</t>
  </si>
  <si>
    <r>
      <rPr>
        <i/>
        <sz val="11"/>
        <color rgb="FF000000"/>
        <rFont val="Calibri"/>
      </rPr>
      <t xml:space="preserve">Concesión de préstamos </t>
    </r>
    <r>
      <rPr>
        <i/>
        <sz val="11"/>
        <color rgb="FFFF0000"/>
        <rFont val="Calibri"/>
      </rPr>
      <t>(no etiquetado)</t>
    </r>
  </si>
  <si>
    <t>82700-708</t>
  </si>
  <si>
    <r>
      <rPr>
        <i/>
        <sz val="11"/>
        <color rgb="FF000000"/>
        <rFont val="Calibri"/>
      </rPr>
      <t xml:space="preserve">Concesión de préstamos </t>
    </r>
    <r>
      <rPr>
        <i/>
        <sz val="11"/>
        <color rgb="FFFF0000"/>
        <rFont val="Calibri"/>
      </rPr>
      <t>(etiquetado)</t>
    </r>
  </si>
  <si>
    <t>82700-709</t>
  </si>
  <si>
    <r>
      <rPr>
        <i/>
        <sz val="11"/>
        <color rgb="FF000000"/>
        <rFont val="Calibri"/>
      </rPr>
      <t xml:space="preserve">Inversiones en fideicomisos, mandatos y otros análogos </t>
    </r>
    <r>
      <rPr>
        <i/>
        <sz val="11"/>
        <color rgb="FFFF0000"/>
        <rFont val="Calibri"/>
      </rPr>
      <t>(no etiquetado)</t>
    </r>
  </si>
  <si>
    <t>82700-710</t>
  </si>
  <si>
    <r>
      <rPr>
        <i/>
        <sz val="11"/>
        <color rgb="FF000000"/>
        <rFont val="Calibri"/>
      </rPr>
      <t xml:space="preserve">Inversiones en fideicomisos, mandatos y otros análogos </t>
    </r>
    <r>
      <rPr>
        <i/>
        <sz val="11"/>
        <color rgb="FFFF0000"/>
        <rFont val="Calibri"/>
      </rPr>
      <t>(etiquetado)</t>
    </r>
  </si>
  <si>
    <t>82700-711</t>
  </si>
  <si>
    <r>
      <rPr>
        <i/>
        <sz val="11"/>
        <color rgb="FF000000"/>
        <rFont val="Calibri"/>
      </rPr>
      <t xml:space="preserve">Otras inversiones financieras </t>
    </r>
    <r>
      <rPr>
        <i/>
        <sz val="11"/>
        <color rgb="FFFF0000"/>
        <rFont val="Calibri"/>
      </rPr>
      <t>(no etiquetado)</t>
    </r>
  </si>
  <si>
    <t>82700-712</t>
  </si>
  <si>
    <r>
      <rPr>
        <i/>
        <sz val="11"/>
        <color rgb="FF000000"/>
        <rFont val="Calibri"/>
      </rPr>
      <t xml:space="preserve">Otras inversiones financieras </t>
    </r>
    <r>
      <rPr>
        <i/>
        <sz val="11"/>
        <color rgb="FFFF0000"/>
        <rFont val="Calibri"/>
      </rPr>
      <t>(etiquetado)</t>
    </r>
  </si>
  <si>
    <t>82700-713</t>
  </si>
  <si>
    <r>
      <rPr>
        <i/>
        <sz val="11"/>
        <color rgb="FF000000"/>
        <rFont val="Calibri"/>
      </rPr>
      <t xml:space="preserve">Provisiones para contingencias y otras erogaciones especiales </t>
    </r>
    <r>
      <rPr>
        <i/>
        <sz val="11"/>
        <color rgb="FFFF0000"/>
        <rFont val="Calibri"/>
      </rPr>
      <t>(no etiquetado)</t>
    </r>
  </si>
  <si>
    <t>82700-714</t>
  </si>
  <si>
    <r>
      <rPr>
        <i/>
        <sz val="11"/>
        <color rgb="FF000000"/>
        <rFont val="Calibri"/>
      </rPr>
      <t xml:space="preserve">Provisiones para contingencias y otras erogaciones especiales </t>
    </r>
    <r>
      <rPr>
        <i/>
        <sz val="11"/>
        <color rgb="FFFF0000"/>
        <rFont val="Calibri"/>
      </rPr>
      <t>(etiquetado)</t>
    </r>
  </si>
  <si>
    <t>82700-800</t>
  </si>
  <si>
    <t>82700-801</t>
  </si>
  <si>
    <r>
      <rPr>
        <i/>
        <sz val="11"/>
        <color theme="1"/>
        <rFont val="Calibri"/>
      </rPr>
      <t xml:space="preserve">Participaciones </t>
    </r>
    <r>
      <rPr>
        <i/>
        <sz val="11"/>
        <color rgb="FFFF0000"/>
        <rFont val="Calibri"/>
      </rPr>
      <t>(no etiquetado)</t>
    </r>
  </si>
  <si>
    <t>82700-802</t>
  </si>
  <si>
    <r>
      <rPr>
        <i/>
        <sz val="11"/>
        <color theme="1"/>
        <rFont val="Calibri"/>
      </rPr>
      <t xml:space="preserve">Participaciones </t>
    </r>
    <r>
      <rPr>
        <i/>
        <sz val="11"/>
        <color rgb="FFFF0000"/>
        <rFont val="Calibri"/>
      </rPr>
      <t>(etiquetado)</t>
    </r>
  </si>
  <si>
    <t>82700-803</t>
  </si>
  <si>
    <r>
      <rPr>
        <i/>
        <sz val="11"/>
        <color theme="1"/>
        <rFont val="Calibri"/>
      </rPr>
      <t xml:space="preserve">Aportaciones </t>
    </r>
    <r>
      <rPr>
        <i/>
        <sz val="11"/>
        <color rgb="FFFF0000"/>
        <rFont val="Calibri"/>
      </rPr>
      <t>(no etiquetado)</t>
    </r>
  </si>
  <si>
    <t>82700-804</t>
  </si>
  <si>
    <r>
      <rPr>
        <i/>
        <sz val="11"/>
        <color theme="1"/>
        <rFont val="Calibri"/>
      </rPr>
      <t xml:space="preserve">Aportaciones </t>
    </r>
    <r>
      <rPr>
        <i/>
        <sz val="11"/>
        <color rgb="FFFF0000"/>
        <rFont val="Calibri"/>
      </rPr>
      <t>(etiquetado)</t>
    </r>
  </si>
  <si>
    <t>82700-805</t>
  </si>
  <si>
    <r>
      <rPr>
        <i/>
        <sz val="11"/>
        <color theme="1"/>
        <rFont val="Calibri"/>
      </rPr>
      <t xml:space="preserve">Convenios </t>
    </r>
    <r>
      <rPr>
        <i/>
        <sz val="11"/>
        <color rgb="FFFF0000"/>
        <rFont val="Calibri"/>
      </rPr>
      <t>(no etiquetado)</t>
    </r>
  </si>
  <si>
    <t>82700-806</t>
  </si>
  <si>
    <r>
      <rPr>
        <i/>
        <sz val="11"/>
        <color theme="1"/>
        <rFont val="Calibri"/>
      </rPr>
      <t xml:space="preserve">Convenios </t>
    </r>
    <r>
      <rPr>
        <i/>
        <sz val="11"/>
        <color rgb="FFFF0000"/>
        <rFont val="Calibri"/>
      </rPr>
      <t>(etiquetado)</t>
    </r>
  </si>
  <si>
    <t>82700-900</t>
  </si>
  <si>
    <t>82700-901</t>
  </si>
  <si>
    <r>
      <rPr>
        <i/>
        <sz val="11"/>
        <color theme="1"/>
        <rFont val="Calibri"/>
      </rPr>
      <t xml:space="preserve">Amortización de la deuda pública </t>
    </r>
    <r>
      <rPr>
        <i/>
        <sz val="11"/>
        <color rgb="FFFF0000"/>
        <rFont val="Calibri"/>
      </rPr>
      <t>(no etiquetado)</t>
    </r>
  </si>
  <si>
    <t>82700-902</t>
  </si>
  <si>
    <r>
      <rPr>
        <i/>
        <sz val="11"/>
        <color theme="1"/>
        <rFont val="Calibri"/>
      </rPr>
      <t xml:space="preserve">Amortización de la deuda pública </t>
    </r>
    <r>
      <rPr>
        <i/>
        <sz val="11"/>
        <color rgb="FFFF0000"/>
        <rFont val="Calibri"/>
      </rPr>
      <t>(etiquetado)</t>
    </r>
  </si>
  <si>
    <t>82700-903</t>
  </si>
  <si>
    <r>
      <rPr>
        <i/>
        <sz val="11"/>
        <color theme="1"/>
        <rFont val="Calibri"/>
      </rPr>
      <t xml:space="preserve">Intereses de la deuda pública </t>
    </r>
    <r>
      <rPr>
        <i/>
        <sz val="11"/>
        <color rgb="FFFF0000"/>
        <rFont val="Calibri"/>
      </rPr>
      <t>(no etiquetado)</t>
    </r>
  </si>
  <si>
    <t>82700-904</t>
  </si>
  <si>
    <r>
      <rPr>
        <i/>
        <sz val="11"/>
        <color theme="1"/>
        <rFont val="Calibri"/>
      </rPr>
      <t xml:space="preserve">Intereses de la deuda pública </t>
    </r>
    <r>
      <rPr>
        <i/>
        <sz val="11"/>
        <color rgb="FFFF0000"/>
        <rFont val="Calibri"/>
      </rPr>
      <t>(etiquetado)</t>
    </r>
  </si>
  <si>
    <t>82700-905</t>
  </si>
  <si>
    <r>
      <rPr>
        <i/>
        <sz val="11"/>
        <color theme="1"/>
        <rFont val="Calibri"/>
      </rPr>
      <t xml:space="preserve">Comisiones de la deuda pública </t>
    </r>
    <r>
      <rPr>
        <i/>
        <sz val="11"/>
        <color rgb="FFFF0000"/>
        <rFont val="Calibri"/>
      </rPr>
      <t>(no etiquetado)</t>
    </r>
  </si>
  <si>
    <t>82700-906</t>
  </si>
  <si>
    <r>
      <rPr>
        <i/>
        <sz val="11"/>
        <color theme="1"/>
        <rFont val="Calibri"/>
      </rPr>
      <t xml:space="preserve">Comisiones de la deuda pública </t>
    </r>
    <r>
      <rPr>
        <i/>
        <sz val="11"/>
        <color rgb="FFFF0000"/>
        <rFont val="Calibri"/>
      </rPr>
      <t>(etiquetado)</t>
    </r>
  </si>
  <si>
    <t>82700-907</t>
  </si>
  <si>
    <r>
      <rPr>
        <i/>
        <sz val="11"/>
        <color theme="1"/>
        <rFont val="Calibri"/>
      </rPr>
      <t xml:space="preserve">Gastos de la deuda pública </t>
    </r>
    <r>
      <rPr>
        <i/>
        <sz val="11"/>
        <color rgb="FFFF0000"/>
        <rFont val="Calibri"/>
      </rPr>
      <t>(no etiquetado)</t>
    </r>
  </si>
  <si>
    <t>82700-908</t>
  </si>
  <si>
    <r>
      <rPr>
        <i/>
        <sz val="11"/>
        <color theme="1"/>
        <rFont val="Calibri"/>
      </rPr>
      <t xml:space="preserve">Gastos de la deuda pública </t>
    </r>
    <r>
      <rPr>
        <i/>
        <sz val="11"/>
        <color rgb="FFFF0000"/>
        <rFont val="Calibri"/>
      </rPr>
      <t>(etiquetado)</t>
    </r>
  </si>
  <si>
    <t>82700-909</t>
  </si>
  <si>
    <r>
      <rPr>
        <i/>
        <sz val="11"/>
        <color theme="1"/>
        <rFont val="Calibri"/>
      </rPr>
      <t xml:space="preserve">Costo por coberturas </t>
    </r>
    <r>
      <rPr>
        <i/>
        <sz val="11"/>
        <color rgb="FFFF0000"/>
        <rFont val="Calibri"/>
      </rPr>
      <t>(no etiquetado)</t>
    </r>
  </si>
  <si>
    <t>82700-910</t>
  </si>
  <si>
    <r>
      <rPr>
        <i/>
        <sz val="11"/>
        <color theme="1"/>
        <rFont val="Calibri"/>
      </rPr>
      <t xml:space="preserve">Costo por coberturas </t>
    </r>
    <r>
      <rPr>
        <i/>
        <sz val="11"/>
        <color rgb="FFFF0000"/>
        <rFont val="Calibri"/>
      </rPr>
      <t>(etiquetado)</t>
    </r>
  </si>
  <si>
    <t>82700-911</t>
  </si>
  <si>
    <r>
      <rPr>
        <i/>
        <sz val="11"/>
        <color theme="1"/>
        <rFont val="Calibri"/>
      </rPr>
      <t xml:space="preserve">Apoyos financieros </t>
    </r>
    <r>
      <rPr>
        <i/>
        <sz val="11"/>
        <color rgb="FFFF0000"/>
        <rFont val="Calibri"/>
      </rPr>
      <t>(no etiquetado)</t>
    </r>
  </si>
  <si>
    <t>82700-912</t>
  </si>
  <si>
    <r>
      <rPr>
        <i/>
        <sz val="11"/>
        <color theme="1"/>
        <rFont val="Calibri"/>
      </rPr>
      <t xml:space="preserve">Apoyos financieros </t>
    </r>
    <r>
      <rPr>
        <i/>
        <sz val="11"/>
        <color rgb="FFFF0000"/>
        <rFont val="Calibri"/>
      </rPr>
      <t>(etiquetado)</t>
    </r>
  </si>
  <si>
    <t>82700-913</t>
  </si>
  <si>
    <r>
      <rPr>
        <i/>
        <sz val="11"/>
        <color theme="1"/>
        <rFont val="Calibri"/>
      </rPr>
      <t xml:space="preserve">Adeudos de ejercicios anteriores (adefas) </t>
    </r>
    <r>
      <rPr>
        <i/>
        <sz val="11"/>
        <color rgb="FFFF0000"/>
        <rFont val="Calibri"/>
      </rPr>
      <t>(no etiquetado)</t>
    </r>
  </si>
  <si>
    <t>82700-914</t>
  </si>
  <si>
    <r>
      <rPr>
        <i/>
        <sz val="11"/>
        <color theme="1"/>
        <rFont val="Calibri"/>
      </rPr>
      <t xml:space="preserve">Adeudos de ejercicios anteriores (adefas) </t>
    </r>
    <r>
      <rPr>
        <i/>
        <sz val="11"/>
        <color rgb="FFFF0000"/>
        <rFont val="Calibri"/>
      </rPr>
      <t>(etiquetado)</t>
    </r>
  </si>
  <si>
    <t>CUENTAS DE CIERRE PRESUPUESTARIO</t>
  </si>
  <si>
    <t>SUPERAVIT FINANCIERO</t>
  </si>
  <si>
    <t>DEFICIT FINANCIERO</t>
  </si>
  <si>
    <t>ADEUDOS DE EJERCICIOS FISCALES ANTERIORES</t>
  </si>
  <si>
    <t>SUMAS IGUALES DE CUENTAS DE ORDEN PRESUPUESTAL</t>
  </si>
  <si>
    <t>Estado de Flujos de Efectivo</t>
  </si>
  <si>
    <t>(Cifras en pesos)</t>
  </si>
  <si>
    <t>Concepto</t>
  </si>
  <si>
    <t>Flujos de Efectivo de las Actividades de Operación</t>
  </si>
  <si>
    <t>Origen</t>
  </si>
  <si>
    <t>Cuotas y Aportaciones de Seguridad Social</t>
  </si>
  <si>
    <t>Contribuciones de Mejoras</t>
  </si>
  <si>
    <t>Ingresos por venta de Bienes y Prestación de Servicios</t>
  </si>
  <si>
    <t>Participaciones, Aportaciones, Convenios, Incentivos Derivados de la Colaboración Fiscal y Fondos Distintos de Aportaciones</t>
  </si>
  <si>
    <t>Transferencias, Asignaciones, Subsidios y Subvenciones, y Pensiones y Jubilaciones</t>
  </si>
  <si>
    <t>Otros Orígenes de Operación</t>
  </si>
  <si>
    <t>Aplicación</t>
  </si>
  <si>
    <t>Servicios Personales</t>
  </si>
  <si>
    <t>Materiales y Suministros</t>
  </si>
  <si>
    <t>Servicios Generales</t>
  </si>
  <si>
    <t>Transferencias Internas y Asignaciones al Sector Público</t>
  </si>
  <si>
    <t>Transferencias al Resto del Sector Público</t>
  </si>
  <si>
    <t xml:space="preserve">Subsidios y Subvenciones </t>
  </si>
  <si>
    <t>Ayudas Sociales</t>
  </si>
  <si>
    <t>Pensiones y Jubilaciones</t>
  </si>
  <si>
    <t>Transferencias a Fideicomisos, Mandatos y Contratos Análogos</t>
  </si>
  <si>
    <t>Transferencias a la Seguridad Social</t>
  </si>
  <si>
    <t>Donativos</t>
  </si>
  <si>
    <t>Transferencias al Exterior</t>
  </si>
  <si>
    <t xml:space="preserve">Participaciones </t>
  </si>
  <si>
    <t xml:space="preserve">Aportaciones </t>
  </si>
  <si>
    <t>Otros Aplicaciones de Operación</t>
  </si>
  <si>
    <t>Flujos Netos de Efectivo por Actividades de Operación</t>
  </si>
  <si>
    <t xml:space="preserve">Flujos de Efectivo de las Actividades de Inversión </t>
  </si>
  <si>
    <t>Bienes Inmuebles, Infraestructura y Construcciones en Proceso</t>
  </si>
  <si>
    <t>Bienes Muebles</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</si>
  <si>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</si>
  <si>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</si>
  <si>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</si>
  <si>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</si>
  <si>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</si>
  <si>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</si>
  <si>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</si>
  <si>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 xml:space="preserve">Otros Orígenes de Financiamiento </t>
  </si>
  <si>
    <t>Servicios de la Deuda</t>
  </si>
  <si>
    <t xml:space="preserve">Otras Aplicaciones de Financiamiento </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</si>
  <si>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</si>
  <si>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</si>
  <si>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</si>
  <si>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</si>
  <si>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Bajo protesta de decir verdad declaramos que los Estados Financieros y sus notas, son razonablemente correctos y son responsabilidad del emisor.</t>
  </si>
  <si>
    <t>Presidente Municipal o Titular del ente público</t>
  </si>
  <si>
    <t>Encargado de Hacienda Municipal o Responsable de las finanzas del ente público</t>
  </si>
  <si>
    <t>Estado Analítico de Ingresos</t>
  </si>
  <si>
    <t>(Cifras en Pesos)</t>
  </si>
  <si>
    <t>Rubro de Ingresos / Fuente de Financiamiento</t>
  </si>
  <si>
    <t>Ingreso</t>
  </si>
  <si>
    <t>Diferencia</t>
  </si>
  <si>
    <t>Estimado</t>
  </si>
  <si>
    <t>Ampliaciones/ (Reducciones)</t>
  </si>
  <si>
    <t>Modificado</t>
  </si>
  <si>
    <t>Devengado</t>
  </si>
  <si>
    <t>Recaudado</t>
  </si>
  <si>
    <t>Ingresos por Venta de Bienes, Prestación de Servicios y Otros Ingresos</t>
  </si>
  <si>
    <t>Ingresos Derivados de Financiamiento</t>
  </si>
  <si>
    <t>Total</t>
  </si>
  <si>
    <t>Ingresos excedentes</t>
  </si>
  <si>
    <t>Ingresos del Poder Ejecutivo Federal o Estatal y de los Municipios</t>
  </si>
  <si>
    <t>Ingresos de los Entes Públicos de los Poderes Legislativo y Judicial, de los Órganos Autónomos y del Sector Paraestatal o Paramunicipal, así como de las Empresas Productivas del Estado</t>
  </si>
  <si>
    <t>Ingresos por Ventas de Bienes, Prestación de Servicios y Otros Ingresos</t>
  </si>
  <si>
    <t>Ingresos Derivados de Financiamientos</t>
  </si>
  <si>
    <t>Presidente Municipal o titular del ente público</t>
  </si>
  <si>
    <t>Encargado de la Hacienda Municipal
o Responsable de las finanzas del ente público</t>
  </si>
  <si>
    <t>MUNICIPIO GUADALAJARA</t>
  </si>
  <si>
    <t>DEL 1° DE ENERO AL 31 DE AGOSTO DE 2025</t>
  </si>
  <si>
    <t>(PESOS)</t>
  </si>
  <si>
    <t>C. VERÓNICA DELGADILLO GARCÍA</t>
  </si>
  <si>
    <t>L.C. IRLANDA LOERYTHE BAUMBACH VALENCIA</t>
  </si>
  <si>
    <t>PRESIDENTA MUNICIPAL DE GUADALAJARA</t>
  </si>
  <si>
    <t>TESORERA MUNICIPAL</t>
  </si>
  <si>
    <t>ASEJ2025-08-15-09-2025-1</t>
  </si>
  <si>
    <t>Encargado de la Hacienda Municipal o Responsable de las finanzas del ente público</t>
  </si>
  <si>
    <t>AVANCE DE PROGRAMAS Y/O PROCESOS CONCLUIDOS</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</si>
  <si>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</si>
  <si>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</si>
  <si>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</si>
  <si>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</si>
  <si>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</si>
  <si>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</si>
  <si>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</si>
  <si>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</si>
  <si>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</si>
  <si>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</si>
  <si>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</si>
  <si>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(Modificado)</t>
  </si>
  <si>
    <t>Capítulo 2000
(Modificado)</t>
  </si>
  <si>
    <t>Capítulo 3000
(Modificado)</t>
  </si>
  <si>
    <t>Capítulo 4000
(Modificado)</t>
  </si>
  <si>
    <t>Capítulo 5000
(Modificado)</t>
  </si>
  <si>
    <t>Capítulo 6000
(Modificado)</t>
  </si>
  <si>
    <t>Capítulo 7000
(Modificado)</t>
  </si>
  <si>
    <t>Capítulo 8000
(Modificado)</t>
  </si>
  <si>
    <t>Capítulo 9000
(Modificado)</t>
  </si>
  <si>
    <t>Avance del Valor programado 1 (Numerador)</t>
  </si>
  <si>
    <t>Avance del Valor programado 2 (Denominador)</t>
  </si>
  <si>
    <t>Avance del Capítulo 1000 (Devengado)</t>
  </si>
  <si>
    <t>Avance del Capítulo 2000 (Devengado)</t>
  </si>
  <si>
    <t>Avance del Capítulo 3000 (Devengado)</t>
  </si>
  <si>
    <t>Avance del Capítulo 4000 (Devengado)</t>
  </si>
  <si>
    <t>Avance del Capítulo 5000 (Devengado)</t>
  </si>
  <si>
    <t>Avance del Capítulo 6000 (Devengado)</t>
  </si>
  <si>
    <t>Avance del Capítulo 7000 (Devengado)</t>
  </si>
  <si>
    <t>Avance del Capítulo 8000 (Devengado)</t>
  </si>
  <si>
    <t>Avance del Capítulo 9000 (Devengado)</t>
  </si>
  <si>
    <t>01. Inclusión y Atención a Grupos Vulnerables</t>
  </si>
  <si>
    <t>_</t>
  </si>
  <si>
    <t>Se contribuye a impulsar el progreso social responsable e incluyente para garantizar un crecimiento equitativo y sustentable de la población tapatía en situación de vulnerabilidad con carencia social mediante programas sociales.</t>
  </si>
  <si>
    <t>(Número de personas en situación de vulnerabilidad beneficiadas/Total personas en situación de vulnerabilidad por carencias sociales en Guadalajara)*100</t>
  </si>
  <si>
    <t>Valor numérico</t>
  </si>
  <si>
    <t>Propósito</t>
  </si>
  <si>
    <t>Grupos Vulnerables La población tapatía en situación de vulnerabilidad por carencia social recibe los apoyos de los programas sociales.</t>
  </si>
  <si>
    <t>La población tapatía en situación de vulnerabilidad por carencia social recibe los apoyos de los programas sociales.</t>
  </si>
  <si>
    <t>(Número de personas en situación de vulnerabilidad atendidas / Total de personas en situación de vulnerabilidad solicitantes)*100</t>
  </si>
  <si>
    <t>Componente</t>
  </si>
  <si>
    <t>Apoyos económicos a personas tapatías en situación de vulnerabilidad por carencia social otorgados.</t>
  </si>
  <si>
    <t>Porcentaje de población en situación de vulnerabilidad por carencias sociales  beneficiada con apoyos económicos en el municipio de Guadalajara.</t>
  </si>
  <si>
    <t>(Número de personas tapatías en situación de vulnerabilidad por carencia social beneficiadas con los apoyos económicos/Total de personas tapatías por carencia social a beneficiar con los apoyos económicos)*100</t>
  </si>
  <si>
    <t>Actividad</t>
  </si>
  <si>
    <t>Gestión de apoyos económicos a personas tapatías cuidadoras primarias de personas con discapacidad y/o  adultos mayores en el municipio de Guadalajara.</t>
  </si>
  <si>
    <t>Porcentaje de personas tapatías cuidadoras primarias de personas con discapacidad y/o adultos mayores beneficiada.</t>
  </si>
  <si>
    <t>(Número de personas tapatías cuidadoras primarias de personas con discapacidad y/o adultos mayores beneficiadas con los apoyos económicos/Total de personas tapatias cuidadoras primarias de personas con discapacidad y/o adultos mayores programadas a beneficiar con los apoyos económicos)*100</t>
  </si>
  <si>
    <t>Gestión de apoyos económicos a Organizaciones de la Sociedad Civil que atienden a personas con carencia social.</t>
  </si>
  <si>
    <t>Porcentaje de Organizaciones de la Sociedad Civil que reciben apoyo económico para la atención de personas tapatías con carencia social  .</t>
  </si>
  <si>
    <t>(Número de Organizaciones de la Sociedad Civil que reciben apoyos económicos para la atención de personas tapatías con carencia social/Total de Organizaciones de la Sociedad Civil programadas)*100</t>
  </si>
  <si>
    <t>Gestión de apoyos económicos a personas tapatías por carencia social.</t>
  </si>
  <si>
    <t>Porcentaje de personas tapatía en situación de vulnerabilidad por carencia social beneficiadas con los apoyos económicos.</t>
  </si>
  <si>
    <t>(Número de personas tapatías en situación de vulnerabilidad por carencia social beneficiados con los apoyos económicos / Total de personas tapatías en situación de vulnerabilidad por carencia social solicitantes)*100</t>
  </si>
  <si>
    <t>Gestión de apoyo económico a personas facilitadoras que otorgan servicios de cuidados a personas con vulnerabilidad por carencia social contribuyendo al bienestar social a través de acciones de participación ciudadana, cuidados, inclusión, desarrollo de capacidades, cultura de paz y corresponsabilidad</t>
  </si>
  <si>
    <t>Porcentaje de personas facilitadoras que otorgan servicios de cuidados a personas con vulnerabilidad por carencia social contribuyendo al bienestar social a través de acciones de participación ciudadana, cuidados, inclusión, desarrollo de capacidades, cultura de paz y corresponsabilidad.</t>
  </si>
  <si>
    <t>(Número de personas facilitadoras que otorgan servicios de cuidados a personas con vulnerabilidad por carencia social contribuyendo al bienestar social a través de acciones de participación ciudadana/ Total de personas facilitadoras que otorgan servicios de cuidados programadas)*100</t>
  </si>
  <si>
    <t>Gestión de apoyo económico a mujeres víctimas de violencia en situación de vulnerabilidad económica y que reciben servicios especializados de atención en el municipio de Guadalajara</t>
  </si>
  <si>
    <t>Porcentaje de mujeres víctimas de violencia en situación de vulnerabilidad económica y que reciben servicios especializados en atención en el municipio de Guadalajara</t>
  </si>
  <si>
    <t>(Número de mujeres víctimas de violencia en situación de vulnerabilidad económica y que reciben servicios especializados en atención en el municipio de Guadalajara / Total de mujeres de programadasa beneficiar) *100</t>
  </si>
  <si>
    <t>Apoyos en especie a personas tapatías en situación de vulnerabilidad por carencia social entregados.</t>
  </si>
  <si>
    <t>Porcentaje de personas tapatías en situación de vulnerabilidad por carencia social beneficiada con apoyos en especie en el municipio de Guadalajara.</t>
  </si>
  <si>
    <t>(Número de personas en situación de vulnerabilidad por carencia social beneficiados con los apoyos en especie / Total de personas tapatías en situación de vulnerabilidad por carencia social programadas)*100</t>
  </si>
  <si>
    <t>Gestión de apoyos en especie a personas tapatías con discapacidad.</t>
  </si>
  <si>
    <t>Porcentaje de personas tapatías con discapacidad beneficiadas con apoyos en especie en el municipio de Guadalajara.</t>
  </si>
  <si>
    <t>(Número de personas tapatías con discapacidad beneficiadas con apoyos en especie en el municipio de Guadalajara / Total de personas tapatías con discapacidad programadas)*100</t>
  </si>
  <si>
    <t>Gestión de apoyos en especie a personas tapatías con carencia alimentaria.</t>
  </si>
  <si>
    <t>Porcentaje de personas tapatía con carencia alimentaria beneficiadas con los apoyos en especie en el municipio de Guadalajara.</t>
  </si>
  <si>
    <t>(Número de personas tapatías con carencia alimentaria beneficiadas con apoyos en especie  en el municipio de Guadalajara / Total de personas tapatías con carencia alimentaria programadas)*100</t>
  </si>
  <si>
    <t>Acciones de  inclusión y atención de los grupos vulnerables realizadas.</t>
  </si>
  <si>
    <t>Porcentaje de personas tapatías con vulnerabilidad  por carencia social  beneficiadas con las acciones de  inclusión y atención en el municipio de Guadalajara.</t>
  </si>
  <si>
    <t>(Número de personas tapatías con vulnerabilidad por carencia social beneficiadas con las acciones de inclusión y atención / Total de personas tapatías con vulnerabilidad por carencia social programadas)*100</t>
  </si>
  <si>
    <t>Gestión de recursos financieros para las acciones de inclusión y atención a personas de pueblos originarios .</t>
  </si>
  <si>
    <t>Porcentaje de personas de pueblos originarios beneficiadas con las acciones de  inclusión y atención en el municipio de Guadalajara.</t>
  </si>
  <si>
    <t>(Número de personas de pueblos originarios beneficiadas con las acciones de inclusión y atención / Total de personas de pueblos originarios programadas)*100</t>
  </si>
  <si>
    <t>Gestión de recursos financieros para las acciones de promoción, inclusión y atención a personas de diversidad.</t>
  </si>
  <si>
    <t>Porcentaje de personas de diversidad beneficiadas con las acciones de inclusión y atención en el municipio de Guadalajara.</t>
  </si>
  <si>
    <t>(Número de personas de diversidad  beneficiadas con las acciones de  inclusión y atención  en el municipio de Guadalajara /Total de personas de diversidad programadas)*100</t>
  </si>
  <si>
    <t>Gestión de los recursos financieros para las acciones de construcción del tejido social, en los centros de bienestar comunitario.</t>
  </si>
  <si>
    <t>Porcentaje de personas vulnerables beneficiadas con las acciones de promoción, inclusión y atención de la construcción del tejido social en los centros de bienestar comunitarios.</t>
  </si>
  <si>
    <t>(Número  de personas beneficiadas con las acciones de construcción del tejido social en el municipio de Guadalajara/Total de personas programadas)*100</t>
  </si>
  <si>
    <t>Subsidios, transferencias, premios, reconocimientos y otras ayudas para beneficiar a la población que radica en el municipio de Guadalajara, entregados.</t>
  </si>
  <si>
    <t>Porcentaje de personas que residen en el municipio de Guadalajara beneficiadas por los subsidios, transferencias, premios, reconocimientos y otras ayudas sociales en el ejercicio 2025.</t>
  </si>
  <si>
    <t>(Número de personas residen en el municipio de Guadalajara beneficiadas por los subsidios, transferencias, premios, reconocimientos y otras ayudas/Total de personas programadas)*100</t>
  </si>
  <si>
    <t>Gestión del subsidio para las acciones de igualdad sustantiva y atención integral de personas en situación de violencia, ejercido por el Instituto Municipal de las Mujeres de Guadalajara.</t>
  </si>
  <si>
    <t>Porcentaje de presupuesto ejercido para llevar a cabo las acciones de igualdad sustantiva y atención integral de personas en situación de violencia, otorgado por el Instituto Municipal de Mujeres de Guadalajara.</t>
  </si>
  <si>
    <t>(Número de personas en situación de violencia beneficiadas por las acciones de igualdad sustantiva y atención integral / Total de personas  en situación de violencia programadas)*100</t>
  </si>
  <si>
    <t>Gestión de premios y reconocimientos para las personas físicas o jurídicas otorgados.</t>
  </si>
  <si>
    <t>Porcentaje de personas físicas o jurídicas acreedoras a los premios y reconocimientos otorgados el ejercicio 2025.</t>
  </si>
  <si>
    <t>(Número de personas físicas o jurídicas acreedoras a los premios y reconocimientos otorgados. /Total de Premios y reconocimientos programados)*100</t>
  </si>
  <si>
    <t>Gestión de transferencia de recursos para el Fideicomiso de Apoyo de Seguridad Social (FIASS)</t>
  </si>
  <si>
    <t>Porcentaje de personas beneficiadas con el  Fideicomiso de Apoyo de Seguridad Social (FIASS)</t>
  </si>
  <si>
    <t>(Número de personas beneficiadas con el Fideicomiso de Apoyo de Seguridad Social (FIASS)/Total de personas programadas)*100</t>
  </si>
  <si>
    <t>Gestión de recursos financieros para el mejoramiento físico exterior de unidades habitacionales en el municipio de Guadalajara.</t>
  </si>
  <si>
    <t>Porcentaje de módulos de unidades habitacionales intervenidos en el municipio de Guadalajara.</t>
  </si>
  <si>
    <t>Capacitaciones y talleres para la concientización social otorgados.</t>
  </si>
  <si>
    <t>Porcentaje de personas beneficiadas con capacitaciones y talleres para la concientización social.</t>
  </si>
  <si>
    <t>(Personas beneficiadas con capacitaciones y talleres para la concientización social /Total de personas programadas)*100</t>
  </si>
  <si>
    <t>Gestión para la capacitación de servidores públicos y empresas de Guadalajara en cultura de inclusión de personas con discapacidad.</t>
  </si>
  <si>
    <t>Porcentaje de servidores públicos y empresas capacitados en la cultura de inclusión de personas con discapacidad.</t>
  </si>
  <si>
    <t>(Servidores públicos y empresas capacitadas en la cultura de inclusión de personas con discapacidad /Total de servidores públicos y empresas programadas)*100</t>
  </si>
  <si>
    <t>Capacitación para la profesionalización de las Organizaciones de la Sociedad Civil.</t>
  </si>
  <si>
    <t>Porcentaje de Organizaciones de la Sociedad Civil capacitadas para su profesionalización.</t>
  </si>
  <si>
    <t>(Organizaciones de la Sociedad Civil capacitadas para su profesionalización / Total de las Organización es de la Sociedad Civil programadas)*100</t>
  </si>
  <si>
    <t>02. Apoyo y Atención a la Niñez y Juventudes</t>
  </si>
  <si>
    <t>Se contribuye a mejorar las condiciones de calidad de vida de la niñez y juventudes para su desarrollo integral, mediante acciones y programas sociales</t>
  </si>
  <si>
    <t>Un valor que tiende a 1 refleja mayor desigualdad social,por el contrario, si el valor tiende a cero, existe mayor igualdad social.</t>
  </si>
  <si>
    <t xml:space="preserve"> La niñez y juventudes que reside en el municipio de Guadalajara son beneficiadas con acciones y programas sociales en el municipio de Guadalajara.</t>
  </si>
  <si>
    <t>La niñez y juventudes que reside en el municipio de Guadalajara son beneficiadas con acciones y programas sociales.</t>
  </si>
  <si>
    <t>(Sumatoria de niñez y juventudes tapatías beneficiados con las acciones y los programas sociales /Total de niñez y juventudes tapatías programados a beneficiar)*100</t>
  </si>
  <si>
    <t>Apoyos integrales de atención y cuidado a la niñez que reside en el municipio de Guadalajara en las estancias infantiles municipales  y/o estancias y guarderías privadas entregados.</t>
  </si>
  <si>
    <t>Porcentaje de niñez que reside en el municipio de Guadalajara beneficiada con los servicios integrales y cuidado  en las estancias infantiles municipales  y estancias y/o estancias y guarderías privadas.</t>
  </si>
  <si>
    <t>(Sumatoria de niñez que reside en el municipio de Guadalajara beneficiada con los servicios integrales de atención y cuidado en las estancias infantiles municipales y estancias y/o guarderías privadas / Total de niñez programada a beneficiar)*100</t>
  </si>
  <si>
    <t>Gestión de apoyos integrales atención y cuidado a la niñez que reside en el municipio de Guadalajara en las estancias infantiles municipales.</t>
  </si>
  <si>
    <t>Porcentaje de niñez que reside en el municipio de Guadalajara beneficiada con los apoyos integrales de atención y cuidado en las estancias infantiles municipales.</t>
  </si>
  <si>
    <t>(Sumatoria de niñez que reside en el municipio de Guadalajara  beneficiada con los apoyos integrales  de atención y cuidado en las estancias infantiles municipales/Total de niñez programada a beneficiar)*100</t>
  </si>
  <si>
    <t>Gestión de apoyos integrales atención y cuidado a la niñez que reside en el municipio de Guadalajara en las estancias y/o guarderías privadas.</t>
  </si>
  <si>
    <t>Porcentaje de niñez que reside en el municipio de Guadalajara beneficiados con los apoyos integrales atención y cuidado en las estancias y/o guarderías privadas</t>
  </si>
  <si>
    <t>(Sumatoria de niñez que reside en el municipio de Guadalajara beneficiados con los apoyos integrales atención y cuidado en las estancias y/o guarderías privadas /Total de niñez programada)*100</t>
  </si>
  <si>
    <t>Acciones para mejorar la calidad de vida y el desarrollo integral de las juventudes que residen en el municipio de Guadalajara realizadas</t>
  </si>
  <si>
    <t>Porcentaje de jóvenes beneficiados con las acciones para mejorar su calidad de vida y el desarrollo integral  en  el municipio de Guadalajara.</t>
  </si>
  <si>
    <t>(Sumatoria de jóvenes  beneficiados con las acciones para mejorar su calidad de vida y el desarrollo integral en el municipio de Guadalajara /Total de juventudes programados)*100</t>
  </si>
  <si>
    <t>Gestión de acciones para mejorar la calidad de vida y el desarrollo integral de las juventudes.</t>
  </si>
  <si>
    <t>Porcentaje de jóvenes beneficiados con las acciones para mejorar su calidad de vida y desarrollo integral.</t>
  </si>
  <si>
    <t>(Sumatoria de jóvenes beneficiados con las acciones para mejorar su calidad de vida y  desarrollo integral / Total de jóvenes programados)*100</t>
  </si>
  <si>
    <t>Gestión de insumos para la administración y operación de la Coordinación General de Combate a la Desigualdad.</t>
  </si>
  <si>
    <t>Porcentaje de requisiciones aprobadas para la administración y operación de la Coordinación General de Combate a la Desigualdad.</t>
  </si>
  <si>
    <t>(Cantidad de requisiciones aprobadas para la administración y operación de la Coordinación General de Combate a la Desigualdad /Total de requisiciones programadas)*100</t>
  </si>
  <si>
    <t>Acciones para mejorar la calidad de vida y el desarrollo integral de la niñez que reside en el municipio de Guadalajara entregados.</t>
  </si>
  <si>
    <t>Porcentaje de niñez beneficiada con las acciones y programas para mejorar su calidad de vida y desarrollo integral.</t>
  </si>
  <si>
    <t>(Sumatoria de niñez beneficiada con las acciones y programas para mejorar su calidad de vida y desarrollo integral / Total de niñez programada)*100</t>
  </si>
  <si>
    <t>Apoyos en especie que fomenten el crecimiento equitativo en un entorno educativo innovador y seguro para la niñez.</t>
  </si>
  <si>
    <t>Porcentaje de escuelas públicas beneficiadas con los apoyos en especie que fomenten un crecimiento equitativo en un entorno innovador y seguro para la niñez.</t>
  </si>
  <si>
    <t>(Sumatoria de escuelas públicas beneficiadas con los apoyos en especie /Total de escuelas públicas programadas)*100</t>
  </si>
  <si>
    <t>Apoyo en especie que contribuye a crear espacios seguros y protegidos del clima en planteles educativos del municipio de Guadalajara</t>
  </si>
  <si>
    <t>Porcentaje de apoyos en especie que contribuyen a crear espacios seguros y protegidos del clima en planteles educativos del municipio de Guadalajara</t>
  </si>
  <si>
    <t>(Cantidad de apoyos en en especie que contribuyen a crear espacios seguros y protegidos del clima en planteles educativos del municipio de Guadalajara/ Cantidad de apoyos en especie programados a entregar) *100</t>
  </si>
  <si>
    <t>Apoyo de uniformes y paquetes escolares a estudiantes de educación básica entregados.</t>
  </si>
  <si>
    <t>Porcentaje de personas beneficiadas con la entrega de uniformes y paquetes escolares a estudiantes de educación básica en el 2025.</t>
  </si>
  <si>
    <t>(Sumatoria de personas beneficiadas con la entrega de uniformes y paquetes escolares a estudiantes de educación básica en el 2025 / Total de personas programadas a beneficiar)*100</t>
  </si>
  <si>
    <t>Gestión de entrega de uniformes y paquetes escolares a estudiantes  de educación básica.</t>
  </si>
  <si>
    <t>Porcentaje de estudiantes de educación básica beneficiados con uniformes y paquetes escolares registrados en la plataforma.</t>
  </si>
  <si>
    <t>(Cantidad  de estudiantes de educación básica beneficiados con uniformes y paquetes escolares / Total de estudiantes de educación básica registrados en la plataforma)* 100</t>
  </si>
  <si>
    <t>Gestión de apoyos económicos a voluntarios que participan en la entrega de uniformes y paquetes escolares.</t>
  </si>
  <si>
    <t>Porcentaje de voluntarios que participan en la entrega de uniformes y paquetes escolares en el ejercicio 2025.</t>
  </si>
  <si>
    <t>(Cantidad de voluntarios que participan en la entrega de uniformes y paquetes escolares / Total de voluntarios programados a participar en la entrega de uniformes y paquetes escolares)* 100</t>
  </si>
  <si>
    <t>03. Seguridad Ciudadana</t>
  </si>
  <si>
    <t>Contribuir a reducir el índice delictivo para proteger la vida y patrimonio de las personas que cohabitan en Guadalajara, mediante un cuerpo de policía altamente capacitado que opera con el equipo y herramientas adecuadas</t>
  </si>
  <si>
    <t>Porcentaje de la población que se siente insegura en su ciudad</t>
  </si>
  <si>
    <t>((Número de mujeres y hombres que consideran insegura su ciudad/Total de personas encuestadas) *100)</t>
  </si>
  <si>
    <t xml:space="preserve"> reciben servicios de seguridad, protección y programas integrales que contribuyen a la prevención de la delincuencia, las adicciones y la violencia.</t>
  </si>
  <si>
    <t>Porcentaje de la población que considera confiable a la policía municipal</t>
  </si>
  <si>
    <t>((Mujeres y hombres que consideran confiable a la policía municipal / Total de personas encuestadas)*100)</t>
  </si>
  <si>
    <t>Reducción de delitos patrimoniales bajo un modelo inteligente de operación policial implementado</t>
  </si>
  <si>
    <t>Variación porcentual de delitos de robos patrimoniales</t>
  </si>
  <si>
    <t>(((Delitos de robo año 2024 / Delitos de robo año 2023) -1) *100)</t>
  </si>
  <si>
    <t>Variación porcentual</t>
  </si>
  <si>
    <t>Reducción de a tasa delictiva por cada mil habitantes</t>
  </si>
  <si>
    <t>Tasa de robos patrimoniales por cada mil habitantes</t>
  </si>
  <si>
    <t>((Delitos de robo patrimonial / Población total)*1000)</t>
  </si>
  <si>
    <t>Porcentaje de evaluaciones realizadas</t>
  </si>
  <si>
    <t>Ejecución del Sistema de Evaluación y Rendición de Cuentas</t>
  </si>
  <si>
    <t>((Número de evaluaciones aplicadas/Número de evaluaciones programadas)*100)</t>
  </si>
  <si>
    <t>Capacitación a la ciudadanía en temas de prevención del delito impartida</t>
  </si>
  <si>
    <t>Porcentaje de ciudadanos capacitados</t>
  </si>
  <si>
    <t>((Número de ciudadanos capacitados/total de habitantes del municipio)*100)</t>
  </si>
  <si>
    <t>Porcentaje de asistentes a los talleres de "Comunidad Segura y Participación Ciudadana"</t>
  </si>
  <si>
    <t>((Número de personas que asistieron al taller/Número de personas programadas)*100)</t>
  </si>
  <si>
    <t>Porcentaje de asistentes a los talleres de "Prevención Estudiantil"</t>
  </si>
  <si>
    <t>((Número de personas que asistieron al taller / Número de personas programadas)*100)</t>
  </si>
  <si>
    <t>Porcentaje de asistentes a los talleres de "Vinculación Interinstitucional"</t>
  </si>
  <si>
    <t>Sistema de carrera policial implementado</t>
  </si>
  <si>
    <t>Porcentaje de acreditaciones de capacitación obtenidas</t>
  </si>
  <si>
    <t>((Número de acreditaciones obtenidas/Número total de acreditaciones programadas)*100)</t>
  </si>
  <si>
    <t>Porcentaje de aspirantes que concluyeron satisfactoriamente el curso básico de formación policial</t>
  </si>
  <si>
    <t>Porcentaje de policías que concluyeron satisfactoriamente el curso de actualización anual</t>
  </si>
  <si>
    <t>Porcentaje de policías que concluyeron satisfactoriamente los cursos de especialización</t>
  </si>
  <si>
    <t>Porcentaje de condecoraciones, estímulos y reconocimientos entregados</t>
  </si>
  <si>
    <t>((Numero de reconocimientos entregados/Numero de reconocimientos programados)*100)</t>
  </si>
  <si>
    <t>Programa especializado de atención a las violencias contra las Mujeres implementado</t>
  </si>
  <si>
    <t>Porcentaje de Mujeres atendidas por la División Especializada</t>
  </si>
  <si>
    <t>((Número de mujeres atendidas/Número de reportes recibidos)*100)</t>
  </si>
  <si>
    <t>Porcentaje de dispositivos "Pulsos de Vida" entregados</t>
  </si>
  <si>
    <t>((Numero de dispositivos entregados/número de órdenes de protección recibidas que requieren uso del dispositivo)*100)</t>
  </si>
  <si>
    <t>Porcentaje de personal de la DEAVIM acreditado</t>
  </si>
  <si>
    <t>((Numero de personal acreditado/Número de acreditaciones programadas)*100)</t>
  </si>
  <si>
    <t>04. Justicia y Estado de Derecho</t>
  </si>
  <si>
    <t>Contribuir a garantizar la justicia en el territorio municipal mediante la elaboración de iniciativas, defensoría del patrimonio municipal y asesoría jurídica</t>
  </si>
  <si>
    <t>Variación porcentual de personas atendidas con asesoria jurídica</t>
  </si>
  <si>
    <t>número de personas atendidas en el año 2025/número de personas atendidas en el año 2024*100</t>
  </si>
  <si>
    <t>la ciudadania recibe la certeza jurídica y la protección de sus derechos humanos, con el apego a los procedimientos jurídicos durante la determinación de responsabilidades, la supervisión sistemática de los procesos</t>
  </si>
  <si>
    <t>Variación porcentual de los procedimientos administrativos de responsabilidad laboral revisados</t>
  </si>
  <si>
    <t>(Número de procedimientos administrativos 2025/Número de procedimientos administrativos 2024)-1)*100</t>
  </si>
  <si>
    <t>Actividades inherentes de la Consejería Jurídica realizadas</t>
  </si>
  <si>
    <t>Porcentaje de actividades  inherentes de la Consejería Jurídica realizadas</t>
  </si>
  <si>
    <t>(Número de actividades inherentes de la Consejería Jurídica realizadas / Número de actividades inherentes de la Consejería Jurídica programadas)*100</t>
  </si>
  <si>
    <t>Elaboración y seguimiento de los proyectos jurídicos</t>
  </si>
  <si>
    <t>Porcentaje de proyectos presentados</t>
  </si>
  <si>
    <t>(Número de proyectos jurídicos aprobados/ Número de proyectos jurídicos  presentados)*100</t>
  </si>
  <si>
    <t>Elaboración de Proyectos jurídicos</t>
  </si>
  <si>
    <t>Porcentaje de proyectos jurídicos elaborados</t>
  </si>
  <si>
    <t>(Total de proyectos jurídicos elaborados/Total de proyectos jurídicos solicitados)*100</t>
  </si>
  <si>
    <t>Proyectos de resolución, derivadas de una queja ciudadana a elementos de la comisaria policia de Guadalajara elaborados</t>
  </si>
  <si>
    <t>Porcentaje de proyectos de resolución elaborados</t>
  </si>
  <si>
    <t>(Número de  proyectos de resolución/Número de quejas presentadas)*100</t>
  </si>
  <si>
    <t>Atención de quejas contra elementos de la Comisaría de la Policia de Guadalajara</t>
  </si>
  <si>
    <t>Porcentaje de quejas atendidas</t>
  </si>
  <si>
    <t>(Número de quejas presentadas / Número de quejas)*100</t>
  </si>
  <si>
    <t>Realización de operativos para detectar e inhibir la corrupción en los elementos de la Policía de Guadalajara</t>
  </si>
  <si>
    <t>Porcentaje de operativos realizados para detectar e inhibir la corrupción en los elementos de la Policía de Guadalajara</t>
  </si>
  <si>
    <t>(Número de operativos realizados/Número de operativos programados)*100</t>
  </si>
  <si>
    <t>Defensa legal de los intereses de la Comisaría respecto de los actos jurídicos y administrativos en que esta tome parte, así como la asesoría otorgada a sus elementos en los procedimientos jurisdiccionales o administrativos en que estén involucrados por el debido cumplimiento de sus funciones brindadas</t>
  </si>
  <si>
    <t>Variación porcentual de intervenciones jurídicas y  asesoría otorgada en procedimientos jurisdiccionales o administrativos</t>
  </si>
  <si>
    <t>((Número de intervenciones jurídicas realizadas y asesorías otorgadas en procedimientos jurisdiccionales o administrativos 2025 / Número intervenciones jurídicas realizadas y asesorías otorgadas en procedimientos jurisdiccionales o administrativos 2024)-1)) *100</t>
  </si>
  <si>
    <t>Defensoría legal de los actos jurídicos en que toma parte la Comisaria de la Policía de Guadalajara</t>
  </si>
  <si>
    <t>Porcentaje de juicios en que se actúa en representación de la Comisaría de la Policía de Guadalajara</t>
  </si>
  <si>
    <t>(Número de juicios en que se actúa / Total de juicios recibidos) +100</t>
  </si>
  <si>
    <t>Seguimiento a las quejas de Derechos Humanos que involucren a la Comisaría de la Policía de Guadalajara o sus elementos</t>
  </si>
  <si>
    <t>Porcentaje de quejas de derechos humanos recibidas</t>
  </si>
  <si>
    <t>(Número de juicios en que se actúa / Total de juicios recibidos) *100</t>
  </si>
  <si>
    <t>Integración de procedimientos administrativos por pérdida o daño de armamento e implementos policiales</t>
  </si>
  <si>
    <t>Porcentaje de procedimientos administrativos por pérdida o daño de armamento e implementos policiales resueltos</t>
  </si>
  <si>
    <t>(Número de Procedimientos administrativos por pérdida o daño de armamento e implementos policiales resueltos / Total de Procedimientos administrativos por pérdida o daños de armamento e implementos policiales recibidos) *100</t>
  </si>
  <si>
    <t>Integración de los procedimientos administrativos iniciados en contra de los elementos, en virtud de infringir el Reglamento Interno y de Carrera Policial de la Comisaría de la Policía de Guadalajara; así como los procedimientos administrativos derivados del incumplimiento a los exámenes de control y confianza</t>
  </si>
  <si>
    <t>Porcentaje de procedimientos administrativos resueltos</t>
  </si>
  <si>
    <t>(Número de procedimientos administrativos resueltos / Total de procedimientos administrativos recibidos) * 100</t>
  </si>
  <si>
    <t>05. Comunicación Institucional</t>
  </si>
  <si>
    <t>Contribuir a mejorar la difusión de las acciones del Gobierno Municipal mediante servicios de comunicación social y publicidad</t>
  </si>
  <si>
    <t>Porcentaje de campañas y acciones de difusión realizadas por el Gobierno Municipal en el ejercicio 2025</t>
  </si>
  <si>
    <t>(Número de campañas, acciones y actividades de difusión del Gobierno Municipal realizadas / Número de campañas, acciones y actividades de difusión del Gobierno Municipal programadas)*100</t>
  </si>
  <si>
    <t>Los ciudadanos reciben información clara, precisa y transparente de las acciones del Gobierno Municipal de Guadalajara</t>
  </si>
  <si>
    <t>Porcentaje de presupuesto ejercido en campañas de comunicación estratégica del Gobierno Municipal en el ejercicio 2025</t>
  </si>
  <si>
    <t>(Presupuesto en campañas de comunicación estratégica ejercido / Presupuesto en campañas de comunicación estratégica programado)*100</t>
  </si>
  <si>
    <t>Proyectos de comunicación estratégica institucional de las actividades del Gobierno Municipal realizados.</t>
  </si>
  <si>
    <t>Porcentaje de proyectos de comunicación estratégica institucional realizados por el Gobierno Municipal en el ejercicio 2025</t>
  </si>
  <si>
    <t>(Número de proyectos de comunicación estratégica institucional realizados / Número de contenidos gráficos y audiovisuales institucionales realizados programados)*100</t>
  </si>
  <si>
    <t>Desarrollo de contenidos gráficos y audiovisuales institucionales de las acciones del Gobierno Municipal</t>
  </si>
  <si>
    <t>Porcentaje de contenidos gráficos y audiovisuales institucionales realizados por el Gobierno Municipal</t>
  </si>
  <si>
    <t>(Número de contenidos gráficos y audiovisuales institucionales realizados / Número publicaciones sobre el trabajo estratégico y coyuntural programados)*100</t>
  </si>
  <si>
    <t>Diseño y ejecución de campañas de comunicación estratégicas de las dependencias del Gobierno Municipal</t>
  </si>
  <si>
    <t>Porcentaje de campañas de comunicación estratégicas de las dependencias realizadas por el Gobierno Municipal</t>
  </si>
  <si>
    <t>(Número de campañas de comunicación estratégicas de las dependencias realizadas / Número de campañas de comunicación estratégicas de las dependencias diseñadas)*100</t>
  </si>
  <si>
    <t>Diseño y Monitoreo de campañas de comunicación estratégica digitales del Gobierno Municipal</t>
  </si>
  <si>
    <t>Porcentaje de campañas de comunicación estratégica digitales monitoreadas por el Gobierno Municipal</t>
  </si>
  <si>
    <t>(Número de campañas de comunicación estratégica digitales monitoreadas / Número de campañas de comunicación estratégicas digitales diseñadas)*100</t>
  </si>
  <si>
    <t>Campañas de comunicación estratégica institucional de los programas, servicios y políticas del Gobierno Municipal realizadas</t>
  </si>
  <si>
    <t>Porcentaje de campañas de comunicación estratégica institucional de los programas, servicios y políticas realizados por el Gobierno Municipal</t>
  </si>
  <si>
    <t>(Número de campañas de comunicación estratégica institucional de los programas, servicios y políticas realizados / Número de campañas de comunicación estratégica institucional de los programas, servicios y políticas programados)*100</t>
  </si>
  <si>
    <t>Elaboración, difusión y publicación de contenidos de los programas, servicios y políticas del Gobierno Municipal</t>
  </si>
  <si>
    <t>Porcentaje de publicaciones de contenidos de los programas, servicios y políticas del Gobierno Municipal</t>
  </si>
  <si>
    <t>(Número de publicaciones de contenidos de los programas, servicios y políticas realizadas / Número de publicaciones de contenidos de los programas, servicios y políticas programadas)* 100</t>
  </si>
  <si>
    <t>Gestión de recursos financieros para la administración y operación de Análisis y Comunicación Estratégica del Gobierno Municipal</t>
  </si>
  <si>
    <t>Porcentaje de recursos financieros para la administración y operación de Análisis y Comunicación Estratégica</t>
  </si>
  <si>
    <t>(Recursos financieros para la administración y operación de Análisis y Comunicación Estratégica ejercido / Recursos financieros para la administración y operación de Análisis y Comunicación Estratégica programado)* 100</t>
  </si>
  <si>
    <t>06. Imagen Urbana</t>
  </si>
  <si>
    <t>Contribuir a mejorar la cobertura y eficiencia en la prestación de los servicios públicos de aseo, alumbrado público, mantenimiento de mobiliario urbano, vialidades, parques y jardines a cargo del municipio mediante estrategias y planeación de operativos en la ciudad de Guadalajara</t>
  </si>
  <si>
    <t>Porcentaje de población que otorga una calificación aprobatoria de los servicios públicos en el municipio</t>
  </si>
  <si>
    <t>(Población que otorga calificación aprobatoria / Total de población encuestada)*100</t>
  </si>
  <si>
    <t xml:space="preserve"> Los usuarios de los servicios públicos de aseo, alumbrado público, mantenimiento de vialidades , equipamiento, parques y jardines y su equipamiento, cuentan con servicios públicos eficientes y de calidad.</t>
  </si>
  <si>
    <t>Porcentaje de quejas y reportes ciudadanos atendidos de servicios públicos municipales</t>
  </si>
  <si>
    <t>(Total de quejas y reportes atendidos / Total quejas y reportes recibidas)*100</t>
  </si>
  <si>
    <t>Red de alumbrado público eficiente</t>
  </si>
  <si>
    <t>Porcentaje de encendido de la red de alumbrado público del municipio de Guadalajara en el año 2025</t>
  </si>
  <si>
    <t>(Total de luminarias funcionales / Total de luminarias)*100</t>
  </si>
  <si>
    <t>Monitoreo del consumo de energía de la red de alumbrado público</t>
  </si>
  <si>
    <t>Variación porcentual de consumo de energía en la red de alumbrado público del municipio de Guadalajara</t>
  </si>
  <si>
    <t>((kwh consumidos año 2025 / kwh consumidos año 2024)-1 )*100</t>
  </si>
  <si>
    <t>Conservación de la iluminación en espacios arquitectónicos</t>
  </si>
  <si>
    <t>Porcentaje de efectividad de la conservación de la iluminación en espacios arquitectónicos durante el 2025</t>
  </si>
  <si>
    <t>(Mantenimiento realizado / Mantenimiento programado)*100</t>
  </si>
  <si>
    <t>Atención de quejas y reportes ciudadanos de alumbrado público</t>
  </si>
  <si>
    <t>Porcentaje de quejas y reportes ciudadanos atendidos del servicio de alumbrado público del municipio de Guadalajara</t>
  </si>
  <si>
    <t>(Total de quejas y reportes atendidos / Total quejas y reportes recibidos efectivos)*100</t>
  </si>
  <si>
    <t>Servicio de recolección de residuos domiciliarios cubierto</t>
  </si>
  <si>
    <t>Porcentaje de cobertura del servicio de recolección de residuos domiciliarios del municipio de Guadalajara por rutas al día</t>
  </si>
  <si>
    <t>(Total de rutas efectuadas/ Total de rutas programadas)*100</t>
  </si>
  <si>
    <t>Recolección de residuos sólidos domiciliarios en el municipio</t>
  </si>
  <si>
    <t>Variación porcentual de toneladas de residuos sólidos recolectados de casa habitación</t>
  </si>
  <si>
    <t>((Total de toneladas recolectadas año 2025 / Total de toneladas recolectadas año 2024) -1)*100</t>
  </si>
  <si>
    <t>Recolección de residuos sólidos en tianguis y mercados municipales</t>
  </si>
  <si>
    <t>Porcentaje de toneladas de residuos sólidos recolectados de tianguis y mercados municipales</t>
  </si>
  <si>
    <t>(Total de toneladas de residuos recolectadas en tianguis y mercados / Total de toneladas de residuos recolectadas en tianguis y mercados programadas)* 100</t>
  </si>
  <si>
    <t>Recolección de residuos generados por comerciantes establecidos en el Centro Histórico</t>
  </si>
  <si>
    <t>Porcentaje de toneladas recolectadas de residuos generados por comerciantes establecidos en el Centro Histórico</t>
  </si>
  <si>
    <t>(Total de toneladas de residuos recolectadas de comerciantes del Centro Histórico / Total de toneladas de residuos recolectadas de comerciantes del Centro Histórico programadas)* 100</t>
  </si>
  <si>
    <t>Recolección de residuos de papeleras realizada</t>
  </si>
  <si>
    <t>Porcentaje de toneladas recolectadas en papeleras municipales de Guadalajara</t>
  </si>
  <si>
    <t>(Total de toneladas de residuos recolectadas en papeleras / Total de toneladas de residuos recolectadas en papeleras programadas)* 100</t>
  </si>
  <si>
    <t>Recolección de residuos en Puntos limpios / Residuos Base 0</t>
  </si>
  <si>
    <t>Porcentaje de toneladas recolectadas en puntos limpios de Guadalajara</t>
  </si>
  <si>
    <t>(Total de toneladas de residuos recolectadas en puntos limpios / Total de toneladas de residuos recolectadas en puntos limpios programadas)* 100</t>
  </si>
  <si>
    <t>Atención de quejas y reportes ciudadanos de aseo público</t>
  </si>
  <si>
    <t>Porcentaje de quejas y reportes ciudadanos atendidos del servicio de aseo público del municipio de Guadalajara</t>
  </si>
  <si>
    <t>Mantenimiento del mobiliario urbano público realizado</t>
  </si>
  <si>
    <t>Porcentaje de cobertura de mantenimiento en el mobiliario urbano municipal</t>
  </si>
  <si>
    <t>(Total de acciones de mantenimiento al mobiliario urbano realizadas / Total de acciones de mantenimiento al mobiliario urbano a realizar)*100</t>
  </si>
  <si>
    <t>Mantenimiento de fuentes con limpieza</t>
  </si>
  <si>
    <t>Promedio de fuentes municipales con acciones de mantenimiento efectuadas mensual</t>
  </si>
  <si>
    <t>Fuentes con mantenimiento / meses transcurridos</t>
  </si>
  <si>
    <t>Recolección de animales muertos en la vía pública efectuada (RAMVIP)</t>
  </si>
  <si>
    <t>Porcentaje de toneladas de animales muertos recolectadas en la vía pública en el municipio de Guadalajara</t>
  </si>
  <si>
    <t>(Total de toneladas de animales muertos recolectadas / Total de toneladas de animales muertos programadas) * 100</t>
  </si>
  <si>
    <t>Recuperación y conservación de espacios públicos</t>
  </si>
  <si>
    <t>Porcentaje de espacios públicos recuperados y conservados en el municipio de Guadalajara</t>
  </si>
  <si>
    <t>(Total de espacios públicos con mantenimiento / Total de espacios públicos con mantenimiento programados) * 100</t>
  </si>
  <si>
    <t>Realización de borrado de grafiti</t>
  </si>
  <si>
    <t>Porcentaje de mts² de borrado de grafiti en el municipio de Guadalajara</t>
  </si>
  <si>
    <t>(Total de mts² de grafiti borrado / Total de mts² de grafiti programado) * 100</t>
  </si>
  <si>
    <t>Mantenimiento de Paseo Alcalde y Centro Histórico realizado</t>
  </si>
  <si>
    <t>Porcentaje de acciones realizadas en Paseo Alcalde y Centro Histórico</t>
  </si>
  <si>
    <t>(Total de acciones realizadas / Total de acciones programadas) * 100</t>
  </si>
  <si>
    <t>Recolección de desechos sólidos en la vía pública</t>
  </si>
  <si>
    <t>Porcentaje de m³ de desechos sólidos recolectadas en la vía pública en el municipio de Guadalajara</t>
  </si>
  <si>
    <t>(Total de m³ de desechos sólidos recolectados / Total de m³ de desechos sólidos programados) * 100</t>
  </si>
  <si>
    <t>Reparación de banquetas en la vía pública realizadas</t>
  </si>
  <si>
    <t>Porcentaje de m² de banquetas reparadas en el municipio de Guadalajara</t>
  </si>
  <si>
    <t>(Total de m² de banquetas reparadas / Total de m² de banquetas programadas) * 100</t>
  </si>
  <si>
    <t>Conservación de vialidades efectuada</t>
  </si>
  <si>
    <t>Porcentaje de superficie de rodamiento en el municipio que se encuentra en buenas condiciones</t>
  </si>
  <si>
    <t>(Total de M² de superficie de rodamiento con mantenimiento realizado / Total de M² de superficie de rodamiento con mantenimiento programado)*100</t>
  </si>
  <si>
    <t>Realización de bacheo en vialidades públicas municipales</t>
  </si>
  <si>
    <t>Porcentaje de m² de superficie de rodamiento bacheados en el municipio de Guadalajara</t>
  </si>
  <si>
    <t>(Total de m² de superficie bacheada / Total de metros a bachear programados) *100</t>
  </si>
  <si>
    <t>Realización de calafateo en vialidades públicas</t>
  </si>
  <si>
    <t>Porcentaje de metros lineales de calafateo realizados en vialidades del municipio de Guadalajara</t>
  </si>
  <si>
    <t>(Total de metros calafateados / Total de metros a calafatear programados) *100</t>
  </si>
  <si>
    <t>Realización de reencarpetamiento en vialidades públicas</t>
  </si>
  <si>
    <t>Porcentaje de m² de superficie de rodamiento reencarpetado en el municipio de Guadalajara</t>
  </si>
  <si>
    <t>(Total de m² de superficie reencarpetado / Total de metros a reencarpetar programados) *100</t>
  </si>
  <si>
    <t>Instalación y rehabilitación de topes en vialidades públicas</t>
  </si>
  <si>
    <t>Porcentaje de peticiones y/o dictámenes recibidos para la instalación y rehabilitación de topes en el municipio de Guadalajara</t>
  </si>
  <si>
    <t>(Total de topes instalados / Total de topes programados para instalar) *100</t>
  </si>
  <si>
    <t>Realización de balizamiento</t>
  </si>
  <si>
    <t>Porcentaje de mts² de balizamiento de vialidades, machuelos y señalética realizado en el municipio de Guadalajara</t>
  </si>
  <si>
    <t>(Total de mts² de balizamiento realizado / Total de mts² de balizamiento programado) * 100</t>
  </si>
  <si>
    <t>Áreas verdes públicas que se encuentran dentro del inventario de áreas verdes del municipio de Guadalajara mantenidas y conservadas en buen estado</t>
  </si>
  <si>
    <t>Porcentaje de áreas verdes públicas conservadas en el municipio de Guadalajara</t>
  </si>
  <si>
    <t>(Total de áreas verdes conservadas y mantenidas / Total de áreas verdes con mantenimiento programado) * 100</t>
  </si>
  <si>
    <t>Conservación integral de espacios verdes municipales realizados</t>
  </si>
  <si>
    <t>Promedio mensual de m² de espacios verdes municipales conservadas</t>
  </si>
  <si>
    <t>Total de m² de espacios verdes conservados /meses transcurridos</t>
  </si>
  <si>
    <t>Realización de manejo de arbolado urbano en el municipio de Guadalajara</t>
  </si>
  <si>
    <t>Porcentaje de arbolado urbano con intervenciones de manejo integral</t>
  </si>
  <si>
    <t>(Total de árboles intervenidos / Total de árboles programados) * 100</t>
  </si>
  <si>
    <t>Atención de quejas y reportes ciudadanos sobre conservación de áreas verdes</t>
  </si>
  <si>
    <t>Porcentaje de quejas y reportes ciudadanos atendidos de las categorías de Parques y jardines</t>
  </si>
  <si>
    <t>(Total de quejas y reportes atendidos / Total quejas y reportes recibidos)*100</t>
  </si>
  <si>
    <t>Campañas de saneamiento en espacios y áreas públicas implementadas</t>
  </si>
  <si>
    <t>Porcentaje de áreas y espacios públicos abiertos con campañas de saneamiento en el municipio de Guadalajara</t>
  </si>
  <si>
    <t>(Total de espacios y áreas con limpieza realizadas / Total de espacios y áreas programadas)*100</t>
  </si>
  <si>
    <t>Mantenimiento de ciclovías realizado</t>
  </si>
  <si>
    <t>Porcentaje de metros lineales de ciclovía del catálogo con intervenciones realizadas en el municipio de Guadalajara</t>
  </si>
  <si>
    <t>(Total de metros lineales intervenidos /Total de metros lineales programados a intervenir ) *100</t>
  </si>
  <si>
    <t>Atención de quejas y reportes ciudadanos de Guadalajara limpia realizados</t>
  </si>
  <si>
    <t>Porcentaje de quejas y reportes atendidos de servicios de Guadalajara Limpia del municipio de Guadalajara</t>
  </si>
  <si>
    <t>Campañas nocturnas de servicios públicos en diferentes áreas del municipio de Guadalajara implementadas</t>
  </si>
  <si>
    <t>Porcentaje de áreas con intervenciones nocturnas en el municipio de Guadalajara</t>
  </si>
  <si>
    <t>(Total de espacios y/o áreas intervenidas / Total de áreas programadas)*100</t>
  </si>
  <si>
    <t>Atención de contingencias realizadas</t>
  </si>
  <si>
    <t>Porcentaje de contingencias atendidas en el municipio de Guadalajara</t>
  </si>
  <si>
    <t>(Total de contingencias atendidas / Total de contingencias reportadas)*100</t>
  </si>
  <si>
    <t>Conservación integral nocturna de áreas y espacios públicos realizada</t>
  </si>
  <si>
    <t>Porcentaje de m² de áreas públicas en el municipio de Guadalajara con acciones nocturnas de conservación</t>
  </si>
  <si>
    <t>(M² de áreas públicas con limpieza / M² de áreas públicas programadas) *100</t>
  </si>
  <si>
    <t>Operatividad e insumos Administrativos aplicado</t>
  </si>
  <si>
    <t>Porcentaje de presupuesto ejercido de operatividad e insumos</t>
  </si>
  <si>
    <t>(Total de presupuesto ejercido /Total de presupuesto asignado ) *100</t>
  </si>
  <si>
    <t>Gestión de los insumos operativos y administrativos</t>
  </si>
  <si>
    <t>Porcentaje de equipamiento para la operatividad de la coordinación</t>
  </si>
  <si>
    <t>(Número de requisiciones aprobadas / Número total de requisiciones solicitadas ) *100</t>
  </si>
  <si>
    <t>07. Servicios Públicos Funcionales</t>
  </si>
  <si>
    <t>Contribuir a mejorar la cobertura y eficiencia en la prestación de los servicios públicos a cargo del municipio a través de servicios de cementerios y sacrificio en rastro de calidad</t>
  </si>
  <si>
    <t>Porcentaje de personas que otorgan una calificación aprobatoria de los servicios públicos en el municipio de rastro y cementerios</t>
  </si>
  <si>
    <t>(Porcentaje de personas que otorgan calificación aprobatoria/Total de personas encuestadas)*100</t>
  </si>
  <si>
    <t xml:space="preserve"> Las personas usuarias de los servicios públicos de cementerios y rastro del municipio utilizan servicios públicos eficientes y de calidad</t>
  </si>
  <si>
    <t>Promedio mensual de servicios otorgados de cementerios y rastro del municipio de Guadalajara</t>
  </si>
  <si>
    <t>(Número total de servicios otorgados anualmente/ 12 meses)</t>
  </si>
  <si>
    <t>Cobertura de servicios de inhumaciones efectuada</t>
  </si>
  <si>
    <t>Porcentaje de ocupación de los cementerios municipales</t>
  </si>
  <si>
    <t>(Número de espacios ocupados / Número de espacios disponibles)*100</t>
  </si>
  <si>
    <t>Servicios de cementerios otorgados</t>
  </si>
  <si>
    <t>Variación porcentual de servicios otorgados de cementerios municipales.</t>
  </si>
  <si>
    <t>((Total de servicios de cementerios otorgados en 2025 /Total de servicios de cementerios otorgados en 2024)-1 ))*100</t>
  </si>
  <si>
    <t>Mantenimiento de cementerios municipales</t>
  </si>
  <si>
    <t>Porcentaje de cementerios municipales con acciones de mantenimiento preventivo y correctivo mensual</t>
  </si>
  <si>
    <t>(Total de cementerios con acciones realizadas / Número de cementerios)*100</t>
  </si>
  <si>
    <t>Control de calidad de productos cárnicos realizados</t>
  </si>
  <si>
    <t>Porcentaje de productos cárnicos que acreditan su inocuidad en el Rastro Municipal</t>
  </si>
  <si>
    <t>(Total de productos cárnicos acreditados / Total de animales sacrificados)*100</t>
  </si>
  <si>
    <t>Realización del sacrificio de reses,  cerdos, caprinos y ovinos</t>
  </si>
  <si>
    <t>Porcentaje de sacrificio de  reses,  cerdos, caprinos y ovinos en el rastro municipal de Guadalajara</t>
  </si>
  <si>
    <t>(Total de sacrificios  realizados / Total de sacrificios programados)*100</t>
  </si>
  <si>
    <t>Gestión de operatividad e insumos administrativos aplicados</t>
  </si>
  <si>
    <t>Porcentaje de presupuesto ejercido en operatividad e insumos en el Rastro Municipal</t>
  </si>
  <si>
    <t>08. Fomento a la inversión, turismo y relaciones internacionales</t>
  </si>
  <si>
    <t>Se contribuye a desarrollar los sectores económico, turístico e internacional para que todas las personas tengan acceso a información y oportunidades de acceder a un empleo digno mediante programas y estrategias económicas para garantizar un crecimiento equitativo y sustentable en el municipio de Guadalajara</t>
  </si>
  <si>
    <t>Variación porcentual del crecimiento de las Unidades Económicas</t>
  </si>
  <si>
    <t>((Numero de unidades económicas en periodo actual/ numero de unidades periodo anterior)-1)*100</t>
  </si>
  <si>
    <t>91. Ciudadanos . La población tapatía se desarrolla económicamente, a través de acciones para el fomento a la inversión y turismo</t>
  </si>
  <si>
    <t>Variación porcentual del registro de la derrama económica realizada por el Sistema de Información Turística del Estado de Jalisco</t>
  </si>
  <si>
    <t>((Derrama Económica expresada en millones de pesos acumulados del año / (Derrama Económica expresada en millones de pesos acumulados del año base) -1)*100</t>
  </si>
  <si>
    <t>C01</t>
  </si>
  <si>
    <t>Estrategias de promoción turística para el posicionamiento de Guadalajara como destino, implementadas</t>
  </si>
  <si>
    <t>Porcentaje del número de estrategias implementados de promoción turística para el posicionamiento de Guadalajara como destino</t>
  </si>
  <si>
    <t>(Número de estrategias de promoción turística  implementados / Número de estrategias de promoción programados) *100</t>
  </si>
  <si>
    <t>Atención a personas en módulos de información turística</t>
  </si>
  <si>
    <t>Promedio de personas atendidas en los módulos de información turística</t>
  </si>
  <si>
    <t>(Número de personas atendidas en módulos de información turística / Número de meses)</t>
  </si>
  <si>
    <t>Ejecución de recorridos turísticos</t>
  </si>
  <si>
    <t>Porcentaje de avance en los recorridos turísticos realizados por la Dirección de Turismo como oferta turística de la Ciudad</t>
  </si>
  <si>
    <t>(Número de recorridos turísticos realizados / Número de recorridos turísticos planeados) *100</t>
  </si>
  <si>
    <t>Medición de las herramientas digitales en materia de promoción y difusión turística</t>
  </si>
  <si>
    <t>Promedio del impacto de la interacción de usuarios en herramientas digitales institucionales de promoción y difusión turística</t>
  </si>
  <si>
    <t>(Número de impacto e interacciones registradas / Número de meses)</t>
  </si>
  <si>
    <t>C02</t>
  </si>
  <si>
    <t>Atractivos turísticos del Centro Histórico y Barrio de Mexicaltzingo, implementados</t>
  </si>
  <si>
    <t>Porcentaje de número de atractivos turísticos del Centro Histórico y Barrio de Mexicaltzingo operados para el posicionamiento de Guadalajara como destino</t>
  </si>
  <si>
    <t>(Número de atractivos turísticos del Centro Históricos y Barrio de Mexicaltzingo operados  para el posicionamiento de Guadalajara como destino / Total atractivos turísticos programados) *100</t>
  </si>
  <si>
    <t>Atención a turistas y visitantes locales en el servicio de esparcimiento Carrusel Monumental</t>
  </si>
  <si>
    <t>Promedio de la asistencia de turistas y visitantes locales al servicio de esparcimiento Carrusel Monumental</t>
  </si>
  <si>
    <t>(Número de asistentes al Carrusel Monumental / Número de meses)</t>
  </si>
  <si>
    <t>Proyección de videomapping en el centro histórico</t>
  </si>
  <si>
    <t>Promedio de asistencia de turistas y visitantes locales a las proyecciones de videomapping en el Centro Histórico</t>
  </si>
  <si>
    <t>(Número de asistentes a las proyecciones de videomapping en el Centro Histórico / Número de meses)</t>
  </si>
  <si>
    <t>Atención a turistas y visitantes locales en el Puente de las Damas</t>
  </si>
  <si>
    <t>Promedio de asistencia de turistas y visitantes locales al Puente de las Damas</t>
  </si>
  <si>
    <t>(Número de asistentes al Puente de las Damas / Número de meses)</t>
  </si>
  <si>
    <t>C03</t>
  </si>
  <si>
    <t>Empresas turísticas con Distintivo "C" certificadas</t>
  </si>
  <si>
    <t>Porcentaje de empresas certificadas con el Distintivo "C"</t>
  </si>
  <si>
    <t>(Número de empresas certificadas con el Distintivo "C" / Número de empresas programadas de Distintivo "C") *100</t>
  </si>
  <si>
    <t>Impartición de cursos a empresas turísticas como parte del Programa de Certificación del Distintivo "C"</t>
  </si>
  <si>
    <t>Porcentaje de cursos impartidos a empresas turísticas como parte del programa de certificación del Distintivo "C"</t>
  </si>
  <si>
    <t>(Número de cursos impartidos / Total de cursos programados) *100</t>
  </si>
  <si>
    <t>Participación en cursos impartidos a personas para su certificación con Distintivo "C"</t>
  </si>
  <si>
    <t>Porcentaje de asistentes a cursos impartidos para la certificación con Distintivo "C"</t>
  </si>
  <si>
    <t>(Número de asistentes a cursos / Número de asistentes a cursos registrados) *100</t>
  </si>
  <si>
    <t>C04</t>
  </si>
  <si>
    <t>Eventos de alto impacto con participación público-privado, conmemorativos y del segmento "Turismo de reuniones y negocios", realizados</t>
  </si>
  <si>
    <t>Porcentaje de eventos público-privado eventos masivos conmemorativos y para el segmento "Turismo de reunión y negocios" con presencia del Municipio de Guadalajara que se llevaron a cabo</t>
  </si>
  <si>
    <t>(Número de eventos realizados/ Número de eventos programados)*100</t>
  </si>
  <si>
    <t>Gestión de aportaciones económicas público-privada para la ejecución de eventos de alto impacto</t>
  </si>
  <si>
    <t>Promedio de aportaciones a eventos de alto impacto de participación público privada</t>
  </si>
  <si>
    <t>(Cantidad de aportaciones público-privada para evento de alto impacto/número de meses)</t>
  </si>
  <si>
    <t>Gestión de permisos y trámites para la ejecución los eventos de alto impacto</t>
  </si>
  <si>
    <t>Porcentaje de avance en la gestión de permisos y trámites</t>
  </si>
  <si>
    <t>(Número de acciones de gestión de permisos y trámites/ Número de acciones de gestión de permisos y trámites planeadas)*100</t>
  </si>
  <si>
    <t>Participación en eventos del segmento "turismo de reuniones y negocios</t>
  </si>
  <si>
    <t>Porcentaje de la participación en el  número de eventos del segmento "Turismo de reuniones y negocios" planeados</t>
  </si>
  <si>
    <t>(Número de eventos en el segmento de "Turismo de reuniones y negocios" con participación / Número de eventos en el segmento de "Turismo de reuniones y negocios" programados para atender ) *100</t>
  </si>
  <si>
    <t>09. Emprendimiento</t>
  </si>
  <si>
    <t>Contribuir a desarrollar oportunidades para todas las personas que deseen acceder a un empleo digno o emprender un negocio; mediante programas y estrategias económicas para garantizar un crecimiento equitativo y sustentable en la población de Guadalajara</t>
  </si>
  <si>
    <t>Índice de Emprendimiento Global GEI</t>
  </si>
  <si>
    <t>Establecido por el The Global Entreperneurship and Development Institute</t>
  </si>
  <si>
    <t>91. Ciudadanos . La población de Guadalajara que cuenta con micro, pequeñas y medianas empresas establecidas y/o de reciente creación recibe apoyos, financiamiento y/o capacitación</t>
  </si>
  <si>
    <t>Porcentaje de avance en apoyos otorgados</t>
  </si>
  <si>
    <t>(Número de proyectos de emprendimiento aprobados que reciben al menos un apoyo /Total de proyectos que cumplieron con requisitos)*100</t>
  </si>
  <si>
    <t>Programa de impulso a proyectos de la industria creativa digital realizado</t>
  </si>
  <si>
    <t>Porcentaje de avance en la entrega de apoyos a empresarios de la industria creativa digital</t>
  </si>
  <si>
    <t>(Número de empresarios que reciben al menos un apoyo /número de empresarios solicitantes que cumplen con los requisitos) *100</t>
  </si>
  <si>
    <t>Ejecución de acciones de asesorías y financiamiento para el fomento del desarrollo creativo y cultural</t>
  </si>
  <si>
    <t>Porcentaje de asesorías y financiamiento para el fomento del desarrollo creativo y cultural</t>
  </si>
  <si>
    <t>(Número de personas capacitadas/ Número de personas solicitantes que cumplen con los requisitos) *100</t>
  </si>
  <si>
    <t>Participación en acciones de promoción de la industria creativa</t>
  </si>
  <si>
    <t>Porcentaje de avance en la participación de la ciudadanía en acciones de promoción de la industria creativa</t>
  </si>
  <si>
    <t>(Número de asistentes a sesiones de promoción de la industria creativa / Número de personas programadas para participar en sesiones de promoción de la industria creativa) *100</t>
  </si>
  <si>
    <t>Impulso de Talento de la industria creativa</t>
  </si>
  <si>
    <t>Porcentaje de eventos que impulsan a sectores de la industria creativa</t>
  </si>
  <si>
    <t>(Número de personas capacitadas/ Número de personas solicitantes de capacitación y vinculación)* 100</t>
  </si>
  <si>
    <t>Financiamiento y/o capacitación por el programa Emprende otorgados</t>
  </si>
  <si>
    <t>Porcentaje de avance en la entrega de financiamiento y/o capacitación por el programa Emprende</t>
  </si>
  <si>
    <t>(Número de proyectos beneficiados con al menos un apoyo / número de proyectos solicitantes que cumplen con los requisitos del programa Emprende) *100</t>
  </si>
  <si>
    <t>Incorporación de emprendedores al programa Emprende</t>
  </si>
  <si>
    <t>Porcentaje de avance en la incorporación de personas emprendedoras al programa Emprende</t>
  </si>
  <si>
    <t>(Número de informes de incorporación realizados / Número de informes de incorporación programados) *100</t>
  </si>
  <si>
    <t>Capacitación en formación empresarial a la ciudadanía con intención emprendedora</t>
  </si>
  <si>
    <t>Porcentaje de avance de la capacitación en formación empresarial a personas con intención emprendedoras</t>
  </si>
  <si>
    <t>(Número de informes de capacitación realizados / Número de informes de capacitación del programa Emprende programados) *100</t>
  </si>
  <si>
    <t>Incorporación a las personaS en situación de Discapacidad que cuenten con facultades para ser económicamente activo</t>
  </si>
  <si>
    <t>Porcentaje de avance en la entrega de financiamiento y/o capacitación por el programa Emprendeen a personas de situación de Discapacidad</t>
  </si>
  <si>
    <t>Financiamiento y/o capacitación a proyectos de emprendimiento encabezados por mujeres otorgado</t>
  </si>
  <si>
    <t>Porcentaje de avance en la entrega de financiamiento y/o capacitación a proyectos de emprendimiento encabezados por mujeres</t>
  </si>
  <si>
    <t>(Número de mujeres beneficiadas con al menos un apoyo/ Número de mujeres solicitantes que cumplen con los requisitos) *100</t>
  </si>
  <si>
    <t>Promoción del financiamiento a proyectos de emprendimiento encabezados por mujeres</t>
  </si>
  <si>
    <t>Porcentaje de avance en la promoción del financiamiento otorgado a proyectos de emprendimiento encabezados por mujeres</t>
  </si>
  <si>
    <t>(Número de informes de promoción realizados / Número de informes de promoción programadas) *100</t>
  </si>
  <si>
    <t>Capacitación en formación empresarial a proyectos de emprendimiento encabezados por mujeres, otorgada.</t>
  </si>
  <si>
    <t>Porcentaje de avance en la gestión de la capacitación a proyectos de emprendimiento encabezados por mujeres</t>
  </si>
  <si>
    <t>(Número de informes de capacitación realizados / Número de informes de capacitación programados) *100</t>
  </si>
  <si>
    <t>Programa de desarrollo del pensamiento emprendedor en niñas y niños realizado</t>
  </si>
  <si>
    <t>Porcentaje de proyectos de emprendimiento desarrollados por niñas y niños</t>
  </si>
  <si>
    <t>(Número de niñas y niños beneficiados/ Número de niñas y niños que cumplen con los requisitos) *100</t>
  </si>
  <si>
    <t>Promoción del desarrollo del pensamiento emprendedor en niñas y niños</t>
  </si>
  <si>
    <t>Porcentaje de asistencia en niñas y niños a espacios de promoción del desarrollo del pensamiento emprendedor</t>
  </si>
  <si>
    <t>(Número de niñas y niños asistentes/ Número de niñas y niños estimados para participar) *100</t>
  </si>
  <si>
    <t>Capacitación a proyectos de emprendimiento desarrollados por niñas y niños</t>
  </si>
  <si>
    <t>Porcentaje de niñas y niños capacitados en materia de emprendimiento</t>
  </si>
  <si>
    <t>(Número de niñas y niños capacitados/ número de niños y niñas solicitantes) *100</t>
  </si>
  <si>
    <t>Programas estratégicos de promoción a la inversión realizados</t>
  </si>
  <si>
    <t>Porcentaje de avance en la ejecución de los programas estratégicos de promoción a la inversión</t>
  </si>
  <si>
    <t>(Número de gestiones realizadas para la ejecución de  de los programas/ estratégicos de promoción a la inversión programados) *100</t>
  </si>
  <si>
    <t>Atención  empresarial para dar asesoría, acompañamiento y vinculación al empresariado y  los empresarios del comercio con los centros de consumo regional, nacional e internacional</t>
  </si>
  <si>
    <t>Porcentaje de avance en asesorías a proyectos de inversión atendidas a través de la ventanilla empresarial</t>
  </si>
  <si>
    <t>(Número de asesorías a proyectos de inversión atendidos en ventanilla / Número de asesorías a proyectos de inversión solicitadas a la ventanilla) *100</t>
  </si>
  <si>
    <t>Vinculación con organismos empresariales que permitan la colaboración en conjunto, en beneficio del desarrollo económico del Municipio;</t>
  </si>
  <si>
    <t>Porcentaje de avance en reuniones de vinculación con el gobierno de Guadalajara</t>
  </si>
  <si>
    <t>(Número de reuniones empresariales realizadas / Número de reuniones programadas )*100</t>
  </si>
  <si>
    <t>Gestión de premios y reconocimientos al empresariado tapatío</t>
  </si>
  <si>
    <t>Porcentaje de avance en la gestión de premios y reconocimientos al empresariado tapatío</t>
  </si>
  <si>
    <t>(Número de eventos de entrega de reconocimientos realizados / Número de eventos de entrega de reconocimientos programados) *100</t>
  </si>
  <si>
    <t>Estímulos fiscales a empresas entregados</t>
  </si>
  <si>
    <t>Porcentaje de avance en la recepción de estímulos fiscales</t>
  </si>
  <si>
    <t>(Número de estímulos fiscales gestionados / total de estímulos fiscales solicitados) *100</t>
  </si>
  <si>
    <t>Dictaminaciones del Consejo de Promoción Económica de Guadalajara para otorgar estímulos fiscales</t>
  </si>
  <si>
    <t>Porcentaje de avance en dictámenes emitidos por el Consejo de Promoción Económica de Guadalajara</t>
  </si>
  <si>
    <t>(Número de dictámenes emitidos / Número de dictámenes programados) *100</t>
  </si>
  <si>
    <t>Emisión de convocatorias para las Sesiones del Consejo de Promoción Económica de Guadalajara</t>
  </si>
  <si>
    <t>Porcentaje de avance en convocatorias emitidas a los miembros del Consejo de Promoción Económica de Guadalajara</t>
  </si>
  <si>
    <t>(Número de convocatorias emitidas / Número de convocatorias proyectadas) *100</t>
  </si>
  <si>
    <t>Programa de fomento al empleo realizado</t>
  </si>
  <si>
    <t>Porcentaje de avance en la participación de personas en el programa de fomento al empleo</t>
  </si>
  <si>
    <t>(Número de personas participantes / Número de personas esperadas en el programa de fomento al empleo)*100</t>
  </si>
  <si>
    <t>Realización de eventos de fomento al empleo</t>
  </si>
  <si>
    <t>Porcentaje de avance en la realización de eventos de fomento al empleo</t>
  </si>
  <si>
    <t>(Número de eventos de fomento al empleo realizados / Número de eventos de fomento al empleo programados)*100</t>
  </si>
  <si>
    <t>Publicación de vacantes en la plataforma del programa fomento al empleo</t>
  </si>
  <si>
    <t>Porcentaje de avance en la publicación de vacantes en la plataforma del programa fomento al empleo</t>
  </si>
  <si>
    <t>(Total de vacantes subidas en la plataforma / Total de vacantes recibidas) *100</t>
  </si>
  <si>
    <t>Vinculación laboral de personas participantes en el programa de fomento al empleo</t>
  </si>
  <si>
    <t>Porcentaje de avance en personas vinculadas laboralmente mediante el programa de fomento al empleo</t>
  </si>
  <si>
    <t>(Número de personas vinculadas laboralmente / Número de personas vinculadas en el programa de fomento al empleo)*100</t>
  </si>
  <si>
    <t>Atención a empresas participantes en el programa de fomento al empleo</t>
  </si>
  <si>
    <t>Porcentaje de avance en empresas participantes atendidas en el programa de fomento al empleo</t>
  </si>
  <si>
    <t>(Número de empresas atendidas / Número de empresas programadas para atender por el programa de fomento al empleo)*100</t>
  </si>
  <si>
    <t>10. Regulación y derrama económica local</t>
  </si>
  <si>
    <t>Se contribuye a desarrollar los sectores económico y turístico para que todas las personas tengan acceso a información y oportunidades de acceder a un empleo digno mediante programas y estrategias económicas para garantizar un crecimiento equitativo y sustentable en el municipio de Guadalajara</t>
  </si>
  <si>
    <t>Variación porcentual del crecimiento de unidades económicas en la Ciudad</t>
  </si>
  <si>
    <t>((Numero de unidades económicas en periodo actual/ Tasa de crecimiento de unidades económicas periodo anterior)-1)*100</t>
  </si>
  <si>
    <t>Los sectores económicos del municipio reciben acciones estructuradas de detección, apoyo, vinculación y promoción para el crecimiento integral de aprovechando las ventajas y oportunidades de mercado, con el fin de obtener un desarrollo más justo,</t>
  </si>
  <si>
    <t>Porcentaje de cumplimiento de los objetivos de las Direcciones que componen a la Coordinación General de Desarrollo Económico</t>
  </si>
  <si>
    <t>(Porcentaje de cumplimiento de los objetivos/ Porcentaje de cumplimiento de los objetivos programados)*100</t>
  </si>
  <si>
    <t>Mercados Municipales revitalizados</t>
  </si>
  <si>
    <t>Porcentaje de acciones para la revitalización de Mercados Municipales</t>
  </si>
  <si>
    <t>(Total de acciones de mantenimiento, mesas de trabajo y trámites realizados/ Acciones de mantenimiento, mesas de trabajo y trámites programados)*100</t>
  </si>
  <si>
    <t>Ejecución de acciones para el mantenimiento de los mercados municipales, realizadas</t>
  </si>
  <si>
    <t>Porcentaje de avance en acciones de mejora en mercados realizadas</t>
  </si>
  <si>
    <t>(Número de acciones realizadas en mercados / Número de acciones identificadas)*100</t>
  </si>
  <si>
    <t>Instalación de mesas de trabajo con locatarios, para la identificación, evaluación y resolución de problemáticas del Mercado Libertad</t>
  </si>
  <si>
    <t>Porcentaje de mesas de trabajo realizadas con los locatarios del Mercado Libertad</t>
  </si>
  <si>
    <t>(Número de mesas realizadas en el Mercado Libertad/ Número de mesas programadas)*100</t>
  </si>
  <si>
    <t>Realización de trámites de locatarios para la correcta operación de los Mercados Municipales</t>
  </si>
  <si>
    <t>Porcentaje de avance en trámites realizados en la ventanilla de la Dirección de Mercados</t>
  </si>
  <si>
    <t>(Número de trámites realizados en ventanilla / Número de solicitudes recibidas en ventanilla) *100</t>
  </si>
  <si>
    <t>Reordenamiento del comercio en Tianguis y comercio Espacios Abiertos realizado</t>
  </si>
  <si>
    <t>Porcentaje de acciones para el reordenamiento de Tianguis y comercio en espacios abiertos</t>
  </si>
  <si>
    <t>(Número acciones de reordenamiento realizados / Total de acciones de reordenamiento programadas)*100</t>
  </si>
  <si>
    <t>Actualización de padrones de tianguis y permisos en espacios abiertos</t>
  </si>
  <si>
    <t>Porcentaje de avance en la actualización de los padrones de tianguis y permisos del comercio en espacios abiertos</t>
  </si>
  <si>
    <t>(Número actualizaciones a los padrones realizados/ Total de actualizaciones  programadas)*100</t>
  </si>
  <si>
    <t>Realización de trámites en ventanilla de la Dirección de Tianguis y Comercio en Espacios Abiertos</t>
  </si>
  <si>
    <t>Porcentaje de avance en trámites realizados en ventanilla de la Dirección de Tianguis y Comercio en Espacios Abiertos</t>
  </si>
  <si>
    <t>Balizamiento para ubicación de los puestos en los Tianguis de la Ciudad</t>
  </si>
  <si>
    <t>Porcentaje de balizamiento realizado en los tianguis.</t>
  </si>
  <si>
    <t>(Número de Tianguis balizados / Número total de tianguis en la Ciudad) *100</t>
  </si>
  <si>
    <t>Licencias municipales de giros tipo "A, B, C y D" otorgadas</t>
  </si>
  <si>
    <t>Porcentaje de avance en el otorgamiento de licencias municipales por parte de la Dirección de Padrón y Licencias</t>
  </si>
  <si>
    <t>(Número de Licencias otorgadas/ Total de solicitudes recibidas) *100</t>
  </si>
  <si>
    <t>Emisión de licencia municipal tipo "A"</t>
  </si>
  <si>
    <t>Porcentaje de avance en la emisión de licencias municipales tipo "A"</t>
  </si>
  <si>
    <t>(Número de licencia otorgadas de tipo "A"/Total de solicitudes recibidas)*100</t>
  </si>
  <si>
    <t>Emisión de licencia municipal de tipo "B, C y D"</t>
  </si>
  <si>
    <t>Porcentaje de avance en la emisión de licencias municipales tipo "B, C y D"</t>
  </si>
  <si>
    <t>(Número de licencia otorgadas de tipo "B, C y D"/Total de solicitudes recibidas tipo "B; C y D")*100</t>
  </si>
  <si>
    <t>Supervisión física en los domicilios con solicitudes de licencia municipal de tipo "B, C y D"</t>
  </si>
  <si>
    <t>Porcentaje de avance en domicilio supervisados de solicitudes de licencias municipales  tipo "B; C y D"</t>
  </si>
  <si>
    <t>(Número de domicilios supervisados/Número de solicitudes de licencia de tipo "B, C y D)*100</t>
  </si>
  <si>
    <t>Gestión, promoción, ejecución e impulso de acciones, proyectos y fortalecimiento de recursos, para contribuir al desarrollo económico del Municipio, realizadas</t>
  </si>
  <si>
    <t>Porcentaje de acciones para la gestión e impulso para el desarrollo económico del municipio</t>
  </si>
  <si>
    <t>(Porcentaje de cumplimiento de actividades/ Porcentaje de cumplimiento de actividades programadas) *100</t>
  </si>
  <si>
    <t>Operación administrativa de la Coordinación General de Desarrollo Económico</t>
  </si>
  <si>
    <t>Porcentaje de avance en el seguimiento administrativo de la Coordinación General de Desarrollo Económico</t>
  </si>
  <si>
    <t>(Número de reportes elaborados del seguimiento de los procesos administrativos / Número de reportes programados) *100</t>
  </si>
  <si>
    <t>Reuniones con empresarios, asociaciones, instituciones, emprendedores del sector económico y de gobierno que contribuya al cumplimiento de los objetivos</t>
  </si>
  <si>
    <t>Promedio de reuniones con actores del sector económico que se llevan a cabo por el despacho del coordinador General de Desarrollo Económico</t>
  </si>
  <si>
    <t>(Numero de reuniones con empresarios, asociaciones, instituciones, emprendedores del sector económico y de gobierno realizadas/ Número de meses)</t>
  </si>
  <si>
    <t>11. Desarrollo de la gestión pública para la operación eficiente y eficaz del Ayuntamiento de Guadalajara</t>
  </si>
  <si>
    <t>Contribuir a lograr una administración municipal eficiente y orientada a resultados, que promueva el desarrollo sostenible y el bienestar de la comunidad a través de la mejora continua de la gestión pública.</t>
  </si>
  <si>
    <t>Porcentaje de cumplimiento de los objetivos estratégicos del Plan Municipal de Desarrollo</t>
  </si>
  <si>
    <t>(Total de objetivos cumplidos / Número de objetivos estimados)*100</t>
  </si>
  <si>
    <t>CIUDADANOS Cuentan con una administración municipal eficiente mediante la coordinación efectiva de la Jefatura de Gabinete.</t>
  </si>
  <si>
    <t>Porcentaje de proyectos prioritarios ejecutados conforme a los plazos y presupuestos establecidos</t>
  </si>
  <si>
    <t>Número de proyectos prioritarios ejecutados / Total de proyectos ejecutados)*100</t>
  </si>
  <si>
    <t>Proyectos clave alineados con los objetivos estratégicos del municipio revisados</t>
  </si>
  <si>
    <t>Porcentaje de proyectos clave alineados con los objetivos estratégicos del municipio.</t>
  </si>
  <si>
    <t>(Número de proyectos revisados que cumplen con los criterios/ Total de proyectos revisados)*100</t>
  </si>
  <si>
    <t>Revisión de los proyectos municipales para garantizar su coherencia con los objetivos establecidos en el Plan Municipal de Desarrollo.</t>
  </si>
  <si>
    <t>Porcentaje de proyectos revisados que cumplen con los criterios de alineación estratégica</t>
  </si>
  <si>
    <t>(Número de proyectos revisados que cumplen con los criterios / Total de proyectos revisados)*100</t>
  </si>
  <si>
    <t>Porcentaje de alianzas estratégicas formalizadas con instancias, instituciones y/o actores para la ejecución de proyectos prioritarios</t>
  </si>
  <si>
    <t>(Numero total de acuerdos o convenios formalizados / Número de  acuerdos o convenios programados)*100</t>
  </si>
  <si>
    <t>Procesos administrativos con carga regulatoria para la ciudadanía y las empresas, simplificados y optimizados.</t>
  </si>
  <si>
    <t>Porcentaje de tiempo invertido de respuesta a trámites municipales intervenidos</t>
  </si>
  <si>
    <t>(Tiempo promedio de respuesta actual/tiempo de respuesta esperado)*100</t>
  </si>
  <si>
    <t>Optimización en la realización de trámites mediante la digitalización de procesos.</t>
  </si>
  <si>
    <t>Porcentaje de trámites digitalizados</t>
  </si>
  <si>
    <t>( Número de trámites digitalizados/ Total de trámites existentes )*100</t>
  </si>
  <si>
    <t>Simplificación de los procedimientos correspondientes a servicios y trámites municipales.</t>
  </si>
  <si>
    <t>Porcentaje de procesos revisados y simplificados</t>
  </si>
  <si>
    <t>(Procesos revisados /procesos revisados programadas) *100</t>
  </si>
  <si>
    <t>Proyectos estratégicos del Plan de Desarrollo Municipal gestionados</t>
  </si>
  <si>
    <t>Porcentaje de los proyectos estratégicos gestionados en el Municipio de Guadalajara</t>
  </si>
  <si>
    <t>(Número de proyectos estratégicos recibidos / Número de proyectos estratégicos gestionados)*100</t>
  </si>
  <si>
    <t>Recepción y análisis de información del proyecto estratégico</t>
  </si>
  <si>
    <t>Porcentaje de los proyectos estratégicos analizados durante el ejercicio 2025</t>
  </si>
  <si>
    <t>(Número de proyectos estratégicos analizados / Número de proyectos estratégicos recibidos) * 100</t>
  </si>
  <si>
    <t>Seguimiento y validación de proyectos estratégicos</t>
  </si>
  <si>
    <t>Porcentaje de los proyectos estratégicos validados durante el ejercicio 2025</t>
  </si>
  <si>
    <t>(Número de proyectos estratégicos validados / Número de proyectos estratégicos analizados) * 100</t>
  </si>
  <si>
    <t>Gestión del subsidio entregado (OPD Consejo de Colaboración del Municipio de Guadalajara)</t>
  </si>
  <si>
    <t>Porcentaje de la gestión del subsidio devengado en el ejercicio 2025</t>
  </si>
  <si>
    <t>(Presupuesto devengado / Presupuesto entregado) * 100</t>
  </si>
  <si>
    <t>Reglamentos municipales aplicados mediante verificación</t>
  </si>
  <si>
    <t>Porcentaje de actas de inspección y vigilancia emitidas en visitas de verificación durante el ejercicio fiscal año 2025</t>
  </si>
  <si>
    <t>(Número de actas de inspección y vigilancia emitidas/Número de visitas de verificación realizadas)*100</t>
  </si>
  <si>
    <t>Emisión de actas de inspección mediante visitas de verificación</t>
  </si>
  <si>
    <t>Porcentaje de actas de inspección emitidas durante el ejercicio fiscal año 2025</t>
  </si>
  <si>
    <t>(Número de actas de inspección emitidas/número de visitas de verificación realizadas)*100</t>
  </si>
  <si>
    <t>Atención de reportes mediante visitas de verificación</t>
  </si>
  <si>
    <t>Porcentaje de reportes atendidos durante el ejercicio fiscal año 2025</t>
  </si>
  <si>
    <t>(Número de visitas realizadas/número de reportes recibidos)*100</t>
  </si>
  <si>
    <t>Capacitación de inspectores en materia de ética, responsabilidades administrativas y ley de procedimiento administrativo</t>
  </si>
  <si>
    <t>Porcentaje de inspectores capacitados en materia de ética, responsabilidades administrativas y ley de procedimiento administrativo en 2025</t>
  </si>
  <si>
    <t>(Número de inspectores capacitados/Número de inspectores programados para recibir capacitación)*100</t>
  </si>
  <si>
    <t>12. Programa de Coordinación y Gestión Eficiente de la Agenda, Atención Ciudadana y Eventos Municipales</t>
  </si>
  <si>
    <t>Se contribuye a mejorar la eficiencia de la Presidencia Municipal mediante su relación cercana con la ciudadanía y la toma de decisiones</t>
  </si>
  <si>
    <t>Porcentaje de eventos (martes comunitario, sábados de corresponsabilidad, y eventos en general) atendidos</t>
  </si>
  <si>
    <t>(Total de eventos (martes comunitarios sábados de corresponsabilidad, y eventos en general atendidos/Total de eventos (martes comunitarios sábados de corresponsabilidad, y eventos en general programados)*100</t>
  </si>
  <si>
    <t>La ciudadanía de Guadalajara recibe la atención mediante acciones de gobierno para la solución de sus problemas</t>
  </si>
  <si>
    <t>Porcentaje de acciones y  cumplimiento de compromisos por parte de la Presidencia Municipal</t>
  </si>
  <si>
    <t>(Número compromisos realizados /Número de compromisos programados por realizar) *100</t>
  </si>
  <si>
    <t>Apoyo y coordinación de las actividades realizadas por el  despacho de la Presidencia Municipal realizado</t>
  </si>
  <si>
    <t>Porcentaje de acciones para el mejoramiento de la eficiencia gubernamental en 2025</t>
  </si>
  <si>
    <t>(Número de acciones para el mejoramiento de la eficiencia gubernamental realizadas /Número de acciones programadas) *100</t>
  </si>
  <si>
    <t>Atención a las personas que hacen peticiones a la Presidencia Municipal</t>
  </si>
  <si>
    <t>Porcentaje de peticiones atendidas con solicitud a la Presidencia Municipal</t>
  </si>
  <si>
    <t>(Número de peticiones atendidas con solicitud a la Presidencia Municipal/Número de peticiones recibidas con solicitud a la Presidencia Municipal) *100</t>
  </si>
  <si>
    <t>Atención y seguimiento de la correspondencia que se recibe por oficialía de partes de la Presidencia Municipal</t>
  </si>
  <si>
    <t>Porcentaje de recepción y análisis de las acciones llevadas a cabo respecto a la información recibida</t>
  </si>
  <si>
    <t>(Número total de correspondencia de peticiones ciudadanas/Número total de correspondencia recibida) *100</t>
  </si>
  <si>
    <t>Gestión, promoción y ejecución de las actividades inherentes a la Secretaria Particular realizado</t>
  </si>
  <si>
    <t>Porcentaje de procedimientos administrativos, técnicos y financieros autorizados por la Secretaria Particular</t>
  </si>
  <si>
    <t>(Número total de procedimientos administrativos, técnicos y financieros autorizados por la Secretaria Particular /Número total de procedimientos administrativos, técnicos y financieros autorizados por la Secretaria Particular solicitados) *100</t>
  </si>
  <si>
    <t>Atención y seguimiento de las demandas ciudadanas a la Presidencia Municipal por medios electrónicos</t>
  </si>
  <si>
    <t>Porcentaje de solicitudes derivadas a las dependencias correspondientes a temas de atención ciudadana</t>
  </si>
  <si>
    <t>(Número de solicitudes atendidas en dependencias/Número de solicitudes recibidas en temas de atención ciudadana) *100</t>
  </si>
  <si>
    <t>Logística y Organización de eventos Públicos de la Presidencia Municipal</t>
  </si>
  <si>
    <t>Porcentaje de eventos realizados en 2025</t>
  </si>
  <si>
    <t>(Número de eventos  realizados /Número de eventos programados)*100</t>
  </si>
  <si>
    <t>Protección, Custodia, Vigilancia y Seguridad de la Presidencia Municipal</t>
  </si>
  <si>
    <t>Porcentaje de acciones llevadas a cabo para la ejecución del protocolo  de protección.</t>
  </si>
  <si>
    <t>(Número acciones llevadas a cabo para la ejecución del protocolo de protección /Número eventos con protocolo programados) *100</t>
  </si>
  <si>
    <t>13. Protección Civil</t>
  </si>
  <si>
    <t>Contribuir a la protección de la vida, el patrimonio, y medio ambiente de los ciudadanos que viven y visitan Guadalajara, mediante la innovación y aplicación de politicas públicas que tengan un impacto eficaz y eficiente en la atención de la ciudadania del Municipio de Guadalajara en materia de Protección Civil.</t>
  </si>
  <si>
    <t>Porcentaje de la población y bienes atendidos en materia de Protección Civil.</t>
  </si>
  <si>
    <t>(Población anual atendida en programas de protección civil /población total municipal)*100</t>
  </si>
  <si>
    <t>Habitantes y visitantes del municipio de Guadalajara  su patrimonio y el medio ambiente son protegidos a través de una Gestión Integral de Riesgos Aplicada, la cual se desarrolló por personal profesional, cumpliendo con la normativa vigente y generando mejoras en las políticas públicas.</t>
  </si>
  <si>
    <t>Variación porcentual de las acciones para la prevención de riesgos a través de la Gestión Integral de Riesgos Aplicada</t>
  </si>
  <si>
    <t>((Número de acciones para la prevención de riesgos del año actual-Número de acciones para la prevención de riesgos del año anterior)/Número de acciones para la prevención de riesgos del año anterior)*100</t>
  </si>
  <si>
    <t>Com 1</t>
  </si>
  <si>
    <t>Gestión Integral de Riesgos realizada</t>
  </si>
  <si>
    <t>Porcentaje de acciones que se realizan en la Dirección Técnica en materia de GIR 2024</t>
  </si>
  <si>
    <t>(Número de acciones realizadas por la Dirección Técnica en materia de GIR / Número de acciones programadas por la Dirección Técnica en materia de GIR)*100</t>
  </si>
  <si>
    <t>Realización de Visitas de Supervisión de medidas de seguridad e identificación de riesgos en diversos giros.</t>
  </si>
  <si>
    <t>Promedio de  visitas de supervisión de medidas de seguridad.</t>
  </si>
  <si>
    <t>Número de visitas de supervisión /los meses del año</t>
  </si>
  <si>
    <t>Emisión de Vistos Buenos y Liberaciones en páginas oficiales por la Coordinación Municipal de Protección Civil.</t>
  </si>
  <si>
    <t>Promedio de Vistos Buenos emitidos por la Coordinación Municipal de Protección Civil</t>
  </si>
  <si>
    <t>Número de Vistos Buenos Emitidos / los meses del año.</t>
  </si>
  <si>
    <t>Difusión de Información Pública en materia de Protección Civil para los habitantes de la Zona Metropolitana de Guadalajara</t>
  </si>
  <si>
    <t>Promedio de acciones de difusión en materia de información pública en la que se atiende a la población</t>
  </si>
  <si>
    <t>(Sumatoria de las acciones de difusión realizadas del año actual/los meses del año)</t>
  </si>
  <si>
    <t>Atención de servicios donde se requiera determinar el origen y la causa del siniestro</t>
  </si>
  <si>
    <t>Promedio de intervenciones de la División de Investigación de Incendios y Explosiones.</t>
  </si>
  <si>
    <t>Sumatoria de intevenciones para determinar el origen y las causas de los incendios y/o explosiones del Municipio de Guadalajara/ los meses del año</t>
  </si>
  <si>
    <t>Actualización de capas y mapas de Atlas de Riesgos.</t>
  </si>
  <si>
    <t>Promedio de actualización de Atlas de Riesgo del Municipio de Guadalajara.</t>
  </si>
  <si>
    <t>Número de las capas o mapas actualizados / los meses del año</t>
  </si>
  <si>
    <t>Emisión de avisos Meteorológicos en el Municipio de Guadalajara.</t>
  </si>
  <si>
    <t>Promedio de emisión de avisos Meteorológicos</t>
  </si>
  <si>
    <t>Sumatoria de los avisos meteorológicos emitidos a la población del municipio de Guadalajara / los meses del año</t>
  </si>
  <si>
    <t>Com 2</t>
  </si>
  <si>
    <t>Emergencias Ordinarias atendidas.</t>
  </si>
  <si>
    <t>Porcentaje de atención a emergencias ordinarias atendidas.</t>
  </si>
  <si>
    <t>((Número de emergencias ordinarias atendidas del año actual / Número de emergencias ordinarias atendidas proyectadas)*100</t>
  </si>
  <si>
    <t>Atención de personas en emergencias</t>
  </si>
  <si>
    <t>Promedio personas atendidas en los diferentes servicios de emergencias en Protección Civil</t>
  </si>
  <si>
    <t>Número total de personas atendidas en emergencias ordinarias/Número total de los meses del año</t>
  </si>
  <si>
    <t>Atención y rescate de bienes involucrados en emergencias</t>
  </si>
  <si>
    <t>Promedio de los bienes involucrados en emergencias</t>
  </si>
  <si>
    <t>((Monto evitado de los bienes siniestrados en emergencias atendidas por la coordinación / los meses del año</t>
  </si>
  <si>
    <t>Com 3</t>
  </si>
  <si>
    <t>El equipo USAR (Urban Search and Rescue) fortalecido en sus capacidades estratégicas</t>
  </si>
  <si>
    <t>Porcentaje de las actividades que se realizaron para fortalecer las capacidades estratégicas del Equipo USAR</t>
  </si>
  <si>
    <t>((Número de actividades estratégicas para el fortalecimiento del Equipo USAR/ Total de estrategias programadas a lo largo de la administración)*100</t>
  </si>
  <si>
    <t>Entrenamientos y Prácticas al equipo USAR</t>
  </si>
  <si>
    <t>Promedio de entrenamientos y prácticas al equipo USAR</t>
  </si>
  <si>
    <t>(Sumatoria del número de entrenamientos y prácticas del equipo USAR / los meses de año)</t>
  </si>
  <si>
    <t>Realización de ejercicios y prácticas de entrenamiento para los binomios.</t>
  </si>
  <si>
    <t>Promedio de ejercicios y entrenamientos que realizan los binomios KSAR para el desarrollo de sus capacidades</t>
  </si>
  <si>
    <t>(Sumatoria de entrenamientos y prácticas que realizan los binomios KASAR/ los meses del año)</t>
  </si>
  <si>
    <t>Com 4</t>
  </si>
  <si>
    <t>Capacitaciones en  temas de Protección Civil impartidas</t>
  </si>
  <si>
    <t>Porcentaje de personas capacitadas en materia de Protección Civil</t>
  </si>
  <si>
    <t>(Sumatoria de personas capacitadas / la población proyectada)*100</t>
  </si>
  <si>
    <t>Preparación Comunitaria para responder a emergencias y desastres</t>
  </si>
  <si>
    <t>Promedio de preparaciones comunitarias realizadas a lo largo del año</t>
  </si>
  <si>
    <t>Sumatoria de preparaciones realizadas por brigadistas comunitarios / los meses de año</t>
  </si>
  <si>
    <t>Capacitación al Sector Educativo en temas de Protección Civil</t>
  </si>
  <si>
    <t>Promedio de personas capacitadas en el Sector Educativo en materia de Protección Civil</t>
  </si>
  <si>
    <t>Número total de personas (Coordinación, Sector Privado y Sector Público) capacitadas en el año actual/Número total de los meses del año</t>
  </si>
  <si>
    <t>Atención de menores edad del Sector Privado y Sector Público con orientación en temas de Protección Civil</t>
  </si>
  <si>
    <t>Promedio de personas menores de edad a quienes se les brinda pláticas  para prevención de accidentes (Sector Privado y Sector Público) en materia de Protección Civil</t>
  </si>
  <si>
    <t>Número total de personas menores de edad capacitadas en el año/Número total de los meses del año</t>
  </si>
  <si>
    <t>Capacitaciones a personas con discapacidad, jóvenes (mujeres y hombres) en el tema de acción y atención en la emergencia</t>
  </si>
  <si>
    <t>Promedio de personas con discapacidad, jóvenes (mujeres y hombres) en el tema de acción y atención en la emergencia</t>
  </si>
  <si>
    <t>(Sumatoria de personas con discapacidad, jóvenes (mujeres y hombres) en el tema de acción y atención en la emergencia/los meses del año)</t>
  </si>
  <si>
    <t>Com 5</t>
  </si>
  <si>
    <t>Emergencias Mayores en la Zona Metropolitana de Guadalajara y Foráneas atendidas</t>
  </si>
  <si>
    <t>Promedio de Emergencias Mayores que se presentan en la Zona Metropolitana y foráneas de Guadalajara</t>
  </si>
  <si>
    <t>(Sumatoria de emergencias mayores atendidas en la ZMG y foráneas / los meses del año)</t>
  </si>
  <si>
    <t>Implementación de Puestos de Comando para la administración durante eventos de concentración masiva y respuesta a emergencias.</t>
  </si>
  <si>
    <t>Promedio de Puestos de comando instalados para la atención de emergencias y eventos masivos.</t>
  </si>
  <si>
    <t>(Sumatoria de Puestos de Comando instalados para la administración de eventos de concentración masiva y durante la atención a emergencias / los meses del año).</t>
  </si>
  <si>
    <t>Colaboración en reuniones interinstitucionales para coadyuvar acciones preventivas y de operación.</t>
  </si>
  <si>
    <t>Promedio de reuniones interinstitucionales para cuadyuvar acciones preventivas y de operación durante emergencias y/o desastres.</t>
  </si>
  <si>
    <t>Sumatoria de reuniones interinstitucionales que coadyuvan acciones preventivas y de operación durante emergencias y/o desastres / los meses del año</t>
  </si>
  <si>
    <t>15. Servicios Registrales</t>
  </si>
  <si>
    <t>Se contribuye a garantizar la legalidad de actos de gobierno, mediante la publicación y seguimiento de los acuerdos del Ayuntamiento.</t>
  </si>
  <si>
    <t>Porcentaje de acuerdos tomados en el Ayuntamiento durante el ejercicio fiscal año 2025</t>
  </si>
  <si>
    <t>(Número de asuntos agendados/ Número de acuerdos tomados en sesión de Ayuntamiento) X 100</t>
  </si>
  <si>
    <t>Ciudadanos de Guadalajara Los ciudadanos del municipio de Guadalajara reciben los servicios registrales de la Secretaría General que les permiten resolver asuntos de gestión ciudadana.</t>
  </si>
  <si>
    <t>Acuerdos aprobados por el Ayuntamiento publicados</t>
  </si>
  <si>
    <t>Porcentaje de acuerdos aprobados por el  Ayuntamiento publicados en la Gaceta Municipal durante el ejercicio fiscal año 2025</t>
  </si>
  <si>
    <t>"(Sumatoria de acuerdos aprobados /Número de acuerdos publicados) * 100"</t>
  </si>
  <si>
    <t>Observación del Seguimiento de Acuerdos del Ayuntamiento en seguimiento</t>
  </si>
  <si>
    <t>Promedio de Acuerdos del Ayuntamiento en seguimiento durante el ejercicio fiscal año 2025</t>
  </si>
  <si>
    <t>(Sumatoria de acuerdos en seguimiento/ cuatro)</t>
  </si>
  <si>
    <t>Seguimiento de la Variación porcentual en la consulta de documentos por parte de la ciudadanía.</t>
  </si>
  <si>
    <t>Variación porcentual anual en la consulta de documentos por la ciudadanía durante el ejercicio fiscal año 2025</t>
  </si>
  <si>
    <t>(Número de personas que consultaron documentos del acervo histórico en el 2025 / Número de personas que consultaron documentos del acervo histórico en el 2024) -1) * 100</t>
  </si>
  <si>
    <t>Actos del Registro Civil realizados</t>
  </si>
  <si>
    <t>Promedio  de los actos realizados en las áreas del Registro Civil durante el ejercicio fiscal año 2025</t>
  </si>
  <si>
    <t>(Sumatoria de los actos realizados en el trimestre /cuatro)</t>
  </si>
  <si>
    <t>Realización de actos constitutivos</t>
  </si>
  <si>
    <t>Promedio de actos constitutivos realizados por el Registro Civil durante el ejercicio fiscal año 2025</t>
  </si>
  <si>
    <t>(Sumatoria de actos constitutivos realizados en el trimestre / cuatro</t>
  </si>
  <si>
    <t>Realización de actos Modificativos</t>
  </si>
  <si>
    <t>Promedio  de actos Modificativos realizados del Registro Civil durante el ejercicio fiscal año 2025</t>
  </si>
  <si>
    <t>(Sumatoria de actos modificativos realizados en el trimestre / cuatro)</t>
  </si>
  <si>
    <t>Realización de actos Extintivos</t>
  </si>
  <si>
    <t>Promedio  de actos extintivos realizados del Registro Civil durante el ejercicio fiscal año 2025</t>
  </si>
  <si>
    <t>Sumatoria de actos extintivos realizados en el trimestre / cuatro)</t>
  </si>
  <si>
    <t>Realización de Copias de Actas Certificadas Expedidas</t>
  </si>
  <si>
    <t>Promedio  de Actas Certificadas Expedidas durante el ejercicio fiscal año 2025</t>
  </si>
  <si>
    <t>Sumatoria de actos extintivos realizados en el trimestre/ cuatro)</t>
  </si>
  <si>
    <t>Solicitudes, trámites y servicios de la Secretaria General atendidos.</t>
  </si>
  <si>
    <t>"Porcentaje de Solicitudes, trámites y servicios atendidos de la Secretaria General durante el ejercicio fiscal año 2025"</t>
  </si>
  <si>
    <t>(Número de solicitudes, trámites y servicios atendidos/Número total de solicitudes, trámites y servicios recibidos)*100</t>
  </si>
  <si>
    <t>Seguimiento de solicitudes de uso de espacios públicos de interesados que acuden a la Secretaría General</t>
  </si>
  <si>
    <t>Porcentaje de solicitudes atendidas por el área de Espacios Públicos durante el ejercicio fiscal año 2025</t>
  </si>
  <si>
    <t>(Número de solicitudes atendidas para el uso de espacios públicos/número de solicitudes para uso de espacios públicos recibidas)*100</t>
  </si>
  <si>
    <t>Seguimiento a trámites de cartas de origen residencia ciudadanos y certificación de documentos, que viven en la ciudad de Guadalajara que acuden a la Secretaría General</t>
  </si>
  <si>
    <t>Porcentaje de trámites  atendidos por el área de Integración y Dictaminación durante el ejercicio fiscal año 2025</t>
  </si>
  <si>
    <t>(Número de trámites atendidos a ciudadanos de Guadalajara/Número de solicitudes de trámites recibidas) *100</t>
  </si>
  <si>
    <t>Gestión al desarrollo de las Sesiones de Comisiones Edilicias</t>
  </si>
  <si>
    <t>Porcentaje de asistencia a las sesiones de Comisiones Edilicias durante el ejercicio fiscal año 2025</t>
  </si>
  <si>
    <t>(Asistencia a las sesiones de comisión edilicia celebradas / número de sesiones de comisión edilicia celebradas) * 100</t>
  </si>
  <si>
    <t>Comisiones Edilicias apoyadas</t>
  </si>
  <si>
    <t>Porcentaje de apoyo a las Comisiones Edilicias durante el ejercicio fiscal año 2025</t>
  </si>
  <si>
    <t>(sumatoria de asistencia a las sesiones de comisión edilicia celebradas y solicitudes gestionadas / número de sesiones de comisión edilicia celebradas y solicitudes de gestión recibidas) * 100</t>
  </si>
  <si>
    <t>Atención a las solicitudes de gestión de los ediles</t>
  </si>
  <si>
    <t>Porcentaje de Solicitudes de gestión por los ediles atendidas durante el ejercicio fiscal año 2025</t>
  </si>
  <si>
    <t>(Solicitudes de gestión realizadas por los ediles atendidas/ solicitudes de gestión realizadas por los ediles recibidas)*100</t>
  </si>
  <si>
    <t>Resolución de la situación Jurídica de las personas puestas a disposición, con perspectiva de género emitidas</t>
  </si>
  <si>
    <t>Porcentaje de resoluciones emitidas a favor de las personas puestas a disposición con perspectiva de género de los Juzgados cívicos del Municipio de Guadalajara durante el ejercicio fiscal año 2025</t>
  </si>
  <si>
    <t>(Número de resoluciones emitidas a favor con perspectiva de género/Número de presuntos infractores puestos a disposición)*100</t>
  </si>
  <si>
    <t>Emisión de orden de protección a mujeres en situación de violencia</t>
  </si>
  <si>
    <t>Porcentaje de seguimiento en sistema (REMIV) a las órdenes de protección dictadas por el juez municipal que concluyen con el inicio del procedimiento penal en el ejercicio fiscal año 2025</t>
  </si>
  <si>
    <t>(Número de seguimientos en sistema (REMIV) a las órdenes de protección dictadas por el juez municipal/ Número de órdenes de protección dictadas por un juez emitidas)*100</t>
  </si>
  <si>
    <t>Implementación de procesos de visitaduría y supervisión de la Dirección de Justicia Cívica Municipal</t>
  </si>
  <si>
    <t>Porcentaje en los procesos de visitaduría y supervisión en la dirección de justicia cívica municipal durante el ejercicio fiscal año 2025</t>
  </si>
  <si>
    <t>(Número de procesos de visitaduría y supervisión ejecutados/Número de procesos de visitaduría y supervisión programados) *100</t>
  </si>
  <si>
    <t>Derivación de personas infractoras por juzgados cívicos municipales a la unidad de prevención social de la violencia</t>
  </si>
  <si>
    <t>Porcentaje de personas infractoras derivadas a la unidad de prevención social de la violencia durante el ejercicio fiscal año 2025</t>
  </si>
  <si>
    <t>(Número de personas derivadas a la Unidad de prevención social de la violencia/ Número de personas recibidas en los Juzgados cívicos municipales)*100</t>
  </si>
  <si>
    <t>Sanciones por acoso sexual</t>
  </si>
  <si>
    <t>Porcentaje de mujeres denunciantes de acoso sexual en Justicia Municipal, cuyo agresor tuvo sanción municipal durante el ejercicio fiscal año 2025</t>
  </si>
  <si>
    <t>Atenciones a las observaciones de las comisiones: Nacional y Estatal de Derechos Humanos</t>
  </si>
  <si>
    <t>Porcentaje de cumplimiento a las observaciones y recomendaciones de las comisiones: Nacional y Estatal de Derechos Humanos, en tiempo y forma durante el ejercicio fiscal año 2025</t>
  </si>
  <si>
    <t>(Número cumplimiento a las observaciones y recomendaciones de las comisiones: Nacional y Estatal de Derechos Humanos / total de observaciones y recomendaciones de las comisiones: Nacional y Estatal de Derechos Humanos )*100</t>
  </si>
  <si>
    <t>Métodos alternos para la resolución de conflictos aplicados</t>
  </si>
  <si>
    <t>Porcentaje de las mediaciones resueltas de manera favorable en la solución de conflictos en el municipio de Guadalajara durante el ejercicio fiscal año 2025</t>
  </si>
  <si>
    <t>(Total de mediaciones resueltas de manera favorable/Número total de mediaciones)*100</t>
  </si>
  <si>
    <t>Impartición de cursos y talleres sobre la Cultura de la Paz en el sector educativo básico</t>
  </si>
  <si>
    <t>Porcentaje de personas del sector educativo básico asistentes a la impartición de cursos y talleres de cultura de paz en el Mpio de Guadalajara durante el ejercicio fiscal año 2025</t>
  </si>
  <si>
    <t>(Número de personas asistentes a la impartición de cursos y talleres de cultura de paz/Número de personas programadas a la impartición de cursos y talleres de cultura de paz)*100</t>
  </si>
  <si>
    <t>Realización de pláticas informativas de los métodos alternos para la solución de conflictos a los ciudadanos</t>
  </si>
  <si>
    <t>Porcentaje de la población municipal impactada con acciones para promoción de mediación, la prevención social y el diálogo en las colonias y escuelas del municipio durante el ejercicio fiscal año 2025</t>
  </si>
  <si>
    <t>(Total de personas asistentes a la impartición de pláticas informativas sobre métodos alternos para la solución de conflictos/población mayor de edad del municipio de Guadalajara )*100</t>
  </si>
  <si>
    <t>16. Transparencia y Buenas Prácticas</t>
  </si>
  <si>
    <t>Contribuir a fortalecer las evaluaciones en materia de transparencia y rendición de cuentas del municipio mediante el acceso a la información y mejora de los procesos</t>
  </si>
  <si>
    <t>Variación porcentual de recursos de transparencia al portal de transparencia.</t>
  </si>
  <si>
    <t>((Número de recursos de transparencia presentados en el año 2025/Número de recursos de transparencia presentados en el año 2024)-1)*100</t>
  </si>
  <si>
    <t>La ciudadanía cuenta con acceso a la información idónea en tiempo y forma en materia de Transparencia y Rendición de Cuentas</t>
  </si>
  <si>
    <t>Variación porcentual de la calificación en cumplimiento de obligaciones de transparencia</t>
  </si>
  <si>
    <t>((Promedio de las calificaciones obtenidas en las evaluaciones del 2025/ Promedio de las calificaciones obtenidas en el 2024) -1))*100</t>
  </si>
  <si>
    <t>Solicitudes de Información  por parte de la ciudadanía atendidas</t>
  </si>
  <si>
    <t>Promedio de solicitudes de acceso a la información pública y ejercicio de los derechos ARCO atendidas.</t>
  </si>
  <si>
    <t>(Número de solicitudes atendidas de acceso a la información pública y ejercicio de los derechos ARCO/ número de días en el mes)</t>
  </si>
  <si>
    <t>Gestión  de las solicitudes de acceso a la información pública</t>
  </si>
  <si>
    <t>"Porcentaje de solicitudes de acceso a la información contestadas "</t>
  </si>
  <si>
    <t>(Número de solicitudes contestadas/número de solicitudes recibidas)*100</t>
  </si>
  <si>
    <t>Gestión de recursos de protección de datos personales presentados sobre respuestas a solicitudes de información.</t>
  </si>
  <si>
    <t>Porcentaje de recursos de Protección de Datos Personales recibidos.</t>
  </si>
  <si>
    <t>(Número de solicitudes de recursos de Protección de Datos Personales recibidos/Número total de solicitudes de acceso a la información pública)*100</t>
  </si>
  <si>
    <t>Atención a Recursos de Revisión</t>
  </si>
  <si>
    <t>Porcentaje de Recursos de Revisión atendidos en la Dirección de Transparencia y Buenas  Prácticas.</t>
  </si>
  <si>
    <t>(Número de Recursos de Revisión atendidos/ Número de Recursos de Revisión recibidos)*100</t>
  </si>
  <si>
    <t>Actualizaciones de Información requerida a las diversas áreas (Sujetos Obligados) del Gobierno Municipal de Guadalajara en las Plataformas de Internet publicadas en materia de Transparencia y Buenas Prácticas  realizadas</t>
  </si>
  <si>
    <t>Porcentaje de plataformas de internet actualizadas</t>
  </si>
  <si>
    <t>(Actualizaciones  en Portal de internet del Gobierno Municipal de Guadalajara y Plataforma Nacional de Transparencia realizadas en el año/ Actualizaciones en el Portal de Internet del Gobierno Municipal de Guadalajara y Plataforma Nacional de Transparencia solicitadas)*100</t>
  </si>
  <si>
    <t>Gestión de la información fundamental a los Sujetos Obligados para la actualización permanente del Portal de Transparencia</t>
  </si>
  <si>
    <t>Porcentaje de información fundamental  actualizada en el  Portal de Transparencia.</t>
  </si>
  <si>
    <t>(Actualizaciones realizadas en portal de transparencia/ Actualizaciones solicitadas) *100</t>
  </si>
  <si>
    <t>Gestión de la información a los Sujetos Obligados para la actualización permanente de la Plataforma Nacional de Transparencia</t>
  </si>
  <si>
    <t>Porcentaje de información fundamental actualizada en la Plataforma Nacional de Transparencia.</t>
  </si>
  <si>
    <t>(Actualizaciones realizadas en la Plataforma Nacional de Transparencia/ Actualizaciones solicitadas) *100</t>
  </si>
  <si>
    <t>Capacitación dirigida a servidores públicos en materia de transparencia realizados</t>
  </si>
  <si>
    <t>Porcentaje de servidores públicos capacitados en materia de transparencia</t>
  </si>
  <si>
    <t>(Número de Servidores públicos capacitados/Número total de Servidores públicos enlaces en materia de transparencia)*100</t>
  </si>
  <si>
    <t>Capacitación dirigida a servidores públicos en materia de acceso a la información.</t>
  </si>
  <si>
    <t>Porcentaje de servidores públicos capacitados en materia de acceso a la información</t>
  </si>
  <si>
    <t>(Número de Servidores públicos capacitados en materia de acceso a la información/Número total de Servidores públicos enlaces en materia de transparencia)*100</t>
  </si>
  <si>
    <t>Capacitación destinada a servidores públicos respecto a llenado de formatos en la PNT Plataforma Nacional de Transparencia.</t>
  </si>
  <si>
    <t>Porcentaje de servidores públicos capacitados en el llenado de PNT</t>
  </si>
  <si>
    <t>(Número de Servidores públicos capacitados  respecto a llenado de formatos en la PNT Plataforma Nacional de Transparencia/Número total de Servidores públicos enlaces en materia de transparencia)*100</t>
  </si>
  <si>
    <t>Capacitación a servidores públicos en materia de Privacidad en Datos Personales.</t>
  </si>
  <si>
    <t>Porcentaje de servidores públicos capacitados</t>
  </si>
  <si>
    <t>17. Procuración de Justicia</t>
  </si>
  <si>
    <t>Se contribuye a defender la procuración de justicia del Patrimonio Municipal mediante la defensa legal efectiva</t>
  </si>
  <si>
    <t>Porcentaje de asuntos atendidos por parte de Sindicatura</t>
  </si>
  <si>
    <t>(Asuntos atendidos en el presente año/Asuntos en seguimiento en el presente año)*100</t>
  </si>
  <si>
    <t>La administración municipal y su patrimonio Administra son justicia y respeto de los derechos humanos de los ciudadanos</t>
  </si>
  <si>
    <t>Variacíon porcentual en la recuperación del patrimonio municipal</t>
  </si>
  <si>
    <t>(recuperación de patrimonio municipal del año 2025/ recuperación de patrimonio municipal del año 2024)-1)*100</t>
  </si>
  <si>
    <t>Defensa jurídica reforzada</t>
  </si>
  <si>
    <t>Porcentaje de las demandas emplazadas y contestadas</t>
  </si>
  <si>
    <t>(número de demandas atendidas en el año/número de demandas recibidas en el año)*100</t>
  </si>
  <si>
    <t>Gestión de demandas jurídicas en materia laboral</t>
  </si>
  <si>
    <t>Porcentaje de demandas laborales ampliadas y contestadas</t>
  </si>
  <si>
    <t>(número de demandas laborales atendidas en el año actual/número de demandas laborales recibidas en el año actual)*100</t>
  </si>
  <si>
    <t>Gestión de asuntos de defensa jurídica en lo contencioso</t>
  </si>
  <si>
    <t>Porcentaje de asuntos de defensa gestionados</t>
  </si>
  <si>
    <t>(Número de asuntos de defensa gestionados en el año/Número de asuntos de defensa recibidos en el año)*100</t>
  </si>
  <si>
    <t>Elaboración de contratos, convenios y concesiones</t>
  </si>
  <si>
    <t>Porcentaje de contratos y convenios y concesiones elaborados en el año</t>
  </si>
  <si>
    <t>(Número de contratos, convenios y concesiones gestionados en el año actual/Número de contratos, convenios y concesiones peticionados en folio en el año actual)*100</t>
  </si>
  <si>
    <t>Acciones de transversalización del enfoque de Derechos Humanos en el Gobierno Municipal de Guadalajara realizadas</t>
  </si>
  <si>
    <t>Porcentaje de acciones de transversalización en materia de Derechos Humanos, igualdad, y no discriminación</t>
  </si>
  <si>
    <t>(Número de acciones de transversalización de derechos humanos realizadas/Número de acciones de transversalización programadas)*100</t>
  </si>
  <si>
    <t>Atención eficiente de los asuntos de procedimientos estipulados por las defensorías públicas de derechos humanos</t>
  </si>
  <si>
    <t>Porcentaje de asuntos atendidos en tiempo y forma por la Dirección de Derechos Humanos, remitidos por defensorías públicas</t>
  </si>
  <si>
    <t>(número de asuntos atendidos en tiempo y forma/número de asuntos recibidos)*100</t>
  </si>
  <si>
    <t>Capacitaciones en materia de derechos humanos, igualdad y no discriminación</t>
  </si>
  <si>
    <t>Porcentaje de personas capacitadas</t>
  </si>
  <si>
    <t>(número de personas capacitadas en materia de derechos humanos,inclusión y no discriminación/número de personas programadas para recibir capacitación en materia de derechos humanos, inclusión, no discriminación)*100</t>
  </si>
  <si>
    <t>Implementación de eventos de promoción de derechos humanos</t>
  </si>
  <si>
    <t>Porcentaje de eventos realizados por la promoción de derechos humanos</t>
  </si>
  <si>
    <t>(número de eventos realizados por la promoción de derechos humanos/ número de eventos programados para la promoción de derechos humanos)*100</t>
  </si>
  <si>
    <t>Emisión de opiniones técnicas con enfoque transversal de derechos humanos para la toma de decisiones públicas del municipio de Guadalajara</t>
  </si>
  <si>
    <t>Porcentaje de opiniones técnicas emitidas</t>
  </si>
  <si>
    <t>(número de opiniones técnicas emitidas/número de opiniones técnicas socializadas)*100</t>
  </si>
  <si>
    <t>18. Desarrollo Administrativo</t>
  </si>
  <si>
    <t>Se contribuye a impulsar el desarrollo de la administración pública municipal mediante las diversas metodologías y modelos de la gestión para la innovación y mejora de sistemas, optimización de recursos y procesos que permitan un eficiente desempeño</t>
  </si>
  <si>
    <t>Porcentaje pagado destinado al impulsar el desarrollo de la administración pública</t>
  </si>
  <si>
    <t>(Presupuesto pagado destinado al impulsar el desarrollo de la administración pública / Presupuesto aprobado destinado al impulsar el desarrollo de la administración pública) *100</t>
  </si>
  <si>
    <t>Sector Público Municipal Reciben De manera oportuna y eficiente los bienes  y servicios solicitados</t>
  </si>
  <si>
    <t>Porcentaje de solicitudes atendidas en el año 2025</t>
  </si>
  <si>
    <t>(Número de solicitudes atendidas / Número de solicitudes recibidas) *100</t>
  </si>
  <si>
    <t>Peticiones presentadas por las dependencias a la Administración e Innovación atendidas</t>
  </si>
  <si>
    <t>Porcentaje de peticiones atendidas del año</t>
  </si>
  <si>
    <t>(Número de solicitudes recibidas / Número de solicitudes atendidas)*100</t>
  </si>
  <si>
    <t>Atención de las solicitudes recibidas en Administración e Innovación</t>
  </si>
  <si>
    <t>Porcentaje de atención a las solicitudes recibidas de las dependencias del municipio de Guadalajara</t>
  </si>
  <si>
    <t>Actualización de los manuales de organización de las dependencias municipales</t>
  </si>
  <si>
    <t>Porcentaje de avance en la actualización de manuales de organización</t>
  </si>
  <si>
    <t>(Número de manuales de organización actualizados / Total de número de manuales de organización)*100</t>
  </si>
  <si>
    <t>Registro y actualización de bienes patrimoniales realizado</t>
  </si>
  <si>
    <t>Porcentaje del avance del registro y actualización de los bienes patrimoniales</t>
  </si>
  <si>
    <t>(Número de bienes de propiedad municipal actualizados / Total de bienes de la propiedad municipal) *100</t>
  </si>
  <si>
    <t>Actualización del inventario vehicular</t>
  </si>
  <si>
    <t>Porcentaje de avance en la actualización del parque vehicular</t>
  </si>
  <si>
    <t>(Total de vehículos actualizados / Total de vehículos propiedad municipal) *100</t>
  </si>
  <si>
    <t>Actualización de inventarios de bienes muebles</t>
  </si>
  <si>
    <t>Porcentaje de avance en la actualización de los bienes muebles</t>
  </si>
  <si>
    <t>(Número de bienes muebles actualizados / Número total de bienes muebles) *100</t>
  </si>
  <si>
    <t>Actualización de inventario de bienes inmuebles</t>
  </si>
  <si>
    <t>Porcentaje de avance en la actualización de los bienes inmuebles</t>
  </si>
  <si>
    <t>(Número de bienes inmuebles actualizados / Total de bienes inmuebles)*100</t>
  </si>
  <si>
    <t>Pago de las obligaciones fiscales derivadas del patrimonio del Gobierno Municipal</t>
  </si>
  <si>
    <t>Porcentaje de pagos realizados oportunamente</t>
  </si>
  <si>
    <t>(Número de pagos realizados / Total de pagos solicitados)*100</t>
  </si>
  <si>
    <t>Insumos y servicios a las dependencias del Gobierno de Guadalajara suministrados</t>
  </si>
  <si>
    <t>Variación porcentual en consumo de insumos y/o servicios</t>
  </si>
  <si>
    <t>(Gasto del trimestre 2025 / Gasto del trimestre 2024)-1*100</t>
  </si>
  <si>
    <t>Atención de solicitudes recibidas en el almacén general por parte de las dependencias del Gobierno de Guadalajara</t>
  </si>
  <si>
    <t>Porcentaje de solicitudes atendidas de artículos consumibles y de limpieza</t>
  </si>
  <si>
    <t>(Número de solicitudes atendidas / Número solicitudes recibidas)*100</t>
  </si>
  <si>
    <t>Gestión de suministro de energía eléctrica para dependencias del gobierno de Guadalajara</t>
  </si>
  <si>
    <t>Consumo promedio de energía eléctrica en las dependencias del Municipio</t>
  </si>
  <si>
    <t>(Sumatoria de consumo de energía eléctrica de todas las dependencias / Total de las dependencias del municipio de Guadalajara)</t>
  </si>
  <si>
    <t>Gestión de suministro de combustible para vehículos y dependencias propiedad del Gobierno de Guadalajara</t>
  </si>
  <si>
    <t>Porcentaje de consumo de combustible de vehículos y dependencias del Municipio</t>
  </si>
  <si>
    <t>(Número de litros consumidos / Número de litros autorizados)*100</t>
  </si>
  <si>
    <t>Mantenimiento y servicio a inmuebles ocupados por el Gobierno Municipal de Guadalajara realizados</t>
  </si>
  <si>
    <t>Porcentaje de mantenimientos y servicios generales realizados a los bienes inmuebles del Gobierno Municipal de Guadalajara</t>
  </si>
  <si>
    <t>(Número de solicitudes de mantenimiento y servicios generales a bienes inmuebles atendidas / Número de solicitudes recibidas)*100</t>
  </si>
  <si>
    <t>Atención a las solicitudes de servicios generales a las dependencias del gobierno municipal</t>
  </si>
  <si>
    <t>Porcentaje de solicitudes atendidas de servicios generales</t>
  </si>
  <si>
    <t>(Solicitudes atendidas / Solicitudes recibidas)*100</t>
  </si>
  <si>
    <t>Atención a los programas de mantenimiento para los inmuebles de las dependencias del Gobierno Municipal de Guadalajara</t>
  </si>
  <si>
    <t>Porcentaje de ejecución de los servicios de mantenimiento contratados</t>
  </si>
  <si>
    <t>(Número de servicios de mantenimiento contratados ejecutados / Número de programas de mantenimiento programados)*100</t>
  </si>
  <si>
    <t>Mantenimiento del parque vehicular del ayuntamiento realizado</t>
  </si>
  <si>
    <t>Porcentaje de vehículos atendidos</t>
  </si>
  <si>
    <t>(Vehículos atendidos / Vehículos ingresados a taller) *100</t>
  </si>
  <si>
    <t>Gestión de reparación en los talleres del Ayuntamiento de los vehículos patrimoniales del Gobierno Municipal de Guadalajara</t>
  </si>
  <si>
    <t>Porcentaje de solicitudes atendidos en taller municipal</t>
  </si>
  <si>
    <t>(Número de vehículos atendidos / Número de vehículos ingresados al taller)*100</t>
  </si>
  <si>
    <t>Gestión de reparación en talleres externos de los vehículos patrimoniales del Gobierno Municipal de Guadalajara de emergencias (comisaría, servicios de salud, protección civil y bomberos)</t>
  </si>
  <si>
    <t>Porcentaje de vehículos atendidos en talleres externos</t>
  </si>
  <si>
    <t>(Número de vehículos atendidos en talleres externos / Número de vehículos ingresados al taller)*100</t>
  </si>
  <si>
    <t>Requisiciones elaborados por parte de las coordinaciones del Ayuntamiento del Municipio atendidas</t>
  </si>
  <si>
    <t>Porcentaje de solicitudes atendidas con Orden de Compra emitida</t>
  </si>
  <si>
    <t>(Total de requisiciones atendidas con orden de compra generada / Total requisiciones recibidas)*100</t>
  </si>
  <si>
    <t>Actualización de proveedores que integran el padrón municipal</t>
  </si>
  <si>
    <t>Porcentaje de proveedores actualizados en el Padrón Municipal</t>
  </si>
  <si>
    <t>(Total de proveedores actualizados / Total de Proveedores registrados en el Padrón Municipal)*100</t>
  </si>
  <si>
    <t>Gestión de requisiciones recibidas</t>
  </si>
  <si>
    <t>Porcentaje de requisiciones atendidas durante el ejercicio fiscal</t>
  </si>
  <si>
    <t>(Número de requisiciones atendidas / Número de requisiciones recibidas)*100</t>
  </si>
  <si>
    <t>Plantilla del personal del municipio aprobada y administrada</t>
  </si>
  <si>
    <t>Porcentaje de plazas ocupadas en el Municipio de Guadalajara</t>
  </si>
  <si>
    <t>(Número de mujeres que trabajan en el municipio en 2025/Número de empleados que  trabajan en el municipio en 2024)-1)*100</t>
  </si>
  <si>
    <t>Asignación de plazas laborales para mujeres en el Gobierno Municipal de Guadalajara</t>
  </si>
  <si>
    <t>Porcentaje de plazas ocupadas por mujeres</t>
  </si>
  <si>
    <t>(Número de plazas ocupadas con distintas categorías de funcionario en 2025  / Total de plazas ocupadas en la plantilla 2025)*100</t>
  </si>
  <si>
    <t>Asignación de plazas laborales en distintas categorías</t>
  </si>
  <si>
    <t>Porcentaje de puestos asignados a mujeres en distintas categorías</t>
  </si>
  <si>
    <t>(Número de plazas ocupadas por mujeres con distinta categoría de funcionario en 2025 / Total de plazas ocupadas por funcionarios en 2025)*100</t>
  </si>
  <si>
    <t>Capacitación a las y los Servidores Públicos del Gobierno de Guadalajara realizados</t>
  </si>
  <si>
    <t>Porcentaje de las y los Servidores Públicos que reciben capacitación por el Gobierno de Guadalajara</t>
  </si>
  <si>
    <t>(Número de personas servidoras públicas capacitadas / Número total de servidores públicos)*100</t>
  </si>
  <si>
    <t>Registro de asistencia a capacitación de las y los Servidores Públicos del Gobierno de Guadalajara</t>
  </si>
  <si>
    <t>Asistencia de las y los Servidores públicos que reciben capacitación autorizada por el Gobierno de Guadalajara</t>
  </si>
  <si>
    <t>(Número de asistencia de las y los Servidores Públicos asistentes a los cursos de capacitación / Número total de asistencia programada)*100</t>
  </si>
  <si>
    <t>Gestión de cursos de capacitación para personas servidoras públicas</t>
  </si>
  <si>
    <t>Porcentaje de cursos autorizados para personas servidoras públicas</t>
  </si>
  <si>
    <t>(Número de cursos / Total de cursos programados)*100</t>
  </si>
  <si>
    <t>19. Innovación Gubernamental</t>
  </si>
  <si>
    <t>Se contribuye a impulsar el desarrollo de la administración pública municipal mediante metodologías, modelos de gestión para la innovación, mejora de sistemas, optimización de recursos y procesos que permitan un eficiente desempeño</t>
  </si>
  <si>
    <t>Porcentaje de servicios públicos implementados con acceso a TICS.</t>
  </si>
  <si>
    <t>(Total de servicios Públicos implementados con acceso a TICS realizados/Total de servicios Públicos implementados con acceso a TICS programados)*100</t>
  </si>
  <si>
    <t>Sector público municipal Incrementan Su efectividad a través de la innovación de sistemas, mejora de servicios y estrategias que impulsen una gestión orientada a resultados enfocada a la sociedad, así como la eficiencia y transparencia</t>
  </si>
  <si>
    <t>Porcentaje de sistemas implementados en el Gobierno Municipal de Guadalajara</t>
  </si>
  <si>
    <t>(Número de sistemas implementados/número de sistemas requeridos)*100</t>
  </si>
  <si>
    <t>Soporte y mantenimiento a la infraestructura tecnológica (hardware y software) realizados</t>
  </si>
  <si>
    <t>Porcentaje de cobertura en la atención de servicios de soporte, mantenimiento y actualización de hardware y software de las dependencias de Guadalajara</t>
  </si>
  <si>
    <t>(Número de solicitudes de atención por mantenimiento y actualización de Hardware y software realizadas/Número de solicitudes de atención por mantenimiento y actualización de Hardware y software recibidas)*100</t>
  </si>
  <si>
    <t>Atención de solicitudes de soporte y mantenimiento de equipo tecnológico</t>
  </si>
  <si>
    <t>Porcentaje de solicitudes de servicios de soporte y mantenimientos atendidas</t>
  </si>
  <si>
    <t>(Número de solicitudes de atención atendidas/Número de solicitudes de atención recibidas)*100</t>
  </si>
  <si>
    <t>Desarrollo, actualización y renovación de los sistemas informáticos operados por las distintas dependencias del Gobierno Municipal de Guadalajara</t>
  </si>
  <si>
    <t>Porcentaje de solicitudes de desarrollo, actualización y renovación de sistemas informáticos que son realizadas</t>
  </si>
  <si>
    <t>(Número de solicitudes de desarrollo, actualización y renovación de sistemas informáticos operados por las distintas Dependencias del Gobierno de Guadalajara realizadas/Número de solicitudes Desarrollo, Actualización y renovación de sistemas informáticos operados por las distintas Dependencias del Gobierno de Guadalajara recibidas)*100</t>
  </si>
  <si>
    <t>Soporte a trámites y servicios en  línea de las dependencias del Gobierno de Guadalajara realizados</t>
  </si>
  <si>
    <t>Porcentaje de Soporte a trámites y servicios en línea realizados</t>
  </si>
  <si>
    <t>(Total de soporte a  trámites y servicios realizados/Número de trámites y servicios programados)*100</t>
  </si>
  <si>
    <t>Actualización de trámites y servicios del Gobierno de Guadalajara en línea</t>
  </si>
  <si>
    <t>Porcentaje de cumplimiento en la actualización de trámites y servicios en línea implementados.</t>
  </si>
  <si>
    <t>(Total de actualizaciones implementadas en trámites y servicios /Número de trámites y servicios programados)*100</t>
  </si>
  <si>
    <t>Digitalización de los trámites y servicios con los que cuentan las dependencias</t>
  </si>
  <si>
    <t>Porcentaje de trámites y servicios en implementación de soluciones digitales para las dependencias del Gobierno de Guadalajara</t>
  </si>
  <si>
    <t>(Número de soluciones digitales para trámites y servicios desarrollados/ Número de soluciones digitales para trámites y servicios programados)*100</t>
  </si>
  <si>
    <t>20. Combate la Corrupción</t>
  </si>
  <si>
    <t>Se contribuye a combatir la corrupción en la Administración Pública de Guadalajara, mediante acciones coordinadas.</t>
  </si>
  <si>
    <t>Porcentaje de personas que considera que el Gobierno Municipal realiza acciones para combatir la corrupción</t>
  </si>
  <si>
    <t>(Número de personas que considera que la administración pública de Guadalajara realiza acciones para combatir la corrupción/ Número de personas que contestan encuesta)*100</t>
  </si>
  <si>
    <t>La ciudadanía: La ciudadanía recibe atención a las denuncias ciudadanas por presuntos actos u omisiones por actos que impliquen responsabilidad administrativa de las personas servidoras públicas del Gobierno Municipal de Guadalajara</t>
  </si>
  <si>
    <t>Porcentaje de atención a las denuncias ciudadanas por presuntos actos u omisiones que impliquen responsabilidad administrativa de las personas servidoras públicas  del Gobierno Municipal de Guadalajara en el ejercicio 2025.</t>
  </si>
  <si>
    <t>(Número de denuncias ciudadanas atendidas/ Número total de denuncias ciudadanas recibidas)*100</t>
  </si>
  <si>
    <t>Informes de las auditorías realizadas a Obra Pública, Dependencias y Entidades.</t>
  </si>
  <si>
    <t>Porcentaje de informes de las auditorías realizadas en el ejercicio 2025.</t>
  </si>
  <si>
    <t>(Número de informes auditorías realizadas/Total de auditorías aperturadas)*100</t>
  </si>
  <si>
    <t>Inicio del Programa Anual de Auditoría  a Obra Pública, Dependencias y Entidades.</t>
  </si>
  <si>
    <t>Porcentaje de informes de las auditorías realizadas en el ejercicio 2024.</t>
  </si>
  <si>
    <t>(Número de auditorías aperturadas / Número de auditorías programadas)*100</t>
  </si>
  <si>
    <t>Elaboración de Informes de Irregularidades derivados de Auditorías concluidas a Obra Pública, Dependencias y Entidades.</t>
  </si>
  <si>
    <t>Porcentaje de Informes de Irregularidades elaborados derivado de auditorías concluidas el ejercicio 2025</t>
  </si>
  <si>
    <t>(Número de informes de irregularidades elaborados/Número total de auditorías concluidas)*100</t>
  </si>
  <si>
    <t>Declaraciones de situación patrimonial y de intereses recibidas.</t>
  </si>
  <si>
    <t>Porcentaje de Declaraciones de situación patrimonial y de intereses recibidas en el ejercicio 2025.</t>
  </si>
  <si>
    <t>(Número de declaraciones de situación patrimonial y de intereses recibidas/Total del servidores públicos obligados a presentar su declaración patrimonial y de intereses)*100</t>
  </si>
  <si>
    <t>Asesoría a servidores públicos obligados a presentar su declaración de situación patrimonial y de intereses</t>
  </si>
  <si>
    <t>Porcentaje de asesorías otorgadas a  servidores públicos en materia de presentación de la declaración de situación patrimonial y de intereses en el ejercicio 2025.</t>
  </si>
  <si>
    <t>(Número de asesorías otorgadas a servidores públicos/ Número total de asesorías solicitadas)*100</t>
  </si>
  <si>
    <t>Verificación de evolución patrimonial</t>
  </si>
  <si>
    <t>Porcentaje de verificaciones de evolución patrimonial realizadas respecto de las declaraciones de situación patrimonial y de intereses recibidas en el ejercicio 2025.</t>
  </si>
  <si>
    <t>(Número de verificaciones aleatorias de evolución patrimonial de tipo completa realizadas/ Número total de declaraciones de tipo completa recibidas)*100</t>
  </si>
  <si>
    <t>Programa anual de capacitación en materia de ética e integridad pública cumplimentado.</t>
  </si>
  <si>
    <t>Porcentaje del Programa anual de capacitación en materia de ética e integridad pública cumplimentado en el ejercicio 2025..</t>
  </si>
  <si>
    <t>(Número de capacitaciones ejecutadas/ Número de capacitaciones programadas)*100</t>
  </si>
  <si>
    <t>Capacitación  a servidores públicos en materia de ética e integridad pública.</t>
  </si>
  <si>
    <t>Porcentaje de servidores públicos que participan en los programas de capacitación en materia de ética e integridad pública en el ejercicio 2025.</t>
  </si>
  <si>
    <t>(Número servidores públicos que asisten y participan en los programas de capacitación formativos en la ética e integridad/ Total del servidores públicos que laboran en el Gobierno Municipal de Guadalajara)*100</t>
  </si>
  <si>
    <t>Acciones para promover la integridad en el sector público y empresarial.</t>
  </si>
  <si>
    <t>Porcentaje de acciones para promover la integridad en el sector público y empresarial en el ejercicio 2024.</t>
  </si>
  <si>
    <t>(Número de acciones que promueven la integridad en el sector público y empresarial ejecutadas/ Número de acciones programadas)*100</t>
  </si>
  <si>
    <t>Resoluciones de los procedimientos de responsabilidad administrativa emitidas.</t>
  </si>
  <si>
    <t>Porcentaje de Resoluciones de los procedimientos de responsabilidad administrativa emitidas en el ejercicio 2025.</t>
  </si>
  <si>
    <t>(Número de Resoluciones de los procedimientos de responsabilidad administrativa/ Total de procedimientos de responsabilidad administrativa programados)*100</t>
  </si>
  <si>
    <t>Respuesta a las denuncias ciudadanas recibidas.</t>
  </si>
  <si>
    <t>Promedio de días en dar respuesta a las denuncias ciudadanas por actos u omisiones que impliquen responsabilidad administrativa de los servidores públicos en el ejercicio 2024.</t>
  </si>
  <si>
    <t>(Número de días promedio en que se responden las  denuncias ciudadanas/Total de días máximo establecido en certificación)*100</t>
  </si>
  <si>
    <t>Elaboración de Acuerdos de Conclusión a expedientes de investigación iniciados.</t>
  </si>
  <si>
    <t>Porcentaje de acuerdos de conclusión a expedientes de investigación iniciados por actos u omisiones que impliquen responsabilidad administrativa de los  servidores públicos en el ejercicio 2025.</t>
  </si>
  <si>
    <t>(Número de acuerdos de conclusión elaborados/Número total de investigaciones iniciadas)*100</t>
  </si>
  <si>
    <t>Elaboración de Informes de Presunta Responsabilidad Administrativa.</t>
  </si>
  <si>
    <t>Porcentaje de informes de presunta responsabilidad administrativa elaborados en el ejercicio 2025.</t>
  </si>
  <si>
    <t>(Número de informes de presunta responsabilidad administrativa elaborados/Número total de investigaciones iniciadas)*100</t>
  </si>
  <si>
    <t>Admisión y trámite de Procedimientos de Responsabilidad Administrativa</t>
  </si>
  <si>
    <t>Porcentaje de Procedimientos de Responsabilidad Administrativa admitidos y tramitados en el ejercicio 2025.</t>
  </si>
  <si>
    <t>(Número de Procedimientos de Responsabilidad Administrativa por faltas administrativas admitidos y tramitados/ Número de Informes de Presunta Responsabilidad Administrativa recibidos)*100</t>
  </si>
  <si>
    <t>Emisión de resoluciones a procedimientos de responsabilidad administrativa por faltas no graves por la autoridad Resolutora dentro del término legal</t>
  </si>
  <si>
    <t>Promedio de resoluciones emitidas dentro del término legal a procedimientos de responsabilidad administrativa por faltas no graves por la autoridad Resolutora en el ejercicio 2025.</t>
  </si>
  <si>
    <t>(Número de días promedio en que se emiten resoluciones a procedimientos de responsabilidad administrativa por faltas no graves/Total de días máximo establecido en la ley)*100</t>
  </si>
  <si>
    <t>Plan Anual de Trabajo del Sistema Municipal Anticorrupción alienado con las políticas directrices emanadas de los sistemas estatal y nacional.</t>
  </si>
  <si>
    <t>Porcentaje de acciones ejecutadas del Plan Anual de Trabajo del Sistema Municipal Anticorrupción en el ejercicio 2025.</t>
  </si>
  <si>
    <t>(Número de acciones del Plan Anual de Trabajo ejecutadas/ Número de acciones del Plan Anual de Trabajo programadas)*100</t>
  </si>
  <si>
    <t>Desahogo de sesiones del Comité Coordinador Municipal Anticorrupción.</t>
  </si>
  <si>
    <t>Porcentaje de sesiones desahogadas por el Comité Coordinador Municipal Anticorrupción en el ejercicio 2025.</t>
  </si>
  <si>
    <t>(Número de sesiones desahogada del por el Comité Coordinador Municipal Anticorrupción/ Número de sesiones programadas del Comité Coordinador Municipal Anticorrupción)*100</t>
  </si>
  <si>
    <t>Cumplimiento del Programa Anual de Trabajo del Comité Coordinador Municipal Anticorrupción.</t>
  </si>
  <si>
    <t>Porcentaje de cumplimiento del Programa Anual de Trabajo del Comité Coordinador Municipal Anticorrupción en el ejercicio 2025.</t>
  </si>
  <si>
    <t>(Número de Programa Anual de Trabajo ejecutado/ Número del Programa Anual de Trabajo programado) *100</t>
  </si>
  <si>
    <t>21. Medio Ambiente</t>
  </si>
  <si>
    <t>Se trabaja para preservar y cuidar el medio ambiente, a través de la valorización de residuos, el aumento y mejora de la masa arbórea</t>
  </si>
  <si>
    <t>Porcentaje de toneladas equivalentes de CO2 reducidas en el municipio de Guadalajara, según la meta establecida.</t>
  </si>
  <si>
    <t>La cantidad de toneladas equivalentes de dióxido de carbono calculadas representan las emisiones que no fueron emitidas a la atmósfera, esto debido al compromiso y esfuerzo del municipio de Guadalajara por fortalecer la agenda climática, mediante la política pública de Limpia Guadalajara.</t>
  </si>
  <si>
    <t>Ciudadanos Ciudadanos, propietarios de giros comerciales y desarrollado Correctivas para la sustentabilidad ambiental en la ciudad</t>
  </si>
  <si>
    <t>Porcentaje de propietarios de giros comerciales, ciudadanos desarrolladores que realizan practicas preventivas y correctivas para la sustentabilidad ambiental en la ciudad.</t>
  </si>
  <si>
    <t>(Cantidad de propietarios de giros comerciales+ciudadanos+desarrolladores que realizan acciones de prevención, corrección de anomalías y capacitaciones en 2025/Cantidad de propietarios de giros comerciales+ciudadanos+desarrolladores que realizan acciones de prevención, corrección de anomalías y capacitaciones estimados en 2025)*100.</t>
  </si>
  <si>
    <t>Porcentaje de árboles en la ciudad incrementados en 2025</t>
  </si>
  <si>
    <t>(Arboles existentes+Arboles plantados-Arboles arboles derribados en 2025/Arboles estimados a sobrevivir en 2025).</t>
  </si>
  <si>
    <t>Porcentaje de árboles nativos producidos en 2025</t>
  </si>
  <si>
    <t>(Árboles nativos producidos en 2025/Árboles nativos estimados a producir en 2025)*100.</t>
  </si>
  <si>
    <t>Porcentaje de árboles plantados en 2025</t>
  </si>
  <si>
    <t>(Cantidad de árboles plantados en 2025/Cantidad de árboles programados a plantar en 2025)*100.</t>
  </si>
  <si>
    <t>Gestión de dictaminación de árboles.</t>
  </si>
  <si>
    <t>(Número de dictámenes de árboles emitidos en 2025/Número de solicitudes de dictamen de árboles ingresadas en 2025)*100.</t>
  </si>
  <si>
    <t>Residuos sólidos urbanos susceptibles a reciclaje de los proyectos del Programa Municipal de Gestión Integral de Residuos Base Cero acopiados.</t>
  </si>
  <si>
    <t>Porcentaje de toneladas residuos sólidos urbanos acopiados susceptibles a reciclaje de los proyectos en 2025</t>
  </si>
  <si>
    <t>(Cantidad de toneladas residuos acopiados en 2025/Cantidad meta de toneladas de residuos acopiados en 2025)*100.</t>
  </si>
  <si>
    <t>Porcentaje de toneladas de residuos inorgánicos acopiados en 2025</t>
  </si>
  <si>
    <t>(Cantidad de toneladas de residuos inorgánicos acopiados en 2025/Proyección de toneladas de residuos inorgánicos por acopiar 2025)*100.</t>
  </si>
  <si>
    <t>Porcentaje de toneladas de residuos orgánicos acopiados en 2025</t>
  </si>
  <si>
    <t>(Cantidad de toneladas de residuos orgánicos tratados en 2025/ Proyección de toneladas de residuos orgánicos tratados en 2025)*100.</t>
  </si>
  <si>
    <t>Porcentaje de ciudadanos y funcionarios capacitados en proyectos ambientales en el municipio de Guadalajara registrados en 2025</t>
  </si>
  <si>
    <t>( Cantidad de personas capacitadas en talleres presenciales y digitales + eventos públicos + talleres presenciales + cantidad de personas capacitadas en redes sociales en 2025 / Cantidad de personas estimadas a capacitar en 2025)*100.</t>
  </si>
  <si>
    <t>Porcentaje de personas capacitadas de los talleres en material ambiental en 2025</t>
  </si>
  <si>
    <t>(Cantidad de personas capacitadas en talleres digitales+talleres presenciales+huertos urbanos+eventos públicos+verificaciones ambientales+capacitaciones a servidores públicos en 2025/Cantidad de personas estimadas a capacitar en 2025)*100.</t>
  </si>
  <si>
    <t>Porcentaje de comunicaciones a través de redes sociales en materia ambiental en 2025</t>
  </si>
  <si>
    <t>(Cantidad de comunicaciones en redes sociales realizadas en  2025/Cantidad de comunicaciones estimadas a realizar en 2025)*100.</t>
  </si>
  <si>
    <t>Porcentaje de huertos urbanos en el municipio de Guadalajara implementados 2025</t>
  </si>
  <si>
    <t>(Cantidad de huertos urbanos en operación en 2025/Cantidad meta de huertos urbanos estimados en funcionamiento durante 2025)*100.</t>
  </si>
  <si>
    <t>Porcentaje de solicitudes ciudadanas atendidas por el Área de Protección Ambiental</t>
  </si>
  <si>
    <t>(Cantidad de evaluaciones de impacto y riesgo ambiental+verificaciones ambientales+denuncias atendidas en 2025/Número de evaluaciones de impacto y riesgo ambiental verificaciones ambientales denuncias ingresados en 2025)*100.</t>
  </si>
  <si>
    <t>Porcentaje de solicitudes de dictamen como microgenerador atendidas en 2025</t>
  </si>
  <si>
    <t>(Cantidad de establecimientos comerciales que cuentan con contrato de microgenerador de residuos en 2025/Cantidad de establecimientos comerciales que son susceptibles de contrato de microgenerador de residuos en 2025)*100.</t>
  </si>
  <si>
    <t>Porcentaje de solicitudes de visto bueno atendidas en 2025</t>
  </si>
  <si>
    <t>(Verificaciones ambientales para el registro del control de consumidores + verificaciones para la operación de giros nuevos emitidas en 2025/Verificaciones ambientales para el registro del control de consumidores + verificaciones para la operación de giros nuevos ingresados en 2025)*100.</t>
  </si>
  <si>
    <t>Porcentaje de denuncias atendidas en 2025</t>
  </si>
  <si>
    <t>(Denuncias ambientales atendidas durante el año 2025/Denuncias ambientales registradas en 2025)*100.</t>
  </si>
  <si>
    <t>Porcentaje de proyectos inmobiliarios que cuentan con dictámenes de impacto y riesgo ambiental en 2025</t>
  </si>
  <si>
    <t>(Dictámenes de impacto y riesgo ambiental emitidos durante el año 2025/Dictámenes de impacto ambiental y riesgo ambiental ingresados con documentación completa en 2025)*100.</t>
  </si>
  <si>
    <t>22. Movilidad y Transporte</t>
  </si>
  <si>
    <t>Se contribuye a fortalecer la movilidad y cultura vial mediante proyectos políticos, estrategias e intervenciones específicas</t>
  </si>
  <si>
    <t>Porcentaje de personas sensibilizadas y capacitadas en materia de seguridad y educación vial en 2025</t>
  </si>
  <si>
    <t>((Número de personas participantes en actividades del área de educación en el año actual/número de personas participantes proyectadas en actividades del área de educación en el año actual)*100).</t>
  </si>
  <si>
    <t xml:space="preserve">Ciudadanos Los habitantes y visitantes del Municipio de Guadalajara </t>
  </si>
  <si>
    <t>Los habitantes y visitantes del Municipio de Guadalajara se benefician con una movilidad inclusiva, segura, ordenada, resiliente y sostenible</t>
  </si>
  <si>
    <t>(Número de acciones realizadas e intervenciones en materia de movilidad activa, cultura vial y regulación y orden en el año actual en los cruceros)/Número de acciones estimadas e intervenciones en materia de movilidad activa, cultura vial y regulación y orden en el año actual en los cruceros )*100.</t>
  </si>
  <si>
    <t>Acciones de movilidad activa y segura proporcionada</t>
  </si>
  <si>
    <t>Porcentaje de avance de acciones de movilidad segura en el ejercicio 2025</t>
  </si>
  <si>
    <t>(Sumatoria de acciones ejecutadas (Ciclopuertos Instalados+Cruceros Seguros proyectados+entornos escolares seguros))/número de acciones (programadas) ejecutadas)*100.</t>
  </si>
  <si>
    <t>Instalación de ciclopuertos en el municipio de Guadalajara en 2025</t>
  </si>
  <si>
    <t>Porcentaje de Ciclopuertos instalados en el municipio de Guadalajara en 2025</t>
  </si>
  <si>
    <t>(Número de ciclopuertos instalados en el municipio de Guadalajara en 2025/ Número de ciclopuertos programados en 2025)*100.</t>
  </si>
  <si>
    <t>Intervención de Cruceros Seguros y esquinas accesibles en el municipio de Guadalajara en 2025</t>
  </si>
  <si>
    <t>Porcentaje de intervención para cruceros seguros y esquinas accesibles para el municipio de Guadalajara en 2025</t>
  </si>
  <si>
    <t>(Número de intervenciones realizadas a cruceros y esquinas/ Número de intervenciones de cruceros y esquinas programadas )*100.</t>
  </si>
  <si>
    <t>Elaboración de Proyectos arquitectónicos de Cruceros Seguros y  esquinas accesibles en 2025</t>
  </si>
  <si>
    <t>Porcentaje de proyectos arquitectónicos elaborados en cruceros seguros y esquinas accesibles en 2025</t>
  </si>
  <si>
    <t>(Número de proyectos arquitectónicos realizados de cruceros seguros + esquinas accesibles+ ciclista segregada / número de proyectos arquitectónicos programados )*100.</t>
  </si>
  <si>
    <t>Elaboración de proyectos arquitectónicos de Entornos Escolares y Zonas Escolares en 2025</t>
  </si>
  <si>
    <t>Porcentaje de proyectos arquitectónicos de Entornos Escolares y zonas escolares  elaborados en el ejercicio 2025.</t>
  </si>
  <si>
    <t>(Número de proyectos arquitectónicos realizados de entornos escolares y zonas escolares / número de proyectos arquitectónicos de entornos escolares y zonas escolares programados)*100.</t>
  </si>
  <si>
    <t>Elaboración de Proyectos de Infraestructura Vial (Reductores de velocidad  y proyectos viales) en 2025</t>
  </si>
  <si>
    <t>Porcentaje de proyectos arquitectónicos de Infraestructura Vial (Reductores de velocidad  y proyectos viales)  elaborados en el ejercicio 2025.</t>
  </si>
  <si>
    <t>(Número de proyectos arquitectónicos de Infraestructura Vial (Reductores de velocidad y proyectos viales) elaborados  / número de proyectos arquitectónicos de Infraestructura Vial (Reductores de velocidad y proyectos viales) programados)*100.</t>
  </si>
  <si>
    <t>Supervisión de Políticas de Regulación y Orden ejecutadas</t>
  </si>
  <si>
    <t>Porcentaje de avance de supervisiones de políticas de regulación  y orden realizadas en 2025</t>
  </si>
  <si>
    <t>(Número de supervisiones a Valet parking, estacionamientos públicos, notificaciones de vehículos abandonados, cajones en garantía y supervisiones relacionadas a las faltas al reglamento realizadas / Número de supervisiones programadas Valet parking, estacionamientos públicos, notificaciones de vehículos abandonados, cajones en garantía y supervisio</t>
  </si>
  <si>
    <t>Gestión de supervisión de banquetas libres y operativos especiales en 2025</t>
  </si>
  <si>
    <t>Porcentaje de supervisiones de banquetas libres y operativos especiales realizadas en 2025</t>
  </si>
  <si>
    <t>(Número de supervisiones de banquetas libres y operativos especiales realizados/número de supervisiones programadas de banquetas libres y operativos especiales) *100.</t>
  </si>
  <si>
    <t>Gestión de supervisión de regulación del espacio público (valet parking, estacionamientos públicos. Trámites de cajones en garantía, Implementación de cajones regulados) en 2025</t>
  </si>
  <si>
    <t>Porcentaje de supervisiones de regulación del espacio público en el municipio de Guadalajara en 2025</t>
  </si>
  <si>
    <t>(Número de supervisiones de regulación de espacios públicos realizadas )/(Número de supervisiones de regulación de espacios públicos programadas) *100.</t>
  </si>
  <si>
    <t>Notificación de autos abandonados en la vía pública en el municipio de Guadalajara en 2025</t>
  </si>
  <si>
    <t>Porcentaje de autos retirados con notificaciones emitidas en el municipio de Guadalajara en 2025</t>
  </si>
  <si>
    <t>(número de autos notificados en condiciones de abandono retirados de la vía pública)/ Número de notificaciones emitidas autos abandonados en 2025)*100.</t>
  </si>
  <si>
    <t>Intervención de Seguridad vial, Educación y Vinculación Social realizadas</t>
  </si>
  <si>
    <t>Porcentaje de avance de intervenciones realizadas.</t>
  </si>
  <si>
    <t>(Número de intervenciones de Seguridad vial, Educación y Vinculación Social realizadas/número de intervenciones  a de Seguridad vial, Educación y Vinculación Social programadas) *100.</t>
  </si>
  <si>
    <t>Realización de Sesiones de Educavial (presenciales y en línea) para personas en 2025.</t>
  </si>
  <si>
    <t>Porcentaje de personas que asisten a las sesiones de Educavial en 2025</t>
  </si>
  <si>
    <t>(Número de personas sensibilizadas a través de las sesiones de educativa en 2025/ número de personas estimadas que se sensibilizan en las sesiones de educavial en 2025)*100.</t>
  </si>
  <si>
    <t>Intervención de centros educativos para fomentar la educación y cultura vial con perspectiva de género y enfoque de derechos humanos en 2025</t>
  </si>
  <si>
    <t>Porcentaje de centros educativos intervenidos en materia de seguridad, educación y cultura vial en 2025</t>
  </si>
  <si>
    <t>(Número de centros educativos intervenidos en materia de seguridad, educación y cultura con perspectiva de género y derechos humanos /número de centros educativos programados )*100.</t>
  </si>
  <si>
    <t>Gestión de capacitación al área operativa (las y los agentes de movilidad) en 2025</t>
  </si>
  <si>
    <t>Porcentaje de capacitaciones al personal operativo realizadas en 2025</t>
  </si>
  <si>
    <t>(Número de capacitaciones realizadas al personal operativo en 2025/número de capacitaciones programadas en 2025)*100.</t>
  </si>
  <si>
    <t>Capacitación en sesiones de Biciescuela dirigido a la ciudadanía en 2025.</t>
  </si>
  <si>
    <t>Porcentaje de ciudadanos  que participan en las sesiones de Biciescuela en 2025</t>
  </si>
  <si>
    <t>(Número de asistentes a las sesiones de  biciescuela en 2025/Estimación de asistentes a las sesiones de biciescuela)*100.</t>
  </si>
  <si>
    <t>23. Obra Pública</t>
  </si>
  <si>
    <t>Contribuir a impulsar el repoblamiento ordenado del municipio, particularmente en zonas de alta centralidad y corredores de transporte público, mediante la entrega de obras públicas</t>
  </si>
  <si>
    <t>((Población final-Población inicial)/Población inicial)*100</t>
  </si>
  <si>
    <t>Ciudadanos Los habitantes del municipio de Guadalajara reciben obras que mejoran la infraestructura de la ciuda Los habitantes del municipio de Guadalajara reciben obras que mejoran la infraestructura de la ciudad y que fomentan el libre transito y la habitabilidad</t>
  </si>
  <si>
    <t>Porcentaje de Obras Terminadas de infraestructura en la ciudad en 2025</t>
  </si>
  <si>
    <t>(Número de obras terminadas /Número total de obras programadas)*100</t>
  </si>
  <si>
    <t>Espacios públicos municipales rehabilitados</t>
  </si>
  <si>
    <t>Porcentaje de espacios públicos rehabilitados</t>
  </si>
  <si>
    <t>(Número de espacios públicos rehabilitados/Número de espacios públicos programados)*100</t>
  </si>
  <si>
    <t>Rehabilitación de edificios Gubernamentales Públicos, Museos, Centros Culturales, Monumentos.</t>
  </si>
  <si>
    <t>Porcentaje de edificios gubernamentales públicos, museos, centros culturales, y monumentos rehabilitados</t>
  </si>
  <si>
    <t>(Número de edificios públicos, museos, centros culturales y monumentos rehabilitados/ Número de espacios públicos, museos, centros culturales y monumentos programados)*100</t>
  </si>
  <si>
    <t>Rehabilitación de espacios públicos y/o áreas verdes</t>
  </si>
  <si>
    <t>Porcentaje de parques y espacios públicos y/o áreas verdes rehabilitadas en 2025</t>
  </si>
  <si>
    <t>Número de parques y Espacios Públicos y/o Áreas Verdes rehabilitados/ Número de parques y espacios públicos y/o áreas verdes programadas)*100</t>
  </si>
  <si>
    <t>Rehabilitación de Unidades Deportivas</t>
  </si>
  <si>
    <t>Porcentaje de Unidades Deportivas rehabilitadas</t>
  </si>
  <si>
    <t>Número de unidades deportivas rehabilitadas/ Número de unidades deportivas programadas)*100</t>
  </si>
  <si>
    <t>Rehabilitación de Mercados Municipales</t>
  </si>
  <si>
    <t>Porcentaje de Mercados Municipales rehabilitados</t>
  </si>
  <si>
    <t>Número De Mercados municipales rehabilitados/ Número De mercados municipales programados) *100</t>
  </si>
  <si>
    <t>Reportes de inundaciones y contingencias atendidas</t>
  </si>
  <si>
    <t>Porcentaje de reportes atendidos respecto a la prevención de inundaciones y contingencia</t>
  </si>
  <si>
    <t>(Número de reportes de inundaciones y contingencias atendidas /Número total de contingencias registradas)*100</t>
  </si>
  <si>
    <t>Atención de reportes de contingencias</t>
  </si>
  <si>
    <t>Porcentaje de reportes de contingencias atendidos en 2025</t>
  </si>
  <si>
    <t>(Número de reportes de contingencias atendidas en /Número total de reportes de contingencias registrados)*100</t>
  </si>
  <si>
    <t>Realización de desazolves de vasos reguladores y canales con limpieza en la ciudad</t>
  </si>
  <si>
    <t>Porcentaje de canales y vasos reguladores desazolvados</t>
  </si>
  <si>
    <t>(Número de canales y vasos reguladores desazolvados en /Número total de canales y vasos reguladores  programados)*100</t>
  </si>
  <si>
    <t>Gestión de recursos, materiales tecnológicos y administrativos para el seguimiento y operación</t>
  </si>
  <si>
    <t>Porcentaje de recurso ejercido para la gestión de recursos materiales tecnológicos y administrativos para el seguimiento y operación en 2025</t>
  </si>
  <si>
    <t>Recurso ejercido para la gestión de recursos materiales y administrativos/recurso programado para la gestión de recursos materiales, tecnológicos y administrativos)*100</t>
  </si>
  <si>
    <t>Infraestructura Social y Servicios (vivienda, salud, escuelas, DIF) rehabilitadas</t>
  </si>
  <si>
    <t>Porcentaje de creación y/o rehabilitación de infraestructura social y de servicios (vivienda, salud, escuelas, DIF)</t>
  </si>
  <si>
    <t>(Número de espacios de Infraestructura social y servicios rehabilitados/Número de espacios de infraestructura social y servicios programados)*100</t>
  </si>
  <si>
    <t>Iluminación en unidades habitacionales</t>
  </si>
  <si>
    <t>Porcentaje de viviendas rehabilitadas en 2025</t>
  </si>
  <si>
    <t>(Número de unidades habitacionales con iluminación rehabilitados /Número de unidades habitacionales con iluminación programados)*100</t>
  </si>
  <si>
    <t>Rehabilitación de Cruz Verdes y/o Centros de Salud</t>
  </si>
  <si>
    <t>Porcentaje de Cruz Verdes y/o centros de Salud rehabilitados en 2025</t>
  </si>
  <si>
    <t>(Número de cruz verdes y/o centros de salud rehabilitados /Número de cruz verdes y/o centros de salud programados)*100</t>
  </si>
  <si>
    <t>Rehabilitación de escuelas</t>
  </si>
  <si>
    <t>Porcentaje de escuelas rehabilitadas</t>
  </si>
  <si>
    <t>(Número de escuelas rehabilitados /Número de escuelas programados)*100</t>
  </si>
  <si>
    <t>Rehabilitación y/o creación de Colmenas, CDC,CDI (DIF)</t>
  </si>
  <si>
    <t>Porcentaje de colmenas, CDC, CDI (DIF) creadas y/o rehabilitada</t>
  </si>
  <si>
    <t>(Número de colmenas, CDC, CDI (DIF) rehabilitados /Número de colmenas, CDC,CDI (DIF) programados)*100</t>
  </si>
  <si>
    <t>Calles de la ciudad renovadas y/o rehabilitadas</t>
  </si>
  <si>
    <t>Porcentaje de calles renovadas y/o rehabilitadas en 2025</t>
  </si>
  <si>
    <t>(Número de calles rehabilitadas/Número de calles programadas)*100</t>
  </si>
  <si>
    <t>Realización de mantenimiento preventivo y correctivo de las vialidades en la ciudad</t>
  </si>
  <si>
    <t>Porcentaje de mantenimiento preventivo y correctivo de las vialidades en la ciudad en 2025</t>
  </si>
  <si>
    <t>(Número de calles con mantenimiento preventivo y/o correctivo  rehabilitados /Número de calles con mantenimiento preventivo y/o correctivo programados)*100</t>
  </si>
  <si>
    <t>Renovación de vialidades en concreto hidráulico en la ciudad</t>
  </si>
  <si>
    <t>Porcentaje de renovación de vialidades en concreto hidráulico en la ciudad en 2025</t>
  </si>
  <si>
    <t>(Número de calles en concreto hidráulico rehabilitadas /Número de calles en concreto hidráulico programados)*100</t>
  </si>
  <si>
    <t>Rehabilitación de Iluminación Peatonal en banquetas y vialidades en la ciudad</t>
  </si>
  <si>
    <t>Porcentaje de rehabilitación de iluminación peatonal en banquetas y vialidades en 2025</t>
  </si>
  <si>
    <t>(Número de vialidades con iluminación peatonal rehabilitadas /Número de vialidades con iluminación peatonal programados)*100</t>
  </si>
  <si>
    <t>Renovación de Banquetas en diferentes puntos de la ciudad</t>
  </si>
  <si>
    <t>Porcentaje de renovación de banquetas en diferentes puntos de la ciudad en 2025</t>
  </si>
  <si>
    <t>(Número de banquetas rehabilitadas /Número de banquetas programados)*100</t>
  </si>
  <si>
    <t>Rehabilitación de Andadores peatonales y Renovación Urbana en la ciudad</t>
  </si>
  <si>
    <t>Porcentaje de rehabilitación de andadores peatonales y renovación urbana en la ciudad en 2025</t>
  </si>
  <si>
    <t>(Número de andadores peatonales rehabilitadas /Número de andadores peatonales programados)*100</t>
  </si>
  <si>
    <t>24. Ordenamiento del Territorio y Licencias de Construcción</t>
  </si>
  <si>
    <t>Contribuir a disminuir el despoblamiento del municipio mediante el ordenamiento territotial</t>
  </si>
  <si>
    <t>Contribuir a disminuir el despoblamiento del municipio mediante el ordenamiento territorial.</t>
  </si>
  <si>
    <t>((Población final - Población inicial) / Población inicial) * 100</t>
  </si>
  <si>
    <t>Habitantes de Guadalajara viven en una ciudad ordenada y sustentable con instrumentos de planeación urbana actualizados.</t>
  </si>
  <si>
    <t>(Número de dictámenes de Trazos, Usos y Destinos Específicos, y dictámenes de Usos y Destinos Específicos, emitidos favorables / Total de dictámenes emitidos) *100</t>
  </si>
  <si>
    <t>Dictámenes de Ordenamiento del Territorio emitidos con eficiencia.</t>
  </si>
  <si>
    <t>Porcentaje de dictámenes de Ordenamiento del Territorio emitidos dentro del plazo temporal legal.</t>
  </si>
  <si>
    <t>(Número de dictámenes de ordenamiento territorial emitidos dentro del plazo legal / Número total de dictámenes emitidos) *100</t>
  </si>
  <si>
    <t>Emisión de dictámenes de anuncios</t>
  </si>
  <si>
    <t>Porcentaje de dictámenes de Anuncios emitidos dentro del plazo temporal legal</t>
  </si>
  <si>
    <t>Numero de dictamenes de anuncios emitidos dentro del plazo legal/numero total de dictámenes de anuncios emitidos *100</t>
  </si>
  <si>
    <t>Emisión de dictámenes de Trazos, Usos y Destinos Específicos y dictámenes de usos de destinos específicos.</t>
  </si>
  <si>
    <t>Porcentaje de dictamenes de Trazo, Usos y Destinos Específcos y dictámenes de usos de destinos específicos</t>
  </si>
  <si>
    <t>Numero de dictamenes de trazos usos y destinos emitidos dentro del plazo legal/ numero total de dictamenes de TRazos Usos y Destinos emitidos *100</t>
  </si>
  <si>
    <t>Emisión de dictamenes de beneficio fiscal de fincas patrimoniales</t>
  </si>
  <si>
    <t>Porcentaje de dictamenes de beneficio fiscal de fincas patrimoniales</t>
  </si>
  <si>
    <t>Numero de dictamenes de beneficio fiscal a fincas patrimoniales emitidos dentro del plazo legal/numero total de dictámenes emitidos *100</t>
  </si>
  <si>
    <t>Emisión de títulos de propiedad de predios urbanos regularizados</t>
  </si>
  <si>
    <t>Porcentaje de títulos de propiedad de predios urbanos regularizados</t>
  </si>
  <si>
    <t>Número de titulos de propiedad regularizados emitidos/numero total de titulos de propiedad de predios regularizados programados *100</t>
  </si>
  <si>
    <t>Emisión de Opiniones Técnicas respecto de su uso de suelo</t>
  </si>
  <si>
    <t>Porcentaje de Opiniones Técnicas en materia de uso de suelo emitidas</t>
  </si>
  <si>
    <t>Numero de Opiniones Tecnicas de uso de suelo emitidas/Numero total de opiniones técnicas de uso de suelo solicitadas *100</t>
  </si>
  <si>
    <t>Instrumentos Municipales de Planeación del Desarrollo Urbano actualizados</t>
  </si>
  <si>
    <t>Porcentaje de Instrumentos Municipales de Planeación del Desarrollo Urbano actualizados</t>
  </si>
  <si>
    <t>Numero de Instrumentos Municipales de Planeación del Desarrollo Urbano actualizados</t>
  </si>
  <si>
    <t>Emisión de Opinión Técnica para la revisión de los Instrumentos Municipales de Planeación del Desarrollo Urbano</t>
  </si>
  <si>
    <t>Porcentaje de avance en la emisión de Opinión Técnica para la revisión de los Instrumentos Municipales de Planeación del Desarrollo Urbano</t>
  </si>
  <si>
    <t>Avance en la emisión de Opinión Técnica para la revisión de los Instrumentos de Municipales de Planeación del Desarrollo Urbano/Total de componentes de Opinión Técnica para la revisión de los Instrumentos Municipales de Planeación del Desarrollo Urbano, respecto al marco legal federal y estatal *100</t>
  </si>
  <si>
    <t>Elaboración de proyecto de actualización de los Instrumentos Municipales de Planeación del Desarrollo Urbano</t>
  </si>
  <si>
    <t>Porcentaje de avance de elaboración de proyecto de actualización de los Instrumentos Municipales de Planeación del Desarrollo Urbano</t>
  </si>
  <si>
    <t>Avance de la elaboración de proyecto de actualización de los Instrumentos Municipales de Planeación del Desarrollo Urbano/Total de componentes de los Instrumentos Municipales de Planeación del Desarrollo Urbano, respecto del marco legal federal y estatal *100</t>
  </si>
  <si>
    <t>Licencias y certificados en materia de fraccionamientos concluidos en su totalidad</t>
  </si>
  <si>
    <t>Porcentaje de licencias y certificados en materia de fraccionamientos emitidas con número único</t>
  </si>
  <si>
    <t>(Número de licencias y certificados en materia de fraccionamientos que cuentan con número único) / (Número total de licencias y certificados en materia de fraccionamientos tramitados) *100</t>
  </si>
  <si>
    <t>Emisión de certificados de alineamientos y número oficial</t>
  </si>
  <si>
    <t>Porcentaje de certificados de Alineamiento y Número Oficial emitidos</t>
  </si>
  <si>
    <t>(Número de certificados de alineamiento y número oficial emitidos) / (Número total de certificados de alineamiento y número oficial tramitados) *100</t>
  </si>
  <si>
    <t>Expedición de constancias de nomenclatura.</t>
  </si>
  <si>
    <t>Porcentaje de Constancias de Nomenclatura emitidas</t>
  </si>
  <si>
    <t>(Número de constancias de nomenclatura emitidas) / (Número total de constancias de nomenclatura tramitadas) *100</t>
  </si>
  <si>
    <t>Emisión de licencias de régimen de condominio y subdivisiones</t>
  </si>
  <si>
    <t>Porcentaje de licencias de Régimen de Condominio y Subdivisiones emitidas</t>
  </si>
  <si>
    <t>(Número de licencias de régimen de condominio y subdivisiones emitidas) / (Número total de licencias de régimen de condominio y subdivisiones tramitadas) *100</t>
  </si>
  <si>
    <t>Licencias y certificados en materia de construcción y habitabilidad concluidos en su totalidad</t>
  </si>
  <si>
    <t>Porcentaje de licencias y certificados en materia de construcción y habitabilidad emitidas con número único</t>
  </si>
  <si>
    <t>(Número de licencias y certificados en materia de construcción y habitabilidad que cuentan con número único) / (Número total de licencias y certificados en materia de construcción y habitabilidad tramitados) *100</t>
  </si>
  <si>
    <t>Emisión de licencias de construcción</t>
  </si>
  <si>
    <t>Porcentaje de licencias de construcción emitidas</t>
  </si>
  <si>
    <t>(Número de licencias de construcción emitidas) / (Número total de licencias tramitadas) *100</t>
  </si>
  <si>
    <t>Asignación de obras a los Directores Responsables de Obra  (DRO)</t>
  </si>
  <si>
    <t>Porcentaje de Obras asignadas a DRO</t>
  </si>
  <si>
    <t>(Número de obras asignadas a DRO) / (Número total de obras) *100</t>
  </si>
  <si>
    <t>Emisión de certificados de habitabilidad</t>
  </si>
  <si>
    <t>Porcentaje de Certificados de Habitabilidad emitidos</t>
  </si>
  <si>
    <t>(Número de certificados de habitabilidad emitidos) / (Número total de certificados de habitabilidad tramitados) *100</t>
  </si>
  <si>
    <t>25. Centros Colmena</t>
  </si>
  <si>
    <t>Se contribuye a mejorar el desarrollo comunitario e impulsar el bienestar social mediante campañas para la promoción, concientización y corresponsabilidad en zonas de alta marginación</t>
  </si>
  <si>
    <t>Variación porcentual de las personas habitantes del municipio de Guadalajara que acceden a las campañas para la promoción, concientización y corresponsabilidad</t>
  </si>
  <si>
    <t>((Total de personas beneficiarias que acceden a las campañas para la promoción, concientización y corresponsabilidad en 2025/Total de  personas beneficiarias que acceden a las campañas para la promoción, concientización y corresponsabilidad  2024)-)1*100</t>
  </si>
  <si>
    <t>Las personas habitantes del municipio de Guadalajara cuentan con espacios para el desarrollo integral y bienestar comunitario en zonas atención prioritaria</t>
  </si>
  <si>
    <t>Porcentaje de homologación de los clusters de trabajo en las Colmenas existentes</t>
  </si>
  <si>
    <t>( Número de Clusters implementados en cada Colmena / Número de Clusters referenciados del modelo actual de las Colmenas)*100</t>
  </si>
  <si>
    <t>Talleres y eventos realizados</t>
  </si>
  <si>
    <t>Porcentaje de talleres realizados en los Centros Colmena en el Ejercicio 20255</t>
  </si>
  <si>
    <t>(Número de talleres implementados en cada Colmena / Número de talleres programados en los centros Colmena)*100</t>
  </si>
  <si>
    <t>Realización de talleres para el desarrollo comunitario en los Centros Comunitarios Colmena</t>
  </si>
  <si>
    <t>Porcentaje de talleres otorgados en los Centros Colmena en el Municipio de Guadalajara</t>
  </si>
  <si>
    <t>(Número de talleres realizados /Número de talleres programados)*100</t>
  </si>
  <si>
    <t>Asesorías en los centros comunitarios colmena brindadas</t>
  </si>
  <si>
    <t>Porcentaje de asesorías brindadas en los Centros Colmena en el Municipio de Guadalajara</t>
  </si>
  <si>
    <t>(Número de asesorías brindadas /Número de asesorías programadas)*100</t>
  </si>
  <si>
    <t>Realización de eventos en los centros comunitarios colmena</t>
  </si>
  <si>
    <t>Porcentaje de eventos comunitarios realizados en los Centros Colmena en el Municipio de Guadalajara</t>
  </si>
  <si>
    <t>(Total de eventos realizados/total de eventos programados) *100</t>
  </si>
  <si>
    <t>Gestión para el desarrollo de actividades así como el equipamiento necesario</t>
  </si>
  <si>
    <t>Porcentaje del presupuesto pagado (ejercido) para el equipamiento de los centros  en el Ejercicio 2025</t>
  </si>
  <si>
    <t>(Presupuesto para equipamiento pagado y/o ejercido/Presupuesto para equipamiento de los centros  aprobado en el ejercicio fiscal 2025)*100</t>
  </si>
  <si>
    <t>Servicios de Protección y servicios de bienestar animal entregados</t>
  </si>
  <si>
    <t>Porcentaje de servicios de salud y cursos de adiestramiento para el bienestar animal entregados en campañas en calle en el Municipio de Guadalajara</t>
  </si>
  <si>
    <t>(Total de mascotas beneficiada por los servicios de protección y bienestar animal brindados/Total de mascotas proyectada en las campañas)*100</t>
  </si>
  <si>
    <t>Campañas permanentes de tenencia responsable de mascotas para niñas, niños y adolescentes</t>
  </si>
  <si>
    <t>Porcentaje de campañas realizadas sobre la tenencia responsable de mascotas para niñas, niños y adolescentes en el Municipio de Guadalajara</t>
  </si>
  <si>
    <t>(Total de Campañas realizados / Total de campañas programadas)*100</t>
  </si>
  <si>
    <t>Cursos para el manejo y entrenamiento básico en perros</t>
  </si>
  <si>
    <t>Porcentaje de cursos para el manejo, entrenamiento y obediencia básica en perros realizados por la Dirección de Bienestar Animal</t>
  </si>
  <si>
    <t>(Total de cursos realizados / total de cursos programados)*100</t>
  </si>
  <si>
    <t>Gestión de adopciones de animales</t>
  </si>
  <si>
    <t>Porcentaje de animales entregados en adopción por parte de la Dirección de Bienestar Animal</t>
  </si>
  <si>
    <t>(Total de animales que fueron adoptados/total de animales programados por adoptar) *100</t>
  </si>
  <si>
    <t>Atención de reportes por presunto maltrato animal</t>
  </si>
  <si>
    <t>Porcentaje de reportes por presunto maltrato animal atendidos en el Municipio de Guadalajara</t>
  </si>
  <si>
    <t>(Número de reportes atendidos de presunto maltrato animal/Total de reportes recibidos )*100</t>
  </si>
  <si>
    <t>Gestión para el otorgamiento de servicios médicos veterinarios</t>
  </si>
  <si>
    <t>Porcentaje de servicios veterinarios otorgados por la Dirección de Bienestar Animal</t>
  </si>
  <si>
    <t>(Total de servicios veterinarios realizados/Total de servicios veterinarios proyectados )*100</t>
  </si>
  <si>
    <t>Servicios de las Unidades Funcionales de Gestión Plena ofertados</t>
  </si>
  <si>
    <t>Variación porcentual de los servicios proporcionados con relación al año anterior</t>
  </si>
  <si>
    <t>((Número de servicios ofertados 2025 / Número de servicios ofertados en 2024)-1)* 100</t>
  </si>
  <si>
    <t>Realización de trámites</t>
  </si>
  <si>
    <t>Porcentaje de trámites realizados en las Unidades Funcionales de Gestión Plena</t>
  </si>
  <si>
    <t>(número de solicitudes atendidas/número de solicitudes recibidas)*100</t>
  </si>
  <si>
    <t>Servicios ofertados a la ciudadanía</t>
  </si>
  <si>
    <t>Porcentajes de mujeres atendidas en las Unidades Funcionales de Gestión Plena</t>
  </si>
  <si>
    <t>(Número total de mujeres encuestadas en las UFGP 2025/Número total de mujeres que se tiene programado encuestar en las UFGP 2025)*100</t>
  </si>
  <si>
    <t>26. Fomento a la cultura</t>
  </si>
  <si>
    <t>Se contribuye al fortalecimiento del ecosistema cultural y el ejercicio pleno de los derechos culturales a través de la corresponsabilidad de acciones enfocadas a la participación, acceso, difusión, formación y reflexión en torno al arte y la cultura.</t>
  </si>
  <si>
    <t>Porcentaje de la población que participa en las actividades culturales respecto al año anterior</t>
  </si>
  <si>
    <t>((Población que participó en las actividades culturales en 2025/Población programada1)* 100</t>
  </si>
  <si>
    <t xml:space="preserve"> La Ciudad de Guadalajara cuenta con servicios culturales pertinentes, accesibles y de calidad</t>
  </si>
  <si>
    <t>Variación porcentual de las actividades culturales realizadas en la Ciudad de Guadalajara</t>
  </si>
  <si>
    <t>((Total de acciones ejecutadas dentro y fuera de la infraestructura cultural en el ejercicio 2025/Total de acciones ejecutadas dentro y fuera de la infraestructura cultural 2024)-1)*100</t>
  </si>
  <si>
    <t>Campañas para la formación cultural, artística y ciudadana realizadas</t>
  </si>
  <si>
    <t>Porcentaje de  Campañas para la formación cultural, artística y ciudadana realizadas en el Municipio de Guadalajara</t>
  </si>
  <si>
    <t>(Total de campañas de formación cultural  realizadas/Total de campañas programadas)*100</t>
  </si>
  <si>
    <t>Gestión de actividades culturales realizados en espacios públicos de la ciudad</t>
  </si>
  <si>
    <t>Porcentaje de actividades culturales realizadas en espacios públicos en el Municipio de Guadalajara</t>
  </si>
  <si>
    <t>(Total de actividades culturales incluyendo festivales y conciertos realizados en la ciudad/Total de actividades culturales incluyendo festivales y conciertos realizados en la ciudad programados)*100</t>
  </si>
  <si>
    <t>Gestión de la participación y representación en eventos culturales externos de Municipio de Guadalajara (ferias, giras, eventos)</t>
  </si>
  <si>
    <t>Porcentaje de eventos culturales externos atendidos para participación y representación del Municipio de Guadalajara</t>
  </si>
  <si>
    <t>(Total de eventos culturales externos en los que el municipio de guadalajara participó/Total de eventos culturales externos proyectados)*100</t>
  </si>
  <si>
    <t>Promoción y difusión de contenidos escénicos y comunitarios</t>
  </si>
  <si>
    <t>Porcentaje de presupuesto pagado y/o ejercido para la promoción y difusión de contenidos escénicos y comunitarios en el Ejercicio 2025</t>
  </si>
  <si>
    <t>( Presupuesto pagado y /o ejercido para la promoción y difusión de contenidos escénicos y comunitarios en el 2025/ presupuesto aprobado para la promoción y difusión de contenidos escénicos y comunitarios)*100</t>
  </si>
  <si>
    <t>Exposiciones y actividades sustantivas para la apreciación de la literatura, la lectura, las artes visuales y el patrimonio cultural</t>
  </si>
  <si>
    <t>Porcentaje de las exposiciones y actividades producidas para la apreciación de la literatura, la lectura, las artes visuales y el patrimonio cultural en el Municipio de Guadalajara</t>
  </si>
  <si>
    <t>(Total de exposiciones y actividades enfocadas para la apreciación de la literatura , lectura y artes visuales realizadas/Total de exposiciones y actividades enfocadas para la apreciación de la literatura, lectura y artes visuales programadas)*100</t>
  </si>
  <si>
    <t>Gestión de contenidos y programación desde los Centros Culturales, Escuelas de Música y Bibliotecas</t>
  </si>
  <si>
    <t>Porcentaje de contenidos y programación desde los Centros Culturales, Escuelas de Música y Bibliotecas realizados pertenecientes a la Dirección de Cultura de Guadalajara</t>
  </si>
  <si>
    <t>(Total de contenidos realizados desde los Centros Culturales, Escuelas de Música y Bibliotecas/Total de contenidos programados desde los Centros Culturales,  Escuelas de Música y Bibliotecas )*100</t>
  </si>
  <si>
    <t>Subsidios, premios, reconocimientos y subvenciones otorgados</t>
  </si>
  <si>
    <t>Porcentaje de  de Subsidios, premios, reconocimientos y subvenciones entregados en el Ejercicio 2025</t>
  </si>
  <si>
    <t>(Subsidios, premios, reconocimientos y ayudas sociales entregados en 2025/Subsidios, premios, reconocimientos y ayudas sociales programados en 2025)*100</t>
  </si>
  <si>
    <t>Gestión y seguimiento de reconocimientos, premiaciones y subvenciones</t>
  </si>
  <si>
    <t>Porcentaje de reconocimientos y premiaciones realizadas en el Ejercicio 2025</t>
  </si>
  <si>
    <t>(Total de reconocimientos y premiaciones entregadas en 2025/total de reconocimientos y premiaciones programadas en 2025)*100</t>
  </si>
  <si>
    <t>Gestión de Subsidios</t>
  </si>
  <si>
    <t>Porcentaje de presupuesto ejercido en Subsidios en 2025</t>
  </si>
  <si>
    <t>(Presupuesto ejercido en subsidios en el 2025/ presupuesto programado para subsidios en 2025)*100</t>
  </si>
  <si>
    <t>Gestión para la operatividad e insumos realizada</t>
  </si>
  <si>
    <t>Porcentaje de avance del presupuesto ejercido para la operatividad e insumos durante el Ejercicio 2025</t>
  </si>
  <si>
    <t>(Presupuesto ejercido para la operatividad e insumos /Presupuesto programado para la operatividad e insumos del 2025 ) *100</t>
  </si>
  <si>
    <t>Equipamiento e insumos necesarios para la realización de las actividades en virtud de construcción de comunidad</t>
  </si>
  <si>
    <t>Porcentaje de requisiciones destinadas a equipo para la operatividad de la Coordinación General de Construcción de Comunidad</t>
  </si>
  <si>
    <t>(Total de requisiciones destinadas a equipo para la operatividad /Total de requisiciones realizadas durante 2025) *100</t>
  </si>
  <si>
    <t>Equipamiento e insumos necesarios para alfabetización digital y material didáctico</t>
  </si>
  <si>
    <t>Porcentaje de requisiciones destinadas a equipo para la la alfabetización digital y material didáctico en el Ejercicio 2025</t>
  </si>
  <si>
    <t>(Total de requisiciones destinadas a equipo para la alfabetización digital y material didáctico /Total de requisiciones realizadas durante 2025 ) *100</t>
  </si>
  <si>
    <t>Gestión para el mantenimiento de los recintos y bienes culturales habilitados de la Dirección de Cultura de Guadalajara</t>
  </si>
  <si>
    <t>Porcentaje de bienes patrimoniales culturales habilitados pertenecientes a la Dirección de Cultura de Guadalajara</t>
  </si>
  <si>
    <t>(Total de bienes patrimoniales culturales habilitados/Total de bienes patrimoniales culturales programados)*100</t>
  </si>
  <si>
    <t>27. Oferta Educativa</t>
  </si>
  <si>
    <t>Se Contribuye a mejorar los niveles de educación y desarrollo de conocimientos de la población del municipio de Guadalajara</t>
  </si>
  <si>
    <t>Promedio de grados escolares aprobados</t>
  </si>
  <si>
    <t>Suma de años aprobados desde el primero de primaria hasta el último grado alcanzado por la población de 15 años y más en el municipio de Guadalajara / Total de la población de 15 años y más en el municipio de Guadalajara</t>
  </si>
  <si>
    <t>Ciudadanos Acceso a los servicios de educación básica, media y media superior en el municipio de Guadalajara</t>
  </si>
  <si>
    <t>Porcentaje de personas beneficiadas por los bienes y servicios educativos ofertados por el Gobierno Municipal de Guadalajara durante el ejercicio fiscal 2025</t>
  </si>
  <si>
    <t>Número de personas beneficiadas por los bienes y servicios educativos del municipio de Guadalajara en un año / población de 5 años y más del municipio de Guadalajara) * 100</t>
  </si>
  <si>
    <t>Certificación de estudios otorgados</t>
  </si>
  <si>
    <t>Porcentaje de alumnos certificadas en la oferta educativa otorgada por el Gobierno Municipal de Guadalajara en el ejercicio fiscal 2025</t>
  </si>
  <si>
    <t>Total de alumnos certificados en el ciclo escolar/Total de alumnos inscritos en el ciclo escolar*100</t>
  </si>
  <si>
    <t>Certificación de estudios otorgados en la carrera técnica en Enfermería</t>
  </si>
  <si>
    <t>Porcentaje de Alumnos que obtienen certificado en la carrera de Enfermería  en el ejercicio fiscal 2025</t>
  </si>
  <si>
    <t>(Número de alumnos que obtienen certificado de estudios en Enfermería en el ciclo escolar / Número total de alumnos que se inscribieron en Enfermería en el ciclo escolar) * 100</t>
  </si>
  <si>
    <t>Certificación de estudios otorgados en la carrera técnica en Optometría</t>
  </si>
  <si>
    <t>Porcentaje de Alumnos que obtienen certificado en la carrera de Optometría en el ejercicio fiscal 2025</t>
  </si>
  <si>
    <t>(Número de alumnos que obtienen certificado de estudios en Optometría en el ciclo escolar / Número total de alumnos que se inscribieron en Optometría en el ciclo escolar) * 100</t>
  </si>
  <si>
    <t>Certificación de clases otorgadas para una cultura de paz</t>
  </si>
  <si>
    <t>Porcentaje de personas que reciben clases para una cultura de paz en el ejercicio fiscal 2025</t>
  </si>
  <si>
    <t>Número de personas que reciben certificación de clases de cultura de paz de las escuelas seleccionadas / Número total de personas registradas en las clases de cultura de paz de las escuelas seleccionadas * 100</t>
  </si>
  <si>
    <t>Formación educativa con calidad reforzada otorgada</t>
  </si>
  <si>
    <t>Porcentaje  de personas que han recibido acciones de formación educativa con calidad reforzada en el Municipio de Guadalajara en el ejercicio fiscal 2025</t>
  </si>
  <si>
    <t>(Número de personas que se benefician de las actividades de formación educativa con calidad reforzada / Número total personas proyectadas a beneficiar en las actividades de formación educativa con calidad reforzada) * 100</t>
  </si>
  <si>
    <t>Gestión de asesorías para los alumnos con rezago</t>
  </si>
  <si>
    <t>Porcentaje de personas asesoradas en alfabetización, primaria, secundaria y bachillerato en el ejercicio fiscal 2025</t>
  </si>
  <si>
    <t>(Total de personas asesoradas en alfabetización, primaria, secundaria y bachillerato en un año / Total de personas que solicitaron asesoría en alfabetización, primaria, secundaria y bachillerato en un año) * 100</t>
  </si>
  <si>
    <t>Impartición de cursos de formación continua para docentes</t>
  </si>
  <si>
    <t>Porcentaje de docentes capacitados en formación continua en el ejercicio fiscal 2025</t>
  </si>
  <si>
    <t>(Total de docentes capacitados en un año / Total de docentes proyectados a capacitar en un año) * 100</t>
  </si>
  <si>
    <t>Implementación de eventos y talleres para la formación cívica, artística y de capacidades</t>
  </si>
  <si>
    <t>Porcentaje de personas beneficiadas de los eventos y talleres de formación cívica, artística y de capacidades realizados en el ejercicio fiscal 2025</t>
  </si>
  <si>
    <t>(Total de personas beneficiadas por los eventos y talleres para formación cívica y artística realizados en un año / Total de personas proyectadas a beneficiar por los eventos y talleres para formación cívica y artística en un año) * 100</t>
  </si>
  <si>
    <t>Implementación de acciones de mejora en los edificios de las escuelas públicas de educación básica del municipio de Guadalajara</t>
  </si>
  <si>
    <t>Porcentaje de alumnos beneficiados en los planteles públicos de educación básica atendidos por temas de rehabilitación en el ejercicio fiscal 2025</t>
  </si>
  <si>
    <t>(Total de alumnos beneficiados con la rehabilitación de sus planteles escolares en un año / Total de alumnos proyectados a beneficiar con la rehabilitación de sus planteles escolares en un año) * 100</t>
  </si>
  <si>
    <t>Premios, reconocimientos y ayudas sociales entregados</t>
  </si>
  <si>
    <t>Porcentaje de premios, reconocimientos y ayudas sociales otorgados en el ejercicio fiscal 2025</t>
  </si>
  <si>
    <t>(Premios, reconocimientos y ayudas sociales entregados / subsidios, premios, reconocimientos y ayudas sociales programados a entregar en un año) * 100</t>
  </si>
  <si>
    <t>Gestión de premios y reconocimientos</t>
  </si>
  <si>
    <t>Porcentaje de personas premiadas y reconocidas en el año de acuerdo a las candidaturas dictaminadas en el ejercicio fiscal 2025</t>
  </si>
  <si>
    <t>(Total de personas premiadas y reconocidas / Total de personas inscritas en las convocatorias para premios y reconocimientos publicadas en un año) * 100</t>
  </si>
  <si>
    <t>Gestión de ayudas sociales</t>
  </si>
  <si>
    <t>Porcentaje de personas que recibieron ayudas sociales en el año de acuerdo a las candidaturas dictaminadas en el ejercicio fiscal 2025</t>
  </si>
  <si>
    <t>(Total de personas que recibieron ayudas sociales / Total de personas inscritas en las convocatorias para recibir ayudas sociales publicadas en un año) * 100</t>
  </si>
  <si>
    <t>28. Servicios Médicos Municipales con Calidad</t>
  </si>
  <si>
    <t>Se contribuye a fortalecer los Servicios Pre Hospitalarios y Médicos de Urgencias a través de acciones oportunas y sistematizadas</t>
  </si>
  <si>
    <t>Variación porcentual de Servicios Pre Hospitalarios y Médicos otorgados</t>
  </si>
  <si>
    <t>(Número de Servicios Pre Hospitalarios y médicos en el año  otorgados 2025 / Número de Servicios Pre Hospitalarios y médicos otorgados  en el año 2024) -1) *100</t>
  </si>
  <si>
    <t>Los ciudadanos reciben con satisfacción servicios prehospitalarios y médicos integrales estandarizados</t>
  </si>
  <si>
    <t>Proporción de satisfacción de los usuarios al recibir Servicios Pre Hospitalarios y médicos integrales estandarizados</t>
  </si>
  <si>
    <t>(Número de reportes de satisfacción del usuario recibidos en el año) / (Número total de reportes positivos recibidos) *100</t>
  </si>
  <si>
    <t>Servicios de atención integral médica y prehospitalaria, así como atención a enfermedades emergentes de vigilancia epidemiológica brindados</t>
  </si>
  <si>
    <t>Promedio de atención prehospitalaria y médica integral brindados a población abierta, así como atención a enfermedades emergentes durante el año 2025 en los Servicios Médicos Municipales de Guadalajara</t>
  </si>
  <si>
    <t>(Número  de servicios otorgados) / (4 trimestres)</t>
  </si>
  <si>
    <t>Gestión de servicios de atención de ambulancias,  equipo motorizado, unidad orión y ciclo-paramédicos</t>
  </si>
  <si>
    <t>Promedio de atenciones prehospitalarias brindadas durante el año 2025 en los Servicios Médicos Municipales de Guadalajara</t>
  </si>
  <si>
    <t>Gestión de servicios de Atención de Urgencias Médicas</t>
  </si>
  <si>
    <t>Promedio de atención de urgencias médicas brindadas en las Unidades Médicas de Urgencias durante el año 2025 en los Servicios Médicos Municipales de Guadalajara</t>
  </si>
  <si>
    <t>(Número  de servicios otorgados) / ( 4 trimestres)</t>
  </si>
  <si>
    <t>Gestión de los servicios de consulta  general y de especialidad</t>
  </si>
  <si>
    <t>Promedio de consultas médicas generales y de especialidad brindados a población abierta en el año 2025 en los Servicios Médicos Municipales de Guadalajara</t>
  </si>
  <si>
    <t>Gestión de Servicios de Cirugía</t>
  </si>
  <si>
    <t>Promedio de cirugías realizadas en las Unidades Médicas Quirúrgicas de los Servicios Médicos Municipales de Guadalajara en el 2025</t>
  </si>
  <si>
    <t>Servicios de Imagen y laboratorio brindados</t>
  </si>
  <si>
    <t>Promedio de servicios de imagen y laboratorio  brindados a la población abierta en las Unidades Médicas de Urgencias en el año 2025 en los Servicios Médicos Municipales de Guadalajara</t>
  </si>
  <si>
    <t>Gestión de servicios de Imagen</t>
  </si>
  <si>
    <t>Promedio de servicios de imagen otorgados durante el 2025 en los Servicios Médicos Municipales de Guadalajara</t>
  </si>
  <si>
    <t>Gestión los servicios de Laboratorio</t>
  </si>
  <si>
    <t>Promedio de estudios de laboratorio realizados durante el 2025 en los Servicios Médicos Municipales de Guadalajara</t>
  </si>
  <si>
    <t>Campañas de prevención en pro de la salud realizadas</t>
  </si>
  <si>
    <t>Promedio de acciones para la prevención y autocuidado de la salud en el Municipio de Guadalajara  realizadas en los Servicios Médicos Municipales de Guadalajara durante año 2025</t>
  </si>
  <si>
    <t>(Número de acciones en prevención en salud realizadas)/( 4 trimestres)</t>
  </si>
  <si>
    <t>Gestión de acciones de prevención contra enfermedades crónico degenerativas</t>
  </si>
  <si>
    <t>Promedio de acciones de prevención contra Enfermedades Crónico Degenerativas realizadas en los Servicios Médicos Municipales de Guadalajara durante año 2025.</t>
  </si>
  <si>
    <t>Gestión de acciones de prevención contra enfermedades transmisibles por vector</t>
  </si>
  <si>
    <t>Promedio de acciones de prevención de enfermedades transmisibles por vector realizadas en los servicios Médicos Municipales de Guadalajara durante año 2025</t>
  </si>
  <si>
    <t>(Número de acciones en prevención de enfermedades transmisibles por vector)/( 4 trimestres)</t>
  </si>
  <si>
    <t>Gestión de acciones para la prevención y detección del cáncer en la mujer</t>
  </si>
  <si>
    <t>Promedio de acciones realizadas para la prevención y detección del Cáncer de la mujer, realizadas por los Servicios Médicos Municipales de Guadalajara en el año 2025</t>
  </si>
  <si>
    <t>(Número de acciones en prevención de cáncer de la mujer)/( 4 trimestres)</t>
  </si>
  <si>
    <t>Unidades Médicas Equipadas</t>
  </si>
  <si>
    <t>Porcentaje del Recurso Ejercido para la gestión de equipamiento</t>
  </si>
  <si>
    <t>(Recurso ejercido para la compra de equipamiento)/(Recurso Programado para la compra de equipamiento)</t>
  </si>
  <si>
    <t>Adquisición de Equipo Médico</t>
  </si>
  <si>
    <t>Porcentaje de Adquisición de Equipo Médico de los Servicios Médicos Municipales en el año 2025</t>
  </si>
  <si>
    <t>(Equipo Médico Adquirido)/(Total de Equipo Médico programado para adquisición)</t>
  </si>
  <si>
    <t>Adquisición de Ambulancias</t>
  </si>
  <si>
    <t>Porcentaje de Adquisición de Ambulancias en los Servicios Médicos Municipales en el año 2025</t>
  </si>
  <si>
    <t>(Ambulancias adquiridas)/Total de ambulancias programadas para adquisición</t>
  </si>
  <si>
    <t>29. Manejo de la Hacienda Pública</t>
  </si>
  <si>
    <t>Contribuir a la eficacia y transparencia de los recursos publicos mediante mecanismos eficientes para el control del gasto y la rendicion de cuentas en el municipio</t>
  </si>
  <si>
    <t>Calificacion Crediticia para el Municipio</t>
  </si>
  <si>
    <t>Definido por Fitch Ratings</t>
  </si>
  <si>
    <t>AA</t>
  </si>
  <si>
    <t>15. Sector publico municipal Contribuir a fortalecer la Hacienda Municipal a traves del incremento de los ingresos propios en2025</t>
  </si>
  <si>
    <t>Porcentaje de autonomía de ingresos propios para el ejercicio fiscal 2025</t>
  </si>
  <si>
    <t>(Total de Ingresos propios recaudados en 2025 / (Total de Ingresos  registrados en 2025)*100</t>
  </si>
  <si>
    <t>Recaudación Eficientada</t>
  </si>
  <si>
    <t>Porcentaje de ingresos propios recaudados para el ejercicio fiscal actual</t>
  </si>
  <si>
    <t>(Ingresos propios recaudados en 2025 / Ingresos propios estimados para 2025)*100</t>
  </si>
  <si>
    <t>Gestión de puntos de pago para facilitar al contribuyente el pago de sus obligaciones en 2025</t>
  </si>
  <si>
    <t>Porcentaje de contribuyentes cumplidos en el pago del impuesto predial  para el ejercicio fiscal actual</t>
  </si>
  <si>
    <t>(Número de contribuyentes cumplidos / Número de contribuyentes obligados)*100</t>
  </si>
  <si>
    <t>Gestión eficiente de los recursos financieros del Municipio en 2025</t>
  </si>
  <si>
    <t>Variación porcentual de los ingresos propios del ejercicio fiscal 2025 respecto de los del año 2024</t>
  </si>
  <si>
    <t>((Ingresos propios recaudados en 2025 / Ingresos propios recaudados en 2024)-1))*100</t>
  </si>
  <si>
    <t>Asuntos Juridicos y de Obligacion Fiscal de Tesoreria atendidos</t>
  </si>
  <si>
    <t>Porcentaje de Asuntos Juridicos y de Obligacion fiscal atendidos</t>
  </si>
  <si>
    <t>Asuntos jurídicos atendidos / Número de juicios totales)*100</t>
  </si>
  <si>
    <t>Gestión de Cartera Vencida de los Contribuyentes</t>
  </si>
  <si>
    <t>Porcentaje de Cartera Vencida Recuperada</t>
  </si>
  <si>
    <t>(Monto de recuperación  de cartera vencida/monto total de  Cartera Vencida Total)*100</t>
  </si>
  <si>
    <t>Gestión de Juicios con asunto de Laudos</t>
  </si>
  <si>
    <t>Porcentaje de Juicios con asunto de Laudos atendidos</t>
  </si>
  <si>
    <t>(Juicios de asuntos de laudo Atendidos / Juicios Activos)*100</t>
  </si>
  <si>
    <t>Gestión de Atención de recursos y solicitudes para devolución de ingresos</t>
  </si>
  <si>
    <t>Porcentaje de Resoluciones de recursos y devoluciones atendidas en 2025</t>
  </si>
  <si>
    <t>(Número de resoluciones de devolución atendidas en 2025 / Número total de solicitudes y recursos de devolución recibidas en 2025)*100</t>
  </si>
  <si>
    <t>Insumos para la operatividad de la Tesoreria gestionados</t>
  </si>
  <si>
    <t>Porcentaje del presupuesto ejercido para la operatividad de la Tesoreria en 2025</t>
  </si>
  <si>
    <t>(Presupuesto ejercido destinado para la operatividad e insumos de la Tesorería en 2024/ Presupuesto aprobado para la operatividad e insumos de la Tesorería en 2024)*100</t>
  </si>
  <si>
    <t>Gestion de equipamiento para las funciones propias de la Tesoreria y sus Direcciones</t>
  </si>
  <si>
    <t>Porcentaje de requisiciones atendidas en 2025</t>
  </si>
  <si>
    <t>(Número de requisiciones atendidas en 2025 para el equipamiento de las funciones propias de la tesorería / Total de requisiciones recibidas en 2025)*100</t>
  </si>
  <si>
    <t>Sistema de informacion catastral actualizado</t>
  </si>
  <si>
    <t>Porcentaje de avance de actividades de Actualización del Padrón Catastral</t>
  </si>
  <si>
    <t>(Número de actividades de actualización realizadas en el padrón catastral concluidas/ Total de actividades  de actualización al padrón catastral programadas)*100</t>
  </si>
  <si>
    <t>Actualizacion del padron catastral</t>
  </si>
  <si>
    <t>Porcentaje de avance en la actualización de datos cartográficos y alfanuméricos del padrón catastral</t>
  </si>
  <si>
    <t>(Número de registros actualizados / Total de actualizaciones programadas)*100</t>
  </si>
  <si>
    <t>Corrección de registros catastrales que presentan inconsistencias</t>
  </si>
  <si>
    <t>Porcentaje de avance en la corrección de registros catastrales que presentan inconsistencias</t>
  </si>
  <si>
    <t>(Número de  registros catastrales corregidos / Total de registros con inconsistencias )*100</t>
  </si>
  <si>
    <t>30. Calidad y control del Gasto en el Municipio de Guadalajara</t>
  </si>
  <si>
    <t>Contribuir a la eficacia y transparencia de los recursos públicos mediante Mecanismos eficientes para el control del gasto y la rendición de cuentas en el municipio</t>
  </si>
  <si>
    <t>Calificación crediticia para el  municipio.</t>
  </si>
  <si>
    <t>La Tesorería del Municipio de Guadalajara aplica los lineamientos en materia de armonización contable  en apego al Sistema de Evaluación del Desempeño (SED)</t>
  </si>
  <si>
    <t>Variación porcentual de observaciones emitidas con relación a la aplicación de los lineamiento en materia de armonización contable y SED</t>
  </si>
  <si>
    <t>(Total de observaciones emitidas por la ASEJ en 2025/total de observaciones emitidas en 2024)-1)*100</t>
  </si>
  <si>
    <t>Control y ejercicio presupuestal realizado</t>
  </si>
  <si>
    <t>Ranking de posicionamiento Barómetro Municipal</t>
  </si>
  <si>
    <t>Definido por el IMCO</t>
  </si>
  <si>
    <t>Elaboración del Presupuesto de Egresos (planeación, programación, presupuestación)</t>
  </si>
  <si>
    <t>Porcentaje de Programas  Presupuestarios diseñados con  enfoque de resultados.</t>
  </si>
  <si>
    <t>(Número de Programas Presupuestarios (MIR) elaborados con enfoque de resultados/Total de Programas Presupuestarios del Ayuntamiento de Guadalajara)*100</t>
  </si>
  <si>
    <t>Capacitación en programación y presupuesto</t>
  </si>
  <si>
    <t>Porcentaje de personas  servidoras públicas capacitadas en  temas de programación y  presupuestación</t>
  </si>
  <si>
    <t>(Número de servidores y servidoras públicos asistentes a los talleres/ total de convocados)*100</t>
  </si>
  <si>
    <t>Gestión de servicio de deuda</t>
  </si>
  <si>
    <t>Porcentaje de deuda pública en el ejercicio fiscal</t>
  </si>
  <si>
    <t>(Monto total de deuda pública/recursos de libre disposición)*100</t>
  </si>
  <si>
    <t>Generación de los reportes trimestrales y mensuales en el SRFT</t>
  </si>
  <si>
    <t>Porcentaje de reportes elaborados en tiempo y forma</t>
  </si>
  <si>
    <t>(Número de Reportes realizados en tiempo y forma/ Número total de reportes)*100</t>
  </si>
  <si>
    <t>Gestión de Retenciones por Convenios en 2025</t>
  </si>
  <si>
    <t>Porcentaje de presupuesto pagado en las retenciones por convenios en 2025</t>
  </si>
  <si>
    <t>(Presupuesto pagado por concepto de retención de convenios en 2025/ Presupuesto aprobado por concepto de retención de convenios en 2025)*100</t>
  </si>
  <si>
    <t>Remuneración y prestación a los servidores públicos del Ayuntamiento de Guadalajara realizada</t>
  </si>
  <si>
    <t>Porcentaje de la nómina en el presupuesto de egresos municipal</t>
  </si>
  <si>
    <t>(presupuesto ejercido al pago de nómina/ el total de presupuesto ejercido en el municipio)*100</t>
  </si>
  <si>
    <t>Revisión de erogaciones de nóminas conforme al presupuesto de egresos y disposiciones aplicables</t>
  </si>
  <si>
    <t>Porcentaje de erogaciones de nóminas revisadas</t>
  </si>
  <si>
    <t>(Número de nóminas revisadas/ Total de nóminas capturadas)*100</t>
  </si>
  <si>
    <t>Realización del trámite de nómina a servidores públicos del ayuntamiento de Guadalajara</t>
  </si>
  <si>
    <t>Porcentaje de pago de nómina</t>
  </si>
  <si>
    <t>(Pago de nómina realizados/pago de nómina programado)*100</t>
  </si>
  <si>
    <t>Realización del trámite de pagos de retenciones y aportaciones patronales</t>
  </si>
  <si>
    <t>Porcentaje de pagos, retenciones y aportaciones patronales realizadas</t>
  </si>
  <si>
    <t>(Número de Pagos, retenciones y aportaciones patronales realizadas/Número de pagos, retenciones y aportaciones patronales proyectadas)*100</t>
  </si>
  <si>
    <t>Contabilidad Gubernamental con base a la normatividad aplicable vigente realizada</t>
  </si>
  <si>
    <t>Porcentaje de observaciones emitidas</t>
  </si>
  <si>
    <t>(Número de auditorías que emiten observaciones/ total de auditorías realizadas)*100</t>
  </si>
  <si>
    <t>Elaboración y entrega de Estados Financieros e Informes en cumplimiento de la Ley de Fiscalización y Rendición de Cuentas del Estado de Jalisco y sus Municipios</t>
  </si>
  <si>
    <t>Porcentaje de elaboración y entrega de los informes mensuales, semestrales y anuales obligatorios por la LFRCEJM</t>
  </si>
  <si>
    <t>(Estados Financieros e Informes elaborados y entregados/Total de reportes obligatorios por LFRCEJM)*100</t>
  </si>
  <si>
    <t>Atención de auditorías</t>
  </si>
  <si>
    <t>Porcentaje de Auditorías atendidas en el ejercicio fiscal</t>
  </si>
  <si>
    <t>(Número de auditorías realizadas/ Número total de auditorías programadas)*100</t>
  </si>
  <si>
    <t>Resguardo del Archivo Contable</t>
  </si>
  <si>
    <t>Porcentaje de documentos digitalizados adecuadamente</t>
  </si>
  <si>
    <t>(Número de documentos digitalizados/total de documentos por digitalizar)*100</t>
  </si>
  <si>
    <t>Ejecución del gasto a través de procesos de presupuesto eficientado</t>
  </si>
  <si>
    <t>Porcentaje del presupuesto ejercido</t>
  </si>
  <si>
    <t>(Total del presupuesto pagado/total del presupuesto ejercido)*100</t>
  </si>
  <si>
    <t>Gestión de cumplimiento de gastos a comprobar</t>
  </si>
  <si>
    <t>Porcentaje de expedientes de gastos a comprobar aprobados</t>
  </si>
  <si>
    <t>(Número de expedientes de gastos a comprobar aprobados/Número total de expedientes de gastos a comprobar recibidos)*100</t>
  </si>
  <si>
    <t>Gestión de pago a proveedores y contratistas</t>
  </si>
  <si>
    <t>Porcentaje de pagos a proveedores y contratistas en tiempo  y forma</t>
  </si>
  <si>
    <t>(Número de pagos a proveedores y contratistas en tiempo estipulado/número de pagos a proveedores y contratistas por pagar)*100</t>
  </si>
  <si>
    <t>Gestión de los pagos revolventes a las coordinaciones del ayuntamiento de Guadalajara</t>
  </si>
  <si>
    <t>Porcentaje de expedientes de fondo revolvente aprobados para su pago</t>
  </si>
  <si>
    <t>(Número de expedientes de fondo revolvente aprobados para su pago/número total de expedientes de fondo revolvente recibidos)*100</t>
  </si>
  <si>
    <t>31. Mejora de la Gestión Gubernamental e Imagen del Centro Histórico</t>
  </si>
  <si>
    <t>Se contribuye a desarrollar y ejecutar la gestión gubernamental mediante proyectos estratégicos, para el impulso del centro histórico del Municipio de Guadalajara.</t>
  </si>
  <si>
    <t>Porcentaje de percepción de la población encuestadas sobre la satisfacción de la gestión gubernamental en el Centro Histórico de Guadalajara.</t>
  </si>
  <si>
    <t>(Número de Personas encuestadas con observación satisfactoria/Número total de Personas encuestadas)*100</t>
  </si>
  <si>
    <t>Ciudadanos Contribuir a desarrollar y ejecutar la gestión gubernamental mediante proyectos estratégicos, para el impulso del centro histórico del el Municipio de Guadalajara.</t>
  </si>
  <si>
    <t>Variación porcentual de afluencia de visitantes al centro histórico del Municipio de Guadalajara.</t>
  </si>
  <si>
    <t>((Número de visitantes del Centro Histórico de Guadalajara 2025/Número de visitantes registrados al Centro Histórico de Guadalajara en 2024)-1))*100</t>
  </si>
  <si>
    <t>Gestión, promoción, ejecución, desarrollo e impulso de acciones, proyectos y eventos para el fortalecimiento del orden y gobernanza de un Centro Histórico seguro, limpio, ordenado y próspero realizado.</t>
  </si>
  <si>
    <t>Porcentaje de acciones para la gestión, desarrollo integral de proyectos, eventos e impulso focalizado en el orden y construcción de comunidad en el centro histórico</t>
  </si>
  <si>
    <t>(Total de acciones realizadas/total de acciones programadas)*100</t>
  </si>
  <si>
    <t>Organización de operativos con dependencias involucradas para el retiro de comercio irregular, atención a personas en situación de calle, movilidad y relacionados con la seguridad pública en el polígono del Centro Histórico realizados.</t>
  </si>
  <si>
    <t>Porcentaje de operativos realizados en el polígono del Centro Histórico en el año 2025</t>
  </si>
  <si>
    <t>(Operativos de limpieza, detección de necesidades, supervisión realizados/operativos programados)*100</t>
  </si>
  <si>
    <t>Atención a personas de situación de calle, migrantes y pedigüeños que transitan o pernoctan en el polígono del Centro Histórico realizadas</t>
  </si>
  <si>
    <t>Promedio mensual de atención (servicios médicos, alimentación y canalización) a personas en situación de calle, migrantes y pedigüeños en el polígono del Centro Histórico en el 2025</t>
  </si>
  <si>
    <t>(Sumatoria del número de atenciones servicios médicos, alimentación y canalización a personas en situación de calle, migrantes y pedigüeños brindadas/3)</t>
  </si>
  <si>
    <t>Canalización de reportes de movilidad, inspección y vigilancia, personas en situación de calle en el centro histórico realizados.</t>
  </si>
  <si>
    <t>Porcentaje de reportes de movilidad, inspección y vigilancia, seguridad, reparación y mantenimiento urbano, áreas verdes, alumbrado público, obra pública y aseo público, del polígono del Centro Histórico; canalizados a las dependencias competentes.</t>
  </si>
  <si>
    <t>(Número de reportes de movilidad, inspección y vigilancia, seguridad, reparación y mantenimiento urbano, áreas verdes, alumbrado público, obra pública y aseo público canalizados/ Número de reportes recibidos)*100</t>
  </si>
  <si>
    <t>Reuniones con vecinos, comerciantes, empresarios y usuarios del centro histórico en temas de seguridad, vigilancia, movilidad, inspección, personas en situación de calle y reglamentación realizadas</t>
  </si>
  <si>
    <t>Porcentaje de reuniones realizadas con comerciantes, empresarios y usuarios del centro histórico en temas de seguridad, vigilancia, movilidad, inspección, personas en situación de calle y servicios públicos.</t>
  </si>
  <si>
    <t>(Número de reuniones con comerciantes, empresarios y usuarios del centro histórico en temas de seguridad, vigilancia, movilidad, inspección, personas en situación de calle y servicios públicos realizadas/Número de reuniones programadas)*100</t>
  </si>
  <si>
    <t>Diagnósticos,implementación, dirección y ejecución de programas, acciones, mejora de equipamiento y eventos que permitan promover al Centro Histórico de Guadalajara como destino turístico y cultural realizados.</t>
  </si>
  <si>
    <t>Porcentaje de programas y acciones propuestos e implementados, dirigidos y/o ejecutados para promover al Centro Histórico de Guadalajara como destino turístico y cultural</t>
  </si>
  <si>
    <t>(Total de diagnósticos, proyectos, programas, estudios y diagnósticos realizados/ Total de proyectos, programas, estudios y diagnósticos programados)*100</t>
  </si>
  <si>
    <t>Gestión, promoción, ejecución, desarrollo e impulso de acciones y proyectos para el fortalecimiento de la infraestructura de servicios públicos y mejoramiento del medio ambiente para un Centro Histórico seguro, limpio, ordenado y próspero realizado.</t>
  </si>
  <si>
    <t>Porcentaje de acciones para la gestión, desarrollo integral de proyectos e impulso focalizado en los servicios públicos y medio ambiente</t>
  </si>
  <si>
    <t>Organización de operativos con dependencias involucradas para la supervisión, limpieza, prevención de riesgo y detección de necesidades en las zonas del polígono del Centro Histórico realizados</t>
  </si>
  <si>
    <t>Canalización de reportes de servicios públicos, reparación y mantenimiento urbano, áreas verdes, alumbrado público, obra pública, aseo público en el centro histórico realizados</t>
  </si>
  <si>
    <t>Reuniones con vecinos, comerciantes, empresarios y usuarios del centro histórico en temas de mantenimiento urbano, infraestructura, áreas verdes y servicios públicos realizados</t>
  </si>
  <si>
    <t>Porcentaje de reuniones realizadas con comerciantes, empresarios y usuarios del centro histórico en temas de mantenimiento urbano, infraestructura, ecología y servicios públicos.</t>
  </si>
  <si>
    <t>Implementación, dirección, diagnósticos y ejecución de programas, eventos y acciones permitan mejorar la infraestructura de servicios públicos y el entorno urbano del centro histórico realizados</t>
  </si>
  <si>
    <t>Porcentaje de programas propuestos e implementados, dirigidos y/o ejecutados para mejorar la infraestructura de servicios públicos y el entorno urbano del centro histórico.</t>
  </si>
  <si>
    <t>(Total de proyectos, programas, estudios y diagnósticos realizados/ Total de proyectos, programas, estudios y diagnósticos programados)*100</t>
  </si>
  <si>
    <t>32. Desarrollo e implementación de la agenda estratégica del Gobierno Municipal</t>
  </si>
  <si>
    <t>Se contribuye al desarrollo del gobierno efectivo y democrático mediante la implementación de los proyectos estratégicos</t>
  </si>
  <si>
    <t>Posición en el Índice de Competitividad Urbana</t>
  </si>
  <si>
    <t>Es medido con base en la metodología del IMCO, particularmente del Índice de Competitividad Urbana, que define a una ciudad competitiva como aquella que maximiza la productividad y el bienestar de sus habitantes.</t>
  </si>
  <si>
    <t>La población que habita y/o transita en el municipio de Guadalajara recibe los beneficios de los resultados de los Proyectos Estratégicos que se implementan con calidad y eficacia.</t>
  </si>
  <si>
    <t>Porcentaje de cumplimiento de los objetivos de los proyectos estratégicos implementados</t>
  </si>
  <si>
    <t>(Número de objetivos de resultado alcanzados / Número de objetivos de resultado establecidos) *100</t>
  </si>
  <si>
    <t>Acciones para la planeación, monitoreo, gestión y evaluación de proyectos estratégicos implementadas</t>
  </si>
  <si>
    <t>Porcentaje de acciones para la planeación, gestión y evaluación de proyectos estratégicos implementadas</t>
  </si>
  <si>
    <t>(Número de acciones implementadas / Número de acciones programadas) *100</t>
  </si>
  <si>
    <t>Realización de evaluaciones de acuerdo al Programa Anual de Evaluación (PAE)</t>
  </si>
  <si>
    <t>Porcentaje de evaluaciones realizadas de acuerdo al PAE</t>
  </si>
  <si>
    <t>(Número de evaluaciones realizadas / Total de evaluaciones programadas)*100</t>
  </si>
  <si>
    <t>Implementación de los instrumentos de planeación desarrollados</t>
  </si>
  <si>
    <t>Porcentaje de instrumentos de planeación implementados</t>
  </si>
  <si>
    <t>(Número de instrumentos de planeación implementados / Total de instrumentos de planeación desarrollados)*100</t>
  </si>
  <si>
    <t>Actualización en el Sistema de Información del Desempeño (SID)</t>
  </si>
  <si>
    <t>Porcentaje de avance en la actualización del SID</t>
  </si>
  <si>
    <t>(Número de actualizaciones realizadas / Total de actualizaciones programadas)*100</t>
  </si>
  <si>
    <t>Gestiones para la implementación del Modelo de Gestión de Información para el Desarrollo Urbano Sostenible y Gestión de Servicios Públicos</t>
  </si>
  <si>
    <t>Porcentaje de gestiones realizadas para implementar el Modelo de Gestión de Información para el Desarrollo Urbano Sostenible y Gestión de Servicios Públicos</t>
  </si>
  <si>
    <t>(Número de gestiones realizadas con dependencias que cuentan con datos y/o tecnologías digitales relacionadas con el desarrollo urbano, implementadas/ Total de áreas de gobierno municipal que cuentan con datos y/o tecnologías digitales relacionadas con el desarrollo urbano y la gestión de servicios públicos)*100</t>
  </si>
  <si>
    <t>Atención de actividades de coordinación metropolitana</t>
  </si>
  <si>
    <t>Porcentaje de actividades de coordinación metropolitana atendidas</t>
  </si>
  <si>
    <t>(Número de actividades atendidas / Número de actividades programadas) * 100</t>
  </si>
  <si>
    <t>Expedientes de recursos de revisión en materia de desarrollo urbano procesado</t>
  </si>
  <si>
    <t>Porcentaje de expedientes procesados de recursos de revisión en materia de desarrollo urbano</t>
  </si>
  <si>
    <t>(Total de recursos de revisión procesados/Total de recursos integrados)*100</t>
  </si>
  <si>
    <t>Elaboración de requerimientos de informes a autoridades para emitir la resolución de los recursos de revisión en materia de desarrollo urbano</t>
  </si>
  <si>
    <t>Porcentaje de requerimientos de informes en materia de desarrollo urbano emitidos</t>
  </si>
  <si>
    <t>(Número de requerimientos de informes realizados / Total de recursos de revisión solicitados)*100</t>
  </si>
  <si>
    <t>Emisión de la resolución de recursos de revisión en materia de desarrollo urbano</t>
  </si>
  <si>
    <t>Porcentaje de resoluciones de recursos de revisión en materia de desarrollo urbano</t>
  </si>
  <si>
    <t>(Número de resoluciones realizadas/ Total de resoluciones aprobadas)*100</t>
  </si>
  <si>
    <t>Relación con gobiernos y organismos globales gestionadas</t>
  </si>
  <si>
    <t>Porcentaje de avance en la gestión de asuntos entre el Gobierno de Guadalajara y gobiernos y organismos globales</t>
  </si>
  <si>
    <t>(Número de gestiones de las relaciones de Guadalajara con gobiernos y organismos internacionales realizadas / Número de gestiones relaciones de Guadalajara con gobiernos y organismos internacionales programadas) *100</t>
  </si>
  <si>
    <t>Realización de compromisos y acuerdos derivados de los asuntos de la agenda global del Gobierno de Guadalajara</t>
  </si>
  <si>
    <t>Porcentaje de avance de los compromisos y acuerdos derivados de los asuntos de la agenda global del Gobierno de Guadalajara</t>
  </si>
  <si>
    <t>(Número de compromisos y acuerdos realizados / Número de compromisos y acuerdos de la agenda internacional programados)*100</t>
  </si>
  <si>
    <t>Atención a delegaciones de gobiernos y organismos globales</t>
  </si>
  <si>
    <t>Porcentaje de avance en la atención a las delegaciones de gobiernos y organismos globales</t>
  </si>
  <si>
    <t>(Número de delegaciones de gobiernos y organismos globales atendidas / Número de delegaciones de gobiernos y organismos globales con reuniones programadas)*100</t>
  </si>
  <si>
    <t>Participación en agendas de trabajo locales, nacionales e internacionales</t>
  </si>
  <si>
    <t>Porcentaje de participación en visitas, eventos y reuniones presenciales y/o virtuales así como giras realizadas por parte de la Dirección de Relaciones Internacionales y Atención a la Persona Migrante</t>
  </si>
  <si>
    <t>(Total de visitas, eventos y reuniones presenciales y/o virtuales así como giras realizadas  realizadas/Total de visitas, eventos y reuniones presenciales y/o virtuales  programadas)*100</t>
  </si>
  <si>
    <t>Acciones con propósito de atención e inclusión a las personas migrantes implementadas</t>
  </si>
  <si>
    <t>Porcentaje de avance en la implementación, gestión y seguimiento de acciones que tengan como propósito la atención e inclusión de personas migrantes</t>
  </si>
  <si>
    <t>(Número de actividades para la atención e inclusión de las personas migrantes realizadas / Número de actividades programadas para gestión e implementación para la atención e inclusión de las personas migrantes implementadas)*100</t>
  </si>
  <si>
    <t>Asesorías ofrecidas por la Ventanilla de Atención al Migrante</t>
  </si>
  <si>
    <t>Porcentaje de asesorías ofrecidas a través de la Ventanilla de Atención al Migrante</t>
  </si>
  <si>
    <t>(Número de asesorías realizadas / número de asesorías programadas) *100</t>
  </si>
  <si>
    <t>Participación en conferencias, reuniones y eventos locales, nacionales e internacionales en materia de migración</t>
  </si>
  <si>
    <t>Porcentaje de participación en conferencias, reuniones y eventos en materia de migración</t>
  </si>
  <si>
    <t>(Número de participaciones realizadas / número de participaciones programadas)*100</t>
  </si>
  <si>
    <t>Servicio para la obtención del pasaporte mexicano ofrecido</t>
  </si>
  <si>
    <t>Porcentaje de avance en el servicio para la obtención del pasaporte mexicano</t>
  </si>
  <si>
    <t>(Número de personas atendidas / Número de citas programadas por SRE) *100</t>
  </si>
  <si>
    <t>Tramitación de pasaportes mexicanos</t>
  </si>
  <si>
    <t>Porcentaje de avance en los pasaportes tramitados en la Oficina Municipal de Enlace de Guadalajara</t>
  </si>
  <si>
    <t>(Número de pasaportes tramitados/ Número de citas para la obtención del pasaporte recibidas)*100</t>
  </si>
  <si>
    <t>Expedición de pasaportes mexicanos</t>
  </si>
  <si>
    <t>Porcentaje de avance en la expedición de pasaportes mexicanos  en la Oficina Municipal de Enlace de Guadalajara</t>
  </si>
  <si>
    <t>(Número de pasaportes expedidos / Número de solicitudes con documentación completa recibidas) *100</t>
  </si>
  <si>
    <t>Eventos públicos y actividades de impacto social ante los medios de comunicación y prensa locales cubiertas y difundidas</t>
  </si>
  <si>
    <t>Porcentaje de eventos y actividades cubiertas</t>
  </si>
  <si>
    <t>(Número de eventos cubiertos durante el trimestre / Número de eventos programados de manera trimestral) *100</t>
  </si>
  <si>
    <t>Convocatorias a medios de comunicación</t>
  </si>
  <si>
    <t>Porcentaje de convocatorias a medios de comunicación y prensa locales efectuadas</t>
  </si>
  <si>
    <t>(Número de convocatorias enviadas durante el trimestre / Número de convocatorias elaboradas de manera trimestral) *100</t>
  </si>
  <si>
    <t>Elaboración de boletines y comunicados oficiales</t>
  </si>
  <si>
    <t>Porcentaje de boletines y comunicados oficiales elaborados</t>
  </si>
  <si>
    <t>(Número de boletines y comunicados elaborados / Número de eventos públicos y actividades de impacto social programados) *100</t>
  </si>
  <si>
    <t>Impulso a la producción de vivienda social y repoblamiento habitacional del municipio de Guadalajara realizado</t>
  </si>
  <si>
    <t>Porcentaje de atenciones registradas en materia de vivienda durante el ejercicio 2025</t>
  </si>
  <si>
    <t>(Total de atenciones registradas / Total de atenciones programadas) * 100</t>
  </si>
  <si>
    <t>Asesorías y acompañamientos especializados en materia de vivienda dentro de los diversos programas y políticas</t>
  </si>
  <si>
    <t>Porcentaje de asesorías de acompañamiento especializados en materia de vivienda dentro de los diversos programas y políticas durante el ejercicio 2025</t>
  </si>
  <si>
    <t>(Asesorías y acompañamientos especializados en materia de vivienda realizadas /Asesorías y acompañamientos especializados en materia de vivienda programadas) * 100</t>
  </si>
  <si>
    <t>Dictámenes de incentivos fiscales en materia de vivienda emitidas</t>
  </si>
  <si>
    <t>Variación porcentual de dictámenes de incentivos fiscales en materia de vivienda emitidas</t>
  </si>
  <si>
    <t>Difusión y promoción de los programas de vivienda que están aprobados por el municipio</t>
  </si>
  <si>
    <t>Porcentaje de programas y eventos de difusión realizados en materia de vivienda durante el ejercicio 2025</t>
  </si>
  <si>
    <t>(Número programas y eventos difundidos / Número de programas y eventos programados) *100</t>
  </si>
  <si>
    <t>Habilitación de unidades puestas en alquiler dentro del municipio de Guadalajara con prioridad en zona centro</t>
  </si>
  <si>
    <t>Porcentaje de unidades viviendas en alquiler habilitadas en 2025</t>
  </si>
  <si>
    <t>(Número unidades en alquiler habilitados / Número de unidades en alquiler que habitadas) * 100</t>
  </si>
  <si>
    <t>Implementación, dirección y ejecución de proyectos de vivienda colaborativa (Cooperativas de Vivienda y Vivienda Colectiva)</t>
  </si>
  <si>
    <t>Porcentaje de avance de los proyectos de vivienda colaborativos propuestos, para implementar, dirigir y/o ejecutar (Cooperativas de Vivienda y Vivienda Colectiva)</t>
  </si>
  <si>
    <t>(Proyectos de vivienda colaborativos propuestos, para implementar, dirigir y/o ejecutar / Número de apoyos implementados) * 100</t>
  </si>
  <si>
    <t>Análisis del impacto que tienen en la ciudad las coyunturas y políticas públicas del gobierno municipal realizados</t>
  </si>
  <si>
    <t>Porcentaje de análisis sobre el impacto que tienen las coyunturas y políticas públicas implementadas por el gobierno municipal en la ciudad</t>
  </si>
  <si>
    <t>(Total de análisis sobre el impacto de las coyunturas y políticas públicas municipales realizados /Total de análisis solicitados)*100</t>
  </si>
  <si>
    <t>Elaboración de documentos de análisis de coyuntura</t>
  </si>
  <si>
    <t>Porcentaje de elaboración de documentos de análisis de coyuntura</t>
  </si>
  <si>
    <t>(Total de documentos de análisis de coyuntura elaborados / Total de documentos de análisis de coyuntura solicitados/programados) * 100</t>
  </si>
  <si>
    <t>Elaboración de documentos de análisis del impacto de las políticas públicas implementadas por el gobierno municipal y recomendaciones para potenciar su efectividad</t>
  </si>
  <si>
    <t>Porcentaje de avance en la elaboración de documentos de análisis y recomendaciones sobre el impacto de las políticas públicas implementadas por el gobierno municipal</t>
  </si>
  <si>
    <t>(Total de documentos de análisis y recomendaciones sobre el impacto de las políticas públicas municipales concluidos y entregados/Total de documentos de análisis y recomendaciones requeridos)*100</t>
  </si>
  <si>
    <t>Subsidios entregados</t>
  </si>
  <si>
    <t>Porcentaje de subsidios, entregados en el ejercicio 2025</t>
  </si>
  <si>
    <t>(Subsidios entregados/subsidios programados)*100</t>
  </si>
  <si>
    <t>Gestión de subsidio para el Sistema DIF Guadalajara</t>
  </si>
  <si>
    <t>Porcentaje de personas tapatías en situación de vulnerabilidad beneficiadas por los programas del Sistema DIF</t>
  </si>
  <si>
    <t>(Número de personas tapatías en situación de vulnerabilidad beneficiadas por los programas del Sistema DIF / Número de personas tapatías en situación de vulnerabilidad beneficiadas por los programas del Sistema DIF proyectadas)*100</t>
  </si>
  <si>
    <t>Gestión de subsidio para proyectos de autoproducción (Desdoblamiento habitacional)</t>
  </si>
  <si>
    <t>Porcentaje de las personas beneficiadas por proyectos de vivienda aprovechados por el programa de desdoblamiento habitacional mediante el  subsidios otorgado</t>
  </si>
  <si>
    <t>(Total de personas beneficiarias del subsidio / Total de personas programadas para la obtención del subsidio) * 100</t>
  </si>
  <si>
    <t>33. Con corresponsabilidad y en comunidad cuidamos Guadalajara</t>
  </si>
  <si>
    <t>Se contribye a incrementar el interés de la ciudadanía y la colaboración intersectorial con el gobierno municipal a través de prácticas, herramientas y procesos de corresponsabilidad para el cuidado colectivo y comunitario</t>
  </si>
  <si>
    <t>Porcentaje de ciudadanos interesados en participar en iniciativas de corresponsabilidad comunitaria</t>
  </si>
  <si>
    <t>(Número de ciudadanos Interesados que sí partciparon / Total de ciudadanos Interesados)*100</t>
  </si>
  <si>
    <t>La ciudadanía del municipio de Guadalajara cuenta con herramientas y capacidades de gestión y colaboración para la eficiencia pública y la eficacia colectiva</t>
  </si>
  <si>
    <t>Porcentaje de ciudadanos capacitados en gestión y colaboración para la eficiencia pública y eficacia colectiva.</t>
  </si>
  <si>
    <t>Número de ciudadanos que fueron capacitados /Total de ciudadanos registrados para la capacitación)*100</t>
  </si>
  <si>
    <t>Mecanismos que fomenten la participación activa de la ciudadanía implementados</t>
  </si>
  <si>
    <t>Porcentaje de mecanismos que fomentan la participación activa de la ciudadanía</t>
  </si>
  <si>
    <t>(Mecanismos que fomentan la participación ciudadana activa implementados/Mecanismos que fomentan la participación ciudadana programados)*100</t>
  </si>
  <si>
    <t>Creación y/o consolidación de la representación vecinal, para la toma de acuerdos y la resolución de problemas en las colonias del municipio.</t>
  </si>
  <si>
    <t>Porcentaje de colonias con representación vecinal creadas y/o consolidadas para la toma de acuerdos y resolución de problemas.</t>
  </si>
  <si>
    <t>(Número de colonias con representación vecinal creadas y/o consolidadas/Total de colonias en el municipio)*100</t>
  </si>
  <si>
    <t>Porcentaje de número de reuniones realizadas por las representaciones vecinales para dialogar sobre las soluciones a los retos comunitarios.</t>
  </si>
  <si>
    <t>(Número total de reuniones de las representaciones vecinales documentadas que han realizado 3 reuniones/Total de representaciones vecinales activas)*100</t>
  </si>
  <si>
    <t>Realización de acuerdos entre las representaciones vecinales y el gobierno municipal.</t>
  </si>
  <si>
    <t>Porcentaje de acuerdos entre la entre las representaciones vecinales y el gobierno municipal</t>
  </si>
  <si>
    <t>(Número total de acuerdos realizados entre las representaciones vecinales  y gobierno municipal/Total de acuerdos programados entre las representaciones vecinales y gobierno municipal)*100</t>
  </si>
  <si>
    <t>Inscripción en el registro municipal de organismos y asociaciones vinculadas con los procesos ciudadanos.</t>
  </si>
  <si>
    <t>Porcentaje de solicitudes de inscripción en registro municipal captadas por la Dirección de Participación Ciudadana y Gobernanza</t>
  </si>
  <si>
    <t>Número de inscripciones solicitadas a la Dirección de Participación Ciudadana y Gobernanza  /Número total de solicitudes de inscripción programadas por la Dirección de Participación Ciudadana y Gobernanza) 100</t>
  </si>
  <si>
    <t>Solicitudes ciudadanas gestionadas por las autoridades de los diferentes niveles de gobierno</t>
  </si>
  <si>
    <t>Porcentaje de solicitudes de la ciudadanía y seguimiento brindado por las autoridades de los diferentes niveles de gobierno.</t>
  </si>
  <si>
    <t>numero de solicitudes ciudadanas y con seguimiento /numero de solicitudes ciudadanas gestionadas)*100</t>
  </si>
  <si>
    <t>Respuestas a las solicitudes realizadas por las y los vecinos y/o ciudadanía.</t>
  </si>
  <si>
    <t>Porcentaje de respuestas resultas a la ciudadanía sobre las solicitudes realizadas</t>
  </si>
  <si>
    <t>(Número total de solicitudes resueltas, hechas por la ciudadanía/Número total de solicitudes realizadas por la ciudadanía)100</t>
  </si>
  <si>
    <t>Realización de reuniones vecinales/representación vecinal o mesas de diálogo con las y los vecinos para mostrar los resultados de las gestiones</t>
  </si>
  <si>
    <t>Porcentaje de reuniones vecinales/representación vecinal o mesas de diálogo realizadas con los vecinos/representación vecinal para presentar los resultados de las gestiones.</t>
  </si>
  <si>
    <t>(Número total de reuniones vecinales o mesas de diálogo realizadas/Número total de reuniones vecinales proyectadas )100</t>
  </si>
  <si>
    <t>Acciones que incentiven la corresponsabilidad entre gobierno y la ciudadanía implementadas</t>
  </si>
  <si>
    <t>Promedio de acciones que incentiven la corresponsabilidad entre gobierno y ciudadanía</t>
  </si>
  <si>
    <t>Total de acciones que incentivan la corresponsabilidad entre gobierno y ciudadanía realizadas/Total de acciones que incentivan la corresponsabilidad entre gobierno y ciudadanía programadas)*100</t>
  </si>
  <si>
    <t>Organización de foros abiertos, caminatas exploratorias o mesas de diálogo en torno a la corresponsabilidad en las colonias.</t>
  </si>
  <si>
    <t>Promedio de foros, caminatas exploratorias o mesas de diálogo sobre la corresponsabilidad en las colonias</t>
  </si>
  <si>
    <t>(Número realizado de foros, caminatas exploratorias o mesas de diálogo sobre la corresponsabilidad/Número total programado de foros, caminatas exploratorias o mesas de diálogo sobre la corresponsabilidad) *100</t>
  </si>
  <si>
    <t>Recepción de propuestas recibidas para la elaboración del presupuesto participativo</t>
  </si>
  <si>
    <t>Porcentaje de incremento de personas en el presupuesto participativo</t>
  </si>
  <si>
    <t>(Número de propuestas ciudadanas recibidas para el proceso del presupuesto participativo/Número total de propuestas ciudadanas para el proceso del presupuesto participativo esperadas)*100</t>
  </si>
  <si>
    <t>Herramientas que coadyuven para el mejoramiento en los servicios públicos municipales implementadas</t>
  </si>
  <si>
    <t>Porcentaje de herramientas que ayudan a mejorar los servicios públicos</t>
  </si>
  <si>
    <t>(Número de herramientas implementadas / Número de herramientas programadas)*100</t>
  </si>
  <si>
    <t>Generación de insumos y procesos para mejorar la interacción y colaboración entre funcionariado y ciudadanía.</t>
  </si>
  <si>
    <t>Porcentaje de procesos pedagógicos generadas</t>
  </si>
  <si>
    <t>(Número de procesos pedagógicos generados/ Número de procesos pedagógicos programados)*100</t>
  </si>
  <si>
    <t>Fortalecimiento de capacidades para la colaboración entre el funcionariado y actores sociales.</t>
  </si>
  <si>
    <t>Porcentaje de procesos de formación de capacidades desarrollados</t>
  </si>
  <si>
    <t>(Cantidad de procesos de formación de capacidades desarrollados/ Cantidad de procesos de capacidades programadas )*100</t>
  </si>
  <si>
    <t>Generación de diagnósticos y tendencias territoriales con participación de los sectores elaborados</t>
  </si>
  <si>
    <t>Porcentaje de diagnósticos territoriales elaborados</t>
  </si>
  <si>
    <t>(Total de diagnósticos territoriales elaborados/total de diagnósticos territoriales programados)*100</t>
  </si>
  <si>
    <t>Sectores sociales involucrados y vinculados</t>
  </si>
  <si>
    <t>Porcentaje de sectores interesados y vinculados para identificar soluciones a los retos de la ciudad</t>
  </si>
  <si>
    <t>(Número sectores sociales interesados vinculados/ Número de proyecciones de vinculación realizadas )*100</t>
  </si>
  <si>
    <t>Realización de actividades de vinculación y corresponsabilidad con todos los sectores de la sociedad para identificar los retos de la ciudad.</t>
  </si>
  <si>
    <t>Porcentaje de actividades realizadas de vinculación</t>
  </si>
  <si>
    <t>(Cantidad de acciones realizadas durante el año 2025 / Cantidad de acciones programadas a realizar en 2025)*100.</t>
  </si>
  <si>
    <t>Implementación de herramientas innovadoras para el bienestar colectivo</t>
  </si>
  <si>
    <t>Porcentaje de implementación de  herramientas innovadoras para el bienestar colectivo</t>
  </si>
  <si>
    <t>(Cantidad de herramientas innovadoras implementadas  el año 2025 / Cantidad de herramientas innovadoras estimadas a realizar en 2025)*100.</t>
  </si>
  <si>
    <t>Elaboración de informes de análisis sobre buenas prácticas de corresponsabilidad identificadas</t>
  </si>
  <si>
    <t>Porcentaje de Informes de análisis sobre buenas practicas.</t>
  </si>
  <si>
    <t>(Número de Informes sobre buenas prácticas/ Cantidad estimada de Informes sobre buenas prácticas)</t>
  </si>
  <si>
    <t>Implementación de mecanismos de colaboración con sectores estratégicos para la realización de buenas prácticas.</t>
  </si>
  <si>
    <t>Porcentaje de mecanismos implementados con sectores estratégicos.</t>
  </si>
  <si>
    <t>(Cantidad de mecanismos implementados/ Cantidad de mecanismos programada )100</t>
  </si>
  <si>
    <t>Capacitaciones impartidas</t>
  </si>
  <si>
    <t>Porcentaje de beneficiarios de las capacitaciones impartidas en las Academias Municipales</t>
  </si>
  <si>
    <t>(Total de beneficiados de las capacitaciones impartidas) /Total de personas beneficiadas proyectados)*100</t>
  </si>
  <si>
    <t>Impartición de cursos de temas acerca de la innovación social, el medioambiente y la corresponsabilidad</t>
  </si>
  <si>
    <t>Porcentaje de cursos impartidos acerca de innovación social, medioambiente y corresponsabilidad</t>
  </si>
  <si>
    <t>(Total de cursos impartidos/Total de cursos programados)*100</t>
  </si>
  <si>
    <t>Difusión de talleres y capacitaciones impartidas en las Academias Municipales</t>
  </si>
  <si>
    <t>Porcentaje de publicaciones y acciones de difusión realizados</t>
  </si>
  <si>
    <t>(Total de publicaciones y acciones de difusión realizadas/Total  de publicaciones y acciones de difusión programadas)*100</t>
  </si>
  <si>
    <t>34. Fondos federales</t>
  </si>
  <si>
    <t>Se contribuye  a reducir el rezago social de la población tapatía en situación de pobreza y carencia social mediante obras de infraestructura y equipamiento urbano realizadas con el Fondo de Infraestructura Social Municipal (FISM).</t>
  </si>
  <si>
    <t>Indice de las Ciudades prósperas, CPI  México 2018</t>
  </si>
  <si>
    <t>El Infonavit y ONU-Hábitat realizan el cálculo del Índice de Ciudades Prósperas, CPI.</t>
  </si>
  <si>
    <t>Población tapatía en situación de pobreza y carencia social. La población en situación de pobreza y carencia social de la Zona de Atención Prioritaria (ZAP) recibe obras de infraestructura y equipamiento urbano realizadas por el FISM.</t>
  </si>
  <si>
    <t>Porcentaje de población tapatía en situación de pobreza y carencia social de la Zona de Atención Prioritaria beneficiada con obras de infraestructura y equipamiento del Fondo de Infraestructura Social Municipal en el ejercicio 2025</t>
  </si>
  <si>
    <t>(Población tapatía en situación de pobreza y carencia social de la Zona de Atención Prioritaria beneficiada con obras de infraestructura y equipamiento del Fondo de Infraestructura Social Municipal / Total de población tapatía en situación de pobreza y carencia social del municipio de Guadalajara)*100</t>
  </si>
  <si>
    <t>Fondo de Infraestructura Social Municipal para las obras de infraestructura y equipamiento urbano en Guadalajara aplicado.</t>
  </si>
  <si>
    <t>Porcentaje del presupuesto ejercido del Fondo de Infraestructura Social Municipal para las obras de infraestructura y equipamiento urbano.</t>
  </si>
  <si>
    <t>(Presupuesto ejercido del Fondo de Infraestructura Social Municipal para las obras de infraestructura y equipamiento urbano/Presupuesto asignado del FISM para las obras de infraestructura y equipamiento urbano)*100</t>
  </si>
  <si>
    <t>Ejecución obras y proyectos de infraestructura y equipamiento urbano en Guadalajara con el Fondo de Infraestructura Social Municipal.</t>
  </si>
  <si>
    <t>Porcentaje de obras de infraestructura y equipamiento urbano en Guadalajara con el Fondo de Infraestructura Social Municipal en el ejercicio 2025.</t>
  </si>
  <si>
    <t>(Número  de obras de infraestructura y equipamiento urbano en Guadalajara con el FISM ejecutadas/Total de proyectos de infraestructura y equipamiento urbano en Guadalajara con el FISM programados)*100</t>
  </si>
  <si>
    <t>Supervisión de obras de infraestructura y equipamiento urbano en Guadalajara con el Fondo de Infraestructura Social Municipal.</t>
  </si>
  <si>
    <t>Porcentaje de acciones de supervisión obras de infraestructura y equipamiento urbano en Guadalajara con el Fondo de Infraestructura Social Municipal.</t>
  </si>
  <si>
    <t>(Número de acciones de supervisión de obras de infraestructura y equipamiento urbano en Guadalajara con el FISM/Total de acciones de supervisión de obras de infraestructura y equipamiento urbano en Guadalajara con el FISM proyectadas) *100</t>
  </si>
  <si>
    <t>Comités de Participación Social para el Fondo de Infraestructura Social Municipal en Guadalajara conformados.</t>
  </si>
  <si>
    <t>Porcentaje de Comités de Participación Social para el Fondo de Infraestructura Social Municipal en Guadalajara conformados</t>
  </si>
  <si>
    <t>(Número de Comités de Participación Social para el FISM conformados / Total Comités de Participación Social para el Fondo de Infraestructura Social Municipal proyectados)*100</t>
  </si>
  <si>
    <t>Integración de Comités de Participación Social para el Fondo de Infraestructura Social Municipal en Guadalajara con perspectiva de género.</t>
  </si>
  <si>
    <t>Porcentaje de personas femeninas integrantes en los Comités de Participación Social para el Fondo de Infraestructura Social Municipal.</t>
  </si>
  <si>
    <t>(Número de personas femeninas integrantes en los Comités de Participación Social para el FISM / Total de personas integrantes en los Comités de Participación Social para el FISM)*100</t>
  </si>
  <si>
    <t>Capacitación a Comités de Participación Social para el Fondo de Infraestructura Social Municipal en Guadalajara.</t>
  </si>
  <si>
    <t>Porcentaje de Comités de Participación Social  para el Fondo de Infraestructura Social Municipal en Guadalajara capacitados.</t>
  </si>
  <si>
    <t>(Número de Comités de Participación Social  para el Fondo de Infraestructura Social Municipal capacitados / Total de Comités de Participación Social  para el FISM capacitados Proyectados)*100</t>
  </si>
  <si>
    <t>Estado Analítico del Ejercicio del Presupuesto de Egresos</t>
  </si>
  <si>
    <t>Clasificación Administrativa</t>
  </si>
  <si>
    <t>Subejercicio</t>
  </si>
  <si>
    <t>Aprobado</t>
  </si>
  <si>
    <t>Pagado</t>
  </si>
  <si>
    <t xml:space="preserve">    Total del Egreso</t>
  </si>
  <si>
    <t>Poder Ejecutivo</t>
  </si>
  <si>
    <t>Poder Legislativo</t>
  </si>
  <si>
    <t>Poder Judicial</t>
  </si>
  <si>
    <t>Órganos Autónomos</t>
  </si>
  <si>
    <t xml:space="preserve">   Total del Egreso</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</si>
  <si>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</si>
  <si>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</si>
  <si>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</si>
  <si>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</si>
  <si>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</si>
  <si>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Empresariales Financieras No Monetarias con Participación Estatal Mayoritaria</t>
  </si>
  <si>
    <t>Fideicomisos Financieros Públicos con Participación Estatal Mayoritaria</t>
  </si>
  <si>
    <t>Entidades Paramunicipales (en sus diferentes clasificaciones)</t>
  </si>
  <si>
    <t>Encargado de la Hacienda Municipal
 o Responsable de las finanzas del ente público</t>
  </si>
  <si>
    <t>Estado Analítico del Ejercicio del Presupuesto de Egresos Detallado - LDF</t>
  </si>
  <si>
    <t>I. Gasto No Etiquetado</t>
  </si>
  <si>
    <t>II. Gasto Etiqutado</t>
  </si>
  <si>
    <t>III. Total de Egresos</t>
  </si>
  <si>
    <t>Clasificación Funcional (Finalidad y Función)</t>
  </si>
  <si>
    <t>I.</t>
  </si>
  <si>
    <t>Gasto No Etiquetado</t>
  </si>
  <si>
    <t>A Gobierno</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</si>
  <si>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</si>
  <si>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</si>
  <si>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</si>
  <si>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</si>
  <si>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</si>
  <si>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</si>
  <si>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</si>
  <si>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</si>
  <si>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t>
  </si>
  <si>
    <t>b1) Protección Ambiental</t>
  </si>
  <si>
    <t>b2) Vivienda y Servicios a la Comunidad</t>
  </si>
  <si>
    <t>b3) Salud</t>
  </si>
  <si>
    <t>b4) Recreación, Cultura y Otras Manifestaciones Sociales</t>
  </si>
  <si>
    <t>b5) Educación</t>
  </si>
  <si>
    <t>b6) Protección Social</t>
  </si>
  <si>
    <t>b7) Otros Asuntos Sociales</t>
  </si>
  <si>
    <t>C Desarrollo Económico</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</si>
  <si>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</si>
  <si>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</si>
  <si>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</si>
  <si>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</si>
  <si>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</si>
  <si>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</si>
  <si>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</si>
  <si>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</si>
  <si>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</si>
  <si>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</si>
  <si>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</si>
  <si>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</si>
  <si>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</si>
  <si>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</si>
  <si>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t>
  </si>
  <si>
    <t>Gasto Etiquetado</t>
  </si>
  <si>
    <t>Clasificación de Servicos Personales por Categoría</t>
  </si>
  <si>
    <t>A. Personal Administrativo y de Servicio Público</t>
  </si>
  <si>
    <t>B. Magisterio</t>
  </si>
  <si>
    <t>C. Servicios de Salud</t>
  </si>
  <si>
    <t xml:space="preserve">c1) Personal Administrativo </t>
  </si>
  <si>
    <t>c2) Personal Médico, Paramédico y afín</t>
  </si>
  <si>
    <t>D. Seguridad Pública</t>
  </si>
  <si>
    <t>E. Gastos asociados a la implementación  de nuevas leyes federales o reformas a las mismas</t>
  </si>
  <si>
    <t>e1) Nombre del Programa o Ley</t>
  </si>
  <si>
    <t>e2) Nombre del Programa o Ley</t>
  </si>
  <si>
    <t>F. Sentencias laborales definitivas</t>
  </si>
  <si>
    <t>II. Gasto Etiquetado</t>
  </si>
  <si>
    <t>III. Total del Gasto en Servicios Personales</t>
  </si>
  <si>
    <t>Encargado de la Hacienda Municipal o
Responsable de las finanzas del ente público</t>
  </si>
  <si>
    <t>Balance Presupuestario - LDF</t>
  </si>
  <si>
    <t>Estimado/
Aprobado</t>
  </si>
  <si>
    <t>Recaudado/
Pagado</t>
  </si>
  <si>
    <t>A. Ingresos Totales</t>
  </si>
  <si>
    <t>A1. Ingresos de Libre Disposición</t>
  </si>
  <si>
    <t>A2.Transferencias Federales Etiquetadas</t>
  </si>
  <si>
    <t>A3. Financiamiento Neto</t>
  </si>
  <si>
    <t>B. Egresos Presupuestarios</t>
  </si>
  <si>
    <t>B1. Gastos No Etiquetado (sin incluir Amortización de la Deuda Pública)</t>
  </si>
  <si>
    <t>B2. Gasto Etiquetado (sin incluir Amortización de la Deuda Pública)</t>
  </si>
  <si>
    <t>C. Remanentes del Ejercicio Anterior</t>
  </si>
  <si>
    <t>C1. Remanentes de Ingresos de Libre Disposición aplicados en el periodo</t>
  </si>
  <si>
    <t>C2. Remanentes de Transferencias Federales Etiquetadas aplicados en el periodo</t>
  </si>
  <si>
    <t>I. Balance Presupuestario</t>
  </si>
  <si>
    <t>II. Balance Presupuestario sin Financiamiento Neto</t>
  </si>
  <si>
    <t>III. Balance Presupuestario sin Financiamiento Neto y sin Remanentes del Ejercicio Anterior</t>
  </si>
  <si>
    <t>E. Intereses, Comisiones y Gastos de la Deuda</t>
  </si>
  <si>
    <t>E1. Intereses, Comisiones y Gastos de la Deuda con Gasto No Etiquetado</t>
  </si>
  <si>
    <t>E2. Intereses, Comisiones y Gastos de la Deuda con Gasto Etiquetado</t>
  </si>
  <si>
    <t>IV. Balance Primario</t>
  </si>
  <si>
    <t xml:space="preserve">F. Financiamiento </t>
  </si>
  <si>
    <t>F1. Financiamiento con Fuente de Pago de Ingresos de Libre Disposición</t>
  </si>
  <si>
    <t>F2. Financiamiento con Fuente de Pago de Transferencias Federales Etiquetadas</t>
  </si>
  <si>
    <t>G. Amortización de la Deuda</t>
  </si>
  <si>
    <t>G1. Amortización de la Deuda Pública con Gasto No Etiquetado</t>
  </si>
  <si>
    <t>G2. Amortización de la Deuda Pública con Gasto Etiquetado</t>
  </si>
  <si>
    <t>A3.Financiamiento Neto</t>
  </si>
  <si>
    <t>A3.1 Financiamiento Neto con Fuente de Pago de Ingresos de Libre Disposición</t>
  </si>
  <si>
    <t>G1. Amortización de la Deuda Pública con Gasto Etiquetado</t>
  </si>
  <si>
    <t>B1. Gasto No Etiquetado (sin incluir Amortización de la Deuda Pública)</t>
  </si>
  <si>
    <t>C1. Remanente de ingresos de libre disposición aplicados en el periodo</t>
  </si>
  <si>
    <t>V. Balance Presupuestario de Recursos Disponibles</t>
  </si>
  <si>
    <t>VI. Balance Presupuestario de Recursos Disponibles sin Financiamiento Neto</t>
  </si>
  <si>
    <t>A2. Transferencias Federales Etiquetadas</t>
  </si>
  <si>
    <t>A3.2 Financiamiento Neto con Fuente de Pago de Transferencias Federales Etiquetadas</t>
  </si>
  <si>
    <t>B2. Gasto Etiquetado  (sin incluir Amortización de la Deuda Pública)</t>
  </si>
  <si>
    <t>VII. Balance Presupuestario de Recursos Etiquetados</t>
  </si>
  <si>
    <t>VIII. Balance Presupuestario de Recursos Etiquetados sin Financiamiento Neto</t>
  </si>
  <si>
    <t>Informativa Anual de Obras</t>
  </si>
  <si>
    <t>(Cifra en pesos)</t>
  </si>
  <si>
    <t>NOMBRE DE OBRA O NÚMERO DE ORDEN DE TRABAJO</t>
  </si>
  <si>
    <t>LOCALIDAD</t>
  </si>
  <si>
    <t>DESCRIPCIÓN DE LA OBRA U OBJETO DEL CONTRATO</t>
  </si>
  <si>
    <t>NOMBRE DEL EJECUTOR DE LA OBRA</t>
  </si>
  <si>
    <t>UBICACIÓN GEOGRÁFICA</t>
  </si>
  <si>
    <t>MODALIDAD DE EJECUCIÓN</t>
  </si>
  <si>
    <t>PLAZO DE EJECUCIÓN</t>
  </si>
  <si>
    <t>PRORROGA Y/O DIFERIMIENTO</t>
  </si>
  <si>
    <t>ORIGEN DEL RECURSO (MONTO)</t>
  </si>
  <si>
    <t>IMPORTE TOTAL DEL PAGO</t>
  </si>
  <si>
    <t>ESTATUS DE LA OBRA</t>
  </si>
  <si>
    <t>ENTREGA RECEPCIÓN Y/O MINUTA DE TERMINACIÓIN</t>
  </si>
  <si>
    <t>ADMÓN. DIRECTA</t>
  </si>
  <si>
    <t>CONTRATO</t>
  </si>
  <si>
    <t>LATITUD</t>
  </si>
  <si>
    <t>LONGITUD</t>
  </si>
  <si>
    <t>ADJ. DIRECTA</t>
  </si>
  <si>
    <t>CONCURSO SIMPL.</t>
  </si>
  <si>
    <t>LICITA. PÚBLICA</t>
  </si>
  <si>
    <t>INICIO</t>
  </si>
  <si>
    <t>TERMINO</t>
  </si>
  <si>
    <t>DÍAS NATURALES</t>
  </si>
  <si>
    <t>SI</t>
  </si>
  <si>
    <t>NO</t>
  </si>
  <si>
    <t>PROPIOS</t>
  </si>
  <si>
    <t>ESTATAL</t>
  </si>
  <si>
    <t>FISMDF</t>
  </si>
  <si>
    <t>CONVENIO FEDERAL</t>
  </si>
  <si>
    <t>Estado Analítico de Situación Financiera</t>
  </si>
  <si>
    <t>CTA</t>
  </si>
  <si>
    <t>ACTIVO</t>
  </si>
  <si>
    <t xml:space="preserve">  ACTIVO CIRCULANTE</t>
  </si>
  <si>
    <t xml:space="preserve">  PASIVO CIRCULANTE</t>
  </si>
  <si>
    <t xml:space="preserve">    EFECTIVO Y EQUIVALENTES</t>
  </si>
  <si>
    <t xml:space="preserve">    CUENTAS POR PAGAR A CORTO PLAZO</t>
  </si>
  <si>
    <t xml:space="preserve">      Efectivo</t>
  </si>
  <si>
    <t xml:space="preserve">      Servicios personales por pagar a corto plazo</t>
  </si>
  <si>
    <t xml:space="preserve">      Bancos/Tesorería</t>
  </si>
  <si>
    <t xml:space="preserve">      Proveedores por pagar a corto plazo</t>
  </si>
  <si>
    <t xml:space="preserve">      Bancos/Dependencias y otros</t>
  </si>
  <si>
    <t xml:space="preserve">      Contratistas por obras públicas por pagar a corto plazo</t>
  </si>
  <si>
    <t xml:space="preserve">      Inversiones temporales (hasta 3 meses)</t>
  </si>
  <si>
    <t xml:space="preserve">      Participaciones y aportaciones por pagar a corto plazo</t>
  </si>
  <si>
    <t xml:space="preserve">      Fondos con afectación específica</t>
  </si>
  <si>
    <t xml:space="preserve">      Transferencias otorgadas por pagar a corto plazo</t>
  </si>
  <si>
    <t xml:space="preserve">      Depósitos de fondos de terceros en garantía y/o administración</t>
  </si>
  <si>
    <t xml:space="preserve">      Intereses, comisiones y otros gastos de la deuda pública por pagar a corto plazo</t>
  </si>
  <si>
    <t xml:space="preserve">      Otros efectivos y equivalentes</t>
  </si>
  <si>
    <t xml:space="preserve">      Retenciones y contribuciones por pagar a corto plazo</t>
  </si>
  <si>
    <t xml:space="preserve">    DERECHOS A RECIBIR EFECTIVO O EQUIVALENTES</t>
  </si>
  <si>
    <t xml:space="preserve">      Devoluciones de la ley de ingresos por pagar a corto plazo</t>
  </si>
  <si>
    <t xml:space="preserve">      Inversiones financieras de corto plazo</t>
  </si>
  <si>
    <t xml:space="preserve">      Otras cuentas por pagar a corto plazo</t>
  </si>
  <si>
    <t xml:space="preserve">      Cuentas por cobrar a corto plazo</t>
  </si>
  <si>
    <t xml:space="preserve">    DOCUMENTOS POR PAGAR A CORTO PLAZO</t>
  </si>
  <si>
    <t xml:space="preserve">      Deudores diversos por cobrar a corto plazo</t>
  </si>
  <si>
    <t xml:space="preserve">      Documentos  comerciales por pagar a corto plazo</t>
  </si>
  <si>
    <t xml:space="preserve">      Ingresos por recuperar a corto plazo</t>
  </si>
  <si>
    <t xml:space="preserve">      Documentos con contratistas por obras públicas por pagar a corto plazo</t>
  </si>
  <si>
    <t xml:space="preserve">      Deudores por anticipos de la tesorería a corto plazo</t>
  </si>
  <si>
    <t xml:space="preserve">      Otros documentos por pagar a corto plazo</t>
  </si>
  <si>
    <t xml:space="preserve">      Préstamos otorgados a corto plazo</t>
  </si>
  <si>
    <t xml:space="preserve">    PORCIÓN A CORTO PLAZO DE LA DEUDA PÚBLICA A LARGO PLAZO</t>
  </si>
  <si>
    <t xml:space="preserve">      Otros derechos a recibir efectivo o equivalentes a corto plazo</t>
  </si>
  <si>
    <t xml:space="preserve">      Porción a corto plazo de la deuda pública interna</t>
  </si>
  <si>
    <t xml:space="preserve">    DERECHOS A RECIBIR BIENES O SERVICIOS</t>
  </si>
  <si>
    <t xml:space="preserve">      Porción a corto plazo de la deuda pública externa</t>
  </si>
  <si>
    <t xml:space="preserve">      Anticipo a proveedores por adquisición de bienes y prestación de servicios a corto plazo</t>
  </si>
  <si>
    <t xml:space="preserve">      Porción a corto plazo de arrendamiento financiero</t>
  </si>
  <si>
    <t xml:space="preserve">      Anticipo a proveedores por adquisición de bienes inmuebles y muebles a corto plazo</t>
  </si>
  <si>
    <t xml:space="preserve">    TÍTULOS Y VALORES A CORTO PLAZO</t>
  </si>
  <si>
    <t xml:space="preserve">      Anticipo a proveedores por adquisición de bienes intangibles a corto plazo</t>
  </si>
  <si>
    <t xml:space="preserve">      Títulos y valores de la deuda pública interna a corto plazo</t>
  </si>
  <si>
    <t xml:space="preserve">      Anticipo a contratistas por obras públicas a corto plazo</t>
  </si>
  <si>
    <t xml:space="preserve">      Títulos y valores de la deuda pública externa a corto plazo</t>
  </si>
  <si>
    <t xml:space="preserve">      Otros derechos a recibir bienes o servicios a corto plazo</t>
  </si>
  <si>
    <t xml:space="preserve">    PASIVOS DIFERIDOS A CORTO PLAZO</t>
  </si>
  <si>
    <t xml:space="preserve">    INVENTARIOS</t>
  </si>
  <si>
    <t xml:space="preserve">      Ingresos cobrados por adelantado a corto plazo</t>
  </si>
  <si>
    <t xml:space="preserve">      Inventario de mercancías para venta</t>
  </si>
  <si>
    <t xml:space="preserve">      Intereses cobrados por adelantado a corto plazo</t>
  </si>
  <si>
    <t xml:space="preserve">      Inventario de mercancías terminadas</t>
  </si>
  <si>
    <t xml:space="preserve">      Otros pasivos diferidos a corto plazo</t>
  </si>
  <si>
    <t xml:space="preserve">      Inventario de mercancías en proceso de elaboración</t>
  </si>
  <si>
    <t xml:space="preserve">    FONDOS Y BIENES DE TERCEROS EN GARANTÍA Y/O ADMINISTRACIÓN A CORTO PLAZO</t>
  </si>
  <si>
    <t xml:space="preserve">      Inventario de materias primas, materiales y suministros para producción</t>
  </si>
  <si>
    <t xml:space="preserve">      Fondos en garantía a corto plazo</t>
  </si>
  <si>
    <t xml:space="preserve">      Bienes en tránsito</t>
  </si>
  <si>
    <t xml:space="preserve">      Fondos en administración a corto plazo</t>
  </si>
  <si>
    <t xml:space="preserve">    ALMACENES</t>
  </si>
  <si>
    <t xml:space="preserve">      Fondos contingentes a corto plazo</t>
  </si>
  <si>
    <t xml:space="preserve">      Almacén de materiales y suministro para el consumo</t>
  </si>
  <si>
    <t xml:space="preserve">      Fondos de fideicomisos, mandatos y contratos análogos a corto plazo</t>
  </si>
  <si>
    <t xml:space="preserve">    ESTIMACIÓN POR PÉRDIDA O DETERIORO DE ACTIVOS CIRCULANTES</t>
  </si>
  <si>
    <t xml:space="preserve">      Otros fondos de terceros en garantía y/o administración a corto plazo</t>
  </si>
  <si>
    <t xml:space="preserve">      Estimaciones para cuentas incobrables por derechos a recibir efectivo o equivalentes</t>
  </si>
  <si>
    <t xml:space="preserve">      Valores y bienes en garantía a corto plazo</t>
  </si>
  <si>
    <t xml:space="preserve">      Estimación por deterioro de inventarios</t>
  </si>
  <si>
    <t xml:space="preserve">    PROVISIONES A CORTO PLAZO</t>
  </si>
  <si>
    <t xml:space="preserve">    OTROS ACTIVOS CIRCULANTES</t>
  </si>
  <si>
    <t xml:space="preserve">      Provisión para demandas y juicios a corto plazo</t>
  </si>
  <si>
    <t xml:space="preserve">      Valores en garantía</t>
  </si>
  <si>
    <t xml:space="preserve">      Provisión para contingencias a corto plazo</t>
  </si>
  <si>
    <t xml:space="preserve">      Bienes en garantía (excluye depósitos de fondos)</t>
  </si>
  <si>
    <t xml:space="preserve">      Otras provisiones a corto plazo</t>
  </si>
  <si>
    <t xml:space="preserve">      Bienes derivados de embargos,  decomisos, aseguramientos y dación en pago</t>
  </si>
  <si>
    <t xml:space="preserve">    OTROS PASIVOS A CORTO PLAZO</t>
  </si>
  <si>
    <t xml:space="preserve">      Adquisición con fondos de terceros</t>
  </si>
  <si>
    <t xml:space="preserve">      Ingresos por clasificar</t>
  </si>
  <si>
    <t>ACTIVOS CIRCULANTES</t>
  </si>
  <si>
    <t xml:space="preserve">      Recaudación por participar</t>
  </si>
  <si>
    <t xml:space="preserve">  ACTIVO NO CIRCULANTE</t>
  </si>
  <si>
    <t xml:space="preserve">      Otros pasivos circulantes</t>
  </si>
  <si>
    <t xml:space="preserve">    INVERSIONES FINANCIERAS A LARGO PLAZO</t>
  </si>
  <si>
    <t>PASIVOS CIRCULANTES</t>
  </si>
  <si>
    <t xml:space="preserve">      Inversiones a largo plazo</t>
  </si>
  <si>
    <t xml:space="preserve">  PASIVO NO CIRCULANTE</t>
  </si>
  <si>
    <t xml:space="preserve">      Títulos y valores a largo plazo</t>
  </si>
  <si>
    <t xml:space="preserve">    CUENTAS POR PAGAR A LARGO PLAZO</t>
  </si>
  <si>
    <t xml:space="preserve">      Fideicomisos, mandatos y contratos análogos</t>
  </si>
  <si>
    <t xml:space="preserve">      Proveedores por pagar a largo plazo</t>
  </si>
  <si>
    <t xml:space="preserve">      Participaciones y aportaciones de capital</t>
  </si>
  <si>
    <t xml:space="preserve">      Contratistas por obras públicas por pagar a largo plazo</t>
  </si>
  <si>
    <t xml:space="preserve">    DERECHOS A RECIBIR EFECTIVO O EQUIVALENTES A LARGO PLAZO</t>
  </si>
  <si>
    <t xml:space="preserve">    DOCUMENTOS POR PAGAR A LARGO PLAZO</t>
  </si>
  <si>
    <t xml:space="preserve">      Documentos por cobrar a largo plazo</t>
  </si>
  <si>
    <t xml:space="preserve">      Documentos comerciales por pagar a largo plazo</t>
  </si>
  <si>
    <t xml:space="preserve">      Deudores diversos a largo plazo</t>
  </si>
  <si>
    <t xml:space="preserve">      Documentos con contratistas por obras públicas por pagar a largo plazo</t>
  </si>
  <si>
    <t xml:space="preserve">      Ingresos por recuperar a largo plazo</t>
  </si>
  <si>
    <t xml:space="preserve">      Otros documentos por pagar a largo plazo</t>
  </si>
  <si>
    <t xml:space="preserve">      Préstamos otorgados a largo plazo</t>
  </si>
  <si>
    <t xml:space="preserve">    DEUDA PÚBLICA A LARGO PLAZO</t>
  </si>
  <si>
    <t xml:space="preserve">      Otros derechos a recibir efectivo o equivalentes a largo plazo</t>
  </si>
  <si>
    <t xml:space="preserve">      Títulos y valores de la deuda pública interna a largo plazo</t>
  </si>
  <si>
    <t xml:space="preserve">    BIENES INMUEBLES, INFRAESTRUCTURA Y CONSTRUCCIONES EN PROCESO</t>
  </si>
  <si>
    <t xml:space="preserve">      Títulos y valores de la deuda pública externa a largo plazo</t>
  </si>
  <si>
    <t xml:space="preserve">      Terrenos</t>
  </si>
  <si>
    <t xml:space="preserve">      Préstamos de la deuda pública interna por pagar a largo plazo</t>
  </si>
  <si>
    <t xml:space="preserve">      Viviendas</t>
  </si>
  <si>
    <t xml:space="preserve">      Préstamos de la deuda pública externa por pagar a largo plazo</t>
  </si>
  <si>
    <t xml:space="preserve">      Edificios no habitacionales</t>
  </si>
  <si>
    <t xml:space="preserve">      Arrendamiento financiero por pagar a largo plazo</t>
  </si>
  <si>
    <t xml:space="preserve">      Infraestructura</t>
  </si>
  <si>
    <t xml:space="preserve">    PASIVOS DIFERIDOS A LARGO PLAZO</t>
  </si>
  <si>
    <t xml:space="preserve">      Construcciones en proceso en bienes de dominio público</t>
  </si>
  <si>
    <t xml:space="preserve">      Créditos diferidos a largo plazo</t>
  </si>
  <si>
    <t xml:space="preserve">      Construcciones en proceso en bienes propios</t>
  </si>
  <si>
    <t xml:space="preserve">      Intereses cobrados por adelantado a largo plazo</t>
  </si>
  <si>
    <t xml:space="preserve">      Otros bienes inmuebles</t>
  </si>
  <si>
    <t xml:space="preserve">      Otros pasivos diferidos a largo plazo</t>
  </si>
  <si>
    <t xml:space="preserve">    BIENES MUEBLES</t>
  </si>
  <si>
    <t xml:space="preserve">    FONDOS Y BIENES DE TERCEROS EN GARANTÍA Y/O ADMINISTRACIÓN A LARGO PLAZO</t>
  </si>
  <si>
    <t xml:space="preserve">      Mobiliario y equipo de administración</t>
  </si>
  <si>
    <t xml:space="preserve">      Fondos en garantía a largo plazo</t>
  </si>
  <si>
    <t xml:space="preserve">      Mobiliario y equipo educacional y recreativo</t>
  </si>
  <si>
    <t xml:space="preserve">      Fondos en administración a largo plazo</t>
  </si>
  <si>
    <t xml:space="preserve">      Equipo e instrumental médico y de laboratorio</t>
  </si>
  <si>
    <t xml:space="preserve">      Fondos contingentes a largo plazo</t>
  </si>
  <si>
    <t xml:space="preserve">      Vehículos y equipo de transporte</t>
  </si>
  <si>
    <t xml:space="preserve">      Fondos de fideicomisos, mandatos y contratos análogos a largo plazo</t>
  </si>
  <si>
    <t xml:space="preserve">      Equipo de defensa y seguridad</t>
  </si>
  <si>
    <t xml:space="preserve">      Otros fondos de terceros en garantía y/o administración a largo plazo</t>
  </si>
  <si>
    <t xml:space="preserve">      Maquinaria, otros equipos y herramientas</t>
  </si>
  <si>
    <t xml:space="preserve">      Valores y bienes en garantía a largo plazo</t>
  </si>
  <si>
    <t xml:space="preserve">      Colecciones, obras de arte y objetos valiosos</t>
  </si>
  <si>
    <t xml:space="preserve">    PROVISIONES A LARGO PLAZO</t>
  </si>
  <si>
    <t xml:space="preserve">      Activos biológicos</t>
  </si>
  <si>
    <t xml:space="preserve">      Provisión para demandas y juicios a largo plazo</t>
  </si>
  <si>
    <t xml:space="preserve">    ACTIVOS INTANGIBLES</t>
  </si>
  <si>
    <t xml:space="preserve">      Provisión para pensiones a largo plazo</t>
  </si>
  <si>
    <t xml:space="preserve">      Software</t>
  </si>
  <si>
    <t xml:space="preserve">      Provisión para contingencias a largo plazo</t>
  </si>
  <si>
    <t xml:space="preserve">      Patentes, marcas y derechos</t>
  </si>
  <si>
    <t xml:space="preserve">      Otras provisiones a largo plazo</t>
  </si>
  <si>
    <t xml:space="preserve">      Concesiones y franquicias</t>
  </si>
  <si>
    <t>PASIVOS NO CIRCULANTES</t>
  </si>
  <si>
    <t xml:space="preserve">      Licencias</t>
  </si>
  <si>
    <t>TOTAL DE PASIVOS</t>
  </si>
  <si>
    <t xml:space="preserve">      Otros activos intangibles</t>
  </si>
  <si>
    <t>HACIENDA PÚBLICA/ PATRIMONIO</t>
  </si>
  <si>
    <t xml:space="preserve">    DEPRECIACIÓN, DETERIORO Y AMORTIZACIÓN ACUMULADA DE BIENES</t>
  </si>
  <si>
    <t xml:space="preserve">  HACIENDA PÚBLICA/ PATRIMONIO CONTRIBUIDO</t>
  </si>
  <si>
    <t xml:space="preserve">      Depreciación acumulada de bienes inmuebles</t>
  </si>
  <si>
    <t xml:space="preserve">    Aportaciones</t>
  </si>
  <si>
    <t xml:space="preserve">      Depreciación acumulada de infraestructura</t>
  </si>
  <si>
    <r>
      <rPr>
        <sz val="11"/>
        <color theme="1"/>
        <rFont val="Calibri"/>
      </rPr>
      <t xml:space="preserve">    </t>
    </r>
    <r>
      <rPr>
        <sz val="11"/>
        <color rgb="FF000000"/>
        <rFont val="Calibri"/>
      </rPr>
      <t>Donaciones de capítal</t>
    </r>
  </si>
  <si>
    <t xml:space="preserve">      Depreciación acumulada de bienes muebles</t>
  </si>
  <si>
    <t xml:space="preserve">    Actualización de la hacienda pública/patrimonio</t>
  </si>
  <si>
    <t xml:space="preserve">      Deterioro acumulado de bienes</t>
  </si>
  <si>
    <t xml:space="preserve">  HACIENDA PÚBLICA/PATRIMONIO GENERADO</t>
  </si>
  <si>
    <t xml:space="preserve">      Amortización acumulada de activos intangibles</t>
  </si>
  <si>
    <t xml:space="preserve">    Resultado del ejercicio  (ahorro/desahorro)</t>
  </si>
  <si>
    <t xml:space="preserve">    ACTIVOS DIFERIDOS</t>
  </si>
  <si>
    <t xml:space="preserve">    Resultado de ejercicios anteriores</t>
  </si>
  <si>
    <t xml:space="preserve">      Estudios, formulación y evaluación de proyectos</t>
  </si>
  <si>
    <t xml:space="preserve">  REVALÚOS</t>
  </si>
  <si>
    <t xml:space="preserve">      Derechos sobre bienes en régimen de arrendamiento financiero</t>
  </si>
  <si>
    <t xml:space="preserve">    Revalúo de bienes inmuebles</t>
  </si>
  <si>
    <t xml:space="preserve">      Gastos pagados por adelantado a largo plazo</t>
  </si>
  <si>
    <t xml:space="preserve">    Revalúo de bienes muebles</t>
  </si>
  <si>
    <t xml:space="preserve">      Anticipos a largo plazo</t>
  </si>
  <si>
    <t xml:space="preserve">    Revalúo de bienes intangibles</t>
  </si>
  <si>
    <t xml:space="preserve">      Beneficios al retiro de empleados pagados por adelantado</t>
  </si>
  <si>
    <t xml:space="preserve">    Otros revalúos</t>
  </si>
  <si>
    <t xml:space="preserve">      Otros activos diferidos</t>
  </si>
  <si>
    <t xml:space="preserve">  RESERVAS</t>
  </si>
  <si>
    <t xml:space="preserve">    ESTIMACIÓN POR PÉRDIDA O DETERIORO DE ACTIVOS NO CIRCULANTES</t>
  </si>
  <si>
    <t xml:space="preserve">    Reservas de patrimonio</t>
  </si>
  <si>
    <t xml:space="preserve">      Estimaciones por pérdida de cuentas incobrables de documentos por cobrar a largo plazo</t>
  </si>
  <si>
    <t xml:space="preserve">    Reservas territoriales</t>
  </si>
  <si>
    <t xml:space="preserve">      Estimaciones por pérdida de cuentas incobrables de deudores diversos por cobrar a largo plazo</t>
  </si>
  <si>
    <t xml:space="preserve">    Reservas por contingencias</t>
  </si>
  <si>
    <t xml:space="preserve">      Estimaciones por pérdida de cuentas incobrables de ingresos por cobrar a largo plazo</t>
  </si>
  <si>
    <t xml:space="preserve">  RECTIFICACIONES DE RESULTADOS DE EJERCICIOS ANTERIORES</t>
  </si>
  <si>
    <t xml:space="preserve">      Estimaciones por pérdida de cuentas incobrables de préstamos otorgados a largo plazo</t>
  </si>
  <si>
    <t xml:space="preserve">    Cambios en políticas contables</t>
  </si>
  <si>
    <t xml:space="preserve">      Estimaciones por pérdida de otras cuentas incobrables a largo plazo</t>
  </si>
  <si>
    <t xml:space="preserve">    Cambios por errores contables</t>
  </si>
  <si>
    <t xml:space="preserve">    OTROS ACTIVOS NO CIRCULANTES</t>
  </si>
  <si>
    <t xml:space="preserve">    Cambios en estimaciones contables</t>
  </si>
  <si>
    <t xml:space="preserve">      Bienes en concesión</t>
  </si>
  <si>
    <t xml:space="preserve">  EXCESO O INSUFICIENCIA EN LA ACTUALIZACIÓN DE LA HACIENDA PÚBLICA / PATRIMONIO</t>
  </si>
  <si>
    <t xml:space="preserve">      Bienes en arrendamiento financiero</t>
  </si>
  <si>
    <t xml:space="preserve">    Resultado por posición monetaria</t>
  </si>
  <si>
    <t xml:space="preserve">      Bienes en comodato</t>
  </si>
  <si>
    <t xml:space="preserve">    Resultado por tenencia de activos no monetarios</t>
  </si>
  <si>
    <t>ACTIVOS NO CIRCULANTES</t>
  </si>
  <si>
    <t>TOTAL HACIENDA PUBLICA / PATRIMONIO</t>
  </si>
  <si>
    <t>TOTAL DEL ACTIVO</t>
  </si>
  <si>
    <t>SUMA DE PASIVO Y PATRIMONIO / HACIENDA PÚBLICA</t>
  </si>
  <si>
    <t>Bajo protesta de decir verdad declaramos que los estados financieros y sus notas, son razonablemente correctos y son responsabilidad del emisor.</t>
  </si>
  <si>
    <t>Presidente Municipal o Títular del ente público</t>
  </si>
  <si>
    <t>Encargado de la Hacienda Pública Municipal o Responsable de las finanzas del ente público</t>
  </si>
  <si>
    <t>Activo Circulante</t>
  </si>
  <si>
    <t>Pasivo Circulante</t>
  </si>
  <si>
    <t>Activo No Circulantes</t>
  </si>
  <si>
    <t>Hacienda Pública/Patrimonio Contribuido</t>
  </si>
  <si>
    <t>Hacienda Pública/Patrimonio Generado</t>
  </si>
  <si>
    <t>Exceso o Insuficiencia en la Actualización de la Hacienda Pública/Patrimonio</t>
  </si>
  <si>
    <t>Estado de Situación Financiera Detallado - LDF</t>
  </si>
  <si>
    <t xml:space="preserve">  Activo Circulante</t>
  </si>
  <si>
    <t xml:space="preserve">    a. Efectivo y Equivalentes</t>
  </si>
  <si>
    <t xml:space="preserve">    a. Cuentas por Pagar a Corto Plazo</t>
  </si>
  <si>
    <t xml:space="preserve">     a1) Efectivo</t>
  </si>
  <si>
    <t xml:space="preserve">     a1) Servicios Personales por Pagar a Corto Plazo</t>
  </si>
  <si>
    <t xml:space="preserve">     a2) Bancos/Tesorería</t>
  </si>
  <si>
    <t xml:space="preserve">     a2) Proveedores por Pagar a Corto Plazo</t>
  </si>
  <si>
    <t xml:space="preserve">     a3) Bancos/Dependencias y Otros</t>
  </si>
  <si>
    <t xml:space="preserve">     a3) Contratistas por Obras Públicas por Pagar a Corto Plazo</t>
  </si>
  <si>
    <t xml:space="preserve">     a4) Inversiones Temporales (Hasta 3 meses)</t>
  </si>
  <si>
    <t xml:space="preserve">     a4) Participaciones y Aportaciones por Pagar a Corto Plazo</t>
  </si>
  <si>
    <t xml:space="preserve">     a5) Fondos con Afectación Específica</t>
  </si>
  <si>
    <t xml:space="preserve">     a5) Transferencias Otorgadas por Pagar a Corto Plazo</t>
  </si>
  <si>
    <t xml:space="preserve">     a6) Depósitos de Fondos de Terceros en Garantía y/o Administración</t>
  </si>
  <si>
    <t xml:space="preserve">     a6) Intereses, Comisiones y Otros Gastos de la Deuda Pública por Pagar a Corto Plazo</t>
  </si>
  <si>
    <t xml:space="preserve">     a7) Otros Efectivos y Equivalentes</t>
  </si>
  <si>
    <t xml:space="preserve">     a7) Retenciones y Contribuciones por Pagar a Corto Plazo</t>
  </si>
  <si>
    <t xml:space="preserve">   b. Derechos a Recibir Efectivo o Equivalentes</t>
  </si>
  <si>
    <t xml:space="preserve">     a8) Devoluciones de la Ley de Ingresos por Pagar a Corto Plazo</t>
  </si>
  <si>
    <t xml:space="preserve">     b1) Inversiones Financieras de Corto Plazo</t>
  </si>
  <si>
    <t xml:space="preserve">     a9) Otras Cuentas por Pagar a Corto Plazo</t>
  </si>
  <si>
    <t xml:space="preserve">     b2) Cuentas por Cobrar a Corto Plazo</t>
  </si>
  <si>
    <t xml:space="preserve">   b. Documentos por Pagar a Corto Plazo</t>
  </si>
  <si>
    <t xml:space="preserve">     b3) Deudores Diversos por Cobrar a Corto Plazo</t>
  </si>
  <si>
    <t xml:space="preserve">     b1) Documentos Comerciales por Pagar a Corto Plazo</t>
  </si>
  <si>
    <t xml:space="preserve">     b4) Ingresos por Recuperar a Corto Plazo</t>
  </si>
  <si>
    <t xml:space="preserve">     b2) Documentos con Contratistas por Obras Públicas por Pagar a Corto Plazo</t>
  </si>
  <si>
    <t xml:space="preserve">     b5) Deudores por Anticipos de la Tesorería a Corto Plazo</t>
  </si>
  <si>
    <t xml:space="preserve">     b3) Otros Documentos por Pagar a Corto Plazo</t>
  </si>
  <si>
    <t xml:space="preserve">     b6) Préstamos Otorgados a Corto Plazo</t>
  </si>
  <si>
    <t xml:space="preserve">   c. Porción a Corto Plazo de la Deuda Pública a Largo Plazo</t>
  </si>
  <si>
    <t xml:space="preserve">     b7) Otros Derechos a Recibir Efectivo o Equivalentes a Corto Plazo</t>
  </si>
  <si>
    <t xml:space="preserve">     c1) Porción a Corto Plazo de la Deuda Pública</t>
  </si>
  <si>
    <t xml:space="preserve">   c. Derechos a Recibir Bienes o Servicios</t>
  </si>
  <si>
    <t xml:space="preserve">     c2) Porción a Corto Plazo de Arrendamiento Financiero</t>
  </si>
  <si>
    <t xml:space="preserve">     c1) Anticipo a Proveedores por Adquisición de Bienes y Prestación de Servicios a Corto Plazo</t>
  </si>
  <si>
    <t xml:space="preserve">   d. Títulos y Valores a Corto Plazo</t>
  </si>
  <si>
    <t xml:space="preserve">     c2) Anticipo a Proveedores por Adquisición de Bienes Inmuebles y Muebles a Corto Plazo</t>
  </si>
  <si>
    <t xml:space="preserve">   e. Pasivos Diferidos a Corto Plazo</t>
  </si>
  <si>
    <t xml:space="preserve">     c3) Anticipo a Proveedores por Adquisición de Bienes Intangibles a Corto Plazo</t>
  </si>
  <si>
    <t xml:space="preserve">     e1) Ingresos Cobrados por Adelantado a Corto Plazo</t>
  </si>
  <si>
    <t xml:space="preserve">     c4) Anticipo a Contratistas por Obras Públicas a Corto Plazo</t>
  </si>
  <si>
    <t xml:space="preserve">     e2) Intereses Cobrados por Adelantado a Corto Plazo</t>
  </si>
  <si>
    <t xml:space="preserve">     c5) Otros Derechos a Recibir Bienes o Servicios a Corto Plazo</t>
  </si>
  <si>
    <t xml:space="preserve">     e3) Otros Pasivos Diferidos a Corto Plazo</t>
  </si>
  <si>
    <t xml:space="preserve">   d. Inventarios</t>
  </si>
  <si>
    <t xml:space="preserve">   f. Fondos y Bienes de Terceros en Garantía y/o Administración a Corto Plazo</t>
  </si>
  <si>
    <t xml:space="preserve">     d1) Inventario de Mercancías para Venta</t>
  </si>
  <si>
    <t xml:space="preserve">     f1) Fondos en Garantía a Corto Plazo</t>
  </si>
  <si>
    <t xml:space="preserve">     d2) Inventario de Mercancías Terminadas</t>
  </si>
  <si>
    <t xml:space="preserve">     f2) Fondos en Administración a Corto Plazo</t>
  </si>
  <si>
    <t xml:space="preserve">     d3) Inventario de Mercancías en Proceso de Elaboración</t>
  </si>
  <si>
    <t xml:space="preserve">     f3) Fondos Contingentes a Corto Plazo</t>
  </si>
  <si>
    <t xml:space="preserve">     d4) Inventario de Materias Primas, Materiales y Suministros para Producción</t>
  </si>
  <si>
    <t xml:space="preserve">     f4) Fondos de Fideicomisos, Mandatos y Contratos Análogos a Corto Plazo</t>
  </si>
  <si>
    <t xml:space="preserve">     d5) Bienes en Tránsito</t>
  </si>
  <si>
    <t xml:space="preserve">     f5) Otros Fondos de Terceros en Garantía y/o Administración a Corto Plazo</t>
  </si>
  <si>
    <t xml:space="preserve">   e. Almacenes</t>
  </si>
  <si>
    <t xml:space="preserve">     f6) Valores y Bienes en Garantía a Corto Plazo</t>
  </si>
  <si>
    <t xml:space="preserve">   f. Estimación por Pérdida o Deterioro de Activos Circulantes</t>
  </si>
  <si>
    <t xml:space="preserve">   g. Provisiones a Corto Plazo</t>
  </si>
  <si>
    <t xml:space="preserve">     f1) Estimaciones para Cuentas Incobrables por Derechos a Recibir Efectivo o Equivalentes</t>
  </si>
  <si>
    <t xml:space="preserve">     g1) Provisión para Demandas y Juicios a Corto Plazo</t>
  </si>
  <si>
    <t xml:space="preserve">     f2) Estimación por Deterioro de Inventarios</t>
  </si>
  <si>
    <t xml:space="preserve">     g2) Provisión para Contingencias a Corto Plazo</t>
  </si>
  <si>
    <t xml:space="preserve">   g. Otros Activos Circulantes</t>
  </si>
  <si>
    <t xml:space="preserve">     g3) Otras Provisiones a Corto Plazo</t>
  </si>
  <si>
    <t xml:space="preserve">     g1) Valores en Garantía</t>
  </si>
  <si>
    <t xml:space="preserve">   h. Otros Pasivos a Corto Plazo</t>
  </si>
  <si>
    <t xml:space="preserve">     g2) Bienes en Garantía (excluye depósitos de fondos)</t>
  </si>
  <si>
    <t xml:space="preserve">     h1) Ingresos por Clasificar</t>
  </si>
  <si>
    <t xml:space="preserve">     g3) Bienes Derivados de Embargos, Decomisos, Aseguramientos y Dación en Pago</t>
  </si>
  <si>
    <t xml:space="preserve">     h2) Recaudación por Participar</t>
  </si>
  <si>
    <t xml:space="preserve">     g4) Adquisición con Fondos de Terceros</t>
  </si>
  <si>
    <t xml:space="preserve">     h3) Otros Pasivos Circulantes</t>
  </si>
  <si>
    <t>IA. Total de Activos Circulantes</t>
  </si>
  <si>
    <t>IIA. Total de Pasivos Circulantes</t>
  </si>
  <si>
    <t xml:space="preserve">  Pasivo No Circulante</t>
  </si>
  <si>
    <t xml:space="preserve">   a. Inversiones Financieras a Largo Plazo</t>
  </si>
  <si>
    <t xml:space="preserve">   a. Cuentas por Pagar a Largo Plazo</t>
  </si>
  <si>
    <t xml:space="preserve">   b. Derechos a Recibir Efectivo o Equivalentes a Largo Plazo</t>
  </si>
  <si>
    <t xml:space="preserve">   b. Documentos por Pagar a Largo Plazo</t>
  </si>
  <si>
    <t xml:space="preserve">   c. Bienes Inmuebles, Infraestructura y Construcciones en Proceso</t>
  </si>
  <si>
    <t xml:space="preserve">   c. Deuda Pública a Largo Plazo</t>
  </si>
  <si>
    <t xml:space="preserve">   d. Bienes Muebles</t>
  </si>
  <si>
    <t xml:space="preserve">   d. Pasivos Diferidos a Largo Plazo</t>
  </si>
  <si>
    <t xml:space="preserve">   e. Activos Intangibles</t>
  </si>
  <si>
    <t xml:space="preserve">   e. Fondos y Bienes de Terceros en Garantía y/o Administración a Largo Plazo</t>
  </si>
  <si>
    <t xml:space="preserve">   f. Depreciación, Deterioro y Amortización Acumulada de Bienes</t>
  </si>
  <si>
    <t xml:space="preserve">   f. Provisiones a Largo Plazo</t>
  </si>
  <si>
    <t xml:space="preserve">   g. Activos Diferidos</t>
  </si>
  <si>
    <t>IIB. Total de Pasivos No Circulantes</t>
  </si>
  <si>
    <t xml:space="preserve">   h. Estimación por Pérdida o Deterioro de Activos no Circulantes</t>
  </si>
  <si>
    <t>II. Total del Pasivo</t>
  </si>
  <si>
    <t xml:space="preserve">   i. Otros Activos no Circulantes</t>
  </si>
  <si>
    <t>IB. Total de Activos No Circulantes</t>
  </si>
  <si>
    <t>IIIA. Hacienda Pública/Patrimonio Contribuido</t>
  </si>
  <si>
    <t>I. Total del Activo</t>
  </si>
  <si>
    <t xml:space="preserve">   a. Aportaciones</t>
  </si>
  <si>
    <r>
      <rPr>
        <sz val="11"/>
        <color theme="1"/>
        <rFont val="Calibri"/>
      </rPr>
      <t xml:space="preserve">   b. </t>
    </r>
    <r>
      <rPr>
        <sz val="11"/>
        <color rgb="FF000000"/>
        <rFont val="Calibri"/>
      </rPr>
      <t>Donaciones de Capital</t>
    </r>
  </si>
  <si>
    <t xml:space="preserve">   c. Actualización de la Hacienda Pública/Patrimonio</t>
  </si>
  <si>
    <t>IIIB. Hacienda Pública/Patrimonio Generado</t>
  </si>
  <si>
    <t xml:space="preserve">   a. Resultado del Ejercicio  (Ahorro/Desahorro)</t>
  </si>
  <si>
    <t xml:space="preserve">   b. Resultado de Ejercicios Anteriores</t>
  </si>
  <si>
    <t xml:space="preserve">  c. Revalúos</t>
  </si>
  <si>
    <t xml:space="preserve">  d. Reservas</t>
  </si>
  <si>
    <t xml:space="preserve">  e. Rectificaciones de Resultados de Ejercicios Anteriores</t>
  </si>
  <si>
    <t>IIIC. Exceso o Insuficiencia en la Actualización de la Hacienda Pública/Patrimonio</t>
  </si>
  <si>
    <t xml:space="preserve">   a. Resultado por Posición Monetaria</t>
  </si>
  <si>
    <t xml:space="preserve">   b. Resultado por Tenencia de Activos no Monetarios</t>
  </si>
  <si>
    <t>III. Total Hacienda Pública/Patrimonio</t>
  </si>
  <si>
    <t>IV. Total del Pasivo y Hacienda Pública/Patrimonio</t>
  </si>
  <si>
    <t>Estado Analítico del Actividades</t>
  </si>
  <si>
    <t xml:space="preserve">  Impuestos sobre espectáculos públicos</t>
  </si>
  <si>
    <t xml:space="preserve">  Impuesto predial </t>
  </si>
  <si>
    <t xml:space="preserve">  Impuestos sobre transmisiones patrimoniales</t>
  </si>
  <si>
    <t xml:space="preserve">  Impuestos sobre negocios jurídicos</t>
  </si>
  <si>
    <t xml:space="preserve">  Recargos</t>
  </si>
  <si>
    <t xml:space="preserve">  Actualizaciones</t>
  </si>
  <si>
    <t xml:space="preserve">  Multas</t>
  </si>
  <si>
    <t xml:space="preserve">  Gastos de ejecución</t>
  </si>
  <si>
    <t xml:space="preserve">  Otros no especificados</t>
  </si>
  <si>
    <t>Impuestos no comprendidos en la ley de ingresos vigente, causados en ejercicio fiscales anteriores pendientes de liquidar o pago</t>
  </si>
  <si>
    <t>Otros Impuestos</t>
  </si>
  <si>
    <t xml:space="preserve">  Otros impuestos</t>
  </si>
  <si>
    <t xml:space="preserve">  Contribuciones de mejoras por obras públicas</t>
  </si>
  <si>
    <t>Contribuciones de mejoras no comprendidas en la ley de ing. vigente, causadas en ejercicios fiscales anteriores pendientes de liq. o pago</t>
  </si>
  <si>
    <t xml:space="preserve">  Contribuciones de mejoras no comprendidas en la ley de ing. vigente, causadas en ejercicios fiscales anteriores pendientes de liq. o pago</t>
  </si>
  <si>
    <t xml:space="preserve">  Derechos por el uso del piso</t>
  </si>
  <si>
    <t xml:space="preserve">  Derechos por el uso de los estacionamientos</t>
  </si>
  <si>
    <t xml:space="preserve">  Derechos de uso de cementerios y panteones municipales</t>
  </si>
  <si>
    <t xml:space="preserve">  Derechos de concesiones y demás inmuebles de propiedad municipal</t>
  </si>
  <si>
    <t xml:space="preserve">  Derechos de licencias y permisos de giros</t>
  </si>
  <si>
    <t xml:space="preserve">  Derechos de licencias y permisos de anuncios</t>
  </si>
  <si>
    <t xml:space="preserve">  Derechos de licencias de construcción, reconstrucción, reparación o demolición de obras</t>
  </si>
  <si>
    <t xml:space="preserve">  Derechos de regularizaciones de los registros de obra</t>
  </si>
  <si>
    <t xml:space="preserve">  Derechos de alineamiento, designación de número oficial e inspección</t>
  </si>
  <si>
    <t xml:space="preserve">  Derechos de licencias de cambio de régimen de propiedad y urbanización</t>
  </si>
  <si>
    <t xml:space="preserve">  Derechos de servicios de obra</t>
  </si>
  <si>
    <t xml:space="preserve">  Derechos de servicios de sanidad</t>
  </si>
  <si>
    <t xml:space="preserve">  Derechos de servicio de limpieza, recolección, traslado, tratamiento y disposición final de residuos</t>
  </si>
  <si>
    <t xml:space="preserve">  Derechos de agua potable, drenaje, alcantarillado, tratamiento y disposición final de aguas residuales</t>
  </si>
  <si>
    <t xml:space="preserve">  Derechos del rastro</t>
  </si>
  <si>
    <t xml:space="preserve">  Derechos del registro civil</t>
  </si>
  <si>
    <t xml:space="preserve">  Derechos de las certificaciones</t>
  </si>
  <si>
    <t xml:space="preserve">  Derechos de los servicios de catastro</t>
  </si>
  <si>
    <t xml:space="preserve">  Derechos no comprendidos en la ley de ingresos vigente, causados en ejercicios fiscales anteriores pendientes de liquidación o pago</t>
  </si>
  <si>
    <t xml:space="preserve">  Otros derechos</t>
  </si>
  <si>
    <t xml:space="preserve">Productos </t>
  </si>
  <si>
    <t xml:space="preserve">  Uso, goce, aprovechamiento o explotación de bienes de dominio privado</t>
  </si>
  <si>
    <t xml:space="preserve">  Productos diversos</t>
  </si>
  <si>
    <t xml:space="preserve">  Productos no comprendidos en la ley de ingresos vigente, causadas en ejercicios fiscales anteriores pendientes de liquidación o pago</t>
  </si>
  <si>
    <t xml:space="preserve">  Indemnizaciones</t>
  </si>
  <si>
    <t xml:space="preserve">  Reintegros</t>
  </si>
  <si>
    <t xml:space="preserve">  Aprovechamientos provenientes de obras públicas</t>
  </si>
  <si>
    <t>Aprovechamientos no comprendidos en la ley de ing. vigente, causados en ejercicios fiscales anteriores pendientes de liquidación o pago</t>
  </si>
  <si>
    <t xml:space="preserve">  Aprovechamientos no comprendidos en la ley de ing. vigente, causados en ejercicios fiscales anteriores pendientes de liquidación o pago</t>
  </si>
  <si>
    <t xml:space="preserve">  Otros aprovechamientos</t>
  </si>
  <si>
    <t xml:space="preserve">  Ingresos por venta de bienes y prestación de servicios de instituciones públicas de seguridad social</t>
  </si>
  <si>
    <t xml:space="preserve">  Ingresos por venta de bienes y prestación de servicios de entidades paraestatales y fideicomisos no empresariales y no financieros</t>
  </si>
  <si>
    <t>Ing. por vta. de bienes y prestación de servicios de entidades paraestatales empresariales financieras monetarias con participación estatal mayoritaria</t>
  </si>
  <si>
    <t>Ing. por vta. de bienes y prestación de servicios de entidades paraestatales empresariales financieras no monetarias con participación estatal mayoritaria</t>
  </si>
  <si>
    <t xml:space="preserve">  Ingresos por venta de bienes y prestación de servicios de fideicomisos financieros públicos con participación estatal mayoritaria</t>
  </si>
  <si>
    <t>ING. NO COMPRENDIDOS EN LAS FRACC. DE LA LEY DE ING. CAUSADAS EN EJERCICIOS FISCALES ANTERIORES PENDIENTES DE LIQUIDACIÓN O PAGO (DEROGADA)</t>
  </si>
  <si>
    <t>Ingresos no comprendidos en las fracciones de la ley de ingresos causadas en ejercicios fiscales anteriores pendientes de liquidación o pago (Derogada)</t>
  </si>
  <si>
    <t>Cont. de mejoras, derechos, productos, y aprovechamientos no compren. en las fracc. de la ley de ing. caus. en ejer. fisc. ant. pen. de liqui. o pago (Derogada)</t>
  </si>
  <si>
    <t xml:space="preserve"> PART, APORT, CONV, INCEN. DERIV. DE LA COLAB. FISC, FONDOS DISTINTOS DE APORT, TRANSF, ASIG, SUB Y SUBVE, Y PENS. Y JUB.</t>
  </si>
  <si>
    <t>PARTIC. APORT. CONVENIOS, INCENTIVOS DERIVADOS DE LA COLABORACIÓN FISCAL Y FONDOS DISTINTOS DE APORTACIONES.</t>
  </si>
  <si>
    <t xml:space="preserve">  Fondo general de participaciones (federal)</t>
  </si>
  <si>
    <t xml:space="preserve">  Fondo de fomento municipal (federal)</t>
  </si>
  <si>
    <t xml:space="preserve">  Fondo de fiscalización y recaudación (federal)</t>
  </si>
  <si>
    <t xml:space="preserve">  Fondo de compensación (federal)</t>
  </si>
  <si>
    <t xml:space="preserve">  Fondo de extracción de hidrocarburos (federal)</t>
  </si>
  <si>
    <t xml:space="preserve">  Impuesto especial sobre producción y servicios (federal)</t>
  </si>
  <si>
    <t xml:space="preserve">  0.136% de la recaudación federal participable (federal)</t>
  </si>
  <si>
    <t xml:space="preserve">  3.17% sobre extracción de petróleo (federal)</t>
  </si>
  <si>
    <t xml:space="preserve">  Gasolinas y diésel (federal)</t>
  </si>
  <si>
    <t xml:space="preserve">  Fondo del impuesto sobre la renta (federal)</t>
  </si>
  <si>
    <t xml:space="preserve">  Fondo de estabilización de los ingresos de las entidades federativas (federal)</t>
  </si>
  <si>
    <t xml:space="preserve">  Participaciones del estado</t>
  </si>
  <si>
    <t xml:space="preserve"> Aportaciones</t>
  </si>
  <si>
    <t xml:space="preserve">  Fondo de aportaciones para la infraestructura social municipal</t>
  </si>
  <si>
    <t xml:space="preserve">  Fondo de aportaciones para el fortalecimiento municipal</t>
  </si>
  <si>
    <t xml:space="preserve">  Convenios de protección social en salud</t>
  </si>
  <si>
    <t xml:space="preserve">  Convenios de descentralizados</t>
  </si>
  <si>
    <t xml:space="preserve">  Convenio de reasignación</t>
  </si>
  <si>
    <t>42130-456</t>
  </si>
  <si>
    <t xml:space="preserve">  Otros convenios y subsidios</t>
  </si>
  <si>
    <t xml:space="preserve">  Tenencia o uso de vehículos</t>
  </si>
  <si>
    <t xml:space="preserve">  Fondo de compensación ISAN</t>
  </si>
  <si>
    <t xml:space="preserve">  Impuesto sobre automóviles nuevos</t>
  </si>
  <si>
    <t xml:space="preserve">  Fondo de compensación de repecos-intermedios</t>
  </si>
  <si>
    <t xml:space="preserve">  Otros incentivos económicos</t>
  </si>
  <si>
    <t xml:space="preserve">  Fondo para entidades federativas y municipios productores de hidrocarburos</t>
  </si>
  <si>
    <t xml:space="preserve">  Fondo minero</t>
  </si>
  <si>
    <t>TRANSFERENCIAS, ASIGNACIONES, SUBSIDIOS Y  SUBVENCIONES, PENSIONES Y JUBILACIONES</t>
  </si>
  <si>
    <t>42210-12</t>
  </si>
  <si>
    <t xml:space="preserve">  Transferencias y asignaciones</t>
  </si>
  <si>
    <t>42230-12</t>
  </si>
  <si>
    <t xml:space="preserve">  Subsidios y subvenciones</t>
  </si>
  <si>
    <t xml:space="preserve">  Pensiones y jubilaciones</t>
  </si>
  <si>
    <t xml:space="preserve">  Transferencias del fondo mexicano del petróleo para la estabilización y el desarrollo</t>
  </si>
  <si>
    <t xml:space="preserve"> OTROS INGRESOS Y BENEFICIOS</t>
  </si>
  <si>
    <t>Incremento por varación de inventarios de mercancías para venta</t>
  </si>
  <si>
    <t>Disminución del Exceso de Estimaciones por Pérdida o Deterioro u Obsolescencia</t>
  </si>
  <si>
    <t>Bonificaciónes y descuentos obtenidos</t>
  </si>
  <si>
    <t>TOTAL DE INGRESOS</t>
  </si>
  <si>
    <t xml:space="preserve"> GASTOS DE FUNCIONAMIENTO</t>
  </si>
  <si>
    <t xml:space="preserve">  Dietas</t>
  </si>
  <si>
    <t xml:space="preserve">  Haberes</t>
  </si>
  <si>
    <t xml:space="preserve">  Sueldos base al personal permanente</t>
  </si>
  <si>
    <t xml:space="preserve">  Remuneraciones por adscripción laboral en el extranjero</t>
  </si>
  <si>
    <t xml:space="preserve">  Honorarios asimilables a salarios</t>
  </si>
  <si>
    <t xml:space="preserve">  Sueldos base al personal eventual</t>
  </si>
  <si>
    <t xml:space="preserve">  Retribuciones por servicios de carácter social</t>
  </si>
  <si>
    <t xml:space="preserve">  Retribución a los representantes de los trabajadores y de los patrones en la Junta de Conciliación y Arbitraje</t>
  </si>
  <si>
    <t xml:space="preserve">  Primas por años de servicios efectivos prestados</t>
  </si>
  <si>
    <t xml:space="preserve">  Primas de vacaciones, dominical y gratificación de fin de año</t>
  </si>
  <si>
    <t xml:space="preserve">  Horas extraordinarias</t>
  </si>
  <si>
    <t xml:space="preserve">  Compensaciones</t>
  </si>
  <si>
    <t xml:space="preserve">  Sobrehaberes</t>
  </si>
  <si>
    <t xml:space="preserve">  Asignaciones de técnico, de mando, por comisión, de vuelo y de técnico especial</t>
  </si>
  <si>
    <t xml:space="preserve">  Honorarios especiales</t>
  </si>
  <si>
    <t xml:space="preserve">  Participaciones por vigilancia en el cumplimiento de la leyes y custodia de valores</t>
  </si>
  <si>
    <t xml:space="preserve">  Aportaciones de seguridad social</t>
  </si>
  <si>
    <t xml:space="preserve">  Aportaciones a fondos de vivienda</t>
  </si>
  <si>
    <t xml:space="preserve">  Aportaciones al sistema para el retiro</t>
  </si>
  <si>
    <t xml:space="preserve">  Aportaciones para seguros</t>
  </si>
  <si>
    <t xml:space="preserve">  Cuotas para el fondo de ahorro y fondo de trabajo</t>
  </si>
  <si>
    <t xml:space="preserve">  Prestaciones y haberes de retiro</t>
  </si>
  <si>
    <t xml:space="preserve">  Prestaciones contractuales</t>
  </si>
  <si>
    <t xml:space="preserve">  Apoyos a la capacitación de los servidores públicos</t>
  </si>
  <si>
    <t xml:space="preserve">  Otras prestaciones sociales y económicas</t>
  </si>
  <si>
    <t xml:space="preserve">  Estímulos</t>
  </si>
  <si>
    <t xml:space="preserve">  Recompensas</t>
  </si>
  <si>
    <t xml:space="preserve">  Materiales, útiles y equipos menores de oficina</t>
  </si>
  <si>
    <t xml:space="preserve">  Materiales y útiles de impresión y reproducción</t>
  </si>
  <si>
    <t xml:space="preserve">  Material estadístico y geográfico</t>
  </si>
  <si>
    <t xml:space="preserve">  Materiales, útiles y equipos menores de tecnologías de la información y comunicaciones</t>
  </si>
  <si>
    <t xml:space="preserve">  Material impreso e información digital</t>
  </si>
  <si>
    <t xml:space="preserve">  Material de limpieza</t>
  </si>
  <si>
    <t xml:space="preserve">  Materiales y útiles de enseñanza</t>
  </si>
  <si>
    <t xml:space="preserve">  Materiales para el registro e identificación de bienes y personas</t>
  </si>
  <si>
    <t xml:space="preserve">  Productos alimenticios para personas</t>
  </si>
  <si>
    <t xml:space="preserve">  Productos alimenticios para animales</t>
  </si>
  <si>
    <t xml:space="preserve">  Utensilios para el servicio de alimentación</t>
  </si>
  <si>
    <t xml:space="preserve">  Productos alimenticios, agropecuarios y forestales adquiridos como materia prima</t>
  </si>
  <si>
    <t xml:space="preserve">  Insumos textiles adquiridos como materia prima</t>
  </si>
  <si>
    <t xml:space="preserve">  Productos de papel, cartón e impresos adquiridos como materia prima</t>
  </si>
  <si>
    <t xml:space="preserve">  Combustibles, lubricantes, aditivos, carbón y sus derivados adquiridos como materia prima</t>
  </si>
  <si>
    <t xml:space="preserve">  Productos químicos, farmacéuticos y de laboratorio adquiridos como materia prima</t>
  </si>
  <si>
    <t xml:space="preserve">  Productos metálicos y a base de minerales no metálicos adquiridos como materia prima</t>
  </si>
  <si>
    <t xml:space="preserve">  Productos de cuero, piel, plástico y hule adquiridos como materia prima</t>
  </si>
  <si>
    <t xml:space="preserve">  Mercancías adquiridas para su comercialización</t>
  </si>
  <si>
    <t xml:space="preserve">  Otros productos adquiridos como materia prima</t>
  </si>
  <si>
    <t xml:space="preserve">  Productos minerales no metálicos</t>
  </si>
  <si>
    <t xml:space="preserve">  Cemento y productos de concreto</t>
  </si>
  <si>
    <t xml:space="preserve">  Cal, yeso y productos de yeso</t>
  </si>
  <si>
    <t xml:space="preserve">  Madera y productos de madera</t>
  </si>
  <si>
    <t xml:space="preserve">  Vidrio y productos de vidrio</t>
  </si>
  <si>
    <t xml:space="preserve">  Material eléctrico y electrónico</t>
  </si>
  <si>
    <t xml:space="preserve">  Artículos metálicos para la construcción</t>
  </si>
  <si>
    <t xml:space="preserve">  Materiales complementarios</t>
  </si>
  <si>
    <t xml:space="preserve">  Otros materiales y artículos de construcción y reparación</t>
  </si>
  <si>
    <t xml:space="preserve">  Productos químicos básicos</t>
  </si>
  <si>
    <t xml:space="preserve">  Fertilizantes, pesticidas y otros agroquímicos</t>
  </si>
  <si>
    <t xml:space="preserve">  Medicinas y productos farmacéuticos</t>
  </si>
  <si>
    <t xml:space="preserve">  Materiales, accesorios y suministros médicos</t>
  </si>
  <si>
    <t xml:space="preserve">  Materiales, accesorios y suministros de laboratorio</t>
  </si>
  <si>
    <t xml:space="preserve">  Fibras sintéticas, hules plásticos y derivados</t>
  </si>
  <si>
    <t xml:space="preserve">  Otros productos químicos</t>
  </si>
  <si>
    <t xml:space="preserve">  Combustibles, lubricantes y aditivos</t>
  </si>
  <si>
    <t xml:space="preserve">  Carbón y sus derivados</t>
  </si>
  <si>
    <t xml:space="preserve">  Vestuario y uniformes</t>
  </si>
  <si>
    <t xml:space="preserve">  Prendas de seguridad y protección personal</t>
  </si>
  <si>
    <t xml:space="preserve">  Artículos deportivos</t>
  </si>
  <si>
    <t xml:space="preserve">  Productos textiles</t>
  </si>
  <si>
    <t xml:space="preserve">  Blancos y otros productos textiles, excepto prendas de vestir</t>
  </si>
  <si>
    <t xml:space="preserve">  Sustancias y materiales explosivos</t>
  </si>
  <si>
    <t xml:space="preserve">  Materiales de seguridad pública</t>
  </si>
  <si>
    <t xml:space="preserve">  Prendas de protección para seguridad pública y nacional</t>
  </si>
  <si>
    <t xml:space="preserve">  Herramientas menores</t>
  </si>
  <si>
    <t xml:space="preserve">  Refacciones y accesorios menores de edificios</t>
  </si>
  <si>
    <t xml:space="preserve">  Refacciones y accesorios menores de mobiliario  y equipo de administración, educacional y recreativo</t>
  </si>
  <si>
    <t xml:space="preserve">  Refacciones y accesorios menores de equipo de cómputo y tecnologías de la información</t>
  </si>
  <si>
    <t xml:space="preserve">  Refacciones y accesorios menores de equipo e instrumental médico y de laboratorio</t>
  </si>
  <si>
    <t xml:space="preserve">  Refacciones y accesorios menores de equipo de transporte</t>
  </si>
  <si>
    <t xml:space="preserve">  Refacciones y accesorios menores de equipo de defensa y seguridad</t>
  </si>
  <si>
    <t xml:space="preserve">  Refacciones y accesorios menores de maquinaria y otros equipos</t>
  </si>
  <si>
    <t xml:space="preserve">  Refacciones y accesorios menores otros bienes muebles</t>
  </si>
  <si>
    <t xml:space="preserve">  Energía eléctrica</t>
  </si>
  <si>
    <t xml:space="preserve">  Gas </t>
  </si>
  <si>
    <t xml:space="preserve">  Agua</t>
  </si>
  <si>
    <t xml:space="preserve">  Telefonía tradicional</t>
  </si>
  <si>
    <t xml:space="preserve">  Telefonía celular</t>
  </si>
  <si>
    <t xml:space="preserve">  Servicios de telecomunicaciones y satélites</t>
  </si>
  <si>
    <t xml:space="preserve">  Servicios de acceso de Internet, redes y procesamiento de información</t>
  </si>
  <si>
    <t xml:space="preserve">  Servicios postales y telegráficos</t>
  </si>
  <si>
    <t xml:space="preserve">  Servicios integrales y otros servicios</t>
  </si>
  <si>
    <t xml:space="preserve">  Arrendamiento de terrenos</t>
  </si>
  <si>
    <t xml:space="preserve">  Arrendamiento de edificios</t>
  </si>
  <si>
    <t xml:space="preserve">  Arrendamiento de mobiliario y equipo de administración, educacional y recreativo</t>
  </si>
  <si>
    <t xml:space="preserve">  Arrendamiento de equipo e instrumental médico y de laboratorio</t>
  </si>
  <si>
    <t xml:space="preserve">  Arrendamiento de equipo de transporte</t>
  </si>
  <si>
    <t xml:space="preserve">  Arrendamiento de maquinaria, otros equipos y herramientas</t>
  </si>
  <si>
    <t xml:space="preserve">  Arrendamiento de activos intangibles</t>
  </si>
  <si>
    <t xml:space="preserve">  Arrendamiento financiero</t>
  </si>
  <si>
    <t xml:space="preserve">  Otros arrendamientos</t>
  </si>
  <si>
    <t xml:space="preserve">  Servicios legales, de contabilidad, auditoría y relacionados</t>
  </si>
  <si>
    <t xml:space="preserve">  Servicios de diseño, arquitectura, ingeniería y actividades relacionadas</t>
  </si>
  <si>
    <t xml:space="preserve">  Servicios de consultoría administrativa, procesos, técnica y en tecnologías de la información</t>
  </si>
  <si>
    <t xml:space="preserve">  Servicios de capacitación</t>
  </si>
  <si>
    <t xml:space="preserve">  Servicios de investigación científica y desarrollo</t>
  </si>
  <si>
    <t xml:space="preserve">  Servicios de apoyo administrativo, traducción, fotocopiado e impresión</t>
  </si>
  <si>
    <t xml:space="preserve">  Servicios de protección y seguridad</t>
  </si>
  <si>
    <t xml:space="preserve">  Servicios de vigilancia</t>
  </si>
  <si>
    <t xml:space="preserve">  Servicios profesionales, científicos y técnicos integrales</t>
  </si>
  <si>
    <t xml:space="preserve">  Servicios financieros y bancarios</t>
  </si>
  <si>
    <t xml:space="preserve">  Servicios de cobranza, investigación crediticia y similar</t>
  </si>
  <si>
    <t xml:space="preserve">  Servicios de recaudación, traslado y custodia de valores</t>
  </si>
  <si>
    <t xml:space="preserve">  Seguros de responsabilidad patrimonial y fianzas</t>
  </si>
  <si>
    <t xml:space="preserve">  Seguro de bienes patrimoniales</t>
  </si>
  <si>
    <t xml:space="preserve">  Almacenaje, envase y embalaje</t>
  </si>
  <si>
    <t xml:space="preserve">  Fletes y maniobras</t>
  </si>
  <si>
    <t xml:space="preserve">  Comisiones por ventas</t>
  </si>
  <si>
    <t xml:space="preserve">  Servicios financieros, bancarios y comerciales integrales</t>
  </si>
  <si>
    <t xml:space="preserve">  Conservación y mantenimiento menor de inmuebles</t>
  </si>
  <si>
    <t xml:space="preserve">  Instalación, reparación y mantenimiento de mobiliario y equipo de administración, educacional y recreativo</t>
  </si>
  <si>
    <t xml:space="preserve">  Instalación, reparación y mantenimiento de equipo de cómputo y tecnología de la información</t>
  </si>
  <si>
    <t xml:space="preserve">  Instalación, reparación y mantenimiento de equipo e instrumental médico y de laboratorio</t>
  </si>
  <si>
    <t xml:space="preserve">  Reparación y mantenimiento de equipo de transporte</t>
  </si>
  <si>
    <t xml:space="preserve">  Reparación y mantenimiento de equipo de defensa y seguridad</t>
  </si>
  <si>
    <t xml:space="preserve">  Instalación, reparación y mantenimiento de maquinaria, otros equipos y herramienta</t>
  </si>
  <si>
    <t xml:space="preserve">  Servicios de limpieza y manejo de desechos</t>
  </si>
  <si>
    <t xml:space="preserve">  Servicios de jardinería y fumigación</t>
  </si>
  <si>
    <t xml:space="preserve">  Difusión por radio, televisión y otros medios de mensajes sobre programas y actividades gubernamentales</t>
  </si>
  <si>
    <t xml:space="preserve">  Difusión por radio, televisión y otros medios de mensajes comerciales para promover la venta de bienes o servicios</t>
  </si>
  <si>
    <t xml:space="preserve">  Servicios de creatividad, preproducción y producción de publicidad, excepto Internet</t>
  </si>
  <si>
    <t xml:space="preserve">  Servicios de revelado de  fotografías</t>
  </si>
  <si>
    <t xml:space="preserve">  Servicios de la industria fílmica, del sonido y del video</t>
  </si>
  <si>
    <t xml:space="preserve">  Servicio de creación y difusión de contenido exclusivamente a través de Internet</t>
  </si>
  <si>
    <t xml:space="preserve">  Otros servicios de información</t>
  </si>
  <si>
    <t xml:space="preserve">  Pasajes aéreos</t>
  </si>
  <si>
    <t xml:space="preserve">  Pasajes terrestres</t>
  </si>
  <si>
    <t xml:space="preserve">  Pasajes marítimos, lacustres y fluviales</t>
  </si>
  <si>
    <t xml:space="preserve">  Autotransporte</t>
  </si>
  <si>
    <t xml:space="preserve">  Viáticos en el país</t>
  </si>
  <si>
    <t xml:space="preserve">  Viáticos en el extranjero </t>
  </si>
  <si>
    <t xml:space="preserve">  Gastos de instalación y traslado de menaje</t>
  </si>
  <si>
    <t xml:space="preserve">  Servicios integrales de traslado y viáticos</t>
  </si>
  <si>
    <t xml:space="preserve">  Otros servicios de traslado y hospedaje</t>
  </si>
  <si>
    <t xml:space="preserve">  Gastos de ceremonial</t>
  </si>
  <si>
    <t xml:space="preserve">  Gastos de orden  social y cultural</t>
  </si>
  <si>
    <t xml:space="preserve">  Congresos y convenciones</t>
  </si>
  <si>
    <t xml:space="preserve">  Exposiciones</t>
  </si>
  <si>
    <t xml:space="preserve">  Gastos de representación</t>
  </si>
  <si>
    <t xml:space="preserve">  Servicios funerarios y de cementerios</t>
  </si>
  <si>
    <t xml:space="preserve">  Impuestos y derechos</t>
  </si>
  <si>
    <t xml:space="preserve">  Impuestos y derechos de importación</t>
  </si>
  <si>
    <t xml:space="preserve">  Sentencias y resoluciones por autoridad competente</t>
  </si>
  <si>
    <t xml:space="preserve">  Penas, multas, accesorios y actualizaciones</t>
  </si>
  <si>
    <t xml:space="preserve">  Otros gastos por responsabilidades</t>
  </si>
  <si>
    <t xml:space="preserve">  Utilidades</t>
  </si>
  <si>
    <t xml:space="preserve">  Impuesto sobre nómina y otros que se deriven de una relación laboral</t>
  </si>
  <si>
    <t xml:space="preserve">  Otros servicios generales</t>
  </si>
  <si>
    <t xml:space="preserve"> TRANSFERENCIAS, ASIGNACIONES, SUBSIDIOS Y OTRAS  AYUDAS</t>
  </si>
  <si>
    <t xml:space="preserve">  Asignaciones presupuestarias al Poder Ejecutivo</t>
  </si>
  <si>
    <t xml:space="preserve">  Asignaciones presupuestarias al Poder Legislativo</t>
  </si>
  <si>
    <t xml:space="preserve">  Asignaciones presupuestarias al Poder Judicial</t>
  </si>
  <si>
    <t xml:space="preserve">  Asignaciones presupuestarias a Órganos Autónomos</t>
  </si>
  <si>
    <t xml:space="preserve">  Transferencias internas otorgadas a entidades paraestatales no empresariales y no financieras</t>
  </si>
  <si>
    <t xml:space="preserve">  Transferencias internas otorgadas a entidades paraestatales empresariales y no financieras</t>
  </si>
  <si>
    <t xml:space="preserve">  Transferencias internas otorgadas a fideicomisos públicos empresariales y no financieros</t>
  </si>
  <si>
    <t xml:space="preserve">  Transferencias internas otorgadas a instituciones paraestatales públicas financieras</t>
  </si>
  <si>
    <t xml:space="preserve">  Transferencias internas otorgadas a fideicomisos públicos financieros</t>
  </si>
  <si>
    <t>TRANSFERENCIAS  AL RESTO DEL SECTOR PÚBLICO</t>
  </si>
  <si>
    <t xml:space="preserve">  Transferencias otorgadas a entidades paraestatales no empresariales y no financieras</t>
  </si>
  <si>
    <t xml:space="preserve">  Transferencias otorgadas para entidades paraestatales empresariales y no financieras</t>
  </si>
  <si>
    <t xml:space="preserve">  Transferencias otorgadas para instituciones paraestatales públicas financieras  </t>
  </si>
  <si>
    <t>52220-12</t>
  </si>
  <si>
    <t xml:space="preserve">  Subsidios a la producción</t>
  </si>
  <si>
    <t xml:space="preserve">  Subsidios a la distribución</t>
  </si>
  <si>
    <t xml:space="preserve">  Subsidios a la inversión</t>
  </si>
  <si>
    <t xml:space="preserve">  Subsidios a la prestación de servicios públicos</t>
  </si>
  <si>
    <t xml:space="preserve">  Subsidios para cubrir diferenciales de tasas de interés</t>
  </si>
  <si>
    <t xml:space="preserve">  Subsidios a la vivienda </t>
  </si>
  <si>
    <t xml:space="preserve">  Subsidios a entidades federativas y municipios</t>
  </si>
  <si>
    <t xml:space="preserve">  Otros subsidios</t>
  </si>
  <si>
    <t xml:space="preserve">Subvenciones  </t>
  </si>
  <si>
    <t xml:space="preserve">  Subvenciones al consumo</t>
  </si>
  <si>
    <t xml:space="preserve">  Ayudas sociales a personas </t>
  </si>
  <si>
    <t xml:space="preserve">Becas   </t>
  </si>
  <si>
    <t xml:space="preserve">  Ayudas sociales a instituciones de enseñanza</t>
  </si>
  <si>
    <t xml:space="preserve">  Ayudas sociales a actividades científicas o académicas</t>
  </si>
  <si>
    <t xml:space="preserve">  Ayudas sociales a instituciones sin fines de lucro</t>
  </si>
  <si>
    <t xml:space="preserve">  Ayudas sociales a cooperativas</t>
  </si>
  <si>
    <t xml:space="preserve">  Ayudas sociales a entidades de interés público</t>
  </si>
  <si>
    <t xml:space="preserve">  Ayudas por desastres naturales y otros siniestros</t>
  </si>
  <si>
    <t xml:space="preserve">  Pensiones</t>
  </si>
  <si>
    <t xml:space="preserve">  Jubilaciones</t>
  </si>
  <si>
    <t xml:space="preserve">  Otras pensiones y jubilaciones</t>
  </si>
  <si>
    <t xml:space="preserve">  Transferencias a fideicomisos del Poder Ejecutivo</t>
  </si>
  <si>
    <t xml:space="preserve">  Transferencias a fideicomisos del Poder Legislativo</t>
  </si>
  <si>
    <t xml:space="preserve">  Transferencias a fideicomisos del Poder Judicial</t>
  </si>
  <si>
    <t xml:space="preserve">  Transferencias a fideicomisos públicos de entidades paraestatales no empresariales y no financieras</t>
  </si>
  <si>
    <t xml:space="preserve">  Transferencias a fideicomisos públicos de entidades paraestatales empresariales y no financieras</t>
  </si>
  <si>
    <t xml:space="preserve">  Transferencias a fideicomisos de instituciones públicas financieras</t>
  </si>
  <si>
    <t xml:space="preserve">  Otras transferencias a fideicomisos   </t>
  </si>
  <si>
    <t xml:space="preserve">  Transferencias por obligación de ley</t>
  </si>
  <si>
    <t xml:space="preserve">  Donativos a instituciones sin fines de lucro</t>
  </si>
  <si>
    <t xml:space="preserve">  Donativos a entidades federativas </t>
  </si>
  <si>
    <t>Donativos a fideicomisos, mandatos y contratos análogos privados</t>
  </si>
  <si>
    <t xml:space="preserve">  Donativos a fideicomisos privados</t>
  </si>
  <si>
    <t>Donativos a fideicomisos, mandatos y contratos análogos estatales</t>
  </si>
  <si>
    <t xml:space="preserve">  Donativos a fideicomisos estatales</t>
  </si>
  <si>
    <t>Donativos internacional</t>
  </si>
  <si>
    <t xml:space="preserve">  Donativos internacional</t>
  </si>
  <si>
    <t xml:space="preserve">  Transferencias para el sector privado externo</t>
  </si>
  <si>
    <t xml:space="preserve"> PARTICIPACIONES Y APORTACIONES</t>
  </si>
  <si>
    <t xml:space="preserve">  Fondo general de participaciones</t>
  </si>
  <si>
    <t xml:space="preserve">  Otros conceptos participables de la Federación a entidades federativas</t>
  </si>
  <si>
    <t xml:space="preserve">  Fondo de fomento municipal</t>
  </si>
  <si>
    <t xml:space="preserve">  Participaciones de las entidades federativas a los municipios</t>
  </si>
  <si>
    <t xml:space="preserve">  Otros conceptos participables de la Federación a municipios</t>
  </si>
  <si>
    <t xml:space="preserve">  Convenios de colaboración administrativa</t>
  </si>
  <si>
    <t xml:space="preserve">  Aportaciones de la Federación a las entidades federativas</t>
  </si>
  <si>
    <t xml:space="preserve">  Aportaciones de la Federación a municipios</t>
  </si>
  <si>
    <t xml:space="preserve">  Aportaciones  previstas en leyes y decretos al sistema de protección social</t>
  </si>
  <si>
    <t xml:space="preserve">  Aportaciones previstas en leyes y decretos compensatorias a entidades federativas y municipios</t>
  </si>
  <si>
    <t xml:space="preserve">  Aportaciones de las entidades federativas a los municipios</t>
  </si>
  <si>
    <t xml:space="preserve">  Convenios de reasignación</t>
  </si>
  <si>
    <t xml:space="preserve">  Convenios de descentralización</t>
  </si>
  <si>
    <t xml:space="preserve">  Otros convenios</t>
  </si>
  <si>
    <t xml:space="preserve"> INTERESES, COMISIONES Y OTROS GASTOS DE LA DEUDA PÚBLICA</t>
  </si>
  <si>
    <t xml:space="preserve">  Intereses de la deuda interna con instituciones de crédito</t>
  </si>
  <si>
    <t xml:space="preserve">  Intereses derivados de la colocación de títulos y valores</t>
  </si>
  <si>
    <t xml:space="preserve">  Intereses por arrendamientos  financieros nacionales</t>
  </si>
  <si>
    <t xml:space="preserve">  Intereses de la deuda externa con instituciones de crédito </t>
  </si>
  <si>
    <t xml:space="preserve">  Intereses de la deuda con organismos financieros internacionales</t>
  </si>
  <si>
    <t xml:space="preserve">  Intereses de la deuda bilateral  </t>
  </si>
  <si>
    <t xml:space="preserve">  Intereses derivados de la colocación de títulos y valores en el exterior</t>
  </si>
  <si>
    <t xml:space="preserve">  Intereses por arrendamientos financieros internacionales</t>
  </si>
  <si>
    <t xml:space="preserve">  Comisiones de la deuda pública interna</t>
  </si>
  <si>
    <t xml:space="preserve">  Comisiones de la deuda pública externa</t>
  </si>
  <si>
    <t xml:space="preserve">  Gastos de la deuda pública interna</t>
  </si>
  <si>
    <t xml:space="preserve">  Gastos de la deuda pública externa</t>
  </si>
  <si>
    <t xml:space="preserve">  Costo por coberturas</t>
  </si>
  <si>
    <t xml:space="preserve">  Apoyos financieros a intermediarios</t>
  </si>
  <si>
    <t xml:space="preserve">  Apoyos financieros a ahorradores y deudores del sistema financiero nacional</t>
  </si>
  <si>
    <t xml:space="preserve"> OTROS GASTOS Y PÉRDIDAS EXTRAORDINARIAS</t>
  </si>
  <si>
    <t xml:space="preserve"> INVERSIÓN PÚBLICA</t>
  </si>
  <si>
    <t>TOTAL DE GASTOS Y OTRAS PERDIDAS</t>
  </si>
  <si>
    <t>RESULTADOS DEL EJERCICIO (AHORRO/DESAHORRO)</t>
  </si>
  <si>
    <t>Encargado de la Hacienda Pública Municipal o
 Responsable de las finanzas del ente público</t>
  </si>
  <si>
    <t>Estado de Actividades</t>
  </si>
  <si>
    <t xml:space="preserve">    Ingresos de Gestión</t>
  </si>
  <si>
    <t xml:space="preserve">        Impuestos</t>
  </si>
  <si>
    <t xml:space="preserve">        Cuotas y Aportaciones de Seguridad Social</t>
  </si>
  <si>
    <t xml:space="preserve">        Contribuciones de Mejoras</t>
  </si>
  <si>
    <t xml:space="preserve">        Derechos</t>
  </si>
  <si>
    <t xml:space="preserve">        Productos</t>
  </si>
  <si>
    <t xml:space="preserve">        Aprovechamientos</t>
  </si>
  <si>
    <t xml:space="preserve">        Ingresos por Venta de Bienes y Prestación de Servicios</t>
  </si>
  <si>
    <t>Participaciones, Aportaciones, Convenios, Incentivos Derivados de la Colaboración Fiscal, Fondos Distintos de Aportaciones, Transferencias, Asignaciones, Subsidios y Subvenciones, y Pensiones y Jubilaciones</t>
  </si>
  <si>
    <t xml:space="preserve">    Participaciones, Aportaciones, Convenios, Incentivos Derivados de la Colaboración Fiscal y Fondos Distintos de Aportaciones</t>
  </si>
  <si>
    <t xml:space="preserve">    Transferencias, Asignaciones, Subsidios y Subvenciones, Pensiones y Jubilaciones</t>
  </si>
  <si>
    <t xml:space="preserve">    Otros Ingresos y Beneficios</t>
  </si>
  <si>
    <t xml:space="preserve">    Ingresos Financieros</t>
  </si>
  <si>
    <t xml:space="preserve">    Incremento por Variación de Inventarios</t>
  </si>
  <si>
    <t xml:space="preserve">    Disminución del Exceso de Estimaciones por Pérdida o Deterioro u Obsolescencia</t>
  </si>
  <si>
    <t xml:space="preserve">    Disminución del Exceso de Provisiones</t>
  </si>
  <si>
    <t xml:space="preserve">    Otros Ingresos y Beneficios Varios</t>
  </si>
  <si>
    <t>Total de Ingresos y Otros Beneficios</t>
  </si>
  <si>
    <t xml:space="preserve">   Gastos de Funcionamiento</t>
  </si>
  <si>
    <t xml:space="preserve">    Servicios Personales</t>
  </si>
  <si>
    <t xml:space="preserve">    Materiales y Suministros</t>
  </si>
  <si>
    <t xml:space="preserve">    Servicios Generales</t>
  </si>
  <si>
    <t xml:space="preserve">   Transferencias, Asignaciones, Subsidios y Otras ayudas</t>
  </si>
  <si>
    <t xml:space="preserve">    Transferencias Internas y Asignaciones al Sector Público</t>
  </si>
  <si>
    <t xml:space="preserve">    Transferencias al Resto del Sector Público</t>
  </si>
  <si>
    <t xml:space="preserve">    Subsidios y Subvenciones</t>
  </si>
  <si>
    <t xml:space="preserve">    Ayudas Sociales</t>
  </si>
  <si>
    <t xml:space="preserve">    Pensiones y Jubilaciones</t>
  </si>
  <si>
    <t xml:space="preserve">    Transferencias a Fideicomisos, Mandatos y Contratos Análogos</t>
  </si>
  <si>
    <t xml:space="preserve">    Transferencias a la Seguridad Social</t>
  </si>
  <si>
    <t xml:space="preserve">    Donativos</t>
  </si>
  <si>
    <t xml:space="preserve">    Transferencias al Exterior</t>
  </si>
  <si>
    <t xml:space="preserve">  Participaciones y Aportaciones</t>
  </si>
  <si>
    <t xml:space="preserve">    Participaciones</t>
  </si>
  <si>
    <t xml:space="preserve">    Convenios</t>
  </si>
  <si>
    <t xml:space="preserve">  Intereses, Comisiones y Otros gastos de la Deuda Pública</t>
  </si>
  <si>
    <t xml:space="preserve">    Intereses de la Deuda Pública</t>
  </si>
  <si>
    <t xml:space="preserve">    Comisiones de la Deuda Pública</t>
  </si>
  <si>
    <t xml:space="preserve">    Gastos de la Deuda Pública</t>
  </si>
  <si>
    <t xml:space="preserve">    Costos por Coberturas</t>
  </si>
  <si>
    <t xml:space="preserve">    Apoyos Financieros</t>
  </si>
  <si>
    <t xml:space="preserve">  Otros Gastos y Pérdidas Extraordinarias</t>
  </si>
  <si>
    <t xml:space="preserve">    Estimaciones, Depreciaciones, Deterioro, Obsolescencia y Amortizaciones</t>
  </si>
  <si>
    <t xml:space="preserve">    Provisiones</t>
  </si>
  <si>
    <t xml:space="preserve">    Disminución de Inventarios</t>
  </si>
  <si>
    <t xml:space="preserve">    Otros Gastos</t>
  </si>
  <si>
    <t xml:space="preserve">  Inversión Pública</t>
  </si>
  <si>
    <t xml:space="preserve">    Inversión Pública no Capitalizable</t>
  </si>
  <si>
    <t>Total de Gastos y Otras Perdidas</t>
  </si>
  <si>
    <t>Resultado del Ejercicio (Ahorro/Desahorro)</t>
  </si>
  <si>
    <t>Estado de Variación en la Hacienda Pública</t>
  </si>
  <si>
    <t>Hacienda Pública / Patrimonio Contribuido</t>
  </si>
  <si>
    <t>Hacienda Pública/Patrimonio Generado de Ejercicios Anteriores</t>
  </si>
  <si>
    <t>Hacienda Pública/Patrimonio Generado del Ejercicio</t>
  </si>
  <si>
    <t>Donaciones de Capital</t>
  </si>
  <si>
    <t>Actualización de la Hacienda Pública/Patrimonio</t>
  </si>
  <si>
    <t>Resultados del Ejercicio (Ahorro/Desahorro)</t>
  </si>
  <si>
    <t>Resultados de Ejercicios Anteriores</t>
  </si>
  <si>
    <t>Revalúos</t>
  </si>
  <si>
    <t>Reservas</t>
  </si>
  <si>
    <t>Rectificaciones de Resultados de Ejercicios Anteriores</t>
  </si>
  <si>
    <t xml:space="preserve">Resultado por Posición Monetaria </t>
  </si>
  <si>
    <t>Resultado por Tenencia de Activos no Monetarios</t>
  </si>
  <si>
    <t xml:space="preserve">Resultados por Posición Monetaria </t>
  </si>
  <si>
    <t xml:space="preserve">Resultados por Tenencia de Activos no Monetarios </t>
  </si>
  <si>
    <t>Encargado de la Hacienda Municipal o Responsable
de las finanzas del ente público</t>
  </si>
  <si>
    <t>Conciliación entre los Ingresos Presupuestarios y Contables</t>
  </si>
  <si>
    <t>1. Total de Ingresos Presupuestarios</t>
  </si>
  <si>
    <t>2. Más Ingresos Contables No Presupuestarios</t>
  </si>
  <si>
    <t>2.1 Ingresos Financieros</t>
  </si>
  <si>
    <t>2.2 Incremento por Variación de Inventarios</t>
  </si>
  <si>
    <t>2.3 Disminución del Exceso de Estimaciones por Pérdida o Deterioro u Obsolescencia</t>
  </si>
  <si>
    <t>2.4 Disminución del Exceso de Provisiones</t>
  </si>
  <si>
    <t>2.5 Otros Ingresos y Beneficios Varios</t>
  </si>
  <si>
    <t>2.6 Otros Ingresos Contables No Presupuestarios</t>
  </si>
  <si>
    <t>3. Menos Ingresos Presupuestarios No Contables</t>
  </si>
  <si>
    <t>3.1 Aprovechamientos Patrimoniales</t>
  </si>
  <si>
    <t>3.2 Ingresos Derivados de Financiamientos</t>
  </si>
  <si>
    <t>3.3 Otros Ingresos Presupuestarios No Contables</t>
  </si>
  <si>
    <t>4. Total de Ingresos Contables</t>
  </si>
  <si>
    <t>Conciliación entre los Egresos Presupuestarios y los Gastos Contables</t>
  </si>
  <si>
    <t>1. Total de Egresos Presupuestarios</t>
  </si>
  <si>
    <t>2. Menos Egresos Presupuestarios No Contables</t>
  </si>
  <si>
    <t>2.1 Materias Primas y Materiales de Producción y Comercialización</t>
  </si>
  <si>
    <t>2.2 Materiales y Suministros</t>
  </si>
  <si>
    <t>2.3 Mobiliario y Equipo de Administración</t>
  </si>
  <si>
    <t>2.4 Mobiliario y Equipo Educacional y Recreativo</t>
  </si>
  <si>
    <t>2.5 Equipo e Instrumental Médico y de Laboratorio</t>
  </si>
  <si>
    <t>2.6 Vehículos y Equipo de Transporte</t>
  </si>
  <si>
    <t>2.7 Equipo de Defensa y Seguridad</t>
  </si>
  <si>
    <t>2.8 Maquinaria, Otros Equipos y Herramientas</t>
  </si>
  <si>
    <t>2.9 Activos Biológicos</t>
  </si>
  <si>
    <t>2.10 Bienes Inmuebles</t>
  </si>
  <si>
    <t>2.11 Activos Intangibles</t>
  </si>
  <si>
    <t>2.12 Obra Pública en Bienes de Dominio Público</t>
  </si>
  <si>
    <t>2.13 Obra Pública en Bienes Propios</t>
  </si>
  <si>
    <t>2.14 Acciones y Participaciones de Capital</t>
  </si>
  <si>
    <t>2.15 Compra de Títulos y Valores</t>
  </si>
  <si>
    <t>2.16 Concesión de Préstamos</t>
  </si>
  <si>
    <t>2.17 Inversiones en Fideicomisos, Mandatos y Otros Análogos</t>
  </si>
  <si>
    <t>2.18 Provisiones para Contingencias y Otras Erogaciones Especiales</t>
  </si>
  <si>
    <t>2.19 Amortización de la Deuda Pública</t>
  </si>
  <si>
    <t>2.20 Adeudos de Ejercicios Fiscales Anteriores (ADEFAS)</t>
  </si>
  <si>
    <t>2.21 Otros Egresos Presupuestales No Contables</t>
  </si>
  <si>
    <t>3. Más Gastos Contables No Presupuestales</t>
  </si>
  <si>
    <t>3.1 Estimaciones, Depreciaciones, Deterioros, Obsolescencia y Amortizaciones</t>
  </si>
  <si>
    <t>3.2 Previsiones</t>
  </si>
  <si>
    <t>3.3 Disminución de Inventarios</t>
  </si>
  <si>
    <t>3.4 Otros gastos</t>
  </si>
  <si>
    <t>3.5 Inversión Pública no Capitalizable</t>
  </si>
  <si>
    <t>3.6 Materiales y Suministros (consumos)</t>
  </si>
  <si>
    <t>3.7 Otros Gastos Contables No Presupuestarios</t>
  </si>
  <si>
    <t>4. Total de Gastos Contables</t>
  </si>
  <si>
    <t>Estado Analítico del Activo</t>
  </si>
  <si>
    <t>Saldo Inicial</t>
  </si>
  <si>
    <t>Cargos del Periodo</t>
  </si>
  <si>
    <t>Abonos del Periodo</t>
  </si>
  <si>
    <t>Saldo Final</t>
  </si>
  <si>
    <t>Variación del Periodo</t>
  </si>
  <si>
    <t>Efectivo y Equivalentes</t>
  </si>
  <si>
    <t>Derechos a Recibir Efectivo o Equivalentes</t>
  </si>
  <si>
    <t>Derechos a Recibir Bienes o Servicios</t>
  </si>
  <si>
    <t>Inventarios</t>
  </si>
  <si>
    <t>Almacenes</t>
  </si>
  <si>
    <t>Estimación por Pérdida o Deterioro de Activos Circulantes</t>
  </si>
  <si>
    <t>Otros Activos Circulantes</t>
  </si>
  <si>
    <t>Activo No Circulante</t>
  </si>
  <si>
    <t>Inversiones Financieras a Largo Plazo</t>
  </si>
  <si>
    <t>Derechos a Recibir Efectivo o Equivalentes a Largo Plazo</t>
  </si>
  <si>
    <t>Activos Intangibles</t>
  </si>
  <si>
    <t>Depreciación, Deterioro y Amortización Acumulada de Bienes</t>
  </si>
  <si>
    <t>Activos Diferidos</t>
  </si>
  <si>
    <t>Estimación por Pérdida o Deterioro de Activos no Circulantes</t>
  </si>
  <si>
    <t>Otros Activos no Circulantes</t>
  </si>
  <si>
    <t>Bajo protesta de decir verdad declaramos que los Estados Financieros y sus notas, son razonablemente correctos y son resposabilidad del emisor.</t>
  </si>
  <si>
    <t>Informe Analítico del Clasificador por Rubro de Ingresos</t>
  </si>
  <si>
    <t>Rubro de ingresos</t>
  </si>
  <si>
    <t xml:space="preserve">Apliación / (Reducción) </t>
  </si>
  <si>
    <t>TOTAL</t>
  </si>
  <si>
    <t>Estado Analítico de Ingresos Detallado - LDF</t>
  </si>
  <si>
    <t>Ampliaciónes/ (Reducciones)</t>
  </si>
  <si>
    <t>Ingresos de Libre Disposición</t>
  </si>
  <si>
    <t>A. Impuestos</t>
  </si>
  <si>
    <t xml:space="preserve">B. Cuotas y Aportaciones de Seguridad Social </t>
  </si>
  <si>
    <t xml:space="preserve">C. Contribuciones de Mejoras </t>
  </si>
  <si>
    <t>D. Derechos</t>
  </si>
  <si>
    <t>E. Productos</t>
  </si>
  <si>
    <t>F. Aprovechamientos</t>
  </si>
  <si>
    <t xml:space="preserve">G. Ingresos por Ventas de Bienes y Prestación de Servicios </t>
  </si>
  <si>
    <t>H. Participaciones</t>
  </si>
  <si>
    <t>h1) Fondo General de Participaciones</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</si>
  <si>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</si>
  <si>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</si>
  <si>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</si>
  <si>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</si>
  <si>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</si>
  <si>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</si>
  <si>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</si>
  <si>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</si>
  <si>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 Impuesto Sobre la Renta</t>
  </si>
  <si>
    <t>h11) Fondo de Estabilización de los Ingresos de las Entidades Federativas</t>
  </si>
  <si>
    <t>I. Incentivos Derivados de la Colaboración Fiscal</t>
  </si>
  <si>
    <t>i1) Tenencia o Uso de Vehículos</t>
  </si>
  <si>
    <t>i2) Fondo de Compensación ISAN</t>
  </si>
  <si>
    <t>i3) Impuesto Sobre Automóviles Nuevos</t>
  </si>
  <si>
    <t>i4) Fondo de Compensación de Repecos-Intermedios</t>
  </si>
  <si>
    <t>i5) Otros Incentivos Económicos</t>
  </si>
  <si>
    <t>J. Transferencias y Asignaciones</t>
  </si>
  <si>
    <t>K. Convenios</t>
  </si>
  <si>
    <t>k1) Otros Convenios y Subsidios</t>
  </si>
  <si>
    <t>L. Otros Ingresos de Libre Disposición</t>
  </si>
  <si>
    <t>l1) Participaciones en Ingresos Locales</t>
  </si>
  <si>
    <t>i2) Otros Ingresos de Libre Disposición</t>
  </si>
  <si>
    <t>I. Total de Ingresos de Libre Disposición</t>
  </si>
  <si>
    <t>Ingresos Excedentes de Ingresos de Libre Disposición</t>
  </si>
  <si>
    <t>Transferencias Federales Etiquetadas</t>
  </si>
  <si>
    <t>A. Aportaciones</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</si>
  <si>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</si>
  <si>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</si>
  <si>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</si>
  <si>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</si>
  <si>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</si>
  <si>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</si>
  <si>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</si>
  <si>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</si>
  <si>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t>
  </si>
  <si>
    <t>b1) Convenios de Protección Social en Salud</t>
  </si>
  <si>
    <t>b2) Convenios de Descentralización</t>
  </si>
  <si>
    <t>b3) Convenios de Reasignación</t>
  </si>
  <si>
    <t>b4) Otros Convenios y Subsidios</t>
  </si>
  <si>
    <t>C. Fondos Distintos de Aportaciones</t>
  </si>
  <si>
    <t>c1) Fondo para Entidades Federativas y Municipios Productores de Hidrocarburos</t>
  </si>
  <si>
    <t>c2) Fondo Minero</t>
  </si>
  <si>
    <t>D. Transferencias, Asignaciones, Subsidios y Subvenciones, y Pensiones y Jubilaciones</t>
  </si>
  <si>
    <t>E. Otras Transferencias Federales Etiquetadas</t>
  </si>
  <si>
    <t>II. Total de Transferencias Federales Etiquetadas</t>
  </si>
  <si>
    <t>III. Ingresos Derivados de Financiamientos</t>
  </si>
  <si>
    <t>A. Ingresos Derivados de Financiamientos</t>
  </si>
  <si>
    <t xml:space="preserve">IV. Total de Ingresos </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</si>
  <si>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</si>
  <si>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</si>
  <si>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</si>
  <si>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t>
  </si>
  <si>
    <t>Estado Analítico del Ejercicio del Prespuesto de Egresos</t>
  </si>
  <si>
    <t>Clasificación por Objeto del Gasto (Capítulo y Concepto)</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</si>
  <si>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</si>
  <si>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</si>
  <si>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</si>
  <si>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</si>
  <si>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</si>
  <si>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</si>
  <si>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</si>
  <si>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</si>
  <si>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</si>
  <si>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</si>
  <si>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</si>
  <si>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</si>
  <si>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</si>
  <si>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</si>
  <si>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</si>
  <si>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</si>
  <si>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</si>
  <si>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</si>
  <si>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</si>
  <si>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</si>
  <si>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</si>
  <si>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</si>
  <si>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</si>
  <si>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</si>
  <si>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</si>
  <si>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</si>
  <si>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Subsidios y Subvenciones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</si>
  <si>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</si>
  <si>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</si>
  <si>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</si>
  <si>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</si>
  <si>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</si>
  <si>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</si>
  <si>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</si>
  <si>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</si>
  <si>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</si>
  <si>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</si>
  <si>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</si>
  <si>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</si>
  <si>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</si>
  <si>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</si>
  <si>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</si>
  <si>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</si>
  <si>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</si>
  <si>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</si>
  <si>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</si>
  <si>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</si>
  <si>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</si>
  <si>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</si>
  <si>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</si>
  <si>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</si>
  <si>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</si>
  <si>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</si>
  <si>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</si>
  <si>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</si>
  <si>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</si>
  <si>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</si>
  <si>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Fiscales Anteriores (Adefas)</t>
  </si>
  <si>
    <t>Total del Egreso</t>
  </si>
  <si>
    <t>Estado Analítico del Ejercicio del Presupuesto de Egresos Detallado - LDF
Clasificación por Objeto del Gasto (Capítulo y Concepto)</t>
  </si>
  <si>
    <t>I</t>
  </si>
  <si>
    <t>A</t>
  </si>
  <si>
    <t>a1) Remuneraciones al Personal de Carácter Permanente</t>
  </si>
  <si>
    <t>a2) Remuneraciones al Personal de Carácter Transitorio</t>
  </si>
  <si>
    <t>a3) Remuneraciones Adicionales Especiales</t>
  </si>
  <si>
    <t>a4) Seguridad Social</t>
  </si>
  <si>
    <t>a5) Otras Prestaciones Sociales y Económicas</t>
  </si>
  <si>
    <t>a6) Previsiones</t>
  </si>
  <si>
    <t>a7) Pago de Estímulos a Servidores Públicos</t>
  </si>
  <si>
    <t>B</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</si>
  <si>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</si>
  <si>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</si>
  <si>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</si>
  <si>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</si>
  <si>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</si>
  <si>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</si>
  <si>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</si>
  <si>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</si>
  <si>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</si>
  <si>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</si>
  <si>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</si>
  <si>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</si>
  <si>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</si>
  <si>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</si>
  <si>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</si>
  <si>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</si>
  <si>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</si>
  <si>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</si>
  <si>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</si>
  <si>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</si>
  <si>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</si>
  <si>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</si>
  <si>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</si>
  <si>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</si>
  <si>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</si>
  <si>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</si>
  <si>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</si>
  <si>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</si>
  <si>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</si>
  <si>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t>
  </si>
  <si>
    <t>e1) Mobiliario y Equipo de Administración</t>
  </si>
  <si>
    <t>e2) Mobiliario y Equipo Educacional y Recreativo</t>
  </si>
  <si>
    <t>e3) Equipo Instrumental Médico y de Laboratorio</t>
  </si>
  <si>
    <t>e4) Vehículos y Equipo de Transporte</t>
  </si>
  <si>
    <t>e5) Equipo de Defensa y Seguridad</t>
  </si>
  <si>
    <t>e6) Maquinaria, Otros Equipos y Herramientas</t>
  </si>
  <si>
    <t>e7) Activos Biológicos</t>
  </si>
  <si>
    <t>e8) Bienes Inmuebles</t>
  </si>
  <si>
    <t>e9) Activos Intangibles</t>
  </si>
  <si>
    <t>F</t>
  </si>
  <si>
    <t>f1) Obra Pública en Bienes de Dominio Público</t>
  </si>
  <si>
    <t>f2) Obra Pública en Bienes Propios</t>
  </si>
  <si>
    <t>f3) Proyectos Productivos y Acciones de Fomento</t>
  </si>
  <si>
    <t>G</t>
  </si>
  <si>
    <t>g1) Inversiones Para el Fomento de Actividades Productivas</t>
  </si>
  <si>
    <t>g2) Acciones y Participaciones de Capital</t>
  </si>
  <si>
    <t>g3) Compra de Títulos y Valores</t>
  </si>
  <si>
    <t>g4 ) Concesión de Préstamos</t>
  </si>
  <si>
    <t>g5) Inversiones en Fideicomisos, Mandatos y Otros Análogos
       Fideicomisos de Desastres Naturales (Informativo)</t>
  </si>
  <si>
    <t>g6) Otras Inversiones Financieras</t>
  </si>
  <si>
    <t>g7) Provisiones para Contingencias y Otras Erogaciones Especiales</t>
  </si>
  <si>
    <t>H</t>
  </si>
  <si>
    <t>h1) Participaciones</t>
  </si>
  <si>
    <t>h2) Aportaciones</t>
  </si>
  <si>
    <t>h3) Convenios</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</si>
  <si>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</si>
  <si>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</si>
  <si>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</si>
  <si>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</si>
  <si>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</si>
  <si>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</si>
  <si>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</si>
  <si>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t>
  </si>
  <si>
    <t>a3) Remuneraciones Adicionales y Especiales</t>
  </si>
  <si>
    <t>Materiales Y Suministros</t>
  </si>
  <si>
    <t>Transferencias, Asignaciones, Subsidios Y Otras Ayudas</t>
  </si>
  <si>
    <t>Bienes Muebles, Inmuebles E Intangibles</t>
  </si>
  <si>
    <t>e3) Equipo e Instrumental Médico y de Laboratorio</t>
  </si>
  <si>
    <t>Inversiones Financieras Y Otras Provisiones</t>
  </si>
  <si>
    <t>Participaciones Y Aportaciones</t>
  </si>
  <si>
    <t>Flujo Contable de Ingresos y Egresos</t>
  </si>
  <si>
    <t>TÍTULO</t>
  </si>
  <si>
    <t>INGRESO</t>
  </si>
  <si>
    <t>ESTIMADO</t>
  </si>
  <si>
    <t>AMPLIACIÓN Y REDUCCIÓN</t>
  </si>
  <si>
    <t>MODIFICADO</t>
  </si>
  <si>
    <t>DEVENGADO</t>
  </si>
  <si>
    <t>AVANCE FINANCIERO</t>
  </si>
  <si>
    <t>PENDIENTE DE INGRESAR</t>
  </si>
  <si>
    <t>CAPÍTULO</t>
  </si>
  <si>
    <t>EGRESOS</t>
  </si>
  <si>
    <t>APROBADO</t>
  </si>
  <si>
    <t>AMPLIACIONES/ (REDUCCIONES)</t>
  </si>
  <si>
    <t>PENDIENTE POR EJERCER</t>
  </si>
  <si>
    <t>Transferencias, asignaciones, subsidios y otras ayudas</t>
  </si>
  <si>
    <t>Estado de Cambios en la Situación Financiera</t>
  </si>
  <si>
    <t xml:space="preserve">                                                               (Cifras en Pesos)</t>
  </si>
  <si>
    <t>Efectivo y equivalentes</t>
  </si>
  <si>
    <t xml:space="preserve">Inventarios </t>
  </si>
  <si>
    <t>Cuentas por Pagar a Corto Plazo</t>
  </si>
  <si>
    <t>Documentos por Pagar a Corto Plazo</t>
  </si>
  <si>
    <t>Porción a Corto Plazo de la Deuda Pública a Largo Plazo</t>
  </si>
  <si>
    <t>Títulos y Valores a Corto Plazo</t>
  </si>
  <si>
    <t>Pasivos Diferidos a Corto Plazo</t>
  </si>
  <si>
    <t>Fondos y Bienes de Terceros en Garantía y/o Administración a Corto Plazo</t>
  </si>
  <si>
    <t>Provisiones a Corto Plazo</t>
  </si>
  <si>
    <t>Otros Pasivos a Corto Plazo</t>
  </si>
  <si>
    <t>Pasivo No Circulante</t>
  </si>
  <si>
    <t>Cuentas por Pagar a Largo Plazo</t>
  </si>
  <si>
    <t>Documentos por Pagar a Largo Plazo</t>
  </si>
  <si>
    <t>Deuda Pública a Largo Plazo</t>
  </si>
  <si>
    <t>Pasivos Diferidos a Largo Plazo</t>
  </si>
  <si>
    <t>Fondos y Bienes de Terceros en Garantía y/o en Administración a Largo Plazo</t>
  </si>
  <si>
    <t>Provisiones a Largo Plazo</t>
  </si>
  <si>
    <t>Resultado por Posición Monetaria</t>
  </si>
  <si>
    <t>Clasificación Económica (por Tipo de Gasto)</t>
  </si>
  <si>
    <t>Gasto Corriente</t>
  </si>
  <si>
    <t>Gasto de Capital</t>
  </si>
  <si>
    <t>Amortización de la Deuda y Disminución de Pasivos</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</si>
  <si>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</si>
  <si>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</si>
  <si>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</si>
  <si>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</si>
  <si>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</si>
  <si>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</si>
  <si>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</si>
  <si>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</si>
  <si>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</si>
  <si>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</si>
  <si>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</si>
  <si>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</si>
  <si>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</si>
  <si>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</si>
  <si>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</si>
  <si>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</si>
  <si>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</si>
  <si>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</si>
  <si>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</si>
  <si>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</si>
  <si>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</si>
  <si>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</si>
  <si>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</si>
  <si>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</si>
  <si>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</si>
  <si>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</si>
  <si>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</si>
  <si>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Publica / Costo Financiero de la Deuda</t>
  </si>
  <si>
    <t>Transferencias, Participaciones y Aportaciones entre diferentes Niveles y Ordenes de Gobierno</t>
  </si>
  <si>
    <t>Saneamiento del Sistema Financiero</t>
  </si>
  <si>
    <t>Adeudos de Ejercicios Fiscales Anteriores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</si>
</sst>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
    <numFmt numFmtId="165" formatCode="0_ ;\-0\ "/>
    <numFmt numFmtId="166" formatCode="_-&quot;$&quot;* #,##0_-;\-&quot;$&quot;* #,##0_-;_-&quot;$&quot;* &quot;-&quot;_-;_-@"/>
    <numFmt numFmtId="171" formatCode="000"/>
    <numFmt numFmtId="172" formatCode="#,##0.00_ ;\-#,##0.00\ "/>
    <numFmt numFmtId="173" formatCode="_-&quot;$&quot;* #,##0.00_-;\-&quot;$&quot;* #,##0.00_-;_-&quot;$&quot;* &quot;-&quot;??_-;_-@"/>
    <numFmt numFmtId="174" formatCode="dd\-mm\-yy"/>
    <numFmt numFmtId="175" formatCode="&quot;$&quot;#,##0.00"/>
  </numFmts>
  <fonts count="51">
    <font>
      <sz val="11"/>
      <color theme="1"/>
      <name val="Calibri"/>
      <scheme val="minor"/>
    </font>
    <font>
      <b/>
      <sz val="11"/>
      <color theme="1"/>
      <name val="Calibri"/>
    </font>
    <font>
      <sz val="11"/>
      <color theme="1"/>
      <name val="Calibri"/>
      <scheme val="minor"/>
    </font>
    <font>
      <b/>
      <i/>
      <sz val="11"/>
      <color theme="0"/>
      <name val="Calibri"/>
    </font>
    <font>
      <sz val="11"/>
      <name val="Calibri"/>
    </font>
    <font>
      <b/>
      <sz val="14"/>
      <color theme="1"/>
      <name val="Calibri"/>
    </font>
    <font>
      <b/>
      <sz val="14"/>
      <color theme="0"/>
      <name val="Calibri"/>
    </font>
    <font>
      <b/>
      <u/>
      <sz val="11"/>
      <color theme="1"/>
      <name val="Calibri"/>
    </font>
    <font>
      <b/>
      <u/>
      <sz val="11"/>
      <color theme="1"/>
      <name val="Calibri"/>
    </font>
    <font>
      <b/>
      <u/>
      <sz val="11"/>
      <color theme="1"/>
      <name val="Calibri"/>
    </font>
    <font>
      <sz val="11"/>
      <color theme="1"/>
      <name val="Calibri"/>
    </font>
    <font>
      <sz val="11"/>
      <color theme="0"/>
      <name val="Calibri"/>
    </font>
    <font>
      <b/>
      <u/>
      <sz val="11"/>
      <color theme="0"/>
      <name val="Calibri"/>
    </font>
    <font>
      <b/>
      <u/>
      <sz val="11"/>
      <color theme="1"/>
      <name val="Calibri"/>
    </font>
    <font>
      <b/>
      <u/>
      <sz val="11"/>
      <color theme="1"/>
      <name val="Calibri"/>
    </font>
    <font>
      <sz val="8"/>
      <color theme="1"/>
      <name val="Calibri"/>
    </font>
    <font>
      <sz val="10"/>
      <color theme="1"/>
      <name val="Calibri"/>
    </font>
    <font>
      <b/>
      <sz val="11"/>
      <color rgb="FF000000"/>
      <name val="Calibri"/>
    </font>
    <font>
      <b/>
      <sz val="12"/>
      <color theme="1"/>
      <name val="Calibri"/>
    </font>
    <font>
      <sz val="11"/>
      <color rgb="FF000000"/>
      <name val="Calibri"/>
    </font>
    <font>
      <i/>
      <sz val="11"/>
      <color theme="1"/>
      <name val="Calibri"/>
    </font>
    <font>
      <sz val="11"/>
      <color rgb="FFFF0000"/>
      <name val="Calibri"/>
    </font>
    <font>
      <i/>
      <sz val="11"/>
      <color rgb="FF000000"/>
      <name val="Calibri"/>
    </font>
    <font>
      <sz val="11"/>
      <color rgb="FFFF6600"/>
      <name val="Calibri"/>
    </font>
    <font>
      <b/>
      <sz val="11"/>
      <color theme="0"/>
      <name val="Calibri"/>
    </font>
    <font>
      <sz val="12"/>
      <color theme="1"/>
      <name val="Calibri"/>
    </font>
    <font>
      <b/>
      <sz val="18"/>
      <color theme="1"/>
      <name val="Calibri"/>
    </font>
    <font>
      <b/>
      <sz val="16"/>
      <color theme="1"/>
      <name val="Calibri"/>
    </font>
    <font>
      <u/>
      <sz val="11"/>
      <color theme="1"/>
      <name val="Calibri"/>
    </font>
    <font>
      <sz val="14"/>
      <color theme="1"/>
      <name val="Calibri"/>
    </font>
    <font>
      <sz val="12"/>
      <color rgb="FF000000"/>
      <name val="Calibri"/>
    </font>
    <font>
      <b/>
      <sz val="12"/>
      <color rgb="FF000000"/>
      <name val="Calibri"/>
    </font>
    <font>
      <sz val="28"/>
      <color theme="1"/>
      <name val="Calibri"/>
    </font>
    <font>
      <b/>
      <sz val="10"/>
      <color theme="1"/>
      <name val="Calibri"/>
    </font>
    <font>
      <sz val="26"/>
      <color theme="1"/>
      <name val="C39HrP24DhTt"/>
    </font>
    <font>
      <b/>
      <sz val="9"/>
      <color theme="1"/>
      <name val="Calibri"/>
    </font>
    <font>
      <b/>
      <u/>
      <sz val="11"/>
      <color theme="1"/>
      <name val="Calibri"/>
    </font>
    <font>
      <b/>
      <u/>
      <sz val="11"/>
      <color theme="1"/>
      <name val="Calibri"/>
    </font>
    <font>
      <sz val="9"/>
      <color theme="1"/>
      <name val="Calibri"/>
    </font>
    <font>
      <sz val="24"/>
      <color theme="1"/>
      <name val="Calibri"/>
    </font>
    <font>
      <b/>
      <i/>
      <sz val="12"/>
      <color theme="1"/>
      <name val="Calibri"/>
    </font>
    <font>
      <sz val="28"/>
      <color theme="1"/>
      <name val="Bar-Code 39"/>
    </font>
    <font>
      <sz val="16"/>
      <color theme="1"/>
      <name val="Calibri"/>
    </font>
    <font>
      <b/>
      <i/>
      <sz val="12"/>
      <color rgb="FF000000"/>
      <name val="Calibri"/>
    </font>
    <font>
      <b/>
      <sz val="14"/>
      <color rgb="FF000000"/>
      <name val="Calibri"/>
    </font>
    <font>
      <b/>
      <u/>
      <sz val="11"/>
      <color theme="1"/>
      <name val="Calibri"/>
    </font>
    <font>
      <b/>
      <u/>
      <sz val="11"/>
      <color theme="1"/>
      <name val="Calibri"/>
    </font>
    <font>
      <b/>
      <u/>
      <sz val="11"/>
      <color theme="1"/>
      <name val="Calibri"/>
    </font>
    <font>
      <b/>
      <u/>
      <sz val="11"/>
      <color theme="1"/>
      <name val="Calibri"/>
    </font>
    <font>
      <b/>
      <sz val="12"/>
      <color rgb="FFD8D8D8"/>
      <name val="Calibri"/>
    </font>
    <font>
      <i/>
      <sz val="11"/>
      <color rgb="FFFF0000"/>
      <name val="Calibri"/>
    </font>
  </fonts>
  <fills count="15">
    <fill>
      <patternFill patternType="none"/>
    </fill>
    <fill>
      <patternFill patternType="gray125"/>
    </fill>
    <fill>
      <patternFill patternType="solid">
        <fgColor theme="1"/>
        <bgColor theme="1"/>
      </patternFill>
    </fill>
    <fill>
      <patternFill patternType="solid">
        <fgColor rgb="FFBFBFBF"/>
        <bgColor rgb="FFBFBFBF"/>
      </patternFill>
    </fill>
    <fill>
      <patternFill patternType="solid">
        <fgColor rgb="FFA5A5A5"/>
        <bgColor rgb="FFA5A5A5"/>
      </patternFill>
    </fill>
    <fill>
      <patternFill patternType="solid">
        <fgColor rgb="FFF2F2F2"/>
        <bgColor rgb="FFF2F2F2"/>
      </patternFill>
    </fill>
    <fill>
      <patternFill patternType="solid">
        <fgColor theme="9"/>
        <bgColor theme="9"/>
      </patternFill>
    </fill>
    <fill>
      <patternFill patternType="solid">
        <fgColor rgb="FFFFFF00"/>
        <bgColor rgb="FFFFFF00"/>
      </patternFill>
    </fill>
    <fill>
      <patternFill patternType="solid">
        <fgColor theme="8"/>
        <bgColor theme="8"/>
      </patternFill>
    </fill>
    <fill>
      <patternFill patternType="solid">
        <fgColor rgb="FFDDD9C3"/>
        <bgColor rgb="FFDDD9C3"/>
      </patternFill>
    </fill>
    <fill>
      <patternFill patternType="solid">
        <fgColor rgb="FFFFFFFF"/>
        <bgColor rgb="FFFFFFFF"/>
      </patternFill>
    </fill>
    <fill>
      <patternFill patternType="solid">
        <fgColor rgb="FFEAF1DD"/>
        <bgColor rgb="FFEAF1DD"/>
      </patternFill>
    </fill>
    <fill>
      <patternFill patternType="solid">
        <fgColor rgb="FFD8D8D8"/>
        <bgColor rgb="FFD8D8D8"/>
      </patternFill>
    </fill>
    <fill>
      <patternFill patternType="solid">
        <fgColor theme="0"/>
        <bgColor theme="0"/>
      </patternFill>
    </fill>
    <fill>
      <patternFill patternType="solid">
        <fgColor rgb="FFD9D9D9"/>
        <bgColor rgb="FFD9D9D9"/>
      </patternFill>
    </fill>
  </fills>
  <borders count="130">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right/>
      <top style="hair">
        <color rgb="FF000000"/>
      </top>
      <bottom/>
      <diagonal/>
    </border>
    <border>
      <left/>
      <right/>
      <top/>
      <bottom/>
      <diagonal/>
    </border>
    <border>
      <left/>
      <right/>
      <top/>
      <bottom/>
      <diagonal/>
    </border>
    <border>
      <left/>
      <right/>
      <top/>
      <bottom style="hair">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style="dotted">
        <color rgb="FF000000"/>
      </bottom>
      <diagonal/>
    </border>
    <border>
      <left/>
      <right/>
      <top style="hair">
        <color rgb="FFD8D8D8"/>
      </top>
      <bottom style="hair">
        <color rgb="FFD8D8D8"/>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style="hair">
        <color rgb="FFD8D8D8"/>
      </bottom>
      <diagonal/>
    </border>
    <border>
      <left/>
      <right style="thin">
        <color rgb="FF000000"/>
      </right>
      <top style="thin">
        <color rgb="FF000000"/>
      </top>
      <bottom style="hair">
        <color rgb="FFD8D8D8"/>
      </bottom>
      <diagonal/>
    </border>
    <border>
      <left style="thin">
        <color rgb="FF000000"/>
      </left>
      <right style="thin">
        <color rgb="FF000000"/>
      </right>
      <top style="thin">
        <color rgb="FF000000"/>
      </top>
      <bottom style="hair">
        <color rgb="FFD8D8D8"/>
      </bottom>
      <diagonal/>
    </border>
    <border>
      <left style="thin">
        <color rgb="FF000000"/>
      </left>
      <right/>
      <top/>
      <bottom style="hair">
        <color rgb="FFD8D8D8"/>
      </bottom>
      <diagonal/>
    </border>
    <border>
      <left/>
      <right style="thin">
        <color rgb="FF000000"/>
      </right>
      <top style="hair">
        <color rgb="FFD8D8D8"/>
      </top>
      <bottom style="hair">
        <color rgb="FFD8D8D8"/>
      </bottom>
      <diagonal/>
    </border>
    <border>
      <left style="thin">
        <color rgb="FF000000"/>
      </left>
      <right style="thin">
        <color rgb="FF000000"/>
      </right>
      <top style="hair">
        <color rgb="FFD8D8D8"/>
      </top>
      <bottom style="hair">
        <color rgb="FFD8D8D8"/>
      </bottom>
      <diagonal/>
    </border>
    <border>
      <left/>
      <right style="thin">
        <color rgb="FF000000"/>
      </right>
      <top/>
      <bottom style="hair">
        <color rgb="FFD8D8D8"/>
      </bottom>
      <diagonal/>
    </border>
    <border>
      <left/>
      <right style="thin">
        <color rgb="FF000000"/>
      </right>
      <top style="hair">
        <color rgb="FFD8D8D8"/>
      </top>
      <bottom style="thin">
        <color rgb="FF000000"/>
      </bottom>
      <diagonal/>
    </border>
    <border>
      <left style="thin">
        <color rgb="FF000000"/>
      </left>
      <right style="thin">
        <color rgb="FF000000"/>
      </right>
      <top style="hair">
        <color rgb="FFD8D8D8"/>
      </top>
      <bottom style="thin">
        <color rgb="FF000000"/>
      </bottom>
      <diagonal/>
    </border>
    <border>
      <left style="thin">
        <color rgb="FF000000"/>
      </left>
      <right/>
      <top style="hair">
        <color rgb="FFD8D8D8"/>
      </top>
      <bottom/>
      <diagonal/>
    </border>
    <border>
      <left style="thin">
        <color rgb="FF000000"/>
      </left>
      <right style="thin">
        <color rgb="FF000000"/>
      </right>
      <top/>
      <bottom style="hair">
        <color rgb="FFD8D8D8"/>
      </bottom>
      <diagonal/>
    </border>
    <border>
      <left style="thin">
        <color rgb="FF000000"/>
      </left>
      <right/>
      <top/>
      <bottom/>
      <diagonal/>
    </border>
    <border>
      <left style="thin">
        <color rgb="FF000000"/>
      </left>
      <right/>
      <top style="hair">
        <color rgb="FFD8D8D8"/>
      </top>
      <bottom style="thin">
        <color rgb="FF000000"/>
      </bottom>
      <diagonal/>
    </border>
    <border>
      <left/>
      <right/>
      <top style="hair">
        <color rgb="FFD8D8D8"/>
      </top>
      <bottom/>
      <diagonal/>
    </border>
    <border>
      <left/>
      <right/>
      <top/>
      <bottom style="thin">
        <color rgb="FF000000"/>
      </bottom>
      <diagonal/>
    </border>
    <border>
      <left/>
      <right/>
      <top style="thin">
        <color rgb="FF000000"/>
      </top>
      <bottom/>
      <diagonal/>
    </border>
    <border>
      <left/>
      <right/>
      <top/>
      <bottom style="hair">
        <color rgb="FFD8D8D8"/>
      </bottom>
      <diagonal/>
    </border>
    <border>
      <left/>
      <right style="thin">
        <color rgb="FF000000"/>
      </right>
      <top/>
      <bottom/>
      <diagonal/>
    </border>
    <border>
      <left/>
      <right style="thin">
        <color rgb="FF000000"/>
      </right>
      <top style="hair">
        <color rgb="FFD8D8D8"/>
      </top>
      <bottom/>
      <diagonal/>
    </border>
    <border>
      <left style="thin">
        <color rgb="FF000000"/>
      </left>
      <right/>
      <top style="hair">
        <color rgb="FFD8D8D8"/>
      </top>
      <bottom style="hair">
        <color rgb="FFD8D8D8"/>
      </bottom>
      <diagonal/>
    </border>
    <border>
      <left/>
      <right/>
      <top style="hair">
        <color rgb="FFD8D8D8"/>
      </top>
      <bottom style="thin">
        <color rgb="FF000000"/>
      </bottom>
      <diagonal/>
    </border>
    <border>
      <left/>
      <right/>
      <top style="thin">
        <color rgb="FF000000"/>
      </top>
      <bottom style="hair">
        <color rgb="FFD8D8D8"/>
      </bottom>
      <diagonal/>
    </border>
    <border>
      <left style="thin">
        <color rgb="FF000000"/>
      </left>
      <right style="thin">
        <color rgb="FF000000"/>
      </right>
      <top style="hair">
        <color rgb="FFD8D8D8"/>
      </top>
      <bottom/>
      <diagonal/>
    </border>
    <border>
      <left style="thin">
        <color rgb="FF000000"/>
      </left>
      <right style="thin">
        <color rgb="FF000000"/>
      </right>
      <top style="dotted">
        <color rgb="FFD8D8D8"/>
      </top>
      <bottom style="dotted">
        <color rgb="FFD8D8D8"/>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hair">
        <color rgb="FFD8D8D8"/>
      </top>
      <bottom style="hair">
        <color rgb="FFD8D8D8"/>
      </bottom>
      <diagonal/>
    </border>
    <border>
      <left style="thin">
        <color rgb="FF000000"/>
      </left>
      <right/>
      <top style="hair">
        <color rgb="FFD8D8D8"/>
      </top>
      <bottom style="hair">
        <color rgb="FFD8D8D8"/>
      </bottom>
      <diagonal/>
    </border>
    <border>
      <left/>
      <right style="thin">
        <color rgb="FF000000"/>
      </right>
      <top/>
      <bottom style="hair">
        <color rgb="FFD8D8D8"/>
      </bottom>
      <diagonal/>
    </border>
    <border>
      <left style="thin">
        <color rgb="FF000000"/>
      </left>
      <right style="thin">
        <color rgb="FF000000"/>
      </right>
      <top style="hair">
        <color rgb="FFD8D8D8"/>
      </top>
      <bottom/>
      <diagonal/>
    </border>
    <border>
      <left style="thin">
        <color rgb="FF000000"/>
      </left>
      <right/>
      <top style="hair">
        <color rgb="FFD8D8D8"/>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dotted">
        <color rgb="FFD8D8D8"/>
      </bottom>
      <diagonal/>
    </border>
    <border>
      <left/>
      <right/>
      <top style="hair">
        <color rgb="FFD8D8D8"/>
      </top>
      <bottom style="dotted">
        <color rgb="FFD8D8D8"/>
      </bottom>
      <diagonal/>
    </border>
    <border>
      <left/>
      <right style="thin">
        <color rgb="FF000000"/>
      </right>
      <top style="hair">
        <color rgb="FFD8D8D8"/>
      </top>
      <bottom style="dotted">
        <color rgb="FFD8D8D8"/>
      </bottom>
      <diagonal/>
    </border>
    <border>
      <left style="thin">
        <color rgb="FF000000"/>
      </left>
      <right/>
      <top style="dotted">
        <color rgb="FFD8D8D8"/>
      </top>
      <bottom style="dotted">
        <color rgb="FFD8D8D8"/>
      </bottom>
      <diagonal/>
    </border>
    <border>
      <left/>
      <right/>
      <top style="dotted">
        <color rgb="FFD8D8D8"/>
      </top>
      <bottom style="dotted">
        <color rgb="FFD8D8D8"/>
      </bottom>
      <diagonal/>
    </border>
    <border>
      <left/>
      <right style="thin">
        <color rgb="FF000000"/>
      </right>
      <top style="dotted">
        <color rgb="FFD8D8D8"/>
      </top>
      <bottom style="dotted">
        <color rgb="FFD8D8D8"/>
      </bottom>
      <diagonal/>
    </border>
    <border>
      <left style="thin">
        <color rgb="FF000000"/>
      </left>
      <right style="thin">
        <color rgb="FF000000"/>
      </right>
      <top style="thin">
        <color rgb="FF000000"/>
      </top>
      <bottom style="double">
        <color rgb="FF000000"/>
      </bottom>
      <diagonal/>
    </border>
    <border>
      <left/>
      <right/>
      <top style="thin">
        <color rgb="FF000000"/>
      </top>
      <bottom/>
      <diagonal/>
    </border>
    <border>
      <left/>
      <right/>
      <top/>
      <bottom style="thin">
        <color rgb="FF000000"/>
      </bottom>
      <diagonal/>
    </border>
    <border>
      <left/>
      <right/>
      <top style="dotted">
        <color rgb="FFD8D8D8"/>
      </top>
      <bottom style="hair">
        <color rgb="FFD8D8D8"/>
      </bottom>
      <diagonal/>
    </border>
    <border>
      <left/>
      <right style="thin">
        <color rgb="FF000000"/>
      </right>
      <top style="dotted">
        <color rgb="FFD8D8D8"/>
      </top>
      <bottom style="hair">
        <color rgb="FFD8D8D8"/>
      </bottom>
      <diagonal/>
    </border>
    <border>
      <left/>
      <right style="thin">
        <color rgb="FF000000"/>
      </right>
      <top style="dotted">
        <color rgb="FF000000"/>
      </top>
      <bottom style="dotted">
        <color rgb="FF000000"/>
      </bottom>
      <diagonal/>
    </border>
    <border>
      <left style="thin">
        <color rgb="FF000000"/>
      </left>
      <right/>
      <top style="thin">
        <color rgb="FF000000"/>
      </top>
      <bottom style="hair">
        <color rgb="FFF2F2F2"/>
      </bottom>
      <diagonal/>
    </border>
    <border>
      <left/>
      <right/>
      <top/>
      <bottom style="thin">
        <color rgb="FF000000"/>
      </bottom>
      <diagonal/>
    </border>
    <border>
      <left/>
      <right style="thin">
        <color rgb="FF000000"/>
      </right>
      <top style="hair">
        <color rgb="FFD8D8D8"/>
      </top>
      <bottom style="thin">
        <color rgb="FF000000"/>
      </bottom>
      <diagonal/>
    </border>
  </borders>
  <cellStyleXfs count="1">
    <xf numFmtId="0" fontId="0" fillId="0" borderId="0"/>
  </cellStyleXfs>
  <cellXfs count="958">
    <xf numFmtId="0" fontId="0" fillId="0" borderId="0" xfId="0" applyFont="1" applyAlignment="1"/>
    <xf numFmtId="0" fontId="1" fillId="0" borderId="0" xfId="0" applyFont="1" applyAlignment="1">
      <alignment horizontal="center"/>
    </xf>
    <xf numFmtId="0" fontId="2" fillId="0" borderId="0" xfId="0" applyFont="1"/>
    <xf numFmtId="0" fontId="7" fillId="0" borderId="9" xfId="0" applyFont="1" applyBorder="1"/>
    <xf numFmtId="0" fontId="8" fillId="0" borderId="0" xfId="0" applyFont="1"/>
    <xf numFmtId="0" fontId="9" fillId="0" borderId="5" xfId="0" applyFont="1" applyBorder="1"/>
    <xf numFmtId="0" fontId="1" fillId="0" borderId="14" xfId="0" applyFont="1" applyBorder="1" applyAlignment="1">
      <alignment horizontal="center" vertical="center"/>
    </xf>
    <xf numFmtId="0" fontId="10" fillId="0" borderId="1" xfId="0" applyFont="1" applyBorder="1"/>
    <xf numFmtId="0" fontId="10" fillId="0" borderId="2" xfId="0" applyFont="1" applyBorder="1"/>
    <xf numFmtId="0" fontId="11" fillId="0" borderId="2" xfId="0" applyFont="1" applyBorder="1"/>
    <xf numFmtId="0" fontId="10" fillId="0" borderId="5" xfId="0" applyFont="1" applyBorder="1"/>
    <xf numFmtId="0" fontId="10" fillId="0" borderId="1" xfId="0" applyFont="1" applyBorder="1" applyAlignment="1">
      <alignment horizontal="left"/>
    </xf>
    <xf numFmtId="0" fontId="10" fillId="0" borderId="2" xfId="0" applyFont="1" applyBorder="1" applyAlignment="1">
      <alignment horizontal="left"/>
    </xf>
    <xf numFmtId="0" fontId="10" fillId="0" borderId="5" xfId="0" applyFont="1" applyBorder="1" applyAlignment="1">
      <alignment horizontal="left"/>
    </xf>
    <xf numFmtId="0" fontId="12" fillId="0" borderId="0" xfId="0" applyFont="1"/>
    <xf numFmtId="0" fontId="11" fillId="0" borderId="2" xfId="0" applyFont="1" applyBorder="1" applyAlignment="1">
      <alignment horizontal="left"/>
    </xf>
    <xf numFmtId="0" fontId="13" fillId="0" borderId="0" xfId="0" applyFont="1" applyAlignment="1">
      <alignment horizontal="left"/>
    </xf>
    <xf numFmtId="0" fontId="14" fillId="0" borderId="5" xfId="0" applyFont="1" applyBorder="1" applyAlignment="1">
      <alignment horizontal="left"/>
    </xf>
    <xf numFmtId="0" fontId="10" fillId="6" borderId="21" xfId="0" applyFont="1" applyFill="1" applyBorder="1"/>
    <xf numFmtId="0" fontId="10" fillId="7" borderId="21" xfId="0" applyFont="1" applyFill="1" applyBorder="1"/>
    <xf numFmtId="0" fontId="10" fillId="8" borderId="21" xfId="0" applyFont="1" applyFill="1" applyBorder="1"/>
    <xf numFmtId="4" fontId="17" fillId="0" borderId="26" xfId="0" applyNumberFormat="1" applyFont="1" applyBorder="1" applyAlignment="1">
      <alignment horizontal="center" vertical="center"/>
    </xf>
    <xf numFmtId="0" fontId="17" fillId="0" borderId="0" xfId="0" applyFont="1" applyAlignment="1">
      <alignment horizontal="center"/>
    </xf>
    <xf numFmtId="0" fontId="18" fillId="9" borderId="26" xfId="0" applyFont="1" applyFill="1" applyBorder="1" applyAlignment="1">
      <alignment horizontal="center" vertical="center" wrapText="1"/>
    </xf>
    <xf numFmtId="0" fontId="18" fillId="9" borderId="26" xfId="0" applyFont="1" applyFill="1" applyBorder="1" applyAlignment="1">
      <alignment vertical="center" wrapText="1"/>
    </xf>
    <xf numFmtId="4" fontId="18" fillId="9" borderId="26" xfId="0" applyNumberFormat="1" applyFont="1" applyFill="1" applyBorder="1" applyAlignment="1">
      <alignment vertical="center" wrapText="1"/>
    </xf>
    <xf numFmtId="4" fontId="18" fillId="9" borderId="26" xfId="0" applyNumberFormat="1" applyFont="1" applyFill="1" applyBorder="1" applyAlignment="1">
      <alignment horizontal="right" vertical="center" wrapText="1"/>
    </xf>
    <xf numFmtId="0" fontId="10" fillId="10" borderId="21" xfId="0" applyFont="1" applyFill="1" applyBorder="1" applyAlignment="1">
      <alignment vertical="center" wrapText="1"/>
    </xf>
    <xf numFmtId="0" fontId="1" fillId="11" borderId="26" xfId="0" applyFont="1" applyFill="1" applyBorder="1" applyAlignment="1">
      <alignment horizontal="center" vertical="center" wrapText="1"/>
    </xf>
    <xf numFmtId="0" fontId="1" fillId="11" borderId="26" xfId="0" applyFont="1" applyFill="1" applyBorder="1" applyAlignment="1">
      <alignment vertical="center" wrapText="1"/>
    </xf>
    <xf numFmtId="4" fontId="1" fillId="11" borderId="26" xfId="0" applyNumberFormat="1" applyFont="1" applyFill="1" applyBorder="1" applyAlignment="1">
      <alignment vertical="center" wrapText="1"/>
    </xf>
    <xf numFmtId="4" fontId="1" fillId="11" borderId="26" xfId="0" applyNumberFormat="1" applyFont="1" applyFill="1" applyBorder="1" applyAlignment="1">
      <alignment horizontal="right" vertical="center" wrapText="1"/>
    </xf>
    <xf numFmtId="0" fontId="10" fillId="12" borderId="26" xfId="0" applyFont="1" applyFill="1" applyBorder="1" applyAlignment="1">
      <alignment horizontal="center" vertical="center" wrapText="1"/>
    </xf>
    <xf numFmtId="0" fontId="10" fillId="12" borderId="27" xfId="0" applyFont="1" applyFill="1" applyBorder="1" applyAlignment="1">
      <alignment vertical="center" wrapText="1"/>
    </xf>
    <xf numFmtId="4" fontId="10" fillId="12" borderId="26" xfId="0" applyNumberFormat="1" applyFont="1" applyFill="1" applyBorder="1" applyAlignment="1">
      <alignment vertical="center" wrapText="1"/>
    </xf>
    <xf numFmtId="4" fontId="10" fillId="12" borderId="26" xfId="0" applyNumberFormat="1" applyFont="1" applyFill="1" applyBorder="1" applyAlignment="1">
      <alignment horizontal="right" vertical="center" wrapText="1"/>
    </xf>
    <xf numFmtId="0" fontId="10" fillId="0" borderId="23" xfId="0" applyFont="1" applyBorder="1" applyAlignment="1">
      <alignment horizontal="center" vertical="center" wrapText="1"/>
    </xf>
    <xf numFmtId="0" fontId="10" fillId="0" borderId="26" xfId="0" applyFont="1" applyBorder="1" applyAlignment="1">
      <alignment vertical="center" wrapText="1"/>
    </xf>
    <xf numFmtId="4" fontId="10" fillId="0" borderId="24" xfId="0" applyNumberFormat="1" applyFont="1" applyBorder="1" applyAlignment="1">
      <alignment horizontal="right" vertical="center" wrapText="1"/>
    </xf>
    <xf numFmtId="4" fontId="10" fillId="0" borderId="26" xfId="0" applyNumberFormat="1" applyFont="1" applyBorder="1" applyAlignment="1">
      <alignment vertical="center" wrapText="1"/>
    </xf>
    <xf numFmtId="4" fontId="10" fillId="0" borderId="26" xfId="0" applyNumberFormat="1" applyFont="1" applyBorder="1" applyAlignment="1">
      <alignment horizontal="right" vertical="center" wrapText="1"/>
    </xf>
    <xf numFmtId="0" fontId="10" fillId="12" borderId="28" xfId="0" applyFont="1" applyFill="1" applyBorder="1" applyAlignment="1">
      <alignment vertical="center" wrapText="1"/>
    </xf>
    <xf numFmtId="4" fontId="10" fillId="0" borderId="24" xfId="0" applyNumberFormat="1" applyFont="1" applyBorder="1" applyAlignment="1">
      <alignment vertical="center" wrapText="1"/>
    </xf>
    <xf numFmtId="0" fontId="10" fillId="12" borderId="29" xfId="0" applyFont="1" applyFill="1" applyBorder="1" applyAlignment="1">
      <alignment vertical="center" wrapText="1"/>
    </xf>
    <xf numFmtId="0" fontId="10" fillId="0" borderId="26" xfId="0" applyFont="1" applyBorder="1" applyAlignment="1">
      <alignment horizontal="center" vertical="center" wrapText="1"/>
    </xf>
    <xf numFmtId="0" fontId="19" fillId="0" borderId="26" xfId="0" applyFont="1" applyBorder="1" applyAlignment="1">
      <alignment vertical="center"/>
    </xf>
    <xf numFmtId="0" fontId="18" fillId="9" borderId="29" xfId="0" applyFont="1" applyFill="1" applyBorder="1" applyAlignment="1">
      <alignment vertical="center" wrapText="1"/>
    </xf>
    <xf numFmtId="0" fontId="1" fillId="11" borderId="29" xfId="0" applyFont="1" applyFill="1" applyBorder="1" applyAlignment="1">
      <alignment vertical="center" wrapText="1"/>
    </xf>
    <xf numFmtId="0" fontId="10" fillId="12" borderId="26" xfId="0" applyFont="1" applyFill="1" applyBorder="1" applyAlignment="1">
      <alignment vertical="center" wrapText="1"/>
    </xf>
    <xf numFmtId="0" fontId="10" fillId="0" borderId="25" xfId="0" applyFont="1" applyBorder="1" applyAlignment="1">
      <alignment vertical="center" wrapText="1"/>
    </xf>
    <xf numFmtId="0" fontId="20" fillId="0" borderId="26" xfId="0" applyFont="1" applyBorder="1" applyAlignment="1">
      <alignment horizontal="center" vertical="center" wrapText="1"/>
    </xf>
    <xf numFmtId="0" fontId="20" fillId="0" borderId="26" xfId="0" applyFont="1" applyBorder="1" applyAlignment="1">
      <alignment vertical="center" wrapText="1"/>
    </xf>
    <xf numFmtId="4" fontId="20" fillId="0" borderId="26" xfId="0" applyNumberFormat="1" applyFont="1" applyBorder="1" applyAlignment="1">
      <alignment vertical="center" wrapText="1"/>
    </xf>
    <xf numFmtId="4" fontId="20" fillId="0" borderId="26" xfId="0" applyNumberFormat="1" applyFont="1" applyBorder="1" applyAlignment="1">
      <alignment horizontal="right" vertical="center" wrapText="1"/>
    </xf>
    <xf numFmtId="0" fontId="10" fillId="0" borderId="26" xfId="0" applyFont="1" applyBorder="1" applyAlignment="1">
      <alignment vertical="center"/>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horizontal="center" vertical="center" wrapText="1"/>
    </xf>
    <xf numFmtId="4" fontId="20" fillId="0" borderId="24" xfId="0" applyNumberFormat="1" applyFont="1" applyBorder="1" applyAlignment="1">
      <alignment vertical="center" wrapText="1"/>
    </xf>
    <xf numFmtId="0" fontId="19" fillId="0" borderId="26" xfId="0" applyFont="1" applyBorder="1" applyAlignment="1">
      <alignment vertical="center" wrapText="1"/>
    </xf>
    <xf numFmtId="0" fontId="10" fillId="0" borderId="0" xfId="0" applyFont="1" applyAlignment="1">
      <alignment vertical="center"/>
    </xf>
    <xf numFmtId="4" fontId="21" fillId="0" borderId="24" xfId="0" applyNumberFormat="1" applyFont="1" applyBorder="1" applyAlignment="1">
      <alignment vertical="center" wrapText="1"/>
    </xf>
    <xf numFmtId="4" fontId="21" fillId="0" borderId="26" xfId="0" applyNumberFormat="1" applyFont="1" applyBorder="1" applyAlignment="1">
      <alignment vertical="center" wrapText="1"/>
    </xf>
    <xf numFmtId="0" fontId="20" fillId="0" borderId="30" xfId="0" applyFont="1" applyBorder="1" applyAlignment="1">
      <alignment vertical="center" wrapText="1"/>
    </xf>
    <xf numFmtId="0" fontId="10" fillId="12" borderId="26" xfId="0" applyFont="1" applyFill="1" applyBorder="1" applyAlignment="1">
      <alignment vertical="center"/>
    </xf>
    <xf numFmtId="4" fontId="10" fillId="12" borderId="26" xfId="0" applyNumberFormat="1" applyFont="1" applyFill="1" applyBorder="1" applyAlignment="1">
      <alignment vertical="center"/>
    </xf>
    <xf numFmtId="0" fontId="10" fillId="13" borderId="31" xfId="0" applyFont="1" applyFill="1" applyBorder="1" applyAlignment="1">
      <alignment horizontal="center" vertical="center" wrapText="1"/>
    </xf>
    <xf numFmtId="4" fontId="10" fillId="13" borderId="26" xfId="0" applyNumberFormat="1" applyFont="1" applyFill="1" applyBorder="1" applyAlignment="1">
      <alignment horizontal="right" vertical="center" wrapText="1"/>
    </xf>
    <xf numFmtId="0" fontId="22" fillId="0" borderId="26" xfId="0" applyFont="1" applyBorder="1" applyAlignment="1">
      <alignment vertical="center" wrapText="1"/>
    </xf>
    <xf numFmtId="0" fontId="20" fillId="0" borderId="26" xfId="0" applyFont="1" applyBorder="1" applyAlignment="1">
      <alignment vertical="center"/>
    </xf>
    <xf numFmtId="0" fontId="19" fillId="0" borderId="0" xfId="0" applyFont="1" applyAlignment="1">
      <alignment vertical="center" wrapText="1"/>
    </xf>
    <xf numFmtId="0" fontId="20" fillId="0" borderId="32" xfId="0" applyFont="1" applyBorder="1" applyAlignment="1">
      <alignment vertical="center" wrapText="1"/>
    </xf>
    <xf numFmtId="0" fontId="10" fillId="0" borderId="0" xfId="0" applyFont="1" applyAlignment="1">
      <alignment vertical="center" wrapText="1"/>
    </xf>
    <xf numFmtId="0" fontId="10" fillId="12" borderId="31" xfId="0" applyFont="1" applyFill="1" applyBorder="1" applyAlignment="1">
      <alignment horizontal="center" vertical="center" wrapText="1"/>
    </xf>
    <xf numFmtId="4" fontId="21" fillId="12" borderId="33" xfId="0" applyNumberFormat="1" applyFont="1" applyFill="1" applyBorder="1" applyAlignment="1">
      <alignment vertical="center" wrapText="1"/>
    </xf>
    <xf numFmtId="0" fontId="20" fillId="0" borderId="22" xfId="0" applyFont="1" applyBorder="1" applyAlignment="1">
      <alignment vertical="center"/>
    </xf>
    <xf numFmtId="4" fontId="21" fillId="0" borderId="24" xfId="0" applyNumberFormat="1" applyFont="1" applyBorder="1" applyAlignment="1">
      <alignment vertical="center"/>
    </xf>
    <xf numFmtId="4" fontId="21" fillId="0" borderId="26" xfId="0" applyNumberFormat="1" applyFont="1" applyBorder="1" applyAlignment="1">
      <alignment vertical="center"/>
    </xf>
    <xf numFmtId="4" fontId="10" fillId="0" borderId="24" xfId="0" applyNumberFormat="1" applyFont="1" applyBorder="1" applyAlignment="1">
      <alignment wrapText="1"/>
    </xf>
    <xf numFmtId="4" fontId="10" fillId="0" borderId="26" xfId="0" applyNumberFormat="1" applyFont="1" applyBorder="1" applyAlignment="1">
      <alignment wrapText="1"/>
    </xf>
    <xf numFmtId="4" fontId="10" fillId="12" borderId="33" xfId="0" applyNumberFormat="1" applyFont="1" applyFill="1" applyBorder="1" applyAlignment="1">
      <alignment vertical="center" wrapText="1"/>
    </xf>
    <xf numFmtId="0" fontId="18" fillId="9" borderId="29" xfId="0" applyFont="1" applyFill="1" applyBorder="1" applyAlignment="1">
      <alignment horizontal="left" vertical="center" wrapText="1"/>
    </xf>
    <xf numFmtId="0" fontId="10" fillId="0" borderId="0" xfId="0" applyFont="1" applyAlignment="1">
      <alignment horizontal="center" vertical="center" wrapText="1"/>
    </xf>
    <xf numFmtId="0" fontId="1" fillId="11" borderId="26" xfId="0" applyFont="1" applyFill="1" applyBorder="1" applyAlignment="1">
      <alignment horizontal="left" vertical="center" wrapText="1"/>
    </xf>
    <xf numFmtId="0" fontId="19" fillId="0" borderId="0" xfId="0" applyFont="1" applyAlignment="1">
      <alignment vertical="center"/>
    </xf>
    <xf numFmtId="0" fontId="20" fillId="0" borderId="24" xfId="0" applyFont="1" applyBorder="1" applyAlignment="1">
      <alignment vertical="center" wrapText="1"/>
    </xf>
    <xf numFmtId="0" fontId="23" fillId="0" borderId="0" xfId="0" applyFont="1" applyAlignment="1">
      <alignment vertical="center" wrapText="1"/>
    </xf>
    <xf numFmtId="0" fontId="11" fillId="2" borderId="31" xfId="0" applyFont="1" applyFill="1" applyBorder="1"/>
    <xf numFmtId="0" fontId="3" fillId="2" borderId="33" xfId="0" applyFont="1" applyFill="1" applyBorder="1" applyAlignment="1">
      <alignment horizontal="right" vertical="center"/>
    </xf>
    <xf numFmtId="4" fontId="24" fillId="2" borderId="26" xfId="0" applyNumberFormat="1" applyFont="1" applyFill="1" applyBorder="1" applyAlignment="1">
      <alignment vertical="center"/>
    </xf>
    <xf numFmtId="0" fontId="1" fillId="11" borderId="28" xfId="0" applyFont="1" applyFill="1" applyBorder="1" applyAlignment="1">
      <alignment vertical="center" wrapText="1"/>
    </xf>
    <xf numFmtId="0" fontId="10" fillId="14" borderId="26" xfId="0" applyFont="1" applyFill="1" applyBorder="1" applyAlignment="1">
      <alignment vertical="center" wrapText="1"/>
    </xf>
    <xf numFmtId="0" fontId="10" fillId="0" borderId="26" xfId="0" applyFont="1" applyBorder="1" applyAlignment="1">
      <alignment horizontal="center" vertical="center"/>
    </xf>
    <xf numFmtId="0" fontId="25" fillId="0" borderId="26" xfId="0" applyFont="1" applyBorder="1" applyAlignment="1">
      <alignment vertical="center" wrapText="1"/>
    </xf>
    <xf numFmtId="4" fontId="10" fillId="0" borderId="26" xfId="0" applyNumberFormat="1" applyFont="1" applyBorder="1" applyAlignment="1">
      <alignment vertical="center"/>
    </xf>
    <xf numFmtId="0" fontId="20" fillId="0" borderId="26" xfId="0" applyFont="1" applyBorder="1" applyAlignment="1">
      <alignment horizontal="center" vertical="center"/>
    </xf>
    <xf numFmtId="4" fontId="20" fillId="0" borderId="26" xfId="0" applyNumberFormat="1" applyFont="1" applyBorder="1" applyAlignment="1">
      <alignment vertical="center"/>
    </xf>
    <xf numFmtId="0" fontId="25" fillId="0" borderId="26" xfId="0" applyFont="1" applyBorder="1" applyAlignment="1">
      <alignment horizontal="left" vertical="center" wrapText="1"/>
    </xf>
    <xf numFmtId="0" fontId="20" fillId="0" borderId="23" xfId="0" applyFont="1" applyBorder="1" applyAlignment="1">
      <alignment horizontal="center" vertical="center"/>
    </xf>
    <xf numFmtId="4" fontId="20" fillId="0" borderId="24" xfId="0" applyNumberFormat="1" applyFont="1" applyBorder="1" applyAlignment="1">
      <alignment vertical="center"/>
    </xf>
    <xf numFmtId="0" fontId="25" fillId="0" borderId="22" xfId="0" applyFont="1" applyBorder="1" applyAlignment="1">
      <alignment vertical="center" wrapText="1"/>
    </xf>
    <xf numFmtId="0" fontId="25" fillId="0" borderId="32" xfId="0" applyFont="1" applyBorder="1" applyAlignment="1">
      <alignment vertical="center" wrapText="1"/>
    </xf>
    <xf numFmtId="0" fontId="25" fillId="0" borderId="25" xfId="0" applyFont="1" applyBorder="1" applyAlignment="1">
      <alignment vertical="center" wrapText="1"/>
    </xf>
    <xf numFmtId="0" fontId="10" fillId="13" borderId="21" xfId="0" applyFont="1" applyFill="1" applyBorder="1"/>
    <xf numFmtId="165" fontId="27" fillId="0" borderId="26" xfId="0" applyNumberFormat="1" applyFont="1" applyBorder="1" applyAlignment="1">
      <alignment horizontal="center" vertical="center"/>
    </xf>
    <xf numFmtId="165" fontId="27" fillId="0" borderId="24" xfId="0" applyNumberFormat="1" applyFont="1" applyBorder="1" applyAlignment="1">
      <alignment horizontal="center" vertical="center"/>
    </xf>
    <xf numFmtId="0" fontId="10" fillId="0" borderId="47" xfId="0" applyFont="1" applyBorder="1" applyAlignment="1">
      <alignment vertical="top"/>
    </xf>
    <xf numFmtId="0" fontId="10" fillId="0" borderId="48" xfId="0" applyFont="1" applyBorder="1" applyAlignment="1">
      <alignment vertical="top"/>
    </xf>
    <xf numFmtId="0" fontId="1" fillId="0" borderId="49" xfId="0" applyFont="1" applyBorder="1" applyAlignment="1">
      <alignment horizontal="left" vertical="top"/>
    </xf>
    <xf numFmtId="4" fontId="1" fillId="0" borderId="51" xfId="0" applyNumberFormat="1" applyFont="1" applyBorder="1" applyAlignment="1">
      <alignment vertical="top"/>
    </xf>
    <xf numFmtId="0" fontId="1" fillId="0" borderId="49" xfId="0" applyFont="1" applyBorder="1" applyAlignment="1">
      <alignment vertical="top"/>
    </xf>
    <xf numFmtId="0" fontId="10" fillId="0" borderId="49" xfId="0" applyFont="1" applyBorder="1" applyAlignment="1">
      <alignment horizontal="left" vertical="top"/>
    </xf>
    <xf numFmtId="4" fontId="10" fillId="0" borderId="51" xfId="0" applyNumberFormat="1" applyFont="1" applyBorder="1"/>
    <xf numFmtId="4" fontId="10" fillId="0" borderId="52" xfId="0" applyNumberFormat="1" applyFont="1" applyBorder="1"/>
    <xf numFmtId="4" fontId="1" fillId="0" borderId="51" xfId="0" applyNumberFormat="1" applyFont="1" applyBorder="1" applyAlignment="1">
      <alignment horizontal="right" wrapText="1"/>
    </xf>
    <xf numFmtId="0" fontId="10" fillId="13" borderId="21" xfId="0" applyFont="1" applyFill="1" applyBorder="1" applyAlignment="1">
      <alignment horizontal="left" wrapText="1"/>
    </xf>
    <xf numFmtId="4" fontId="10" fillId="0" borderId="51" xfId="0" applyNumberFormat="1" applyFont="1" applyBorder="1" applyAlignment="1">
      <alignment vertical="top"/>
    </xf>
    <xf numFmtId="0" fontId="10" fillId="0" borderId="49" xfId="0" applyFont="1" applyBorder="1"/>
    <xf numFmtId="0" fontId="10" fillId="0" borderId="49" xfId="0" applyFont="1" applyBorder="1" applyAlignment="1">
      <alignment vertical="top"/>
    </xf>
    <xf numFmtId="0" fontId="10" fillId="0" borderId="48" xfId="0" applyFont="1" applyBorder="1"/>
    <xf numFmtId="4" fontId="28" fillId="0" borderId="51" xfId="0" applyNumberFormat="1" applyFont="1" applyBorder="1" applyAlignment="1">
      <alignment horizontal="right" vertical="center" wrapText="1"/>
    </xf>
    <xf numFmtId="4" fontId="10" fillId="0" borderId="51" xfId="0" applyNumberFormat="1" applyFont="1" applyBorder="1" applyAlignment="1">
      <alignment horizontal="right" vertical="center" wrapText="1"/>
    </xf>
    <xf numFmtId="4" fontId="1" fillId="0" borderId="51" xfId="0" applyNumberFormat="1" applyFont="1" applyBorder="1" applyAlignment="1">
      <alignment horizontal="right" vertical="top" wrapText="1"/>
    </xf>
    <xf numFmtId="4" fontId="1" fillId="0" borderId="56" xfId="0" applyNumberFormat="1" applyFont="1" applyBorder="1" applyAlignment="1">
      <alignment horizontal="right" vertical="top" wrapText="1"/>
    </xf>
    <xf numFmtId="0" fontId="10" fillId="13" borderId="21" xfId="0" applyFont="1" applyFill="1" applyBorder="1" applyAlignment="1">
      <alignment vertical="top"/>
    </xf>
    <xf numFmtId="0" fontId="1" fillId="13" borderId="21" xfId="0" applyFont="1" applyFill="1" applyBorder="1"/>
    <xf numFmtId="0" fontId="25" fillId="0" borderId="0" xfId="0" applyFont="1"/>
    <xf numFmtId="166" fontId="18" fillId="12" borderId="26" xfId="0" applyNumberFormat="1" applyFont="1" applyFill="1" applyBorder="1" applyAlignment="1">
      <alignment horizontal="center" vertical="center" wrapText="1"/>
    </xf>
    <xf numFmtId="0" fontId="25" fillId="0" borderId="71" xfId="0" applyFont="1" applyBorder="1" applyAlignment="1">
      <alignment vertical="center"/>
    </xf>
    <xf numFmtId="0" fontId="10" fillId="0" borderId="72" xfId="0" applyFont="1" applyBorder="1"/>
    <xf numFmtId="4" fontId="10" fillId="0" borderId="73" xfId="0" applyNumberFormat="1" applyFont="1" applyBorder="1" applyAlignment="1">
      <alignment horizontal="right" vertical="center"/>
    </xf>
    <xf numFmtId="0" fontId="10" fillId="0" borderId="0" xfId="0" applyFont="1"/>
    <xf numFmtId="0" fontId="25" fillId="0" borderId="74" xfId="0" applyFont="1" applyBorder="1" applyAlignment="1">
      <alignment vertical="center"/>
    </xf>
    <xf numFmtId="0" fontId="10" fillId="0" borderId="75" xfId="0" applyFont="1" applyBorder="1"/>
    <xf numFmtId="4" fontId="10" fillId="0" borderId="76" xfId="0" applyNumberFormat="1" applyFont="1" applyBorder="1" applyAlignment="1">
      <alignment horizontal="right" vertical="center"/>
    </xf>
    <xf numFmtId="0" fontId="25" fillId="0" borderId="70" xfId="0" applyFont="1" applyBorder="1" applyAlignment="1">
      <alignment vertical="center"/>
    </xf>
    <xf numFmtId="0" fontId="10" fillId="0" borderId="78" xfId="0" applyFont="1" applyBorder="1"/>
    <xf numFmtId="4" fontId="10" fillId="0" borderId="79" xfId="0" applyNumberFormat="1" applyFont="1" applyBorder="1" applyAlignment="1">
      <alignment horizontal="right" vertical="center"/>
    </xf>
    <xf numFmtId="0" fontId="10" fillId="0" borderId="23" xfId="0" applyFont="1" applyBorder="1"/>
    <xf numFmtId="0" fontId="1" fillId="0" borderId="24" xfId="0" applyFont="1" applyBorder="1" applyAlignment="1">
      <alignment horizontal="center"/>
    </xf>
    <xf numFmtId="4" fontId="1" fillId="0" borderId="26" xfId="0" applyNumberFormat="1" applyFont="1" applyBorder="1" applyAlignment="1">
      <alignment horizontal="right" vertical="center"/>
    </xf>
    <xf numFmtId="4" fontId="1" fillId="0" borderId="22" xfId="0" applyNumberFormat="1" applyFont="1" applyBorder="1" applyAlignment="1">
      <alignment horizontal="right"/>
    </xf>
    <xf numFmtId="0" fontId="1" fillId="0" borderId="0" xfId="0" applyFont="1" applyAlignment="1">
      <alignment horizontal="right"/>
    </xf>
    <xf numFmtId="4" fontId="1" fillId="0" borderId="0" xfId="0" applyNumberFormat="1" applyFont="1" applyAlignment="1">
      <alignment horizontal="right" vertical="center"/>
    </xf>
    <xf numFmtId="0" fontId="1" fillId="0" borderId="0" xfId="0" applyFont="1"/>
    <xf numFmtId="166" fontId="1" fillId="0" borderId="0" xfId="0" applyNumberFormat="1" applyFont="1"/>
    <xf numFmtId="166" fontId="10" fillId="0" borderId="0" xfId="0" applyNumberFormat="1" applyFont="1"/>
    <xf numFmtId="0" fontId="18" fillId="0" borderId="68" xfId="0" applyFont="1" applyBorder="1" applyAlignment="1">
      <alignment horizontal="left"/>
    </xf>
    <xf numFmtId="0" fontId="18" fillId="0" borderId="69" xfId="0" applyFont="1" applyBorder="1" applyAlignment="1">
      <alignment horizontal="left"/>
    </xf>
    <xf numFmtId="4" fontId="17" fillId="0" borderId="22" xfId="0" applyNumberFormat="1" applyFont="1" applyBorder="1" applyAlignment="1">
      <alignment horizontal="right"/>
    </xf>
    <xf numFmtId="4" fontId="17" fillId="0" borderId="0" xfId="0" applyNumberFormat="1" applyFont="1" applyAlignment="1">
      <alignment horizontal="right"/>
    </xf>
    <xf numFmtId="0" fontId="30" fillId="0" borderId="80" xfId="0" applyFont="1" applyBorder="1" applyAlignment="1">
      <alignment horizontal="center" vertical="center"/>
    </xf>
    <xf numFmtId="0" fontId="30" fillId="0" borderId="75" xfId="0" applyFont="1" applyBorder="1" applyAlignment="1">
      <alignment vertical="center" wrapText="1"/>
    </xf>
    <xf numFmtId="4" fontId="10" fillId="0" borderId="76" xfId="0" applyNumberFormat="1" applyFont="1" applyBorder="1" applyAlignment="1">
      <alignment horizontal="right" vertical="center" wrapText="1"/>
    </xf>
    <xf numFmtId="4" fontId="10" fillId="0" borderId="81" xfId="0" applyNumberFormat="1" applyFont="1" applyBorder="1" applyAlignment="1">
      <alignment horizontal="right" vertical="center"/>
    </xf>
    <xf numFmtId="4" fontId="19" fillId="0" borderId="52" xfId="0" applyNumberFormat="1" applyFont="1" applyBorder="1" applyAlignment="1">
      <alignment horizontal="right" vertical="center" wrapText="1"/>
    </xf>
    <xf numFmtId="0" fontId="30" fillId="0" borderId="82" xfId="0" applyFont="1" applyBorder="1" applyAlignment="1">
      <alignment horizontal="center" vertical="center"/>
    </xf>
    <xf numFmtId="4" fontId="19" fillId="0" borderId="76" xfId="0" applyNumberFormat="1" applyFont="1" applyBorder="1" applyAlignment="1">
      <alignment horizontal="right" vertical="center" wrapText="1"/>
    </xf>
    <xf numFmtId="0" fontId="25" fillId="0" borderId="75" xfId="0" applyFont="1" applyBorder="1" applyAlignment="1">
      <alignment vertical="center" wrapText="1"/>
    </xf>
    <xf numFmtId="4" fontId="1" fillId="0" borderId="76" xfId="0" applyNumberFormat="1" applyFont="1" applyBorder="1" applyAlignment="1">
      <alignment horizontal="right" vertical="center" wrapText="1"/>
    </xf>
    <xf numFmtId="4" fontId="1" fillId="0" borderId="52" xfId="0" applyNumberFormat="1" applyFont="1" applyBorder="1" applyAlignment="1">
      <alignment horizontal="right" vertical="center" wrapText="1"/>
    </xf>
    <xf numFmtId="0" fontId="31" fillId="0" borderId="80" xfId="0" applyFont="1" applyBorder="1" applyAlignment="1">
      <alignment horizontal="left"/>
    </xf>
    <xf numFmtId="0" fontId="31" fillId="0" borderId="82" xfId="0" applyFont="1" applyBorder="1" applyAlignment="1">
      <alignment horizontal="left"/>
    </xf>
    <xf numFmtId="0" fontId="31" fillId="0" borderId="74" xfId="0" applyFont="1" applyBorder="1" applyAlignment="1">
      <alignment horizontal="left"/>
    </xf>
    <xf numFmtId="0" fontId="30" fillId="0" borderId="75" xfId="0" applyFont="1" applyBorder="1" applyAlignment="1">
      <alignment horizontal="center" vertical="center"/>
    </xf>
    <xf numFmtId="4" fontId="17" fillId="0" borderId="76" xfId="0" applyNumberFormat="1" applyFont="1" applyBorder="1" applyAlignment="1">
      <alignment horizontal="right"/>
    </xf>
    <xf numFmtId="4" fontId="17" fillId="0" borderId="52" xfId="0" applyNumberFormat="1" applyFont="1" applyBorder="1" applyAlignment="1">
      <alignment horizontal="right"/>
    </xf>
    <xf numFmtId="0" fontId="30" fillId="0" borderId="83" xfId="0" applyFont="1" applyBorder="1" applyAlignment="1">
      <alignment horizontal="center" vertical="center"/>
    </xf>
    <xf numFmtId="0" fontId="30" fillId="0" borderId="78" xfId="0" applyFont="1" applyBorder="1" applyAlignment="1">
      <alignment vertical="center" wrapText="1"/>
    </xf>
    <xf numFmtId="4" fontId="10" fillId="0" borderId="79" xfId="0" applyNumberFormat="1" applyFont="1" applyBorder="1" applyAlignment="1">
      <alignment horizontal="right" vertical="center" wrapText="1"/>
    </xf>
    <xf numFmtId="4" fontId="19" fillId="0" borderId="84" xfId="0" applyNumberFormat="1" applyFont="1" applyBorder="1" applyAlignment="1">
      <alignment horizontal="right" vertical="center" wrapText="1"/>
    </xf>
    <xf numFmtId="0" fontId="25" fillId="0" borderId="23" xfId="0" applyFont="1" applyBorder="1"/>
    <xf numFmtId="0" fontId="18" fillId="0" borderId="24" xfId="0" applyFont="1" applyBorder="1" applyAlignment="1">
      <alignment horizontal="center"/>
    </xf>
    <xf numFmtId="4" fontId="17" fillId="0" borderId="26" xfId="0" applyNumberFormat="1" applyFont="1" applyBorder="1" applyAlignment="1">
      <alignment horizontal="right"/>
    </xf>
    <xf numFmtId="0" fontId="10" fillId="0" borderId="0" xfId="0" applyFont="1" applyAlignment="1">
      <alignment vertical="top" wrapText="1"/>
    </xf>
    <xf numFmtId="4" fontId="10" fillId="0" borderId="0" xfId="0" applyNumberFormat="1" applyFont="1" applyAlignment="1">
      <alignment vertical="top" wrapText="1"/>
    </xf>
    <xf numFmtId="166" fontId="25" fillId="0" borderId="0" xfId="0" applyNumberFormat="1" applyFont="1"/>
    <xf numFmtId="4" fontId="17" fillId="0" borderId="0" xfId="0" applyNumberFormat="1" applyFont="1"/>
    <xf numFmtId="0" fontId="10" fillId="0" borderId="0" xfId="0" applyFont="1" applyAlignment="1">
      <alignment horizontal="left"/>
    </xf>
    <xf numFmtId="166" fontId="18" fillId="0" borderId="0" xfId="0" applyNumberFormat="1" applyFont="1" applyAlignment="1">
      <alignment horizontal="center"/>
    </xf>
    <xf numFmtId="166" fontId="18" fillId="0" borderId="0" xfId="0" applyNumberFormat="1" applyFont="1" applyAlignment="1">
      <alignment horizontal="center" vertical="top" wrapText="1"/>
    </xf>
    <xf numFmtId="166" fontId="32" fillId="0" borderId="0" xfId="0" applyNumberFormat="1" applyFont="1" applyAlignment="1">
      <alignment vertical="center"/>
    </xf>
    <xf numFmtId="0" fontId="10" fillId="0" borderId="52" xfId="0" applyFont="1" applyBorder="1" applyAlignment="1">
      <alignment horizontal="center"/>
    </xf>
    <xf numFmtId="0" fontId="1" fillId="0" borderId="52" xfId="0" applyFont="1" applyBorder="1" applyAlignment="1">
      <alignment horizontal="left"/>
    </xf>
    <xf numFmtId="0" fontId="10" fillId="0" borderId="52" xfId="0" applyFont="1" applyBorder="1" applyAlignment="1">
      <alignment horizontal="left"/>
    </xf>
    <xf numFmtId="0" fontId="10" fillId="0" borderId="84" xfId="0" applyFont="1" applyBorder="1" applyAlignment="1">
      <alignment horizontal="left"/>
    </xf>
    <xf numFmtId="0" fontId="1" fillId="0" borderId="82" xfId="0" applyFont="1" applyBorder="1"/>
    <xf numFmtId="0" fontId="10" fillId="0" borderId="88" xfId="0" applyFont="1" applyBorder="1"/>
    <xf numFmtId="0" fontId="10" fillId="0" borderId="82" xfId="0" applyFont="1" applyBorder="1"/>
    <xf numFmtId="0" fontId="10" fillId="0" borderId="52" xfId="0" applyFont="1" applyBorder="1" applyAlignment="1">
      <alignment horizontal="left" vertical="center"/>
    </xf>
    <xf numFmtId="0" fontId="10" fillId="0" borderId="80" xfId="0" applyFont="1" applyBorder="1"/>
    <xf numFmtId="0" fontId="10" fillId="0" borderId="70" xfId="0" applyFont="1" applyBorder="1"/>
    <xf numFmtId="4" fontId="1" fillId="0" borderId="0" xfId="0" applyNumberFormat="1" applyFont="1" applyAlignment="1">
      <alignment horizontal="right"/>
    </xf>
    <xf numFmtId="0" fontId="10" fillId="0" borderId="69" xfId="0" applyFont="1" applyBorder="1"/>
    <xf numFmtId="4" fontId="10" fillId="0" borderId="90" xfId="0" applyNumberFormat="1" applyFont="1" applyBorder="1" applyAlignment="1">
      <alignment horizontal="right" vertical="center"/>
    </xf>
    <xf numFmtId="0" fontId="33" fillId="0" borderId="0" xfId="0" applyFont="1" applyAlignment="1">
      <alignment vertical="center"/>
    </xf>
    <xf numFmtId="0" fontId="33" fillId="0" borderId="0" xfId="0" applyFont="1" applyAlignment="1">
      <alignment horizontal="center" vertical="center" wrapText="1"/>
    </xf>
    <xf numFmtId="0" fontId="10" fillId="0" borderId="85" xfId="0" applyFont="1" applyBorder="1"/>
    <xf numFmtId="0" fontId="10" fillId="0" borderId="0" xfId="0" applyFont="1" applyAlignment="1">
      <alignment wrapText="1"/>
    </xf>
    <xf numFmtId="0" fontId="1" fillId="0" borderId="74" xfId="0" applyFont="1" applyBorder="1" applyAlignment="1">
      <alignment horizontal="left"/>
    </xf>
    <xf numFmtId="0" fontId="1" fillId="0" borderId="90" xfId="0" applyFont="1" applyBorder="1" applyAlignment="1">
      <alignment horizontal="center" vertical="center"/>
    </xf>
    <xf numFmtId="4" fontId="1" fillId="0" borderId="90" xfId="0" applyNumberFormat="1" applyFont="1" applyBorder="1" applyAlignment="1">
      <alignment horizontal="right" vertical="center"/>
    </xf>
    <xf numFmtId="0" fontId="1" fillId="0" borderId="88" xfId="0" applyFont="1" applyBorder="1" applyAlignment="1">
      <alignment wrapText="1"/>
    </xf>
    <xf numFmtId="0" fontId="16" fillId="0" borderId="0" xfId="0" applyFont="1"/>
    <xf numFmtId="0" fontId="33" fillId="12" borderId="26" xfId="0" applyFont="1" applyFill="1" applyBorder="1" applyAlignment="1">
      <alignment horizontal="center" vertical="center" wrapText="1"/>
    </xf>
    <xf numFmtId="49" fontId="33" fillId="12" borderId="26" xfId="0" applyNumberFormat="1" applyFont="1" applyFill="1" applyBorder="1" applyAlignment="1">
      <alignment horizontal="center" vertical="center" wrapText="1"/>
    </xf>
    <xf numFmtId="0" fontId="16" fillId="0" borderId="26" xfId="0" applyFont="1" applyBorder="1" applyAlignment="1">
      <alignment horizontal="center" vertical="center"/>
    </xf>
    <xf numFmtId="0" fontId="16" fillId="0" borderId="26" xfId="0" applyFont="1" applyBorder="1" applyAlignment="1">
      <alignment vertical="center" wrapText="1"/>
    </xf>
    <xf numFmtId="0" fontId="16" fillId="0" borderId="26" xfId="0" applyFont="1" applyBorder="1" applyAlignment="1">
      <alignment horizontal="center" vertical="center" wrapText="1"/>
    </xf>
    <xf numFmtId="15" fontId="16" fillId="0" borderId="26" xfId="0" applyNumberFormat="1" applyFont="1" applyBorder="1" applyAlignment="1">
      <alignment horizontal="center" vertical="center" wrapText="1"/>
    </xf>
    <xf numFmtId="0" fontId="10" fillId="0" borderId="0" xfId="0" applyFont="1" applyAlignment="1">
      <alignment horizontal="center"/>
    </xf>
    <xf numFmtId="4" fontId="16" fillId="0" borderId="0" xfId="0" applyNumberFormat="1" applyFont="1"/>
    <xf numFmtId="49" fontId="16" fillId="0" borderId="0" xfId="0" applyNumberFormat="1" applyFont="1" applyAlignment="1">
      <alignment horizontal="center"/>
    </xf>
    <xf numFmtId="49" fontId="16" fillId="0" borderId="0" xfId="0" applyNumberFormat="1" applyFont="1"/>
    <xf numFmtId="0" fontId="27" fillId="12" borderId="26" xfId="0" applyFont="1" applyFill="1" applyBorder="1" applyAlignment="1">
      <alignment horizontal="center"/>
    </xf>
    <xf numFmtId="0" fontId="26" fillId="12" borderId="21" xfId="0" applyFont="1" applyFill="1" applyBorder="1" applyAlignment="1">
      <alignment horizontal="left"/>
    </xf>
    <xf numFmtId="0" fontId="25" fillId="12" borderId="21" xfId="0" applyFont="1" applyFill="1" applyBorder="1"/>
    <xf numFmtId="0" fontId="5" fillId="12" borderId="21" xfId="0" applyFont="1" applyFill="1" applyBorder="1" applyAlignment="1">
      <alignment horizontal="left"/>
    </xf>
    <xf numFmtId="0" fontId="18" fillId="12" borderId="26" xfId="0" applyFont="1" applyFill="1" applyBorder="1" applyAlignment="1">
      <alignment horizontal="center" vertical="center" wrapText="1"/>
    </xf>
    <xf numFmtId="0" fontId="25" fillId="12" borderId="21" xfId="0" applyFont="1" applyFill="1" applyBorder="1" applyAlignment="1">
      <alignment wrapText="1"/>
    </xf>
    <xf numFmtId="4" fontId="18" fillId="12" borderId="26" xfId="0" applyNumberFormat="1" applyFont="1" applyFill="1" applyBorder="1" applyAlignment="1">
      <alignment horizontal="right" vertical="center" wrapText="1"/>
    </xf>
    <xf numFmtId="171" fontId="25" fillId="0" borderId="26" xfId="0" applyNumberFormat="1" applyFont="1" applyBorder="1" applyAlignment="1">
      <alignment horizontal="center"/>
    </xf>
    <xf numFmtId="0" fontId="25" fillId="0" borderId="26" xfId="0" applyFont="1" applyBorder="1"/>
    <xf numFmtId="0" fontId="25" fillId="0" borderId="26" xfId="0" applyFont="1" applyBorder="1" applyAlignment="1">
      <alignment horizontal="center"/>
    </xf>
    <xf numFmtId="4" fontId="25" fillId="0" borderId="26" xfId="0" applyNumberFormat="1" applyFont="1" applyBorder="1"/>
    <xf numFmtId="0" fontId="10" fillId="0" borderId="0" xfId="0" applyFont="1" applyAlignment="1">
      <alignment horizontal="center" vertical="center"/>
    </xf>
    <xf numFmtId="166" fontId="1" fillId="12" borderId="26" xfId="0" applyNumberFormat="1" applyFont="1" applyFill="1" applyBorder="1" applyAlignment="1">
      <alignment horizontal="center" vertical="center" wrapText="1"/>
    </xf>
    <xf numFmtId="166" fontId="1" fillId="12" borderId="31" xfId="0" applyNumberFormat="1" applyFont="1" applyFill="1" applyBorder="1" applyAlignment="1">
      <alignment horizontal="center" vertical="center" wrapText="1"/>
    </xf>
    <xf numFmtId="0" fontId="10" fillId="6" borderId="21" xfId="0" applyFont="1" applyFill="1" applyBorder="1" applyAlignment="1">
      <alignment horizontal="right" vertical="center"/>
    </xf>
    <xf numFmtId="0" fontId="10" fillId="6" borderId="21" xfId="0" applyFont="1" applyFill="1" applyBorder="1" applyAlignment="1">
      <alignment horizontal="left" vertical="center"/>
    </xf>
    <xf numFmtId="0" fontId="10" fillId="0" borderId="73" xfId="0" applyFont="1" applyBorder="1" applyAlignment="1">
      <alignment horizontal="left" vertical="top" wrapText="1"/>
    </xf>
    <xf numFmtId="4" fontId="10" fillId="0" borderId="73" xfId="0" applyNumberFormat="1" applyFont="1" applyBorder="1" applyAlignment="1">
      <alignment horizontal="right" vertical="center" wrapText="1"/>
    </xf>
    <xf numFmtId="4" fontId="19" fillId="0" borderId="22" xfId="0" applyNumberFormat="1" applyFont="1" applyBorder="1" applyAlignment="1">
      <alignment vertical="center" wrapText="1"/>
    </xf>
    <xf numFmtId="0" fontId="10" fillId="7" borderId="21" xfId="0" applyFont="1" applyFill="1" applyBorder="1" applyAlignment="1">
      <alignment horizontal="center" vertical="center"/>
    </xf>
    <xf numFmtId="0" fontId="10" fillId="8" borderId="21" xfId="0" applyFont="1" applyFill="1" applyBorder="1" applyAlignment="1">
      <alignment horizontal="left" vertical="center"/>
    </xf>
    <xf numFmtId="0" fontId="10" fillId="0" borderId="0" xfId="0" applyFont="1" applyAlignment="1">
      <alignment horizontal="left" vertical="center"/>
    </xf>
    <xf numFmtId="0" fontId="10" fillId="0" borderId="76" xfId="0" applyFont="1" applyBorder="1" applyAlignment="1">
      <alignment horizontal="left" vertical="top" wrapText="1"/>
    </xf>
    <xf numFmtId="4" fontId="19" fillId="0" borderId="76" xfId="0" applyNumberFormat="1" applyFont="1" applyBorder="1" applyAlignment="1">
      <alignment vertical="center" wrapText="1"/>
    </xf>
    <xf numFmtId="0" fontId="10" fillId="0" borderId="93" xfId="0" applyFont="1" applyBorder="1" applyAlignment="1">
      <alignment horizontal="left" vertical="top" wrapText="1"/>
    </xf>
    <xf numFmtId="4" fontId="10" fillId="0" borderId="93" xfId="0" applyNumberFormat="1" applyFont="1" applyBorder="1" applyAlignment="1">
      <alignment horizontal="right" vertical="center" wrapText="1"/>
    </xf>
    <xf numFmtId="4" fontId="19" fillId="0" borderId="93" xfId="0" applyNumberFormat="1" applyFont="1" applyBorder="1" applyAlignment="1">
      <alignment vertical="center" wrapText="1"/>
    </xf>
    <xf numFmtId="0" fontId="1" fillId="0" borderId="26" xfId="0" applyFont="1" applyBorder="1" applyAlignment="1">
      <alignment horizontal="left" vertical="center" wrapText="1"/>
    </xf>
    <xf numFmtId="4" fontId="17" fillId="0" borderId="26" xfId="0" applyNumberFormat="1" applyFont="1" applyBorder="1" applyAlignment="1">
      <alignment vertical="center" wrapText="1"/>
    </xf>
    <xf numFmtId="0" fontId="1" fillId="0" borderId="26" xfId="0" applyFont="1" applyBorder="1" applyAlignment="1">
      <alignment horizontal="left" vertical="top" wrapText="1"/>
    </xf>
    <xf numFmtId="4" fontId="1" fillId="0" borderId="26" xfId="0" applyNumberFormat="1" applyFont="1" applyBorder="1" applyAlignment="1">
      <alignment horizontal="right" vertical="center" wrapText="1"/>
    </xf>
    <xf numFmtId="0" fontId="10" fillId="0" borderId="94" xfId="0" applyFont="1" applyBorder="1" applyAlignment="1">
      <alignment horizontal="left" vertical="top" wrapText="1"/>
    </xf>
    <xf numFmtId="0" fontId="10" fillId="0" borderId="94" xfId="0" applyFont="1" applyBorder="1"/>
    <xf numFmtId="0" fontId="10" fillId="0" borderId="32" xfId="0" applyFont="1" applyBorder="1"/>
    <xf numFmtId="0" fontId="10" fillId="0" borderId="94" xfId="0" applyFont="1" applyBorder="1" applyAlignment="1">
      <alignment wrapText="1"/>
    </xf>
    <xf numFmtId="0" fontId="10" fillId="0" borderId="25" xfId="0" applyFont="1" applyBorder="1"/>
    <xf numFmtId="0" fontId="29" fillId="0" borderId="0" xfId="0" applyFont="1" applyAlignment="1">
      <alignment vertical="center"/>
    </xf>
    <xf numFmtId="0" fontId="18" fillId="0" borderId="0" xfId="0" applyFont="1" applyAlignment="1">
      <alignment horizontal="center" vertical="top" wrapText="1"/>
    </xf>
    <xf numFmtId="166" fontId="35" fillId="12" borderId="26" xfId="0" applyNumberFormat="1" applyFont="1" applyFill="1" applyBorder="1" applyAlignment="1">
      <alignment horizontal="center" vertical="center" wrapText="1"/>
    </xf>
    <xf numFmtId="37" fontId="1" fillId="0" borderId="22" xfId="0" applyNumberFormat="1" applyFont="1" applyBorder="1" applyAlignment="1">
      <alignment horizontal="left" vertical="center" wrapText="1"/>
    </xf>
    <xf numFmtId="172" fontId="1" fillId="0" borderId="22" xfId="0" applyNumberFormat="1" applyFont="1" applyBorder="1" applyAlignment="1">
      <alignment horizontal="right" vertical="center" wrapText="1"/>
    </xf>
    <xf numFmtId="49" fontId="10" fillId="0" borderId="32" xfId="0" applyNumberFormat="1" applyFont="1" applyBorder="1" applyAlignment="1">
      <alignment horizontal="left" vertical="top" wrapText="1"/>
    </xf>
    <xf numFmtId="4" fontId="10" fillId="0" borderId="32" xfId="0" applyNumberFormat="1" applyFont="1" applyBorder="1" applyAlignment="1">
      <alignment horizontal="right" vertical="center" wrapText="1"/>
    </xf>
    <xf numFmtId="4" fontId="19" fillId="0" borderId="32" xfId="0" applyNumberFormat="1" applyFont="1" applyBorder="1" applyAlignment="1">
      <alignment vertical="center" wrapText="1"/>
    </xf>
    <xf numFmtId="49" fontId="10" fillId="0" borderId="76" xfId="0" applyNumberFormat="1" applyFont="1" applyBorder="1" applyAlignment="1">
      <alignment horizontal="left" vertical="top" wrapText="1"/>
    </xf>
    <xf numFmtId="0" fontId="1" fillId="0" borderId="76" xfId="0" applyFont="1" applyBorder="1" applyAlignment="1">
      <alignment horizontal="right" vertical="center" wrapText="1"/>
    </xf>
    <xf numFmtId="4" fontId="17" fillId="0" borderId="81" xfId="0" applyNumberFormat="1" applyFont="1" applyBorder="1" applyAlignment="1">
      <alignment vertical="center" wrapText="1"/>
    </xf>
    <xf numFmtId="37" fontId="1" fillId="0" borderId="32" xfId="0" applyNumberFormat="1" applyFont="1" applyBorder="1" applyAlignment="1">
      <alignment horizontal="left" vertical="center" wrapText="1"/>
    </xf>
    <xf numFmtId="172" fontId="1" fillId="0" borderId="32" xfId="0" applyNumberFormat="1" applyFont="1" applyBorder="1" applyAlignment="1">
      <alignment horizontal="right" vertical="center" wrapText="1"/>
    </xf>
    <xf numFmtId="4" fontId="17" fillId="0" borderId="32" xfId="0" applyNumberFormat="1" applyFont="1" applyBorder="1" applyAlignment="1">
      <alignment vertical="center" wrapText="1"/>
    </xf>
    <xf numFmtId="0" fontId="1" fillId="0" borderId="76" xfId="0" applyFont="1" applyBorder="1" applyAlignment="1">
      <alignment horizontal="left" vertical="center" wrapText="1"/>
    </xf>
    <xf numFmtId="0" fontId="29" fillId="0" borderId="0" xfId="0" applyFont="1" applyAlignment="1">
      <alignment horizontal="left" vertical="center" wrapText="1"/>
    </xf>
    <xf numFmtId="0" fontId="10" fillId="12" borderId="95" xfId="0" applyFont="1" applyFill="1" applyBorder="1"/>
    <xf numFmtId="0" fontId="10" fillId="12" borderId="97" xfId="0" applyFont="1" applyFill="1" applyBorder="1"/>
    <xf numFmtId="0" fontId="10" fillId="12" borderId="100" xfId="0" applyFont="1" applyFill="1" applyBorder="1"/>
    <xf numFmtId="165" fontId="1" fillId="12" borderId="21" xfId="0" applyNumberFormat="1" applyFont="1" applyFill="1" applyBorder="1" applyAlignment="1">
      <alignment horizontal="center" vertical="center"/>
    </xf>
    <xf numFmtId="0" fontId="10" fillId="12" borderId="101" xfId="0" applyFont="1" applyFill="1" applyBorder="1"/>
    <xf numFmtId="0" fontId="10" fillId="12" borderId="102" xfId="0" applyFont="1" applyFill="1" applyBorder="1"/>
    <xf numFmtId="0" fontId="10" fillId="12" borderId="105" xfId="0" applyFont="1" applyFill="1" applyBorder="1"/>
    <xf numFmtId="0" fontId="10" fillId="12" borderId="107" xfId="0" applyFont="1" applyFill="1" applyBorder="1"/>
    <xf numFmtId="0" fontId="1" fillId="0" borderId="71" xfId="0" applyFont="1" applyBorder="1" applyAlignment="1">
      <alignment horizontal="center" vertical="center"/>
    </xf>
    <xf numFmtId="0" fontId="1" fillId="0" borderId="92" xfId="0" applyFont="1" applyBorder="1" applyAlignment="1">
      <alignment horizontal="left" vertical="center"/>
    </xf>
    <xf numFmtId="0" fontId="36" fillId="0" borderId="72" xfId="0" applyFont="1" applyBorder="1" applyAlignment="1">
      <alignment horizontal="left" vertical="center"/>
    </xf>
    <xf numFmtId="172" fontId="1" fillId="0" borderId="73" xfId="0" applyNumberFormat="1" applyFont="1" applyBorder="1" applyAlignment="1">
      <alignment horizontal="right" vertical="center" wrapText="1"/>
    </xf>
    <xf numFmtId="172" fontId="1" fillId="0" borderId="71" xfId="0" applyNumberFormat="1" applyFont="1" applyBorder="1" applyAlignment="1">
      <alignment horizontal="right" vertical="center" wrapText="1"/>
    </xf>
    <xf numFmtId="0" fontId="1" fillId="0" borderId="0" xfId="0" applyFont="1" applyAlignment="1">
      <alignment vertical="top"/>
    </xf>
    <xf numFmtId="0" fontId="1" fillId="0" borderId="88" xfId="0" applyFont="1" applyBorder="1" applyAlignment="1">
      <alignment vertical="top"/>
    </xf>
    <xf numFmtId="4" fontId="1" fillId="0" borderId="32" xfId="0" applyNumberFormat="1" applyFont="1" applyBorder="1" applyAlignment="1">
      <alignment horizontal="right" vertical="top" wrapText="1"/>
    </xf>
    <xf numFmtId="4" fontId="1" fillId="0" borderId="82" xfId="0" applyNumberFormat="1" applyFont="1" applyBorder="1" applyAlignment="1">
      <alignment horizontal="right" vertical="top" wrapText="1"/>
    </xf>
    <xf numFmtId="0" fontId="10" fillId="0" borderId="84" xfId="0" applyFont="1" applyBorder="1"/>
    <xf numFmtId="0" fontId="19" fillId="10" borderId="108" xfId="0" applyFont="1" applyFill="1" applyBorder="1" applyAlignment="1">
      <alignment vertical="center"/>
    </xf>
    <xf numFmtId="4" fontId="10" fillId="13" borderId="76" xfId="0" applyNumberFormat="1" applyFont="1" applyFill="1" applyBorder="1" applyAlignment="1">
      <alignment horizontal="right" vertical="top" wrapText="1"/>
    </xf>
    <xf numFmtId="4" fontId="10" fillId="13" borderId="109" xfId="0" applyNumberFormat="1" applyFont="1" applyFill="1" applyBorder="1" applyAlignment="1">
      <alignment horizontal="right" vertical="top" wrapText="1"/>
    </xf>
    <xf numFmtId="4" fontId="1" fillId="0" borderId="76" xfId="0" applyNumberFormat="1" applyFont="1" applyBorder="1" applyAlignment="1">
      <alignment horizontal="right" vertical="top" wrapText="1"/>
    </xf>
    <xf numFmtId="4" fontId="1" fillId="0" borderId="90" xfId="0" applyNumberFormat="1" applyFont="1" applyBorder="1" applyAlignment="1">
      <alignment horizontal="right" vertical="top" wrapText="1"/>
    </xf>
    <xf numFmtId="4" fontId="1" fillId="0" borderId="76" xfId="0" applyNumberFormat="1" applyFont="1" applyBorder="1" applyAlignment="1">
      <alignment horizontal="right" vertical="top"/>
    </xf>
    <xf numFmtId="4" fontId="1" fillId="0" borderId="90" xfId="0" applyNumberFormat="1" applyFont="1" applyBorder="1" applyAlignment="1">
      <alignment horizontal="right" vertical="top"/>
    </xf>
    <xf numFmtId="0" fontId="19" fillId="10" borderId="110" xfId="0" applyFont="1" applyFill="1" applyBorder="1" applyAlignment="1">
      <alignment vertical="center"/>
    </xf>
    <xf numFmtId="0" fontId="19" fillId="10" borderId="108" xfId="0" applyFont="1" applyFill="1" applyBorder="1" applyAlignment="1">
      <alignment vertical="center" wrapText="1"/>
    </xf>
    <xf numFmtId="4" fontId="10" fillId="13" borderId="111" xfId="0" applyNumberFormat="1" applyFont="1" applyFill="1" applyBorder="1" applyAlignment="1">
      <alignment horizontal="right" vertical="top" wrapText="1"/>
    </xf>
    <xf numFmtId="4" fontId="10" fillId="13" borderId="112" xfId="0" applyNumberFormat="1" applyFont="1" applyFill="1" applyBorder="1" applyAlignment="1">
      <alignment horizontal="right" vertical="top" wrapText="1"/>
    </xf>
    <xf numFmtId="0" fontId="1" fillId="0" borderId="77" xfId="0" applyFont="1" applyBorder="1" applyAlignment="1">
      <alignment horizontal="right" vertical="top"/>
    </xf>
    <xf numFmtId="4" fontId="1" fillId="0" borderId="81" xfId="0" applyNumberFormat="1" applyFont="1" applyBorder="1" applyAlignment="1">
      <alignment horizontal="right" vertical="top"/>
    </xf>
    <xf numFmtId="4" fontId="1" fillId="0" borderId="74" xfId="0" applyNumberFormat="1" applyFont="1" applyBorder="1" applyAlignment="1">
      <alignment horizontal="right" vertical="top"/>
    </xf>
    <xf numFmtId="0" fontId="1" fillId="0" borderId="74" xfId="0" applyFont="1" applyBorder="1" applyAlignment="1">
      <alignment horizontal="center" vertical="center"/>
    </xf>
    <xf numFmtId="0" fontId="1" fillId="0" borderId="87" xfId="0" applyFont="1" applyBorder="1" applyAlignment="1">
      <alignment horizontal="left" vertical="center"/>
    </xf>
    <xf numFmtId="0" fontId="37" fillId="0" borderId="77" xfId="0" applyFont="1" applyBorder="1" applyAlignment="1">
      <alignment horizontal="left" vertical="center"/>
    </xf>
    <xf numFmtId="172" fontId="1" fillId="0" borderId="81" xfId="0" applyNumberFormat="1" applyFont="1" applyBorder="1" applyAlignment="1">
      <alignment horizontal="right" vertical="center" wrapText="1"/>
    </xf>
    <xf numFmtId="172" fontId="1" fillId="0" borderId="74" xfId="0" applyNumberFormat="1" applyFont="1" applyBorder="1" applyAlignment="1">
      <alignment horizontal="right" vertical="center" wrapText="1"/>
    </xf>
    <xf numFmtId="4" fontId="1" fillId="0" borderId="32" xfId="0" applyNumberFormat="1" applyFont="1" applyBorder="1" applyAlignment="1">
      <alignment horizontal="right" vertical="top"/>
    </xf>
    <xf numFmtId="4" fontId="1" fillId="0" borderId="82" xfId="0" applyNumberFormat="1" applyFont="1" applyBorder="1" applyAlignment="1">
      <alignment horizontal="right" vertical="top"/>
    </xf>
    <xf numFmtId="4" fontId="1" fillId="0" borderId="25" xfId="0" applyNumberFormat="1" applyFont="1" applyBorder="1" applyAlignment="1">
      <alignment horizontal="right" vertical="top"/>
    </xf>
    <xf numFmtId="4" fontId="1" fillId="0" borderId="70" xfId="0" applyNumberFormat="1" applyFont="1" applyBorder="1" applyAlignment="1">
      <alignment horizontal="right" vertical="top"/>
    </xf>
    <xf numFmtId="0" fontId="10" fillId="0" borderId="30" xfId="0" applyFont="1" applyBorder="1"/>
    <xf numFmtId="0" fontId="29" fillId="0" borderId="0" xfId="0" applyFont="1"/>
    <xf numFmtId="0" fontId="18" fillId="0" borderId="0" xfId="0" applyFont="1" applyAlignment="1">
      <alignment horizontal="center" wrapText="1"/>
    </xf>
    <xf numFmtId="165" fontId="18" fillId="0" borderId="0" xfId="0" applyNumberFormat="1" applyFont="1" applyAlignment="1">
      <alignment vertical="center"/>
    </xf>
    <xf numFmtId="165" fontId="1" fillId="12" borderId="26" xfId="0" applyNumberFormat="1" applyFont="1" applyFill="1" applyBorder="1" applyAlignment="1">
      <alignment horizontal="center" vertical="center"/>
    </xf>
    <xf numFmtId="165" fontId="1" fillId="12" borderId="26" xfId="0" applyNumberFormat="1" applyFont="1" applyFill="1" applyBorder="1" applyAlignment="1">
      <alignment horizontal="center" vertical="center" wrapText="1"/>
    </xf>
    <xf numFmtId="0" fontId="1" fillId="0" borderId="68" xfId="0" applyFont="1" applyBorder="1" applyAlignment="1">
      <alignment horizontal="center" vertical="center" wrapText="1"/>
    </xf>
    <xf numFmtId="4" fontId="1" fillId="0" borderId="73" xfId="0" applyNumberFormat="1" applyFont="1" applyBorder="1" applyAlignment="1">
      <alignment horizontal="right" vertical="top"/>
    </xf>
    <xf numFmtId="0" fontId="19" fillId="0" borderId="52" xfId="0" applyFont="1" applyBorder="1" applyAlignment="1">
      <alignment vertical="center"/>
    </xf>
    <xf numFmtId="0" fontId="19" fillId="0" borderId="75" xfId="0" applyFont="1" applyBorder="1" applyAlignment="1">
      <alignment horizontal="left" vertical="center"/>
    </xf>
    <xf numFmtId="4" fontId="10" fillId="0" borderId="76" xfId="0" applyNumberFormat="1" applyFont="1" applyBorder="1" applyAlignment="1">
      <alignment horizontal="right" vertical="top"/>
    </xf>
    <xf numFmtId="4" fontId="1" fillId="0" borderId="76" xfId="0" applyNumberFormat="1" applyFont="1" applyBorder="1" applyAlignment="1">
      <alignment horizontal="right" vertical="center"/>
    </xf>
    <xf numFmtId="4" fontId="1" fillId="0" borderId="93" xfId="0" applyNumberFormat="1" applyFont="1" applyBorder="1" applyAlignment="1">
      <alignment horizontal="right" vertical="top"/>
    </xf>
    <xf numFmtId="0" fontId="1" fillId="0" borderId="52" xfId="0" applyFont="1" applyBorder="1" applyAlignment="1">
      <alignment horizontal="center" vertical="top" wrapText="1"/>
    </xf>
    <xf numFmtId="0" fontId="1" fillId="0" borderId="75" xfId="0" applyFont="1" applyBorder="1" applyAlignment="1">
      <alignment horizontal="right" vertical="top" wrapText="1"/>
    </xf>
    <xf numFmtId="0" fontId="1" fillId="0" borderId="82" xfId="0" applyFont="1" applyBorder="1" applyAlignment="1">
      <alignment horizontal="center" vertical="center" wrapText="1"/>
    </xf>
    <xf numFmtId="4" fontId="1" fillId="0" borderId="32" xfId="0" applyNumberFormat="1" applyFont="1" applyBorder="1" applyAlignment="1">
      <alignment horizontal="right" vertical="center" wrapText="1"/>
    </xf>
    <xf numFmtId="0" fontId="1" fillId="0" borderId="70" xfId="0" applyFont="1" applyBorder="1" applyAlignment="1">
      <alignment horizontal="center" vertical="center" wrapText="1"/>
    </xf>
    <xf numFmtId="4" fontId="1" fillId="0" borderId="25" xfId="0" applyNumberFormat="1" applyFont="1" applyBorder="1" applyAlignment="1">
      <alignment horizontal="right" vertical="center" wrapText="1"/>
    </xf>
    <xf numFmtId="0" fontId="38" fillId="0" borderId="0" xfId="0" applyFont="1" applyAlignment="1">
      <alignment horizontal="center" vertical="top"/>
    </xf>
    <xf numFmtId="0" fontId="38" fillId="0" borderId="0" xfId="0" applyFont="1" applyAlignment="1">
      <alignment vertical="top"/>
    </xf>
    <xf numFmtId="173" fontId="38" fillId="0" borderId="0" xfId="0" applyNumberFormat="1" applyFont="1" applyAlignment="1">
      <alignment horizontal="right" vertical="top"/>
    </xf>
    <xf numFmtId="0" fontId="38" fillId="0" borderId="0" xfId="0" applyFont="1"/>
    <xf numFmtId="165" fontId="33" fillId="0" borderId="0" xfId="0" applyNumberFormat="1" applyFont="1" applyAlignment="1">
      <alignment horizontal="center" vertical="center"/>
    </xf>
    <xf numFmtId="165" fontId="33" fillId="0" borderId="0" xfId="0" applyNumberFormat="1"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3" fontId="38" fillId="0" borderId="0" xfId="0" applyNumberFormat="1" applyFont="1" applyAlignment="1">
      <alignment horizontal="left" vertical="center" wrapText="1"/>
    </xf>
    <xf numFmtId="0" fontId="35" fillId="0" borderId="0" xfId="0" applyFont="1" applyAlignment="1">
      <alignment horizontal="center" vertical="top" wrapText="1"/>
    </xf>
    <xf numFmtId="0" fontId="35" fillId="0" borderId="0" xfId="0" applyFont="1" applyAlignment="1">
      <alignment vertical="top" wrapText="1"/>
    </xf>
    <xf numFmtId="173" fontId="35" fillId="0" borderId="0" xfId="0" applyNumberFormat="1" applyFont="1" applyAlignment="1">
      <alignment horizontal="right" vertical="top"/>
    </xf>
    <xf numFmtId="0" fontId="38" fillId="0" borderId="0" xfId="0" applyFont="1" applyAlignment="1">
      <alignment horizontal="left" vertical="top"/>
    </xf>
    <xf numFmtId="3" fontId="38" fillId="0" borderId="0" xfId="0" applyNumberFormat="1" applyFont="1" applyAlignment="1">
      <alignment horizontal="right" vertical="top" wrapText="1"/>
    </xf>
    <xf numFmtId="0" fontId="33" fillId="0" borderId="0" xfId="0" applyFont="1" applyAlignment="1">
      <alignment horizontal="center" vertical="top" wrapText="1"/>
    </xf>
    <xf numFmtId="0" fontId="33" fillId="0" borderId="0" xfId="0" applyFont="1" applyAlignment="1">
      <alignment vertical="top" wrapText="1"/>
    </xf>
    <xf numFmtId="3" fontId="38" fillId="0" borderId="0" xfId="0" applyNumberFormat="1" applyFont="1" applyAlignment="1">
      <alignment horizontal="right" vertical="top"/>
    </xf>
    <xf numFmtId="0" fontId="10" fillId="0" borderId="0" xfId="0" applyFont="1" applyAlignment="1">
      <alignment horizontal="center" vertical="top"/>
    </xf>
    <xf numFmtId="0" fontId="38" fillId="0" borderId="0" xfId="0" applyFont="1" applyAlignment="1">
      <alignment horizontal="right" vertical="top"/>
    </xf>
    <xf numFmtId="0" fontId="10" fillId="0" borderId="0" xfId="0" applyFont="1" applyAlignment="1">
      <alignment horizontal="right" vertical="center" wrapText="1"/>
    </xf>
    <xf numFmtId="166" fontId="39" fillId="0" borderId="0" xfId="0" applyNumberFormat="1" applyFont="1" applyAlignment="1">
      <alignment horizontal="center"/>
    </xf>
    <xf numFmtId="166" fontId="10" fillId="0" borderId="0" xfId="0" applyNumberFormat="1" applyFont="1" applyAlignment="1">
      <alignment horizontal="center"/>
    </xf>
    <xf numFmtId="0" fontId="1" fillId="12" borderId="33" xfId="0" applyFont="1" applyFill="1" applyBorder="1" applyAlignment="1">
      <alignment horizontal="center" vertical="center" wrapText="1"/>
    </xf>
    <xf numFmtId="0" fontId="1" fillId="0" borderId="86" xfId="0" applyFont="1" applyBorder="1" applyAlignment="1">
      <alignment horizontal="left" vertical="center"/>
    </xf>
    <xf numFmtId="0" fontId="17" fillId="0" borderId="86" xfId="0" applyFont="1" applyBorder="1" applyAlignment="1">
      <alignment vertical="center"/>
    </xf>
    <xf numFmtId="0" fontId="17" fillId="0" borderId="69" xfId="0" applyFont="1" applyBorder="1" applyAlignment="1">
      <alignment vertical="center"/>
    </xf>
    <xf numFmtId="0" fontId="10" fillId="0" borderId="82" xfId="0" applyFont="1" applyBorder="1" applyAlignment="1">
      <alignment horizontal="center" vertical="center"/>
    </xf>
    <xf numFmtId="0" fontId="10" fillId="0" borderId="52" xfId="0" applyFont="1" applyBorder="1" applyAlignment="1">
      <alignment horizontal="center" vertical="center"/>
    </xf>
    <xf numFmtId="0" fontId="1" fillId="0" borderId="52" xfId="0" applyFont="1" applyBorder="1" applyAlignment="1">
      <alignment horizontal="left" vertical="center"/>
    </xf>
    <xf numFmtId="0" fontId="17" fillId="0" borderId="52" xfId="0" applyFont="1" applyBorder="1" applyAlignment="1">
      <alignment vertical="center"/>
    </xf>
    <xf numFmtId="0" fontId="17" fillId="0" borderId="75" xfId="0" applyFont="1" applyBorder="1" applyAlignment="1">
      <alignment vertical="center"/>
    </xf>
    <xf numFmtId="4" fontId="1" fillId="0" borderId="76" xfId="0" applyNumberFormat="1" applyFont="1" applyBorder="1" applyAlignment="1">
      <alignment horizontal="right"/>
    </xf>
    <xf numFmtId="0" fontId="17" fillId="0" borderId="52" xfId="0" applyFont="1" applyBorder="1" applyAlignment="1">
      <alignment horizontal="left" vertical="center"/>
    </xf>
    <xf numFmtId="0" fontId="17" fillId="0" borderId="75" xfId="0" applyFont="1" applyBorder="1" applyAlignment="1">
      <alignment horizontal="left" vertical="center"/>
    </xf>
    <xf numFmtId="4" fontId="1" fillId="12" borderId="111" xfId="0" applyNumberFormat="1" applyFont="1" applyFill="1" applyBorder="1" applyAlignment="1">
      <alignment horizontal="right"/>
    </xf>
    <xf numFmtId="4" fontId="10" fillId="12" borderId="28" xfId="0" applyNumberFormat="1" applyFont="1" applyFill="1" applyBorder="1" applyAlignment="1">
      <alignment horizontal="right" vertical="center" wrapText="1"/>
    </xf>
    <xf numFmtId="4" fontId="1" fillId="0" borderId="32" xfId="0" applyNumberFormat="1" applyFont="1" applyBorder="1" applyAlignment="1">
      <alignment horizontal="right"/>
    </xf>
    <xf numFmtId="0" fontId="1" fillId="0" borderId="83" xfId="0" applyFont="1" applyBorder="1" applyAlignment="1">
      <alignment horizontal="center" vertical="center"/>
    </xf>
    <xf numFmtId="0" fontId="1" fillId="0" borderId="91" xfId="0" applyFont="1" applyBorder="1" applyAlignment="1">
      <alignment horizontal="left" vertical="center"/>
    </xf>
    <xf numFmtId="0" fontId="17" fillId="0" borderId="91" xfId="0" applyFont="1" applyBorder="1" applyAlignment="1">
      <alignment vertical="center" wrapText="1"/>
    </xf>
    <xf numFmtId="0" fontId="17" fillId="0" borderId="78" xfId="0" applyFont="1" applyBorder="1" applyAlignment="1">
      <alignment vertical="center" wrapText="1"/>
    </xf>
    <xf numFmtId="4" fontId="1" fillId="0" borderId="25" xfId="0" applyNumberFormat="1" applyFont="1" applyBorder="1" applyAlignment="1">
      <alignment horizontal="right"/>
    </xf>
    <xf numFmtId="0" fontId="1" fillId="0" borderId="0" xfId="0" applyFont="1" applyAlignment="1">
      <alignment horizontal="center" vertical="center"/>
    </xf>
    <xf numFmtId="0" fontId="17" fillId="0" borderId="0" xfId="0" applyFont="1" applyAlignment="1">
      <alignment vertical="center" wrapText="1"/>
    </xf>
    <xf numFmtId="166" fontId="35" fillId="12" borderId="33" xfId="0" applyNumberFormat="1" applyFont="1" applyFill="1" applyBorder="1" applyAlignment="1">
      <alignment horizontal="center" vertical="center" wrapText="1"/>
    </xf>
    <xf numFmtId="0" fontId="1" fillId="0" borderId="82" xfId="0" applyFont="1" applyBorder="1" applyAlignment="1">
      <alignment horizontal="center" vertical="center"/>
    </xf>
    <xf numFmtId="0" fontId="17" fillId="0" borderId="0" xfId="0" applyFont="1" applyAlignment="1">
      <alignment vertical="center"/>
    </xf>
    <xf numFmtId="0" fontId="17" fillId="0" borderId="88" xfId="0" applyFont="1" applyBorder="1" applyAlignment="1">
      <alignment vertical="center"/>
    </xf>
    <xf numFmtId="0" fontId="17" fillId="0" borderId="91" xfId="0" applyFont="1" applyBorder="1" applyAlignment="1">
      <alignment vertical="center"/>
    </xf>
    <xf numFmtId="0" fontId="17" fillId="0" borderId="78" xfId="0" applyFont="1" applyBorder="1" applyAlignment="1">
      <alignment vertical="center"/>
    </xf>
    <xf numFmtId="0" fontId="1" fillId="0" borderId="68" xfId="0" applyFont="1" applyBorder="1" applyAlignment="1">
      <alignment horizontal="center" vertical="center"/>
    </xf>
    <xf numFmtId="0" fontId="1" fillId="0" borderId="78" xfId="0" applyFont="1" applyBorder="1" applyAlignment="1">
      <alignment horizontal="left" vertical="center"/>
    </xf>
    <xf numFmtId="0" fontId="1" fillId="0" borderId="0" xfId="0" applyFont="1" applyAlignment="1">
      <alignment horizontal="left" vertical="center"/>
    </xf>
    <xf numFmtId="0" fontId="19" fillId="0" borderId="86" xfId="0" applyFont="1" applyBorder="1" applyAlignment="1">
      <alignment vertical="center"/>
    </xf>
    <xf numFmtId="0" fontId="19" fillId="0" borderId="52" xfId="0" applyFont="1" applyBorder="1" applyAlignment="1">
      <alignment vertical="center" wrapText="1"/>
    </xf>
    <xf numFmtId="0" fontId="17" fillId="0" borderId="75" xfId="0" applyFont="1" applyBorder="1" applyAlignment="1">
      <alignment vertical="center" wrapText="1"/>
    </xf>
    <xf numFmtId="0" fontId="17" fillId="0" borderId="52" xfId="0" applyFont="1" applyBorder="1" applyAlignment="1">
      <alignment vertical="center" wrapText="1"/>
    </xf>
    <xf numFmtId="4" fontId="1" fillId="0" borderId="93" xfId="0" applyNumberFormat="1" applyFont="1" applyBorder="1" applyAlignment="1">
      <alignment horizontal="right"/>
    </xf>
    <xf numFmtId="0" fontId="1" fillId="0" borderId="88" xfId="0" applyFont="1" applyBorder="1" applyAlignment="1">
      <alignment horizontal="left" vertical="center"/>
    </xf>
    <xf numFmtId="0" fontId="10" fillId="0" borderId="52" xfId="0" applyFont="1" applyBorder="1"/>
    <xf numFmtId="0" fontId="1" fillId="0" borderId="52" xfId="0" applyFont="1" applyBorder="1" applyAlignment="1">
      <alignment wrapText="1"/>
    </xf>
    <xf numFmtId="0" fontId="1" fillId="0" borderId="75" xfId="0" applyFont="1" applyBorder="1" applyAlignment="1">
      <alignment wrapText="1"/>
    </xf>
    <xf numFmtId="0" fontId="10" fillId="0" borderId="75" xfId="0" applyFont="1" applyBorder="1" applyAlignment="1">
      <alignment horizontal="left" vertical="center"/>
    </xf>
    <xf numFmtId="4" fontId="10" fillId="0" borderId="76" xfId="0" applyNumberFormat="1" applyFont="1" applyBorder="1" applyAlignment="1">
      <alignment horizontal="right"/>
    </xf>
    <xf numFmtId="0" fontId="10" fillId="0" borderId="52" xfId="0" applyFont="1" applyBorder="1" applyAlignment="1">
      <alignment vertical="center"/>
    </xf>
    <xf numFmtId="0" fontId="1" fillId="0" borderId="52" xfId="0" applyFont="1" applyBorder="1" applyAlignment="1">
      <alignment vertical="center" wrapText="1"/>
    </xf>
    <xf numFmtId="0" fontId="1" fillId="0" borderId="75" xfId="0" applyFont="1" applyBorder="1" applyAlignment="1">
      <alignment vertical="center" wrapText="1"/>
    </xf>
    <xf numFmtId="0" fontId="1" fillId="0" borderId="75" xfId="0" applyFont="1" applyBorder="1" applyAlignment="1">
      <alignment horizontal="left" vertical="center"/>
    </xf>
    <xf numFmtId="0" fontId="1" fillId="0" borderId="91" xfId="0" applyFont="1" applyBorder="1" applyAlignment="1">
      <alignment horizontal="left"/>
    </xf>
    <xf numFmtId="0" fontId="1" fillId="0" borderId="91" xfId="0" applyFont="1" applyBorder="1" applyAlignment="1">
      <alignment horizontal="left" wrapText="1"/>
    </xf>
    <xf numFmtId="0" fontId="1" fillId="0" borderId="78" xfId="0" applyFont="1" applyBorder="1" applyAlignment="1">
      <alignment horizontal="left" wrapText="1"/>
    </xf>
    <xf numFmtId="0" fontId="29" fillId="0" borderId="0" xfId="0" applyFont="1" applyAlignment="1">
      <alignment horizontal="left" wrapText="1"/>
    </xf>
    <xf numFmtId="0" fontId="35" fillId="12" borderId="26" xfId="0" applyFont="1" applyFill="1" applyBorder="1" applyAlignment="1">
      <alignment horizontal="center" vertical="center" wrapText="1"/>
    </xf>
    <xf numFmtId="4" fontId="33" fillId="12" borderId="26" xfId="0" applyNumberFormat="1" applyFont="1" applyFill="1" applyBorder="1" applyAlignment="1">
      <alignment horizontal="center" vertical="center" wrapText="1"/>
    </xf>
    <xf numFmtId="0" fontId="18" fillId="0" borderId="26" xfId="0" applyFont="1" applyBorder="1" applyAlignment="1">
      <alignment horizontal="center" vertical="center"/>
    </xf>
    <xf numFmtId="174" fontId="16" fillId="0" borderId="26" xfId="0" applyNumberFormat="1" applyFont="1" applyBorder="1" applyAlignment="1">
      <alignment horizontal="center" vertical="center" wrapText="1"/>
    </xf>
    <xf numFmtId="4" fontId="16" fillId="0" borderId="26" xfId="0" applyNumberFormat="1" applyFont="1" applyBorder="1" applyAlignment="1">
      <alignment horizontal="center" vertical="center" wrapText="1"/>
    </xf>
    <xf numFmtId="4" fontId="16" fillId="0" borderId="26" xfId="0" applyNumberFormat="1" applyFont="1" applyBorder="1" applyAlignment="1">
      <alignment horizontal="right" vertical="center" wrapText="1"/>
    </xf>
    <xf numFmtId="0" fontId="15" fillId="12" borderId="95" xfId="0" applyFont="1" applyFill="1" applyBorder="1" applyAlignment="1">
      <alignment horizontal="right"/>
    </xf>
    <xf numFmtId="0" fontId="15" fillId="12" borderId="97" xfId="0" applyFont="1" applyFill="1" applyBorder="1" applyAlignment="1">
      <alignment horizontal="right"/>
    </xf>
    <xf numFmtId="0" fontId="15" fillId="12" borderId="101" xfId="0" applyFont="1" applyFill="1" applyBorder="1" applyAlignment="1">
      <alignment horizontal="right"/>
    </xf>
    <xf numFmtId="0" fontId="27" fillId="12" borderId="102" xfId="0" applyFont="1" applyFill="1" applyBorder="1" applyAlignment="1">
      <alignment horizontal="right"/>
    </xf>
    <xf numFmtId="0" fontId="27" fillId="12" borderId="33" xfId="0" applyFont="1" applyFill="1" applyBorder="1" applyAlignment="1">
      <alignment horizontal="center"/>
    </xf>
    <xf numFmtId="0" fontId="27" fillId="12" borderId="31" xfId="0" applyFont="1" applyFill="1" applyBorder="1" applyAlignment="1">
      <alignment horizontal="right"/>
    </xf>
    <xf numFmtId="0" fontId="1" fillId="0" borderId="92" xfId="0" applyFont="1" applyBorder="1" applyAlignment="1">
      <alignment horizontal="right" vertical="center"/>
    </xf>
    <xf numFmtId="4" fontId="33" fillId="0" borderId="73" xfId="0" applyNumberFormat="1" applyFont="1" applyBorder="1" applyAlignment="1">
      <alignment vertical="center"/>
    </xf>
    <xf numFmtId="4" fontId="1" fillId="0" borderId="71" xfId="0" applyNumberFormat="1" applyFont="1" applyBorder="1" applyAlignment="1">
      <alignment horizontal="right" vertical="center"/>
    </xf>
    <xf numFmtId="0" fontId="1" fillId="0" borderId="52" xfId="0" applyFont="1" applyBorder="1" applyAlignment="1">
      <alignment horizontal="right" vertical="center"/>
    </xf>
    <xf numFmtId="4" fontId="33" fillId="0" borderId="76" xfId="0" applyNumberFormat="1" applyFont="1" applyBorder="1" applyAlignment="1">
      <alignment vertical="center"/>
    </xf>
    <xf numFmtId="4" fontId="16" fillId="0" borderId="76" xfId="0" applyNumberFormat="1" applyFont="1" applyBorder="1" applyAlignment="1">
      <alignment vertical="center"/>
    </xf>
    <xf numFmtId="4" fontId="1" fillId="0" borderId="76" xfId="0" applyNumberFormat="1" applyFont="1" applyBorder="1" applyAlignment="1">
      <alignment horizontal="center" vertical="center"/>
    </xf>
    <xf numFmtId="0" fontId="10" fillId="0" borderId="52" xfId="0" applyFont="1" applyBorder="1" applyAlignment="1">
      <alignment horizontal="right" vertical="center"/>
    </xf>
    <xf numFmtId="4" fontId="10" fillId="0" borderId="76" xfId="0" applyNumberFormat="1" applyFont="1" applyBorder="1" applyAlignment="1">
      <alignment vertical="center"/>
    </xf>
    <xf numFmtId="4" fontId="10" fillId="0" borderId="79" xfId="0" applyNumberFormat="1" applyFont="1" applyBorder="1" applyAlignment="1">
      <alignment vertical="center"/>
    </xf>
    <xf numFmtId="4" fontId="10" fillId="0" borderId="80" xfId="0" applyNumberFormat="1" applyFont="1" applyBorder="1" applyAlignment="1">
      <alignment horizontal="right" vertical="center"/>
    </xf>
    <xf numFmtId="4" fontId="18" fillId="0" borderId="81" xfId="0" applyNumberFormat="1" applyFont="1" applyBorder="1" applyAlignment="1">
      <alignment horizontal="center" vertical="center"/>
    </xf>
    <xf numFmtId="4" fontId="10" fillId="0" borderId="74" xfId="0" applyNumberFormat="1" applyFont="1" applyBorder="1" applyAlignment="1">
      <alignment horizontal="right" vertical="center"/>
    </xf>
    <xf numFmtId="4" fontId="10" fillId="0" borderId="82" xfId="0" applyNumberFormat="1" applyFont="1" applyBorder="1" applyAlignment="1">
      <alignment horizontal="right" vertical="center"/>
    </xf>
    <xf numFmtId="4" fontId="1" fillId="0" borderId="74" xfId="0" applyNumberFormat="1" applyFont="1" applyBorder="1" applyAlignment="1">
      <alignment horizontal="right" vertical="center"/>
    </xf>
    <xf numFmtId="4" fontId="18" fillId="0" borderId="26" xfId="0" applyNumberFormat="1" applyFont="1" applyBorder="1" applyAlignment="1">
      <alignment horizontal="center" vertical="center"/>
    </xf>
    <xf numFmtId="4" fontId="5" fillId="0" borderId="81" xfId="0" applyNumberFormat="1" applyFont="1" applyBorder="1" applyAlignment="1">
      <alignment horizontal="right" vertical="center"/>
    </xf>
    <xf numFmtId="1" fontId="10" fillId="0" borderId="90" xfId="0" applyNumberFormat="1" applyFont="1" applyBorder="1" applyAlignment="1">
      <alignment horizontal="right" vertical="center"/>
    </xf>
    <xf numFmtId="4" fontId="1" fillId="0" borderId="52" xfId="0" applyNumberFormat="1" applyFont="1" applyBorder="1" applyAlignment="1">
      <alignment horizontal="right" vertical="center"/>
    </xf>
    <xf numFmtId="4" fontId="10" fillId="0" borderId="52" xfId="0" applyNumberFormat="1" applyFont="1" applyBorder="1" applyAlignment="1">
      <alignment horizontal="right" vertical="center"/>
    </xf>
    <xf numFmtId="0" fontId="16" fillId="0" borderId="115" xfId="0" applyFont="1" applyBorder="1" applyAlignment="1">
      <alignment horizontal="right" vertical="center"/>
    </xf>
    <xf numFmtId="4" fontId="18" fillId="0" borderId="32" xfId="0" applyNumberFormat="1" applyFont="1" applyBorder="1" applyAlignment="1">
      <alignment horizontal="center" vertical="center"/>
    </xf>
    <xf numFmtId="4" fontId="10" fillId="0" borderId="115" xfId="0" applyNumberFormat="1" applyFont="1" applyBorder="1" applyAlignment="1">
      <alignment horizontal="right" vertical="center"/>
    </xf>
    <xf numFmtId="0" fontId="16" fillId="0" borderId="116" xfId="0" applyFont="1" applyBorder="1" applyAlignment="1">
      <alignment vertical="center"/>
    </xf>
    <xf numFmtId="0" fontId="5" fillId="0" borderId="116" xfId="0" applyFont="1" applyBorder="1" applyAlignment="1">
      <alignment vertical="center"/>
    </xf>
    <xf numFmtId="0" fontId="5" fillId="0" borderId="117" xfId="0" applyFont="1" applyBorder="1" applyAlignment="1">
      <alignment horizontal="right" vertical="center"/>
    </xf>
    <xf numFmtId="4" fontId="5" fillId="0" borderId="22" xfId="0" applyNumberFormat="1" applyFont="1" applyBorder="1" applyAlignment="1">
      <alignment horizontal="center" vertical="center"/>
    </xf>
    <xf numFmtId="0" fontId="16" fillId="0" borderId="118" xfId="0" applyFont="1" applyBorder="1" applyAlignment="1">
      <alignment horizontal="right" vertical="center"/>
    </xf>
    <xf numFmtId="4" fontId="5" fillId="0" borderId="121" xfId="0" applyNumberFormat="1" applyFont="1" applyBorder="1" applyAlignment="1">
      <alignment horizontal="right" vertical="center"/>
    </xf>
    <xf numFmtId="4" fontId="5" fillId="0" borderId="118" xfId="0" applyNumberFormat="1" applyFont="1" applyBorder="1" applyAlignment="1">
      <alignment horizontal="right" vertical="center"/>
    </xf>
    <xf numFmtId="4" fontId="5" fillId="0" borderId="121" xfId="0" applyNumberFormat="1" applyFont="1" applyBorder="1" applyAlignment="1">
      <alignment vertical="center"/>
    </xf>
    <xf numFmtId="0" fontId="16" fillId="0" borderId="70" xfId="0" applyFont="1" applyBorder="1" applyAlignment="1">
      <alignment horizontal="right" vertical="center"/>
    </xf>
    <xf numFmtId="4" fontId="5" fillId="0" borderId="25" xfId="0" applyNumberFormat="1" applyFont="1" applyBorder="1" applyAlignment="1">
      <alignment horizontal="right" vertical="center"/>
    </xf>
    <xf numFmtId="4" fontId="5" fillId="0" borderId="70" xfId="0" applyNumberFormat="1" applyFont="1" applyBorder="1" applyAlignment="1">
      <alignment horizontal="right" vertical="center"/>
    </xf>
    <xf numFmtId="4" fontId="5" fillId="0" borderId="25" xfId="0" applyNumberFormat="1" applyFont="1" applyBorder="1" applyAlignment="1">
      <alignment vertical="center"/>
    </xf>
    <xf numFmtId="4" fontId="5" fillId="0" borderId="26" xfId="0" applyNumberFormat="1" applyFont="1" applyBorder="1" applyAlignment="1">
      <alignment vertical="center"/>
    </xf>
    <xf numFmtId="0" fontId="16" fillId="0" borderId="0" xfId="0" applyFont="1" applyAlignment="1">
      <alignment horizontal="right" vertical="center"/>
    </xf>
    <xf numFmtId="0" fontId="15" fillId="0" borderId="0" xfId="0" applyFont="1"/>
    <xf numFmtId="175" fontId="15" fillId="0" borderId="0" xfId="0" applyNumberFormat="1" applyFont="1"/>
    <xf numFmtId="175" fontId="15" fillId="0" borderId="0" xfId="0" applyNumberFormat="1" applyFont="1" applyAlignment="1">
      <alignment horizontal="right"/>
    </xf>
    <xf numFmtId="0" fontId="15" fillId="0" borderId="0" xfId="0" applyFont="1" applyAlignment="1">
      <alignment horizontal="right"/>
    </xf>
    <xf numFmtId="0" fontId="29" fillId="0" borderId="85" xfId="0" applyFont="1" applyBorder="1"/>
    <xf numFmtId="175" fontId="15" fillId="0" borderId="85" xfId="0" applyNumberFormat="1" applyFont="1" applyBorder="1"/>
    <xf numFmtId="0" fontId="15" fillId="0" borderId="85" xfId="0" applyFont="1" applyBorder="1"/>
    <xf numFmtId="0" fontId="16" fillId="0" borderId="0" xfId="0" applyFont="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15" fillId="12" borderId="95" xfId="0" applyFont="1" applyFill="1" applyBorder="1" applyAlignment="1">
      <alignment horizontal="center"/>
    </xf>
    <xf numFmtId="0" fontId="15" fillId="12" borderId="97" xfId="0" applyFont="1" applyFill="1" applyBorder="1" applyAlignment="1">
      <alignment horizontal="center"/>
    </xf>
    <xf numFmtId="0" fontId="15" fillId="12" borderId="101" xfId="0" applyFont="1" applyFill="1" applyBorder="1" applyAlignment="1">
      <alignment horizontal="center"/>
    </xf>
    <xf numFmtId="0" fontId="27" fillId="12" borderId="31" xfId="0" applyFont="1" applyFill="1" applyBorder="1" applyAlignment="1">
      <alignment horizontal="center"/>
    </xf>
    <xf numFmtId="0" fontId="42" fillId="0" borderId="0" xfId="0" applyFont="1"/>
    <xf numFmtId="4" fontId="10" fillId="0" borderId="51" xfId="0" applyNumberFormat="1" applyFont="1" applyBorder="1" applyAlignment="1">
      <alignment horizontal="right" vertical="center"/>
    </xf>
    <xf numFmtId="4" fontId="18" fillId="0" borderId="51" xfId="0" applyNumberFormat="1" applyFont="1" applyBorder="1" applyAlignment="1">
      <alignment horizontal="center" vertical="center"/>
    </xf>
    <xf numFmtId="4" fontId="5" fillId="0" borderId="56" xfId="0" applyNumberFormat="1" applyFont="1" applyBorder="1" applyAlignment="1">
      <alignment horizontal="right" vertical="center"/>
    </xf>
    <xf numFmtId="0" fontId="16" fillId="0" borderId="0" xfId="0" applyFont="1" applyAlignment="1">
      <alignment horizontal="center" vertical="center"/>
    </xf>
    <xf numFmtId="0" fontId="5" fillId="0" borderId="0" xfId="0" applyFont="1" applyAlignment="1">
      <alignment horizontal="right" vertical="center"/>
    </xf>
    <xf numFmtId="4" fontId="5" fillId="0" borderId="0" xfId="0" applyNumberFormat="1" applyFont="1" applyAlignment="1">
      <alignment horizontal="right" vertical="center"/>
    </xf>
    <xf numFmtId="4" fontId="10" fillId="0" borderId="0" xfId="0" applyNumberFormat="1" applyFont="1" applyAlignment="1">
      <alignment horizontal="right" vertical="center"/>
    </xf>
    <xf numFmtId="0" fontId="15" fillId="0" borderId="0" xfId="0" applyFont="1" applyAlignment="1">
      <alignment horizontal="center"/>
    </xf>
    <xf numFmtId="4" fontId="10" fillId="0" borderId="0" xfId="0" applyNumberFormat="1" applyFont="1" applyAlignment="1">
      <alignment vertical="center"/>
    </xf>
    <xf numFmtId="4" fontId="18" fillId="0" borderId="0" xfId="0" applyNumberFormat="1" applyFont="1" applyAlignment="1">
      <alignment horizontal="center" vertical="center"/>
    </xf>
    <xf numFmtId="0" fontId="27" fillId="0" borderId="23" xfId="0" applyFont="1" applyBorder="1" applyAlignment="1">
      <alignment horizontal="center"/>
    </xf>
    <xf numFmtId="0" fontId="18" fillId="0" borderId="26" xfId="0" applyFont="1" applyBorder="1" applyAlignment="1">
      <alignment horizontal="center" vertical="center" wrapText="1"/>
    </xf>
    <xf numFmtId="0" fontId="1" fillId="0" borderId="68" xfId="0" applyFont="1" applyBorder="1" applyAlignment="1">
      <alignment horizontal="right" vertical="center"/>
    </xf>
    <xf numFmtId="4" fontId="33" fillId="0" borderId="22" xfId="0" applyNumberFormat="1" applyFont="1" applyBorder="1" applyAlignment="1">
      <alignment vertical="center"/>
    </xf>
    <xf numFmtId="4" fontId="1" fillId="0" borderId="86" xfId="0" applyNumberFormat="1" applyFont="1" applyBorder="1" applyAlignment="1">
      <alignment horizontal="right" vertical="center"/>
    </xf>
    <xf numFmtId="0" fontId="1" fillId="0" borderId="82" xfId="0" applyFont="1" applyBorder="1" applyAlignment="1">
      <alignment horizontal="right" vertical="center"/>
    </xf>
    <xf numFmtId="4" fontId="33" fillId="0" borderId="32" xfId="0" applyNumberFormat="1" applyFont="1" applyBorder="1" applyAlignment="1">
      <alignment vertical="center"/>
    </xf>
    <xf numFmtId="4" fontId="16" fillId="0" borderId="32" xfId="0" applyNumberFormat="1" applyFont="1" applyBorder="1" applyAlignment="1">
      <alignment vertical="center"/>
    </xf>
    <xf numFmtId="4" fontId="1" fillId="0" borderId="32" xfId="0" applyNumberFormat="1" applyFont="1" applyBorder="1" applyAlignment="1">
      <alignment horizontal="center" vertical="center"/>
    </xf>
    <xf numFmtId="0" fontId="10" fillId="0" borderId="82" xfId="0" applyFont="1" applyBorder="1" applyAlignment="1">
      <alignment horizontal="right" vertical="center"/>
    </xf>
    <xf numFmtId="4" fontId="10" fillId="0" borderId="32" xfId="0" applyNumberFormat="1" applyFont="1" applyBorder="1" applyAlignment="1">
      <alignment vertical="center"/>
    </xf>
    <xf numFmtId="4" fontId="10" fillId="0" borderId="32" xfId="0" applyNumberFormat="1" applyFont="1" applyBorder="1" applyAlignment="1">
      <alignment horizontal="right" vertical="center"/>
    </xf>
    <xf numFmtId="4" fontId="5" fillId="0" borderId="32" xfId="0" applyNumberFormat="1" applyFont="1" applyBorder="1" applyAlignment="1">
      <alignment horizontal="right" vertical="center"/>
    </xf>
    <xf numFmtId="0" fontId="5" fillId="0" borderId="88" xfId="0" applyFont="1" applyBorder="1" applyAlignment="1">
      <alignment horizontal="right" vertical="center"/>
    </xf>
    <xf numFmtId="4" fontId="5" fillId="0" borderId="32" xfId="0" applyNumberFormat="1" applyFont="1" applyBorder="1" applyAlignment="1">
      <alignment horizontal="center" vertical="center"/>
    </xf>
    <xf numFmtId="4" fontId="5" fillId="0" borderId="32" xfId="0" applyNumberFormat="1" applyFont="1" applyBorder="1" applyAlignment="1">
      <alignment vertical="center"/>
    </xf>
    <xf numFmtId="0" fontId="10" fillId="0" borderId="70" xfId="0" applyFont="1" applyBorder="1" applyAlignment="1">
      <alignment horizontal="right" vertical="center"/>
    </xf>
    <xf numFmtId="0" fontId="15" fillId="0" borderId="30" xfId="0" applyFont="1" applyBorder="1"/>
    <xf numFmtId="175" fontId="15" fillId="0" borderId="25" xfId="0" applyNumberFormat="1" applyFont="1" applyBorder="1"/>
    <xf numFmtId="4" fontId="10" fillId="0" borderId="70" xfId="0" applyNumberFormat="1" applyFont="1" applyBorder="1" applyAlignment="1">
      <alignment horizontal="right" vertical="center"/>
    </xf>
    <xf numFmtId="0" fontId="10" fillId="0" borderId="0" xfId="0" applyFont="1" applyAlignment="1">
      <alignment horizontal="right" vertical="center"/>
    </xf>
    <xf numFmtId="0" fontId="1" fillId="0" borderId="0" xfId="0" applyFont="1" applyAlignment="1">
      <alignment horizontal="right" vertical="center"/>
    </xf>
    <xf numFmtId="0" fontId="27" fillId="12" borderId="102" xfId="0" applyFont="1" applyFill="1" applyBorder="1" applyAlignment="1">
      <alignment horizontal="center"/>
    </xf>
    <xf numFmtId="1" fontId="27" fillId="12" borderId="26" xfId="0" applyNumberFormat="1" applyFont="1" applyFill="1" applyBorder="1" applyAlignment="1">
      <alignment horizontal="center"/>
    </xf>
    <xf numFmtId="1" fontId="27" fillId="12" borderId="33" xfId="0" applyNumberFormat="1" applyFont="1" applyFill="1" applyBorder="1" applyAlignment="1">
      <alignment horizontal="center"/>
    </xf>
    <xf numFmtId="0" fontId="1" fillId="0" borderId="92" xfId="0" applyFont="1" applyBorder="1" applyAlignment="1">
      <alignment horizontal="center" vertical="center"/>
    </xf>
    <xf numFmtId="0" fontId="5" fillId="0" borderId="92" xfId="0" applyFont="1" applyBorder="1" applyAlignment="1">
      <alignment horizontal="left"/>
    </xf>
    <xf numFmtId="0" fontId="10" fillId="0" borderId="92" xfId="0" applyFont="1" applyBorder="1" applyAlignment="1">
      <alignment horizontal="left"/>
    </xf>
    <xf numFmtId="0" fontId="10" fillId="0" borderId="72" xfId="0" applyFont="1" applyBorder="1" applyAlignment="1">
      <alignment horizontal="left"/>
    </xf>
    <xf numFmtId="0" fontId="10" fillId="0" borderId="73" xfId="0" applyFont="1" applyBorder="1" applyAlignment="1">
      <alignment horizontal="left"/>
    </xf>
    <xf numFmtId="175" fontId="10" fillId="0" borderId="73" xfId="0" applyNumberFormat="1" applyFont="1" applyBorder="1" applyAlignment="1">
      <alignment horizontal="right" vertical="center"/>
    </xf>
    <xf numFmtId="0" fontId="1" fillId="0" borderId="52" xfId="0" applyFont="1" applyBorder="1" applyAlignment="1">
      <alignment horizontal="center" vertical="center"/>
    </xf>
    <xf numFmtId="0" fontId="18" fillId="0" borderId="52" xfId="0" applyFont="1" applyBorder="1" applyAlignment="1">
      <alignment horizontal="left"/>
    </xf>
    <xf numFmtId="0" fontId="10" fillId="0" borderId="75" xfId="0" applyFont="1" applyBorder="1" applyAlignment="1">
      <alignment horizontal="left"/>
    </xf>
    <xf numFmtId="4" fontId="18" fillId="0" borderId="76" xfId="0" applyNumberFormat="1" applyFont="1" applyBorder="1" applyAlignment="1">
      <alignment horizontal="center" vertical="center"/>
    </xf>
    <xf numFmtId="0" fontId="20" fillId="0" borderId="52" xfId="0" applyFont="1" applyBorder="1" applyAlignment="1">
      <alignment horizontal="left"/>
    </xf>
    <xf numFmtId="4" fontId="1" fillId="0" borderId="52" xfId="0" applyNumberFormat="1" applyFont="1" applyBorder="1" applyAlignment="1">
      <alignment horizontal="center" vertical="center"/>
    </xf>
    <xf numFmtId="0" fontId="31" fillId="0" borderId="52" xfId="0" applyFont="1" applyBorder="1" applyAlignment="1">
      <alignment vertical="center"/>
    </xf>
    <xf numFmtId="4" fontId="1" fillId="0" borderId="79" xfId="0" applyNumberFormat="1" applyFont="1" applyBorder="1" applyAlignment="1">
      <alignment horizontal="right" vertical="center"/>
    </xf>
    <xf numFmtId="0" fontId="44" fillId="0" borderId="52" xfId="0" applyFont="1" applyBorder="1" applyAlignment="1">
      <alignment vertical="center"/>
    </xf>
    <xf numFmtId="0" fontId="10" fillId="0" borderId="76" xfId="0" applyFont="1" applyBorder="1" applyAlignment="1">
      <alignment horizontal="left"/>
    </xf>
    <xf numFmtId="0" fontId="1" fillId="0" borderId="84" xfId="0" applyFont="1" applyBorder="1" applyAlignment="1">
      <alignment horizontal="center" vertical="center"/>
    </xf>
    <xf numFmtId="0" fontId="1" fillId="0" borderId="84" xfId="0" applyFont="1" applyBorder="1" applyAlignment="1">
      <alignment horizontal="left"/>
    </xf>
    <xf numFmtId="0" fontId="10" fillId="0" borderId="89" xfId="0" applyFont="1" applyBorder="1" applyAlignment="1">
      <alignment horizontal="left"/>
    </xf>
    <xf numFmtId="0" fontId="10" fillId="0" borderId="124" xfId="0" applyFont="1" applyBorder="1"/>
    <xf numFmtId="175" fontId="10" fillId="0" borderId="0" xfId="0" applyNumberFormat="1" applyFont="1" applyAlignment="1">
      <alignment horizontal="right" vertical="center"/>
    </xf>
    <xf numFmtId="0" fontId="10" fillId="0" borderId="85" xfId="0" applyFont="1" applyBorder="1" applyAlignment="1">
      <alignment horizontal="center"/>
    </xf>
    <xf numFmtId="0" fontId="18" fillId="0" borderId="0" xfId="0" applyFont="1" applyAlignment="1">
      <alignment vertical="top"/>
    </xf>
    <xf numFmtId="0" fontId="1" fillId="0" borderId="44" xfId="0" applyFont="1" applyBorder="1" applyAlignment="1">
      <alignment horizontal="center" vertical="center"/>
    </xf>
    <xf numFmtId="0" fontId="18" fillId="0" borderId="45" xfId="0" applyFont="1" applyBorder="1" applyAlignment="1">
      <alignment horizontal="left"/>
    </xf>
    <xf numFmtId="0" fontId="10" fillId="0" borderId="45" xfId="0" applyFont="1" applyBorder="1" applyAlignment="1">
      <alignment horizontal="left"/>
    </xf>
    <xf numFmtId="0" fontId="10" fillId="0" borderId="46" xfId="0" applyFont="1" applyBorder="1" applyAlignment="1">
      <alignment horizontal="left"/>
    </xf>
    <xf numFmtId="0" fontId="10" fillId="0" borderId="47" xfId="0" applyFont="1" applyBorder="1" applyAlignment="1">
      <alignment horizontal="left"/>
    </xf>
    <xf numFmtId="175" fontId="10" fillId="0" borderId="47" xfId="0" applyNumberFormat="1" applyFont="1" applyBorder="1" applyAlignment="1">
      <alignment horizontal="right" vertical="center"/>
    </xf>
    <xf numFmtId="0" fontId="1" fillId="0" borderId="48" xfId="0" applyFont="1" applyBorder="1" applyAlignment="1">
      <alignment horizontal="center" vertical="center"/>
    </xf>
    <xf numFmtId="0" fontId="18" fillId="0" borderId="49" xfId="0" applyFont="1" applyBorder="1"/>
    <xf numFmtId="0" fontId="10" fillId="0" borderId="49" xfId="0" applyFont="1" applyBorder="1" applyAlignment="1">
      <alignment horizontal="left"/>
    </xf>
    <xf numFmtId="0" fontId="10" fillId="0" borderId="50" xfId="0" applyFont="1" applyBorder="1" applyAlignment="1">
      <alignment horizontal="left"/>
    </xf>
    <xf numFmtId="0" fontId="25" fillId="0" borderId="49" xfId="0" applyFont="1" applyBorder="1"/>
    <xf numFmtId="0" fontId="25" fillId="0" borderId="49" xfId="0" applyFont="1" applyBorder="1" applyAlignment="1">
      <alignment horizontal="left"/>
    </xf>
    <xf numFmtId="0" fontId="31" fillId="0" borderId="49" xfId="0" applyFont="1" applyBorder="1" applyAlignment="1">
      <alignment vertical="center"/>
    </xf>
    <xf numFmtId="0" fontId="10" fillId="0" borderId="48" xfId="0" applyFont="1" applyBorder="1" applyAlignment="1">
      <alignment horizontal="center" vertical="center"/>
    </xf>
    <xf numFmtId="0" fontId="10" fillId="0" borderId="51" xfId="0" applyFont="1" applyBorder="1" applyAlignment="1">
      <alignment horizontal="left"/>
    </xf>
    <xf numFmtId="0" fontId="10" fillId="0" borderId="53" xfId="0" applyFont="1" applyBorder="1"/>
    <xf numFmtId="0" fontId="10" fillId="12" borderId="31" xfId="0" applyFont="1" applyFill="1" applyBorder="1"/>
    <xf numFmtId="0" fontId="27" fillId="12" borderId="33" xfId="0" applyFont="1" applyFill="1" applyBorder="1" applyAlignment="1">
      <alignment horizontal="center" vertical="center" wrapText="1"/>
    </xf>
    <xf numFmtId="166" fontId="5" fillId="12" borderId="26" xfId="0" applyNumberFormat="1" applyFont="1" applyFill="1" applyBorder="1" applyAlignment="1">
      <alignment horizontal="center" vertical="center" wrapText="1"/>
    </xf>
    <xf numFmtId="4" fontId="1" fillId="0" borderId="47" xfId="0" applyNumberFormat="1" applyFont="1" applyBorder="1" applyAlignment="1">
      <alignment horizontal="right"/>
    </xf>
    <xf numFmtId="0" fontId="10" fillId="13" borderId="126" xfId="0" applyFont="1" applyFill="1" applyBorder="1" applyAlignment="1">
      <alignment horizontal="left"/>
    </xf>
    <xf numFmtId="4" fontId="10" fillId="13" borderId="51" xfId="0" applyNumberFormat="1" applyFont="1" applyFill="1" applyBorder="1" applyAlignment="1">
      <alignment horizontal="right"/>
    </xf>
    <xf numFmtId="4" fontId="1" fillId="0" borderId="51" xfId="0" applyNumberFormat="1" applyFont="1" applyBorder="1" applyAlignment="1">
      <alignment horizontal="right"/>
    </xf>
    <xf numFmtId="4" fontId="1" fillId="0" borderId="56" xfId="0" applyNumberFormat="1" applyFont="1" applyBorder="1" applyAlignment="1">
      <alignment horizontal="right"/>
    </xf>
    <xf numFmtId="166" fontId="1" fillId="0" borderId="85" xfId="0" applyNumberFormat="1" applyFont="1" applyBorder="1"/>
    <xf numFmtId="166" fontId="10" fillId="0" borderId="0" xfId="0" applyNumberFormat="1" applyFont="1" applyAlignment="1">
      <alignment vertical="center"/>
    </xf>
    <xf numFmtId="0" fontId="18" fillId="0" borderId="23" xfId="0" applyFont="1" applyBorder="1" applyAlignment="1">
      <alignment vertical="center"/>
    </xf>
    <xf numFmtId="0" fontId="18" fillId="0" borderId="24" xfId="0" applyFont="1" applyBorder="1" applyAlignment="1">
      <alignment vertical="center"/>
    </xf>
    <xf numFmtId="0" fontId="25" fillId="0" borderId="24" xfId="0" applyFont="1" applyBorder="1" applyAlignment="1">
      <alignment vertical="center"/>
    </xf>
    <xf numFmtId="0" fontId="18" fillId="12" borderId="31" xfId="0" applyFont="1" applyFill="1" applyBorder="1" applyAlignment="1">
      <alignment vertical="center"/>
    </xf>
    <xf numFmtId="0" fontId="18" fillId="12" borderId="33" xfId="0" applyFont="1" applyFill="1" applyBorder="1" applyAlignment="1">
      <alignment vertical="center"/>
    </xf>
    <xf numFmtId="0" fontId="18" fillId="0" borderId="0" xfId="0" applyFont="1" applyAlignment="1">
      <alignment wrapText="1"/>
    </xf>
    <xf numFmtId="0" fontId="18" fillId="0" borderId="0" xfId="0" applyFont="1" applyAlignment="1">
      <alignment vertical="top" wrapText="1"/>
    </xf>
    <xf numFmtId="0" fontId="18" fillId="0" borderId="44" xfId="0" applyFont="1" applyBorder="1" applyAlignment="1">
      <alignment vertical="center"/>
    </xf>
    <xf numFmtId="0" fontId="1" fillId="0" borderId="45" xfId="0" applyFont="1" applyBorder="1" applyAlignment="1">
      <alignment horizontal="center"/>
    </xf>
    <xf numFmtId="0" fontId="1" fillId="0" borderId="46" xfId="0" applyFont="1" applyBorder="1" applyAlignment="1">
      <alignment vertical="center"/>
    </xf>
    <xf numFmtId="0" fontId="1" fillId="0" borderId="48" xfId="0" applyFont="1" applyBorder="1" applyAlignment="1">
      <alignment horizontal="center"/>
    </xf>
    <xf numFmtId="0" fontId="1" fillId="0" borderId="49" xfId="0" applyFont="1" applyBorder="1" applyAlignment="1">
      <alignment vertical="center"/>
    </xf>
    <xf numFmtId="0" fontId="1" fillId="0" borderId="49" xfId="0" applyFont="1" applyBorder="1" applyAlignment="1">
      <alignment horizontal="center"/>
    </xf>
    <xf numFmtId="0" fontId="1" fillId="0" borderId="50" xfId="0" applyFont="1" applyBorder="1" applyAlignment="1">
      <alignment vertical="center"/>
    </xf>
    <xf numFmtId="0" fontId="10" fillId="0" borderId="49" xfId="0" applyFont="1" applyBorder="1" applyAlignment="1">
      <alignment vertical="center"/>
    </xf>
    <xf numFmtId="4" fontId="10" fillId="0" borderId="51" xfId="0" applyNumberFormat="1" applyFont="1" applyBorder="1" applyAlignment="1">
      <alignment horizontal="right"/>
    </xf>
    <xf numFmtId="0" fontId="10" fillId="0" borderId="48" xfId="0" applyFont="1" applyBorder="1" applyAlignment="1">
      <alignment horizontal="center"/>
    </xf>
    <xf numFmtId="0" fontId="10" fillId="0" borderId="49"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4" xfId="0" applyFont="1" applyBorder="1" applyAlignment="1">
      <alignment vertical="center"/>
    </xf>
    <xf numFmtId="0" fontId="10" fillId="0" borderId="55" xfId="0" applyFont="1" applyBorder="1" applyAlignment="1">
      <alignment horizontal="left"/>
    </xf>
    <xf numFmtId="4" fontId="10" fillId="0" borderId="56" xfId="0" applyNumberFormat="1" applyFont="1" applyBorder="1" applyAlignment="1">
      <alignment horizontal="right"/>
    </xf>
    <xf numFmtId="0" fontId="10" fillId="0" borderId="0" xfId="0" applyFont="1" applyAlignment="1">
      <alignment horizontal="right"/>
    </xf>
    <xf numFmtId="0" fontId="29" fillId="0" borderId="0" xfId="0" applyFont="1" applyAlignment="1">
      <alignment horizontal="left" vertical="top" wrapText="1"/>
    </xf>
    <xf numFmtId="0" fontId="25" fillId="12" borderId="101" xfId="0" applyFont="1" applyFill="1" applyBorder="1"/>
    <xf numFmtId="0" fontId="25" fillId="12" borderId="102" xfId="0" applyFont="1" applyFill="1" applyBorder="1"/>
    <xf numFmtId="166" fontId="25" fillId="12" borderId="102" xfId="0" applyNumberFormat="1" applyFont="1" applyFill="1" applyBorder="1"/>
    <xf numFmtId="166" fontId="25" fillId="12" borderId="107" xfId="0" applyNumberFormat="1" applyFont="1" applyFill="1" applyBorder="1"/>
    <xf numFmtId="0" fontId="10" fillId="0" borderId="46" xfId="0" applyFont="1" applyBorder="1"/>
    <xf numFmtId="4" fontId="1" fillId="0" borderId="47" xfId="0" applyNumberFormat="1" applyFont="1" applyBorder="1" applyAlignment="1">
      <alignment horizontal="right" vertical="center"/>
    </xf>
    <xf numFmtId="0" fontId="19" fillId="0" borderId="50" xfId="0" applyFont="1" applyBorder="1" applyAlignment="1">
      <alignment vertical="center"/>
    </xf>
    <xf numFmtId="0" fontId="19" fillId="0" borderId="50" xfId="0" applyFont="1" applyBorder="1" applyAlignment="1">
      <alignment vertical="center" wrapText="1"/>
    </xf>
    <xf numFmtId="0" fontId="18" fillId="0" borderId="48" xfId="0" applyFont="1" applyBorder="1" applyAlignment="1">
      <alignment vertical="center"/>
    </xf>
    <xf numFmtId="0" fontId="10" fillId="0" borderId="50" xfId="0" applyFont="1" applyBorder="1"/>
    <xf numFmtId="4" fontId="1" fillId="0" borderId="51" xfId="0" applyNumberFormat="1" applyFont="1" applyBorder="1" applyAlignment="1">
      <alignment horizontal="right" vertical="center"/>
    </xf>
    <xf numFmtId="0" fontId="1" fillId="0" borderId="48" xfId="0" applyFont="1" applyBorder="1" applyAlignment="1">
      <alignment horizontal="right"/>
    </xf>
    <xf numFmtId="0" fontId="10" fillId="0" borderId="48" xfId="0" applyFont="1" applyBorder="1" applyAlignment="1">
      <alignment horizontal="right"/>
    </xf>
    <xf numFmtId="0" fontId="10" fillId="0" borderId="50" xfId="0" applyFont="1" applyBorder="1" applyAlignment="1">
      <alignment vertical="center"/>
    </xf>
    <xf numFmtId="0" fontId="1" fillId="0" borderId="55" xfId="0" applyFont="1" applyBorder="1" applyAlignment="1">
      <alignment horizontal="center"/>
    </xf>
    <xf numFmtId="4" fontId="1" fillId="0" borderId="56" xfId="0" applyNumberFormat="1" applyFont="1" applyBorder="1" applyAlignment="1">
      <alignment horizontal="right" vertical="center"/>
    </xf>
    <xf numFmtId="4" fontId="1" fillId="0" borderId="0" xfId="0" applyNumberFormat="1" applyFont="1"/>
    <xf numFmtId="0" fontId="29" fillId="0" borderId="0" xfId="0" applyFont="1" applyAlignment="1">
      <alignment horizontal="left"/>
    </xf>
    <xf numFmtId="0" fontId="1" fillId="0" borderId="85" xfId="0" applyFont="1" applyBorder="1" applyAlignment="1">
      <alignment horizontal="center"/>
    </xf>
    <xf numFmtId="166" fontId="10" fillId="0" borderId="0" xfId="0" applyNumberFormat="1" applyFont="1" applyAlignment="1">
      <alignment horizontal="right" vertical="center"/>
    </xf>
    <xf numFmtId="166" fontId="1" fillId="0" borderId="85" xfId="0" applyNumberFormat="1" applyFont="1" applyBorder="1" applyAlignment="1">
      <alignment horizontal="right" vertical="center"/>
    </xf>
    <xf numFmtId="166" fontId="10" fillId="0" borderId="85" xfId="0" applyNumberFormat="1" applyFont="1" applyBorder="1" applyAlignment="1">
      <alignment horizontal="right" vertical="center"/>
    </xf>
    <xf numFmtId="0" fontId="18" fillId="0" borderId="0" xfId="0" applyFont="1"/>
    <xf numFmtId="0" fontId="1" fillId="0" borderId="127" xfId="0" applyFont="1" applyBorder="1"/>
    <xf numFmtId="0" fontId="45" fillId="0" borderId="69" xfId="0" applyFont="1" applyBorder="1"/>
    <xf numFmtId="0" fontId="46" fillId="0" borderId="22" xfId="0" applyFont="1" applyBorder="1" applyAlignment="1">
      <alignment horizontal="right" vertical="center"/>
    </xf>
    <xf numFmtId="0" fontId="10" fillId="0" borderId="74" xfId="0" applyFont="1" applyBorder="1"/>
    <xf numFmtId="0" fontId="10" fillId="0" borderId="90" xfId="0" applyFont="1" applyBorder="1"/>
    <xf numFmtId="0" fontId="10" fillId="0" borderId="80" xfId="0" applyFont="1" applyBorder="1" applyAlignment="1">
      <alignment horizontal="right" wrapText="1"/>
    </xf>
    <xf numFmtId="0" fontId="10" fillId="0" borderId="75" xfId="0" applyFont="1" applyBorder="1" applyAlignment="1">
      <alignment wrapText="1"/>
    </xf>
    <xf numFmtId="0" fontId="10" fillId="0" borderId="82" xfId="0" applyFont="1" applyBorder="1" applyAlignment="1">
      <alignment horizontal="right" wrapText="1"/>
    </xf>
    <xf numFmtId="0" fontId="19" fillId="0" borderId="75" xfId="0" applyFont="1" applyBorder="1" applyAlignment="1">
      <alignment vertical="center" wrapText="1"/>
    </xf>
    <xf numFmtId="0" fontId="19" fillId="0" borderId="74" xfId="0" applyFont="1" applyBorder="1" applyAlignment="1">
      <alignment vertical="center"/>
    </xf>
    <xf numFmtId="0" fontId="19" fillId="0" borderId="90" xfId="0" applyFont="1" applyBorder="1" applyAlignment="1">
      <alignment vertical="center"/>
    </xf>
    <xf numFmtId="0" fontId="1" fillId="0" borderId="82" xfId="0" applyFont="1" applyBorder="1" applyAlignment="1">
      <alignment vertical="center"/>
    </xf>
    <xf numFmtId="0" fontId="1" fillId="12" borderId="28" xfId="0" applyFont="1" applyFill="1" applyBorder="1" applyAlignment="1">
      <alignment horizontal="right" vertical="center" wrapText="1"/>
    </xf>
    <xf numFmtId="0" fontId="1" fillId="12" borderId="28" xfId="0" applyFont="1" applyFill="1" applyBorder="1" applyAlignment="1">
      <alignment vertical="center" wrapText="1"/>
    </xf>
    <xf numFmtId="4" fontId="1" fillId="0" borderId="32" xfId="0" applyNumberFormat="1" applyFont="1" applyBorder="1" applyAlignment="1">
      <alignment wrapText="1"/>
    </xf>
    <xf numFmtId="0" fontId="1" fillId="0" borderId="32" xfId="0" applyFont="1" applyBorder="1" applyAlignment="1">
      <alignment horizontal="right" vertical="center" wrapText="1"/>
    </xf>
    <xf numFmtId="0" fontId="17" fillId="0" borderId="90" xfId="0" applyFont="1" applyBorder="1" applyAlignment="1">
      <alignment vertical="center"/>
    </xf>
    <xf numFmtId="0" fontId="1" fillId="0" borderId="90" xfId="0" applyFont="1" applyBorder="1" applyAlignment="1">
      <alignment horizontal="center" wrapText="1"/>
    </xf>
    <xf numFmtId="4" fontId="1" fillId="0" borderId="32" xfId="0" applyNumberFormat="1" applyFont="1" applyBorder="1" applyAlignment="1">
      <alignment horizontal="right" vertical="center" shrinkToFit="1"/>
    </xf>
    <xf numFmtId="0" fontId="1" fillId="0" borderId="90" xfId="0" applyFont="1" applyBorder="1" applyAlignment="1">
      <alignment horizontal="left"/>
    </xf>
    <xf numFmtId="0" fontId="1" fillId="0" borderId="75" xfId="0" applyFont="1" applyBorder="1" applyAlignment="1">
      <alignment horizontal="left" wrapText="1"/>
    </xf>
    <xf numFmtId="173" fontId="10" fillId="0" borderId="32" xfId="0" applyNumberFormat="1" applyFont="1" applyBorder="1" applyAlignment="1">
      <alignment horizontal="right" vertical="center" wrapText="1"/>
    </xf>
    <xf numFmtId="166" fontId="10" fillId="0" borderId="32" xfId="0" applyNumberFormat="1" applyFont="1" applyBorder="1" applyAlignment="1">
      <alignment horizontal="right" vertical="center" wrapText="1"/>
    </xf>
    <xf numFmtId="0" fontId="10" fillId="0" borderId="82" xfId="0" applyFont="1" applyBorder="1" applyAlignment="1">
      <alignment wrapText="1"/>
    </xf>
    <xf numFmtId="0" fontId="1" fillId="0" borderId="70" xfId="0" applyFont="1" applyBorder="1" applyAlignment="1">
      <alignment horizontal="center" wrapText="1"/>
    </xf>
    <xf numFmtId="173" fontId="10" fillId="0" borderId="0" xfId="0" applyNumberFormat="1" applyFont="1" applyAlignment="1">
      <alignment horizontal="right" vertical="center"/>
    </xf>
    <xf numFmtId="166" fontId="25" fillId="0" borderId="0" xfId="0" applyNumberFormat="1" applyFont="1" applyAlignment="1">
      <alignment horizontal="right" vertical="center"/>
    </xf>
    <xf numFmtId="0" fontId="29" fillId="0" borderId="88" xfId="0" applyFont="1" applyBorder="1"/>
    <xf numFmtId="0" fontId="5" fillId="0" borderId="88" xfId="0" applyFont="1" applyBorder="1" applyAlignment="1">
      <alignment wrapText="1"/>
    </xf>
    <xf numFmtId="0" fontId="10" fillId="0" borderId="68" xfId="0" applyFont="1" applyBorder="1"/>
    <xf numFmtId="0" fontId="1" fillId="0" borderId="69" xfId="0" applyFont="1" applyBorder="1"/>
    <xf numFmtId="4" fontId="1" fillId="0" borderId="22" xfId="0" applyNumberFormat="1" applyFont="1" applyBorder="1"/>
    <xf numFmtId="0" fontId="19" fillId="0" borderId="75" xfId="0" applyFont="1" applyBorder="1" applyAlignment="1">
      <alignment vertical="center"/>
    </xf>
    <xf numFmtId="4" fontId="10" fillId="0" borderId="76" xfId="0" applyNumberFormat="1" applyFont="1" applyBorder="1"/>
    <xf numFmtId="0" fontId="19" fillId="0" borderId="89" xfId="0" applyFont="1" applyBorder="1" applyAlignment="1">
      <alignment vertical="center"/>
    </xf>
    <xf numFmtId="4" fontId="10" fillId="0" borderId="93" xfId="0" applyNumberFormat="1" applyFont="1" applyBorder="1"/>
    <xf numFmtId="0" fontId="1" fillId="0" borderId="75" xfId="0" applyFont="1" applyBorder="1"/>
    <xf numFmtId="4" fontId="1" fillId="0" borderId="76" xfId="0" applyNumberFormat="1" applyFont="1" applyBorder="1"/>
    <xf numFmtId="0" fontId="19" fillId="0" borderId="77" xfId="0" applyFont="1" applyBorder="1" applyAlignment="1">
      <alignment vertical="center" wrapText="1"/>
    </xf>
    <xf numFmtId="4" fontId="10" fillId="0" borderId="81" xfId="0" applyNumberFormat="1" applyFont="1" applyBorder="1" applyAlignment="1">
      <alignment horizontal="right" vertical="center" wrapText="1"/>
    </xf>
    <xf numFmtId="4" fontId="10" fillId="0" borderId="81" xfId="0" applyNumberFormat="1" applyFont="1" applyBorder="1"/>
    <xf numFmtId="0" fontId="19" fillId="0" borderId="77" xfId="0" applyFont="1" applyBorder="1" applyAlignment="1">
      <alignment vertical="center"/>
    </xf>
    <xf numFmtId="0" fontId="10" fillId="0" borderId="75" xfId="0" applyFont="1" applyBorder="1" applyAlignment="1">
      <alignment vertical="center"/>
    </xf>
    <xf numFmtId="0" fontId="10" fillId="0" borderId="77" xfId="0" applyFont="1" applyBorder="1"/>
    <xf numFmtId="0" fontId="10" fillId="0" borderId="89" xfId="0" applyFont="1" applyBorder="1"/>
    <xf numFmtId="0" fontId="19" fillId="0" borderId="78" xfId="0" applyFont="1" applyBorder="1" applyAlignment="1">
      <alignment vertical="center"/>
    </xf>
    <xf numFmtId="4" fontId="10" fillId="0" borderId="79" xfId="0" applyNumberFormat="1" applyFont="1" applyBorder="1"/>
    <xf numFmtId="0" fontId="1" fillId="0" borderId="24" xfId="0" applyFont="1" applyBorder="1" applyAlignment="1">
      <alignment horizontal="left"/>
    </xf>
    <xf numFmtId="4" fontId="1" fillId="0" borderId="26" xfId="0" applyNumberFormat="1" applyFont="1" applyBorder="1"/>
    <xf numFmtId="166" fontId="10" fillId="0" borderId="85" xfId="0" applyNumberFormat="1" applyFont="1" applyBorder="1"/>
    <xf numFmtId="49" fontId="26" fillId="12" borderId="95" xfId="0" applyNumberFormat="1" applyFont="1" applyFill="1" applyBorder="1"/>
    <xf numFmtId="49" fontId="26" fillId="0" borderId="0" xfId="0" applyNumberFormat="1" applyFont="1"/>
    <xf numFmtId="0" fontId="1" fillId="0" borderId="68" xfId="0" applyFont="1" applyBorder="1" applyAlignment="1">
      <alignment horizontal="center"/>
    </xf>
    <xf numFmtId="0" fontId="1" fillId="0" borderId="92" xfId="0" applyFont="1" applyBorder="1"/>
    <xf numFmtId="0" fontId="1" fillId="0" borderId="72" xfId="0" applyFont="1" applyBorder="1"/>
    <xf numFmtId="0" fontId="10" fillId="0" borderId="80" xfId="0" applyFont="1" applyBorder="1" applyAlignment="1">
      <alignment horizontal="center"/>
    </xf>
    <xf numFmtId="4" fontId="1" fillId="0" borderId="32" xfId="0" applyNumberFormat="1" applyFont="1" applyBorder="1"/>
    <xf numFmtId="0" fontId="10" fillId="0" borderId="84" xfId="0" applyFont="1" applyBorder="1" applyAlignment="1">
      <alignment horizontal="center"/>
    </xf>
    <xf numFmtId="4" fontId="10" fillId="0" borderId="32" xfId="0" applyNumberFormat="1" applyFont="1" applyBorder="1"/>
    <xf numFmtId="0" fontId="10" fillId="0" borderId="87" xfId="0" applyFont="1" applyBorder="1" applyAlignment="1">
      <alignment horizontal="center"/>
    </xf>
    <xf numFmtId="0" fontId="1" fillId="0" borderId="84" xfId="0" applyFont="1" applyBorder="1" applyAlignment="1">
      <alignment horizontal="center"/>
    </xf>
    <xf numFmtId="0" fontId="1" fillId="0" borderId="75" xfId="0" applyFont="1" applyBorder="1" applyAlignment="1">
      <alignment horizontal="left"/>
    </xf>
    <xf numFmtId="0" fontId="1" fillId="0" borderId="82" xfId="0" applyFont="1" applyBorder="1" applyAlignment="1">
      <alignment horizontal="center"/>
    </xf>
    <xf numFmtId="0" fontId="47" fillId="0" borderId="87" xfId="0" applyFont="1" applyBorder="1"/>
    <xf numFmtId="0" fontId="48" fillId="0" borderId="77" xfId="0" applyFont="1" applyBorder="1"/>
    <xf numFmtId="0" fontId="1" fillId="0" borderId="80" xfId="0" applyFont="1" applyBorder="1" applyAlignment="1">
      <alignment horizontal="center"/>
    </xf>
    <xf numFmtId="0" fontId="1" fillId="0" borderId="75" xfId="0" applyFont="1" applyBorder="1" applyAlignment="1">
      <alignment horizontal="right"/>
    </xf>
    <xf numFmtId="0" fontId="1" fillId="0" borderId="0" xfId="0" applyFont="1" applyAlignment="1">
      <alignment horizontal="left"/>
    </xf>
    <xf numFmtId="0" fontId="1" fillId="0" borderId="88" xfId="0" applyFont="1" applyBorder="1" applyAlignment="1">
      <alignment horizontal="left"/>
    </xf>
    <xf numFmtId="166" fontId="10" fillId="0" borderId="70" xfId="0" applyNumberFormat="1" applyFont="1" applyBorder="1"/>
    <xf numFmtId="4" fontId="1" fillId="0" borderId="25" xfId="0" applyNumberFormat="1" applyFont="1" applyBorder="1"/>
    <xf numFmtId="0" fontId="25" fillId="0" borderId="44" xfId="0" applyFont="1" applyBorder="1" applyAlignment="1">
      <alignment vertical="center"/>
    </xf>
    <xf numFmtId="4" fontId="10" fillId="0" borderId="47" xfId="0" applyNumberFormat="1" applyFont="1" applyBorder="1" applyAlignment="1">
      <alignment horizontal="right" vertical="center"/>
    </xf>
    <xf numFmtId="10" fontId="10" fillId="0" borderId="47" xfId="0" applyNumberFormat="1" applyFont="1" applyBorder="1" applyAlignment="1">
      <alignment horizontal="center" vertical="center"/>
    </xf>
    <xf numFmtId="0" fontId="25" fillId="0" borderId="48" xfId="0" applyFont="1" applyBorder="1" applyAlignment="1">
      <alignment vertical="center"/>
    </xf>
    <xf numFmtId="10" fontId="10" fillId="0" borderId="51" xfId="0" applyNumberFormat="1" applyFont="1" applyBorder="1" applyAlignment="1">
      <alignment horizontal="center" vertical="center"/>
    </xf>
    <xf numFmtId="10" fontId="1" fillId="0" borderId="56" xfId="0" applyNumberFormat="1" applyFont="1" applyBorder="1" applyAlignment="1">
      <alignment horizontal="center" vertical="center"/>
    </xf>
    <xf numFmtId="0" fontId="25" fillId="0" borderId="50" xfId="0" applyFont="1" applyBorder="1" applyAlignment="1">
      <alignment vertical="center" wrapText="1"/>
    </xf>
    <xf numFmtId="4" fontId="49" fillId="12" borderId="102" xfId="0" applyNumberFormat="1" applyFont="1" applyFill="1" applyBorder="1"/>
    <xf numFmtId="4" fontId="49" fillId="12" borderId="107" xfId="0" applyNumberFormat="1" applyFont="1" applyFill="1" applyBorder="1"/>
    <xf numFmtId="165" fontId="18" fillId="12" borderId="26" xfId="0" applyNumberFormat="1" applyFont="1" applyFill="1" applyBorder="1" applyAlignment="1">
      <alignment horizontal="center" vertical="center"/>
    </xf>
    <xf numFmtId="4" fontId="1" fillId="0" borderId="47" xfId="0" applyNumberFormat="1" applyFont="1" applyBorder="1" applyAlignment="1">
      <alignment horizontal="right" vertical="top"/>
    </xf>
    <xf numFmtId="0" fontId="1" fillId="0" borderId="49" xfId="0" applyFont="1" applyBorder="1" applyAlignment="1">
      <alignment vertical="top" wrapText="1"/>
    </xf>
    <xf numFmtId="0" fontId="1" fillId="0" borderId="50" xfId="0" applyFont="1" applyBorder="1" applyAlignment="1">
      <alignment vertical="top" wrapText="1"/>
    </xf>
    <xf numFmtId="4" fontId="1" fillId="0" borderId="51" xfId="0" applyNumberFormat="1" applyFont="1" applyBorder="1" applyAlignment="1">
      <alignment horizontal="right" vertical="top"/>
    </xf>
    <xf numFmtId="0" fontId="1" fillId="0" borderId="49" xfId="0" applyFont="1" applyBorder="1" applyAlignment="1">
      <alignment horizontal="left" vertical="center"/>
    </xf>
    <xf numFmtId="0" fontId="10" fillId="0" borderId="54" xfId="0" applyFont="1" applyBorder="1" applyAlignment="1">
      <alignment horizontal="left" vertical="top"/>
    </xf>
    <xf numFmtId="4" fontId="10" fillId="0" borderId="56" xfId="0" applyNumberFormat="1" applyFont="1" applyBorder="1" applyAlignment="1">
      <alignment horizontal="right" vertical="center" wrapText="1"/>
    </xf>
    <xf numFmtId="0" fontId="10" fillId="13" borderId="21" xfId="0" applyFont="1" applyFill="1" applyBorder="1" applyAlignment="1">
      <alignment horizontal="left" vertical="top"/>
    </xf>
    <xf numFmtId="4" fontId="10" fillId="13" borderId="21" xfId="0" applyNumberFormat="1" applyFont="1" applyFill="1" applyBorder="1"/>
    <xf numFmtId="4" fontId="10" fillId="0" borderId="22" xfId="0" applyNumberFormat="1" applyFont="1" applyBorder="1" applyAlignment="1">
      <alignment horizontal="right" vertical="center" wrapText="1"/>
    </xf>
    <xf numFmtId="4" fontId="1" fillId="0" borderId="26" xfId="0" applyNumberFormat="1" applyFont="1" applyBorder="1" applyAlignment="1">
      <alignment horizontal="right" wrapText="1"/>
    </xf>
    <xf numFmtId="3" fontId="1" fillId="0" borderId="0" xfId="0" applyNumberFormat="1" applyFont="1" applyAlignment="1">
      <alignment horizontal="right" vertical="center" wrapText="1"/>
    </xf>
    <xf numFmtId="165" fontId="26" fillId="0" borderId="82" xfId="0" applyNumberFormat="1" applyFont="1" applyBorder="1" applyAlignment="1">
      <alignment vertical="center" wrapText="1"/>
    </xf>
    <xf numFmtId="165" fontId="18" fillId="0" borderId="82" xfId="0" applyNumberFormat="1" applyFont="1" applyBorder="1" applyAlignment="1">
      <alignment vertical="center"/>
    </xf>
    <xf numFmtId="0" fontId="18" fillId="0" borderId="82" xfId="0" applyFont="1" applyBorder="1"/>
    <xf numFmtId="4" fontId="1" fillId="0" borderId="22" xfId="0" applyNumberFormat="1" applyFont="1" applyBorder="1" applyAlignment="1">
      <alignment horizontal="right" vertical="top" wrapText="1"/>
    </xf>
    <xf numFmtId="4" fontId="1" fillId="0" borderId="68" xfId="0" applyNumberFormat="1" applyFont="1" applyBorder="1" applyAlignment="1">
      <alignment horizontal="right" vertical="top" wrapText="1"/>
    </xf>
    <xf numFmtId="4" fontId="10" fillId="13" borderId="28" xfId="0" applyNumberFormat="1" applyFont="1" applyFill="1" applyBorder="1" applyAlignment="1">
      <alignment horizontal="right" vertical="top" wrapText="1"/>
    </xf>
    <xf numFmtId="4" fontId="10" fillId="13" borderId="97" xfId="0" applyNumberFormat="1" applyFont="1" applyFill="1" applyBorder="1" applyAlignment="1">
      <alignment horizontal="right" vertical="top" wrapText="1"/>
    </xf>
    <xf numFmtId="0" fontId="19" fillId="10" borderId="129" xfId="0" applyFont="1" applyFill="1" applyBorder="1" applyAlignment="1">
      <alignment vertical="center"/>
    </xf>
    <xf numFmtId="4" fontId="1" fillId="0" borderId="26" xfId="0" applyNumberFormat="1" applyFont="1" applyBorder="1" applyAlignment="1">
      <alignment horizontal="right" vertical="top"/>
    </xf>
    <xf numFmtId="4" fontId="1" fillId="0" borderId="23" xfId="0" applyNumberFormat="1" applyFont="1" applyBorder="1" applyAlignment="1">
      <alignment horizontal="right" vertical="top"/>
    </xf>
    <xf numFmtId="0" fontId="16" fillId="0" borderId="1" xfId="0" applyFont="1" applyBorder="1" applyAlignment="1">
      <alignment horizontal="left" vertical="center" wrapText="1"/>
    </xf>
    <xf numFmtId="0" fontId="4" fillId="0" borderId="2" xfId="0" applyFont="1" applyBorder="1"/>
    <xf numFmtId="0" fontId="4" fillId="0" borderId="5" xfId="0" applyFont="1" applyBorder="1"/>
    <xf numFmtId="4" fontId="10" fillId="0" borderId="1" xfId="0" applyNumberFormat="1" applyFont="1" applyBorder="1" applyAlignment="1">
      <alignment horizontal="right"/>
    </xf>
    <xf numFmtId="0" fontId="3" fillId="2" borderId="1" xfId="0" applyFont="1" applyFill="1" applyBorder="1" applyAlignment="1">
      <alignment horizontal="center"/>
    </xf>
    <xf numFmtId="4" fontId="1" fillId="4" borderId="1" xfId="0" applyNumberFormat="1" applyFont="1" applyFill="1" applyBorder="1" applyAlignment="1">
      <alignment horizontal="center"/>
    </xf>
    <xf numFmtId="4" fontId="10" fillId="0" borderId="1" xfId="0" applyNumberFormat="1" applyFont="1" applyBorder="1" applyAlignment="1">
      <alignment horizontal="right" vertical="center"/>
    </xf>
    <xf numFmtId="0" fontId="10" fillId="0" borderId="1" xfId="0" applyFont="1" applyBorder="1" applyAlignment="1">
      <alignment horizontal="left"/>
    </xf>
    <xf numFmtId="0" fontId="1" fillId="4" borderId="1" xfId="0" applyFont="1" applyFill="1" applyBorder="1" applyAlignment="1">
      <alignment horizontal="center"/>
    </xf>
    <xf numFmtId="4" fontId="10" fillId="0" borderId="6" xfId="0" applyNumberFormat="1" applyFont="1" applyBorder="1" applyAlignment="1">
      <alignment horizontal="right" vertical="center"/>
    </xf>
    <xf numFmtId="0" fontId="4" fillId="0" borderId="7" xfId="0" applyFont="1" applyBorder="1"/>
    <xf numFmtId="0" fontId="4" fillId="0" borderId="8" xfId="0" applyFont="1" applyBorder="1"/>
    <xf numFmtId="0" fontId="4" fillId="0" borderId="11" xfId="0" applyFont="1" applyBorder="1"/>
    <xf numFmtId="0" fontId="4" fillId="0" borderId="12" xfId="0" applyFont="1" applyBorder="1"/>
    <xf numFmtId="0" fontId="4" fillId="0" borderId="13" xfId="0" applyFont="1" applyBorder="1"/>
    <xf numFmtId="0" fontId="15" fillId="5" borderId="6" xfId="0" applyFont="1" applyFill="1" applyBorder="1" applyAlignment="1">
      <alignment horizontal="center" vertical="center" textRotation="90" wrapText="1"/>
    </xf>
    <xf numFmtId="0" fontId="4" fillId="0" borderId="9" xfId="0" applyFont="1" applyBorder="1"/>
    <xf numFmtId="0" fontId="4" fillId="0" borderId="10" xfId="0" applyFont="1" applyBorder="1"/>
    <xf numFmtId="0" fontId="4" fillId="0" borderId="15" xfId="0" applyFont="1" applyBorder="1"/>
    <xf numFmtId="0" fontId="4" fillId="0" borderId="16" xfId="0" applyFont="1" applyBorder="1"/>
    <xf numFmtId="0" fontId="15" fillId="5" borderId="17" xfId="0" applyFont="1" applyFill="1" applyBorder="1" applyAlignment="1">
      <alignment horizontal="center" vertical="center" textRotation="90" wrapText="1"/>
    </xf>
    <xf numFmtId="0" fontId="4" fillId="0" borderId="18" xfId="0" applyFont="1" applyBorder="1"/>
    <xf numFmtId="0" fontId="4" fillId="0" borderId="20" xfId="0" applyFont="1" applyBorder="1"/>
    <xf numFmtId="0" fontId="15" fillId="5" borderId="6" xfId="0" applyFont="1" applyFill="1" applyBorder="1" applyAlignment="1">
      <alignment horizontal="center" vertical="center" textRotation="90"/>
    </xf>
    <xf numFmtId="0" fontId="4" fillId="0" borderId="19" xfId="0" applyFont="1" applyBorder="1"/>
    <xf numFmtId="0" fontId="4" fillId="0" borderId="3" xfId="0" applyFont="1" applyBorder="1"/>
    <xf numFmtId="0" fontId="3" fillId="2" borderId="4" xfId="0" applyFont="1" applyFill="1" applyBorder="1" applyAlignment="1">
      <alignment horizontal="center"/>
    </xf>
    <xf numFmtId="0" fontId="5" fillId="0" borderId="6" xfId="0" applyFont="1" applyBorder="1" applyAlignment="1">
      <alignment horizontal="center" vertical="center" wrapText="1"/>
    </xf>
    <xf numFmtId="0" fontId="0" fillId="0" borderId="0" xfId="0" applyFont="1" applyAlignment="1"/>
    <xf numFmtId="0" fontId="1" fillId="3" borderId="1" xfId="0" applyFont="1" applyFill="1" applyBorder="1" applyAlignment="1">
      <alignment horizontal="center" vertical="center"/>
    </xf>
    <xf numFmtId="0" fontId="5" fillId="0" borderId="1" xfId="0" applyFont="1" applyBorder="1" applyAlignment="1">
      <alignment horizontal="center" vertical="center"/>
    </xf>
    <xf numFmtId="0" fontId="6" fillId="0" borderId="2" xfId="0" applyFont="1" applyBorder="1" applyAlignment="1">
      <alignment horizontal="center" vertical="center"/>
    </xf>
    <xf numFmtId="164" fontId="17" fillId="0" borderId="22" xfId="0" applyNumberFormat="1" applyFont="1" applyBorder="1" applyAlignment="1">
      <alignment horizontal="center" vertical="center" wrapText="1"/>
    </xf>
    <xf numFmtId="0" fontId="4" fillId="0" borderId="25" xfId="0" applyFont="1" applyBorder="1"/>
    <xf numFmtId="0" fontId="17" fillId="0" borderId="22" xfId="0" applyFont="1" applyBorder="1" applyAlignment="1">
      <alignment horizontal="center" vertical="center"/>
    </xf>
    <xf numFmtId="4" fontId="17" fillId="0" borderId="23" xfId="0" applyNumberFormat="1" applyFont="1" applyBorder="1" applyAlignment="1">
      <alignment horizontal="center" vertical="center" wrapText="1"/>
    </xf>
    <xf numFmtId="0" fontId="4" fillId="0" borderId="24" xfId="0" applyFont="1" applyBorder="1"/>
    <xf numFmtId="4" fontId="17" fillId="0" borderId="23" xfId="0" applyNumberFormat="1" applyFont="1" applyBorder="1" applyAlignment="1">
      <alignment horizontal="center" vertical="center"/>
    </xf>
    <xf numFmtId="0" fontId="18" fillId="0" borderId="48" xfId="0" applyFont="1" applyBorder="1" applyAlignment="1">
      <alignment horizontal="left" vertical="top"/>
    </xf>
    <xf numFmtId="0" fontId="4" fillId="0" borderId="49" xfId="0" applyFont="1" applyBorder="1"/>
    <xf numFmtId="0" fontId="4" fillId="0" borderId="50" xfId="0" applyFont="1" applyBorder="1"/>
    <xf numFmtId="0" fontId="1" fillId="0" borderId="49" xfId="0" applyFont="1" applyBorder="1" applyAlignment="1">
      <alignment horizontal="left" vertical="top"/>
    </xf>
    <xf numFmtId="0" fontId="10" fillId="0" borderId="49" xfId="0" applyFont="1" applyBorder="1" applyAlignment="1">
      <alignment horizontal="left" vertical="top"/>
    </xf>
    <xf numFmtId="0" fontId="18" fillId="0" borderId="48" xfId="0" applyFont="1" applyBorder="1" applyAlignment="1">
      <alignment horizontal="left"/>
    </xf>
    <xf numFmtId="0" fontId="10" fillId="0" borderId="49" xfId="0" applyFont="1" applyBorder="1" applyAlignment="1">
      <alignment horizontal="left" vertical="top" wrapText="1"/>
    </xf>
    <xf numFmtId="0" fontId="18" fillId="0" borderId="44" xfId="0" applyFont="1" applyBorder="1" applyAlignment="1">
      <alignment horizontal="left" vertical="top"/>
    </xf>
    <xf numFmtId="0" fontId="4" fillId="0" borderId="45" xfId="0" applyFont="1" applyBorder="1"/>
    <xf numFmtId="0" fontId="4" fillId="0" borderId="46" xfId="0" applyFont="1" applyBorder="1"/>
    <xf numFmtId="0" fontId="26" fillId="12" borderId="34" xfId="0" applyFont="1" applyFill="1" applyBorder="1" applyAlignment="1">
      <alignment horizontal="center" vertical="center" wrapText="1"/>
    </xf>
    <xf numFmtId="0" fontId="4" fillId="0" borderId="35" xfId="0" applyFont="1" applyBorder="1"/>
    <xf numFmtId="0" fontId="4" fillId="0" borderId="36" xfId="0" applyFont="1" applyBorder="1"/>
    <xf numFmtId="0" fontId="27" fillId="12" borderId="37" xfId="0" applyFont="1" applyFill="1" applyBorder="1" applyAlignment="1">
      <alignment horizontal="center" vertical="center"/>
    </xf>
    <xf numFmtId="0" fontId="4" fillId="0" borderId="38" xfId="0" applyFont="1" applyBorder="1"/>
    <xf numFmtId="0" fontId="4" fillId="0" borderId="39" xfId="0" applyFont="1" applyBorder="1"/>
    <xf numFmtId="0" fontId="5" fillId="12" borderId="37" xfId="0" applyFont="1" applyFill="1" applyBorder="1" applyAlignment="1">
      <alignment horizontal="center"/>
    </xf>
    <xf numFmtId="0" fontId="1" fillId="12" borderId="40" xfId="0" applyFont="1" applyFill="1" applyBorder="1" applyAlignment="1">
      <alignment horizontal="center"/>
    </xf>
    <xf numFmtId="0" fontId="4" fillId="0" borderId="41" xfId="0" applyFont="1" applyBorder="1"/>
    <xf numFmtId="0" fontId="4" fillId="0" borderId="42" xfId="0" applyFont="1" applyBorder="1"/>
    <xf numFmtId="0" fontId="27" fillId="0" borderId="23" xfId="0" applyFont="1" applyBorder="1" applyAlignment="1">
      <alignment horizontal="center" vertical="center"/>
    </xf>
    <xf numFmtId="0" fontId="4" fillId="0" borderId="43" xfId="0" applyFont="1" applyBorder="1"/>
    <xf numFmtId="0" fontId="18" fillId="13" borderId="64" xfId="0" applyFont="1" applyFill="1" applyBorder="1" applyAlignment="1">
      <alignment horizontal="center" wrapText="1"/>
    </xf>
    <xf numFmtId="0" fontId="4" fillId="0" borderId="65" xfId="0" applyFont="1" applyBorder="1"/>
    <xf numFmtId="0" fontId="4" fillId="0" borderId="62" xfId="0" applyFont="1" applyBorder="1"/>
    <xf numFmtId="0" fontId="18" fillId="13" borderId="57" xfId="0" applyFont="1" applyFill="1" applyBorder="1" applyAlignment="1">
      <alignment horizontal="center" wrapText="1"/>
    </xf>
    <xf numFmtId="0" fontId="4" fillId="0" borderId="59" xfId="0" applyFont="1" applyBorder="1"/>
    <xf numFmtId="0" fontId="18" fillId="0" borderId="48" xfId="0" applyFont="1" applyBorder="1" applyAlignment="1">
      <alignment horizontal="left" vertical="top" wrapText="1"/>
    </xf>
    <xf numFmtId="0" fontId="18" fillId="0" borderId="53" xfId="0" applyFont="1" applyBorder="1" applyAlignment="1">
      <alignment horizontal="left" vertical="top" wrapText="1"/>
    </xf>
    <xf numFmtId="0" fontId="4" fillId="0" borderId="54" xfId="0" applyFont="1" applyBorder="1"/>
    <xf numFmtId="0" fontId="4" fillId="0" borderId="55" xfId="0" applyFont="1" applyBorder="1"/>
    <xf numFmtId="0" fontId="29" fillId="13" borderId="57" xfId="0" applyFont="1" applyFill="1" applyBorder="1" applyAlignment="1">
      <alignment horizontal="left" vertical="center" wrapText="1"/>
    </xf>
    <xf numFmtId="0" fontId="4" fillId="0" borderId="58" xfId="0" applyFont="1" applyBorder="1"/>
    <xf numFmtId="0" fontId="4" fillId="0" borderId="60" xfId="0" applyFont="1" applyBorder="1"/>
    <xf numFmtId="0" fontId="4" fillId="0" borderId="61" xfId="0" applyFont="1" applyBorder="1"/>
    <xf numFmtId="0" fontId="18" fillId="13" borderId="63" xfId="0" applyFont="1" applyFill="1" applyBorder="1" applyAlignment="1">
      <alignment horizontal="center" wrapText="1"/>
    </xf>
    <xf numFmtId="0" fontId="4" fillId="0" borderId="66" xfId="0" applyFont="1" applyBorder="1"/>
    <xf numFmtId="0" fontId="18" fillId="13" borderId="67" xfId="0" applyFont="1" applyFill="1" applyBorder="1" applyAlignment="1">
      <alignment horizontal="center" vertical="center" wrapText="1"/>
    </xf>
    <xf numFmtId="0" fontId="18" fillId="0" borderId="0" xfId="0" applyFont="1" applyAlignment="1">
      <alignment horizontal="center" vertical="top"/>
    </xf>
    <xf numFmtId="166" fontId="18" fillId="0" borderId="0" xfId="0" applyNumberFormat="1" applyFont="1" applyAlignment="1">
      <alignment horizontal="center" vertical="top" wrapText="1"/>
    </xf>
    <xf numFmtId="0" fontId="27" fillId="12" borderId="37" xfId="0" applyFont="1" applyFill="1" applyBorder="1" applyAlignment="1">
      <alignment horizontal="center"/>
    </xf>
    <xf numFmtId="0" fontId="5" fillId="12" borderId="40" xfId="0" applyFont="1" applyFill="1" applyBorder="1" applyAlignment="1">
      <alignment horizontal="center"/>
    </xf>
    <xf numFmtId="0" fontId="18" fillId="12" borderId="68" xfId="0" applyFont="1" applyFill="1" applyBorder="1" applyAlignment="1">
      <alignment horizontal="center" vertical="center" wrapText="1"/>
    </xf>
    <xf numFmtId="0" fontId="4" fillId="0" borderId="69" xfId="0" applyFont="1" applyBorder="1"/>
    <xf numFmtId="0" fontId="4" fillId="0" borderId="70" xfId="0" applyFont="1" applyBorder="1"/>
    <xf numFmtId="0" fontId="4" fillId="0" borderId="30" xfId="0" applyFont="1" applyBorder="1"/>
    <xf numFmtId="166" fontId="27" fillId="12" borderId="23" xfId="0" applyNumberFormat="1" applyFont="1" applyFill="1" applyBorder="1" applyAlignment="1">
      <alignment horizontal="center"/>
    </xf>
    <xf numFmtId="0" fontId="25" fillId="0" borderId="74" xfId="0" applyFont="1" applyBorder="1" applyAlignment="1">
      <alignment horizontal="left" vertical="center" wrapText="1"/>
    </xf>
    <xf numFmtId="0" fontId="4" fillId="0" borderId="77" xfId="0" applyFont="1" applyBorder="1"/>
    <xf numFmtId="166" fontId="18" fillId="12" borderId="22" xfId="0" applyNumberFormat="1" applyFont="1" applyFill="1" applyBorder="1" applyAlignment="1">
      <alignment horizontal="center" vertical="center" wrapText="1"/>
    </xf>
    <xf numFmtId="0" fontId="18" fillId="0" borderId="74" xfId="0" applyFont="1" applyBorder="1" applyAlignment="1">
      <alignment horizontal="left" wrapText="1"/>
    </xf>
    <xf numFmtId="0" fontId="18" fillId="0" borderId="86" xfId="0" applyFont="1" applyBorder="1" applyAlignment="1">
      <alignment horizontal="center" wrapText="1"/>
    </xf>
    <xf numFmtId="0" fontId="4" fillId="0" borderId="86" xfId="0" applyFont="1" applyBorder="1"/>
    <xf numFmtId="4" fontId="1" fillId="0" borderId="22" xfId="0" applyNumberFormat="1" applyFont="1" applyBorder="1" applyAlignment="1">
      <alignment horizontal="right"/>
    </xf>
    <xf numFmtId="4" fontId="1" fillId="0" borderId="23" xfId="0" applyNumberFormat="1" applyFont="1" applyBorder="1" applyAlignment="1">
      <alignment horizontal="left"/>
    </xf>
    <xf numFmtId="4" fontId="17" fillId="0" borderId="22" xfId="0" applyNumberFormat="1" applyFont="1" applyBorder="1" applyAlignment="1">
      <alignment horizontal="right" vertical="center"/>
    </xf>
    <xf numFmtId="4" fontId="17" fillId="0" borderId="0" xfId="0" applyNumberFormat="1" applyFont="1" applyAlignment="1">
      <alignment horizontal="right"/>
    </xf>
    <xf numFmtId="4" fontId="1" fillId="0" borderId="70" xfId="0" applyNumberFormat="1" applyFont="1" applyBorder="1" applyAlignment="1">
      <alignment horizontal="left"/>
    </xf>
    <xf numFmtId="0" fontId="4" fillId="0" borderId="85" xfId="0" applyFont="1" applyBorder="1"/>
    <xf numFmtId="0" fontId="4" fillId="0" borderId="52" xfId="0" applyFont="1" applyBorder="1"/>
    <xf numFmtId="0" fontId="4" fillId="0" borderId="87" xfId="0" applyFont="1" applyBorder="1"/>
    <xf numFmtId="0" fontId="4" fillId="0" borderId="75" xfId="0" applyFont="1" applyBorder="1"/>
    <xf numFmtId="0" fontId="1" fillId="0" borderId="82" xfId="0" applyFont="1" applyBorder="1" applyAlignment="1">
      <alignment horizontal="left" wrapText="1"/>
    </xf>
    <xf numFmtId="0" fontId="4" fillId="0" borderId="88" xfId="0" applyFont="1" applyBorder="1"/>
    <xf numFmtId="0" fontId="33" fillId="12" borderId="68" xfId="0" applyFont="1" applyFill="1" applyBorder="1" applyAlignment="1">
      <alignment horizontal="center" vertical="center" wrapText="1"/>
    </xf>
    <xf numFmtId="0" fontId="4" fillId="0" borderId="82" xfId="0" applyFont="1" applyBorder="1"/>
    <xf numFmtId="0" fontId="33" fillId="12" borderId="68" xfId="0" applyFont="1" applyFill="1" applyBorder="1" applyAlignment="1">
      <alignment horizontal="center" vertical="center"/>
    </xf>
    <xf numFmtId="0" fontId="4" fillId="0" borderId="78" xfId="0" applyFont="1" applyBorder="1"/>
    <xf numFmtId="0" fontId="4" fillId="0" borderId="92" xfId="0" applyFont="1" applyBorder="1"/>
    <xf numFmtId="0" fontId="18" fillId="12" borderId="37" xfId="0" applyFont="1" applyFill="1" applyBorder="1" applyAlignment="1">
      <alignment horizontal="center" vertical="center"/>
    </xf>
    <xf numFmtId="0" fontId="18" fillId="12" borderId="40" xfId="0" applyFont="1" applyFill="1" applyBorder="1" applyAlignment="1">
      <alignment horizontal="center" vertical="center"/>
    </xf>
    <xf numFmtId="0" fontId="10" fillId="0" borderId="68" xfId="0" applyFont="1" applyBorder="1" applyAlignment="1">
      <alignment horizontal="left" vertical="center" wrapText="1"/>
    </xf>
    <xf numFmtId="0" fontId="5" fillId="12" borderId="40" xfId="0" applyFont="1" applyFill="1" applyBorder="1" applyAlignment="1">
      <alignment horizontal="center" vertical="center"/>
    </xf>
    <xf numFmtId="0" fontId="18" fillId="12" borderId="22" xfId="0" applyFont="1" applyFill="1" applyBorder="1" applyAlignment="1">
      <alignment horizontal="center" vertical="center" wrapText="1"/>
    </xf>
    <xf numFmtId="166" fontId="1" fillId="12" borderId="22" xfId="0" applyNumberFormat="1" applyFont="1" applyFill="1" applyBorder="1" applyAlignment="1">
      <alignment horizontal="center" vertical="center" wrapText="1"/>
    </xf>
    <xf numFmtId="37" fontId="26" fillId="12" borderId="34" xfId="0" applyNumberFormat="1" applyFont="1" applyFill="1" applyBorder="1" applyAlignment="1">
      <alignment horizontal="center" vertical="center" wrapText="1"/>
    </xf>
    <xf numFmtId="37" fontId="5" fillId="12" borderId="37" xfId="0" applyNumberFormat="1" applyFont="1" applyFill="1" applyBorder="1" applyAlignment="1">
      <alignment horizontal="center"/>
    </xf>
    <xf numFmtId="0" fontId="18" fillId="12" borderId="37" xfId="0" applyFont="1" applyFill="1" applyBorder="1" applyAlignment="1">
      <alignment horizontal="center"/>
    </xf>
    <xf numFmtId="0" fontId="18" fillId="12" borderId="40" xfId="0" applyFont="1" applyFill="1" applyBorder="1" applyAlignment="1">
      <alignment horizontal="center"/>
    </xf>
    <xf numFmtId="37" fontId="1" fillId="12" borderId="22" xfId="0" applyNumberFormat="1" applyFont="1" applyFill="1" applyBorder="1" applyAlignment="1">
      <alignment horizontal="center" vertical="center" wrapText="1"/>
    </xf>
    <xf numFmtId="0" fontId="18" fillId="0" borderId="0" xfId="0" applyFont="1" applyAlignment="1">
      <alignment horizontal="center"/>
    </xf>
    <xf numFmtId="0" fontId="18" fillId="0" borderId="0" xfId="0" applyFont="1" applyAlignment="1">
      <alignment horizontal="center" vertical="top" wrapText="1"/>
    </xf>
    <xf numFmtId="166" fontId="1" fillId="12" borderId="23" xfId="0" applyNumberFormat="1" applyFont="1" applyFill="1" applyBorder="1" applyAlignment="1">
      <alignment horizontal="center" vertical="center"/>
    </xf>
    <xf numFmtId="37" fontId="26" fillId="12" borderId="34" xfId="0" applyNumberFormat="1" applyFont="1" applyFill="1" applyBorder="1" applyAlignment="1">
      <alignment horizontal="center" wrapText="1"/>
    </xf>
    <xf numFmtId="166" fontId="18" fillId="12" borderId="23" xfId="0" applyNumberFormat="1" applyFont="1" applyFill="1" applyBorder="1" applyAlignment="1">
      <alignment horizontal="center" vertical="center"/>
    </xf>
    <xf numFmtId="0" fontId="29" fillId="0" borderId="0" xfId="0" applyFont="1" applyAlignment="1">
      <alignment horizontal="left" vertical="center" wrapText="1"/>
    </xf>
    <xf numFmtId="166" fontId="35" fillId="12" borderId="22" xfId="0" applyNumberFormat="1" applyFont="1" applyFill="1" applyBorder="1" applyAlignment="1">
      <alignment horizontal="center" vertical="center" wrapText="1"/>
    </xf>
    <xf numFmtId="0" fontId="18" fillId="0" borderId="0" xfId="0" applyFont="1" applyAlignment="1">
      <alignment horizontal="center" wrapText="1"/>
    </xf>
    <xf numFmtId="0" fontId="1" fillId="12" borderId="68" xfId="0" applyFont="1" applyFill="1" applyBorder="1" applyAlignment="1">
      <alignment horizontal="center" vertical="center" wrapText="1"/>
    </xf>
    <xf numFmtId="0" fontId="1" fillId="0" borderId="87" xfId="0" applyFont="1" applyBorder="1" applyAlignment="1">
      <alignment horizontal="left" vertical="top" wrapText="1"/>
    </xf>
    <xf numFmtId="166" fontId="1" fillId="12" borderId="40" xfId="0" applyNumberFormat="1" applyFont="1" applyFill="1" applyBorder="1" applyAlignment="1">
      <alignment horizontal="center"/>
    </xf>
    <xf numFmtId="166" fontId="1" fillId="12" borderId="104" xfId="0" applyNumberFormat="1" applyFont="1" applyFill="1" applyBorder="1" applyAlignment="1">
      <alignment horizontal="center" vertical="center" wrapText="1"/>
    </xf>
    <xf numFmtId="0" fontId="4" fillId="0" borderId="106" xfId="0" applyFont="1" applyBorder="1"/>
    <xf numFmtId="0" fontId="1" fillId="0" borderId="85" xfId="0" applyFont="1" applyBorder="1" applyAlignment="1">
      <alignment horizontal="left" vertical="top"/>
    </xf>
    <xf numFmtId="165" fontId="26" fillId="12" borderId="96" xfId="0" applyNumberFormat="1" applyFont="1" applyFill="1" applyBorder="1" applyAlignment="1">
      <alignment horizontal="center" vertical="center" wrapText="1"/>
    </xf>
    <xf numFmtId="165" fontId="5" fillId="12" borderId="98" xfId="0" applyNumberFormat="1" applyFont="1" applyFill="1" applyBorder="1" applyAlignment="1">
      <alignment horizontal="center" vertical="center"/>
    </xf>
    <xf numFmtId="0" fontId="4" fillId="0" borderId="99" xfId="0" applyFont="1" applyBorder="1"/>
    <xf numFmtId="165" fontId="18" fillId="12" borderId="98" xfId="0" applyNumberFormat="1" applyFont="1" applyFill="1" applyBorder="1" applyAlignment="1">
      <alignment horizontal="center" vertical="center"/>
    </xf>
    <xf numFmtId="165" fontId="18" fillId="12" borderId="103" xfId="0" applyNumberFormat="1" applyFont="1" applyFill="1" applyBorder="1" applyAlignment="1">
      <alignment horizontal="center" vertical="center"/>
    </xf>
    <xf numFmtId="0" fontId="18" fillId="0" borderId="86" xfId="0" applyFont="1" applyBorder="1" applyAlignment="1">
      <alignment horizontal="center"/>
    </xf>
    <xf numFmtId="165" fontId="26" fillId="12" borderId="34" xfId="0" applyNumberFormat="1" applyFont="1" applyFill="1" applyBorder="1" applyAlignment="1">
      <alignment horizontal="center" vertical="center" wrapText="1"/>
    </xf>
    <xf numFmtId="165" fontId="5" fillId="12" borderId="37" xfId="0" applyNumberFormat="1" applyFont="1" applyFill="1" applyBorder="1" applyAlignment="1">
      <alignment horizontal="center" vertical="center"/>
    </xf>
    <xf numFmtId="165" fontId="18" fillId="12" borderId="37" xfId="0" applyNumberFormat="1" applyFont="1" applyFill="1" applyBorder="1" applyAlignment="1">
      <alignment horizontal="center" vertical="center"/>
    </xf>
    <xf numFmtId="165" fontId="1" fillId="12" borderId="23" xfId="0" applyNumberFormat="1" applyFont="1" applyFill="1" applyBorder="1" applyAlignment="1">
      <alignment horizontal="center" vertical="center"/>
    </xf>
    <xf numFmtId="0" fontId="4" fillId="0" borderId="113" xfId="0" applyFont="1" applyBorder="1"/>
    <xf numFmtId="165" fontId="1" fillId="12" borderId="22" xfId="0" applyNumberFormat="1" applyFont="1" applyFill="1" applyBorder="1" applyAlignment="1">
      <alignment horizontal="center" vertical="center"/>
    </xf>
    <xf numFmtId="165" fontId="1" fillId="12" borderId="68" xfId="0" applyNumberFormat="1" applyFont="1" applyFill="1" applyBorder="1" applyAlignment="1">
      <alignment horizontal="center" vertical="center"/>
    </xf>
    <xf numFmtId="0" fontId="17" fillId="0" borderId="86" xfId="0" applyFont="1" applyBorder="1" applyAlignment="1">
      <alignment horizontal="left" vertical="center" wrapText="1"/>
    </xf>
    <xf numFmtId="0" fontId="17" fillId="0" borderId="0" xfId="0" applyFont="1" applyAlignment="1">
      <alignment horizontal="left" vertical="center" wrapText="1"/>
    </xf>
    <xf numFmtId="0" fontId="1" fillId="0" borderId="91" xfId="0" applyFont="1" applyBorder="1" applyAlignment="1">
      <alignment horizontal="left" vertical="center" wrapText="1"/>
    </xf>
    <xf numFmtId="0" fontId="1" fillId="12" borderId="23" xfId="0" applyFont="1" applyFill="1" applyBorder="1" applyAlignment="1">
      <alignment horizontal="left" vertical="center" wrapText="1"/>
    </xf>
    <xf numFmtId="0" fontId="29" fillId="0" borderId="0" xfId="0" applyFont="1" applyAlignment="1">
      <alignment horizontal="left" wrapText="1"/>
    </xf>
    <xf numFmtId="0" fontId="26" fillId="12" borderId="34" xfId="0" applyFont="1" applyFill="1" applyBorder="1" applyAlignment="1">
      <alignment horizontal="center" vertical="center"/>
    </xf>
    <xf numFmtId="0" fontId="33" fillId="12" borderId="22" xfId="0" applyFont="1" applyFill="1" applyBorder="1" applyAlignment="1">
      <alignment horizontal="center" vertical="center" wrapText="1"/>
    </xf>
    <xf numFmtId="0" fontId="4" fillId="0" borderId="32" xfId="0" applyFont="1" applyBorder="1"/>
    <xf numFmtId="0" fontId="35" fillId="12" borderId="68" xfId="0" applyFont="1" applyFill="1" applyBorder="1" applyAlignment="1">
      <alignment horizontal="center" vertical="center" wrapText="1"/>
    </xf>
    <xf numFmtId="49" fontId="33" fillId="12" borderId="22" xfId="0" applyNumberFormat="1"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5" fillId="12" borderId="23" xfId="0" applyFont="1" applyFill="1" applyBorder="1" applyAlignment="1">
      <alignment horizontal="center" vertical="center"/>
    </xf>
    <xf numFmtId="0" fontId="10" fillId="0" borderId="52" xfId="0" applyFont="1" applyBorder="1" applyAlignment="1">
      <alignment horizontal="left" vertical="center" wrapText="1"/>
    </xf>
    <xf numFmtId="0" fontId="29" fillId="0" borderId="85" xfId="0" applyFont="1" applyBorder="1" applyAlignment="1">
      <alignment horizontal="center"/>
    </xf>
    <xf numFmtId="175" fontId="18" fillId="0" borderId="0" xfId="0" applyNumberFormat="1" applyFont="1" applyAlignment="1">
      <alignment horizontal="center" vertical="top" wrapText="1"/>
    </xf>
    <xf numFmtId="0" fontId="1" fillId="0" borderId="52" xfId="0" applyFont="1" applyBorder="1" applyAlignment="1">
      <alignment horizontal="left" vertical="center" wrapText="1"/>
    </xf>
    <xf numFmtId="0" fontId="40" fillId="0" borderId="116" xfId="0" applyFont="1" applyBorder="1" applyAlignment="1">
      <alignment horizontal="right" vertical="center" wrapText="1"/>
    </xf>
    <xf numFmtId="0" fontId="4" fillId="0" borderId="116" xfId="0" applyFont="1" applyBorder="1"/>
    <xf numFmtId="0" fontId="4" fillId="0" borderId="117" xfId="0" applyFont="1" applyBorder="1"/>
    <xf numFmtId="0" fontId="5" fillId="0" borderId="119" xfId="0" applyFont="1" applyBorder="1" applyAlignment="1">
      <alignment horizontal="right" vertical="center"/>
    </xf>
    <xf numFmtId="0" fontId="4" fillId="0" borderId="119" xfId="0" applyFont="1" applyBorder="1"/>
    <xf numFmtId="0" fontId="4" fillId="0" borderId="120" xfId="0" applyFont="1" applyBorder="1"/>
    <xf numFmtId="0" fontId="5" fillId="0" borderId="85" xfId="0" applyFont="1" applyBorder="1" applyAlignment="1">
      <alignment horizontal="right" vertical="center"/>
    </xf>
    <xf numFmtId="0" fontId="40" fillId="0" borderId="87" xfId="0" applyFont="1" applyBorder="1" applyAlignment="1">
      <alignment horizontal="right" vertical="center" wrapText="1"/>
    </xf>
    <xf numFmtId="0" fontId="18" fillId="0" borderId="52" xfId="0" applyFont="1" applyBorder="1" applyAlignment="1">
      <alignment horizontal="left" vertical="center" wrapText="1"/>
    </xf>
    <xf numFmtId="0" fontId="19" fillId="0" borderId="52" xfId="0" applyFont="1" applyBorder="1" applyAlignment="1">
      <alignment horizontal="left" vertical="center"/>
    </xf>
    <xf numFmtId="0" fontId="40" fillId="0" borderId="52" xfId="0" applyFont="1" applyBorder="1" applyAlignment="1">
      <alignment horizontal="right" vertical="center" wrapText="1"/>
    </xf>
    <xf numFmtId="0" fontId="15" fillId="0" borderId="85" xfId="0" applyFont="1" applyBorder="1" applyAlignment="1">
      <alignment horizontal="center"/>
    </xf>
    <xf numFmtId="0" fontId="40" fillId="0" borderId="0" xfId="0" applyFont="1" applyAlignment="1">
      <alignment horizontal="right" vertical="center" wrapText="1"/>
    </xf>
    <xf numFmtId="0" fontId="5" fillId="0" borderId="87" xfId="0" applyFont="1" applyBorder="1" applyAlignment="1">
      <alignment horizontal="right" vertical="center" wrapText="1"/>
    </xf>
    <xf numFmtId="0" fontId="5" fillId="0" borderId="52" xfId="0" applyFont="1" applyBorder="1" applyAlignment="1">
      <alignment horizontal="left" vertical="center" wrapText="1"/>
    </xf>
    <xf numFmtId="0" fontId="26" fillId="12" borderId="96" xfId="0" applyFont="1" applyFill="1" applyBorder="1" applyAlignment="1">
      <alignment horizontal="center"/>
    </xf>
    <xf numFmtId="0" fontId="27" fillId="12" borderId="98" xfId="0" applyFont="1" applyFill="1" applyBorder="1" applyAlignment="1">
      <alignment horizontal="center"/>
    </xf>
    <xf numFmtId="0" fontId="5" fillId="12" borderId="98" xfId="0" applyFont="1" applyFill="1" applyBorder="1" applyAlignment="1">
      <alignment horizontal="center"/>
    </xf>
    <xf numFmtId="0" fontId="5" fillId="12" borderId="103" xfId="0" applyFont="1" applyFill="1" applyBorder="1" applyAlignment="1">
      <alignment horizontal="center"/>
    </xf>
    <xf numFmtId="0" fontId="27" fillId="12" borderId="114" xfId="0" applyFont="1" applyFill="1" applyBorder="1" applyAlignment="1">
      <alignment horizontal="center" vertical="center" wrapText="1"/>
    </xf>
    <xf numFmtId="0" fontId="5" fillId="0" borderId="92" xfId="0" applyFont="1" applyBorder="1" applyAlignment="1">
      <alignment horizontal="left" vertical="center" wrapText="1"/>
    </xf>
    <xf numFmtId="0" fontId="5" fillId="0" borderId="87" xfId="0" applyFont="1" applyBorder="1" applyAlignment="1">
      <alignment horizontal="left" vertical="center" wrapText="1"/>
    </xf>
    <xf numFmtId="0" fontId="5" fillId="0" borderId="0" xfId="0" applyFont="1" applyAlignment="1">
      <alignment horizontal="right" vertical="center"/>
    </xf>
    <xf numFmtId="0" fontId="18" fillId="0" borderId="0" xfId="0" applyFont="1" applyAlignment="1">
      <alignment horizontal="left" vertical="center" wrapText="1"/>
    </xf>
    <xf numFmtId="0" fontId="10" fillId="0" borderId="0" xfId="0" applyFont="1" applyAlignment="1">
      <alignment horizontal="left" vertical="center" wrapText="1"/>
    </xf>
    <xf numFmtId="0" fontId="19" fillId="0" borderId="0" xfId="0" applyFont="1" applyAlignment="1">
      <alignment horizontal="left" vertical="center"/>
    </xf>
    <xf numFmtId="0" fontId="18" fillId="0" borderId="0" xfId="0" applyFont="1" applyAlignment="1">
      <alignment horizontal="left" vertical="center"/>
    </xf>
    <xf numFmtId="0" fontId="1" fillId="0" borderId="0" xfId="0" applyFont="1" applyAlignment="1">
      <alignment horizontal="left" vertical="center" wrapText="1"/>
    </xf>
    <xf numFmtId="0" fontId="25" fillId="0" borderId="0" xfId="0" applyFont="1" applyAlignment="1">
      <alignment horizontal="left" vertical="center" wrapText="1"/>
    </xf>
    <xf numFmtId="0" fontId="5" fillId="0" borderId="0" xfId="0" applyFont="1" applyAlignment="1">
      <alignment horizontal="left" vertical="center" wrapText="1"/>
    </xf>
    <xf numFmtId="0" fontId="4" fillId="0" borderId="122" xfId="0" applyFont="1" applyBorder="1"/>
    <xf numFmtId="0" fontId="4" fillId="0" borderId="123" xfId="0" applyFont="1" applyBorder="1"/>
    <xf numFmtId="0" fontId="18" fillId="0" borderId="43" xfId="0" applyFont="1" applyBorder="1" applyAlignment="1">
      <alignment horizontal="left" vertical="center" wrapText="1"/>
    </xf>
    <xf numFmtId="0" fontId="5" fillId="0" borderId="86" xfId="0" applyFont="1" applyBorder="1" applyAlignment="1">
      <alignment horizontal="left" vertical="center" wrapText="1"/>
    </xf>
    <xf numFmtId="0" fontId="26" fillId="12" borderId="34" xfId="0" applyFont="1" applyFill="1" applyBorder="1" applyAlignment="1">
      <alignment horizontal="center" wrapText="1"/>
    </xf>
    <xf numFmtId="0" fontId="27" fillId="12" borderId="114" xfId="0" applyFont="1" applyFill="1" applyBorder="1" applyAlignment="1">
      <alignment horizontal="center"/>
    </xf>
    <xf numFmtId="0" fontId="43" fillId="0" borderId="52" xfId="0" applyFont="1" applyBorder="1" applyAlignment="1">
      <alignment horizontal="right" vertical="center"/>
    </xf>
    <xf numFmtId="0" fontId="43" fillId="0" borderId="124" xfId="0" applyFont="1" applyBorder="1" applyAlignment="1">
      <alignment horizontal="right" vertical="center"/>
    </xf>
    <xf numFmtId="0" fontId="4" fillId="0" borderId="124" xfId="0" applyFont="1" applyBorder="1"/>
    <xf numFmtId="0" fontId="4" fillId="0" borderId="125" xfId="0" applyFont="1" applyBorder="1"/>
    <xf numFmtId="0" fontId="5" fillId="0" borderId="85" xfId="0" applyFont="1" applyBorder="1" applyAlignment="1">
      <alignment horizontal="right"/>
    </xf>
    <xf numFmtId="0" fontId="10" fillId="0" borderId="85" xfId="0" applyFont="1" applyBorder="1" applyAlignment="1">
      <alignment horizontal="center"/>
    </xf>
    <xf numFmtId="0" fontId="31" fillId="0" borderId="49" xfId="0" applyFont="1" applyBorder="1" applyAlignment="1">
      <alignment horizontal="left" vertical="center" wrapText="1"/>
    </xf>
    <xf numFmtId="0" fontId="31" fillId="0" borderId="49" xfId="0" applyFont="1" applyBorder="1" applyAlignment="1">
      <alignment horizontal="left" vertical="center"/>
    </xf>
    <xf numFmtId="0" fontId="34" fillId="0" borderId="0" xfId="0" applyFont="1" applyAlignment="1">
      <alignment horizontal="center" vertical="top" wrapText="1"/>
    </xf>
    <xf numFmtId="0" fontId="18" fillId="0" borderId="54" xfId="0" applyFont="1" applyBorder="1" applyAlignment="1">
      <alignment horizontal="left"/>
    </xf>
    <xf numFmtId="0" fontId="18" fillId="0" borderId="48" xfId="0" applyFont="1" applyBorder="1" applyAlignment="1">
      <alignment horizontal="left" wrapText="1"/>
    </xf>
    <xf numFmtId="0" fontId="18" fillId="0" borderId="48" xfId="0" applyFont="1" applyBorder="1" applyAlignment="1">
      <alignment horizontal="left" vertical="center" wrapText="1"/>
    </xf>
    <xf numFmtId="166" fontId="18" fillId="0" borderId="0" xfId="0" applyNumberFormat="1" applyFont="1" applyAlignment="1">
      <alignment horizontal="center" wrapText="1"/>
    </xf>
    <xf numFmtId="0" fontId="18" fillId="0" borderId="53" xfId="0" applyFont="1" applyBorder="1" applyAlignment="1">
      <alignment horizontal="left"/>
    </xf>
    <xf numFmtId="0" fontId="18" fillId="0" borderId="44" xfId="0" applyFont="1" applyBorder="1" applyAlignment="1">
      <alignment horizontal="left"/>
    </xf>
    <xf numFmtId="4" fontId="25" fillId="0" borderId="23" xfId="0" applyNumberFormat="1" applyFont="1" applyBorder="1" applyAlignment="1">
      <alignment horizontal="right" vertical="center"/>
    </xf>
    <xf numFmtId="4" fontId="18" fillId="0" borderId="23" xfId="0" applyNumberFormat="1" applyFont="1" applyBorder="1" applyAlignment="1">
      <alignment horizontal="right" vertical="center" wrapText="1"/>
    </xf>
    <xf numFmtId="4" fontId="25" fillId="0" borderId="23" xfId="0" applyNumberFormat="1" applyFont="1" applyBorder="1" applyAlignment="1">
      <alignment horizontal="right" vertical="center" wrapText="1"/>
    </xf>
    <xf numFmtId="4" fontId="18" fillId="12" borderId="23" xfId="0" applyNumberFormat="1" applyFont="1" applyFill="1" applyBorder="1" applyAlignment="1">
      <alignment horizontal="right" vertical="center" wrapText="1"/>
    </xf>
    <xf numFmtId="0" fontId="18" fillId="12" borderId="23" xfId="0" applyFont="1" applyFill="1" applyBorder="1" applyAlignment="1">
      <alignment horizontal="left" vertical="center"/>
    </xf>
    <xf numFmtId="4" fontId="18" fillId="12" borderId="23" xfId="0" applyNumberFormat="1" applyFont="1" applyFill="1" applyBorder="1" applyAlignment="1">
      <alignment horizontal="right" vertical="center"/>
    </xf>
    <xf numFmtId="0" fontId="18" fillId="12" borderId="23" xfId="0" applyFont="1" applyFill="1" applyBorder="1" applyAlignment="1">
      <alignment horizontal="center"/>
    </xf>
    <xf numFmtId="165" fontId="18" fillId="12" borderId="23" xfId="0" applyNumberFormat="1" applyFont="1" applyFill="1" applyBorder="1" applyAlignment="1">
      <alignment horizontal="center"/>
    </xf>
    <xf numFmtId="4" fontId="25" fillId="0" borderId="43" xfId="0" applyNumberFormat="1" applyFont="1" applyBorder="1" applyAlignment="1">
      <alignment horizontal="right" vertical="center"/>
    </xf>
    <xf numFmtId="4" fontId="25" fillId="0" borderId="43" xfId="0" applyNumberFormat="1" applyFont="1" applyBorder="1" applyAlignment="1">
      <alignment horizontal="right" vertical="center" wrapText="1"/>
    </xf>
    <xf numFmtId="4" fontId="18" fillId="0" borderId="43" xfId="0" applyNumberFormat="1" applyFont="1" applyBorder="1" applyAlignment="1">
      <alignment horizontal="right" vertical="center" wrapText="1"/>
    </xf>
    <xf numFmtId="4" fontId="18" fillId="12" borderId="114" xfId="0" applyNumberFormat="1" applyFont="1" applyFill="1" applyBorder="1" applyAlignment="1">
      <alignment horizontal="right" vertical="center"/>
    </xf>
    <xf numFmtId="0" fontId="18" fillId="12" borderId="23" xfId="0" applyFont="1" applyFill="1" applyBorder="1" applyAlignment="1">
      <alignment horizontal="center" vertical="center"/>
    </xf>
    <xf numFmtId="165" fontId="18" fillId="12" borderId="23" xfId="0" applyNumberFormat="1" applyFont="1" applyFill="1" applyBorder="1" applyAlignment="1">
      <alignment horizontal="center" vertical="center"/>
    </xf>
    <xf numFmtId="0" fontId="5" fillId="12" borderId="37" xfId="0" applyFont="1" applyFill="1" applyBorder="1" applyAlignment="1">
      <alignment horizontal="center" vertical="center"/>
    </xf>
    <xf numFmtId="0" fontId="29" fillId="0" borderId="0" xfId="0" applyFont="1" applyAlignment="1">
      <alignment horizontal="left" vertical="top" wrapText="1"/>
    </xf>
    <xf numFmtId="166" fontId="18" fillId="0" borderId="0" xfId="0" applyNumberFormat="1" applyFont="1" applyAlignment="1">
      <alignment horizontal="center" vertical="center" wrapText="1"/>
    </xf>
    <xf numFmtId="0" fontId="26" fillId="12" borderId="34" xfId="0" applyFont="1" applyFill="1" applyBorder="1" applyAlignment="1">
      <alignment horizontal="center"/>
    </xf>
    <xf numFmtId="0" fontId="1" fillId="0" borderId="74" xfId="0" applyFont="1" applyBorder="1" applyAlignment="1">
      <alignment horizontal="left" wrapText="1"/>
    </xf>
    <xf numFmtId="0" fontId="19" fillId="0" borderId="82" xfId="0" applyFont="1" applyBorder="1" applyAlignment="1">
      <alignment horizontal="left" vertical="center" wrapText="1"/>
    </xf>
    <xf numFmtId="0" fontId="29" fillId="0" borderId="0" xfId="0" applyFont="1" applyAlignment="1">
      <alignment horizontal="center" vertical="center"/>
    </xf>
    <xf numFmtId="0" fontId="27" fillId="12" borderId="68" xfId="0" applyFont="1" applyFill="1" applyBorder="1" applyAlignment="1">
      <alignment horizontal="center" vertical="center" wrapText="1"/>
    </xf>
    <xf numFmtId="166" fontId="27" fillId="12" borderId="23" xfId="0" applyNumberFormat="1" applyFont="1" applyFill="1" applyBorder="1" applyAlignment="1">
      <alignment horizontal="center" vertical="center"/>
    </xf>
    <xf numFmtId="0" fontId="5" fillId="12" borderId="37" xfId="0" applyFont="1" applyFill="1" applyBorder="1" applyAlignment="1">
      <alignment horizontal="center" wrapText="1"/>
    </xf>
    <xf numFmtId="166" fontId="5" fillId="12" borderId="40" xfId="0" applyNumberFormat="1" applyFont="1" applyFill="1" applyBorder="1" applyAlignment="1">
      <alignment horizontal="center"/>
    </xf>
    <xf numFmtId="166" fontId="18" fillId="12" borderId="23" xfId="0" applyNumberFormat="1" applyFont="1" applyFill="1" applyBorder="1" applyAlignment="1">
      <alignment horizontal="center"/>
    </xf>
    <xf numFmtId="0" fontId="1" fillId="0" borderId="86" xfId="0" applyFont="1" applyBorder="1" applyAlignment="1">
      <alignment horizontal="center"/>
    </xf>
    <xf numFmtId="0" fontId="1" fillId="0" borderId="86" xfId="0" applyFont="1" applyBorder="1" applyAlignment="1">
      <alignment horizontal="center" wrapText="1"/>
    </xf>
    <xf numFmtId="0" fontId="26" fillId="12" borderId="96" xfId="0" applyFont="1" applyFill="1" applyBorder="1" applyAlignment="1">
      <alignment horizontal="center" wrapText="1"/>
    </xf>
    <xf numFmtId="0" fontId="5" fillId="12" borderId="98" xfId="0" applyFont="1" applyFill="1" applyBorder="1" applyAlignment="1">
      <alignment horizontal="center" wrapText="1"/>
    </xf>
    <xf numFmtId="166" fontId="1" fillId="12" borderId="103" xfId="0" applyNumberFormat="1" applyFont="1" applyFill="1" applyBorder="1" applyAlignment="1">
      <alignment horizontal="center"/>
    </xf>
    <xf numFmtId="0" fontId="1" fillId="12" borderId="64" xfId="0" applyFont="1" applyFill="1" applyBorder="1" applyAlignment="1">
      <alignment horizontal="center" vertical="center" wrapText="1"/>
    </xf>
    <xf numFmtId="0" fontId="4" fillId="0" borderId="128" xfId="0" applyFont="1" applyBorder="1"/>
    <xf numFmtId="0" fontId="25" fillId="0" borderId="48" xfId="0" applyFont="1" applyBorder="1" applyAlignment="1">
      <alignment horizontal="left" vertical="center" wrapText="1"/>
    </xf>
    <xf numFmtId="0" fontId="18" fillId="0" borderId="44" xfId="0" applyFont="1" applyBorder="1" applyAlignment="1">
      <alignment horizontal="left" vertical="top" wrapText="1"/>
    </xf>
    <xf numFmtId="0" fontId="18" fillId="13" borderId="67" xfId="0" applyFont="1" applyFill="1" applyBorder="1" applyAlignment="1">
      <alignment horizontal="center" vertical="top"/>
    </xf>
    <xf numFmtId="0" fontId="18" fillId="13" borderId="67" xfId="0" applyFont="1" applyFill="1" applyBorder="1" applyAlignment="1">
      <alignment horizontal="center" vertical="top" wrapText="1"/>
    </xf>
    <xf numFmtId="0" fontId="10" fillId="0" borderId="54" xfId="0" applyFont="1" applyBorder="1" applyAlignment="1">
      <alignment horizontal="left" vertical="top" wrapText="1"/>
    </xf>
    <xf numFmtId="0" fontId="1" fillId="13" borderId="98" xfId="0" applyFont="1" applyFill="1" applyBorder="1" applyAlignment="1">
      <alignment horizontal="center" wrapText="1"/>
    </xf>
    <xf numFmtId="3" fontId="18" fillId="0" borderId="0" xfId="0" applyNumberFormat="1" applyFont="1" applyAlignment="1">
      <alignment horizontal="center" vertical="top" wrapText="1"/>
    </xf>
    <xf numFmtId="165" fontId="18" fillId="12" borderId="40" xfId="0" applyNumberFormat="1" applyFont="1" applyFill="1" applyBorder="1" applyAlignment="1">
      <alignment horizontal="center" vertical="center"/>
    </xf>
    <xf numFmtId="0" fontId="10" fillId="0" borderId="83" xfId="0" applyFont="1" applyBorder="1" applyAlignment="1">
      <alignment horizontal="left" vertical="center" wrapText="1"/>
    </xf>
    <xf numFmtId="0" fontId="1" fillId="0" borderId="23" xfId="0" applyFont="1" applyBorder="1" applyAlignment="1">
      <alignment horizontal="left" wrapText="1"/>
    </xf>
    <xf numFmtId="3" fontId="18" fillId="0" borderId="86" xfId="0" applyNumberFormat="1" applyFont="1" applyBorder="1" applyAlignment="1">
      <alignment horizontal="center" wrapText="1"/>
    </xf>
    <xf numFmtId="0" fontId="10" fillId="0" borderId="90" xfId="0" applyFont="1" applyBorder="1" applyAlignment="1">
      <alignment horizontal="left" vertical="center" wrapText="1"/>
    </xf>
    <xf numFmtId="166" fontId="35" fillId="12" borderId="104" xfId="0" applyNumberFormat="1" applyFont="1" applyFill="1" applyBorder="1" applyAlignment="1">
      <alignment horizontal="center" vertical="center" wrapText="1"/>
    </xf>
    <xf numFmtId="0" fontId="1" fillId="0" borderId="68" xfId="0" applyFont="1" applyBorder="1" applyAlignment="1">
      <alignment horizontal="left" vertical="top" wrapText="1"/>
    </xf>
    <xf numFmtId="0" fontId="1" fillId="0" borderId="74" xfId="0" applyFont="1" applyBorder="1" applyAlignment="1">
      <alignment horizontal="left" vertical="top" wrapText="1"/>
    </xf>
    <xf numFmtId="0" fontId="1" fillId="0" borderId="23" xfId="0" applyFont="1" applyBorder="1" applyAlignment="1">
      <alignment horizontal="left" vertical="top"/>
    </xf>
  </cellXfs>
  <cellStyles count="1">
    <cellStyle name="Normal" xfId="0" builtinId="0"/>
  </cellStyles>
  <dxfs count="723">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none"/>
      </fill>
      <border>
        <top style="hair">
          <color rgb="FFD8D8D8"/>
        </top>
        <bottom style="hair">
          <color rgb="FFD8D8D8"/>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rgb="FF000000"/>
        </left>
        <right style="thin">
          <color rgb="FF000000"/>
        </right>
        <top style="dotted">
          <color rgb="FF000000"/>
        </top>
        <bottom style="dotted">
          <color rgb="FF00000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none"/>
      </fill>
    </dxf>
    <dxf>
      <fill>
        <patternFill patternType="none"/>
      </fill>
    </dxf>
    <dxf>
      <fill>
        <patternFill patternType="none"/>
      </fill>
    </dxf>
    <dxf>
      <fill>
        <patternFill patternType="solid">
          <fgColor rgb="FFFDE9D9"/>
          <bgColor rgb="FFFDE9D9"/>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40"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C00000"/>
    <pageSetUpPr fitToPage="1"/>
  </sheetPr>
  <dimension ref="A1:AN1000"/>
  <sheetViews>
    <sheetView showGridLines="0" workbookViewId="0"/>
  </sheetViews>
  <sheetFormatPr baseColWidth="10" defaultColWidth="14.42578125" defaultRowHeight="15" customHeight="1"/>
  <cols>
    <col min="1" max="39" width="2.85546875" customWidth="1"/>
    <col min="40" max="40" width="0.85546875" customWidth="1"/>
  </cols>
  <sheetData>
    <row r="1" spans="1:40">
      <c r="A1" s="701" t="s">
        <v>37</v>
      </c>
      <c r="B1" s="698"/>
      <c r="C1" s="698"/>
      <c r="D1" s="698"/>
      <c r="E1" s="698"/>
      <c r="F1" s="698"/>
      <c r="G1" s="698"/>
      <c r="H1" s="698"/>
      <c r="I1" s="698"/>
      <c r="J1" s="698"/>
      <c r="K1" s="698"/>
      <c r="L1" s="698"/>
      <c r="M1" s="698"/>
      <c r="N1" s="698"/>
      <c r="O1" s="698"/>
      <c r="P1" s="698"/>
      <c r="Q1" s="698"/>
      <c r="R1" s="698"/>
      <c r="S1" s="698"/>
      <c r="T1" s="698"/>
      <c r="U1" s="698"/>
      <c r="V1" s="698"/>
      <c r="W1" s="698"/>
      <c r="X1" s="698"/>
      <c r="Y1" s="698"/>
      <c r="Z1" s="698"/>
      <c r="AA1" s="698"/>
      <c r="AB1" s="698"/>
      <c r="AC1" s="698"/>
      <c r="AD1" s="698"/>
      <c r="AE1" s="698"/>
      <c r="AF1" s="722"/>
      <c r="AG1" s="723" t="str">
        <f>"Versión "&amp;F185&amp;".02"</f>
        <v>Versión 2025.02</v>
      </c>
      <c r="AH1" s="698"/>
      <c r="AI1" s="698"/>
      <c r="AJ1" s="698"/>
      <c r="AK1" s="698"/>
      <c r="AL1" s="698"/>
      <c r="AM1" s="698"/>
      <c r="AN1" s="699"/>
    </row>
    <row r="2" spans="1:40">
      <c r="A2" s="724" t="s">
        <v>38</v>
      </c>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8"/>
    </row>
    <row r="3" spans="1:40">
      <c r="A3" s="713"/>
      <c r="B3" s="725"/>
      <c r="C3" s="725"/>
      <c r="D3" s="725"/>
      <c r="E3" s="725"/>
      <c r="F3" s="725"/>
      <c r="G3" s="725"/>
      <c r="H3" s="725"/>
      <c r="I3" s="725"/>
      <c r="J3" s="725"/>
      <c r="K3" s="725"/>
      <c r="L3" s="725"/>
      <c r="M3" s="725"/>
      <c r="N3" s="725"/>
      <c r="O3" s="725"/>
      <c r="P3" s="725"/>
      <c r="Q3" s="725"/>
      <c r="R3" s="725"/>
      <c r="S3" s="725"/>
      <c r="T3" s="725"/>
      <c r="U3" s="725"/>
      <c r="V3" s="725"/>
      <c r="W3" s="725"/>
      <c r="X3" s="725"/>
      <c r="Y3" s="725"/>
      <c r="Z3" s="725"/>
      <c r="AA3" s="725"/>
      <c r="AB3" s="725"/>
      <c r="AC3" s="725"/>
      <c r="AD3" s="725"/>
      <c r="AE3" s="725"/>
      <c r="AF3" s="725"/>
      <c r="AG3" s="725"/>
      <c r="AH3" s="725"/>
      <c r="AI3" s="725"/>
      <c r="AJ3" s="725"/>
      <c r="AK3" s="725"/>
      <c r="AL3" s="725"/>
      <c r="AM3" s="725"/>
      <c r="AN3" s="714"/>
    </row>
    <row r="4" spans="1:40">
      <c r="A4" s="709"/>
      <c r="B4" s="710"/>
      <c r="C4" s="710"/>
      <c r="D4" s="710"/>
      <c r="E4" s="710"/>
      <c r="F4" s="710"/>
      <c r="G4" s="710"/>
      <c r="H4" s="710"/>
      <c r="I4" s="710"/>
      <c r="J4" s="710"/>
      <c r="K4" s="710"/>
      <c r="L4" s="710"/>
      <c r="M4" s="710"/>
      <c r="N4" s="710"/>
      <c r="O4" s="710"/>
      <c r="P4" s="710"/>
      <c r="Q4" s="710"/>
      <c r="R4" s="710"/>
      <c r="S4" s="710"/>
      <c r="T4" s="710"/>
      <c r="U4" s="710"/>
      <c r="V4" s="710"/>
      <c r="W4" s="710"/>
      <c r="X4" s="710"/>
      <c r="Y4" s="710"/>
      <c r="Z4" s="710"/>
      <c r="AA4" s="710"/>
      <c r="AB4" s="710"/>
      <c r="AC4" s="710"/>
      <c r="AD4" s="710"/>
      <c r="AE4" s="710"/>
      <c r="AF4" s="710"/>
      <c r="AG4" s="710"/>
      <c r="AH4" s="710"/>
      <c r="AI4" s="710"/>
      <c r="AJ4" s="710"/>
      <c r="AK4" s="710"/>
      <c r="AL4" s="710"/>
      <c r="AM4" s="710"/>
      <c r="AN4" s="711"/>
    </row>
    <row r="5" spans="1:40">
      <c r="A5" s="701" t="s">
        <v>39</v>
      </c>
      <c r="B5" s="698"/>
      <c r="C5" s="698"/>
      <c r="D5" s="698"/>
      <c r="E5" s="698"/>
      <c r="F5" s="698"/>
      <c r="G5" s="698"/>
      <c r="H5" s="698"/>
      <c r="I5" s="698"/>
      <c r="J5" s="698"/>
      <c r="K5" s="698"/>
      <c r="L5" s="698"/>
      <c r="M5" s="698"/>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699"/>
    </row>
    <row r="6" spans="1:40">
      <c r="A6" s="726" t="s">
        <v>40</v>
      </c>
      <c r="B6" s="698"/>
      <c r="C6" s="698"/>
      <c r="D6" s="698"/>
      <c r="E6" s="698"/>
      <c r="F6" s="698"/>
      <c r="G6" s="698"/>
      <c r="H6" s="698"/>
      <c r="I6" s="698"/>
      <c r="J6" s="698"/>
      <c r="K6" s="698"/>
      <c r="L6" s="698"/>
      <c r="M6" s="698"/>
      <c r="N6" s="698"/>
      <c r="O6" s="698"/>
      <c r="P6" s="698"/>
      <c r="Q6" s="698"/>
      <c r="R6" s="698"/>
      <c r="S6" s="698"/>
      <c r="T6" s="698"/>
      <c r="U6" s="698"/>
      <c r="V6" s="698"/>
      <c r="W6" s="698"/>
      <c r="X6" s="698"/>
      <c r="Y6" s="698"/>
      <c r="Z6" s="698"/>
      <c r="AA6" s="698"/>
      <c r="AB6" s="698"/>
      <c r="AC6" s="698"/>
      <c r="AD6" s="698"/>
      <c r="AE6" s="698"/>
      <c r="AF6" s="698"/>
      <c r="AG6" s="698"/>
      <c r="AH6" s="698"/>
      <c r="AI6" s="698"/>
      <c r="AJ6" s="698"/>
      <c r="AK6" s="698"/>
      <c r="AL6" s="698"/>
      <c r="AM6" s="698"/>
      <c r="AN6" s="699"/>
    </row>
    <row r="7" spans="1:40" ht="18.75">
      <c r="A7" s="727" t="s">
        <v>41</v>
      </c>
      <c r="B7" s="698"/>
      <c r="C7" s="698"/>
      <c r="D7" s="698"/>
      <c r="E7" s="698"/>
      <c r="F7" s="698"/>
      <c r="G7" s="698"/>
      <c r="H7" s="698"/>
      <c r="I7" s="698"/>
      <c r="J7" s="698"/>
      <c r="K7" s="698"/>
      <c r="L7" s="698"/>
      <c r="M7" s="698"/>
      <c r="N7" s="698"/>
      <c r="O7" s="698"/>
      <c r="P7" s="698"/>
      <c r="Q7" s="698"/>
      <c r="R7" s="698"/>
      <c r="S7" s="698"/>
      <c r="T7" s="698"/>
      <c r="U7" s="698"/>
      <c r="V7" s="698"/>
      <c r="W7" s="698"/>
      <c r="X7" s="698"/>
      <c r="Y7" s="698"/>
      <c r="Z7" s="698"/>
      <c r="AA7" s="698"/>
      <c r="AB7" s="698"/>
      <c r="AC7" s="698"/>
      <c r="AD7" s="698"/>
      <c r="AE7" s="698"/>
      <c r="AF7" s="698"/>
      <c r="AG7" s="698"/>
      <c r="AH7" s="698"/>
      <c r="AI7" s="698"/>
      <c r="AJ7" s="698"/>
      <c r="AK7" s="698"/>
      <c r="AL7" s="698"/>
      <c r="AM7" s="698"/>
      <c r="AN7" s="699"/>
    </row>
    <row r="8" spans="1:40">
      <c r="A8" s="726" t="s">
        <v>42</v>
      </c>
      <c r="B8" s="698"/>
      <c r="C8" s="698"/>
      <c r="D8" s="698"/>
      <c r="E8" s="698"/>
      <c r="F8" s="698"/>
      <c r="G8" s="698"/>
      <c r="H8" s="698"/>
      <c r="I8" s="698"/>
      <c r="J8" s="698"/>
      <c r="K8" s="698"/>
      <c r="L8" s="698"/>
      <c r="M8" s="698"/>
      <c r="N8" s="698"/>
      <c r="O8" s="698"/>
      <c r="P8" s="698"/>
      <c r="Q8" s="698"/>
      <c r="R8" s="698"/>
      <c r="S8" s="698"/>
      <c r="T8" s="698"/>
      <c r="U8" s="698"/>
      <c r="V8" s="698"/>
      <c r="W8" s="698"/>
      <c r="X8" s="698"/>
      <c r="Y8" s="698"/>
      <c r="Z8" s="698"/>
      <c r="AA8" s="698"/>
      <c r="AB8" s="698"/>
      <c r="AC8" s="698"/>
      <c r="AD8" s="698"/>
      <c r="AE8" s="698"/>
      <c r="AF8" s="698"/>
      <c r="AG8" s="698"/>
      <c r="AH8" s="698"/>
      <c r="AI8" s="698"/>
      <c r="AJ8" s="698"/>
      <c r="AK8" s="698"/>
      <c r="AL8" s="698"/>
      <c r="AM8" s="698"/>
      <c r="AN8" s="699"/>
    </row>
    <row r="9" spans="1:40" ht="18.75">
      <c r="A9" s="727" t="s">
        <v>43</v>
      </c>
      <c r="B9" s="698"/>
      <c r="C9" s="698"/>
      <c r="D9" s="698"/>
      <c r="E9" s="698"/>
      <c r="F9" s="698"/>
      <c r="G9" s="698"/>
      <c r="H9" s="698"/>
      <c r="I9" s="698"/>
      <c r="J9" s="698"/>
      <c r="K9" s="698"/>
      <c r="L9" s="698"/>
      <c r="M9" s="698"/>
      <c r="N9" s="698"/>
      <c r="O9" s="698"/>
      <c r="P9" s="698"/>
      <c r="Q9" s="698"/>
      <c r="R9" s="698"/>
      <c r="S9" s="698"/>
      <c r="T9" s="698"/>
      <c r="U9" s="698"/>
      <c r="V9" s="698"/>
      <c r="W9" s="698"/>
      <c r="X9" s="698"/>
      <c r="Y9" s="698"/>
      <c r="Z9" s="698"/>
      <c r="AA9" s="698"/>
      <c r="AB9" s="698"/>
      <c r="AC9" s="698"/>
      <c r="AD9" s="698"/>
      <c r="AE9" s="698"/>
      <c r="AF9" s="698"/>
      <c r="AG9" s="698"/>
      <c r="AH9" s="698"/>
      <c r="AI9" s="698"/>
      <c r="AJ9" s="698"/>
      <c r="AK9" s="698"/>
      <c r="AL9" s="698"/>
      <c r="AM9" s="698"/>
      <c r="AN9" s="699"/>
    </row>
    <row r="10" spans="1:40">
      <c r="A10" s="726" t="s">
        <v>44</v>
      </c>
      <c r="B10" s="698"/>
      <c r="C10" s="698"/>
      <c r="D10" s="698"/>
      <c r="E10" s="698"/>
      <c r="F10" s="698"/>
      <c r="G10" s="698"/>
      <c r="H10" s="698"/>
      <c r="I10" s="698"/>
      <c r="J10" s="698"/>
      <c r="K10" s="698"/>
      <c r="L10" s="698"/>
      <c r="M10" s="698"/>
      <c r="N10" s="698"/>
      <c r="O10" s="698"/>
      <c r="P10" s="698"/>
      <c r="Q10" s="698"/>
      <c r="R10" s="698"/>
      <c r="S10" s="698"/>
      <c r="T10" s="698"/>
      <c r="U10" s="698"/>
      <c r="V10" s="698"/>
      <c r="W10" s="698"/>
      <c r="X10" s="698"/>
      <c r="Y10" s="698"/>
      <c r="Z10" s="698"/>
      <c r="AA10" s="698"/>
      <c r="AB10" s="698"/>
      <c r="AC10" s="698"/>
      <c r="AD10" s="698"/>
      <c r="AE10" s="698"/>
      <c r="AF10" s="698"/>
      <c r="AG10" s="698"/>
      <c r="AH10" s="698"/>
      <c r="AI10" s="698"/>
      <c r="AJ10" s="698"/>
      <c r="AK10" s="698"/>
      <c r="AL10" s="698"/>
      <c r="AM10" s="698"/>
      <c r="AN10" s="699"/>
    </row>
    <row r="11" spans="1:40" ht="18.75">
      <c r="A11" s="727" t="s">
        <v>45</v>
      </c>
      <c r="B11" s="698"/>
      <c r="C11" s="698"/>
      <c r="D11" s="698"/>
      <c r="E11" s="698"/>
      <c r="F11" s="698"/>
      <c r="G11" s="698"/>
      <c r="H11" s="698"/>
      <c r="I11" s="698"/>
      <c r="J11" s="698"/>
      <c r="K11" s="698"/>
      <c r="L11" s="698"/>
      <c r="M11" s="698"/>
      <c r="N11" s="698"/>
      <c r="O11" s="698"/>
      <c r="P11" s="698"/>
      <c r="Q11" s="698"/>
      <c r="R11" s="698"/>
      <c r="S11" s="698"/>
      <c r="T11" s="698"/>
      <c r="U11" s="698"/>
      <c r="V11" s="698"/>
      <c r="W11" s="698"/>
      <c r="X11" s="698"/>
      <c r="Y11" s="698"/>
      <c r="Z11" s="698"/>
      <c r="AA11" s="698"/>
      <c r="AB11" s="698"/>
      <c r="AC11" s="698"/>
      <c r="AD11" s="698"/>
      <c r="AE11" s="698"/>
      <c r="AF11" s="698"/>
      <c r="AG11" s="698"/>
      <c r="AH11" s="698"/>
      <c r="AI11" s="698"/>
      <c r="AJ11" s="698"/>
      <c r="AK11" s="698"/>
      <c r="AL11" s="698"/>
      <c r="AM11" s="728">
        <f>IF(A11="ENERO",1,IF(A11="FEBRERO",2,IF(A11="MARZO",3,IF(A11="ABRIL",4,IF(A11="MAYO",5,IF(A11="JUNIO, 1er. Informe de Avance de Gestión Financiera y Corte Semestral",6,IF(A11="JULIO",7,IF(A11="AGOSTO",8,IF(A11="SEPTIEMBRE",9,IF(A11="OCTUBRE",10,IF(A11="NOVIEMBRE",11,IF(A11="DICIEMBRE, 2do. Informe de Avance de Gestión Financiera y Corte Anual",12,""))))))))))))</f>
        <v>8</v>
      </c>
      <c r="AN11" s="699"/>
    </row>
    <row r="12" spans="1:40">
      <c r="A12" s="701" t="s">
        <v>46</v>
      </c>
      <c r="B12" s="698"/>
      <c r="C12" s="698"/>
      <c r="D12" s="698"/>
      <c r="E12" s="698"/>
      <c r="F12" s="698"/>
      <c r="G12" s="698"/>
      <c r="H12" s="698"/>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698"/>
      <c r="AJ12" s="698"/>
      <c r="AK12" s="698"/>
      <c r="AL12" s="698"/>
      <c r="AM12" s="698"/>
      <c r="AN12" s="699"/>
    </row>
    <row r="13" spans="1:40">
      <c r="A13" s="3" t="s">
        <v>47</v>
      </c>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5"/>
    </row>
    <row r="14" spans="1:40">
      <c r="A14" s="6" t="str">
        <f>IF(AM14=1,"",IF(ROUND(SUM($A$50:$L$52),2)&gt;0,IF(ROUND(($M$50),2)=ROUND(($M$51+$M$52),2),IF(ROUND($A$50,2)=ROUND(($A$51+$A$52),2),"X",""),""),""))</f>
        <v>X</v>
      </c>
      <c r="B14" s="7" t="s">
        <v>48</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9" t="str">
        <f>IF(AND($C$64="", $C$65="", $C$66="",$C$67="",$C$68="",$C$69="",$C$73="", $C$74="", $C$75="",$C$76=""),"",1)</f>
        <v/>
      </c>
      <c r="AN14" s="10"/>
    </row>
    <row r="15" spans="1:40" hidden="1">
      <c r="A15" s="6" t="e">
        <f>IF(AM15=1,"",IF(ROUND('F2'!$G$33,2)=0,"","X"))</f>
        <v>#REF!</v>
      </c>
      <c r="B15" s="11" t="s">
        <v>49</v>
      </c>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9" t="e">
        <f>IF(AND($C$64="", $C$65="", $C$66="",$C$67="",$C$68="",$C$69="",$C$77="", $C$78="", $C$79="",$C$80="",$C$81=""),"",1)</f>
        <v>#REF!</v>
      </c>
      <c r="AN15" s="13"/>
    </row>
    <row r="16" spans="1:40" hidden="1">
      <c r="A16" s="6" t="e">
        <f>IF(AM16=1,"",IF(ROUND('F3'!$F$60,2)&lt;&gt;0,"X",""))</f>
        <v>#REF!</v>
      </c>
      <c r="B16" s="11" t="s">
        <v>50</v>
      </c>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9" t="e">
        <f>IF(AND($C$64="", $C$65="", $C$66="",$C$67="",$C$68="",$C$69="",$C$101="", $C$102="", $C$103=""),"",1)</f>
        <v>#REF!</v>
      </c>
      <c r="AN16" s="13"/>
    </row>
    <row r="17" spans="1:40" hidden="1">
      <c r="A17" s="6" t="str">
        <f>IF(AM17=1,"",IF(ROUND(F4A1!$C$18,2)&gt;0,"X",""))</f>
        <v/>
      </c>
      <c r="B17" s="7" t="s">
        <v>51</v>
      </c>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9">
        <f>IF(AND($C$64="", $C$65="", $C$66="",$C$67="",$C$68="",$C$69="",$C$70="", $C$71="", $C$72="",$C$82="",$C$83="",$C$84="",$C$85="",$C$86="",$C$87="", $C$88="", $C$89="",$C$90="",$C$91=""),"",1)</f>
        <v>1</v>
      </c>
      <c r="AN17" s="10"/>
    </row>
    <row r="18" spans="1:40" hidden="1">
      <c r="A18" s="6" t="str">
        <f>IF(AM18=1,"",IF(ROUND(F4A2!$C$37,2)&gt;0,"X",""))</f>
        <v/>
      </c>
      <c r="B18" s="7" t="s">
        <v>52</v>
      </c>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9">
        <f>IF(AND($C$64="", $C$65="", $C$66="",$C$67="",$C$68="",$C$69="",$C$70="", $C$71="", $C$72="",$C$92="",$C$93="",$C$94="",$C$95="",$C$96=""),"",1)</f>
        <v>1</v>
      </c>
      <c r="AN18" s="10"/>
    </row>
    <row r="19" spans="1:40" hidden="1">
      <c r="A19" s="6" t="e">
        <f>IF(AM19=1,"",IF(ROUND('F5'!$H$6,2)&gt;0,"X",""))</f>
        <v>#REF!</v>
      </c>
      <c r="B19" s="11" t="s">
        <v>53</v>
      </c>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9" t="e">
        <f>IF(AND($C$64="", $C$65="", $C$66="",$C$67="",$C$68="",$C$69="",$C$104="", $C$105="", $C$106=""),"",1)</f>
        <v>#REF!</v>
      </c>
      <c r="AN19" s="13"/>
    </row>
    <row r="20" spans="1:40">
      <c r="A20" s="6" t="str">
        <f>IF(AM20=1,"",IF(ROUND(SUM($A$53:$L$54),2)&gt;0,IF(ROUND(SUM($M$53:$X$54),2)&gt;0,"X",""),""))</f>
        <v>X</v>
      </c>
      <c r="B20" s="7" t="s">
        <v>54</v>
      </c>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9" t="str">
        <f>IF(AND($C$64="", $C$65="", $C$66="",$C$67="",$C$68="",$C$69=""),"",1)</f>
        <v/>
      </c>
      <c r="AN20" s="10"/>
    </row>
    <row r="21" spans="1:40" ht="15.75" hidden="1" customHeight="1">
      <c r="A21" s="6" t="str">
        <f>IF(AM21=1,"",IF(ROUND('F16'!$E$4,2)-ROUND('F16'!$F$4,2)=0,IF('F16'!$E$4+'F16'!$F$4&gt;0,"X",""),""))</f>
        <v>X</v>
      </c>
      <c r="B21" s="7" t="s">
        <v>55</v>
      </c>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9" t="str">
        <f>IF(AND($C$64="", $C$65="", $C$66="",$C$67="",$C$68="",$C$69="",$C$97="", $C$98="", $C$99="",$C$100=""),"",1)</f>
        <v/>
      </c>
      <c r="AN21" s="10"/>
    </row>
    <row r="22" spans="1:40" ht="15.75" customHeight="1">
      <c r="A22" s="6" t="e">
        <f>IF(#REF!&gt;0,"X","")</f>
        <v>#REF!</v>
      </c>
      <c r="B22" s="7" t="s">
        <v>56</v>
      </c>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9"/>
      <c r="AN22" s="10"/>
    </row>
    <row r="23" spans="1:40" ht="15.75" hidden="1" customHeight="1">
      <c r="A23" s="3" t="s">
        <v>57</v>
      </c>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14"/>
      <c r="AN23" s="5"/>
    </row>
    <row r="24" spans="1:40" ht="15.75" hidden="1" customHeight="1">
      <c r="A24" s="6" t="str">
        <f>IF(AM24=1,"",IF(ROUND(SUM('F7'!$E$17:$F$17),2)&gt;0,"X",""))</f>
        <v>X</v>
      </c>
      <c r="B24" s="7" t="s">
        <v>58</v>
      </c>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9" t="str">
        <f t="shared" ref="AM24:AM26" si="0">IF(AND($C$70="", $C$71="", $C$72=""),"",1)</f>
        <v/>
      </c>
      <c r="AN24" s="10"/>
    </row>
    <row r="25" spans="1:40" ht="15.75" hidden="1" customHeight="1">
      <c r="A25" s="6" t="str">
        <f>IF(AM25=1,"",IF(ROUND(SUM('F8'!$E$80:$F$80),2)&gt;0,"X",""))</f>
        <v>X</v>
      </c>
      <c r="B25" s="7" t="s">
        <v>59</v>
      </c>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9" t="str">
        <f t="shared" si="0"/>
        <v/>
      </c>
      <c r="AN25" s="10"/>
    </row>
    <row r="26" spans="1:40" ht="15.75" hidden="1" customHeight="1">
      <c r="A26" s="6" t="str">
        <f>IF(AM26=1,"",IF(ROUND(SUM('F17'!$E$13:$F$13),2)&gt;0,"X",""))</f>
        <v>X</v>
      </c>
      <c r="B26" s="11" t="s">
        <v>60</v>
      </c>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9" t="str">
        <f t="shared" si="0"/>
        <v/>
      </c>
      <c r="AN26" s="13"/>
    </row>
    <row r="27" spans="1:40" ht="15.75" hidden="1" customHeight="1">
      <c r="A27" s="6" t="str">
        <f>IF(ROUND(SUM('F18'!$D$58:$E$58),2)&gt;0,"X","")</f>
        <v/>
      </c>
      <c r="B27" s="11" t="s">
        <v>61</v>
      </c>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5"/>
      <c r="AN27" s="13"/>
    </row>
    <row r="28" spans="1:40" ht="15.75" hidden="1" customHeight="1">
      <c r="A28" s="6" t="str">
        <f>IF(ROUND(SUM('F19'!$E$40:$F$40),2)&gt;0,"X","")</f>
        <v/>
      </c>
      <c r="B28" s="11" t="s">
        <v>62</v>
      </c>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5"/>
      <c r="AN28" s="13"/>
    </row>
    <row r="29" spans="1:40" ht="15.75" customHeight="1">
      <c r="A29" s="3" t="s">
        <v>63</v>
      </c>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14"/>
      <c r="AN29" s="5"/>
    </row>
    <row r="30" spans="1:40" ht="15.75" hidden="1" customHeight="1">
      <c r="A30" s="6" t="str">
        <f>IF(AM30=1,"",IF(ROUND(SUM($A$50:$L$52),2)&gt;0,IF(ROUND($M$50,2)=ROUND(($M$51+$M$52),2),IF(ROUND($A$50,2)=ROUND(($A$51+$A$52),2),"X",""),""),""))</f>
        <v>X</v>
      </c>
      <c r="B30" s="11" t="s">
        <v>64</v>
      </c>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9" t="str">
        <f>IF(AND($C$64="", $C$65="", $C$66="",$C$67="",$C$68="",$C$69="",$C$73="", $C$74="", $C$75="",$C$76=""),"",1)</f>
        <v/>
      </c>
      <c r="AN30" s="13"/>
    </row>
    <row r="31" spans="1:40" ht="15.75" customHeight="1">
      <c r="A31" s="6" t="e">
        <f>IF(AM31=1,"",IF(#REF!&gt;0,"X",""))</f>
        <v>#REF!</v>
      </c>
      <c r="B31" s="7" t="s">
        <v>65</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9" t="e">
        <f>IF(AND($C$64="", $C$65="", $C$66="",$C$67="",$C$68="",$C$69="",$C$107="", $C$108="", $C$109="",$C$110="",$C$111="",$C$112="",$C$113="",$C$114="",$C$115="", $C$116="", $C$117=""),"",1)</f>
        <v>#REF!</v>
      </c>
      <c r="AN31" s="10"/>
    </row>
    <row r="32" spans="1:40" ht="15.75" customHeight="1">
      <c r="A32" s="6" t="e">
        <f>IF(AM32=1,"",IF(#REF!&gt;0,"X",""))</f>
        <v>#REF!</v>
      </c>
      <c r="B32" s="7" t="s">
        <v>66</v>
      </c>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9" t="str">
        <f>IF(AND($C$64="", $C$65="", $C$66="",$C$67="",$C$68="",$C$69=""),"",1)</f>
        <v/>
      </c>
      <c r="AN32" s="10"/>
    </row>
    <row r="33" spans="1:40" ht="15.75" hidden="1" customHeight="1">
      <c r="A33" s="6" t="str">
        <f>IF(AM33=1,"",IF(ROUND(SUM('F22'!$F$10:$G$10),2)&gt;0,"X",""))</f>
        <v/>
      </c>
      <c r="B33" s="11" t="s">
        <v>67</v>
      </c>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9">
        <f>IF(AND($C$70="", $C$71="", $C$72="",$C$160="",$C$161="",$C$162="",$C$163="", $C$164="", $C$165=""),"",1)</f>
        <v>1</v>
      </c>
      <c r="AN33" s="13"/>
    </row>
    <row r="34" spans="1:40" ht="15.75" hidden="1" customHeight="1">
      <c r="A34" s="6" t="str">
        <f>IF(AM34=1,"",IF(ROUND(SUM(F7B!$E$64:$F$64),2)&gt;0,"X",""))</f>
        <v/>
      </c>
      <c r="B34" s="11" t="s">
        <v>68</v>
      </c>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9">
        <f>IF(AND($C$70="", $C$71="", $C$72="",$C$124="",$C$125="",$C$126="",$C$127="", $C$128="", $C$129="",$C$130="",$C$131=""),"",1)</f>
        <v>1</v>
      </c>
      <c r="AN34" s="13"/>
    </row>
    <row r="35" spans="1:40" ht="15.75" hidden="1" customHeight="1">
      <c r="A35" s="6" t="str">
        <f>IF(AM35=1,"",IF(ROUND(SUM(F8B!$F$155:$G$155),2)&gt;0,"X",""))</f>
        <v/>
      </c>
      <c r="B35" s="11" t="s">
        <v>69</v>
      </c>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9">
        <f>IF(AND($C$70="", $C$71="", $C$72="",$C$132="",$C$133="",$C$134="",$C$135=""),"",1)</f>
        <v>1</v>
      </c>
      <c r="AN35" s="13"/>
    </row>
    <row r="36" spans="1:40" ht="15.75" hidden="1" customHeight="1">
      <c r="A36" s="6" t="str">
        <f>IF(AM36=1,"",IF(ROUND(SUM(F18A!$D$62:$E$62),2)&gt;0,"X",""))</f>
        <v/>
      </c>
      <c r="B36" s="11" t="s">
        <v>70</v>
      </c>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9">
        <f>IF(AND($C$148="", $C$149="", $C$150="",$C$151="",$C$152="",$C$153="",$C$154="", $C$155="", $C$156="",$C$157="",$C$158="",$C$159=""),"",1)</f>
        <v>1</v>
      </c>
      <c r="AN36" s="13"/>
    </row>
    <row r="37" spans="1:40" ht="15.75" hidden="1" customHeight="1">
      <c r="A37" s="6" t="str">
        <f>IF(AM37=1,"",IF(ROUND(SUM(F19A!$F$76:$G$76),2)&gt;0,"X",""))</f>
        <v/>
      </c>
      <c r="B37" s="11" t="s">
        <v>71</v>
      </c>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9">
        <f>IF(AND($C$136="", $C$137="", $C$138="",$C$139="",$C$140="",$C$141="",$C$142="", $C$143="", $C$144="",$C$145="",$C$146="",$C$147=""),"",1)</f>
        <v>1</v>
      </c>
      <c r="AN37" s="13"/>
    </row>
    <row r="38" spans="1:40" ht="15.75" hidden="1" customHeight="1">
      <c r="A38" s="6" t="str">
        <f>IF(ROUND(SUM('F21'!$F$32:$G$32),2)&gt;0,"X","")</f>
        <v/>
      </c>
      <c r="B38" s="12" t="s">
        <v>72</v>
      </c>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5"/>
      <c r="AN38" s="13"/>
    </row>
    <row r="39" spans="1:40" ht="15.75" customHeight="1">
      <c r="A39" s="3" t="s">
        <v>73</v>
      </c>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14"/>
      <c r="AN39" s="5"/>
    </row>
    <row r="40" spans="1:40" ht="15.75" hidden="1" customHeight="1">
      <c r="A40" s="6" t="str">
        <f>IF(AM40=1,"",IF(ROUND(SUM($A$50:$L$52),2)&gt;0,IF(ROUND(($M$50),2)=ROUND(($M$51+$M$52),2),IF(ROUND($A$50,2)=ROUND(($A$51+$A$52),2),"X",""),""),""))</f>
        <v>X</v>
      </c>
      <c r="B40" s="7" t="s">
        <v>74</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9" t="str">
        <f>IF(AND($C$64="", $C$65="", $C$66="",$C$67="",$C$68="",$C$69="",$C$73="", $C$74="", $C$75="",$C$76=""),"",1)</f>
        <v/>
      </c>
      <c r="AN40" s="10"/>
    </row>
    <row r="41" spans="1:40" ht="15.75" hidden="1" customHeight="1">
      <c r="A41" s="6" t="str">
        <f>IF(AM41=1,"",IF(ROUND(SUM($A$53:$L$54),2)&gt;0,IF(ROUND($M$53,2)&gt;0,"X",""),""))</f>
        <v>X</v>
      </c>
      <c r="B41" s="7" t="s">
        <v>75</v>
      </c>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9" t="str">
        <f>IF(AND($C$64="", $C$65="", $C$66="",$C$67="",$C$68="",$C$69=""),"",1)</f>
        <v/>
      </c>
      <c r="AN41" s="13"/>
    </row>
    <row r="42" spans="1:40" ht="15.75" hidden="1" customHeight="1">
      <c r="A42" s="6" t="str">
        <f>IF(AM42=1,"",IF(ROUND(SUM(F7A!$E$70:$F$70),2)&gt;0,"X",""))</f>
        <v>X</v>
      </c>
      <c r="B42" s="11" t="s">
        <v>76</v>
      </c>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9" t="str">
        <f>IF(AND($C$70="", $C$71="", $C$72=""),"",1)</f>
        <v/>
      </c>
      <c r="AN42" s="17"/>
    </row>
    <row r="43" spans="1:40" ht="15.75" customHeight="1">
      <c r="A43" s="6" t="e">
        <f>IF(#REF!&gt;0,"X","")</f>
        <v>#REF!</v>
      </c>
      <c r="B43" s="7" t="s">
        <v>77</v>
      </c>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9"/>
      <c r="AN43" s="10"/>
    </row>
    <row r="44" spans="1:40" ht="15.75" hidden="1" customHeight="1">
      <c r="A44" s="6" t="str">
        <f>IF('F23'!$A$9&gt;0,"X","")</f>
        <v/>
      </c>
      <c r="B44" s="7" t="s">
        <v>78</v>
      </c>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9"/>
      <c r="AN44" s="10"/>
    </row>
    <row r="45" spans="1:40" ht="15.75" hidden="1" customHeight="1">
      <c r="A45" s="3" t="s">
        <v>79</v>
      </c>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14"/>
      <c r="AN45" s="5"/>
    </row>
    <row r="46" spans="1:40" ht="15.75" hidden="1" customHeight="1">
      <c r="A46" s="6" t="str">
        <f>IF(AM46=1,"",IF(ROUND(SUM('F12'!$E$30:$F$30),2)&gt;0,"X",""))</f>
        <v>X</v>
      </c>
      <c r="B46" s="7" t="s">
        <v>80</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9" t="str">
        <f>IF(AND($C$70="", $C$71="",$C$72="",$C$118="",$C$119="",$C$120="", $C$121="", $C$122="",$C$123=""),"",1)</f>
        <v/>
      </c>
      <c r="AN46" s="10"/>
    </row>
    <row r="47" spans="1:40" ht="15.75" hidden="1" customHeight="1">
      <c r="A47" s="6" t="str">
        <f>IF(AM47=1,"",IF(ROUND(SUM('F13'!$AA$6:$AI$6),2)&gt;0,"X",""))</f>
        <v>X</v>
      </c>
      <c r="B47" s="7" t="s">
        <v>81</v>
      </c>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9" t="str">
        <f>IF(AND($C$70="", $C$71="", $C$72="",$C$166="",$C$167="",$C$168="",$C$169="", $C$170="", $C$171="",$C$172="",$C$173="",$C$174="",$C$175="",$C$176="",$C$177="", $C$178="", $C$179="",$C$180="",$C$181="",$C$182="",$C$183=""),"",1)</f>
        <v/>
      </c>
      <c r="AN47" s="10"/>
    </row>
    <row r="48" spans="1:40" ht="15.75" customHeight="1">
      <c r="A48" s="701" t="s">
        <v>82</v>
      </c>
      <c r="B48" s="698"/>
      <c r="C48" s="698"/>
      <c r="D48" s="698"/>
      <c r="E48" s="698"/>
      <c r="F48" s="698"/>
      <c r="G48" s="698"/>
      <c r="H48" s="698"/>
      <c r="I48" s="698"/>
      <c r="J48" s="698"/>
      <c r="K48" s="698"/>
      <c r="L48" s="698"/>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9"/>
    </row>
    <row r="49" spans="1:40" ht="15.75" customHeight="1">
      <c r="A49" s="702" t="str">
        <f>"EJERCICIO "&amp;F185</f>
        <v>EJERCICIO 2025</v>
      </c>
      <c r="B49" s="698"/>
      <c r="C49" s="698"/>
      <c r="D49" s="698"/>
      <c r="E49" s="698"/>
      <c r="F49" s="698"/>
      <c r="G49" s="698"/>
      <c r="H49" s="698"/>
      <c r="I49" s="698"/>
      <c r="J49" s="698"/>
      <c r="K49" s="698"/>
      <c r="L49" s="699"/>
      <c r="M49" s="702" t="str">
        <f>"EJERCICIO "&amp;F186</f>
        <v>EJERCICIO 2024</v>
      </c>
      <c r="N49" s="698"/>
      <c r="O49" s="698"/>
      <c r="P49" s="698"/>
      <c r="Q49" s="698"/>
      <c r="R49" s="698"/>
      <c r="S49" s="698"/>
      <c r="T49" s="698"/>
      <c r="U49" s="698"/>
      <c r="V49" s="698"/>
      <c r="W49" s="698"/>
      <c r="X49" s="699"/>
      <c r="Y49" s="705" t="s">
        <v>83</v>
      </c>
      <c r="Z49" s="698"/>
      <c r="AA49" s="698"/>
      <c r="AB49" s="698"/>
      <c r="AC49" s="698"/>
      <c r="AD49" s="698"/>
      <c r="AE49" s="698"/>
      <c r="AF49" s="698"/>
      <c r="AG49" s="698"/>
      <c r="AH49" s="698"/>
      <c r="AI49" s="698"/>
      <c r="AJ49" s="698"/>
      <c r="AK49" s="698"/>
      <c r="AL49" s="698"/>
      <c r="AM49" s="698"/>
      <c r="AN49" s="699"/>
    </row>
    <row r="50" spans="1:40" ht="15.75" customHeight="1">
      <c r="A50" s="700">
        <f>ROUND('F1'!AF106,2)</f>
        <v>17046041501.34</v>
      </c>
      <c r="B50" s="698"/>
      <c r="C50" s="698"/>
      <c r="D50" s="698"/>
      <c r="E50" s="698"/>
      <c r="F50" s="698"/>
      <c r="G50" s="698"/>
      <c r="H50" s="698"/>
      <c r="I50" s="698"/>
      <c r="J50" s="698"/>
      <c r="K50" s="698"/>
      <c r="L50" s="699"/>
      <c r="M50" s="700">
        <f>ROUND('F1'!AG106,2)</f>
        <v>13636481384.42</v>
      </c>
      <c r="N50" s="698"/>
      <c r="O50" s="698"/>
      <c r="P50" s="698"/>
      <c r="Q50" s="698"/>
      <c r="R50" s="698"/>
      <c r="S50" s="698"/>
      <c r="T50" s="698"/>
      <c r="U50" s="698"/>
      <c r="V50" s="698"/>
      <c r="W50" s="698"/>
      <c r="X50" s="699"/>
      <c r="Y50" s="704" t="s">
        <v>84</v>
      </c>
      <c r="Z50" s="698"/>
      <c r="AA50" s="698"/>
      <c r="AB50" s="698"/>
      <c r="AC50" s="698"/>
      <c r="AD50" s="698"/>
      <c r="AE50" s="698"/>
      <c r="AF50" s="698"/>
      <c r="AG50" s="698"/>
      <c r="AH50" s="698"/>
      <c r="AI50" s="698"/>
      <c r="AJ50" s="698"/>
      <c r="AK50" s="698"/>
      <c r="AL50" s="698"/>
      <c r="AM50" s="698"/>
      <c r="AN50" s="699"/>
    </row>
    <row r="51" spans="1:40" ht="15.75" customHeight="1">
      <c r="A51" s="700">
        <f>ROUND('F1'!BM80,2)</f>
        <v>1315283768.0699999</v>
      </c>
      <c r="B51" s="698"/>
      <c r="C51" s="698"/>
      <c r="D51" s="698"/>
      <c r="E51" s="698"/>
      <c r="F51" s="698"/>
      <c r="G51" s="698"/>
      <c r="H51" s="698"/>
      <c r="I51" s="698"/>
      <c r="J51" s="698"/>
      <c r="K51" s="698"/>
      <c r="L51" s="699"/>
      <c r="M51" s="700">
        <f>ROUND('F1'!BN80,2)</f>
        <v>2060758660.3499999</v>
      </c>
      <c r="N51" s="698"/>
      <c r="O51" s="698"/>
      <c r="P51" s="698"/>
      <c r="Q51" s="698"/>
      <c r="R51" s="698"/>
      <c r="S51" s="698"/>
      <c r="T51" s="698"/>
      <c r="U51" s="698"/>
      <c r="V51" s="698"/>
      <c r="W51" s="698"/>
      <c r="X51" s="699"/>
      <c r="Y51" s="704" t="s">
        <v>85</v>
      </c>
      <c r="Z51" s="698"/>
      <c r="AA51" s="698"/>
      <c r="AB51" s="698"/>
      <c r="AC51" s="698"/>
      <c r="AD51" s="698"/>
      <c r="AE51" s="698"/>
      <c r="AF51" s="698"/>
      <c r="AG51" s="698"/>
      <c r="AH51" s="698"/>
      <c r="AI51" s="698"/>
      <c r="AJ51" s="698"/>
      <c r="AK51" s="698"/>
      <c r="AL51" s="698"/>
      <c r="AM51" s="698"/>
      <c r="AN51" s="699"/>
    </row>
    <row r="52" spans="1:40" ht="15.75" customHeight="1">
      <c r="A52" s="700">
        <f>ROUND('F1'!BM105,2)</f>
        <v>15730757733.27</v>
      </c>
      <c r="B52" s="698"/>
      <c r="C52" s="698"/>
      <c r="D52" s="698"/>
      <c r="E52" s="698"/>
      <c r="F52" s="698"/>
      <c r="G52" s="698"/>
      <c r="H52" s="698"/>
      <c r="I52" s="698"/>
      <c r="J52" s="698"/>
      <c r="K52" s="698"/>
      <c r="L52" s="699"/>
      <c r="M52" s="700">
        <f>ROUND('F1'!BN105,2)</f>
        <v>11575722724.07</v>
      </c>
      <c r="N52" s="698"/>
      <c r="O52" s="698"/>
      <c r="P52" s="698"/>
      <c r="Q52" s="698"/>
      <c r="R52" s="698"/>
      <c r="S52" s="698"/>
      <c r="T52" s="698"/>
      <c r="U52" s="698"/>
      <c r="V52" s="698"/>
      <c r="W52" s="698"/>
      <c r="X52" s="699"/>
      <c r="Y52" s="704" t="s">
        <v>86</v>
      </c>
      <c r="Z52" s="698"/>
      <c r="AA52" s="698"/>
      <c r="AB52" s="698"/>
      <c r="AC52" s="698"/>
      <c r="AD52" s="698"/>
      <c r="AE52" s="698"/>
      <c r="AF52" s="698"/>
      <c r="AG52" s="698"/>
      <c r="AH52" s="698"/>
      <c r="AI52" s="698"/>
      <c r="AJ52" s="698"/>
      <c r="AK52" s="698"/>
      <c r="AL52" s="698"/>
      <c r="AM52" s="698"/>
      <c r="AN52" s="699"/>
    </row>
    <row r="53" spans="1:40" ht="15.75" customHeight="1">
      <c r="A53" s="700">
        <f>ROUND('F6'!AX184,2)</f>
        <v>9553280696.3799992</v>
      </c>
      <c r="B53" s="698"/>
      <c r="C53" s="698"/>
      <c r="D53" s="698"/>
      <c r="E53" s="698"/>
      <c r="F53" s="698"/>
      <c r="G53" s="698"/>
      <c r="H53" s="698"/>
      <c r="I53" s="698"/>
      <c r="J53" s="698"/>
      <c r="K53" s="698"/>
      <c r="L53" s="699"/>
      <c r="M53" s="700">
        <f>ROUND('F6'!AY184,2)</f>
        <v>11615920132.9</v>
      </c>
      <c r="N53" s="698"/>
      <c r="O53" s="698"/>
      <c r="P53" s="698"/>
      <c r="Q53" s="698"/>
      <c r="R53" s="698"/>
      <c r="S53" s="698"/>
      <c r="T53" s="698"/>
      <c r="U53" s="698"/>
      <c r="V53" s="698"/>
      <c r="W53" s="698"/>
      <c r="X53" s="699"/>
      <c r="Y53" s="704" t="s">
        <v>87</v>
      </c>
      <c r="Z53" s="698"/>
      <c r="AA53" s="698"/>
      <c r="AB53" s="698"/>
      <c r="AC53" s="698"/>
      <c r="AD53" s="698"/>
      <c r="AE53" s="698"/>
      <c r="AF53" s="698"/>
      <c r="AG53" s="698"/>
      <c r="AH53" s="698"/>
      <c r="AI53" s="698"/>
      <c r="AJ53" s="698"/>
      <c r="AK53" s="698"/>
      <c r="AL53" s="698"/>
      <c r="AM53" s="698"/>
      <c r="AN53" s="699"/>
    </row>
    <row r="54" spans="1:40" ht="15.75" customHeight="1">
      <c r="A54" s="700">
        <f>ROUND('F6'!AX539,2)</f>
        <v>5373865689.4099998</v>
      </c>
      <c r="B54" s="698"/>
      <c r="C54" s="698"/>
      <c r="D54" s="698"/>
      <c r="E54" s="698"/>
      <c r="F54" s="698"/>
      <c r="G54" s="698"/>
      <c r="H54" s="698"/>
      <c r="I54" s="698"/>
      <c r="J54" s="698"/>
      <c r="K54" s="698"/>
      <c r="L54" s="699"/>
      <c r="M54" s="700">
        <f>ROUND('F6'!AY539,2)</f>
        <v>9494770169.6599998</v>
      </c>
      <c r="N54" s="698"/>
      <c r="O54" s="698"/>
      <c r="P54" s="698"/>
      <c r="Q54" s="698"/>
      <c r="R54" s="698"/>
      <c r="S54" s="698"/>
      <c r="T54" s="698"/>
      <c r="U54" s="698"/>
      <c r="V54" s="698"/>
      <c r="W54" s="698"/>
      <c r="X54" s="699"/>
      <c r="Y54" s="704" t="s">
        <v>88</v>
      </c>
      <c r="Z54" s="698"/>
      <c r="AA54" s="698"/>
      <c r="AB54" s="698"/>
      <c r="AC54" s="698"/>
      <c r="AD54" s="698"/>
      <c r="AE54" s="698"/>
      <c r="AF54" s="698"/>
      <c r="AG54" s="698"/>
      <c r="AH54" s="698"/>
      <c r="AI54" s="698"/>
      <c r="AJ54" s="698"/>
      <c r="AK54" s="698"/>
      <c r="AL54" s="698"/>
      <c r="AM54" s="698"/>
      <c r="AN54" s="699"/>
    </row>
    <row r="55" spans="1:40" ht="15.75" customHeight="1">
      <c r="A55" s="700">
        <f>ROUND('F6'!AX540,2)</f>
        <v>4179415006.9699998</v>
      </c>
      <c r="B55" s="698"/>
      <c r="C55" s="698"/>
      <c r="D55" s="698"/>
      <c r="E55" s="698"/>
      <c r="F55" s="698"/>
      <c r="G55" s="698"/>
      <c r="H55" s="698"/>
      <c r="I55" s="698"/>
      <c r="J55" s="698"/>
      <c r="K55" s="698"/>
      <c r="L55" s="699"/>
      <c r="M55" s="700">
        <f>ROUND('F6'!AY540,2)</f>
        <v>2121149963.24</v>
      </c>
      <c r="N55" s="698"/>
      <c r="O55" s="698"/>
      <c r="P55" s="698"/>
      <c r="Q55" s="698"/>
      <c r="R55" s="698"/>
      <c r="S55" s="698"/>
      <c r="T55" s="698"/>
      <c r="U55" s="698"/>
      <c r="V55" s="698"/>
      <c r="W55" s="698"/>
      <c r="X55" s="699"/>
      <c r="Y55" s="704" t="s">
        <v>89</v>
      </c>
      <c r="Z55" s="698"/>
      <c r="AA55" s="698"/>
      <c r="AB55" s="698"/>
      <c r="AC55" s="698"/>
      <c r="AD55" s="698"/>
      <c r="AE55" s="698"/>
      <c r="AF55" s="698"/>
      <c r="AG55" s="698"/>
      <c r="AH55" s="698"/>
      <c r="AI55" s="698"/>
      <c r="AJ55" s="698"/>
      <c r="AK55" s="698"/>
      <c r="AL55" s="698"/>
      <c r="AM55" s="698"/>
      <c r="AN55" s="699"/>
    </row>
    <row r="56" spans="1:40" ht="15.75" customHeight="1">
      <c r="A56" s="702" t="s">
        <v>90</v>
      </c>
      <c r="B56" s="698"/>
      <c r="C56" s="698"/>
      <c r="D56" s="698"/>
      <c r="E56" s="698"/>
      <c r="F56" s="699"/>
      <c r="G56" s="702" t="s">
        <v>91</v>
      </c>
      <c r="H56" s="698"/>
      <c r="I56" s="698"/>
      <c r="J56" s="698"/>
      <c r="K56" s="698"/>
      <c r="L56" s="699"/>
      <c r="M56" s="702" t="s">
        <v>90</v>
      </c>
      <c r="N56" s="698"/>
      <c r="O56" s="698"/>
      <c r="P56" s="698"/>
      <c r="Q56" s="698"/>
      <c r="R56" s="699"/>
      <c r="S56" s="702" t="s">
        <v>91</v>
      </c>
      <c r="T56" s="698"/>
      <c r="U56" s="698"/>
      <c r="V56" s="698"/>
      <c r="W56" s="698"/>
      <c r="X56" s="699"/>
      <c r="Y56" s="705" t="s">
        <v>83</v>
      </c>
      <c r="Z56" s="698"/>
      <c r="AA56" s="698"/>
      <c r="AB56" s="698"/>
      <c r="AC56" s="698"/>
      <c r="AD56" s="698"/>
      <c r="AE56" s="698"/>
      <c r="AF56" s="698"/>
      <c r="AG56" s="698"/>
      <c r="AH56" s="698"/>
      <c r="AI56" s="698"/>
      <c r="AJ56" s="698"/>
      <c r="AK56" s="698"/>
      <c r="AL56" s="698"/>
      <c r="AM56" s="698"/>
      <c r="AN56" s="699"/>
    </row>
    <row r="57" spans="1:40" ht="15.75" customHeight="1">
      <c r="A57" s="700">
        <f>ROUND('F1'!BM23,2)</f>
        <v>43903019.170000002</v>
      </c>
      <c r="B57" s="698"/>
      <c r="C57" s="698"/>
      <c r="D57" s="698"/>
      <c r="E57" s="698"/>
      <c r="F57" s="699"/>
      <c r="G57" s="700" t="e">
        <f>ROUND(#REF!,2)</f>
        <v>#REF!</v>
      </c>
      <c r="H57" s="698"/>
      <c r="I57" s="698"/>
      <c r="J57" s="698"/>
      <c r="K57" s="698"/>
      <c r="L57" s="699"/>
      <c r="M57" s="706">
        <f>ROUND('F1'!BN23+'F1'!BN60,2)</f>
        <v>1077738973.26</v>
      </c>
      <c r="N57" s="707"/>
      <c r="O57" s="707"/>
      <c r="P57" s="707"/>
      <c r="Q57" s="707"/>
      <c r="R57" s="708"/>
      <c r="S57" s="703" t="e">
        <f>ROUND(#REF!,2)</f>
        <v>#REF!</v>
      </c>
      <c r="T57" s="698"/>
      <c r="U57" s="698"/>
      <c r="V57" s="698"/>
      <c r="W57" s="698"/>
      <c r="X57" s="699"/>
      <c r="Y57" s="704" t="s">
        <v>92</v>
      </c>
      <c r="Z57" s="698"/>
      <c r="AA57" s="698"/>
      <c r="AB57" s="698"/>
      <c r="AC57" s="698"/>
      <c r="AD57" s="698"/>
      <c r="AE57" s="698"/>
      <c r="AF57" s="698"/>
      <c r="AG57" s="698"/>
      <c r="AH57" s="698"/>
      <c r="AI57" s="698"/>
      <c r="AJ57" s="698"/>
      <c r="AK57" s="698"/>
      <c r="AL57" s="698"/>
      <c r="AM57" s="698"/>
      <c r="AN57" s="699"/>
    </row>
    <row r="58" spans="1:40" ht="15.75" customHeight="1">
      <c r="A58" s="700">
        <f>ROUND('F1'!BM60,2)</f>
        <v>963679405.22000003</v>
      </c>
      <c r="B58" s="698"/>
      <c r="C58" s="698"/>
      <c r="D58" s="698"/>
      <c r="E58" s="698"/>
      <c r="F58" s="699"/>
      <c r="G58" s="700" t="e">
        <f>ROUND(#REF!,2)</f>
        <v>#REF!</v>
      </c>
      <c r="H58" s="698"/>
      <c r="I58" s="698"/>
      <c r="J58" s="698"/>
      <c r="K58" s="698"/>
      <c r="L58" s="699"/>
      <c r="M58" s="709"/>
      <c r="N58" s="710"/>
      <c r="O58" s="710"/>
      <c r="P58" s="710"/>
      <c r="Q58" s="710"/>
      <c r="R58" s="711"/>
      <c r="S58" s="703" t="e">
        <f>ROUND(#REF!,2)</f>
        <v>#REF!</v>
      </c>
      <c r="T58" s="698"/>
      <c r="U58" s="698"/>
      <c r="V58" s="698"/>
      <c r="W58" s="698"/>
      <c r="X58" s="699"/>
      <c r="Y58" s="704" t="s">
        <v>93</v>
      </c>
      <c r="Z58" s="698"/>
      <c r="AA58" s="698"/>
      <c r="AB58" s="698"/>
      <c r="AC58" s="698"/>
      <c r="AD58" s="698"/>
      <c r="AE58" s="698"/>
      <c r="AF58" s="698"/>
      <c r="AG58" s="698"/>
      <c r="AH58" s="698"/>
      <c r="AI58" s="698"/>
      <c r="AJ58" s="698"/>
      <c r="AK58" s="698"/>
      <c r="AL58" s="698"/>
      <c r="AM58" s="698"/>
      <c r="AN58" s="699"/>
    </row>
    <row r="59" spans="1:40" ht="15.75" customHeight="1">
      <c r="A59" s="700">
        <f>ROUND('F1'!BM27,2)</f>
        <v>100000000</v>
      </c>
      <c r="B59" s="698"/>
      <c r="C59" s="698"/>
      <c r="D59" s="698"/>
      <c r="E59" s="698"/>
      <c r="F59" s="699"/>
      <c r="G59" s="700" t="e">
        <f>ROUND(#REF!,2)</f>
        <v>#REF!</v>
      </c>
      <c r="H59" s="698"/>
      <c r="I59" s="698"/>
      <c r="J59" s="698"/>
      <c r="K59" s="698"/>
      <c r="L59" s="699"/>
      <c r="M59" s="706">
        <f>ROUND('F1'!BN27+'F1'!BN58,2)</f>
        <v>300000000</v>
      </c>
      <c r="N59" s="707"/>
      <c r="O59" s="707"/>
      <c r="P59" s="707"/>
      <c r="Q59" s="707"/>
      <c r="R59" s="708"/>
      <c r="S59" s="703" t="e">
        <f>ROUND(#REF!,2)</f>
        <v>#REF!</v>
      </c>
      <c r="T59" s="698"/>
      <c r="U59" s="698"/>
      <c r="V59" s="698"/>
      <c r="W59" s="698"/>
      <c r="X59" s="699"/>
      <c r="Y59" s="704" t="s">
        <v>94</v>
      </c>
      <c r="Z59" s="698"/>
      <c r="AA59" s="698"/>
      <c r="AB59" s="698"/>
      <c r="AC59" s="698"/>
      <c r="AD59" s="698"/>
      <c r="AE59" s="698"/>
      <c r="AF59" s="698"/>
      <c r="AG59" s="698"/>
      <c r="AH59" s="698"/>
      <c r="AI59" s="698"/>
      <c r="AJ59" s="698"/>
      <c r="AK59" s="698"/>
      <c r="AL59" s="698"/>
      <c r="AM59" s="698"/>
      <c r="AN59" s="699"/>
    </row>
    <row r="60" spans="1:40" ht="15.75" customHeight="1">
      <c r="A60" s="700">
        <f>ROUND('F1'!BM58,2)</f>
        <v>0</v>
      </c>
      <c r="B60" s="698"/>
      <c r="C60" s="698"/>
      <c r="D60" s="698"/>
      <c r="E60" s="698"/>
      <c r="F60" s="699"/>
      <c r="G60" s="700" t="e">
        <f>ROUND(#REF!,2)</f>
        <v>#REF!</v>
      </c>
      <c r="H60" s="698"/>
      <c r="I60" s="698"/>
      <c r="J60" s="698"/>
      <c r="K60" s="698"/>
      <c r="L60" s="699"/>
      <c r="M60" s="709"/>
      <c r="N60" s="710"/>
      <c r="O60" s="710"/>
      <c r="P60" s="710"/>
      <c r="Q60" s="710"/>
      <c r="R60" s="711"/>
      <c r="S60" s="703" t="e">
        <f>ROUND(#REF!,2)</f>
        <v>#REF!</v>
      </c>
      <c r="T60" s="698"/>
      <c r="U60" s="698"/>
      <c r="V60" s="698"/>
      <c r="W60" s="698"/>
      <c r="X60" s="699"/>
      <c r="Y60" s="704" t="s">
        <v>95</v>
      </c>
      <c r="Z60" s="698"/>
      <c r="AA60" s="698"/>
      <c r="AB60" s="698"/>
      <c r="AC60" s="698"/>
      <c r="AD60" s="698"/>
      <c r="AE60" s="698"/>
      <c r="AF60" s="698"/>
      <c r="AG60" s="698"/>
      <c r="AH60" s="698"/>
      <c r="AI60" s="698"/>
      <c r="AJ60" s="698"/>
      <c r="AK60" s="698"/>
      <c r="AL60" s="698"/>
      <c r="AM60" s="698"/>
      <c r="AN60" s="699"/>
    </row>
    <row r="61" spans="1:40" ht="15.75" customHeight="1">
      <c r="A61" s="700">
        <f>ROUND('F1'!BM25,2)</f>
        <v>0</v>
      </c>
      <c r="B61" s="698"/>
      <c r="C61" s="698"/>
      <c r="D61" s="698"/>
      <c r="E61" s="698"/>
      <c r="F61" s="699"/>
      <c r="G61" s="700" t="e">
        <f>ROUND(#REF!,2)</f>
        <v>#REF!</v>
      </c>
      <c r="H61" s="698"/>
      <c r="I61" s="698"/>
      <c r="J61" s="698"/>
      <c r="K61" s="698"/>
      <c r="L61" s="699"/>
      <c r="M61" s="706">
        <f>ROUND('F1'!BN25+'F1'!BN62,2)</f>
        <v>0</v>
      </c>
      <c r="N61" s="707"/>
      <c r="O61" s="707"/>
      <c r="P61" s="707"/>
      <c r="Q61" s="707"/>
      <c r="R61" s="708"/>
      <c r="S61" s="703" t="e">
        <f>ROUND(#REF!,2)</f>
        <v>#REF!</v>
      </c>
      <c r="T61" s="698"/>
      <c r="U61" s="698"/>
      <c r="V61" s="698"/>
      <c r="W61" s="698"/>
      <c r="X61" s="699"/>
      <c r="Y61" s="704" t="s">
        <v>96</v>
      </c>
      <c r="Z61" s="698"/>
      <c r="AA61" s="698"/>
      <c r="AB61" s="698"/>
      <c r="AC61" s="698"/>
      <c r="AD61" s="698"/>
      <c r="AE61" s="698"/>
      <c r="AF61" s="698"/>
      <c r="AG61" s="698"/>
      <c r="AH61" s="698"/>
      <c r="AI61" s="698"/>
      <c r="AJ61" s="698"/>
      <c r="AK61" s="698"/>
      <c r="AL61" s="698"/>
      <c r="AM61" s="698"/>
      <c r="AN61" s="699"/>
    </row>
    <row r="62" spans="1:40" ht="15.75" customHeight="1">
      <c r="A62" s="700">
        <f>ROUND('F1'!BM62,2)</f>
        <v>0</v>
      </c>
      <c r="B62" s="698"/>
      <c r="C62" s="698"/>
      <c r="D62" s="698"/>
      <c r="E62" s="698"/>
      <c r="F62" s="699"/>
      <c r="G62" s="700" t="e">
        <f>ROUND(#REF!,2)</f>
        <v>#REF!</v>
      </c>
      <c r="H62" s="698"/>
      <c r="I62" s="698"/>
      <c r="J62" s="698"/>
      <c r="K62" s="698"/>
      <c r="L62" s="699"/>
      <c r="M62" s="709"/>
      <c r="N62" s="710"/>
      <c r="O62" s="710"/>
      <c r="P62" s="710"/>
      <c r="Q62" s="710"/>
      <c r="R62" s="711"/>
      <c r="S62" s="703" t="e">
        <f>ROUND(#REF!,2)</f>
        <v>#REF!</v>
      </c>
      <c r="T62" s="698"/>
      <c r="U62" s="698"/>
      <c r="V62" s="698"/>
      <c r="W62" s="698"/>
      <c r="X62" s="699"/>
      <c r="Y62" s="704" t="s">
        <v>97</v>
      </c>
      <c r="Z62" s="698"/>
      <c r="AA62" s="698"/>
      <c r="AB62" s="698"/>
      <c r="AC62" s="698"/>
      <c r="AD62" s="698"/>
      <c r="AE62" s="698"/>
      <c r="AF62" s="698"/>
      <c r="AG62" s="698"/>
      <c r="AH62" s="698"/>
      <c r="AI62" s="698"/>
      <c r="AJ62" s="698"/>
      <c r="AK62" s="698"/>
      <c r="AL62" s="698"/>
      <c r="AM62" s="698"/>
      <c r="AN62" s="699"/>
    </row>
    <row r="63" spans="1:40" ht="15.75" customHeight="1">
      <c r="A63" s="701" t="s">
        <v>98</v>
      </c>
      <c r="B63" s="698"/>
      <c r="C63" s="698"/>
      <c r="D63" s="698"/>
      <c r="E63" s="698"/>
      <c r="F63" s="698"/>
      <c r="G63" s="698"/>
      <c r="H63" s="698"/>
      <c r="I63" s="698"/>
      <c r="J63" s="698"/>
      <c r="K63" s="698"/>
      <c r="L63" s="698"/>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9"/>
    </row>
    <row r="64" spans="1:40" ht="45" customHeight="1">
      <c r="A64" s="712" t="s">
        <v>99</v>
      </c>
      <c r="B64" s="708"/>
      <c r="C64" s="697" t="str">
        <f>IF(ROUND(Balanza!$C$754,2)=ROUND(Balanza!$D$754,2),"","1.1. BALANZA DE COMPROBACIÓN (contable) descuadrada en el SALDO INICIAL.")</f>
        <v/>
      </c>
      <c r="D64" s="698"/>
      <c r="E64" s="698"/>
      <c r="F64" s="698"/>
      <c r="G64" s="698"/>
      <c r="H64" s="698"/>
      <c r="I64" s="698"/>
      <c r="J64" s="698"/>
      <c r="K64" s="698"/>
      <c r="L64" s="698"/>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9"/>
    </row>
    <row r="65" spans="1:40" ht="45" customHeight="1">
      <c r="A65" s="713"/>
      <c r="B65" s="714"/>
      <c r="C65" s="697" t="str">
        <f>IF(ROUND(Balanza!$E$754,2)=ROUND(Balanza!$F$754,2),"","1.2. BALANZA DE COMPROBACIÓN (contable) descuadrada en los MOVIMIENTOS DE CARGO y ABONO.")</f>
        <v/>
      </c>
      <c r="D65" s="698"/>
      <c r="E65" s="698"/>
      <c r="F65" s="698"/>
      <c r="G65" s="698"/>
      <c r="H65" s="698"/>
      <c r="I65" s="698"/>
      <c r="J65" s="698"/>
      <c r="K65" s="698"/>
      <c r="L65" s="698"/>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9"/>
    </row>
    <row r="66" spans="1:40" ht="45" customHeight="1">
      <c r="A66" s="709"/>
      <c r="B66" s="711"/>
      <c r="C66" s="697" t="str">
        <f>IF(ROUND(Balanza!$G$754,2)=ROUND(Balanza!$H$754,2),"","1.3. BALANZA DE COMPROBACIÓN (contable) descuadrada en el SALDO FINAL.")</f>
        <v/>
      </c>
      <c r="D66" s="698"/>
      <c r="E66" s="698"/>
      <c r="F66" s="698"/>
      <c r="G66" s="698"/>
      <c r="H66" s="698"/>
      <c r="I66" s="698"/>
      <c r="J66" s="698"/>
      <c r="K66" s="698"/>
      <c r="L66" s="698"/>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9"/>
    </row>
    <row r="67" spans="1:40" ht="45" customHeight="1">
      <c r="A67" s="712" t="s">
        <v>100</v>
      </c>
      <c r="B67" s="708"/>
      <c r="C67" s="697" t="str">
        <f>IF(ROUND(Balanza!$C$793,2)=ROUND(Balanza!$D$793,2),"","2.1. BALANZA DE COMPROBACIÓN (cuentas de orden) descuadrada en el SALDO INICIAL.")</f>
        <v/>
      </c>
      <c r="D67" s="698"/>
      <c r="E67" s="698"/>
      <c r="F67" s="698"/>
      <c r="G67" s="698"/>
      <c r="H67" s="698"/>
      <c r="I67" s="698"/>
      <c r="J67" s="698"/>
      <c r="K67" s="698"/>
      <c r="L67" s="698"/>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9"/>
    </row>
    <row r="68" spans="1:40" ht="45" customHeight="1">
      <c r="A68" s="713"/>
      <c r="B68" s="714"/>
      <c r="C68" s="697" t="str">
        <f>IF(ROUND(Balanza!$E$793,2)=ROUND(Balanza!$F$793,2),"","2.2. BALANZA DE COMPROBACIÓN (cuentas de orden) descuadrada en los MOVIMIENTOS DE CARGO y ABONO.")</f>
        <v/>
      </c>
      <c r="D68" s="698"/>
      <c r="E68" s="698"/>
      <c r="F68" s="698"/>
      <c r="G68" s="698"/>
      <c r="H68" s="698"/>
      <c r="I68" s="698"/>
      <c r="J68" s="698"/>
      <c r="K68" s="698"/>
      <c r="L68" s="698"/>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9"/>
    </row>
    <row r="69" spans="1:40" ht="45" customHeight="1">
      <c r="A69" s="709"/>
      <c r="B69" s="711"/>
      <c r="C69" s="697" t="str">
        <f>IF(ROUND(Balanza!$G$793,2)=ROUND(Balanza!$H$793,2),"","2.3. BALANZA DE COMPRBACIÓN (cuentas de orden) descuadrada en el SALDO FINAL.")</f>
        <v/>
      </c>
      <c r="D69" s="698"/>
      <c r="E69" s="698"/>
      <c r="F69" s="698"/>
      <c r="G69" s="698"/>
      <c r="H69" s="698"/>
      <c r="I69" s="698"/>
      <c r="J69" s="698"/>
      <c r="K69" s="698"/>
      <c r="L69" s="698"/>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9"/>
    </row>
    <row r="70" spans="1:40" ht="45" hidden="1" customHeight="1">
      <c r="A70" s="712" t="s">
        <v>101</v>
      </c>
      <c r="B70" s="708"/>
      <c r="C70" s="697" t="str">
        <f>IF(ROUND(Balanza!$C$2223,2)=ROUND(Balanza!$D$2223,2),"","3.1. BALANZA DE COMPROBACIÓN (cuentas de orden presupuestal) descuadrada en el SALDO INICIAL.")</f>
        <v/>
      </c>
      <c r="D70" s="698"/>
      <c r="E70" s="698"/>
      <c r="F70" s="698"/>
      <c r="G70" s="698"/>
      <c r="H70" s="698"/>
      <c r="I70" s="698"/>
      <c r="J70" s="698"/>
      <c r="K70" s="698"/>
      <c r="L70" s="698"/>
      <c r="M70" s="698"/>
      <c r="N70" s="698"/>
      <c r="O70" s="698"/>
      <c r="P70" s="698"/>
      <c r="Q70" s="698"/>
      <c r="R70" s="698"/>
      <c r="S70" s="698"/>
      <c r="T70" s="698"/>
      <c r="U70" s="698"/>
      <c r="V70" s="698"/>
      <c r="W70" s="698"/>
      <c r="X70" s="698"/>
      <c r="Y70" s="698"/>
      <c r="Z70" s="698"/>
      <c r="AA70" s="698"/>
      <c r="AB70" s="698"/>
      <c r="AC70" s="698"/>
      <c r="AD70" s="698"/>
      <c r="AE70" s="698"/>
      <c r="AF70" s="698"/>
      <c r="AG70" s="698"/>
      <c r="AH70" s="698"/>
      <c r="AI70" s="698"/>
      <c r="AJ70" s="698"/>
      <c r="AK70" s="698"/>
      <c r="AL70" s="698"/>
      <c r="AM70" s="698"/>
      <c r="AN70" s="699"/>
    </row>
    <row r="71" spans="1:40" ht="45" hidden="1" customHeight="1">
      <c r="A71" s="713"/>
      <c r="B71" s="714"/>
      <c r="C71" s="697" t="str">
        <f>IF(ROUND(Balanza!$E$2223,2)=ROUND(Balanza!$F$2223,2),"","3.2. BALANZA DE COMPROBACIÓN (cuentas de orden presupuestal) descuadrada en los MOVIMIENTOS DE CARGO y ABONO.")</f>
        <v/>
      </c>
      <c r="D71" s="698"/>
      <c r="E71" s="698"/>
      <c r="F71" s="698"/>
      <c r="G71" s="698"/>
      <c r="H71" s="698"/>
      <c r="I71" s="698"/>
      <c r="J71" s="698"/>
      <c r="K71" s="698"/>
      <c r="L71" s="698"/>
      <c r="M71" s="698"/>
      <c r="N71" s="698"/>
      <c r="O71" s="698"/>
      <c r="P71" s="698"/>
      <c r="Q71" s="698"/>
      <c r="R71" s="698"/>
      <c r="S71" s="698"/>
      <c r="T71" s="698"/>
      <c r="U71" s="698"/>
      <c r="V71" s="698"/>
      <c r="W71" s="698"/>
      <c r="X71" s="698"/>
      <c r="Y71" s="698"/>
      <c r="Z71" s="698"/>
      <c r="AA71" s="698"/>
      <c r="AB71" s="698"/>
      <c r="AC71" s="698"/>
      <c r="AD71" s="698"/>
      <c r="AE71" s="698"/>
      <c r="AF71" s="698"/>
      <c r="AG71" s="698"/>
      <c r="AH71" s="698"/>
      <c r="AI71" s="698"/>
      <c r="AJ71" s="698"/>
      <c r="AK71" s="698"/>
      <c r="AL71" s="698"/>
      <c r="AM71" s="698"/>
      <c r="AN71" s="699"/>
    </row>
    <row r="72" spans="1:40" ht="45" hidden="1" customHeight="1">
      <c r="A72" s="709"/>
      <c r="B72" s="711"/>
      <c r="C72" s="697" t="str">
        <f>IF(ROUND(Balanza!$G$2223,2)=ROUND(Balanza!$H$2223,2),"","3.3. BALANZA DE COMPROBACIÓN (cuentas de orden presupuestal) descuadrada en el SALDO FINAL.")</f>
        <v/>
      </c>
      <c r="D72" s="698"/>
      <c r="E72" s="698"/>
      <c r="F72" s="698"/>
      <c r="G72" s="698"/>
      <c r="H72" s="698"/>
      <c r="I72" s="698"/>
      <c r="J72" s="698"/>
      <c r="K72" s="698"/>
      <c r="L72" s="698"/>
      <c r="M72" s="698"/>
      <c r="N72" s="698"/>
      <c r="O72" s="698"/>
      <c r="P72" s="698"/>
      <c r="Q72" s="698"/>
      <c r="R72" s="698"/>
      <c r="S72" s="698"/>
      <c r="T72" s="698"/>
      <c r="U72" s="698"/>
      <c r="V72" s="698"/>
      <c r="W72" s="698"/>
      <c r="X72" s="698"/>
      <c r="Y72" s="698"/>
      <c r="Z72" s="698"/>
      <c r="AA72" s="698"/>
      <c r="AB72" s="698"/>
      <c r="AC72" s="698"/>
      <c r="AD72" s="698"/>
      <c r="AE72" s="698"/>
      <c r="AF72" s="698"/>
      <c r="AG72" s="698"/>
      <c r="AH72" s="698"/>
      <c r="AI72" s="698"/>
      <c r="AJ72" s="698"/>
      <c r="AK72" s="698"/>
      <c r="AL72" s="698"/>
      <c r="AM72" s="698"/>
      <c r="AN72" s="699"/>
    </row>
    <row r="73" spans="1:40" ht="45" customHeight="1">
      <c r="A73" s="712" t="s">
        <v>102</v>
      </c>
      <c r="B73" s="708"/>
      <c r="C73" s="697" t="str">
        <f>IF(ROUND($M$50,2)=ROUND(($M$51+$M$52),2),"","4.1. En el ESTADO DE SITUACIÓN FINANCIERA (FI, F1A, F1LDF) columna ejercicio "&amp;F186&amp;", no es igual el TOTAL DEL ACTIVO y el TOTAL DEL PASIVO MÁS LA HACIENDA PÚBLICA/PATRIMONIO.")</f>
        <v/>
      </c>
      <c r="D73" s="698"/>
      <c r="E73" s="698"/>
      <c r="F73" s="698"/>
      <c r="G73" s="698"/>
      <c r="H73" s="698"/>
      <c r="I73" s="698"/>
      <c r="J73" s="698"/>
      <c r="K73" s="698"/>
      <c r="L73" s="698"/>
      <c r="M73" s="698"/>
      <c r="N73" s="698"/>
      <c r="O73" s="698"/>
      <c r="P73" s="698"/>
      <c r="Q73" s="698"/>
      <c r="R73" s="698"/>
      <c r="S73" s="698"/>
      <c r="T73" s="698"/>
      <c r="U73" s="698"/>
      <c r="V73" s="698"/>
      <c r="W73" s="698"/>
      <c r="X73" s="698"/>
      <c r="Y73" s="698"/>
      <c r="Z73" s="698"/>
      <c r="AA73" s="698"/>
      <c r="AB73" s="698"/>
      <c r="AC73" s="698"/>
      <c r="AD73" s="698"/>
      <c r="AE73" s="698"/>
      <c r="AF73" s="698"/>
      <c r="AG73" s="698"/>
      <c r="AH73" s="698"/>
      <c r="AI73" s="698"/>
      <c r="AJ73" s="698"/>
      <c r="AK73" s="698"/>
      <c r="AL73" s="698"/>
      <c r="AM73" s="698"/>
      <c r="AN73" s="699"/>
    </row>
    <row r="74" spans="1:40" ht="45" customHeight="1">
      <c r="A74" s="713"/>
      <c r="B74" s="714"/>
      <c r="C74" s="697" t="str">
        <f>IF(ROUND($A$50,2)=ROUND(($A$51+$A$52),2),"","4.2. En el ESTADO DE SITUACIÓN FINANCIERA (F1, F1A, F1LDF) columna ejercicio "&amp;F185&amp;", no es igual el TOTAL DEL ACTIVO y el TOTAL DEL PASIVO MÁS LA HACIENDA PÚBLICA/PATRIMONIO.")</f>
        <v/>
      </c>
      <c r="D74" s="698"/>
      <c r="E74" s="698"/>
      <c r="F74" s="698"/>
      <c r="G74" s="698"/>
      <c r="H74" s="698"/>
      <c r="I74" s="698"/>
      <c r="J74" s="698"/>
      <c r="K74" s="698"/>
      <c r="L74" s="698"/>
      <c r="M74" s="698"/>
      <c r="N74" s="698"/>
      <c r="O74" s="698"/>
      <c r="P74" s="698"/>
      <c r="Q74" s="698"/>
      <c r="R74" s="698"/>
      <c r="S74" s="698"/>
      <c r="T74" s="698"/>
      <c r="U74" s="698"/>
      <c r="V74" s="698"/>
      <c r="W74" s="698"/>
      <c r="X74" s="698"/>
      <c r="Y74" s="698"/>
      <c r="Z74" s="698"/>
      <c r="AA74" s="698"/>
      <c r="AB74" s="698"/>
      <c r="AC74" s="698"/>
      <c r="AD74" s="698"/>
      <c r="AE74" s="698"/>
      <c r="AF74" s="698"/>
      <c r="AG74" s="698"/>
      <c r="AH74" s="698"/>
      <c r="AI74" s="698"/>
      <c r="AJ74" s="698"/>
      <c r="AK74" s="698"/>
      <c r="AL74" s="698"/>
      <c r="AM74" s="698"/>
      <c r="AN74" s="699"/>
    </row>
    <row r="75" spans="1:40" ht="45" customHeight="1">
      <c r="A75" s="713"/>
      <c r="B75" s="714"/>
      <c r="C75" s="697" t="str">
        <f>IF(ROUND('F6'!$AY$540,2)=ROUND('F1'!$BN$87,2),"","4.3. El RESULTADO DEL EJERCICIO (AHORRO/DESAHORRO) del ESTADO DE ACTIVIDADES (F6, F6A) no es igual al RESULTADO DEL EJERCICIO del ESTADO DE SITUACIÓN FINANCIERA (F1, F1A, F1LDF) ejercicio "&amp;F186&amp;".")</f>
        <v/>
      </c>
      <c r="D75" s="698"/>
      <c r="E75" s="698"/>
      <c r="F75" s="698"/>
      <c r="G75" s="698"/>
      <c r="H75" s="698"/>
      <c r="I75" s="698"/>
      <c r="J75" s="698"/>
      <c r="K75" s="698"/>
      <c r="L75" s="698"/>
      <c r="M75" s="698"/>
      <c r="N75" s="698"/>
      <c r="O75" s="698"/>
      <c r="P75" s="698"/>
      <c r="Q75" s="698"/>
      <c r="R75" s="698"/>
      <c r="S75" s="698"/>
      <c r="T75" s="698"/>
      <c r="U75" s="698"/>
      <c r="V75" s="698"/>
      <c r="W75" s="698"/>
      <c r="X75" s="698"/>
      <c r="Y75" s="698"/>
      <c r="Z75" s="698"/>
      <c r="AA75" s="698"/>
      <c r="AB75" s="698"/>
      <c r="AC75" s="698"/>
      <c r="AD75" s="698"/>
      <c r="AE75" s="698"/>
      <c r="AF75" s="698"/>
      <c r="AG75" s="698"/>
      <c r="AH75" s="698"/>
      <c r="AI75" s="698"/>
      <c r="AJ75" s="698"/>
      <c r="AK75" s="698"/>
      <c r="AL75" s="698"/>
      <c r="AM75" s="698"/>
      <c r="AN75" s="699"/>
    </row>
    <row r="76" spans="1:40" ht="45" customHeight="1">
      <c r="A76" s="709"/>
      <c r="B76" s="711"/>
      <c r="C76" s="697" t="str">
        <f>IF(ROUND('F6'!$AX$540,2)=ROUND('F1'!$BM$87,2),"","4.4. El RESULTADO DEL EJERCICIO (AHORRO/DESAHORRO) del ESTADO DE ACTIVIDADES (F6, F6A) no es igual al RESULTADO DEL EJERCICIO del ESTADO DE SITUACIÓN FINANCIERA (F1, F1A, F1LDF) ejercicio "&amp;F185&amp;".")</f>
        <v/>
      </c>
      <c r="D76" s="698"/>
      <c r="E76" s="698"/>
      <c r="F76" s="698"/>
      <c r="G76" s="698"/>
      <c r="H76" s="698"/>
      <c r="I76" s="698"/>
      <c r="J76" s="698"/>
      <c r="K76" s="698"/>
      <c r="L76" s="698"/>
      <c r="M76" s="698"/>
      <c r="N76" s="698"/>
      <c r="O76" s="698"/>
      <c r="P76" s="698"/>
      <c r="Q76" s="698"/>
      <c r="R76" s="698"/>
      <c r="S76" s="698"/>
      <c r="T76" s="698"/>
      <c r="U76" s="698"/>
      <c r="V76" s="698"/>
      <c r="W76" s="698"/>
      <c r="X76" s="698"/>
      <c r="Y76" s="698"/>
      <c r="Z76" s="698"/>
      <c r="AA76" s="698"/>
      <c r="AB76" s="698"/>
      <c r="AC76" s="698"/>
      <c r="AD76" s="698"/>
      <c r="AE76" s="698"/>
      <c r="AF76" s="698"/>
      <c r="AG76" s="698"/>
      <c r="AH76" s="698"/>
      <c r="AI76" s="698"/>
      <c r="AJ76" s="698"/>
      <c r="AK76" s="698"/>
      <c r="AL76" s="698"/>
      <c r="AM76" s="698"/>
      <c r="AN76" s="699"/>
    </row>
    <row r="77" spans="1:40" ht="45" hidden="1" customHeight="1">
      <c r="A77" s="712" t="s">
        <v>103</v>
      </c>
      <c r="B77" s="708"/>
      <c r="C77" s="697" t="e">
        <f>IF(ROUND('F2'!C6,2)=ROUND(#REF!,2),"","5.1. El saldo de la HACIENDA PÚBLICA/PATRIMONIO CONTRIBUIDO NETO de "&amp;F186&amp;" en el ESTADO DE VARIACIÓN EN LA HACIENDA PÚBLICA (F2), no es igual a la HACIENDA PÚBLICA/PATRIMONIO CONTRIBUIDO del ESTADO DE SITUACIÓN FINANCIERA (F1A) en la columna ejercicio "&amp;F186&amp;".")</f>
        <v>#REF!</v>
      </c>
      <c r="D77" s="698"/>
      <c r="E77" s="698"/>
      <c r="F77" s="698"/>
      <c r="G77" s="698"/>
      <c r="H77" s="698"/>
      <c r="I77" s="698"/>
      <c r="J77" s="698"/>
      <c r="K77" s="698"/>
      <c r="L77" s="698"/>
      <c r="M77" s="698"/>
      <c r="N77" s="698"/>
      <c r="O77" s="698"/>
      <c r="P77" s="698"/>
      <c r="Q77" s="698"/>
      <c r="R77" s="698"/>
      <c r="S77" s="698"/>
      <c r="T77" s="698"/>
      <c r="U77" s="698"/>
      <c r="V77" s="698"/>
      <c r="W77" s="698"/>
      <c r="X77" s="698"/>
      <c r="Y77" s="698"/>
      <c r="Z77" s="698"/>
      <c r="AA77" s="698"/>
      <c r="AB77" s="698"/>
      <c r="AC77" s="698"/>
      <c r="AD77" s="698"/>
      <c r="AE77" s="698"/>
      <c r="AF77" s="698"/>
      <c r="AG77" s="698"/>
      <c r="AH77" s="698"/>
      <c r="AI77" s="698"/>
      <c r="AJ77" s="698"/>
      <c r="AK77" s="698"/>
      <c r="AL77" s="698"/>
      <c r="AM77" s="698"/>
      <c r="AN77" s="699"/>
    </row>
    <row r="78" spans="1:40" ht="45" hidden="1" customHeight="1">
      <c r="A78" s="713"/>
      <c r="B78" s="714"/>
      <c r="C78" s="697" t="e">
        <f>IF(ROUND('F2'!G10,2)=ROUND(#REF!,2),"","5.2. El saldo de la HACIENDA PÚBLICA/PATRIMONIO GENERADO NETO del "&amp;F186&amp;" de la columna total en el ESTADO DE VARIACIÓN EN LA HACIENDA PÚBLICA (F2), no es igual a la HACIENDA PÚBLICA/PATRIMONIO GENERADO "&amp;"del ESTADO DE SITUACIÓN FINANCIERA (F1A) en la columna ejercicio "&amp;F186&amp;".")</f>
        <v>#REF!</v>
      </c>
      <c r="D78" s="698"/>
      <c r="E78" s="698"/>
      <c r="F78" s="698"/>
      <c r="G78" s="698"/>
      <c r="H78" s="698"/>
      <c r="I78" s="698"/>
      <c r="J78" s="698"/>
      <c r="K78" s="698"/>
      <c r="L78" s="698"/>
      <c r="M78" s="698"/>
      <c r="N78" s="698"/>
      <c r="O78" s="698"/>
      <c r="P78" s="698"/>
      <c r="Q78" s="698"/>
      <c r="R78" s="698"/>
      <c r="S78" s="698"/>
      <c r="T78" s="698"/>
      <c r="U78" s="698"/>
      <c r="V78" s="698"/>
      <c r="W78" s="698"/>
      <c r="X78" s="698"/>
      <c r="Y78" s="698"/>
      <c r="Z78" s="698"/>
      <c r="AA78" s="698"/>
      <c r="AB78" s="698"/>
      <c r="AC78" s="698"/>
      <c r="AD78" s="698"/>
      <c r="AE78" s="698"/>
      <c r="AF78" s="698"/>
      <c r="AG78" s="698"/>
      <c r="AH78" s="698"/>
      <c r="AI78" s="698"/>
      <c r="AJ78" s="698"/>
      <c r="AK78" s="698"/>
      <c r="AL78" s="698"/>
      <c r="AM78" s="698"/>
      <c r="AN78" s="699"/>
    </row>
    <row r="79" spans="1:40" ht="45" hidden="1" customHeight="1">
      <c r="A79" s="713"/>
      <c r="B79" s="714"/>
      <c r="C79" s="697" t="e">
        <f>IF(ROUND('F2'!G16,2)=ROUND(#REF!,2),"","5.3. El saldo del EXCESO O INSUFICIENCIA EN LA ACTUALIZACIÓN EN LA HACIENDA PÚBLICA/PATRIMONIO NETO de "&amp;F186&amp;" de la columna TOTAL en el ESTADO DE VARIACIÓN EN LA HACIENDA PÚBLICA (F2),"&amp;" no es igual al EXCESO O INSUFICIENCIA EN LA ACTUALIZACIÓN DE LA HACIENDA PÚBLICA/PATRIMONIO del ESTADO DE SITUACIÓN FINANCIERA (F1A) en la columna ejercicio "&amp;F186&amp;".")</f>
        <v>#REF!</v>
      </c>
      <c r="D79" s="698"/>
      <c r="E79" s="698"/>
      <c r="F79" s="698"/>
      <c r="G79" s="698"/>
      <c r="H79" s="698"/>
      <c r="I79" s="698"/>
      <c r="J79" s="698"/>
      <c r="K79" s="698"/>
      <c r="L79" s="698"/>
      <c r="M79" s="698"/>
      <c r="N79" s="698"/>
      <c r="O79" s="698"/>
      <c r="P79" s="698"/>
      <c r="Q79" s="698"/>
      <c r="R79" s="698"/>
      <c r="S79" s="698"/>
      <c r="T79" s="698"/>
      <c r="U79" s="698"/>
      <c r="V79" s="698"/>
      <c r="W79" s="698"/>
      <c r="X79" s="698"/>
      <c r="Y79" s="698"/>
      <c r="Z79" s="698"/>
      <c r="AA79" s="698"/>
      <c r="AB79" s="698"/>
      <c r="AC79" s="698"/>
      <c r="AD79" s="698"/>
      <c r="AE79" s="698"/>
      <c r="AF79" s="698"/>
      <c r="AG79" s="698"/>
      <c r="AH79" s="698"/>
      <c r="AI79" s="698"/>
      <c r="AJ79" s="698"/>
      <c r="AK79" s="698"/>
      <c r="AL79" s="698"/>
      <c r="AM79" s="698"/>
      <c r="AN79" s="699"/>
    </row>
    <row r="80" spans="1:40" ht="45" hidden="1" customHeight="1">
      <c r="A80" s="713"/>
      <c r="B80" s="714"/>
      <c r="C80" s="697" t="e">
        <f>IF(ROUND('F2'!G19,2)=ROUND(#REF!,2),"","5.4. El saldo de la HACIENDA PÚBLICA/PATRIMONIO NETO FINAL DE "&amp;F186&amp;" de la columna TOTAL en el ESTADO DE VARIACIÓN EN LA HACIENDA PÚBLICA (F2),"&amp;" no es igual al TOTAL DE LA HACIENDA PÚBLICA/PATRIMONIO del ESTADO DE SITUACIÓN FINANCIERA (F1A) en la columna ejercicio "&amp;F186&amp;".")</f>
        <v>#REF!</v>
      </c>
      <c r="D80" s="698"/>
      <c r="E80" s="698"/>
      <c r="F80" s="698"/>
      <c r="G80" s="698"/>
      <c r="H80" s="698"/>
      <c r="I80" s="698"/>
      <c r="J80" s="698"/>
      <c r="K80" s="698"/>
      <c r="L80" s="698"/>
      <c r="M80" s="698"/>
      <c r="N80" s="698"/>
      <c r="O80" s="698"/>
      <c r="P80" s="698"/>
      <c r="Q80" s="698"/>
      <c r="R80" s="698"/>
      <c r="S80" s="698"/>
      <c r="T80" s="698"/>
      <c r="U80" s="698"/>
      <c r="V80" s="698"/>
      <c r="W80" s="698"/>
      <c r="X80" s="698"/>
      <c r="Y80" s="698"/>
      <c r="Z80" s="698"/>
      <c r="AA80" s="698"/>
      <c r="AB80" s="698"/>
      <c r="AC80" s="698"/>
      <c r="AD80" s="698"/>
      <c r="AE80" s="698"/>
      <c r="AF80" s="698"/>
      <c r="AG80" s="698"/>
      <c r="AH80" s="698"/>
      <c r="AI80" s="698"/>
      <c r="AJ80" s="698"/>
      <c r="AK80" s="698"/>
      <c r="AL80" s="698"/>
      <c r="AM80" s="698"/>
      <c r="AN80" s="699"/>
    </row>
    <row r="81" spans="1:40" ht="45" hidden="1" customHeight="1">
      <c r="A81" s="715"/>
      <c r="B81" s="716"/>
      <c r="C81" s="697" t="e">
        <f>IF(ROUND('F2'!G33,2)=ROUND(#REF!,2),"","5.5. El saldo de la HACIENDA PÚBLICA/PATRIMONIO NETO FINAL DE "&amp;F185&amp;" de la columna TOTAL en el ESTADO DE VARIACIÓN EN LA HACIENDA PÚBLICA (F2),"&amp;" no es igual al TOTAL DE LA HACIENDA PÚBLICA/PATRIMONIO del ESTADO DE SITUACIÓN FINANCIERA (F1A) en la columna ejercicio "&amp;F185&amp;".")</f>
        <v>#REF!</v>
      </c>
      <c r="D81" s="698"/>
      <c r="E81" s="698"/>
      <c r="F81" s="698"/>
      <c r="G81" s="698"/>
      <c r="H81" s="698"/>
      <c r="I81" s="698"/>
      <c r="J81" s="698"/>
      <c r="K81" s="698"/>
      <c r="L81" s="698"/>
      <c r="M81" s="698"/>
      <c r="N81" s="698"/>
      <c r="O81" s="698"/>
      <c r="P81" s="698"/>
      <c r="Q81" s="698"/>
      <c r="R81" s="698"/>
      <c r="S81" s="698"/>
      <c r="T81" s="698"/>
      <c r="U81" s="698"/>
      <c r="V81" s="698"/>
      <c r="W81" s="698"/>
      <c r="X81" s="698"/>
      <c r="Y81" s="698"/>
      <c r="Z81" s="698"/>
      <c r="AA81" s="698"/>
      <c r="AB81" s="698"/>
      <c r="AC81" s="698"/>
      <c r="AD81" s="698"/>
      <c r="AE81" s="698"/>
      <c r="AF81" s="698"/>
      <c r="AG81" s="698"/>
      <c r="AH81" s="698"/>
      <c r="AI81" s="698"/>
      <c r="AJ81" s="698"/>
      <c r="AK81" s="698"/>
      <c r="AL81" s="698"/>
      <c r="AM81" s="698"/>
      <c r="AN81" s="699"/>
    </row>
    <row r="82" spans="1:40" ht="45" hidden="1" customHeight="1">
      <c r="A82" s="712" t="s">
        <v>104</v>
      </c>
      <c r="B82" s="708"/>
      <c r="C82" s="697" t="str">
        <f>IF(ROUND(F4A1!C18,2)=ROUND(F6A!AX24,2),"","6A.1. El TOTAL DE INGRESO CONTABLES de la CONCILIACIÓN ENTRE LOS INGRESOS PRESUPUESTAL Y CONTABLE (F4A1),"&amp;" no es igual al TOTAL DE INGRESOS del ESTADO DE ACTIVIDADES (F6A) en la columna ejercicio "&amp;F185&amp;".")</f>
        <v>6A.1. El TOTAL DE INGRESO CONTABLES de la CONCILIACIÓN ENTRE LOS INGRESOS PRESUPUESTAL Y CONTABLE (F4A1), no es igual al TOTAL DE INGRESOS del ESTADO DE ACTIVIDADES (F6A) en la columna ejercicio 2025.</v>
      </c>
      <c r="D82" s="698"/>
      <c r="E82" s="698"/>
      <c r="F82" s="698"/>
      <c r="G82" s="698"/>
      <c r="H82" s="698"/>
      <c r="I82" s="698"/>
      <c r="J82" s="698"/>
      <c r="K82" s="698"/>
      <c r="L82" s="698"/>
      <c r="M82" s="698"/>
      <c r="N82" s="698"/>
      <c r="O82" s="698"/>
      <c r="P82" s="698"/>
      <c r="Q82" s="698"/>
      <c r="R82" s="698"/>
      <c r="S82" s="698"/>
      <c r="T82" s="698"/>
      <c r="U82" s="698"/>
      <c r="V82" s="698"/>
      <c r="W82" s="698"/>
      <c r="X82" s="698"/>
      <c r="Y82" s="698"/>
      <c r="Z82" s="698"/>
      <c r="AA82" s="698"/>
      <c r="AB82" s="698"/>
      <c r="AC82" s="698"/>
      <c r="AD82" s="698"/>
      <c r="AE82" s="698"/>
      <c r="AF82" s="698"/>
      <c r="AG82" s="698"/>
      <c r="AH82" s="698"/>
      <c r="AI82" s="698"/>
      <c r="AJ82" s="698"/>
      <c r="AK82" s="698"/>
      <c r="AL82" s="698"/>
      <c r="AM82" s="698"/>
      <c r="AN82" s="699"/>
    </row>
    <row r="83" spans="1:40" ht="45" hidden="1" customHeight="1">
      <c r="A83" s="713"/>
      <c r="B83" s="714"/>
      <c r="C83" s="697" t="str">
        <f>IF(ROUND('F7'!$F$7,2)=ROUND(F6A!$AX$8,2),"","6A.2. El total de IMPUESTOS en su momento devengado del ESTADO ANALÍTICO DE INGRESOS (F7),"&amp;" no es igual a los IMPUESTOS del ESTADO DE ACTIVIDADES (F6A) en la columna ejercicio "&amp;F185&amp;".")</f>
        <v>6A.2. El total de IMPUESTOS en su momento devengado del ESTADO ANALÍTICO DE INGRESOS (F7), no es igual a los IMPUESTOS del ESTADO DE ACTIVIDADES (F6A) en la columna ejercicio 2025.</v>
      </c>
      <c r="D83" s="698"/>
      <c r="E83" s="698"/>
      <c r="F83" s="698"/>
      <c r="G83" s="698"/>
      <c r="H83" s="698"/>
      <c r="I83" s="698"/>
      <c r="J83" s="698"/>
      <c r="K83" s="698"/>
      <c r="L83" s="698"/>
      <c r="M83" s="698"/>
      <c r="N83" s="698"/>
      <c r="O83" s="698"/>
      <c r="P83" s="698"/>
      <c r="Q83" s="698"/>
      <c r="R83" s="698"/>
      <c r="S83" s="698"/>
      <c r="T83" s="698"/>
      <c r="U83" s="698"/>
      <c r="V83" s="698"/>
      <c r="W83" s="698"/>
      <c r="X83" s="698"/>
      <c r="Y83" s="698"/>
      <c r="Z83" s="698"/>
      <c r="AA83" s="698"/>
      <c r="AB83" s="698"/>
      <c r="AC83" s="698"/>
      <c r="AD83" s="698"/>
      <c r="AE83" s="698"/>
      <c r="AF83" s="698"/>
      <c r="AG83" s="698"/>
      <c r="AH83" s="698"/>
      <c r="AI83" s="698"/>
      <c r="AJ83" s="698"/>
      <c r="AK83" s="698"/>
      <c r="AL83" s="698"/>
      <c r="AM83" s="698"/>
      <c r="AN83" s="699"/>
    </row>
    <row r="84" spans="1:40" ht="45" hidden="1" customHeight="1">
      <c r="A84" s="713"/>
      <c r="B84" s="714"/>
      <c r="C84" s="697" t="str">
        <f>IF(ROUND('F7'!$F$8,2)=ROUND(F6A!$AX$9,2),"","6A.3. El total de CUOTAS Y APORTACIONES DE SEGURIDAD SOCIAL en su momento devengado del ESTADO ANALÍTICO DE INGRESOS (F7),"&amp;" no es igual a las CUOTAS Y APORTACIONES DE SEGURIDAD SOCIAL del ESTADO DE ACTIVIDADES (F6A) en la columna ejercicio "&amp;F185&amp;".")</f>
        <v/>
      </c>
      <c r="D84" s="698"/>
      <c r="E84" s="698"/>
      <c r="F84" s="698"/>
      <c r="G84" s="698"/>
      <c r="H84" s="698"/>
      <c r="I84" s="698"/>
      <c r="J84" s="698"/>
      <c r="K84" s="698"/>
      <c r="L84" s="698"/>
      <c r="M84" s="698"/>
      <c r="N84" s="698"/>
      <c r="O84" s="698"/>
      <c r="P84" s="698"/>
      <c r="Q84" s="698"/>
      <c r="R84" s="698"/>
      <c r="S84" s="698"/>
      <c r="T84" s="698"/>
      <c r="U84" s="698"/>
      <c r="V84" s="698"/>
      <c r="W84" s="698"/>
      <c r="X84" s="698"/>
      <c r="Y84" s="698"/>
      <c r="Z84" s="698"/>
      <c r="AA84" s="698"/>
      <c r="AB84" s="698"/>
      <c r="AC84" s="698"/>
      <c r="AD84" s="698"/>
      <c r="AE84" s="698"/>
      <c r="AF84" s="698"/>
      <c r="AG84" s="698"/>
      <c r="AH84" s="698"/>
      <c r="AI84" s="698"/>
      <c r="AJ84" s="698"/>
      <c r="AK84" s="698"/>
      <c r="AL84" s="698"/>
      <c r="AM84" s="698"/>
      <c r="AN84" s="699"/>
    </row>
    <row r="85" spans="1:40" ht="45" hidden="1" customHeight="1">
      <c r="A85" s="713"/>
      <c r="B85" s="714"/>
      <c r="C85" s="697" t="str">
        <f>IF(ROUND('F7'!$F$9,2)=ROUND(F6A!$AX$10,2),"","6A.4. El total de CONTRIBUCIONES DE MEJORAS en su momento devengado del ESTADO ANALÍTICO DE INGRESOS (F7),"&amp;" no es igual a las CONTRIBUCIONES DE MEJORAS del ESTADO DE ACTIVIDADES (F6A) en la columna ejercicio "&amp;F185&amp;".")</f>
        <v/>
      </c>
      <c r="D85" s="698"/>
      <c r="E85" s="698"/>
      <c r="F85" s="698"/>
      <c r="G85" s="698"/>
      <c r="H85" s="698"/>
      <c r="I85" s="698"/>
      <c r="J85" s="698"/>
      <c r="K85" s="698"/>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9"/>
    </row>
    <row r="86" spans="1:40" ht="45" hidden="1" customHeight="1">
      <c r="A86" s="713"/>
      <c r="B86" s="714"/>
      <c r="C86" s="697" t="str">
        <f>IF(ROUND('F7'!$F$10,2)=ROUND(F6A!$AX$11,2),"","6A.5. El total de DERECHOS en su momento devengado del ESTADO ANALÍTICO DE INGRESOS (F7),"&amp;" no es igual a los DERECHOS del ESTADO DE ACTIVIDADES (F6A) en la columna ejercicio "&amp;F185&amp;".")</f>
        <v>6A.5. El total de DERECHOS en su momento devengado del ESTADO ANALÍTICO DE INGRESOS (F7), no es igual a los DERECHOS del ESTADO DE ACTIVIDADES (F6A) en la columna ejercicio 2025.</v>
      </c>
      <c r="D86" s="698"/>
      <c r="E86" s="698"/>
      <c r="F86" s="698"/>
      <c r="G86" s="698"/>
      <c r="H86" s="698"/>
      <c r="I86" s="698"/>
      <c r="J86" s="698"/>
      <c r="K86" s="698"/>
      <c r="L86" s="698"/>
      <c r="M86" s="698"/>
      <c r="N86" s="698"/>
      <c r="O86" s="698"/>
      <c r="P86" s="698"/>
      <c r="Q86" s="698"/>
      <c r="R86" s="698"/>
      <c r="S86" s="698"/>
      <c r="T86" s="698"/>
      <c r="U86" s="698"/>
      <c r="V86" s="698"/>
      <c r="W86" s="698"/>
      <c r="X86" s="698"/>
      <c r="Y86" s="698"/>
      <c r="Z86" s="698"/>
      <c r="AA86" s="698"/>
      <c r="AB86" s="698"/>
      <c r="AC86" s="698"/>
      <c r="AD86" s="698"/>
      <c r="AE86" s="698"/>
      <c r="AF86" s="698"/>
      <c r="AG86" s="698"/>
      <c r="AH86" s="698"/>
      <c r="AI86" s="698"/>
      <c r="AJ86" s="698"/>
      <c r="AK86" s="698"/>
      <c r="AL86" s="698"/>
      <c r="AM86" s="698"/>
      <c r="AN86" s="699"/>
    </row>
    <row r="87" spans="1:40" ht="45" hidden="1" customHeight="1">
      <c r="A87" s="713"/>
      <c r="B87" s="714"/>
      <c r="C87" s="697" t="str">
        <f>IF(ROUND('F7'!$F$11,2)=ROUND(F6A!$AX$12,2),"","6A.6. El total de PRODUCTOS en su momento devengado del ESTADO ANALÍTICO DE INGRESOS (F7),"&amp;" no es igual a los PRODUCTOS del ESTADO DE ACTIVIDADES (F6A) en la columna ejercicio "&amp;F185&amp;".")</f>
        <v>6A.6. El total de PRODUCTOS en su momento devengado del ESTADO ANALÍTICO DE INGRESOS (F7), no es igual a los PRODUCTOS del ESTADO DE ACTIVIDADES (F6A) en la columna ejercicio 2025.</v>
      </c>
      <c r="D87" s="698"/>
      <c r="E87" s="698"/>
      <c r="F87" s="698"/>
      <c r="G87" s="698"/>
      <c r="H87" s="698"/>
      <c r="I87" s="698"/>
      <c r="J87" s="698"/>
      <c r="K87" s="698"/>
      <c r="L87" s="698"/>
      <c r="M87" s="698"/>
      <c r="N87" s="698"/>
      <c r="O87" s="698"/>
      <c r="P87" s="698"/>
      <c r="Q87" s="698"/>
      <c r="R87" s="698"/>
      <c r="S87" s="698"/>
      <c r="T87" s="698"/>
      <c r="U87" s="698"/>
      <c r="V87" s="698"/>
      <c r="W87" s="698"/>
      <c r="X87" s="698"/>
      <c r="Y87" s="698"/>
      <c r="Z87" s="698"/>
      <c r="AA87" s="698"/>
      <c r="AB87" s="698"/>
      <c r="AC87" s="698"/>
      <c r="AD87" s="698"/>
      <c r="AE87" s="698"/>
      <c r="AF87" s="698"/>
      <c r="AG87" s="698"/>
      <c r="AH87" s="698"/>
      <c r="AI87" s="698"/>
      <c r="AJ87" s="698"/>
      <c r="AK87" s="698"/>
      <c r="AL87" s="698"/>
      <c r="AM87" s="698"/>
      <c r="AN87" s="699"/>
    </row>
    <row r="88" spans="1:40" ht="45" hidden="1" customHeight="1">
      <c r="A88" s="713"/>
      <c r="B88" s="714"/>
      <c r="C88" s="697" t="str">
        <f>IF(ROUND('F7'!$F$12,2)=ROUND(F6A!$AX$13+F4A1!$C$15+F4A1!C17,2),"","6A.7. El total de APROVECHAMIENTOS en su momento devengado del ESTADO ANALÍTICO DE INGRESOS (F7),"&amp;" no es igual a los APROVECHAMIENTOS del ESTADO DE ACTIVIDADES (F6A) en la columna ejercicio "&amp;F185&amp;".")</f>
        <v>6A.7. El total de APROVECHAMIENTOS en su momento devengado del ESTADO ANALÍTICO DE INGRESOS (F7), no es igual a los APROVECHAMIENTOS del ESTADO DE ACTIVIDADES (F6A) en la columna ejercicio 2025.</v>
      </c>
      <c r="D88" s="698"/>
      <c r="E88" s="698"/>
      <c r="F88" s="698"/>
      <c r="G88" s="698"/>
      <c r="H88" s="698"/>
      <c r="I88" s="698"/>
      <c r="J88" s="698"/>
      <c r="K88" s="698"/>
      <c r="L88" s="698"/>
      <c r="M88" s="698"/>
      <c r="N88" s="698"/>
      <c r="O88" s="698"/>
      <c r="P88" s="698"/>
      <c r="Q88" s="698"/>
      <c r="R88" s="698"/>
      <c r="S88" s="698"/>
      <c r="T88" s="698"/>
      <c r="U88" s="698"/>
      <c r="V88" s="698"/>
      <c r="W88" s="698"/>
      <c r="X88" s="698"/>
      <c r="Y88" s="698"/>
      <c r="Z88" s="698"/>
      <c r="AA88" s="698"/>
      <c r="AB88" s="698"/>
      <c r="AC88" s="698"/>
      <c r="AD88" s="698"/>
      <c r="AE88" s="698"/>
      <c r="AF88" s="698"/>
      <c r="AG88" s="698"/>
      <c r="AH88" s="698"/>
      <c r="AI88" s="698"/>
      <c r="AJ88" s="698"/>
      <c r="AK88" s="698"/>
      <c r="AL88" s="698"/>
      <c r="AM88" s="698"/>
      <c r="AN88" s="699"/>
    </row>
    <row r="89" spans="1:40" ht="45" hidden="1" customHeight="1">
      <c r="A89" s="713"/>
      <c r="B89" s="714"/>
      <c r="C89" s="697" t="str">
        <f>IF(ROUND('F7'!$F$13,2)=ROUND(F6A!$AX$14,2),"","6A.8. El total de INGRESOS POR VENTA DE BIENES Y PRESTACIÓN DE SERVICIOS en su momento devengado del ESTADO ANALÍTICO DE INGRESOS (F7),"&amp;" no es igual a los INGRESOS POR VENTA DE BIENES Y PRESTACIÓN DE SERVICIOS del ESTADO DE ACTIVIDADES (F6A) en la columna ejercicio "&amp;F185&amp;".")</f>
        <v/>
      </c>
      <c r="D89" s="698"/>
      <c r="E89" s="698"/>
      <c r="F89" s="698"/>
      <c r="G89" s="698"/>
      <c r="H89" s="698"/>
      <c r="I89" s="698"/>
      <c r="J89" s="698"/>
      <c r="K89" s="698"/>
      <c r="L89" s="698"/>
      <c r="M89" s="698"/>
      <c r="N89" s="698"/>
      <c r="O89" s="698"/>
      <c r="P89" s="698"/>
      <c r="Q89" s="698"/>
      <c r="R89" s="698"/>
      <c r="S89" s="698"/>
      <c r="T89" s="698"/>
      <c r="U89" s="698"/>
      <c r="V89" s="698"/>
      <c r="W89" s="698"/>
      <c r="X89" s="698"/>
      <c r="Y89" s="698"/>
      <c r="Z89" s="698"/>
      <c r="AA89" s="698"/>
      <c r="AB89" s="698"/>
      <c r="AC89" s="698"/>
      <c r="AD89" s="698"/>
      <c r="AE89" s="698"/>
      <c r="AF89" s="698"/>
      <c r="AG89" s="698"/>
      <c r="AH89" s="698"/>
      <c r="AI89" s="698"/>
      <c r="AJ89" s="698"/>
      <c r="AK89" s="698"/>
      <c r="AL89" s="698"/>
      <c r="AM89" s="698"/>
      <c r="AN89" s="699"/>
    </row>
    <row r="90" spans="1:40" ht="45" hidden="1" customHeight="1">
      <c r="A90" s="713"/>
      <c r="B90" s="714"/>
      <c r="C90" s="697" t="str">
        <f>IF(ROUND('F7'!$F$14,2)=ROUND(F6A!$AX$16,2),"","6A.9. El total de PARTICIPACIONES, APORTACIONES, CONVENIOS, INCENTIVOS DERIVADOS DE LA COLABORACIÓN FISCAL, FONDOS DISTINTOS DE APORTACIONES en su momento devengado del ESTADO ANALÍTICO DE INGRESOS (F7),"&amp;" no es igual a las PARTICIPACIONES, APORTACIONES, CONVENIOS, INCENTIVOS DERIVADOS DE LA COLABORACIÓN FISCAL, FONDOS DISTINTOS DE APORTACIONES del ESTADO DE ACTIVIDADES (F6A) en la columna ejercicio "&amp;F185&amp;".")</f>
        <v>6A.9. El total de PARTICIPACIONES, APORTACIONES, CONVENIOS, INCENTIVOS DERIVADOS DE LA COLABORACIÓN FISCAL, FONDOS DISTINTOS DE APORTACIONES en su momento devengado del ESTADO ANALÍTICO DE INGRESOS (F7), no es igual a las PARTICIPACIONES, APORTACIONES, CONVENIOS, INCENTIVOS DERIVADOS DE LA COLABORACIÓN FISCAL, FONDOS DISTINTOS DE APORTACIONES del ESTADO DE ACTIVIDADES (F6A) en la columna ejercicio 2025.</v>
      </c>
      <c r="D90" s="698"/>
      <c r="E90" s="698"/>
      <c r="F90" s="698"/>
      <c r="G90" s="698"/>
      <c r="H90" s="698"/>
      <c r="I90" s="698"/>
      <c r="J90" s="698"/>
      <c r="K90" s="698"/>
      <c r="L90" s="698"/>
      <c r="M90" s="698"/>
      <c r="N90" s="698"/>
      <c r="O90" s="698"/>
      <c r="P90" s="698"/>
      <c r="Q90" s="698"/>
      <c r="R90" s="698"/>
      <c r="S90" s="698"/>
      <c r="T90" s="698"/>
      <c r="U90" s="698"/>
      <c r="V90" s="698"/>
      <c r="W90" s="698"/>
      <c r="X90" s="698"/>
      <c r="Y90" s="698"/>
      <c r="Z90" s="698"/>
      <c r="AA90" s="698"/>
      <c r="AB90" s="698"/>
      <c r="AC90" s="698"/>
      <c r="AD90" s="698"/>
      <c r="AE90" s="698"/>
      <c r="AF90" s="698"/>
      <c r="AG90" s="698"/>
      <c r="AH90" s="698"/>
      <c r="AI90" s="698"/>
      <c r="AJ90" s="698"/>
      <c r="AK90" s="698"/>
      <c r="AL90" s="698"/>
      <c r="AM90" s="698"/>
      <c r="AN90" s="699"/>
    </row>
    <row r="91" spans="1:40" ht="45" hidden="1" customHeight="1">
      <c r="A91" s="715"/>
      <c r="B91" s="716"/>
      <c r="C91" s="697" t="str">
        <f>IF(ROUND('F7'!$F$15,2)=ROUND(F6A!$AX$17,2),"","6A.10. El total de TRANSFERENCIAS, ASIGNACIONES, SUBSIDIOS Y SUBVENCIONES, PENSIONES Y JUBILACIONES en su momento devengado del ESTADO ANALÍTICO DE INGRESOS (F7),"&amp;" no es igual a las TRANSFERENCIAS, ASIGNACIONES, SUBSIDIOS Y SUBVENCIONES, PENSIONES Y JUBILACIONES del ESTADO DE ACTIVIDADES (F6A) en la columna ejercicio "&amp;F185&amp;".")</f>
        <v/>
      </c>
      <c r="D91" s="698"/>
      <c r="E91" s="698"/>
      <c r="F91" s="698"/>
      <c r="G91" s="698"/>
      <c r="H91" s="698"/>
      <c r="I91" s="698"/>
      <c r="J91" s="698"/>
      <c r="K91" s="698"/>
      <c r="L91" s="698"/>
      <c r="M91" s="698"/>
      <c r="N91" s="698"/>
      <c r="O91" s="698"/>
      <c r="P91" s="698"/>
      <c r="Q91" s="698"/>
      <c r="R91" s="698"/>
      <c r="S91" s="698"/>
      <c r="T91" s="698"/>
      <c r="U91" s="698"/>
      <c r="V91" s="698"/>
      <c r="W91" s="698"/>
      <c r="X91" s="698"/>
      <c r="Y91" s="698"/>
      <c r="Z91" s="698"/>
      <c r="AA91" s="698"/>
      <c r="AB91" s="698"/>
      <c r="AC91" s="698"/>
      <c r="AD91" s="698"/>
      <c r="AE91" s="698"/>
      <c r="AF91" s="698"/>
      <c r="AG91" s="698"/>
      <c r="AH91" s="698"/>
      <c r="AI91" s="698"/>
      <c r="AJ91" s="698"/>
      <c r="AK91" s="698"/>
      <c r="AL91" s="698"/>
      <c r="AM91" s="698"/>
      <c r="AN91" s="699"/>
    </row>
    <row r="92" spans="1:40" ht="45" hidden="1" customHeight="1">
      <c r="A92" s="712" t="s">
        <v>105</v>
      </c>
      <c r="B92" s="708"/>
      <c r="C92" s="697" t="str">
        <f>IF(ROUND(F4A2!$C$37,2)=ROUND(F6A!$AX$57,2),"","6B.1. El TOTAL DE GASTOS CONTABLES de la CONCILIACIÓN ENTRE LOS EGRESOS PRESUPUESTARIOS Y LOS GASTOS CONTABLES (F4A2),"&amp;" no es igual al TOTAL DE GASTOS Y OTRAS PERDIDAS del ESTADO DE ACTIVIDADES (F6A) en la columna ejercicio "&amp;F185&amp;".")</f>
        <v>6B.1. El TOTAL DE GASTOS CONTABLES de la CONCILIACIÓN ENTRE LOS EGRESOS PRESUPUESTARIOS Y LOS GASTOS CONTABLES (F4A2), no es igual al TOTAL DE GASTOS Y OTRAS PERDIDAS del ESTADO DE ACTIVIDADES (F6A) en la columna ejercicio 2025.</v>
      </c>
      <c r="D92" s="698"/>
      <c r="E92" s="698"/>
      <c r="F92" s="698"/>
      <c r="G92" s="698"/>
      <c r="H92" s="698"/>
      <c r="I92" s="698"/>
      <c r="J92" s="698"/>
      <c r="K92" s="698"/>
      <c r="L92" s="698"/>
      <c r="M92" s="698"/>
      <c r="N92" s="698"/>
      <c r="O92" s="698"/>
      <c r="P92" s="698"/>
      <c r="Q92" s="698"/>
      <c r="R92" s="698"/>
      <c r="S92" s="698"/>
      <c r="T92" s="698"/>
      <c r="U92" s="698"/>
      <c r="V92" s="698"/>
      <c r="W92" s="698"/>
      <c r="X92" s="698"/>
      <c r="Y92" s="698"/>
      <c r="Z92" s="698"/>
      <c r="AA92" s="698"/>
      <c r="AB92" s="698"/>
      <c r="AC92" s="698"/>
      <c r="AD92" s="698"/>
      <c r="AE92" s="698"/>
      <c r="AF92" s="698"/>
      <c r="AG92" s="698"/>
      <c r="AH92" s="698"/>
      <c r="AI92" s="698"/>
      <c r="AJ92" s="698"/>
      <c r="AK92" s="698"/>
      <c r="AL92" s="698"/>
      <c r="AM92" s="698"/>
      <c r="AN92" s="699"/>
    </row>
    <row r="93" spans="1:40" ht="45" hidden="1" customHeight="1">
      <c r="A93" s="713"/>
      <c r="B93" s="714"/>
      <c r="C93" s="697" t="str">
        <f>IF(ROUND('F8'!$F$8,2)=ROUND(F6A!$AX$27,2),"","6B.2. El total de SERVICIOS PERSONALES en su momento devengado del ESTADO ANALÍTICO DEL EJERCICIO DEL PRESUPUESTO DE EGRESOS (F8),"&amp;" no es igual en SERVICIOS PERSONALES del ESTADO DE ACTIVIDADES (F6A) en la columna ejercicio "&amp;F185&amp;".")</f>
        <v>6B.2. El total de SERVICIOS PERSONALES en su momento devengado del ESTADO ANALÍTICO DEL EJERCICIO DEL PRESUPUESTO DE EGRESOS (F8), no es igual en SERVICIOS PERSONALES del ESTADO DE ACTIVIDADES (F6A) en la columna ejercicio 2025.</v>
      </c>
      <c r="D93" s="698"/>
      <c r="E93" s="698"/>
      <c r="F93" s="698"/>
      <c r="G93" s="698"/>
      <c r="H93" s="698"/>
      <c r="I93" s="698"/>
      <c r="J93" s="698"/>
      <c r="K93" s="698"/>
      <c r="L93" s="698"/>
      <c r="M93" s="698"/>
      <c r="N93" s="698"/>
      <c r="O93" s="698"/>
      <c r="P93" s="698"/>
      <c r="Q93" s="698"/>
      <c r="R93" s="698"/>
      <c r="S93" s="698"/>
      <c r="T93" s="698"/>
      <c r="U93" s="698"/>
      <c r="V93" s="698"/>
      <c r="W93" s="698"/>
      <c r="X93" s="698"/>
      <c r="Y93" s="698"/>
      <c r="Z93" s="698"/>
      <c r="AA93" s="698"/>
      <c r="AB93" s="698"/>
      <c r="AC93" s="698"/>
      <c r="AD93" s="698"/>
      <c r="AE93" s="698"/>
      <c r="AF93" s="698"/>
      <c r="AG93" s="698"/>
      <c r="AH93" s="698"/>
      <c r="AI93" s="698"/>
      <c r="AJ93" s="698"/>
      <c r="AK93" s="698"/>
      <c r="AL93" s="698"/>
      <c r="AM93" s="698"/>
      <c r="AN93" s="699"/>
    </row>
    <row r="94" spans="1:40" ht="45" hidden="1" customHeight="1">
      <c r="A94" s="713"/>
      <c r="B94" s="714"/>
      <c r="C94" s="697" t="str">
        <f>IF(ROUND('F8'!$F$16,2)=ROUND(F6A!$AX$28,2),"","6B.3. El total de MATERIALES Y SUMINISTROS en su momento devengado del ESTADO ANALÍTICO DEL EJERCICIO DEL PRESUPUESTO DE EGRESOS (F8),"&amp;" no es igual en MATERIALES Y SUMINISTROS del ESTADO DE ACTIVIDADES (F6A) en la columna ejercicio "&amp;F185&amp;".")</f>
        <v>6B.3. El total de MATERIALES Y SUMINISTROS en su momento devengado del ESTADO ANALÍTICO DEL EJERCICIO DEL PRESUPUESTO DE EGRESOS (F8), no es igual en MATERIALES Y SUMINISTROS del ESTADO DE ACTIVIDADES (F6A) en la columna ejercicio 2025.</v>
      </c>
      <c r="D94" s="698"/>
      <c r="E94" s="698"/>
      <c r="F94" s="698"/>
      <c r="G94" s="698"/>
      <c r="H94" s="698"/>
      <c r="I94" s="698"/>
      <c r="J94" s="698"/>
      <c r="K94" s="698"/>
      <c r="L94" s="698"/>
      <c r="M94" s="698"/>
      <c r="N94" s="698"/>
      <c r="O94" s="698"/>
      <c r="P94" s="698"/>
      <c r="Q94" s="698"/>
      <c r="R94" s="698"/>
      <c r="S94" s="698"/>
      <c r="T94" s="698"/>
      <c r="U94" s="698"/>
      <c r="V94" s="698"/>
      <c r="W94" s="698"/>
      <c r="X94" s="698"/>
      <c r="Y94" s="698"/>
      <c r="Z94" s="698"/>
      <c r="AA94" s="698"/>
      <c r="AB94" s="698"/>
      <c r="AC94" s="698"/>
      <c r="AD94" s="698"/>
      <c r="AE94" s="698"/>
      <c r="AF94" s="698"/>
      <c r="AG94" s="698"/>
      <c r="AH94" s="698"/>
      <c r="AI94" s="698"/>
      <c r="AJ94" s="698"/>
      <c r="AK94" s="698"/>
      <c r="AL94" s="698"/>
      <c r="AM94" s="698"/>
      <c r="AN94" s="699"/>
    </row>
    <row r="95" spans="1:40" ht="45" hidden="1" customHeight="1">
      <c r="A95" s="713"/>
      <c r="B95" s="714"/>
      <c r="C95" s="697" t="str">
        <f>IF(ROUND('F8'!$F$26,2)=ROUND(F6A!$AX$29,2),"","6B.4. El total de SERVICIOS GENERALES en su momento devengado del ESTADO ANALÍTICO DEL EJERCICIO DEL PRESUPUESTO DE EGRESOS (F8),"&amp;" no es igual en SERVICIOS GENERALES del ESTADO DE ACTIVIDADES (F6A) en la columna ejercicio "&amp;F185&amp;".")</f>
        <v>6B.4. El total de SERVICIOS GENERALES en su momento devengado del ESTADO ANALÍTICO DEL EJERCICIO DEL PRESUPUESTO DE EGRESOS (F8), no es igual en SERVICIOS GENERALES del ESTADO DE ACTIVIDADES (F6A) en la columna ejercicio 2025.</v>
      </c>
      <c r="D95" s="698"/>
      <c r="E95" s="698"/>
      <c r="F95" s="698"/>
      <c r="G95" s="698"/>
      <c r="H95" s="698"/>
      <c r="I95" s="698"/>
      <c r="J95" s="698"/>
      <c r="K95" s="698"/>
      <c r="L95" s="698"/>
      <c r="M95" s="698"/>
      <c r="N95" s="698"/>
      <c r="O95" s="698"/>
      <c r="P95" s="698"/>
      <c r="Q95" s="698"/>
      <c r="R95" s="698"/>
      <c r="S95" s="698"/>
      <c r="T95" s="698"/>
      <c r="U95" s="698"/>
      <c r="V95" s="698"/>
      <c r="W95" s="698"/>
      <c r="X95" s="698"/>
      <c r="Y95" s="698"/>
      <c r="Z95" s="698"/>
      <c r="AA95" s="698"/>
      <c r="AB95" s="698"/>
      <c r="AC95" s="698"/>
      <c r="AD95" s="698"/>
      <c r="AE95" s="698"/>
      <c r="AF95" s="698"/>
      <c r="AG95" s="698"/>
      <c r="AH95" s="698"/>
      <c r="AI95" s="698"/>
      <c r="AJ95" s="698"/>
      <c r="AK95" s="698"/>
      <c r="AL95" s="698"/>
      <c r="AM95" s="698"/>
      <c r="AN95" s="699"/>
    </row>
    <row r="96" spans="1:40" ht="45" hidden="1" customHeight="1">
      <c r="A96" s="709"/>
      <c r="B96" s="711"/>
      <c r="C96" s="697" t="str">
        <f>IF(ROUND('F8'!$F$36,2)=ROUND(F6A!$AX$30,2),"","6B.5. El total de TRANSFERENCIAS, ASIGNACIONES, SUBSIDIOS Y OTRAS AYUDAS en su momento devengado del ESTADO ANALÍTICO DEL EJERCICIO DEL PRESUPUESTO DE EGRESOS (F8),"&amp;" no es igual en TRANSFERENCIAS, ASIGNACIONES, SUBSIDIOS Y OTRAS AYUDAS del ESTADO DE ACTIVIDADES (F6A) en la columna ejercicio "&amp;F185&amp;".")</f>
        <v>6B.5. El total de TRANSFERENCIAS, ASIGNACIONES, SUBSIDIOS Y OTRAS AYUDAS en su momento devengado del ESTADO ANALÍTICO DEL EJERCICIO DEL PRESUPUESTO DE EGRESOS (F8), no es igual en TRANSFERENCIAS, ASIGNACIONES, SUBSIDIOS Y OTRAS AYUDAS del ESTADO DE ACTIVIDADES (F6A) en la columna ejercicio 2025.</v>
      </c>
      <c r="D96" s="698"/>
      <c r="E96" s="698"/>
      <c r="F96" s="698"/>
      <c r="G96" s="698"/>
      <c r="H96" s="698"/>
      <c r="I96" s="698"/>
      <c r="J96" s="698"/>
      <c r="K96" s="698"/>
      <c r="L96" s="698"/>
      <c r="M96" s="698"/>
      <c r="N96" s="698"/>
      <c r="O96" s="698"/>
      <c r="P96" s="698"/>
      <c r="Q96" s="698"/>
      <c r="R96" s="698"/>
      <c r="S96" s="698"/>
      <c r="T96" s="698"/>
      <c r="U96" s="698"/>
      <c r="V96" s="698"/>
      <c r="W96" s="698"/>
      <c r="X96" s="698"/>
      <c r="Y96" s="698"/>
      <c r="Z96" s="698"/>
      <c r="AA96" s="698"/>
      <c r="AB96" s="698"/>
      <c r="AC96" s="698"/>
      <c r="AD96" s="698"/>
      <c r="AE96" s="698"/>
      <c r="AF96" s="698"/>
      <c r="AG96" s="698"/>
      <c r="AH96" s="698"/>
      <c r="AI96" s="698"/>
      <c r="AJ96" s="698"/>
      <c r="AK96" s="698"/>
      <c r="AL96" s="698"/>
      <c r="AM96" s="698"/>
      <c r="AN96" s="699"/>
    </row>
    <row r="97" spans="1:40" ht="45" hidden="1" customHeight="1">
      <c r="A97" s="712" t="s">
        <v>106</v>
      </c>
      <c r="B97" s="708"/>
      <c r="C97" s="697" t="str">
        <f>IF(ROUND(ABS('F16'!E43-'F16'!F43),2)=ROUND(ABS('F2'!C20),2),"","7.1. El saldo de la HACIENDA PÚBLICA/PATRIMONIO CONTRIBUIDO NETO DEL "&amp;F186&amp;" del ESTADO DE VARIACIÓN EN LA HACIENDA PÚBLICA (F2), "&amp;"es diferente a la HACIENDA PÚBLICA/PATRIMONIO CONTRIBUIDO del ESTADO DE CAMBIOS DE LA SITUACIÓN FINANCIERA (F16) en la columna ejercicio "&amp;F185&amp;".")</f>
        <v/>
      </c>
      <c r="D97" s="698"/>
      <c r="E97" s="698"/>
      <c r="F97" s="698"/>
      <c r="G97" s="698"/>
      <c r="H97" s="698"/>
      <c r="I97" s="698"/>
      <c r="J97" s="698"/>
      <c r="K97" s="698"/>
      <c r="L97" s="698"/>
      <c r="M97" s="698"/>
      <c r="N97" s="698"/>
      <c r="O97" s="698"/>
      <c r="P97" s="698"/>
      <c r="Q97" s="698"/>
      <c r="R97" s="698"/>
      <c r="S97" s="698"/>
      <c r="T97" s="698"/>
      <c r="U97" s="698"/>
      <c r="V97" s="698"/>
      <c r="W97" s="698"/>
      <c r="X97" s="698"/>
      <c r="Y97" s="698"/>
      <c r="Z97" s="698"/>
      <c r="AA97" s="698"/>
      <c r="AB97" s="698"/>
      <c r="AC97" s="698"/>
      <c r="AD97" s="698"/>
      <c r="AE97" s="698"/>
      <c r="AF97" s="698"/>
      <c r="AG97" s="698"/>
      <c r="AH97" s="698"/>
      <c r="AI97" s="698"/>
      <c r="AJ97" s="698"/>
      <c r="AK97" s="698"/>
      <c r="AL97" s="698"/>
      <c r="AM97" s="698"/>
      <c r="AN97" s="699"/>
    </row>
    <row r="98" spans="1:40" ht="45" hidden="1" customHeight="1">
      <c r="A98" s="713"/>
      <c r="B98" s="714"/>
      <c r="C98" s="697" t="str">
        <f>IF(ROUND(ABS(SUM('F16'!E50:E52)-SUM('F16'!F50:F52)),2)=ROUND(ABS(SUM('F2'!E27:E29)),2),"","7.2. La suma de las filas de REVALÚOS, RESERVAS Y RECLASIFICACIONES DE RESULTADOS DE EJERCICIOS ANTERIORES "&amp;F186&amp;", del ESTADO DE VARIACIÓN EN LA HACIENDA PÚBLICA (F2), "&amp;"es diferente a la que se muestra en estos rubros del ESTADO DE CAMBIOS DE LA SITUACIÓN FINANCIERA (F16) en la columna ejercicio "&amp;F185&amp;".")</f>
        <v/>
      </c>
      <c r="D98" s="698"/>
      <c r="E98" s="698"/>
      <c r="F98" s="698"/>
      <c r="G98" s="698"/>
      <c r="H98" s="698"/>
      <c r="I98" s="698"/>
      <c r="J98" s="698"/>
      <c r="K98" s="698"/>
      <c r="L98" s="698"/>
      <c r="M98" s="698"/>
      <c r="N98" s="698"/>
      <c r="O98" s="698"/>
      <c r="P98" s="698"/>
      <c r="Q98" s="698"/>
      <c r="R98" s="698"/>
      <c r="S98" s="698"/>
      <c r="T98" s="698"/>
      <c r="U98" s="698"/>
      <c r="V98" s="698"/>
      <c r="W98" s="698"/>
      <c r="X98" s="698"/>
      <c r="Y98" s="698"/>
      <c r="Z98" s="698"/>
      <c r="AA98" s="698"/>
      <c r="AB98" s="698"/>
      <c r="AC98" s="698"/>
      <c r="AD98" s="698"/>
      <c r="AE98" s="698"/>
      <c r="AF98" s="698"/>
      <c r="AG98" s="698"/>
      <c r="AH98" s="698"/>
      <c r="AI98" s="698"/>
      <c r="AJ98" s="698"/>
      <c r="AK98" s="698"/>
      <c r="AL98" s="698"/>
      <c r="AM98" s="698"/>
      <c r="AN98" s="699"/>
    </row>
    <row r="99" spans="1:40" ht="45" hidden="1" customHeight="1">
      <c r="A99" s="713"/>
      <c r="B99" s="714"/>
      <c r="C99" s="697" t="str">
        <f>IF(ROUND(ABS('F16'!E49+'F16'!F49),2)=ROUND(ABS('F2'!D24),2),"","7.3. El saldo del RESULTADO DE EJERCICIOS ANTERIORES del apartado VARIACIONES DE LA HACIENDA PÚBLICA/PATRIMONIO CONTRIBUIDO NETO DE "&amp;F185&amp;" del ESTADO DE VARIACIÓN EN LA HACIENDA PÚBLICA (F2), "&amp;"es diferente al apartado de EJERCICIOS ANTERIORES del ESTADO DE CAMBIOS DE LA SITUACIÓN FINANCIERA (F16) en la columna ejercicio "&amp;F185&amp;".")</f>
        <v/>
      </c>
      <c r="D99" s="698"/>
      <c r="E99" s="698"/>
      <c r="F99" s="698"/>
      <c r="G99" s="698"/>
      <c r="H99" s="698"/>
      <c r="I99" s="698"/>
      <c r="J99" s="698"/>
      <c r="K99" s="698"/>
      <c r="L99" s="698"/>
      <c r="M99" s="698"/>
      <c r="N99" s="698"/>
      <c r="O99" s="698"/>
      <c r="P99" s="698"/>
      <c r="Q99" s="698"/>
      <c r="R99" s="698"/>
      <c r="S99" s="698"/>
      <c r="T99" s="698"/>
      <c r="U99" s="698"/>
      <c r="V99" s="698"/>
      <c r="W99" s="698"/>
      <c r="X99" s="698"/>
      <c r="Y99" s="698"/>
      <c r="Z99" s="698"/>
      <c r="AA99" s="698"/>
      <c r="AB99" s="698"/>
      <c r="AC99" s="698"/>
      <c r="AD99" s="698"/>
      <c r="AE99" s="698"/>
      <c r="AF99" s="698"/>
      <c r="AG99" s="698"/>
      <c r="AH99" s="698"/>
      <c r="AI99" s="698"/>
      <c r="AJ99" s="698"/>
      <c r="AK99" s="698"/>
      <c r="AL99" s="698"/>
      <c r="AM99" s="698"/>
      <c r="AN99" s="699"/>
    </row>
    <row r="100" spans="1:40" ht="45" hidden="1" customHeight="1">
      <c r="A100" s="709"/>
      <c r="B100" s="711"/>
      <c r="C100" s="697" t="str">
        <f>IF(ROUND(ABS('F16'!E53-'F16'!F53),2)=ROUND(ABS('F2'!F30),2),"","7.4. El saldo del EXCESO O INSUFICIENCIA EN LA ACTUALIZACIÓN DE LA HACIENDA PÚBLICA/PATRIMONIO NETO "&amp;F185&amp;", del ESTADO DE VARIACIÓN EN LA HACIENDA PÚBLICA (F2), "&amp;"es diferente al apartado del EXCESO O INSUFICIENCIA EN LA ACTUALIZACIÓN DE LA HACIENDA PÚBLICA/PATRIMONIO del ESTADO DE CAMBIOS DE LA SITUACIÓN FINANCIERA (F16) en la columna ejercicio "&amp;F185&amp;".")</f>
        <v/>
      </c>
      <c r="D100" s="698"/>
      <c r="E100" s="698"/>
      <c r="F100" s="698"/>
      <c r="G100" s="698"/>
      <c r="H100" s="698"/>
      <c r="I100" s="698"/>
      <c r="J100" s="698"/>
      <c r="K100" s="698"/>
      <c r="L100" s="698"/>
      <c r="M100" s="698"/>
      <c r="N100" s="698"/>
      <c r="O100" s="698"/>
      <c r="P100" s="698"/>
      <c r="Q100" s="698"/>
      <c r="R100" s="698"/>
      <c r="S100" s="698"/>
      <c r="T100" s="698"/>
      <c r="U100" s="698"/>
      <c r="V100" s="698"/>
      <c r="W100" s="698"/>
      <c r="X100" s="698"/>
      <c r="Y100" s="698"/>
      <c r="Z100" s="698"/>
      <c r="AA100" s="698"/>
      <c r="AB100" s="698"/>
      <c r="AC100" s="698"/>
      <c r="AD100" s="698"/>
      <c r="AE100" s="698"/>
      <c r="AF100" s="698"/>
      <c r="AG100" s="698"/>
      <c r="AH100" s="698"/>
      <c r="AI100" s="698"/>
      <c r="AJ100" s="698"/>
      <c r="AK100" s="698"/>
      <c r="AL100" s="698"/>
      <c r="AM100" s="698"/>
      <c r="AN100" s="699"/>
    </row>
    <row r="101" spans="1:40" ht="45" hidden="1" customHeight="1">
      <c r="A101" s="712" t="s">
        <v>107</v>
      </c>
      <c r="B101" s="708"/>
      <c r="C101" s="697" t="str">
        <f>IF(ROUND(ABS('F3'!F58),2)=ROUND(ABS('F16'!E8+'F16'!F8),2),"","8.1. El INCREMENTO/DISMINUCIÓN NETA EN EL EFECTIVO Y EQUIVALENTES del FLUJO DE EFECTIVO (F3) de la columna "&amp;F185&amp;", no es igual al que se muestra en el ESTADO DE "&amp;"CAMBIOS EN LA SITUACIÓN FINANCIERA (F16) en la fila de EFECTIVO Y EQUIVALENTES de la columna de origen o aplicación.")</f>
        <v>8.1. El INCREMENTO/DISMINUCIÓN NETA EN EL EFECTIVO Y EQUIVALENTES del FLUJO DE EFECTIVO (F3) de la columna 2025, no es igual al que se muestra en el ESTADO DE CAMBIOS EN LA SITUACIÓN FINANCIERA (F16) en la fila de EFECTIVO Y EQUIVALENTES de la columna de origen o aplicación.</v>
      </c>
      <c r="D101" s="698"/>
      <c r="E101" s="698"/>
      <c r="F101" s="698"/>
      <c r="G101" s="698"/>
      <c r="H101" s="698"/>
      <c r="I101" s="698"/>
      <c r="J101" s="698"/>
      <c r="K101" s="698"/>
      <c r="L101" s="698"/>
      <c r="M101" s="698"/>
      <c r="N101" s="698"/>
      <c r="O101" s="698"/>
      <c r="P101" s="698"/>
      <c r="Q101" s="698"/>
      <c r="R101" s="698"/>
      <c r="S101" s="698"/>
      <c r="T101" s="698"/>
      <c r="U101" s="698"/>
      <c r="V101" s="698"/>
      <c r="W101" s="698"/>
      <c r="X101" s="698"/>
      <c r="Y101" s="698"/>
      <c r="Z101" s="698"/>
      <c r="AA101" s="698"/>
      <c r="AB101" s="698"/>
      <c r="AC101" s="698"/>
      <c r="AD101" s="698"/>
      <c r="AE101" s="698"/>
      <c r="AF101" s="698"/>
      <c r="AG101" s="698"/>
      <c r="AH101" s="698"/>
      <c r="AI101" s="698"/>
      <c r="AJ101" s="698"/>
      <c r="AK101" s="698"/>
      <c r="AL101" s="698"/>
      <c r="AM101" s="698"/>
      <c r="AN101" s="699"/>
    </row>
    <row r="102" spans="1:40" ht="45" hidden="1" customHeight="1">
      <c r="A102" s="713"/>
      <c r="B102" s="714"/>
      <c r="C102" s="697" t="e">
        <f>IF(ROUND('F3'!G60,2)=ROUND(#REF!,2),"","8.2. El EFECTIVO Y EQUIVALENTES AL EFECTIVO AL FINAL DEL EJERCICIO columna "&amp;F186&amp;", del ESTADO DE FLUJO DE EFECTIVO (F3), es diferente al saldo del"&amp;" rubro de EFECTIVO Y EQUIVALENTES de la columna "&amp;F185&amp;" del ESTADO DE SITUACIÓN FINANCIERA (F1A).")</f>
        <v>#REF!</v>
      </c>
      <c r="D102" s="698"/>
      <c r="E102" s="698"/>
      <c r="F102" s="698"/>
      <c r="G102" s="698"/>
      <c r="H102" s="698"/>
      <c r="I102" s="698"/>
      <c r="J102" s="698"/>
      <c r="K102" s="698"/>
      <c r="L102" s="698"/>
      <c r="M102" s="698"/>
      <c r="N102" s="698"/>
      <c r="O102" s="698"/>
      <c r="P102" s="698"/>
      <c r="Q102" s="698"/>
      <c r="R102" s="698"/>
      <c r="S102" s="698"/>
      <c r="T102" s="698"/>
      <c r="U102" s="698"/>
      <c r="V102" s="698"/>
      <c r="W102" s="698"/>
      <c r="X102" s="698"/>
      <c r="Y102" s="698"/>
      <c r="Z102" s="698"/>
      <c r="AA102" s="698"/>
      <c r="AB102" s="698"/>
      <c r="AC102" s="698"/>
      <c r="AD102" s="698"/>
      <c r="AE102" s="698"/>
      <c r="AF102" s="698"/>
      <c r="AG102" s="698"/>
      <c r="AH102" s="698"/>
      <c r="AI102" s="698"/>
      <c r="AJ102" s="698"/>
      <c r="AK102" s="698"/>
      <c r="AL102" s="698"/>
      <c r="AM102" s="698"/>
      <c r="AN102" s="699"/>
    </row>
    <row r="103" spans="1:40" ht="45" hidden="1" customHeight="1">
      <c r="A103" s="709"/>
      <c r="B103" s="711"/>
      <c r="C103" s="697" t="e">
        <f>IF(ROUND('F3'!F60,2)=ROUND(#REF!,2),"","8.3. El EFECTIVO Y EQUIVALENTES AL EFECTIVO AL FINAL DEL EJERCICIO columna "&amp;F185&amp;", del ESTADO DE FLUJO DE EFECTIVO (F3), es diferente al saldo del"&amp;" rubro de EFECTIVO Y EQUIVALENTES de la columna "&amp;F185&amp;" del ESTADO DE SITUACIÓN FINANCIERA (F1A).")</f>
        <v>#REF!</v>
      </c>
      <c r="D103" s="698"/>
      <c r="E103" s="698"/>
      <c r="F103" s="698"/>
      <c r="G103" s="698"/>
      <c r="H103" s="698"/>
      <c r="I103" s="698"/>
      <c r="J103" s="698"/>
      <c r="K103" s="698"/>
      <c r="L103" s="698"/>
      <c r="M103" s="698"/>
      <c r="N103" s="698"/>
      <c r="O103" s="698"/>
      <c r="P103" s="698"/>
      <c r="Q103" s="698"/>
      <c r="R103" s="698"/>
      <c r="S103" s="698"/>
      <c r="T103" s="698"/>
      <c r="U103" s="698"/>
      <c r="V103" s="698"/>
      <c r="W103" s="698"/>
      <c r="X103" s="698"/>
      <c r="Y103" s="698"/>
      <c r="Z103" s="698"/>
      <c r="AA103" s="698"/>
      <c r="AB103" s="698"/>
      <c r="AC103" s="698"/>
      <c r="AD103" s="698"/>
      <c r="AE103" s="698"/>
      <c r="AF103" s="698"/>
      <c r="AG103" s="698"/>
      <c r="AH103" s="698"/>
      <c r="AI103" s="698"/>
      <c r="AJ103" s="698"/>
      <c r="AK103" s="698"/>
      <c r="AL103" s="698"/>
      <c r="AM103" s="698"/>
      <c r="AN103" s="699"/>
    </row>
    <row r="104" spans="1:40" ht="45" hidden="1" customHeight="1">
      <c r="A104" s="712" t="s">
        <v>108</v>
      </c>
      <c r="B104" s="708"/>
      <c r="C104" s="697" t="e">
        <f>IF(ROUND('F5'!E6,2)=ROUND(#REF!,2),"","9.1. El TOTAL DEL ACTIVO del ESTADO ANALÍTICO DEL ACTIVO (F5) en la columna de SALDO INICIAL, es diferente al TOTAL DEL ACTIVO en el ESTADO DE SITUACIÓN FINANCIERA (F1A), en la columna correspondiente al ejercicio "&amp;F186)</f>
        <v>#REF!</v>
      </c>
      <c r="D104" s="698"/>
      <c r="E104" s="698"/>
      <c r="F104" s="698"/>
      <c r="G104" s="698"/>
      <c r="H104" s="698"/>
      <c r="I104" s="698"/>
      <c r="J104" s="698"/>
      <c r="K104" s="698"/>
      <c r="L104" s="698"/>
      <c r="M104" s="698"/>
      <c r="N104" s="698"/>
      <c r="O104" s="698"/>
      <c r="P104" s="698"/>
      <c r="Q104" s="698"/>
      <c r="R104" s="698"/>
      <c r="S104" s="698"/>
      <c r="T104" s="698"/>
      <c r="U104" s="698"/>
      <c r="V104" s="698"/>
      <c r="W104" s="698"/>
      <c r="X104" s="698"/>
      <c r="Y104" s="698"/>
      <c r="Z104" s="698"/>
      <c r="AA104" s="698"/>
      <c r="AB104" s="698"/>
      <c r="AC104" s="698"/>
      <c r="AD104" s="698"/>
      <c r="AE104" s="698"/>
      <c r="AF104" s="698"/>
      <c r="AG104" s="698"/>
      <c r="AH104" s="698"/>
      <c r="AI104" s="698"/>
      <c r="AJ104" s="698"/>
      <c r="AK104" s="698"/>
      <c r="AL104" s="698"/>
      <c r="AM104" s="698"/>
      <c r="AN104" s="699"/>
    </row>
    <row r="105" spans="1:40" ht="45" hidden="1" customHeight="1">
      <c r="A105" s="713"/>
      <c r="B105" s="714"/>
      <c r="C105" s="697" t="e">
        <f>IF(ROUND('F5'!H6,2)=ROUND(#REF!,2),"","9.2. El TOTAL DEL ACTIVO del ESTADO ANALÍTICO DEL ACTIVO (F5) en la columna de SALDO FINAL, es diferente al TOTAL DEL ACTIVO en el ESTADO DE SITUACIÓN FINANCIERA (F1A), en la columna correspondiente al ejercicio "&amp;F185)</f>
        <v>#REF!</v>
      </c>
      <c r="D105" s="698"/>
      <c r="E105" s="698"/>
      <c r="F105" s="698"/>
      <c r="G105" s="698"/>
      <c r="H105" s="698"/>
      <c r="I105" s="698"/>
      <c r="J105" s="698"/>
      <c r="K105" s="698"/>
      <c r="L105" s="698"/>
      <c r="M105" s="698"/>
      <c r="N105" s="698"/>
      <c r="O105" s="698"/>
      <c r="P105" s="698"/>
      <c r="Q105" s="698"/>
      <c r="R105" s="698"/>
      <c r="S105" s="698"/>
      <c r="T105" s="698"/>
      <c r="U105" s="698"/>
      <c r="V105" s="698"/>
      <c r="W105" s="698"/>
      <c r="X105" s="698"/>
      <c r="Y105" s="698"/>
      <c r="Z105" s="698"/>
      <c r="AA105" s="698"/>
      <c r="AB105" s="698"/>
      <c r="AC105" s="698"/>
      <c r="AD105" s="698"/>
      <c r="AE105" s="698"/>
      <c r="AF105" s="698"/>
      <c r="AG105" s="698"/>
      <c r="AH105" s="698"/>
      <c r="AI105" s="698"/>
      <c r="AJ105" s="698"/>
      <c r="AK105" s="698"/>
      <c r="AL105" s="698"/>
      <c r="AM105" s="698"/>
      <c r="AN105" s="699"/>
    </row>
    <row r="106" spans="1:40" ht="45" hidden="1" customHeight="1">
      <c r="A106" s="709"/>
      <c r="B106" s="711"/>
      <c r="C106" s="697" t="str">
        <f>IF(ROUND(ABS('F5'!I6),2)=ROUND(ABS('F16'!E6-'F16'!F6),2),"","9.3. La cifra de la fila del rubro de ACTIVO de la columna de VARIACIÓN DEL PERIODO del ESTADO ANALÍTICO DEL ACTIVO (F5), es diferente a los rubros del ACTIVO en las columnas de ORIGEN O APLICACIÓN del ESTADO DE CAMBIOS EN LA SITUACIÓN FINANCIERA (F16)")</f>
        <v/>
      </c>
      <c r="D106" s="698"/>
      <c r="E106" s="698"/>
      <c r="F106" s="698"/>
      <c r="G106" s="698"/>
      <c r="H106" s="698"/>
      <c r="I106" s="698"/>
      <c r="J106" s="698"/>
      <c r="K106" s="698"/>
      <c r="L106" s="698"/>
      <c r="M106" s="698"/>
      <c r="N106" s="698"/>
      <c r="O106" s="698"/>
      <c r="P106" s="698"/>
      <c r="Q106" s="698"/>
      <c r="R106" s="698"/>
      <c r="S106" s="698"/>
      <c r="T106" s="698"/>
      <c r="U106" s="698"/>
      <c r="V106" s="698"/>
      <c r="W106" s="698"/>
      <c r="X106" s="698"/>
      <c r="Y106" s="698"/>
      <c r="Z106" s="698"/>
      <c r="AA106" s="698"/>
      <c r="AB106" s="698"/>
      <c r="AC106" s="698"/>
      <c r="AD106" s="698"/>
      <c r="AE106" s="698"/>
      <c r="AF106" s="698"/>
      <c r="AG106" s="698"/>
      <c r="AH106" s="698"/>
      <c r="AI106" s="698"/>
      <c r="AJ106" s="698"/>
      <c r="AK106" s="698"/>
      <c r="AL106" s="698"/>
      <c r="AM106" s="698"/>
      <c r="AN106" s="699"/>
    </row>
    <row r="107" spans="1:40" ht="45" customHeight="1">
      <c r="A107" s="720" t="s">
        <v>109</v>
      </c>
      <c r="B107" s="708"/>
      <c r="C107" s="697" t="e">
        <f>IF(ROUND((S57+S58),2)=ROUND(M57,2),"","10.1. El SALDO AL 1° DE ENERO DE "&amp;F185&amp;" con INSTITUCIONES DE CRÉDITO a corto y largo plazo del ESTADO E INFORME ANALÍTICO DE LA DEUDA PÚBLICA Y "&amp;"OTROS PASIVOS (F9-EDP), no es igual a la suma de los rubros 2131 y 2233 de la DEUDA PÚBLICA INTERNA POR PAGAR a corto y largo plazo columna ejercicio "&amp;F186&amp;" del ESTADO ANALÍTICO DE SITUACIÓN FINANCIERA (F1).")</f>
        <v>#REF!</v>
      </c>
      <c r="D107" s="698"/>
      <c r="E107" s="698"/>
      <c r="F107" s="698"/>
      <c r="G107" s="698"/>
      <c r="H107" s="698"/>
      <c r="I107" s="698"/>
      <c r="J107" s="698"/>
      <c r="K107" s="698"/>
      <c r="L107" s="698"/>
      <c r="M107" s="698"/>
      <c r="N107" s="698"/>
      <c r="O107" s="698"/>
      <c r="P107" s="698"/>
      <c r="Q107" s="698"/>
      <c r="R107" s="698"/>
      <c r="S107" s="698"/>
      <c r="T107" s="698"/>
      <c r="U107" s="698"/>
      <c r="V107" s="698"/>
      <c r="W107" s="698"/>
      <c r="X107" s="698"/>
      <c r="Y107" s="698"/>
      <c r="Z107" s="698"/>
      <c r="AA107" s="698"/>
      <c r="AB107" s="698"/>
      <c r="AC107" s="698"/>
      <c r="AD107" s="698"/>
      <c r="AE107" s="698"/>
      <c r="AF107" s="698"/>
      <c r="AG107" s="698"/>
      <c r="AH107" s="698"/>
      <c r="AI107" s="698"/>
      <c r="AJ107" s="698"/>
      <c r="AK107" s="698"/>
      <c r="AL107" s="698"/>
      <c r="AM107" s="698"/>
      <c r="AN107" s="699"/>
    </row>
    <row r="108" spans="1:40" ht="45" customHeight="1">
      <c r="A108" s="713"/>
      <c r="B108" s="714"/>
      <c r="C108" s="697" t="e">
        <f>IF(ROUND((S59+S60),2)=ROUND(M59,2),"","10.2. El SALDO AL 1° DE ENERO DE "&amp;F185&amp;" en TÍTULOS Y VALORES de corto y largo plazo, del ESTADO E INFORME ANALÍTICO DE LA DEUDA PÚBLICA Y OTROS "&amp;"PASIVOS (F9-EDP), no es igual a la suma de los rubro 2141 y 2231 TÍTULOS Y VALORES por pagar a corto y largo plazo columna ejercicio "&amp;F185&amp;" del ESTADO ANALÍTICO DE SITUACIÓN FINANCIERA (F1).")</f>
        <v>#REF!</v>
      </c>
      <c r="D108" s="698"/>
      <c r="E108" s="698"/>
      <c r="F108" s="698"/>
      <c r="G108" s="698"/>
      <c r="H108" s="698"/>
      <c r="I108" s="698"/>
      <c r="J108" s="698"/>
      <c r="K108" s="698"/>
      <c r="L108" s="698"/>
      <c r="M108" s="698"/>
      <c r="N108" s="698"/>
      <c r="O108" s="698"/>
      <c r="P108" s="698"/>
      <c r="Q108" s="698"/>
      <c r="R108" s="698"/>
      <c r="S108" s="698"/>
      <c r="T108" s="698"/>
      <c r="U108" s="698"/>
      <c r="V108" s="698"/>
      <c r="W108" s="698"/>
      <c r="X108" s="698"/>
      <c r="Y108" s="698"/>
      <c r="Z108" s="698"/>
      <c r="AA108" s="698"/>
      <c r="AB108" s="698"/>
      <c r="AC108" s="698"/>
      <c r="AD108" s="698"/>
      <c r="AE108" s="698"/>
      <c r="AF108" s="698"/>
      <c r="AG108" s="698"/>
      <c r="AH108" s="698"/>
      <c r="AI108" s="698"/>
      <c r="AJ108" s="698"/>
      <c r="AK108" s="698"/>
      <c r="AL108" s="698"/>
      <c r="AM108" s="698"/>
      <c r="AN108" s="699"/>
    </row>
    <row r="109" spans="1:40" ht="45" customHeight="1">
      <c r="A109" s="713"/>
      <c r="B109" s="714"/>
      <c r="C109" s="697" t="e">
        <f>IF(ROUND((S61+S62),2)=ROUND(M61,2),"","10.3. El SALDO AL 1° DE ENERO DE "&amp;F185&amp;" en ARRENDAMIENTO FINANCIERO de corto y largo plazo, del ESTADO E INFORME ANALÍTICO DE LA DEUDA PÚBLICA Y "&amp;"OTROS PASIVOS (F9-EDP), no es igual a los rubro de2133 Y 2235 ARRENDAMIENTO FINANCIERO por pagar a corto y largo plazo columna ejercicio "&amp;F186&amp;" del ESTADO ANALÍTICO DE SITUACIÓN FINANCIERA (F1).")</f>
        <v>#REF!</v>
      </c>
      <c r="D109" s="698"/>
      <c r="E109" s="698"/>
      <c r="F109" s="698"/>
      <c r="G109" s="698"/>
      <c r="H109" s="698"/>
      <c r="I109" s="698"/>
      <c r="J109" s="698"/>
      <c r="K109" s="698"/>
      <c r="L109" s="698"/>
      <c r="M109" s="698"/>
      <c r="N109" s="698"/>
      <c r="O109" s="698"/>
      <c r="P109" s="698"/>
      <c r="Q109" s="698"/>
      <c r="R109" s="698"/>
      <c r="S109" s="698"/>
      <c r="T109" s="698"/>
      <c r="U109" s="698"/>
      <c r="V109" s="698"/>
      <c r="W109" s="698"/>
      <c r="X109" s="698"/>
      <c r="Y109" s="698"/>
      <c r="Z109" s="698"/>
      <c r="AA109" s="698"/>
      <c r="AB109" s="698"/>
      <c r="AC109" s="698"/>
      <c r="AD109" s="698"/>
      <c r="AE109" s="698"/>
      <c r="AF109" s="698"/>
      <c r="AG109" s="698"/>
      <c r="AH109" s="698"/>
      <c r="AI109" s="698"/>
      <c r="AJ109" s="698"/>
      <c r="AK109" s="698"/>
      <c r="AL109" s="698"/>
      <c r="AM109" s="698"/>
      <c r="AN109" s="699"/>
    </row>
    <row r="110" spans="1:40" ht="45" customHeight="1">
      <c r="A110" s="713"/>
      <c r="B110" s="714"/>
      <c r="C110" s="697" t="e">
        <f>IF(ROUND(A57,2)=ROUND(G57,2),"","10.4. El SALDO DEL PERIODO con INSTITUCIONES DE CRÉDITO a corto plazo, del ESTADO E INFORME ANALÍTICO DE LA DEUDA PÚBLICA Y OTROS PASIVOS (F9-EDP), "&amp;"no es igual al rubro 2131 PORCIÓN DE LA DEUDA PÚBLICA INTERNA POR PAGAR A CORTO PLAZO columna ejercicio "&amp;F185&amp;" del ESTADO ANALÍTICO DE SITUACIÓN FINANCIERA (F1).")</f>
        <v>#REF!</v>
      </c>
      <c r="D110" s="698"/>
      <c r="E110" s="698"/>
      <c r="F110" s="698"/>
      <c r="G110" s="698"/>
      <c r="H110" s="698"/>
      <c r="I110" s="698"/>
      <c r="J110" s="698"/>
      <c r="K110" s="698"/>
      <c r="L110" s="698"/>
      <c r="M110" s="698"/>
      <c r="N110" s="698"/>
      <c r="O110" s="698"/>
      <c r="P110" s="698"/>
      <c r="Q110" s="698"/>
      <c r="R110" s="698"/>
      <c r="S110" s="698"/>
      <c r="T110" s="698"/>
      <c r="U110" s="698"/>
      <c r="V110" s="698"/>
      <c r="W110" s="698"/>
      <c r="X110" s="698"/>
      <c r="Y110" s="698"/>
      <c r="Z110" s="698"/>
      <c r="AA110" s="698"/>
      <c r="AB110" s="698"/>
      <c r="AC110" s="698"/>
      <c r="AD110" s="698"/>
      <c r="AE110" s="698"/>
      <c r="AF110" s="698"/>
      <c r="AG110" s="698"/>
      <c r="AH110" s="698"/>
      <c r="AI110" s="698"/>
      <c r="AJ110" s="698"/>
      <c r="AK110" s="698"/>
      <c r="AL110" s="698"/>
      <c r="AM110" s="698"/>
      <c r="AN110" s="699"/>
    </row>
    <row r="111" spans="1:40" ht="45" customHeight="1">
      <c r="A111" s="713"/>
      <c r="B111" s="714"/>
      <c r="C111" s="697" t="e">
        <f>IF(ROUND(A58,2)=ROUND(G58,2),"","10.5. El SALDO DEL PERIODO con INSTITUCIONES DE CRÉDITO a largo plazo, del ESTADO ANALÍTICO DE LA DEUDA PÚBLICA Y OTROS PASIVOS (F9-EDP), "&amp;"no es igual al rubro 2233 de PRÉSTAMOS DE LA DEUDA PÚBLICA INTERNA POR PAGAR A LARGO PLAZO columna ejercicio "&amp;F185&amp;" del ESTADO ANALÍTICO DE SITUACIÓN FINANCIERA (F1).")</f>
        <v>#REF!</v>
      </c>
      <c r="D111" s="698"/>
      <c r="E111" s="698"/>
      <c r="F111" s="698"/>
      <c r="G111" s="698"/>
      <c r="H111" s="698"/>
      <c r="I111" s="698"/>
      <c r="J111" s="698"/>
      <c r="K111" s="698"/>
      <c r="L111" s="698"/>
      <c r="M111" s="698"/>
      <c r="N111" s="698"/>
      <c r="O111" s="698"/>
      <c r="P111" s="698"/>
      <c r="Q111" s="698"/>
      <c r="R111" s="698"/>
      <c r="S111" s="698"/>
      <c r="T111" s="698"/>
      <c r="U111" s="698"/>
      <c r="V111" s="698"/>
      <c r="W111" s="698"/>
      <c r="X111" s="698"/>
      <c r="Y111" s="698"/>
      <c r="Z111" s="698"/>
      <c r="AA111" s="698"/>
      <c r="AB111" s="698"/>
      <c r="AC111" s="698"/>
      <c r="AD111" s="698"/>
      <c r="AE111" s="698"/>
      <c r="AF111" s="698"/>
      <c r="AG111" s="698"/>
      <c r="AH111" s="698"/>
      <c r="AI111" s="698"/>
      <c r="AJ111" s="698"/>
      <c r="AK111" s="698"/>
      <c r="AL111" s="698"/>
      <c r="AM111" s="698"/>
      <c r="AN111" s="699"/>
    </row>
    <row r="112" spans="1:40" ht="45" customHeight="1">
      <c r="A112" s="713"/>
      <c r="B112" s="714"/>
      <c r="C112" s="697" t="e">
        <f>IF(ROUND(A59,2)=ROUND(G59,2),"","10.6. El SALDO DEL PERIODO en TÍTULOS Y VALORES a corto plazo, del ESTADO E INFORME ANALÍTICO DE LA DEUDA PÚBLICA Y OTROS PASIVOS (F9-EDP), no es "&amp;"igual al rubro 2141 de TÍTULOS Y VALORES DE LA EUDA PÚBLICA INTERNA POR PAGAR A CORTO PLAZO columna ejercicio "&amp;F185&amp;" del ESTADO ANALÍTICO DE SITUACIÓN FINANCIERA (F1).")</f>
        <v>#REF!</v>
      </c>
      <c r="D112" s="698"/>
      <c r="E112" s="698"/>
      <c r="F112" s="698"/>
      <c r="G112" s="698"/>
      <c r="H112" s="698"/>
      <c r="I112" s="698"/>
      <c r="J112" s="698"/>
      <c r="K112" s="698"/>
      <c r="L112" s="698"/>
      <c r="M112" s="698"/>
      <c r="N112" s="698"/>
      <c r="O112" s="698"/>
      <c r="P112" s="698"/>
      <c r="Q112" s="698"/>
      <c r="R112" s="698"/>
      <c r="S112" s="698"/>
      <c r="T112" s="698"/>
      <c r="U112" s="698"/>
      <c r="V112" s="698"/>
      <c r="W112" s="698"/>
      <c r="X112" s="698"/>
      <c r="Y112" s="698"/>
      <c r="Z112" s="698"/>
      <c r="AA112" s="698"/>
      <c r="AB112" s="698"/>
      <c r="AC112" s="698"/>
      <c r="AD112" s="698"/>
      <c r="AE112" s="698"/>
      <c r="AF112" s="698"/>
      <c r="AG112" s="698"/>
      <c r="AH112" s="698"/>
      <c r="AI112" s="698"/>
      <c r="AJ112" s="698"/>
      <c r="AK112" s="698"/>
      <c r="AL112" s="698"/>
      <c r="AM112" s="698"/>
      <c r="AN112" s="699"/>
    </row>
    <row r="113" spans="1:40" ht="45" customHeight="1">
      <c r="A113" s="713"/>
      <c r="B113" s="714"/>
      <c r="C113" s="697" t="e">
        <f>IF(ROUND(A60,2)=ROUND(G60,2),"","10.7. El SALDO DEL PERIODO en TÍTULOS Y VALORES a largo plazo, del ESTADO E INFORME ANALÍTICO DE LA DEUDA PÚBLICA Y OTROS PASIVOS (F9-EDP), no es "&amp;"igual al rubro 2231 de TÍTULOS Y VALORES DE LA DEUDA PÚBLICA INTERNA POR PAGAR A LARGO PLAZO columna ejercicio "&amp;F185&amp;" del ESTADO ANALÍTICO DE SITUACIÓN FINANCIERA (F1).")</f>
        <v>#REF!</v>
      </c>
      <c r="D113" s="698"/>
      <c r="E113" s="698"/>
      <c r="F113" s="698"/>
      <c r="G113" s="698"/>
      <c r="H113" s="698"/>
      <c r="I113" s="698"/>
      <c r="J113" s="698"/>
      <c r="K113" s="698"/>
      <c r="L113" s="698"/>
      <c r="M113" s="698"/>
      <c r="N113" s="698"/>
      <c r="O113" s="698"/>
      <c r="P113" s="698"/>
      <c r="Q113" s="698"/>
      <c r="R113" s="698"/>
      <c r="S113" s="698"/>
      <c r="T113" s="698"/>
      <c r="U113" s="698"/>
      <c r="V113" s="698"/>
      <c r="W113" s="698"/>
      <c r="X113" s="698"/>
      <c r="Y113" s="698"/>
      <c r="Z113" s="698"/>
      <c r="AA113" s="698"/>
      <c r="AB113" s="698"/>
      <c r="AC113" s="698"/>
      <c r="AD113" s="698"/>
      <c r="AE113" s="698"/>
      <c r="AF113" s="698"/>
      <c r="AG113" s="698"/>
      <c r="AH113" s="698"/>
      <c r="AI113" s="698"/>
      <c r="AJ113" s="698"/>
      <c r="AK113" s="698"/>
      <c r="AL113" s="698"/>
      <c r="AM113" s="698"/>
      <c r="AN113" s="699"/>
    </row>
    <row r="114" spans="1:40" ht="45" customHeight="1">
      <c r="A114" s="713"/>
      <c r="B114" s="714"/>
      <c r="C114" s="697" t="e">
        <f>IF(ROUND(A61,2)=ROUND(G61,2),"","10.8. El SALDO DEL PERIODO en ARRENDAMIENTO FINANCIERO a corto plazo, del ESTADO E INFORME ANALÍTICO DE LA DEUDA PÚBLICA Y OTROS PASIVOS"&amp;" (F9-EDP), no es igual al rubro 2133 de la PORCIÓN DE ARRENDAMIENTO FINANCIERO DE LA DEUDA PÚBLICA INTERGA POR PAGAR A CORTO PLAZO columna ejercicio "&amp;F185&amp;" del ESTADO ANALÍTICO DE SITUACIÓN FINANCIERA (F1).")</f>
        <v>#REF!</v>
      </c>
      <c r="D114" s="698"/>
      <c r="E114" s="698"/>
      <c r="F114" s="698"/>
      <c r="G114" s="698"/>
      <c r="H114" s="698"/>
      <c r="I114" s="698"/>
      <c r="J114" s="698"/>
      <c r="K114" s="698"/>
      <c r="L114" s="698"/>
      <c r="M114" s="698"/>
      <c r="N114" s="698"/>
      <c r="O114" s="698"/>
      <c r="P114" s="698"/>
      <c r="Q114" s="698"/>
      <c r="R114" s="698"/>
      <c r="S114" s="698"/>
      <c r="T114" s="698"/>
      <c r="U114" s="698"/>
      <c r="V114" s="698"/>
      <c r="W114" s="698"/>
      <c r="X114" s="698"/>
      <c r="Y114" s="698"/>
      <c r="Z114" s="698"/>
      <c r="AA114" s="698"/>
      <c r="AB114" s="698"/>
      <c r="AC114" s="698"/>
      <c r="AD114" s="698"/>
      <c r="AE114" s="698"/>
      <c r="AF114" s="698"/>
      <c r="AG114" s="698"/>
      <c r="AH114" s="698"/>
      <c r="AI114" s="698"/>
      <c r="AJ114" s="698"/>
      <c r="AK114" s="698"/>
      <c r="AL114" s="698"/>
      <c r="AM114" s="698"/>
      <c r="AN114" s="699"/>
    </row>
    <row r="115" spans="1:40" ht="45" customHeight="1">
      <c r="A115" s="713"/>
      <c r="B115" s="714"/>
      <c r="C115" s="697" t="e">
        <f>IF(ROUND(A62,2)=ROUND(G62,2),"","10.9. El SALDO DEL PERIODO en ARRENDAMIENTO FINANCIERO A LARGO PLAZO del ESTADO E INFORME ANALÍTICO DE LA DEUDA PÚBLICA Y OTROS PASIVOS (F9-EDP), "&amp;"no es igual al rubro 2235 de ARRENDAMIENTO FINANCIERO DE LA DEUDA PÚBLICA INTERNA POR PAGAR A LARGO PLAZO columna ejercicio "&amp;F185&amp;" del ESTADO DE SITUACIÓN FINANCIERA (F1).")</f>
        <v>#REF!</v>
      </c>
      <c r="D115" s="698"/>
      <c r="E115" s="698"/>
      <c r="F115" s="698"/>
      <c r="G115" s="698"/>
      <c r="H115" s="698"/>
      <c r="I115" s="698"/>
      <c r="J115" s="698"/>
      <c r="K115" s="698"/>
      <c r="L115" s="698"/>
      <c r="M115" s="698"/>
      <c r="N115" s="698"/>
      <c r="O115" s="698"/>
      <c r="P115" s="698"/>
      <c r="Q115" s="698"/>
      <c r="R115" s="698"/>
      <c r="S115" s="698"/>
      <c r="T115" s="698"/>
      <c r="U115" s="698"/>
      <c r="V115" s="698"/>
      <c r="W115" s="698"/>
      <c r="X115" s="698"/>
      <c r="Y115" s="698"/>
      <c r="Z115" s="698"/>
      <c r="AA115" s="698"/>
      <c r="AB115" s="698"/>
      <c r="AC115" s="698"/>
      <c r="AD115" s="698"/>
      <c r="AE115" s="698"/>
      <c r="AF115" s="698"/>
      <c r="AG115" s="698"/>
      <c r="AH115" s="698"/>
      <c r="AI115" s="698"/>
      <c r="AJ115" s="698"/>
      <c r="AK115" s="698"/>
      <c r="AL115" s="698"/>
      <c r="AM115" s="698"/>
      <c r="AN115" s="699"/>
    </row>
    <row r="116" spans="1:40" ht="45" customHeight="1">
      <c r="A116" s="713"/>
      <c r="B116" s="714"/>
      <c r="C116" s="697" t="e">
        <f>IF(ROUND(#REF!,2)=ROUND('F1'!BN80,2),"","10.10. El TOTAL DE LA DEUDA PÚBLICA Y OTROS PASIVOS al inicio del ejercicio "&amp;F185&amp;" del ESTADO E INFORME ANALÍTICO DE LA DEUDA PÚBLICA Y OTROS PASIVOS (F9-EDP), "&amp;"no es igua al TOTAL DEL PASIVO columna del ejercicio "&amp;F186&amp;" del ESTADO DE SITUACIÓN FINANCIERA (F1).")</f>
        <v>#REF!</v>
      </c>
      <c r="D116" s="698"/>
      <c r="E116" s="698"/>
      <c r="F116" s="698"/>
      <c r="G116" s="698"/>
      <c r="H116" s="698"/>
      <c r="I116" s="698"/>
      <c r="J116" s="698"/>
      <c r="K116" s="698"/>
      <c r="L116" s="698"/>
      <c r="M116" s="698"/>
      <c r="N116" s="698"/>
      <c r="O116" s="698"/>
      <c r="P116" s="698"/>
      <c r="Q116" s="698"/>
      <c r="R116" s="698"/>
      <c r="S116" s="698"/>
      <c r="T116" s="698"/>
      <c r="U116" s="698"/>
      <c r="V116" s="698"/>
      <c r="W116" s="698"/>
      <c r="X116" s="698"/>
      <c r="Y116" s="698"/>
      <c r="Z116" s="698"/>
      <c r="AA116" s="698"/>
      <c r="AB116" s="698"/>
      <c r="AC116" s="698"/>
      <c r="AD116" s="698"/>
      <c r="AE116" s="698"/>
      <c r="AF116" s="698"/>
      <c r="AG116" s="698"/>
      <c r="AH116" s="698"/>
      <c r="AI116" s="698"/>
      <c r="AJ116" s="698"/>
      <c r="AK116" s="698"/>
      <c r="AL116" s="698"/>
      <c r="AM116" s="698"/>
      <c r="AN116" s="699"/>
    </row>
    <row r="117" spans="1:40" ht="45" customHeight="1">
      <c r="A117" s="709"/>
      <c r="B117" s="711"/>
      <c r="C117" s="697" t="e">
        <f>IF(ROUND(#REF!,2)=ROUND('F1'!BM80,2),"","10.11. El TOTAL DE LA DEUDA PÚBLICA Y OTROS PASIVOS del ejercicio "&amp;F185&amp;" del ESTADO E INFORME ANALÍTICO DE LA DEUDA PÚLICA Y OTROS PASIVOS (F9-EDP), no es igua al TOTAL DEL PASIVO columna del ejercicio "&amp;F185&amp;" en el ESTADO DE SITUACIÓN FINANCIERA (F1).")</f>
        <v>#REF!</v>
      </c>
      <c r="D117" s="698"/>
      <c r="E117" s="698"/>
      <c r="F117" s="698"/>
      <c r="G117" s="698"/>
      <c r="H117" s="698"/>
      <c r="I117" s="698"/>
      <c r="J117" s="698"/>
      <c r="K117" s="698"/>
      <c r="L117" s="698"/>
      <c r="M117" s="698"/>
      <c r="N117" s="698"/>
      <c r="O117" s="698"/>
      <c r="P117" s="698"/>
      <c r="Q117" s="698"/>
      <c r="R117" s="698"/>
      <c r="S117" s="698"/>
      <c r="T117" s="698"/>
      <c r="U117" s="698"/>
      <c r="V117" s="698"/>
      <c r="W117" s="698"/>
      <c r="X117" s="698"/>
      <c r="Y117" s="698"/>
      <c r="Z117" s="698"/>
      <c r="AA117" s="698"/>
      <c r="AB117" s="698"/>
      <c r="AC117" s="698"/>
      <c r="AD117" s="698"/>
      <c r="AE117" s="698"/>
      <c r="AF117" s="698"/>
      <c r="AG117" s="698"/>
      <c r="AH117" s="698"/>
      <c r="AI117" s="698"/>
      <c r="AJ117" s="698"/>
      <c r="AK117" s="698"/>
      <c r="AL117" s="698"/>
      <c r="AM117" s="698"/>
      <c r="AN117" s="699"/>
    </row>
    <row r="118" spans="1:40" ht="45" hidden="1" customHeight="1">
      <c r="A118" s="712" t="s">
        <v>110</v>
      </c>
      <c r="B118" s="708"/>
      <c r="C118" s="697" t="str">
        <f>IF(ROUND('F7'!C17,2)=ROUND('F12'!C17,2),"","11.1. El TOTAL DE INGRESOS momento ESTIMADO del ESTADO ANALÍTICO DE INGRESOS (F7),"&amp;" no es igual al TOTAL INGRESOS del FLUJO CONTABLE DE INGRESOS Y EGRESOS (F12) columna ESTIMADO.")</f>
        <v/>
      </c>
      <c r="D118" s="698"/>
      <c r="E118" s="698"/>
      <c r="F118" s="698"/>
      <c r="G118" s="698"/>
      <c r="H118" s="698"/>
      <c r="I118" s="698"/>
      <c r="J118" s="698"/>
      <c r="K118" s="698"/>
      <c r="L118" s="698"/>
      <c r="M118" s="698"/>
      <c r="N118" s="698"/>
      <c r="O118" s="698"/>
      <c r="P118" s="698"/>
      <c r="Q118" s="698"/>
      <c r="R118" s="698"/>
      <c r="S118" s="698"/>
      <c r="T118" s="698"/>
      <c r="U118" s="698"/>
      <c r="V118" s="698"/>
      <c r="W118" s="698"/>
      <c r="X118" s="698"/>
      <c r="Y118" s="698"/>
      <c r="Z118" s="698"/>
      <c r="AA118" s="698"/>
      <c r="AB118" s="698"/>
      <c r="AC118" s="698"/>
      <c r="AD118" s="698"/>
      <c r="AE118" s="698"/>
      <c r="AF118" s="698"/>
      <c r="AG118" s="698"/>
      <c r="AH118" s="698"/>
      <c r="AI118" s="698"/>
      <c r="AJ118" s="698"/>
      <c r="AK118" s="698"/>
      <c r="AL118" s="698"/>
      <c r="AM118" s="698"/>
      <c r="AN118" s="699"/>
    </row>
    <row r="119" spans="1:40" ht="45" hidden="1" customHeight="1">
      <c r="A119" s="713"/>
      <c r="B119" s="714"/>
      <c r="C119" s="697" t="str">
        <f>IF(ROUND('F7'!D17,2)=ROUND('F12'!D17,2),"","11.2. El TOTAL DE INGRESOS de la AMPLIACIONES Y REDUCCIONES del ESTADO ANALÍTICO DE INGRESOS (F7),"&amp;" no es igual al TOTAL INGRESOS del FLUJO CONTABLE DE INGRESOS Y EGRESOS (F12) columna AMPLIACIÓN Y REDUCCIÓN.")</f>
        <v/>
      </c>
      <c r="D119" s="698"/>
      <c r="E119" s="698"/>
      <c r="F119" s="698"/>
      <c r="G119" s="698"/>
      <c r="H119" s="698"/>
      <c r="I119" s="698"/>
      <c r="J119" s="698"/>
      <c r="K119" s="698"/>
      <c r="L119" s="698"/>
      <c r="M119" s="698"/>
      <c r="N119" s="698"/>
      <c r="O119" s="698"/>
      <c r="P119" s="698"/>
      <c r="Q119" s="698"/>
      <c r="R119" s="698"/>
      <c r="S119" s="698"/>
      <c r="T119" s="698"/>
      <c r="U119" s="698"/>
      <c r="V119" s="698"/>
      <c r="W119" s="698"/>
      <c r="X119" s="698"/>
      <c r="Y119" s="698"/>
      <c r="Z119" s="698"/>
      <c r="AA119" s="698"/>
      <c r="AB119" s="698"/>
      <c r="AC119" s="698"/>
      <c r="AD119" s="698"/>
      <c r="AE119" s="698"/>
      <c r="AF119" s="698"/>
      <c r="AG119" s="698"/>
      <c r="AH119" s="698"/>
      <c r="AI119" s="698"/>
      <c r="AJ119" s="698"/>
      <c r="AK119" s="698"/>
      <c r="AL119" s="698"/>
      <c r="AM119" s="698"/>
      <c r="AN119" s="699"/>
    </row>
    <row r="120" spans="1:40" ht="45" hidden="1" customHeight="1">
      <c r="A120" s="713"/>
      <c r="B120" s="714"/>
      <c r="C120" s="697" t="str">
        <f>IF(ROUND('F7'!F17,2)=ROUND('F12'!F17,2),"","11.3. El TOTAL DE INGRESOS del momento DEVENGADO del ESTADO ANALÍTICO DE INGRESOS (F7),"&amp;" no es igual al TOTAL INGRESOS del FLUJO CONTABLE DE INGRESOS Y EGRESOS (F12) columna DEVENGADO.")</f>
        <v/>
      </c>
      <c r="D120" s="698"/>
      <c r="E120" s="698"/>
      <c r="F120" s="698"/>
      <c r="G120" s="698"/>
      <c r="H120" s="698"/>
      <c r="I120" s="698"/>
      <c r="J120" s="698"/>
      <c r="K120" s="698"/>
      <c r="L120" s="698"/>
      <c r="M120" s="698"/>
      <c r="N120" s="698"/>
      <c r="O120" s="698"/>
      <c r="P120" s="698"/>
      <c r="Q120" s="698"/>
      <c r="R120" s="698"/>
      <c r="S120" s="698"/>
      <c r="T120" s="698"/>
      <c r="U120" s="698"/>
      <c r="V120" s="698"/>
      <c r="W120" s="698"/>
      <c r="X120" s="698"/>
      <c r="Y120" s="698"/>
      <c r="Z120" s="698"/>
      <c r="AA120" s="698"/>
      <c r="AB120" s="698"/>
      <c r="AC120" s="698"/>
      <c r="AD120" s="698"/>
      <c r="AE120" s="698"/>
      <c r="AF120" s="698"/>
      <c r="AG120" s="698"/>
      <c r="AH120" s="698"/>
      <c r="AI120" s="698"/>
      <c r="AJ120" s="698"/>
      <c r="AK120" s="698"/>
      <c r="AL120" s="698"/>
      <c r="AM120" s="698"/>
      <c r="AN120" s="699"/>
    </row>
    <row r="121" spans="1:40" ht="45" hidden="1" customHeight="1">
      <c r="A121" s="713"/>
      <c r="B121" s="714"/>
      <c r="C121" s="697" t="str">
        <f>IF(ROUND('F8'!C80,2)=ROUND('F12'!C30,2),"","11.4. El TOTAL DE EGRESOS del momento APROBADO del ESTADO ANALÍTICO DEL EJERCICIO DEL PRESUPUESTO DE EGRESOS (F8),"&amp;" no es igual al TOTAL DE EGRESOS del FLUJO CONTABLE DE INGRESOS Y EGRESOS (F12) columna APROBADO.")</f>
        <v/>
      </c>
      <c r="D121" s="698"/>
      <c r="E121" s="698"/>
      <c r="F121" s="698"/>
      <c r="G121" s="698"/>
      <c r="H121" s="698"/>
      <c r="I121" s="698"/>
      <c r="J121" s="698"/>
      <c r="K121" s="698"/>
      <c r="L121" s="698"/>
      <c r="M121" s="698"/>
      <c r="N121" s="698"/>
      <c r="O121" s="698"/>
      <c r="P121" s="698"/>
      <c r="Q121" s="698"/>
      <c r="R121" s="698"/>
      <c r="S121" s="698"/>
      <c r="T121" s="698"/>
      <c r="U121" s="698"/>
      <c r="V121" s="698"/>
      <c r="W121" s="698"/>
      <c r="X121" s="698"/>
      <c r="Y121" s="698"/>
      <c r="Z121" s="698"/>
      <c r="AA121" s="698"/>
      <c r="AB121" s="698"/>
      <c r="AC121" s="698"/>
      <c r="AD121" s="698"/>
      <c r="AE121" s="698"/>
      <c r="AF121" s="698"/>
      <c r="AG121" s="698"/>
      <c r="AH121" s="698"/>
      <c r="AI121" s="698"/>
      <c r="AJ121" s="698"/>
      <c r="AK121" s="698"/>
      <c r="AL121" s="698"/>
      <c r="AM121" s="698"/>
      <c r="AN121" s="699"/>
    </row>
    <row r="122" spans="1:40" ht="45" hidden="1" customHeight="1">
      <c r="A122" s="713"/>
      <c r="B122" s="714"/>
      <c r="C122" s="697" t="str">
        <f>IF(ROUND('F8'!D80,2)=ROUND('F12'!D30,2),"","11.5. El TOTAL DE EGRESOS de las AMPLIACIONES Y REDUCCIONES del ESTADO ANALÍTICO DEL EJERCICIO DEL PRESUPUESTO DE EGRESOS (F8),"&amp;" no es igual al TOTAL EGRESOS del FLUJO CONTABLE DE INGRESOS Y EGRESOS (F12) columna AMPLIACIÓN Y REDUCCIÓN.")</f>
        <v/>
      </c>
      <c r="D122" s="698"/>
      <c r="E122" s="698"/>
      <c r="F122" s="698"/>
      <c r="G122" s="698"/>
      <c r="H122" s="698"/>
      <c r="I122" s="698"/>
      <c r="J122" s="698"/>
      <c r="K122" s="698"/>
      <c r="L122" s="698"/>
      <c r="M122" s="698"/>
      <c r="N122" s="698"/>
      <c r="O122" s="698"/>
      <c r="P122" s="698"/>
      <c r="Q122" s="698"/>
      <c r="R122" s="698"/>
      <c r="S122" s="698"/>
      <c r="T122" s="698"/>
      <c r="U122" s="698"/>
      <c r="V122" s="698"/>
      <c r="W122" s="698"/>
      <c r="X122" s="698"/>
      <c r="Y122" s="698"/>
      <c r="Z122" s="698"/>
      <c r="AA122" s="698"/>
      <c r="AB122" s="698"/>
      <c r="AC122" s="698"/>
      <c r="AD122" s="698"/>
      <c r="AE122" s="698"/>
      <c r="AF122" s="698"/>
      <c r="AG122" s="698"/>
      <c r="AH122" s="698"/>
      <c r="AI122" s="698"/>
      <c r="AJ122" s="698"/>
      <c r="AK122" s="698"/>
      <c r="AL122" s="698"/>
      <c r="AM122" s="698"/>
      <c r="AN122" s="699"/>
    </row>
    <row r="123" spans="1:40" ht="45" hidden="1" customHeight="1">
      <c r="A123" s="709"/>
      <c r="B123" s="711"/>
      <c r="C123" s="697" t="str">
        <f>IF(ROUND('F8'!F80,2)=ROUND('F12'!F30,2),"","11.6. El TOTAL DE EGRESOS del momento DEVENGADO del ESTADO ANALÍTICO DEL EJERCICIO DEL PRESUPUESTO DE EGRESOS (F8),"&amp;" no es igual al TOTAL EGRESOS del FLUJO CONTABLE DE INGRESOS Y EGRESOS (F12) columna DEVENGADO.")</f>
        <v/>
      </c>
      <c r="D123" s="698"/>
      <c r="E123" s="698"/>
      <c r="F123" s="698"/>
      <c r="G123" s="698"/>
      <c r="H123" s="698"/>
      <c r="I123" s="698"/>
      <c r="J123" s="698"/>
      <c r="K123" s="698"/>
      <c r="L123" s="698"/>
      <c r="M123" s="698"/>
      <c r="N123" s="698"/>
      <c r="O123" s="698"/>
      <c r="P123" s="698"/>
      <c r="Q123" s="698"/>
      <c r="R123" s="698"/>
      <c r="S123" s="698"/>
      <c r="T123" s="698"/>
      <c r="U123" s="698"/>
      <c r="V123" s="698"/>
      <c r="W123" s="698"/>
      <c r="X123" s="698"/>
      <c r="Y123" s="698"/>
      <c r="Z123" s="698"/>
      <c r="AA123" s="698"/>
      <c r="AB123" s="698"/>
      <c r="AC123" s="698"/>
      <c r="AD123" s="698"/>
      <c r="AE123" s="698"/>
      <c r="AF123" s="698"/>
      <c r="AG123" s="698"/>
      <c r="AH123" s="698"/>
      <c r="AI123" s="698"/>
      <c r="AJ123" s="698"/>
      <c r="AK123" s="698"/>
      <c r="AL123" s="698"/>
      <c r="AM123" s="698"/>
      <c r="AN123" s="699"/>
    </row>
    <row r="124" spans="1:40" ht="45" hidden="1" customHeight="1">
      <c r="A124" s="717" t="s">
        <v>111</v>
      </c>
      <c r="B124" s="708"/>
      <c r="C124" s="697" t="str">
        <f>IF(ROUND('F7'!C17,2)=ROUND(F7B!C64,2),"","12.1. El TOTAL DE INGRESOS del momento ESTIMADO del ESTADO ANALÍTICO DE INGRESOS DETALLADO - LDF (F7B),"&amp;" no es igual al ESTADO ANALÍTICO DE INGRESOS (F7) columna ESTIMADO.")</f>
        <v/>
      </c>
      <c r="D124" s="698"/>
      <c r="E124" s="698"/>
      <c r="F124" s="698"/>
      <c r="G124" s="698"/>
      <c r="H124" s="698"/>
      <c r="I124" s="698"/>
      <c r="J124" s="698"/>
      <c r="K124" s="698"/>
      <c r="L124" s="698"/>
      <c r="M124" s="698"/>
      <c r="N124" s="698"/>
      <c r="O124" s="698"/>
      <c r="P124" s="698"/>
      <c r="Q124" s="698"/>
      <c r="R124" s="698"/>
      <c r="S124" s="698"/>
      <c r="T124" s="698"/>
      <c r="U124" s="698"/>
      <c r="V124" s="698"/>
      <c r="W124" s="698"/>
      <c r="X124" s="698"/>
      <c r="Y124" s="698"/>
      <c r="Z124" s="698"/>
      <c r="AA124" s="698"/>
      <c r="AB124" s="698"/>
      <c r="AC124" s="698"/>
      <c r="AD124" s="698"/>
      <c r="AE124" s="698"/>
      <c r="AF124" s="698"/>
      <c r="AG124" s="698"/>
      <c r="AH124" s="698"/>
      <c r="AI124" s="698"/>
      <c r="AJ124" s="698"/>
      <c r="AK124" s="698"/>
      <c r="AL124" s="698"/>
      <c r="AM124" s="698"/>
      <c r="AN124" s="699"/>
    </row>
    <row r="125" spans="1:40" ht="45" hidden="1" customHeight="1">
      <c r="A125" s="718"/>
      <c r="B125" s="714"/>
      <c r="C125" s="697" t="str">
        <f>IF(ROUND('F7'!D17,2)=ROUND(F7B!D64,2),"","12.2. El TOTAL DE INGRESOS del momento MODIFICADO del ESTADO ANALÍTICO DE INGRESOS DETALLADO - LDF (F7B),"&amp;" no es igual al ESTADO ANALÍTICO DE INGRESOS (F7) columna MODIFICADO.")</f>
        <v/>
      </c>
      <c r="D125" s="698"/>
      <c r="E125" s="698"/>
      <c r="F125" s="698"/>
      <c r="G125" s="698"/>
      <c r="H125" s="698"/>
      <c r="I125" s="698"/>
      <c r="J125" s="698"/>
      <c r="K125" s="698"/>
      <c r="L125" s="698"/>
      <c r="M125" s="698"/>
      <c r="N125" s="698"/>
      <c r="O125" s="698"/>
      <c r="P125" s="698"/>
      <c r="Q125" s="698"/>
      <c r="R125" s="698"/>
      <c r="S125" s="698"/>
      <c r="T125" s="698"/>
      <c r="U125" s="698"/>
      <c r="V125" s="698"/>
      <c r="W125" s="698"/>
      <c r="X125" s="698"/>
      <c r="Y125" s="698"/>
      <c r="Z125" s="698"/>
      <c r="AA125" s="698"/>
      <c r="AB125" s="698"/>
      <c r="AC125" s="698"/>
      <c r="AD125" s="698"/>
      <c r="AE125" s="698"/>
      <c r="AF125" s="698"/>
      <c r="AG125" s="698"/>
      <c r="AH125" s="698"/>
      <c r="AI125" s="698"/>
      <c r="AJ125" s="698"/>
      <c r="AK125" s="698"/>
      <c r="AL125" s="698"/>
      <c r="AM125" s="698"/>
      <c r="AN125" s="699"/>
    </row>
    <row r="126" spans="1:40" ht="45" hidden="1" customHeight="1">
      <c r="A126" s="718"/>
      <c r="B126" s="714"/>
      <c r="C126" s="697" t="str">
        <f>IF(ROUND('F7'!F17,2)=ROUND(F7B!F64,2),"","12.3. El TOTAL DE INGRESOS del momento DEVENGADO del ESTADO ANALÍTICO DE INGRESOS DETALLADO - LDF (F7B),"&amp;" no es igual al ESTADO ANALÍTICO DE INGRESOS (F7) columna DEVENGADO.")</f>
        <v/>
      </c>
      <c r="D126" s="698"/>
      <c r="E126" s="698"/>
      <c r="F126" s="698"/>
      <c r="G126" s="698"/>
      <c r="H126" s="698"/>
      <c r="I126" s="698"/>
      <c r="J126" s="698"/>
      <c r="K126" s="698"/>
      <c r="L126" s="698"/>
      <c r="M126" s="698"/>
      <c r="N126" s="698"/>
      <c r="O126" s="698"/>
      <c r="P126" s="698"/>
      <c r="Q126" s="698"/>
      <c r="R126" s="698"/>
      <c r="S126" s="698"/>
      <c r="T126" s="698"/>
      <c r="U126" s="698"/>
      <c r="V126" s="698"/>
      <c r="W126" s="698"/>
      <c r="X126" s="698"/>
      <c r="Y126" s="698"/>
      <c r="Z126" s="698"/>
      <c r="AA126" s="698"/>
      <c r="AB126" s="698"/>
      <c r="AC126" s="698"/>
      <c r="AD126" s="698"/>
      <c r="AE126" s="698"/>
      <c r="AF126" s="698"/>
      <c r="AG126" s="698"/>
      <c r="AH126" s="698"/>
      <c r="AI126" s="698"/>
      <c r="AJ126" s="698"/>
      <c r="AK126" s="698"/>
      <c r="AL126" s="698"/>
      <c r="AM126" s="698"/>
      <c r="AN126" s="699"/>
    </row>
    <row r="127" spans="1:40" ht="45" hidden="1" customHeight="1">
      <c r="A127" s="718"/>
      <c r="B127" s="714"/>
      <c r="C127" s="697" t="str">
        <f>IF(ROUND('F7'!G17,2)=ROUND(F7B!G64,2),"","12.4. El TOTAL DE INGRESOS del momento RECAUDADO del ESTADO ANALÍTICO DE INGRESOS DETALLADO - LDF (F7B),"&amp;" no es igual al ESTADO ANALÍTICO DE INGRESOS (F7) columna RECAUDADO.")</f>
        <v/>
      </c>
      <c r="D127" s="698"/>
      <c r="E127" s="698"/>
      <c r="F127" s="698"/>
      <c r="G127" s="698"/>
      <c r="H127" s="698"/>
      <c r="I127" s="698"/>
      <c r="J127" s="698"/>
      <c r="K127" s="698"/>
      <c r="L127" s="698"/>
      <c r="M127" s="698"/>
      <c r="N127" s="698"/>
      <c r="O127" s="698"/>
      <c r="P127" s="698"/>
      <c r="Q127" s="698"/>
      <c r="R127" s="698"/>
      <c r="S127" s="698"/>
      <c r="T127" s="698"/>
      <c r="U127" s="698"/>
      <c r="V127" s="698"/>
      <c r="W127" s="698"/>
      <c r="X127" s="698"/>
      <c r="Y127" s="698"/>
      <c r="Z127" s="698"/>
      <c r="AA127" s="698"/>
      <c r="AB127" s="698"/>
      <c r="AC127" s="698"/>
      <c r="AD127" s="698"/>
      <c r="AE127" s="698"/>
      <c r="AF127" s="698"/>
      <c r="AG127" s="698"/>
      <c r="AH127" s="698"/>
      <c r="AI127" s="698"/>
      <c r="AJ127" s="698"/>
      <c r="AK127" s="698"/>
      <c r="AL127" s="698"/>
      <c r="AM127" s="698"/>
      <c r="AN127" s="699"/>
    </row>
    <row r="128" spans="1:40" ht="45" hidden="1" customHeight="1">
      <c r="A128" s="718"/>
      <c r="B128" s="714"/>
      <c r="C128" s="697" t="str">
        <f>IF(ROUND(F7B!C39,2)+ROUND(F7B!C68,2)=ROUND(F8B!D7,2),"","12.5. No existe equilibro entre los ingresos ESTIMADO de recursos no etiquetados del ESTADO ANALÍTICO DE INGRESOS DETALLADO - LDF (F7B),"&amp;" y el ESTADO ANALÍTICO DEL EJERCICIO DEL PRESUPUESTO DE EGRESOS DETALLADO - LDF (F8B) columna APROBADO de recurso no etiquetado.")</f>
        <v>12.5. No existe equilibro entre los ingresos ESTIMADO de recursos no etiquetados del ESTADO ANALÍTICO DE INGRESOS DETALLADO - LDF (F7B), y el ESTADO ANALÍTICO DEL EJERCICIO DEL PRESUPUESTO DE EGRESOS DETALLADO - LDF (F8B) columna APROBADO de recurso no etiquetado.</v>
      </c>
      <c r="D128" s="698"/>
      <c r="E128" s="698"/>
      <c r="F128" s="698"/>
      <c r="G128" s="698"/>
      <c r="H128" s="698"/>
      <c r="I128" s="698"/>
      <c r="J128" s="698"/>
      <c r="K128" s="698"/>
      <c r="L128" s="698"/>
      <c r="M128" s="698"/>
      <c r="N128" s="698"/>
      <c r="O128" s="698"/>
      <c r="P128" s="698"/>
      <c r="Q128" s="698"/>
      <c r="R128" s="698"/>
      <c r="S128" s="698"/>
      <c r="T128" s="698"/>
      <c r="U128" s="698"/>
      <c r="V128" s="698"/>
      <c r="W128" s="698"/>
      <c r="X128" s="698"/>
      <c r="Y128" s="698"/>
      <c r="Z128" s="698"/>
      <c r="AA128" s="698"/>
      <c r="AB128" s="698"/>
      <c r="AC128" s="698"/>
      <c r="AD128" s="698"/>
      <c r="AE128" s="698"/>
      <c r="AF128" s="698"/>
      <c r="AG128" s="698"/>
      <c r="AH128" s="698"/>
      <c r="AI128" s="698"/>
      <c r="AJ128" s="698"/>
      <c r="AK128" s="698"/>
      <c r="AL128" s="698"/>
      <c r="AM128" s="698"/>
      <c r="AN128" s="699"/>
    </row>
    <row r="129" spans="1:40" ht="45" hidden="1" customHeight="1">
      <c r="A129" s="718"/>
      <c r="B129" s="714"/>
      <c r="C129" s="697" t="str">
        <f>IF(ROUND(F7B!C61,2)=ROUND(F8B!D81,2),"","12.6. No existe equilibrio entre los ingresos ESTIMADO de recursos etiquetados del ESTADO ANALÍTICO DE INGRESOS DETALLADO - LDF (F7B),"&amp;" y el ESTADO ANALÍTICO DEL EJERCICIO DEL PRESUPUESTO DE EGRESOS DETALLADO - LDF (F8B) columna APROBADO de recurso etiquetado.")</f>
        <v>12.6. No existe equilibrio entre los ingresos ESTIMADO de recursos etiquetados del ESTADO ANALÍTICO DE INGRESOS DETALLADO - LDF (F7B), y el ESTADO ANALÍTICO DEL EJERCICIO DEL PRESUPUESTO DE EGRESOS DETALLADO - LDF (F8B) columna APROBADO de recurso etiquetado.</v>
      </c>
      <c r="D129" s="698"/>
      <c r="E129" s="698"/>
      <c r="F129" s="698"/>
      <c r="G129" s="698"/>
      <c r="H129" s="698"/>
      <c r="I129" s="698"/>
      <c r="J129" s="698"/>
      <c r="K129" s="698"/>
      <c r="L129" s="698"/>
      <c r="M129" s="698"/>
      <c r="N129" s="698"/>
      <c r="O129" s="698"/>
      <c r="P129" s="698"/>
      <c r="Q129" s="698"/>
      <c r="R129" s="698"/>
      <c r="S129" s="698"/>
      <c r="T129" s="698"/>
      <c r="U129" s="698"/>
      <c r="V129" s="698"/>
      <c r="W129" s="698"/>
      <c r="X129" s="698"/>
      <c r="Y129" s="698"/>
      <c r="Z129" s="698"/>
      <c r="AA129" s="698"/>
      <c r="AB129" s="698"/>
      <c r="AC129" s="698"/>
      <c r="AD129" s="698"/>
      <c r="AE129" s="698"/>
      <c r="AF129" s="698"/>
      <c r="AG129" s="698"/>
      <c r="AH129" s="698"/>
      <c r="AI129" s="698"/>
      <c r="AJ129" s="698"/>
      <c r="AK129" s="698"/>
      <c r="AL129" s="698"/>
      <c r="AM129" s="698"/>
      <c r="AN129" s="699"/>
    </row>
    <row r="130" spans="1:40" ht="45" hidden="1" customHeight="1">
      <c r="A130" s="718"/>
      <c r="B130" s="714"/>
      <c r="C130" s="697" t="str">
        <f>IF(ROUND(F7B!F39,2)&gt;0,IF(ROUND(F8B!G7,2)&gt;0,"","12.7. Se tiene ingresos DEVENGADO de recursos no etiquetados en el ESTADO ANALÍTICO DE INGRESOS DETALLADO - LDF (F7B),"&amp;" y en el ESTADO ANALÍTICO DEL EJERCICIO DEL PRESUPUESTO DE EGRESOS DETALLADO - LDF (F8B) columna DEVENGADO no existen erogaciones con recursos no etiquetados."),"")</f>
        <v/>
      </c>
      <c r="D130" s="698"/>
      <c r="E130" s="698"/>
      <c r="F130" s="698"/>
      <c r="G130" s="698"/>
      <c r="H130" s="698"/>
      <c r="I130" s="698"/>
      <c r="J130" s="698"/>
      <c r="K130" s="698"/>
      <c r="L130" s="698"/>
      <c r="M130" s="698"/>
      <c r="N130" s="698"/>
      <c r="O130" s="698"/>
      <c r="P130" s="698"/>
      <c r="Q130" s="698"/>
      <c r="R130" s="698"/>
      <c r="S130" s="698"/>
      <c r="T130" s="698"/>
      <c r="U130" s="698"/>
      <c r="V130" s="698"/>
      <c r="W130" s="698"/>
      <c r="X130" s="698"/>
      <c r="Y130" s="698"/>
      <c r="Z130" s="698"/>
      <c r="AA130" s="698"/>
      <c r="AB130" s="698"/>
      <c r="AC130" s="698"/>
      <c r="AD130" s="698"/>
      <c r="AE130" s="698"/>
      <c r="AF130" s="698"/>
      <c r="AG130" s="698"/>
      <c r="AH130" s="698"/>
      <c r="AI130" s="698"/>
      <c r="AJ130" s="698"/>
      <c r="AK130" s="698"/>
      <c r="AL130" s="698"/>
      <c r="AM130" s="698"/>
      <c r="AN130" s="699"/>
    </row>
    <row r="131" spans="1:40" ht="45" hidden="1" customHeight="1">
      <c r="A131" s="721"/>
      <c r="B131" s="716"/>
      <c r="C131" s="697" t="str">
        <f>IF(ROUND(F7B!F61,2)&gt;0,IF(ROUND(F8B!G81,2)&gt;0,"","12.8. Se tiene ingresos DEVENGADO de recursos etiquetados en el ESTADO ANALÍTICO DE INGRESOS DETALLADO - LDF (F7B),"&amp;" y en el ESTADO ANALÍTICO DEL EJERCICIO DEL PRESUPUESTO DE EGRESOS DETALLADO - LDF (F8B) columna DEVENGADO no existe erogaciones con recursos etiquetados."),"")</f>
        <v/>
      </c>
      <c r="D131" s="698"/>
      <c r="E131" s="698"/>
      <c r="F131" s="698"/>
      <c r="G131" s="698"/>
      <c r="H131" s="698"/>
      <c r="I131" s="698"/>
      <c r="J131" s="698"/>
      <c r="K131" s="698"/>
      <c r="L131" s="698"/>
      <c r="M131" s="698"/>
      <c r="N131" s="698"/>
      <c r="O131" s="698"/>
      <c r="P131" s="698"/>
      <c r="Q131" s="698"/>
      <c r="R131" s="698"/>
      <c r="S131" s="698"/>
      <c r="T131" s="698"/>
      <c r="U131" s="698"/>
      <c r="V131" s="698"/>
      <c r="W131" s="698"/>
      <c r="X131" s="698"/>
      <c r="Y131" s="698"/>
      <c r="Z131" s="698"/>
      <c r="AA131" s="698"/>
      <c r="AB131" s="698"/>
      <c r="AC131" s="698"/>
      <c r="AD131" s="698"/>
      <c r="AE131" s="698"/>
      <c r="AF131" s="698"/>
      <c r="AG131" s="698"/>
      <c r="AH131" s="698"/>
      <c r="AI131" s="698"/>
      <c r="AJ131" s="698"/>
      <c r="AK131" s="698"/>
      <c r="AL131" s="698"/>
      <c r="AM131" s="698"/>
      <c r="AN131" s="699"/>
    </row>
    <row r="132" spans="1:40" ht="45" hidden="1" customHeight="1">
      <c r="A132" s="717" t="s">
        <v>112</v>
      </c>
      <c r="B132" s="708"/>
      <c r="C132" s="697" t="str">
        <f>IF(ROUND(F8B!D155,2)=ROUND('F8'!C80,2),"","13.1. El TOTAL DEL GASTO en lo correspondiente al APROBADO del ESTADO ANALÍTICO DEL EJERCICIO DEL PRESUPUESTO DE EGRESOS DETALLADO - LDF (F8B),"&amp;" no es igual al ESTADO ANALÍTICO DEL EJERCICIO DEL PRESUPUESTO DE EGRESOS (F8) columna APROBADO.")</f>
        <v>13.1. El TOTAL DEL GASTO en lo correspondiente al APROBADO del ESTADO ANALÍTICO DEL EJERCICIO DEL PRESUPUESTO DE EGRESOS DETALLADO - LDF (F8B), no es igual al ESTADO ANALÍTICO DEL EJERCICIO DEL PRESUPUESTO DE EGRESOS (F8) columna APROBADO.</v>
      </c>
      <c r="D132" s="698"/>
      <c r="E132" s="698"/>
      <c r="F132" s="698"/>
      <c r="G132" s="698"/>
      <c r="H132" s="698"/>
      <c r="I132" s="698"/>
      <c r="J132" s="698"/>
      <c r="K132" s="698"/>
      <c r="L132" s="698"/>
      <c r="M132" s="698"/>
      <c r="N132" s="698"/>
      <c r="O132" s="698"/>
      <c r="P132" s="698"/>
      <c r="Q132" s="698"/>
      <c r="R132" s="698"/>
      <c r="S132" s="698"/>
      <c r="T132" s="698"/>
      <c r="U132" s="698"/>
      <c r="V132" s="698"/>
      <c r="W132" s="698"/>
      <c r="X132" s="698"/>
      <c r="Y132" s="698"/>
      <c r="Z132" s="698"/>
      <c r="AA132" s="698"/>
      <c r="AB132" s="698"/>
      <c r="AC132" s="698"/>
      <c r="AD132" s="698"/>
      <c r="AE132" s="698"/>
      <c r="AF132" s="698"/>
      <c r="AG132" s="698"/>
      <c r="AH132" s="698"/>
      <c r="AI132" s="698"/>
      <c r="AJ132" s="698"/>
      <c r="AK132" s="698"/>
      <c r="AL132" s="698"/>
      <c r="AM132" s="698"/>
      <c r="AN132" s="699"/>
    </row>
    <row r="133" spans="1:40" ht="45" hidden="1" customHeight="1">
      <c r="A133" s="718"/>
      <c r="B133" s="714"/>
      <c r="C133" s="697" t="str">
        <f>IF(ROUND(F8B!F155,2)=ROUND('F8'!E80,2),"","13.2. El TOTAL DEL GASTO en lo correspondiente al MODIFICADO del ESTADO ANALÍTICO DEL EJERCICIO DEL PRESUPUESTO DE EGRESOS DETALLADO - LDF (F8B),"&amp;" no es igual al ESTADO ANALÍTICO DEL EJERCICIO DEL PRESUPUESTO DE EGRESOS (F8) columna MODIFICADO.")</f>
        <v>13.2. El TOTAL DEL GASTO en lo correspondiente al MODIFICADO del ESTADO ANALÍTICO DEL EJERCICIO DEL PRESUPUESTO DE EGRESOS DETALLADO - LDF (F8B), no es igual al ESTADO ANALÍTICO DEL EJERCICIO DEL PRESUPUESTO DE EGRESOS (F8) columna MODIFICADO.</v>
      </c>
      <c r="D133" s="698"/>
      <c r="E133" s="698"/>
      <c r="F133" s="698"/>
      <c r="G133" s="698"/>
      <c r="H133" s="698"/>
      <c r="I133" s="698"/>
      <c r="J133" s="698"/>
      <c r="K133" s="698"/>
      <c r="L133" s="698"/>
      <c r="M133" s="698"/>
      <c r="N133" s="698"/>
      <c r="O133" s="698"/>
      <c r="P133" s="698"/>
      <c r="Q133" s="698"/>
      <c r="R133" s="698"/>
      <c r="S133" s="698"/>
      <c r="T133" s="698"/>
      <c r="U133" s="698"/>
      <c r="V133" s="698"/>
      <c r="W133" s="698"/>
      <c r="X133" s="698"/>
      <c r="Y133" s="698"/>
      <c r="Z133" s="698"/>
      <c r="AA133" s="698"/>
      <c r="AB133" s="698"/>
      <c r="AC133" s="698"/>
      <c r="AD133" s="698"/>
      <c r="AE133" s="698"/>
      <c r="AF133" s="698"/>
      <c r="AG133" s="698"/>
      <c r="AH133" s="698"/>
      <c r="AI133" s="698"/>
      <c r="AJ133" s="698"/>
      <c r="AK133" s="698"/>
      <c r="AL133" s="698"/>
      <c r="AM133" s="698"/>
      <c r="AN133" s="699"/>
    </row>
    <row r="134" spans="1:40" ht="45" hidden="1" customHeight="1">
      <c r="A134" s="718"/>
      <c r="B134" s="714"/>
      <c r="C134" s="697" t="str">
        <f>IF(ROUND(F8B!G155,2)=ROUND('F8'!F80,2),"","13.3. El TOTAL DEL GASTO en lo correspondiente al DEVENGADO del ESTADO ANALÍTICO DEL EJERCICIO DEL PRESUPUESTO DE EGRESOS DETALLADO - LDF (F8B),"&amp;" no es igual al ESTADO ANALÍTICO DEL EJERCICIO DEL PRESUPUESTO DE EGRESOS (F8) columna DEVENGADO.")</f>
        <v>13.3. El TOTAL DEL GASTO en lo correspondiente al DEVENGADO del ESTADO ANALÍTICO DEL EJERCICIO DEL PRESUPUESTO DE EGRESOS DETALLADO - LDF (F8B), no es igual al ESTADO ANALÍTICO DEL EJERCICIO DEL PRESUPUESTO DE EGRESOS (F8) columna DEVENGADO.</v>
      </c>
      <c r="D134" s="698"/>
      <c r="E134" s="698"/>
      <c r="F134" s="698"/>
      <c r="G134" s="698"/>
      <c r="H134" s="698"/>
      <c r="I134" s="698"/>
      <c r="J134" s="698"/>
      <c r="K134" s="698"/>
      <c r="L134" s="698"/>
      <c r="M134" s="698"/>
      <c r="N134" s="698"/>
      <c r="O134" s="698"/>
      <c r="P134" s="698"/>
      <c r="Q134" s="698"/>
      <c r="R134" s="698"/>
      <c r="S134" s="698"/>
      <c r="T134" s="698"/>
      <c r="U134" s="698"/>
      <c r="V134" s="698"/>
      <c r="W134" s="698"/>
      <c r="X134" s="698"/>
      <c r="Y134" s="698"/>
      <c r="Z134" s="698"/>
      <c r="AA134" s="698"/>
      <c r="AB134" s="698"/>
      <c r="AC134" s="698"/>
      <c r="AD134" s="698"/>
      <c r="AE134" s="698"/>
      <c r="AF134" s="698"/>
      <c r="AG134" s="698"/>
      <c r="AH134" s="698"/>
      <c r="AI134" s="698"/>
      <c r="AJ134" s="698"/>
      <c r="AK134" s="698"/>
      <c r="AL134" s="698"/>
      <c r="AM134" s="698"/>
      <c r="AN134" s="699"/>
    </row>
    <row r="135" spans="1:40" ht="45" hidden="1" customHeight="1">
      <c r="A135" s="721"/>
      <c r="B135" s="716"/>
      <c r="C135" s="697" t="str">
        <f>IF(ROUND(F8B!H155,2)=ROUND('F8'!G80,2),"","13.4. El TOTAL DEL GASTO en lo correspondiente al PAGADO del ESTADO ANALÍTICO DEL EJERCICIO DEL PRESPUESTO DE EGRESOS DETALLADO - LDF (F8B),"&amp;" no es igual al ESTADO ANALÍTICO DEL EJERCICIO DEL PRESPUESTO DE EGRESOS (F8) columna PAGADO.")</f>
        <v>13.4. El TOTAL DEL GASTO en lo correspondiente al PAGADO del ESTADO ANALÍTICO DEL EJERCICIO DEL PRESPUESTO DE EGRESOS DETALLADO - LDF (F8B), no es igual al ESTADO ANALÍTICO DEL EJERCICIO DEL PRESPUESTO DE EGRESOS (F8) columna PAGADO.</v>
      </c>
      <c r="D135" s="698"/>
      <c r="E135" s="698"/>
      <c r="F135" s="698"/>
      <c r="G135" s="698"/>
      <c r="H135" s="698"/>
      <c r="I135" s="698"/>
      <c r="J135" s="698"/>
      <c r="K135" s="698"/>
      <c r="L135" s="698"/>
      <c r="M135" s="698"/>
      <c r="N135" s="698"/>
      <c r="O135" s="698"/>
      <c r="P135" s="698"/>
      <c r="Q135" s="698"/>
      <c r="R135" s="698"/>
      <c r="S135" s="698"/>
      <c r="T135" s="698"/>
      <c r="U135" s="698"/>
      <c r="V135" s="698"/>
      <c r="W135" s="698"/>
      <c r="X135" s="698"/>
      <c r="Y135" s="698"/>
      <c r="Z135" s="698"/>
      <c r="AA135" s="698"/>
      <c r="AB135" s="698"/>
      <c r="AC135" s="698"/>
      <c r="AD135" s="698"/>
      <c r="AE135" s="698"/>
      <c r="AF135" s="698"/>
      <c r="AG135" s="698"/>
      <c r="AH135" s="698"/>
      <c r="AI135" s="698"/>
      <c r="AJ135" s="698"/>
      <c r="AK135" s="698"/>
      <c r="AL135" s="698"/>
      <c r="AM135" s="698"/>
      <c r="AN135" s="699"/>
    </row>
    <row r="136" spans="1:40" ht="45" hidden="1" customHeight="1">
      <c r="A136" s="717" t="s">
        <v>113</v>
      </c>
      <c r="B136" s="708"/>
      <c r="C136" s="697" t="str">
        <f>IF(ROUND(F19A!D76,2)=ROUND('F19'!C40,2),"","14.1. El TOTAL DEL GASTO en lo correspondiente al APROBADO del ESTADO ANALÍTICO DEL EJERCICIO DEL PRESUPUESTO DE EGRESOS DETALLADO - LDF (F19A),"&amp;" no es igual al ESTADO ANALÍTICO DEL EJERCICIO DEL PRESUPUESTO DE EGRESOS (F19) columna APROBADO.")</f>
        <v/>
      </c>
      <c r="D136" s="698"/>
      <c r="E136" s="698"/>
      <c r="F136" s="698"/>
      <c r="G136" s="698"/>
      <c r="H136" s="698"/>
      <c r="I136" s="698"/>
      <c r="J136" s="698"/>
      <c r="K136" s="698"/>
      <c r="L136" s="698"/>
      <c r="M136" s="698"/>
      <c r="N136" s="698"/>
      <c r="O136" s="698"/>
      <c r="P136" s="698"/>
      <c r="Q136" s="698"/>
      <c r="R136" s="698"/>
      <c r="S136" s="698"/>
      <c r="T136" s="698"/>
      <c r="U136" s="698"/>
      <c r="V136" s="698"/>
      <c r="W136" s="698"/>
      <c r="X136" s="698"/>
      <c r="Y136" s="698"/>
      <c r="Z136" s="698"/>
      <c r="AA136" s="698"/>
      <c r="AB136" s="698"/>
      <c r="AC136" s="698"/>
      <c r="AD136" s="698"/>
      <c r="AE136" s="698"/>
      <c r="AF136" s="698"/>
      <c r="AG136" s="698"/>
      <c r="AH136" s="698"/>
      <c r="AI136" s="698"/>
      <c r="AJ136" s="698"/>
      <c r="AK136" s="698"/>
      <c r="AL136" s="698"/>
      <c r="AM136" s="698"/>
      <c r="AN136" s="699"/>
    </row>
    <row r="137" spans="1:40" ht="45" hidden="1" customHeight="1">
      <c r="A137" s="718"/>
      <c r="B137" s="714"/>
      <c r="C137" s="697" t="str">
        <f>IF(ROUND(F19A!F76,2)=ROUND('F19'!E40,2),"","14.2. El TOTAL DEL GASTO en lo correspondiente al MODIFICADO del ESTADO ANALÍTICO DEL EJERCICIO DEL PRESUPUESTO DE EGRESOS DETALLADO - LDF (F19A),"&amp;" no es igual al ESTADO ANALÍTICO DEL EJERCICIO DEL PRESUPUESTO DE EGRESOS (F19) columna MODIFICADO.")</f>
        <v/>
      </c>
      <c r="D137" s="698"/>
      <c r="E137" s="698"/>
      <c r="F137" s="698"/>
      <c r="G137" s="698"/>
      <c r="H137" s="698"/>
      <c r="I137" s="698"/>
      <c r="J137" s="698"/>
      <c r="K137" s="698"/>
      <c r="L137" s="698"/>
      <c r="M137" s="698"/>
      <c r="N137" s="698"/>
      <c r="O137" s="698"/>
      <c r="P137" s="698"/>
      <c r="Q137" s="698"/>
      <c r="R137" s="698"/>
      <c r="S137" s="698"/>
      <c r="T137" s="698"/>
      <c r="U137" s="698"/>
      <c r="V137" s="698"/>
      <c r="W137" s="698"/>
      <c r="X137" s="698"/>
      <c r="Y137" s="698"/>
      <c r="Z137" s="698"/>
      <c r="AA137" s="698"/>
      <c r="AB137" s="698"/>
      <c r="AC137" s="698"/>
      <c r="AD137" s="698"/>
      <c r="AE137" s="698"/>
      <c r="AF137" s="698"/>
      <c r="AG137" s="698"/>
      <c r="AH137" s="698"/>
      <c r="AI137" s="698"/>
      <c r="AJ137" s="698"/>
      <c r="AK137" s="698"/>
      <c r="AL137" s="698"/>
      <c r="AM137" s="698"/>
      <c r="AN137" s="699"/>
    </row>
    <row r="138" spans="1:40" ht="45" hidden="1" customHeight="1">
      <c r="A138" s="718"/>
      <c r="B138" s="714"/>
      <c r="C138" s="697" t="str">
        <f>IF(ROUND(F19A!G76,2)=ROUND('F19'!F40,2),"","14.3. El TOTAL DEL GASTO en lo correspondiente al DEVENGADO del ESTADO ANALÍTICO DEL EJERCICIO DEL PRESUPUESTO DE EGRESOS DETALLADO - LDF (F19A),"&amp;" no es igual al ESTADO ANALÍTICO DEL EJERCICIO DEL PRESUPUESTO DE EGRESOS (F19) columna DEVENGADO.")</f>
        <v/>
      </c>
      <c r="D138" s="698"/>
      <c r="E138" s="698"/>
      <c r="F138" s="698"/>
      <c r="G138" s="698"/>
      <c r="H138" s="698"/>
      <c r="I138" s="698"/>
      <c r="J138" s="698"/>
      <c r="K138" s="698"/>
      <c r="L138" s="698"/>
      <c r="M138" s="698"/>
      <c r="N138" s="698"/>
      <c r="O138" s="698"/>
      <c r="P138" s="698"/>
      <c r="Q138" s="698"/>
      <c r="R138" s="698"/>
      <c r="S138" s="698"/>
      <c r="T138" s="698"/>
      <c r="U138" s="698"/>
      <c r="V138" s="698"/>
      <c r="W138" s="698"/>
      <c r="X138" s="698"/>
      <c r="Y138" s="698"/>
      <c r="Z138" s="698"/>
      <c r="AA138" s="698"/>
      <c r="AB138" s="698"/>
      <c r="AC138" s="698"/>
      <c r="AD138" s="698"/>
      <c r="AE138" s="698"/>
      <c r="AF138" s="698"/>
      <c r="AG138" s="698"/>
      <c r="AH138" s="698"/>
      <c r="AI138" s="698"/>
      <c r="AJ138" s="698"/>
      <c r="AK138" s="698"/>
      <c r="AL138" s="698"/>
      <c r="AM138" s="698"/>
      <c r="AN138" s="699"/>
    </row>
    <row r="139" spans="1:40" ht="45" hidden="1" customHeight="1">
      <c r="A139" s="718"/>
      <c r="B139" s="714"/>
      <c r="C139" s="697" t="str">
        <f>IF(ROUND(F19A!H76,2)=ROUND('F19'!G40,2),"","14.4. El TOTAL DEL GASTO en lo correspondiente al PAGADO del ESTADO ANALÍTICO DEL EJERCICIO DEL PRESUPUESTO DE EGRESO DETALLADO - LDF (F19A),"&amp;" no es igual al ESTADO ANALÍTICO DEL EJERCICIO DEL PRESUPUESTO DE EGRESOS (F19) columna PAGADO.")</f>
        <v/>
      </c>
      <c r="D139" s="698"/>
      <c r="E139" s="698"/>
      <c r="F139" s="698"/>
      <c r="G139" s="698"/>
      <c r="H139" s="698"/>
      <c r="I139" s="698"/>
      <c r="J139" s="698"/>
      <c r="K139" s="698"/>
      <c r="L139" s="698"/>
      <c r="M139" s="698"/>
      <c r="N139" s="698"/>
      <c r="O139" s="698"/>
      <c r="P139" s="698"/>
      <c r="Q139" s="698"/>
      <c r="R139" s="698"/>
      <c r="S139" s="698"/>
      <c r="T139" s="698"/>
      <c r="U139" s="698"/>
      <c r="V139" s="698"/>
      <c r="W139" s="698"/>
      <c r="X139" s="698"/>
      <c r="Y139" s="698"/>
      <c r="Z139" s="698"/>
      <c r="AA139" s="698"/>
      <c r="AB139" s="698"/>
      <c r="AC139" s="698"/>
      <c r="AD139" s="698"/>
      <c r="AE139" s="698"/>
      <c r="AF139" s="698"/>
      <c r="AG139" s="698"/>
      <c r="AH139" s="698"/>
      <c r="AI139" s="698"/>
      <c r="AJ139" s="698"/>
      <c r="AK139" s="698"/>
      <c r="AL139" s="698"/>
      <c r="AM139" s="698"/>
      <c r="AN139" s="699"/>
    </row>
    <row r="140" spans="1:40" ht="45" hidden="1" customHeight="1">
      <c r="A140" s="718"/>
      <c r="B140" s="714"/>
      <c r="C140" s="697" t="str">
        <f>IF(ROUND(F19A!$D$8,2)=ROUND(F8B!$D$7,2),"","14.5. El TOTAL DEL GASTO NO ETIQUETADO en lo correspondiente al APROBADO del ESTADO ANALÍTICO DEL EJERCICIO DEL PRESUPUESTO DE EGRESO DETALLADO - LDF (F19A),"&amp;" no es igual al TOTAL DEL GASTO NO ETIQUETADO en el momento APROBADO del ESTADO ANALÍTICO DEL EJERCICIO DEL PRESUPUESTO DE EGRESOS (F8B).")</f>
        <v>14.5. El TOTAL DEL GASTO NO ETIQUETADO en lo correspondiente al APROBADO del ESTADO ANALÍTICO DEL EJERCICIO DEL PRESUPUESTO DE EGRESO DETALLADO - LDF (F19A), no es igual al TOTAL DEL GASTO NO ETIQUETADO en el momento APROBADO del ESTADO ANALÍTICO DEL EJERCICIO DEL PRESUPUESTO DE EGRESOS (F8B).</v>
      </c>
      <c r="D140" s="698"/>
      <c r="E140" s="698"/>
      <c r="F140" s="698"/>
      <c r="G140" s="698"/>
      <c r="H140" s="698"/>
      <c r="I140" s="698"/>
      <c r="J140" s="698"/>
      <c r="K140" s="698"/>
      <c r="L140" s="698"/>
      <c r="M140" s="698"/>
      <c r="N140" s="698"/>
      <c r="O140" s="698"/>
      <c r="P140" s="698"/>
      <c r="Q140" s="698"/>
      <c r="R140" s="698"/>
      <c r="S140" s="698"/>
      <c r="T140" s="698"/>
      <c r="U140" s="698"/>
      <c r="V140" s="698"/>
      <c r="W140" s="698"/>
      <c r="X140" s="698"/>
      <c r="Y140" s="698"/>
      <c r="Z140" s="698"/>
      <c r="AA140" s="698"/>
      <c r="AB140" s="698"/>
      <c r="AC140" s="698"/>
      <c r="AD140" s="698"/>
      <c r="AE140" s="698"/>
      <c r="AF140" s="698"/>
      <c r="AG140" s="698"/>
      <c r="AH140" s="698"/>
      <c r="AI140" s="698"/>
      <c r="AJ140" s="698"/>
      <c r="AK140" s="698"/>
      <c r="AL140" s="698"/>
      <c r="AM140" s="698"/>
      <c r="AN140" s="699"/>
    </row>
    <row r="141" spans="1:40" ht="45" hidden="1" customHeight="1">
      <c r="A141" s="718"/>
      <c r="B141" s="714"/>
      <c r="C141" s="697" t="str">
        <f>IF(ROUND(F19A!$F$8,2)=ROUND(F8B!$F$7,2),"","14.6. El TOTAL DEL GASTO NO ETIQUETADO en lo correspondiente al MODIFICADO del ESTADO ANALÍTICO DEL EJERCICIO DEL PRESUPUESTO DE EGRESO DETALLADO - LDF (F19A),"&amp;" no es igual al TOTAL DEL GASTO NO ETIQUETADO en el momento MODIFICADO del ESTADO ANALÍTICO DEL EJERCICIO DEL PRESUPUESTO DE EGRESOS (F8B).")</f>
        <v>14.6. El TOTAL DEL GASTO NO ETIQUETADO en lo correspondiente al MODIFICADO del ESTADO ANALÍTICO DEL EJERCICIO DEL PRESUPUESTO DE EGRESO DETALLADO - LDF (F19A), no es igual al TOTAL DEL GASTO NO ETIQUETADO en el momento MODIFICADO del ESTADO ANALÍTICO DEL EJERCICIO DEL PRESUPUESTO DE EGRESOS (F8B).</v>
      </c>
      <c r="D141" s="698"/>
      <c r="E141" s="698"/>
      <c r="F141" s="698"/>
      <c r="G141" s="698"/>
      <c r="H141" s="698"/>
      <c r="I141" s="698"/>
      <c r="J141" s="698"/>
      <c r="K141" s="698"/>
      <c r="L141" s="698"/>
      <c r="M141" s="698"/>
      <c r="N141" s="698"/>
      <c r="O141" s="698"/>
      <c r="P141" s="698"/>
      <c r="Q141" s="698"/>
      <c r="R141" s="698"/>
      <c r="S141" s="698"/>
      <c r="T141" s="698"/>
      <c r="U141" s="698"/>
      <c r="V141" s="698"/>
      <c r="W141" s="698"/>
      <c r="X141" s="698"/>
      <c r="Y141" s="698"/>
      <c r="Z141" s="698"/>
      <c r="AA141" s="698"/>
      <c r="AB141" s="698"/>
      <c r="AC141" s="698"/>
      <c r="AD141" s="698"/>
      <c r="AE141" s="698"/>
      <c r="AF141" s="698"/>
      <c r="AG141" s="698"/>
      <c r="AH141" s="698"/>
      <c r="AI141" s="698"/>
      <c r="AJ141" s="698"/>
      <c r="AK141" s="698"/>
      <c r="AL141" s="698"/>
      <c r="AM141" s="698"/>
      <c r="AN141" s="699"/>
    </row>
    <row r="142" spans="1:40" ht="45" hidden="1" customHeight="1">
      <c r="A142" s="718"/>
      <c r="B142" s="714"/>
      <c r="C142" s="697" t="str">
        <f>IF(ROUND(F19A!$G$8,2)=ROUND(F8B!$G$7,2),"","14.7. El TOTAL DEL GASTO NO ETIQUETADO en lo correspondiente al DEVENGADO del ESTADO ANALÍTICO DEL EJERCICIO DEL PRESUPUESTO DE EGRESO DETALLADO - LDF (F19A),"&amp;" no es igual al TOTAL DEL GASTO NO ETIQUETADO en el momento DEVENGADO del ESTADO ANALÍTICO DEL EJERCICIO DEL PRESUPUESTO DE EGRESOS (F8B).")</f>
        <v>14.7. El TOTAL DEL GASTO NO ETIQUETADO en lo correspondiente al DEVENGADO del ESTADO ANALÍTICO DEL EJERCICIO DEL PRESUPUESTO DE EGRESO DETALLADO - LDF (F19A), no es igual al TOTAL DEL GASTO NO ETIQUETADO en el momento DEVENGADO del ESTADO ANALÍTICO DEL EJERCICIO DEL PRESUPUESTO DE EGRESOS (F8B).</v>
      </c>
      <c r="D142" s="698"/>
      <c r="E142" s="698"/>
      <c r="F142" s="698"/>
      <c r="G142" s="698"/>
      <c r="H142" s="698"/>
      <c r="I142" s="698"/>
      <c r="J142" s="698"/>
      <c r="K142" s="698"/>
      <c r="L142" s="698"/>
      <c r="M142" s="698"/>
      <c r="N142" s="698"/>
      <c r="O142" s="698"/>
      <c r="P142" s="698"/>
      <c r="Q142" s="698"/>
      <c r="R142" s="698"/>
      <c r="S142" s="698"/>
      <c r="T142" s="698"/>
      <c r="U142" s="698"/>
      <c r="V142" s="698"/>
      <c r="W142" s="698"/>
      <c r="X142" s="698"/>
      <c r="Y142" s="698"/>
      <c r="Z142" s="698"/>
      <c r="AA142" s="698"/>
      <c r="AB142" s="698"/>
      <c r="AC142" s="698"/>
      <c r="AD142" s="698"/>
      <c r="AE142" s="698"/>
      <c r="AF142" s="698"/>
      <c r="AG142" s="698"/>
      <c r="AH142" s="698"/>
      <c r="AI142" s="698"/>
      <c r="AJ142" s="698"/>
      <c r="AK142" s="698"/>
      <c r="AL142" s="698"/>
      <c r="AM142" s="698"/>
      <c r="AN142" s="699"/>
    </row>
    <row r="143" spans="1:40" ht="45" hidden="1" customHeight="1">
      <c r="A143" s="718"/>
      <c r="B143" s="714"/>
      <c r="C143" s="697" t="str">
        <f>IF(ROUND(F19A!$H$8,2)=ROUND(F8B!$H$7,2),"","14.8. El TOTAL DEL GASTO NO ETIQUETADO en lo correspondiente al PAGADO del ESTADO ANALÍTICO DEL EJERCICIO DEL PRESUPUESTO DE EGRESO DETALLADO - LDF (F19A),"&amp;" no es igual al TOTAL DEL GASTO NO ETIQUETADO en el momento PAGADO del ESTADO ANALÍTICO DEL EJERCICIO DEL PRESUPUESTO DE EGRESOS (F8B).")</f>
        <v>14.8. El TOTAL DEL GASTO NO ETIQUETADO en lo correspondiente al PAGADO del ESTADO ANALÍTICO DEL EJERCICIO DEL PRESUPUESTO DE EGRESO DETALLADO - LDF (F19A), no es igual al TOTAL DEL GASTO NO ETIQUETADO en el momento PAGADO del ESTADO ANALÍTICO DEL EJERCICIO DEL PRESUPUESTO DE EGRESOS (F8B).</v>
      </c>
      <c r="D143" s="698"/>
      <c r="E143" s="698"/>
      <c r="F143" s="698"/>
      <c r="G143" s="698"/>
      <c r="H143" s="698"/>
      <c r="I143" s="698"/>
      <c r="J143" s="698"/>
      <c r="K143" s="698"/>
      <c r="L143" s="698"/>
      <c r="M143" s="698"/>
      <c r="N143" s="698"/>
      <c r="O143" s="698"/>
      <c r="P143" s="698"/>
      <c r="Q143" s="698"/>
      <c r="R143" s="698"/>
      <c r="S143" s="698"/>
      <c r="T143" s="698"/>
      <c r="U143" s="698"/>
      <c r="V143" s="698"/>
      <c r="W143" s="698"/>
      <c r="X143" s="698"/>
      <c r="Y143" s="698"/>
      <c r="Z143" s="698"/>
      <c r="AA143" s="698"/>
      <c r="AB143" s="698"/>
      <c r="AC143" s="698"/>
      <c r="AD143" s="698"/>
      <c r="AE143" s="698"/>
      <c r="AF143" s="698"/>
      <c r="AG143" s="698"/>
      <c r="AH143" s="698"/>
      <c r="AI143" s="698"/>
      <c r="AJ143" s="698"/>
      <c r="AK143" s="698"/>
      <c r="AL143" s="698"/>
      <c r="AM143" s="698"/>
      <c r="AN143" s="699"/>
    </row>
    <row r="144" spans="1:40" ht="45" hidden="1" customHeight="1">
      <c r="A144" s="718"/>
      <c r="B144" s="714"/>
      <c r="C144" s="697" t="str">
        <f>IF(ROUND(F19A!$D$42,2)=ROUND(F8B!$D$81,2),"","14.9. El TOTAL DEL GASTO ETIQUETADO en lo correspondiente al APROBADO del ESTADO ANALÍTICO DEL EJERCICIO DEL PRESUPUESTO DE EGRESO DETALLADO - LDF (F19A),"&amp;" no es igual al TOTAL DEL GASTO ETIQUETADO en el momento APROBADO del ESTADO ANALÍTICO DEL EJERCICIO DEL PRESUPUESTO DE EGRESOS (F8B).")</f>
        <v/>
      </c>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98"/>
      <c r="AE144" s="698"/>
      <c r="AF144" s="698"/>
      <c r="AG144" s="698"/>
      <c r="AH144" s="698"/>
      <c r="AI144" s="698"/>
      <c r="AJ144" s="698"/>
      <c r="AK144" s="698"/>
      <c r="AL144" s="698"/>
      <c r="AM144" s="698"/>
      <c r="AN144" s="699"/>
    </row>
    <row r="145" spans="1:40" ht="45" hidden="1" customHeight="1">
      <c r="A145" s="718"/>
      <c r="B145" s="714"/>
      <c r="C145" s="697" t="str">
        <f>IF(ROUND(F19A!$F$42,2)=ROUND(F8B!$F$81,2),"","14.10. El TOTAL DEL GASTO ETIQUETADO en lo correspondiente al MODIFICADO del ESTADO ANALÍTICO DEL EJERCICIO DEL PRESUPUESTO DE EGRESO DETALLADO - LDF (F19A),"&amp;" no es igual al TOTAL DEL GASTO ETIQUETADO en el momento MODIFICADO del ESTADO ANALÍTICO DEL EJERCICIO DEL PRESUPUESTO DE EGRESOS (F8B).")</f>
        <v>14.10. El TOTAL DEL GASTO ETIQUETADO en lo correspondiente al MODIFICADO del ESTADO ANALÍTICO DEL EJERCICIO DEL PRESUPUESTO DE EGRESO DETALLADO - LDF (F19A), no es igual al TOTAL DEL GASTO ETIQUETADO en el momento MODIFICADO del ESTADO ANALÍTICO DEL EJERCICIO DEL PRESUPUESTO DE EGRESOS (F8B).</v>
      </c>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98"/>
      <c r="AE145" s="698"/>
      <c r="AF145" s="698"/>
      <c r="AG145" s="698"/>
      <c r="AH145" s="698"/>
      <c r="AI145" s="698"/>
      <c r="AJ145" s="698"/>
      <c r="AK145" s="698"/>
      <c r="AL145" s="698"/>
      <c r="AM145" s="698"/>
      <c r="AN145" s="699"/>
    </row>
    <row r="146" spans="1:40" ht="45" hidden="1" customHeight="1">
      <c r="A146" s="718"/>
      <c r="B146" s="714"/>
      <c r="C146" s="697" t="str">
        <f>IF(ROUND(F19A!$G$42,2)=ROUND(F8B!$G$81,2),"","14.11. El TOTAL DEL GASTO ETIQUETADO en lo correspondiente al DEVENGADO del ESTADO ANALÍTICO DEL EJERCICIO DEL PRESUPUESTO DE EGRESO DETALLADO - LDF (F19A),"&amp;" no es igual al TOTAL DEL GASTO ETIQUETADO en el momento DEVENGADO del ESTADO ANALÍTICO DEL EJERCICIO DEL PRESUPUESTO DE EGRESOS (F8B).")</f>
        <v>14.11. El TOTAL DEL GASTO ETIQUETADO en lo correspondiente al DEVENGADO del ESTADO ANALÍTICO DEL EJERCICIO DEL PRESUPUESTO DE EGRESO DETALLADO - LDF (F19A), no es igual al TOTAL DEL GASTO ETIQUETADO en el momento DEVENGADO del ESTADO ANALÍTICO DEL EJERCICIO DEL PRESUPUESTO DE EGRESOS (F8B).</v>
      </c>
      <c r="D146" s="698"/>
      <c r="E146" s="698"/>
      <c r="F146" s="698"/>
      <c r="G146" s="698"/>
      <c r="H146" s="698"/>
      <c r="I146" s="698"/>
      <c r="J146" s="698"/>
      <c r="K146" s="698"/>
      <c r="L146" s="698"/>
      <c r="M146" s="698"/>
      <c r="N146" s="698"/>
      <c r="O146" s="698"/>
      <c r="P146" s="698"/>
      <c r="Q146" s="698"/>
      <c r="R146" s="698"/>
      <c r="S146" s="698"/>
      <c r="T146" s="698"/>
      <c r="U146" s="698"/>
      <c r="V146" s="698"/>
      <c r="W146" s="698"/>
      <c r="X146" s="698"/>
      <c r="Y146" s="698"/>
      <c r="Z146" s="698"/>
      <c r="AA146" s="698"/>
      <c r="AB146" s="698"/>
      <c r="AC146" s="698"/>
      <c r="AD146" s="698"/>
      <c r="AE146" s="698"/>
      <c r="AF146" s="698"/>
      <c r="AG146" s="698"/>
      <c r="AH146" s="698"/>
      <c r="AI146" s="698"/>
      <c r="AJ146" s="698"/>
      <c r="AK146" s="698"/>
      <c r="AL146" s="698"/>
      <c r="AM146" s="698"/>
      <c r="AN146" s="699"/>
    </row>
    <row r="147" spans="1:40" ht="45" hidden="1" customHeight="1">
      <c r="A147" s="719"/>
      <c r="B147" s="711"/>
      <c r="C147" s="697" t="str">
        <f>IF(ROUND(F19A!$H$42,2)=ROUND(F8B!$H$81,2),"","14.12. El TOTAL DEL GASTO ETIQUETADO en lo correspondiente al PAGADO del ESTADO ANALÍTICO DEL EJERCICIO DEL PRESUPUESTO DE EGRESO DETALLADO - LDF (F19A),"&amp;" no es igual al TOTAL DEL GASTO ETIQUETADO en el momento PAGADO del ESTADO ANALÍTICO DEL EJERCICIO DEL PRESUPUESTO DE EGRESOS (F8B).")</f>
        <v/>
      </c>
      <c r="D147" s="698"/>
      <c r="E147" s="698"/>
      <c r="F147" s="698"/>
      <c r="G147" s="698"/>
      <c r="H147" s="698"/>
      <c r="I147" s="698"/>
      <c r="J147" s="698"/>
      <c r="K147" s="698"/>
      <c r="L147" s="698"/>
      <c r="M147" s="698"/>
      <c r="N147" s="698"/>
      <c r="O147" s="698"/>
      <c r="P147" s="698"/>
      <c r="Q147" s="698"/>
      <c r="R147" s="698"/>
      <c r="S147" s="698"/>
      <c r="T147" s="698"/>
      <c r="U147" s="698"/>
      <c r="V147" s="698"/>
      <c r="W147" s="698"/>
      <c r="X147" s="698"/>
      <c r="Y147" s="698"/>
      <c r="Z147" s="698"/>
      <c r="AA147" s="698"/>
      <c r="AB147" s="698"/>
      <c r="AC147" s="698"/>
      <c r="AD147" s="698"/>
      <c r="AE147" s="698"/>
      <c r="AF147" s="698"/>
      <c r="AG147" s="698"/>
      <c r="AH147" s="698"/>
      <c r="AI147" s="698"/>
      <c r="AJ147" s="698"/>
      <c r="AK147" s="698"/>
      <c r="AL147" s="698"/>
      <c r="AM147" s="698"/>
      <c r="AN147" s="699"/>
    </row>
    <row r="148" spans="1:40" ht="45" hidden="1" customHeight="1">
      <c r="A148" s="717" t="s">
        <v>114</v>
      </c>
      <c r="B148" s="708"/>
      <c r="C148" s="697" t="str">
        <f>IF(ROUND(F18A!B62,2)=ROUND('F18'!B58,2),"","15.1. El TOTAL DEL GASTO del momento APROBADO del ESTADO ANALÍTICO DEL EJERCICIO DEL PRESUPUESTO DE EGRESOS DETALLADO - LDF (F18A),"&amp;" no es igual al ESTADO ANALÍTICO DEL EJERCICIO DEL PRESUPUESTO DE EGRESOS (F18) columna APROBADO.")</f>
        <v/>
      </c>
      <c r="D148" s="698"/>
      <c r="E148" s="698"/>
      <c r="F148" s="698"/>
      <c r="G148" s="698"/>
      <c r="H148" s="698"/>
      <c r="I148" s="698"/>
      <c r="J148" s="698"/>
      <c r="K148" s="698"/>
      <c r="L148" s="698"/>
      <c r="M148" s="698"/>
      <c r="N148" s="698"/>
      <c r="O148" s="698"/>
      <c r="P148" s="698"/>
      <c r="Q148" s="698"/>
      <c r="R148" s="698"/>
      <c r="S148" s="698"/>
      <c r="T148" s="698"/>
      <c r="U148" s="698"/>
      <c r="V148" s="698"/>
      <c r="W148" s="698"/>
      <c r="X148" s="698"/>
      <c r="Y148" s="698"/>
      <c r="Z148" s="698"/>
      <c r="AA148" s="698"/>
      <c r="AB148" s="698"/>
      <c r="AC148" s="698"/>
      <c r="AD148" s="698"/>
      <c r="AE148" s="698"/>
      <c r="AF148" s="698"/>
      <c r="AG148" s="698"/>
      <c r="AH148" s="698"/>
      <c r="AI148" s="698"/>
      <c r="AJ148" s="698"/>
      <c r="AK148" s="698"/>
      <c r="AL148" s="698"/>
      <c r="AM148" s="698"/>
      <c r="AN148" s="699"/>
    </row>
    <row r="149" spans="1:40" ht="45" hidden="1" customHeight="1">
      <c r="A149" s="718"/>
      <c r="B149" s="714"/>
      <c r="C149" s="697" t="str">
        <f>IF(ROUND(F18A!C62,2)=ROUND('F18'!C58,2),"","15.2. El  TOTAL DEL GASTO del momento MODIFICADO del ESTADO ANALÍTICO DEL EJERCICIO DEL PRESUPUESTO DE EGRESOS DETALLADO - LDF (F18A),"&amp;" no es igual al ESTADO ANALÍTICO DEL EJERCICIO DEL PRESUPUESTO DE EGRESOS (F18) columna MODIFICADO.")</f>
        <v/>
      </c>
      <c r="D149" s="698"/>
      <c r="E149" s="698"/>
      <c r="F149" s="698"/>
      <c r="G149" s="698"/>
      <c r="H149" s="698"/>
      <c r="I149" s="698"/>
      <c r="J149" s="698"/>
      <c r="K149" s="698"/>
      <c r="L149" s="698"/>
      <c r="M149" s="698"/>
      <c r="N149" s="698"/>
      <c r="O149" s="698"/>
      <c r="P149" s="698"/>
      <c r="Q149" s="698"/>
      <c r="R149" s="698"/>
      <c r="S149" s="698"/>
      <c r="T149" s="698"/>
      <c r="U149" s="698"/>
      <c r="V149" s="698"/>
      <c r="W149" s="698"/>
      <c r="X149" s="698"/>
      <c r="Y149" s="698"/>
      <c r="Z149" s="698"/>
      <c r="AA149" s="698"/>
      <c r="AB149" s="698"/>
      <c r="AC149" s="698"/>
      <c r="AD149" s="698"/>
      <c r="AE149" s="698"/>
      <c r="AF149" s="698"/>
      <c r="AG149" s="698"/>
      <c r="AH149" s="698"/>
      <c r="AI149" s="698"/>
      <c r="AJ149" s="698"/>
      <c r="AK149" s="698"/>
      <c r="AL149" s="698"/>
      <c r="AM149" s="698"/>
      <c r="AN149" s="699"/>
    </row>
    <row r="150" spans="1:40" ht="45" hidden="1" customHeight="1">
      <c r="A150" s="718"/>
      <c r="B150" s="714"/>
      <c r="C150" s="697" t="str">
        <f>IF(ROUND(F18A!E62,2)=ROUND('F18'!E58,2),"","15.3. El TOTAL DEL GASTO del momento DEVENGADO del ESTADO ANALÍTICO DEL EJERCICIO DEL PRESUPUESTO DE EGRESOS DETALLADO - LDF (F18A),"&amp;" no es igual al ESTADO ANALÍTICO DEL EJERCICIO DEL PRESUPUESTO DE EGRESOS (F18) columna DEVENGADO.")</f>
        <v/>
      </c>
      <c r="D150" s="698"/>
      <c r="E150" s="698"/>
      <c r="F150" s="698"/>
      <c r="G150" s="698"/>
      <c r="H150" s="698"/>
      <c r="I150" s="698"/>
      <c r="J150" s="698"/>
      <c r="K150" s="698"/>
      <c r="L150" s="698"/>
      <c r="M150" s="698"/>
      <c r="N150" s="698"/>
      <c r="O150" s="698"/>
      <c r="P150" s="698"/>
      <c r="Q150" s="698"/>
      <c r="R150" s="698"/>
      <c r="S150" s="698"/>
      <c r="T150" s="698"/>
      <c r="U150" s="698"/>
      <c r="V150" s="698"/>
      <c r="W150" s="698"/>
      <c r="X150" s="698"/>
      <c r="Y150" s="698"/>
      <c r="Z150" s="698"/>
      <c r="AA150" s="698"/>
      <c r="AB150" s="698"/>
      <c r="AC150" s="698"/>
      <c r="AD150" s="698"/>
      <c r="AE150" s="698"/>
      <c r="AF150" s="698"/>
      <c r="AG150" s="698"/>
      <c r="AH150" s="698"/>
      <c r="AI150" s="698"/>
      <c r="AJ150" s="698"/>
      <c r="AK150" s="698"/>
      <c r="AL150" s="698"/>
      <c r="AM150" s="698"/>
      <c r="AN150" s="699"/>
    </row>
    <row r="151" spans="1:40" ht="45" hidden="1" customHeight="1">
      <c r="A151" s="718"/>
      <c r="B151" s="714"/>
      <c r="C151" s="697" t="str">
        <f>IF(ROUND(F18A!F62,2)=ROUND('F18'!F58,2),"","15.4. El TOTAL DEL GASTO del momento PAGADO del ESTADO ANALÍTICO DEL EJERCICIO DEL PRESUPUESTO DE EGRESOS DETALLADO - LDF (F18A),"&amp;" no es igual al ESTADO ANALÍTICO DEL EJERCICIO DEL PRESUPUESTO DE EGRESOS (F18) columna PAGADO.")</f>
        <v/>
      </c>
      <c r="D151" s="698"/>
      <c r="E151" s="698"/>
      <c r="F151" s="698"/>
      <c r="G151" s="698"/>
      <c r="H151" s="698"/>
      <c r="I151" s="698"/>
      <c r="J151" s="698"/>
      <c r="K151" s="698"/>
      <c r="L151" s="698"/>
      <c r="M151" s="698"/>
      <c r="N151" s="698"/>
      <c r="O151" s="698"/>
      <c r="P151" s="698"/>
      <c r="Q151" s="698"/>
      <c r="R151" s="698"/>
      <c r="S151" s="698"/>
      <c r="T151" s="698"/>
      <c r="U151" s="698"/>
      <c r="V151" s="698"/>
      <c r="W151" s="698"/>
      <c r="X151" s="698"/>
      <c r="Y151" s="698"/>
      <c r="Z151" s="698"/>
      <c r="AA151" s="698"/>
      <c r="AB151" s="698"/>
      <c r="AC151" s="698"/>
      <c r="AD151" s="698"/>
      <c r="AE151" s="698"/>
      <c r="AF151" s="698"/>
      <c r="AG151" s="698"/>
      <c r="AH151" s="698"/>
      <c r="AI151" s="698"/>
      <c r="AJ151" s="698"/>
      <c r="AK151" s="698"/>
      <c r="AL151" s="698"/>
      <c r="AM151" s="698"/>
      <c r="AN151" s="699"/>
    </row>
    <row r="152" spans="1:40" ht="45" hidden="1" customHeight="1">
      <c r="A152" s="718"/>
      <c r="B152" s="714"/>
      <c r="C152" s="697" t="str">
        <f>IF(ROUND(F18A!$B$8,2)=ROUND(F8B!$D$7,2),"","15.5. El TOTAL DEL GASTO NO ETIQUETADO en lo correspondiente al APROBADO del ESTADO ANALÍTICO DEL EJERCICIO DEL PRESUPUESTO DE EGRESO DETALLADO - LDF (F18A),"&amp;" no es igual al TOTAL DEL GASTO NO ETIQUETADO en el momento APROBADO del ESTADO ANALÍTICO DEL EJERCICIO DEL PRESUPUESTO DE EGRESOS (F8B).")</f>
        <v>15.5. El TOTAL DEL GASTO NO ETIQUETADO en lo correspondiente al APROBADO del ESTADO ANALÍTICO DEL EJERCICIO DEL PRESUPUESTO DE EGRESO DETALLADO - LDF (F18A), no es igual al TOTAL DEL GASTO NO ETIQUETADO en el momento APROBADO del ESTADO ANALÍTICO DEL EJERCICIO DEL PRESUPUESTO DE EGRESOS (F8B).</v>
      </c>
      <c r="D152" s="698"/>
      <c r="E152" s="698"/>
      <c r="F152" s="698"/>
      <c r="G152" s="698"/>
      <c r="H152" s="698"/>
      <c r="I152" s="698"/>
      <c r="J152" s="698"/>
      <c r="K152" s="698"/>
      <c r="L152" s="698"/>
      <c r="M152" s="698"/>
      <c r="N152" s="698"/>
      <c r="O152" s="698"/>
      <c r="P152" s="698"/>
      <c r="Q152" s="698"/>
      <c r="R152" s="698"/>
      <c r="S152" s="698"/>
      <c r="T152" s="698"/>
      <c r="U152" s="698"/>
      <c r="V152" s="698"/>
      <c r="W152" s="698"/>
      <c r="X152" s="698"/>
      <c r="Y152" s="698"/>
      <c r="Z152" s="698"/>
      <c r="AA152" s="698"/>
      <c r="AB152" s="698"/>
      <c r="AC152" s="698"/>
      <c r="AD152" s="698"/>
      <c r="AE152" s="698"/>
      <c r="AF152" s="698"/>
      <c r="AG152" s="698"/>
      <c r="AH152" s="698"/>
      <c r="AI152" s="698"/>
      <c r="AJ152" s="698"/>
      <c r="AK152" s="698"/>
      <c r="AL152" s="698"/>
      <c r="AM152" s="698"/>
      <c r="AN152" s="699"/>
    </row>
    <row r="153" spans="1:40" ht="45" hidden="1" customHeight="1">
      <c r="A153" s="718"/>
      <c r="B153" s="714"/>
      <c r="C153" s="697" t="str">
        <f>IF(ROUND(F18A!$D$8,2)=ROUND(F8B!$F$7,2),"","15.6. El TOTAL DEL GASTO NO ETIQUETADO en lo correspondiente al MODIFICADO del ESTADO ANALÍTICO DEL EJERCICIO DEL PRESUPUESTO DE EGRESO DETALLADO - LDF (F18A),"&amp;" no es igual al TOTAL DEL GASTO NO ETIQUETADO en el momento MODIFICADO del ESTADO ANALÍTICO DEL EJERCICIO DEL PRESUPUESTO DE EGRESOS (F8B).")</f>
        <v>15.6. El TOTAL DEL GASTO NO ETIQUETADO en lo correspondiente al MODIFICADO del ESTADO ANALÍTICO DEL EJERCICIO DEL PRESUPUESTO DE EGRESO DETALLADO - LDF (F18A), no es igual al TOTAL DEL GASTO NO ETIQUETADO en el momento MODIFICADO del ESTADO ANALÍTICO DEL EJERCICIO DEL PRESUPUESTO DE EGRESOS (F8B).</v>
      </c>
      <c r="D153" s="698"/>
      <c r="E153" s="698"/>
      <c r="F153" s="698"/>
      <c r="G153" s="698"/>
      <c r="H153" s="698"/>
      <c r="I153" s="698"/>
      <c r="J153" s="698"/>
      <c r="K153" s="698"/>
      <c r="L153" s="698"/>
      <c r="M153" s="698"/>
      <c r="N153" s="698"/>
      <c r="O153" s="698"/>
      <c r="P153" s="698"/>
      <c r="Q153" s="698"/>
      <c r="R153" s="698"/>
      <c r="S153" s="698"/>
      <c r="T153" s="698"/>
      <c r="U153" s="698"/>
      <c r="V153" s="698"/>
      <c r="W153" s="698"/>
      <c r="X153" s="698"/>
      <c r="Y153" s="698"/>
      <c r="Z153" s="698"/>
      <c r="AA153" s="698"/>
      <c r="AB153" s="698"/>
      <c r="AC153" s="698"/>
      <c r="AD153" s="698"/>
      <c r="AE153" s="698"/>
      <c r="AF153" s="698"/>
      <c r="AG153" s="698"/>
      <c r="AH153" s="698"/>
      <c r="AI153" s="698"/>
      <c r="AJ153" s="698"/>
      <c r="AK153" s="698"/>
      <c r="AL153" s="698"/>
      <c r="AM153" s="698"/>
      <c r="AN153" s="699"/>
    </row>
    <row r="154" spans="1:40" ht="45" hidden="1" customHeight="1">
      <c r="A154" s="718"/>
      <c r="B154" s="714"/>
      <c r="C154" s="697" t="str">
        <f>IF(ROUND(F18A!$E$8,2)=ROUND(F8B!$G$7,2),"","15.7. El TOTAL DEL GASTO NO ETIQUETADO en lo correspondiente al DEVENGADO del ESTADO ANALÍTICO DEL EJERCICIO DEL PRESUPUESTO DE EGRESO DETALLADO - LDF (F18A),"&amp;" no es igual al TOTAL DEL GASTO NO ETIQUETADO en el momento DEVENGADO del ESTADO ANALÍTICO DEL EJERCICIO DEL PRESUPUESTO DE EGRESOS (F8B).")</f>
        <v>15.7. El TOTAL DEL GASTO NO ETIQUETADO en lo correspondiente al DEVENGADO del ESTADO ANALÍTICO DEL EJERCICIO DEL PRESUPUESTO DE EGRESO DETALLADO - LDF (F18A), no es igual al TOTAL DEL GASTO NO ETIQUETADO en el momento DEVENGADO del ESTADO ANALÍTICO DEL EJERCICIO DEL PRESUPUESTO DE EGRESOS (F8B).</v>
      </c>
      <c r="D154" s="698"/>
      <c r="E154" s="698"/>
      <c r="F154" s="698"/>
      <c r="G154" s="698"/>
      <c r="H154" s="698"/>
      <c r="I154" s="698"/>
      <c r="J154" s="698"/>
      <c r="K154" s="698"/>
      <c r="L154" s="698"/>
      <c r="M154" s="698"/>
      <c r="N154" s="698"/>
      <c r="O154" s="698"/>
      <c r="P154" s="698"/>
      <c r="Q154" s="698"/>
      <c r="R154" s="698"/>
      <c r="S154" s="698"/>
      <c r="T154" s="698"/>
      <c r="U154" s="698"/>
      <c r="V154" s="698"/>
      <c r="W154" s="698"/>
      <c r="X154" s="698"/>
      <c r="Y154" s="698"/>
      <c r="Z154" s="698"/>
      <c r="AA154" s="698"/>
      <c r="AB154" s="698"/>
      <c r="AC154" s="698"/>
      <c r="AD154" s="698"/>
      <c r="AE154" s="698"/>
      <c r="AF154" s="698"/>
      <c r="AG154" s="698"/>
      <c r="AH154" s="698"/>
      <c r="AI154" s="698"/>
      <c r="AJ154" s="698"/>
      <c r="AK154" s="698"/>
      <c r="AL154" s="698"/>
      <c r="AM154" s="698"/>
      <c r="AN154" s="699"/>
    </row>
    <row r="155" spans="1:40" ht="45" hidden="1" customHeight="1">
      <c r="A155" s="718"/>
      <c r="B155" s="714"/>
      <c r="C155" s="697" t="str">
        <f>IF(ROUND(F18A!$F8,2)=ROUND(F8B!$H$7,2),"","15.8. El TOTAL DEL GASTO NO ETIQUETADO en lo correspondiente al PAGADO del ESTADO ANALÍTICO DEL EJERCICIO DEL PRESUPUESTO DE EGRESO DETALLADO - LDF (F18A),"&amp;" no es igual al TOTAL DEL GASTO NO ETIQUETADO en el momento PAGADO del ESTADO ANALÍTICO DEL EJERCICIO DEL PRESUPUESTO DE EGRESOS (F8B).")</f>
        <v>15.8. El TOTAL DEL GASTO NO ETIQUETADO en lo correspondiente al PAGADO del ESTADO ANALÍTICO DEL EJERCICIO DEL PRESUPUESTO DE EGRESO DETALLADO - LDF (F18A), no es igual al TOTAL DEL GASTO NO ETIQUETADO en el momento PAGADO del ESTADO ANALÍTICO DEL EJERCICIO DEL PRESUPUESTO DE EGRESOS (F8B).</v>
      </c>
      <c r="D155" s="698"/>
      <c r="E155" s="698"/>
      <c r="F155" s="698"/>
      <c r="G155" s="698"/>
      <c r="H155" s="698"/>
      <c r="I155" s="698"/>
      <c r="J155" s="698"/>
      <c r="K155" s="698"/>
      <c r="L155" s="698"/>
      <c r="M155" s="698"/>
      <c r="N155" s="698"/>
      <c r="O155" s="698"/>
      <c r="P155" s="698"/>
      <c r="Q155" s="698"/>
      <c r="R155" s="698"/>
      <c r="S155" s="698"/>
      <c r="T155" s="698"/>
      <c r="U155" s="698"/>
      <c r="V155" s="698"/>
      <c r="W155" s="698"/>
      <c r="X155" s="698"/>
      <c r="Y155" s="698"/>
      <c r="Z155" s="698"/>
      <c r="AA155" s="698"/>
      <c r="AB155" s="698"/>
      <c r="AC155" s="698"/>
      <c r="AD155" s="698"/>
      <c r="AE155" s="698"/>
      <c r="AF155" s="698"/>
      <c r="AG155" s="698"/>
      <c r="AH155" s="698"/>
      <c r="AI155" s="698"/>
      <c r="AJ155" s="698"/>
      <c r="AK155" s="698"/>
      <c r="AL155" s="698"/>
      <c r="AM155" s="698"/>
      <c r="AN155" s="699"/>
    </row>
    <row r="156" spans="1:40" ht="45" hidden="1" customHeight="1">
      <c r="A156" s="718"/>
      <c r="B156" s="714"/>
      <c r="C156" s="697" t="str">
        <f>IF(ROUND(F18A!$B$35,2)=ROUND(F8B!$D$81,2),"","15.9. El TOTAL DEL GASTO ETIQUETADO en lo correspondiente al APROBADO del ESTADO ANALÍTICO DEL EJERCICIO DEL PRESUPUESTO DE EGRESO DETALLADO - LDF (F18A),"&amp;" no es igual al TOTAL DEL GASTO ETIQUETADO en el momento APROBADO del ESTADO ANALÍTICO DEL EJERCICIO DEL PRESUPUESTO DE EGRESOS (F8B).")</f>
        <v/>
      </c>
      <c r="D156" s="698"/>
      <c r="E156" s="698"/>
      <c r="F156" s="698"/>
      <c r="G156" s="698"/>
      <c r="H156" s="698"/>
      <c r="I156" s="698"/>
      <c r="J156" s="698"/>
      <c r="K156" s="698"/>
      <c r="L156" s="698"/>
      <c r="M156" s="698"/>
      <c r="N156" s="698"/>
      <c r="O156" s="698"/>
      <c r="P156" s="698"/>
      <c r="Q156" s="698"/>
      <c r="R156" s="698"/>
      <c r="S156" s="698"/>
      <c r="T156" s="698"/>
      <c r="U156" s="698"/>
      <c r="V156" s="698"/>
      <c r="W156" s="698"/>
      <c r="X156" s="698"/>
      <c r="Y156" s="698"/>
      <c r="Z156" s="698"/>
      <c r="AA156" s="698"/>
      <c r="AB156" s="698"/>
      <c r="AC156" s="698"/>
      <c r="AD156" s="698"/>
      <c r="AE156" s="698"/>
      <c r="AF156" s="698"/>
      <c r="AG156" s="698"/>
      <c r="AH156" s="698"/>
      <c r="AI156" s="698"/>
      <c r="AJ156" s="698"/>
      <c r="AK156" s="698"/>
      <c r="AL156" s="698"/>
      <c r="AM156" s="698"/>
      <c r="AN156" s="699"/>
    </row>
    <row r="157" spans="1:40" ht="45" hidden="1" customHeight="1">
      <c r="A157" s="718"/>
      <c r="B157" s="714"/>
      <c r="C157" s="697" t="str">
        <f>IF(ROUND(F18A!$D$35,2)=ROUND(F8B!$F$81,2),"","15.10. El TOTAL DEL GASTO ETIQUETADO en lo correspondiente al MODIFICADO del ESTADO ANALÍTICO DEL EJERCICIO DEL PRESUPUESTO DE EGRESO DETALLADO - LDF (F18A),"&amp;" no es igual al TOTAL DEL GASTO ETIQUETADO en el momento MODIFICADO del ESTADO ANALÍTICO DEL EJERCICIO DEL PRESUPUESTO DE EGRESOS (F8B).")</f>
        <v>15.10. El TOTAL DEL GASTO ETIQUETADO en lo correspondiente al MODIFICADO del ESTADO ANALÍTICO DEL EJERCICIO DEL PRESUPUESTO DE EGRESO DETALLADO - LDF (F18A), no es igual al TOTAL DEL GASTO ETIQUETADO en el momento MODIFICADO del ESTADO ANALÍTICO DEL EJERCICIO DEL PRESUPUESTO DE EGRESOS (F8B).</v>
      </c>
      <c r="D157" s="698"/>
      <c r="E157" s="698"/>
      <c r="F157" s="698"/>
      <c r="G157" s="698"/>
      <c r="H157" s="698"/>
      <c r="I157" s="698"/>
      <c r="J157" s="698"/>
      <c r="K157" s="698"/>
      <c r="L157" s="698"/>
      <c r="M157" s="698"/>
      <c r="N157" s="698"/>
      <c r="O157" s="698"/>
      <c r="P157" s="698"/>
      <c r="Q157" s="698"/>
      <c r="R157" s="698"/>
      <c r="S157" s="698"/>
      <c r="T157" s="698"/>
      <c r="U157" s="698"/>
      <c r="V157" s="698"/>
      <c r="W157" s="698"/>
      <c r="X157" s="698"/>
      <c r="Y157" s="698"/>
      <c r="Z157" s="698"/>
      <c r="AA157" s="698"/>
      <c r="AB157" s="698"/>
      <c r="AC157" s="698"/>
      <c r="AD157" s="698"/>
      <c r="AE157" s="698"/>
      <c r="AF157" s="698"/>
      <c r="AG157" s="698"/>
      <c r="AH157" s="698"/>
      <c r="AI157" s="698"/>
      <c r="AJ157" s="698"/>
      <c r="AK157" s="698"/>
      <c r="AL157" s="698"/>
      <c r="AM157" s="698"/>
      <c r="AN157" s="699"/>
    </row>
    <row r="158" spans="1:40" ht="45" hidden="1" customHeight="1">
      <c r="A158" s="718"/>
      <c r="B158" s="714"/>
      <c r="C158" s="697" t="str">
        <f>IF(ROUND(F18A!$E$35,2)=ROUND(F8B!$G$81,2),"","15.11. El TOTAL DEL GASTO ETIQUETADO en lo correspondiente al DEVENGADO del ESTADO ANALÍTICO DEL EJERCICIO DEL PRESUPUESTO DE EGRESO DETALLADO - LDF (F18A),"&amp;" no es igual al TOTAL DEL GASTO ETIQUETADO en el momento DEVENGADO del ESTADO ANALÍTICO DEL EJERCICIO DEL PRESUPUESTO DE EGRESOS (F8B).")</f>
        <v>15.11. El TOTAL DEL GASTO ETIQUETADO en lo correspondiente al DEVENGADO del ESTADO ANALÍTICO DEL EJERCICIO DEL PRESUPUESTO DE EGRESO DETALLADO - LDF (F18A), no es igual al TOTAL DEL GASTO ETIQUETADO en el momento DEVENGADO del ESTADO ANALÍTICO DEL EJERCICIO DEL PRESUPUESTO DE EGRESOS (F8B).</v>
      </c>
      <c r="D158" s="698"/>
      <c r="E158" s="698"/>
      <c r="F158" s="698"/>
      <c r="G158" s="698"/>
      <c r="H158" s="698"/>
      <c r="I158" s="698"/>
      <c r="J158" s="698"/>
      <c r="K158" s="698"/>
      <c r="L158" s="698"/>
      <c r="M158" s="698"/>
      <c r="N158" s="698"/>
      <c r="O158" s="698"/>
      <c r="P158" s="698"/>
      <c r="Q158" s="698"/>
      <c r="R158" s="698"/>
      <c r="S158" s="698"/>
      <c r="T158" s="698"/>
      <c r="U158" s="698"/>
      <c r="V158" s="698"/>
      <c r="W158" s="698"/>
      <c r="X158" s="698"/>
      <c r="Y158" s="698"/>
      <c r="Z158" s="698"/>
      <c r="AA158" s="698"/>
      <c r="AB158" s="698"/>
      <c r="AC158" s="698"/>
      <c r="AD158" s="698"/>
      <c r="AE158" s="698"/>
      <c r="AF158" s="698"/>
      <c r="AG158" s="698"/>
      <c r="AH158" s="698"/>
      <c r="AI158" s="698"/>
      <c r="AJ158" s="698"/>
      <c r="AK158" s="698"/>
      <c r="AL158" s="698"/>
      <c r="AM158" s="698"/>
      <c r="AN158" s="699"/>
    </row>
    <row r="159" spans="1:40" ht="45" hidden="1" customHeight="1">
      <c r="A159" s="719"/>
      <c r="B159" s="711"/>
      <c r="C159" s="697" t="str">
        <f>IF(ROUND(F18A!$F$35,2)=ROUND(F8B!$H$81,2),"","15.12. El TOTAL DEL GASTO ETIQUETADO en lo correspondiente al PAGADO del ESTADO ANALÍTICO DEL EJERCICIO DEL PRESUPUESTO DE EGRESO DETALLADO - LDF (F18A),"&amp;" no es igual al TOTAL DEL GASTO ETIQUETADO en el momento PAGADO del ESTADO ANALÍTICO DEL EJERCICIO DEL PRESUPUESTO DE EGRESOS (F8B).")</f>
        <v/>
      </c>
      <c r="D159" s="698"/>
      <c r="E159" s="698"/>
      <c r="F159" s="698"/>
      <c r="G159" s="698"/>
      <c r="H159" s="698"/>
      <c r="I159" s="698"/>
      <c r="J159" s="698"/>
      <c r="K159" s="698"/>
      <c r="L159" s="698"/>
      <c r="M159" s="698"/>
      <c r="N159" s="698"/>
      <c r="O159" s="698"/>
      <c r="P159" s="698"/>
      <c r="Q159" s="698"/>
      <c r="R159" s="698"/>
      <c r="S159" s="698"/>
      <c r="T159" s="698"/>
      <c r="U159" s="698"/>
      <c r="V159" s="698"/>
      <c r="W159" s="698"/>
      <c r="X159" s="698"/>
      <c r="Y159" s="698"/>
      <c r="Z159" s="698"/>
      <c r="AA159" s="698"/>
      <c r="AB159" s="698"/>
      <c r="AC159" s="698"/>
      <c r="AD159" s="698"/>
      <c r="AE159" s="698"/>
      <c r="AF159" s="698"/>
      <c r="AG159" s="698"/>
      <c r="AH159" s="698"/>
      <c r="AI159" s="698"/>
      <c r="AJ159" s="698"/>
      <c r="AK159" s="698"/>
      <c r="AL159" s="698"/>
      <c r="AM159" s="698"/>
      <c r="AN159" s="699"/>
    </row>
    <row r="160" spans="1:40" ht="45" hidden="1" customHeight="1">
      <c r="A160" s="712" t="s">
        <v>115</v>
      </c>
      <c r="B160" s="708"/>
      <c r="C160" s="697" t="str">
        <f>IF(ROUND(SUM('F22'!E7:E8)+('F22'!E27),2)=ROUND('F7'!C17,2),"","16.1. El importe de INGRESOS TOTALES del momento ESTIMADO del BALANCE PRESUPUESTARIO - LDF (F22),"&amp;" no es igual al ESTADO ANALÍTICO DE INGRESOS (F7) columna ESTIMADO.")</f>
        <v/>
      </c>
      <c r="D160" s="698"/>
      <c r="E160" s="698"/>
      <c r="F160" s="698"/>
      <c r="G160" s="698"/>
      <c r="H160" s="698"/>
      <c r="I160" s="698"/>
      <c r="J160" s="698"/>
      <c r="K160" s="698"/>
      <c r="L160" s="698"/>
      <c r="M160" s="698"/>
      <c r="N160" s="698"/>
      <c r="O160" s="698"/>
      <c r="P160" s="698"/>
      <c r="Q160" s="698"/>
      <c r="R160" s="698"/>
      <c r="S160" s="698"/>
      <c r="T160" s="698"/>
      <c r="U160" s="698"/>
      <c r="V160" s="698"/>
      <c r="W160" s="698"/>
      <c r="X160" s="698"/>
      <c r="Y160" s="698"/>
      <c r="Z160" s="698"/>
      <c r="AA160" s="698"/>
      <c r="AB160" s="698"/>
      <c r="AC160" s="698"/>
      <c r="AD160" s="698"/>
      <c r="AE160" s="698"/>
      <c r="AF160" s="698"/>
      <c r="AG160" s="698"/>
      <c r="AH160" s="698"/>
      <c r="AI160" s="698"/>
      <c r="AJ160" s="698"/>
      <c r="AK160" s="698"/>
      <c r="AL160" s="698"/>
      <c r="AM160" s="698"/>
      <c r="AN160" s="699"/>
    </row>
    <row r="161" spans="1:40" ht="45" hidden="1" customHeight="1">
      <c r="A161" s="713"/>
      <c r="B161" s="714"/>
      <c r="C161" s="697" t="str">
        <f>IF(ROUND(SUM('F22'!F7:F8)+('F22'!F27),2)=ROUND('F7'!F17,2),"","16.2. El importe de INGRESOS TOTALES del momento DEVENGADO del BALANCE PRESUPUESTARIO - LDF (F22),"&amp;" no es igual al ESTADO ANALÍTICO DE INGRESOS (F7) columna DEVENGADO.")</f>
        <v/>
      </c>
      <c r="D161" s="698"/>
      <c r="E161" s="698"/>
      <c r="F161" s="698"/>
      <c r="G161" s="698"/>
      <c r="H161" s="698"/>
      <c r="I161" s="698"/>
      <c r="J161" s="698"/>
      <c r="K161" s="698"/>
      <c r="L161" s="698"/>
      <c r="M161" s="698"/>
      <c r="N161" s="698"/>
      <c r="O161" s="698"/>
      <c r="P161" s="698"/>
      <c r="Q161" s="698"/>
      <c r="R161" s="698"/>
      <c r="S161" s="698"/>
      <c r="T161" s="698"/>
      <c r="U161" s="698"/>
      <c r="V161" s="698"/>
      <c r="W161" s="698"/>
      <c r="X161" s="698"/>
      <c r="Y161" s="698"/>
      <c r="Z161" s="698"/>
      <c r="AA161" s="698"/>
      <c r="AB161" s="698"/>
      <c r="AC161" s="698"/>
      <c r="AD161" s="698"/>
      <c r="AE161" s="698"/>
      <c r="AF161" s="698"/>
      <c r="AG161" s="698"/>
      <c r="AH161" s="698"/>
      <c r="AI161" s="698"/>
      <c r="AJ161" s="698"/>
      <c r="AK161" s="698"/>
      <c r="AL161" s="698"/>
      <c r="AM161" s="698"/>
      <c r="AN161" s="699"/>
    </row>
    <row r="162" spans="1:40" ht="45" hidden="1" customHeight="1">
      <c r="A162" s="713"/>
      <c r="B162" s="714"/>
      <c r="C162" s="697" t="str">
        <f>IF(ROUND(SUM('F22'!G7:G8)+('F22'!G27),2)=ROUND('F7'!G17,2),"","16.3. El importe de INGRESOS TOTALES del momento RECAUDADO del BALANCE PRESUPUESTARIO - LDF (F22),"&amp;" no es igual al ESTADO ANALÍTICO DE INGRESOS (F7) columna RECAUDADO.")</f>
        <v/>
      </c>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c r="AA162" s="698"/>
      <c r="AB162" s="698"/>
      <c r="AC162" s="698"/>
      <c r="AD162" s="698"/>
      <c r="AE162" s="698"/>
      <c r="AF162" s="698"/>
      <c r="AG162" s="698"/>
      <c r="AH162" s="698"/>
      <c r="AI162" s="698"/>
      <c r="AJ162" s="698"/>
      <c r="AK162" s="698"/>
      <c r="AL162" s="698"/>
      <c r="AM162" s="698"/>
      <c r="AN162" s="699"/>
    </row>
    <row r="163" spans="1:40" ht="45" hidden="1" customHeight="1">
      <c r="A163" s="713"/>
      <c r="B163" s="714"/>
      <c r="C163" s="697" t="str">
        <f>IF(ROUND(('F22'!E10+'F22'!E30),2)=ROUND('F8'!C80,2),"","16.4. El importe de EGRESOS PRESUPUESTARIOS del momento APROBADO del BALANCE PRESUPUESTARIO - LDF (F22),"&amp;" no es igual al ESTADO ANALÍTICO DEL EJERCICIO DEL PRESUPUESTO DE EGRESOS (F8) columna APROBADO.")</f>
        <v>16.4. El importe de EGRESOS PRESUPUESTARIOS del momento APROBADO del BALANCE PRESUPUESTARIO - LDF (F22), no es igual al ESTADO ANALÍTICO DEL EJERCICIO DEL PRESUPUESTO DE EGRESOS (F8) columna APROBADO.</v>
      </c>
      <c r="D163" s="698"/>
      <c r="E163" s="698"/>
      <c r="F163" s="698"/>
      <c r="G163" s="698"/>
      <c r="H163" s="698"/>
      <c r="I163" s="698"/>
      <c r="J163" s="698"/>
      <c r="K163" s="698"/>
      <c r="L163" s="698"/>
      <c r="M163" s="698"/>
      <c r="N163" s="698"/>
      <c r="O163" s="698"/>
      <c r="P163" s="698"/>
      <c r="Q163" s="698"/>
      <c r="R163" s="698"/>
      <c r="S163" s="698"/>
      <c r="T163" s="698"/>
      <c r="U163" s="698"/>
      <c r="V163" s="698"/>
      <c r="W163" s="698"/>
      <c r="X163" s="698"/>
      <c r="Y163" s="698"/>
      <c r="Z163" s="698"/>
      <c r="AA163" s="698"/>
      <c r="AB163" s="698"/>
      <c r="AC163" s="698"/>
      <c r="AD163" s="698"/>
      <c r="AE163" s="698"/>
      <c r="AF163" s="698"/>
      <c r="AG163" s="698"/>
      <c r="AH163" s="698"/>
      <c r="AI163" s="698"/>
      <c r="AJ163" s="698"/>
      <c r="AK163" s="698"/>
      <c r="AL163" s="698"/>
      <c r="AM163" s="698"/>
      <c r="AN163" s="699"/>
    </row>
    <row r="164" spans="1:40" ht="45" hidden="1" customHeight="1">
      <c r="A164" s="713"/>
      <c r="B164" s="714"/>
      <c r="C164" s="697" t="str">
        <f>IF(ROUND(('F22'!F10+'F22'!F30),2)=ROUND('F8'!F80,2),"","16.5. El importe de EGRESOS PRESUPUESTARIOS del momento DEVENGADO del BALANCE PRESUPUESTARIO - LDF (F22),"&amp;" no es igual al ESTADO ANALÍTICO DEL EJERCICIO DEL PRESUPUESTO DE EGRESOS (F8) columna DEVENGADO.")</f>
        <v>16.5. El importe de EGRESOS PRESUPUESTARIOS del momento DEVENGADO del BALANCE PRESUPUESTARIO - LDF (F22), no es igual al ESTADO ANALÍTICO DEL EJERCICIO DEL PRESUPUESTO DE EGRESOS (F8) columna DEVENGADO.</v>
      </c>
      <c r="D164" s="698"/>
      <c r="E164" s="698"/>
      <c r="F164" s="698"/>
      <c r="G164" s="698"/>
      <c r="H164" s="698"/>
      <c r="I164" s="698"/>
      <c r="J164" s="698"/>
      <c r="K164" s="698"/>
      <c r="L164" s="698"/>
      <c r="M164" s="698"/>
      <c r="N164" s="698"/>
      <c r="O164" s="698"/>
      <c r="P164" s="698"/>
      <c r="Q164" s="698"/>
      <c r="R164" s="698"/>
      <c r="S164" s="698"/>
      <c r="T164" s="698"/>
      <c r="U164" s="698"/>
      <c r="V164" s="698"/>
      <c r="W164" s="698"/>
      <c r="X164" s="698"/>
      <c r="Y164" s="698"/>
      <c r="Z164" s="698"/>
      <c r="AA164" s="698"/>
      <c r="AB164" s="698"/>
      <c r="AC164" s="698"/>
      <c r="AD164" s="698"/>
      <c r="AE164" s="698"/>
      <c r="AF164" s="698"/>
      <c r="AG164" s="698"/>
      <c r="AH164" s="698"/>
      <c r="AI164" s="698"/>
      <c r="AJ164" s="698"/>
      <c r="AK164" s="698"/>
      <c r="AL164" s="698"/>
      <c r="AM164" s="698"/>
      <c r="AN164" s="699"/>
    </row>
    <row r="165" spans="1:40" ht="45" hidden="1" customHeight="1">
      <c r="A165" s="709"/>
      <c r="B165" s="711"/>
      <c r="C165" s="697" t="str">
        <f>IF(ROUND(('F22'!G10+'F22'!G30),2)=ROUND('F8'!G80,2),"","16.6. El importe de EGRESOS PRESUPUESTARIOS del momento PAGADO del BALANCE PRESUPUESTARIO - LDF (F22),"&amp;" no es igual al ESTADO ANALÍTICO DEL EJERCICIO DEL PRESUPUESTO DE EGRESOS (F8) columna PAGADO.")</f>
        <v>16.6. El importe de EGRESOS PRESUPUESTARIOS del momento PAGADO del BALANCE PRESUPUESTARIO - LDF (F22), no es igual al ESTADO ANALÍTICO DEL EJERCICIO DEL PRESUPUESTO DE EGRESOS (F8) columna PAGADO.</v>
      </c>
      <c r="D165" s="698"/>
      <c r="E165" s="698"/>
      <c r="F165" s="698"/>
      <c r="G165" s="698"/>
      <c r="H165" s="698"/>
      <c r="I165" s="698"/>
      <c r="J165" s="698"/>
      <c r="K165" s="698"/>
      <c r="L165" s="698"/>
      <c r="M165" s="698"/>
      <c r="N165" s="698"/>
      <c r="O165" s="698"/>
      <c r="P165" s="698"/>
      <c r="Q165" s="698"/>
      <c r="R165" s="698"/>
      <c r="S165" s="698"/>
      <c r="T165" s="698"/>
      <c r="U165" s="698"/>
      <c r="V165" s="698"/>
      <c r="W165" s="698"/>
      <c r="X165" s="698"/>
      <c r="Y165" s="698"/>
      <c r="Z165" s="698"/>
      <c r="AA165" s="698"/>
      <c r="AB165" s="698"/>
      <c r="AC165" s="698"/>
      <c r="AD165" s="698"/>
      <c r="AE165" s="698"/>
      <c r="AF165" s="698"/>
      <c r="AG165" s="698"/>
      <c r="AH165" s="698"/>
      <c r="AI165" s="698"/>
      <c r="AJ165" s="698"/>
      <c r="AK165" s="698"/>
      <c r="AL165" s="698"/>
      <c r="AM165" s="698"/>
      <c r="AN165" s="699"/>
    </row>
    <row r="166" spans="1:40" ht="45" hidden="1" customHeight="1">
      <c r="A166" s="712" t="s">
        <v>116</v>
      </c>
      <c r="B166" s="708"/>
      <c r="C166" s="697" t="str">
        <f>IF(ROUND('F13'!$P$6,2)=ROUND('F12'!$E$21,2),"","17.1. El total del CAPÍTULO 1000 del AVANCE DE PROGRAMAS Y/O PROCESOS CONCLUIDOS (F13),"&amp;" no es igual al informado en el FLUJO CONTABLE DE INGRESOS Y EGRESOS (F12) columna MODIFICADO.")</f>
        <v/>
      </c>
      <c r="D166" s="698"/>
      <c r="E166" s="698"/>
      <c r="F166" s="698"/>
      <c r="G166" s="698"/>
      <c r="H166" s="698"/>
      <c r="I166" s="698"/>
      <c r="J166" s="698"/>
      <c r="K166" s="698"/>
      <c r="L166" s="698"/>
      <c r="M166" s="698"/>
      <c r="N166" s="698"/>
      <c r="O166" s="698"/>
      <c r="P166" s="698"/>
      <c r="Q166" s="698"/>
      <c r="R166" s="698"/>
      <c r="S166" s="698"/>
      <c r="T166" s="698"/>
      <c r="U166" s="698"/>
      <c r="V166" s="698"/>
      <c r="W166" s="698"/>
      <c r="X166" s="698"/>
      <c r="Y166" s="698"/>
      <c r="Z166" s="698"/>
      <c r="AA166" s="698"/>
      <c r="AB166" s="698"/>
      <c r="AC166" s="698"/>
      <c r="AD166" s="698"/>
      <c r="AE166" s="698"/>
      <c r="AF166" s="698"/>
      <c r="AG166" s="698"/>
      <c r="AH166" s="698"/>
      <c r="AI166" s="698"/>
      <c r="AJ166" s="698"/>
      <c r="AK166" s="698"/>
      <c r="AL166" s="698"/>
      <c r="AM166" s="698"/>
      <c r="AN166" s="699"/>
    </row>
    <row r="167" spans="1:40" ht="45" hidden="1" customHeight="1">
      <c r="A167" s="713"/>
      <c r="B167" s="714"/>
      <c r="C167" s="697" t="str">
        <f>IF(ROUND('F13'!$Q$6,2)=ROUND('F12'!$E$22,2),"","17.2. El total del CAPÍTULO 2000 del AVANCE DE PROGRAMAS Y/O PROCESOS CONCLUIDOS (F13),"&amp;" no es igual al informado en el FLUJO CONTABLE DE INGRESOS Y EGRESOS (F12) columna MODIFICADO.")</f>
        <v/>
      </c>
      <c r="D167" s="698"/>
      <c r="E167" s="698"/>
      <c r="F167" s="698"/>
      <c r="G167" s="698"/>
      <c r="H167" s="698"/>
      <c r="I167" s="698"/>
      <c r="J167" s="698"/>
      <c r="K167" s="698"/>
      <c r="L167" s="698"/>
      <c r="M167" s="698"/>
      <c r="N167" s="698"/>
      <c r="O167" s="698"/>
      <c r="P167" s="698"/>
      <c r="Q167" s="698"/>
      <c r="R167" s="698"/>
      <c r="S167" s="698"/>
      <c r="T167" s="698"/>
      <c r="U167" s="698"/>
      <c r="V167" s="698"/>
      <c r="W167" s="698"/>
      <c r="X167" s="698"/>
      <c r="Y167" s="698"/>
      <c r="Z167" s="698"/>
      <c r="AA167" s="698"/>
      <c r="AB167" s="698"/>
      <c r="AC167" s="698"/>
      <c r="AD167" s="698"/>
      <c r="AE167" s="698"/>
      <c r="AF167" s="698"/>
      <c r="AG167" s="698"/>
      <c r="AH167" s="698"/>
      <c r="AI167" s="698"/>
      <c r="AJ167" s="698"/>
      <c r="AK167" s="698"/>
      <c r="AL167" s="698"/>
      <c r="AM167" s="698"/>
      <c r="AN167" s="699"/>
    </row>
    <row r="168" spans="1:40" ht="45" hidden="1" customHeight="1">
      <c r="A168" s="713"/>
      <c r="B168" s="714"/>
      <c r="C168" s="697" t="str">
        <f>IF(ROUND('F13'!$R$6,2)=ROUND('F12'!$E$23,2),"","17.3. El total del CAPÍTULO 3000 del AVANCE DE PROGRAMAS Y/O PROCESOS CONCLUIDOS (F13),"&amp;" no es igual al informado en el FLUJO CONTABLE DE INGRESOS Y EGRESOS (F12) columna MODIFICADO.")</f>
        <v/>
      </c>
      <c r="D168" s="698"/>
      <c r="E168" s="698"/>
      <c r="F168" s="698"/>
      <c r="G168" s="698"/>
      <c r="H168" s="698"/>
      <c r="I168" s="698"/>
      <c r="J168" s="698"/>
      <c r="K168" s="698"/>
      <c r="L168" s="698"/>
      <c r="M168" s="698"/>
      <c r="N168" s="698"/>
      <c r="O168" s="698"/>
      <c r="P168" s="698"/>
      <c r="Q168" s="698"/>
      <c r="R168" s="698"/>
      <c r="S168" s="698"/>
      <c r="T168" s="698"/>
      <c r="U168" s="698"/>
      <c r="V168" s="698"/>
      <c r="W168" s="698"/>
      <c r="X168" s="698"/>
      <c r="Y168" s="698"/>
      <c r="Z168" s="698"/>
      <c r="AA168" s="698"/>
      <c r="AB168" s="698"/>
      <c r="AC168" s="698"/>
      <c r="AD168" s="698"/>
      <c r="AE168" s="698"/>
      <c r="AF168" s="698"/>
      <c r="AG168" s="698"/>
      <c r="AH168" s="698"/>
      <c r="AI168" s="698"/>
      <c r="AJ168" s="698"/>
      <c r="AK168" s="698"/>
      <c r="AL168" s="698"/>
      <c r="AM168" s="698"/>
      <c r="AN168" s="699"/>
    </row>
    <row r="169" spans="1:40" ht="45" hidden="1" customHeight="1">
      <c r="A169" s="713"/>
      <c r="B169" s="714"/>
      <c r="C169" s="697" t="str">
        <f>IF(ROUND('F13'!$S$6,2)=ROUND('F12'!$E$24,2),"","17.4. El total del CAPÍTULO 4000 del AVANCE DE PROGRAMAS Y/O PROCESOS CONCLUIDOS (F13),"&amp;" no es igual al informado en el FLUJO CONTABLE DE INGRESOS Y EGRESOS (F12) columna MODIFICADO.")</f>
        <v/>
      </c>
      <c r="D169" s="698"/>
      <c r="E169" s="698"/>
      <c r="F169" s="698"/>
      <c r="G169" s="698"/>
      <c r="H169" s="698"/>
      <c r="I169" s="698"/>
      <c r="J169" s="698"/>
      <c r="K169" s="698"/>
      <c r="L169" s="698"/>
      <c r="M169" s="698"/>
      <c r="N169" s="698"/>
      <c r="O169" s="698"/>
      <c r="P169" s="698"/>
      <c r="Q169" s="698"/>
      <c r="R169" s="698"/>
      <c r="S169" s="698"/>
      <c r="T169" s="698"/>
      <c r="U169" s="698"/>
      <c r="V169" s="698"/>
      <c r="W169" s="698"/>
      <c r="X169" s="698"/>
      <c r="Y169" s="698"/>
      <c r="Z169" s="698"/>
      <c r="AA169" s="698"/>
      <c r="AB169" s="698"/>
      <c r="AC169" s="698"/>
      <c r="AD169" s="698"/>
      <c r="AE169" s="698"/>
      <c r="AF169" s="698"/>
      <c r="AG169" s="698"/>
      <c r="AH169" s="698"/>
      <c r="AI169" s="698"/>
      <c r="AJ169" s="698"/>
      <c r="AK169" s="698"/>
      <c r="AL169" s="698"/>
      <c r="AM169" s="698"/>
      <c r="AN169" s="699"/>
    </row>
    <row r="170" spans="1:40" ht="45" hidden="1" customHeight="1">
      <c r="A170" s="713"/>
      <c r="B170" s="714"/>
      <c r="C170" s="697" t="str">
        <f>IF(ROUND('F13'!$T$6,2)=ROUND('F12'!$E$25,2),"","17.5. El total del CAPÍTULO 5000 del AVANCE DE PROGRAMAS Y/O PROCESOS CONCLUIDOS (F13),"&amp;" no es igual al informado en el FLUJO CONTABLE DE INGRESOS Y EGRESOS (F12) columna MODIFICADO.")</f>
        <v/>
      </c>
      <c r="D170" s="698"/>
      <c r="E170" s="698"/>
      <c r="F170" s="698"/>
      <c r="G170" s="698"/>
      <c r="H170" s="698"/>
      <c r="I170" s="698"/>
      <c r="J170" s="698"/>
      <c r="K170" s="698"/>
      <c r="L170" s="698"/>
      <c r="M170" s="698"/>
      <c r="N170" s="698"/>
      <c r="O170" s="698"/>
      <c r="P170" s="698"/>
      <c r="Q170" s="698"/>
      <c r="R170" s="698"/>
      <c r="S170" s="698"/>
      <c r="T170" s="698"/>
      <c r="U170" s="698"/>
      <c r="V170" s="698"/>
      <c r="W170" s="698"/>
      <c r="X170" s="698"/>
      <c r="Y170" s="698"/>
      <c r="Z170" s="698"/>
      <c r="AA170" s="698"/>
      <c r="AB170" s="698"/>
      <c r="AC170" s="698"/>
      <c r="AD170" s="698"/>
      <c r="AE170" s="698"/>
      <c r="AF170" s="698"/>
      <c r="AG170" s="698"/>
      <c r="AH170" s="698"/>
      <c r="AI170" s="698"/>
      <c r="AJ170" s="698"/>
      <c r="AK170" s="698"/>
      <c r="AL170" s="698"/>
      <c r="AM170" s="698"/>
      <c r="AN170" s="699"/>
    </row>
    <row r="171" spans="1:40" ht="45" hidden="1" customHeight="1">
      <c r="A171" s="713"/>
      <c r="B171" s="714"/>
      <c r="C171" s="697" t="str">
        <f>IF(ROUND('F13'!$U$6,2)=ROUND('F12'!$E$26,2),"","17.6. El total del CAPÍTULO 6000 del AVANCE DE PROGRAMAS Y/O PROCESOS CONCLUIDOS (F13),"&amp;" no es igual al informado en el FLUJO CONTABLE DE INGRESOS Y EGRESOS (F12) columna MODIFICADO.")</f>
        <v/>
      </c>
      <c r="D171" s="698"/>
      <c r="E171" s="698"/>
      <c r="F171" s="698"/>
      <c r="G171" s="698"/>
      <c r="H171" s="698"/>
      <c r="I171" s="698"/>
      <c r="J171" s="698"/>
      <c r="K171" s="698"/>
      <c r="L171" s="698"/>
      <c r="M171" s="698"/>
      <c r="N171" s="698"/>
      <c r="O171" s="698"/>
      <c r="P171" s="698"/>
      <c r="Q171" s="698"/>
      <c r="R171" s="698"/>
      <c r="S171" s="698"/>
      <c r="T171" s="698"/>
      <c r="U171" s="698"/>
      <c r="V171" s="698"/>
      <c r="W171" s="698"/>
      <c r="X171" s="698"/>
      <c r="Y171" s="698"/>
      <c r="Z171" s="698"/>
      <c r="AA171" s="698"/>
      <c r="AB171" s="698"/>
      <c r="AC171" s="698"/>
      <c r="AD171" s="698"/>
      <c r="AE171" s="698"/>
      <c r="AF171" s="698"/>
      <c r="AG171" s="698"/>
      <c r="AH171" s="698"/>
      <c r="AI171" s="698"/>
      <c r="AJ171" s="698"/>
      <c r="AK171" s="698"/>
      <c r="AL171" s="698"/>
      <c r="AM171" s="698"/>
      <c r="AN171" s="699"/>
    </row>
    <row r="172" spans="1:40" ht="45" hidden="1" customHeight="1">
      <c r="A172" s="713"/>
      <c r="B172" s="714"/>
      <c r="C172" s="697" t="str">
        <f>IF(ROUND('F13'!$V$6,2)=ROUND('F12'!$E$27,2),"","17.7. El total del CAPÍTULO 7000 del AVANCE DE PROGRAMAS Y/O PROCESOS CONCLUIDOS (F13),"&amp;" no es igual al informado en el FLUJO CONTABLE DE INGRESOS Y EGRESOS (F12) columna MODIFICADO.")</f>
        <v/>
      </c>
      <c r="D172" s="698"/>
      <c r="E172" s="698"/>
      <c r="F172" s="698"/>
      <c r="G172" s="698"/>
      <c r="H172" s="698"/>
      <c r="I172" s="698"/>
      <c r="J172" s="698"/>
      <c r="K172" s="698"/>
      <c r="L172" s="698"/>
      <c r="M172" s="698"/>
      <c r="N172" s="698"/>
      <c r="O172" s="698"/>
      <c r="P172" s="698"/>
      <c r="Q172" s="698"/>
      <c r="R172" s="698"/>
      <c r="S172" s="698"/>
      <c r="T172" s="698"/>
      <c r="U172" s="698"/>
      <c r="V172" s="698"/>
      <c r="W172" s="698"/>
      <c r="X172" s="698"/>
      <c r="Y172" s="698"/>
      <c r="Z172" s="698"/>
      <c r="AA172" s="698"/>
      <c r="AB172" s="698"/>
      <c r="AC172" s="698"/>
      <c r="AD172" s="698"/>
      <c r="AE172" s="698"/>
      <c r="AF172" s="698"/>
      <c r="AG172" s="698"/>
      <c r="AH172" s="698"/>
      <c r="AI172" s="698"/>
      <c r="AJ172" s="698"/>
      <c r="AK172" s="698"/>
      <c r="AL172" s="698"/>
      <c r="AM172" s="698"/>
      <c r="AN172" s="699"/>
    </row>
    <row r="173" spans="1:40" ht="45" hidden="1" customHeight="1">
      <c r="A173" s="713"/>
      <c r="B173" s="714"/>
      <c r="C173" s="697" t="str">
        <f>IF(ROUND('F13'!$W$6,2)=ROUND('F12'!$E$28,2),"","17.8. El total del CAPÍTULO 8000 del AVANCE DE PROGRAMAS Y/O PROCESOS CONCLUIDOS (F13),"&amp;" no es igual al informado en el FLUJO CONTABLE DE INGRESOS Y EGRESOS (F12) columna MODIFICADO.")</f>
        <v/>
      </c>
      <c r="D173" s="698"/>
      <c r="E173" s="698"/>
      <c r="F173" s="698"/>
      <c r="G173" s="698"/>
      <c r="H173" s="698"/>
      <c r="I173" s="698"/>
      <c r="J173" s="698"/>
      <c r="K173" s="698"/>
      <c r="L173" s="698"/>
      <c r="M173" s="698"/>
      <c r="N173" s="698"/>
      <c r="O173" s="698"/>
      <c r="P173" s="698"/>
      <c r="Q173" s="698"/>
      <c r="R173" s="698"/>
      <c r="S173" s="698"/>
      <c r="T173" s="698"/>
      <c r="U173" s="698"/>
      <c r="V173" s="698"/>
      <c r="W173" s="698"/>
      <c r="X173" s="698"/>
      <c r="Y173" s="698"/>
      <c r="Z173" s="698"/>
      <c r="AA173" s="698"/>
      <c r="AB173" s="698"/>
      <c r="AC173" s="698"/>
      <c r="AD173" s="698"/>
      <c r="AE173" s="698"/>
      <c r="AF173" s="698"/>
      <c r="AG173" s="698"/>
      <c r="AH173" s="698"/>
      <c r="AI173" s="698"/>
      <c r="AJ173" s="698"/>
      <c r="AK173" s="698"/>
      <c r="AL173" s="698"/>
      <c r="AM173" s="698"/>
      <c r="AN173" s="699"/>
    </row>
    <row r="174" spans="1:40" ht="45" hidden="1" customHeight="1">
      <c r="A174" s="713"/>
      <c r="B174" s="714"/>
      <c r="C174" s="697" t="str">
        <f>IF(ROUND('F13'!$X$6,2)=ROUND('F12'!$E$29,2),"","17.9. El total del CAPÍTULO 9000 del AVANCE DE PROGRAMAS Y/O PROCESOS CONCLUIDOS (F13),"&amp;" no es igual al informado en el FLUJO CONTABLE DE INGRESOS Y EGRESOS (F12) columna MODIFICADO.")</f>
        <v/>
      </c>
      <c r="D174" s="698"/>
      <c r="E174" s="698"/>
      <c r="F174" s="698"/>
      <c r="G174" s="698"/>
      <c r="H174" s="698"/>
      <c r="I174" s="698"/>
      <c r="J174" s="698"/>
      <c r="K174" s="698"/>
      <c r="L174" s="698"/>
      <c r="M174" s="698"/>
      <c r="N174" s="698"/>
      <c r="O174" s="698"/>
      <c r="P174" s="698"/>
      <c r="Q174" s="698"/>
      <c r="R174" s="698"/>
      <c r="S174" s="698"/>
      <c r="T174" s="698"/>
      <c r="U174" s="698"/>
      <c r="V174" s="698"/>
      <c r="W174" s="698"/>
      <c r="X174" s="698"/>
      <c r="Y174" s="698"/>
      <c r="Z174" s="698"/>
      <c r="AA174" s="698"/>
      <c r="AB174" s="698"/>
      <c r="AC174" s="698"/>
      <c r="AD174" s="698"/>
      <c r="AE174" s="698"/>
      <c r="AF174" s="698"/>
      <c r="AG174" s="698"/>
      <c r="AH174" s="698"/>
      <c r="AI174" s="698"/>
      <c r="AJ174" s="698"/>
      <c r="AK174" s="698"/>
      <c r="AL174" s="698"/>
      <c r="AM174" s="698"/>
      <c r="AN174" s="699"/>
    </row>
    <row r="175" spans="1:40" ht="45" hidden="1" customHeight="1">
      <c r="A175" s="713"/>
      <c r="B175" s="714"/>
      <c r="C175" s="697" t="str">
        <f>IF(ROUND('F13'!$AA$6,2)=ROUND('F12'!$F$21,2),"","17.10. El total del CAPÍTULO 1000 del AVANCE DE PROGRAMAS Y/O PROCESOS CONCLUIDOS (F13),"&amp;" no es igual al informado en el FLUJO CONTABLE DE INGRESOS Y EGRESOS (F12) columna DEVENGADO.")</f>
        <v/>
      </c>
      <c r="D175" s="698"/>
      <c r="E175" s="698"/>
      <c r="F175" s="698"/>
      <c r="G175" s="698"/>
      <c r="H175" s="698"/>
      <c r="I175" s="698"/>
      <c r="J175" s="698"/>
      <c r="K175" s="698"/>
      <c r="L175" s="698"/>
      <c r="M175" s="698"/>
      <c r="N175" s="698"/>
      <c r="O175" s="698"/>
      <c r="P175" s="698"/>
      <c r="Q175" s="698"/>
      <c r="R175" s="698"/>
      <c r="S175" s="698"/>
      <c r="T175" s="698"/>
      <c r="U175" s="698"/>
      <c r="V175" s="698"/>
      <c r="W175" s="698"/>
      <c r="X175" s="698"/>
      <c r="Y175" s="698"/>
      <c r="Z175" s="698"/>
      <c r="AA175" s="698"/>
      <c r="AB175" s="698"/>
      <c r="AC175" s="698"/>
      <c r="AD175" s="698"/>
      <c r="AE175" s="698"/>
      <c r="AF175" s="698"/>
      <c r="AG175" s="698"/>
      <c r="AH175" s="698"/>
      <c r="AI175" s="698"/>
      <c r="AJ175" s="698"/>
      <c r="AK175" s="698"/>
      <c r="AL175" s="698"/>
      <c r="AM175" s="698"/>
      <c r="AN175" s="699"/>
    </row>
    <row r="176" spans="1:40" ht="45" hidden="1" customHeight="1">
      <c r="A176" s="713"/>
      <c r="B176" s="714"/>
      <c r="C176" s="697" t="str">
        <f>IF(ROUND('F13'!$AB$6,2)=ROUND('F12'!$F$22,2),"","17.11. El total del CAPÍTULO 2000 del AVANCE DE PROGRAMAS Y/O PROCESOS CONCLUIDOS (F13),"&amp;" no es igual al informado en el FLUJO CONTABLE DE INGRESOS Y EGRESOS (F12) columna DEVENGADO.")</f>
        <v/>
      </c>
      <c r="D176" s="698"/>
      <c r="E176" s="698"/>
      <c r="F176" s="698"/>
      <c r="G176" s="698"/>
      <c r="H176" s="698"/>
      <c r="I176" s="698"/>
      <c r="J176" s="698"/>
      <c r="K176" s="698"/>
      <c r="L176" s="698"/>
      <c r="M176" s="698"/>
      <c r="N176" s="698"/>
      <c r="O176" s="698"/>
      <c r="P176" s="698"/>
      <c r="Q176" s="698"/>
      <c r="R176" s="698"/>
      <c r="S176" s="698"/>
      <c r="T176" s="698"/>
      <c r="U176" s="698"/>
      <c r="V176" s="698"/>
      <c r="W176" s="698"/>
      <c r="X176" s="698"/>
      <c r="Y176" s="698"/>
      <c r="Z176" s="698"/>
      <c r="AA176" s="698"/>
      <c r="AB176" s="698"/>
      <c r="AC176" s="698"/>
      <c r="AD176" s="698"/>
      <c r="AE176" s="698"/>
      <c r="AF176" s="698"/>
      <c r="AG176" s="698"/>
      <c r="AH176" s="698"/>
      <c r="AI176" s="698"/>
      <c r="AJ176" s="698"/>
      <c r="AK176" s="698"/>
      <c r="AL176" s="698"/>
      <c r="AM176" s="698"/>
      <c r="AN176" s="699"/>
    </row>
    <row r="177" spans="1:40" ht="45" hidden="1" customHeight="1">
      <c r="A177" s="713"/>
      <c r="B177" s="714"/>
      <c r="C177" s="697" t="str">
        <f>IF(ROUND('F13'!$AC$6,2)=ROUND('F12'!$F$23,2),"","17.12. El total del CAPÍTULO 3000 del AVANCE DE PROGRAMAS Y/O PROCESOS CONCLUIDOS (F13),"&amp;" no es igual al informado en el FLUJO CONTABLE DE INGRESOS Y EGRESOS (F12) columna DEVENGADO.")</f>
        <v/>
      </c>
      <c r="D177" s="698"/>
      <c r="E177" s="698"/>
      <c r="F177" s="698"/>
      <c r="G177" s="698"/>
      <c r="H177" s="698"/>
      <c r="I177" s="698"/>
      <c r="J177" s="698"/>
      <c r="K177" s="698"/>
      <c r="L177" s="698"/>
      <c r="M177" s="698"/>
      <c r="N177" s="698"/>
      <c r="O177" s="698"/>
      <c r="P177" s="698"/>
      <c r="Q177" s="698"/>
      <c r="R177" s="698"/>
      <c r="S177" s="698"/>
      <c r="T177" s="698"/>
      <c r="U177" s="698"/>
      <c r="V177" s="698"/>
      <c r="W177" s="698"/>
      <c r="X177" s="698"/>
      <c r="Y177" s="698"/>
      <c r="Z177" s="698"/>
      <c r="AA177" s="698"/>
      <c r="AB177" s="698"/>
      <c r="AC177" s="698"/>
      <c r="AD177" s="698"/>
      <c r="AE177" s="698"/>
      <c r="AF177" s="698"/>
      <c r="AG177" s="698"/>
      <c r="AH177" s="698"/>
      <c r="AI177" s="698"/>
      <c r="AJ177" s="698"/>
      <c r="AK177" s="698"/>
      <c r="AL177" s="698"/>
      <c r="AM177" s="698"/>
      <c r="AN177" s="699"/>
    </row>
    <row r="178" spans="1:40" ht="45" hidden="1" customHeight="1">
      <c r="A178" s="713"/>
      <c r="B178" s="714"/>
      <c r="C178" s="697" t="str">
        <f>IF(ROUND('F13'!$AD$6,2)=ROUND('F12'!$F$24,2),"","17.13. El total del CAPÍTULO 4000 del AVANCE DE PROGRAMAS Y/O PROCESOS CONCLUIDOS (F13),"&amp;" no es igual al informado en el FLUJO CONTABLE DE INGRESOS Y EGRESOS (F12) columna DEVENGADO.")</f>
        <v/>
      </c>
      <c r="D178" s="698"/>
      <c r="E178" s="698"/>
      <c r="F178" s="698"/>
      <c r="G178" s="698"/>
      <c r="H178" s="698"/>
      <c r="I178" s="698"/>
      <c r="J178" s="698"/>
      <c r="K178" s="698"/>
      <c r="L178" s="698"/>
      <c r="M178" s="698"/>
      <c r="N178" s="698"/>
      <c r="O178" s="698"/>
      <c r="P178" s="698"/>
      <c r="Q178" s="698"/>
      <c r="R178" s="698"/>
      <c r="S178" s="698"/>
      <c r="T178" s="698"/>
      <c r="U178" s="698"/>
      <c r="V178" s="698"/>
      <c r="W178" s="698"/>
      <c r="X178" s="698"/>
      <c r="Y178" s="698"/>
      <c r="Z178" s="698"/>
      <c r="AA178" s="698"/>
      <c r="AB178" s="698"/>
      <c r="AC178" s="698"/>
      <c r="AD178" s="698"/>
      <c r="AE178" s="698"/>
      <c r="AF178" s="698"/>
      <c r="AG178" s="698"/>
      <c r="AH178" s="698"/>
      <c r="AI178" s="698"/>
      <c r="AJ178" s="698"/>
      <c r="AK178" s="698"/>
      <c r="AL178" s="698"/>
      <c r="AM178" s="698"/>
      <c r="AN178" s="699"/>
    </row>
    <row r="179" spans="1:40" ht="45" hidden="1" customHeight="1">
      <c r="A179" s="713"/>
      <c r="B179" s="714"/>
      <c r="C179" s="697" t="str">
        <f>IF(ROUND('F13'!$AE$6,2)=ROUND('F12'!$F$25,2),"","17.14. El total del CAPÍTULO 5000 del AVANCE DE PROGRAMAS Y/O PROCESOS CONCLUIDOS (F13),"&amp;" no es igual al informado en el FLUJO CONTABLE DE INGRESOS Y EGRESOS (F12) columna DEVENGADO.")</f>
        <v/>
      </c>
      <c r="D179" s="698"/>
      <c r="E179" s="698"/>
      <c r="F179" s="698"/>
      <c r="G179" s="698"/>
      <c r="H179" s="698"/>
      <c r="I179" s="698"/>
      <c r="J179" s="698"/>
      <c r="K179" s="698"/>
      <c r="L179" s="698"/>
      <c r="M179" s="698"/>
      <c r="N179" s="698"/>
      <c r="O179" s="698"/>
      <c r="P179" s="698"/>
      <c r="Q179" s="698"/>
      <c r="R179" s="698"/>
      <c r="S179" s="698"/>
      <c r="T179" s="698"/>
      <c r="U179" s="698"/>
      <c r="V179" s="698"/>
      <c r="W179" s="698"/>
      <c r="X179" s="698"/>
      <c r="Y179" s="698"/>
      <c r="Z179" s="698"/>
      <c r="AA179" s="698"/>
      <c r="AB179" s="698"/>
      <c r="AC179" s="698"/>
      <c r="AD179" s="698"/>
      <c r="AE179" s="698"/>
      <c r="AF179" s="698"/>
      <c r="AG179" s="698"/>
      <c r="AH179" s="698"/>
      <c r="AI179" s="698"/>
      <c r="AJ179" s="698"/>
      <c r="AK179" s="698"/>
      <c r="AL179" s="698"/>
      <c r="AM179" s="698"/>
      <c r="AN179" s="699"/>
    </row>
    <row r="180" spans="1:40" ht="45" hidden="1" customHeight="1">
      <c r="A180" s="713"/>
      <c r="B180" s="714"/>
      <c r="C180" s="697" t="str">
        <f>IF(ROUND('F13'!$AF$6,2)=ROUND('F12'!$F$26,2),"","17.15. El total del CAPÍTULO 6000 del AVANCE DE PROGRAMAS Y/O PROCESOS CONCLUIDOS (F13),"&amp;" no es igual al informado en el FLUJO CONTABLE DE INGRESOS Y EGRESOS (F12) columna DEVENGADO.")</f>
        <v/>
      </c>
      <c r="D180" s="698"/>
      <c r="E180" s="698"/>
      <c r="F180" s="698"/>
      <c r="G180" s="698"/>
      <c r="H180" s="698"/>
      <c r="I180" s="698"/>
      <c r="J180" s="698"/>
      <c r="K180" s="698"/>
      <c r="L180" s="698"/>
      <c r="M180" s="698"/>
      <c r="N180" s="698"/>
      <c r="O180" s="698"/>
      <c r="P180" s="698"/>
      <c r="Q180" s="698"/>
      <c r="R180" s="698"/>
      <c r="S180" s="698"/>
      <c r="T180" s="698"/>
      <c r="U180" s="698"/>
      <c r="V180" s="698"/>
      <c r="W180" s="698"/>
      <c r="X180" s="698"/>
      <c r="Y180" s="698"/>
      <c r="Z180" s="698"/>
      <c r="AA180" s="698"/>
      <c r="AB180" s="698"/>
      <c r="AC180" s="698"/>
      <c r="AD180" s="698"/>
      <c r="AE180" s="698"/>
      <c r="AF180" s="698"/>
      <c r="AG180" s="698"/>
      <c r="AH180" s="698"/>
      <c r="AI180" s="698"/>
      <c r="AJ180" s="698"/>
      <c r="AK180" s="698"/>
      <c r="AL180" s="698"/>
      <c r="AM180" s="698"/>
      <c r="AN180" s="699"/>
    </row>
    <row r="181" spans="1:40" ht="45" hidden="1" customHeight="1">
      <c r="A181" s="713"/>
      <c r="B181" s="714"/>
      <c r="C181" s="697" t="str">
        <f>IF(ROUND('F13'!$AG$6,2)=ROUND('F12'!$F$27,2),"","17.16. El total del CAPÍTULO 7000 del AVANCE DE PROGRAMAS Y/O PROCESOS CONCLUIDOS (F13),"&amp;" no es igual al informado en el FLUJO CONTABLE DE INGRESOS Y EGRESOS (F12) columna DEVENGADO.")</f>
        <v/>
      </c>
      <c r="D181" s="698"/>
      <c r="E181" s="698"/>
      <c r="F181" s="698"/>
      <c r="G181" s="698"/>
      <c r="H181" s="698"/>
      <c r="I181" s="698"/>
      <c r="J181" s="698"/>
      <c r="K181" s="698"/>
      <c r="L181" s="698"/>
      <c r="M181" s="698"/>
      <c r="N181" s="698"/>
      <c r="O181" s="698"/>
      <c r="P181" s="698"/>
      <c r="Q181" s="698"/>
      <c r="R181" s="698"/>
      <c r="S181" s="698"/>
      <c r="T181" s="698"/>
      <c r="U181" s="698"/>
      <c r="V181" s="698"/>
      <c r="W181" s="698"/>
      <c r="X181" s="698"/>
      <c r="Y181" s="698"/>
      <c r="Z181" s="698"/>
      <c r="AA181" s="698"/>
      <c r="AB181" s="698"/>
      <c r="AC181" s="698"/>
      <c r="AD181" s="698"/>
      <c r="AE181" s="698"/>
      <c r="AF181" s="698"/>
      <c r="AG181" s="698"/>
      <c r="AH181" s="698"/>
      <c r="AI181" s="698"/>
      <c r="AJ181" s="698"/>
      <c r="AK181" s="698"/>
      <c r="AL181" s="698"/>
      <c r="AM181" s="698"/>
      <c r="AN181" s="699"/>
    </row>
    <row r="182" spans="1:40" ht="45" hidden="1" customHeight="1">
      <c r="A182" s="713"/>
      <c r="B182" s="714"/>
      <c r="C182" s="697" t="str">
        <f>IF(ROUND('F13'!$AH$6,2)=ROUND('F12'!$F$28,2),"","17.17. El total del CAPÍTULO 8000 del AVANCE DE PROGRAMAS Y/O PROCESOS CONCLUIDOS (F13),"&amp;" no es igual al informado en el FLUJO CONTABLE DE INGRESOS Y EGRESOS (F12) columna DEVENGADO.")</f>
        <v/>
      </c>
      <c r="D182" s="698"/>
      <c r="E182" s="698"/>
      <c r="F182" s="698"/>
      <c r="G182" s="698"/>
      <c r="H182" s="698"/>
      <c r="I182" s="698"/>
      <c r="J182" s="698"/>
      <c r="K182" s="698"/>
      <c r="L182" s="698"/>
      <c r="M182" s="698"/>
      <c r="N182" s="698"/>
      <c r="O182" s="698"/>
      <c r="P182" s="698"/>
      <c r="Q182" s="698"/>
      <c r="R182" s="698"/>
      <c r="S182" s="698"/>
      <c r="T182" s="698"/>
      <c r="U182" s="698"/>
      <c r="V182" s="698"/>
      <c r="W182" s="698"/>
      <c r="X182" s="698"/>
      <c r="Y182" s="698"/>
      <c r="Z182" s="698"/>
      <c r="AA182" s="698"/>
      <c r="AB182" s="698"/>
      <c r="AC182" s="698"/>
      <c r="AD182" s="698"/>
      <c r="AE182" s="698"/>
      <c r="AF182" s="698"/>
      <c r="AG182" s="698"/>
      <c r="AH182" s="698"/>
      <c r="AI182" s="698"/>
      <c r="AJ182" s="698"/>
      <c r="AK182" s="698"/>
      <c r="AL182" s="698"/>
      <c r="AM182" s="698"/>
      <c r="AN182" s="699"/>
    </row>
    <row r="183" spans="1:40" ht="45" hidden="1" customHeight="1">
      <c r="A183" s="709"/>
      <c r="B183" s="711"/>
      <c r="C183" s="697" t="str">
        <f>IF(ROUND('F13'!$AI$6,2)=ROUND('F12'!$F$29,2),"","17.18. El total del CAPÍTULO 9000 del AVANCE DE PROGRAMAS Y/O PROCESOS CONCLUIDOS (F13),"&amp;" no es igual al informado en el FLUJO CONTABLE DE INGRESOS Y EGRESOS (F12) columna DEVENGADO.")</f>
        <v/>
      </c>
      <c r="D183" s="698"/>
      <c r="E183" s="698"/>
      <c r="F183" s="698"/>
      <c r="G183" s="698"/>
      <c r="H183" s="698"/>
      <c r="I183" s="698"/>
      <c r="J183" s="698"/>
      <c r="K183" s="698"/>
      <c r="L183" s="698"/>
      <c r="M183" s="698"/>
      <c r="N183" s="698"/>
      <c r="O183" s="698"/>
      <c r="P183" s="698"/>
      <c r="Q183" s="698"/>
      <c r="R183" s="698"/>
      <c r="S183" s="698"/>
      <c r="T183" s="698"/>
      <c r="U183" s="698"/>
      <c r="V183" s="698"/>
      <c r="W183" s="698"/>
      <c r="X183" s="698"/>
      <c r="Y183" s="698"/>
      <c r="Z183" s="698"/>
      <c r="AA183" s="698"/>
      <c r="AB183" s="698"/>
      <c r="AC183" s="698"/>
      <c r="AD183" s="698"/>
      <c r="AE183" s="698"/>
      <c r="AF183" s="698"/>
      <c r="AG183" s="698"/>
      <c r="AH183" s="698"/>
      <c r="AI183" s="698"/>
      <c r="AJ183" s="698"/>
      <c r="AK183" s="698"/>
      <c r="AL183" s="698"/>
      <c r="AM183" s="698"/>
      <c r="AN183" s="699"/>
    </row>
    <row r="184" spans="1:40" ht="15.75" customHeight="1"/>
    <row r="185" spans="1:40" ht="15.75" hidden="1" customHeight="1">
      <c r="B185" s="18" t="s">
        <v>117</v>
      </c>
      <c r="C185" s="2" t="s">
        <v>118</v>
      </c>
      <c r="D185" s="2" t="str">
        <f>"31 de Enero de "&amp;F185</f>
        <v>31 de Enero de 2025</v>
      </c>
      <c r="E185" s="2" t="str">
        <f>"Del 1° al 31 de Enero de "&amp;F185</f>
        <v>Del 1° al 31 de Enero de 2025</v>
      </c>
      <c r="F185" s="19">
        <v>2025</v>
      </c>
      <c r="T185" s="2" t="s">
        <v>119</v>
      </c>
    </row>
    <row r="186" spans="1:40" ht="15.75" hidden="1" customHeight="1">
      <c r="B186" s="2" t="s">
        <v>120</v>
      </c>
      <c r="C186" s="2" t="s">
        <v>121</v>
      </c>
      <c r="D186" s="20" t="str">
        <f>"28 de Febrero de "&amp;F185</f>
        <v>28 de Febrero de 2025</v>
      </c>
      <c r="E186" s="20" t="str">
        <f>"Del 1° al 28 de Febrero de "&amp;F185</f>
        <v>Del 1° al 28 de Febrero de 2025</v>
      </c>
      <c r="F186" s="19">
        <v>2024</v>
      </c>
      <c r="T186" s="18"/>
      <c r="U186" s="2" t="s">
        <v>122</v>
      </c>
    </row>
    <row r="187" spans="1:40" ht="15.75" hidden="1" customHeight="1">
      <c r="B187" s="2" t="s">
        <v>123</v>
      </c>
      <c r="C187" s="2" t="s">
        <v>124</v>
      </c>
      <c r="D187" s="2" t="str">
        <f>"31 de Marzo de "&amp;F185</f>
        <v>31 de Marzo de 2025</v>
      </c>
      <c r="E187" s="2" t="str">
        <f>"Del 1° al 31 de Marzo de "&amp;F185</f>
        <v>Del 1° al 31 de Marzo de 2025</v>
      </c>
      <c r="T187" s="20"/>
      <c r="U187" s="2" t="s">
        <v>125</v>
      </c>
    </row>
    <row r="188" spans="1:40" ht="15.75" hidden="1" customHeight="1">
      <c r="B188" s="2" t="s">
        <v>126</v>
      </c>
      <c r="C188" s="2" t="s">
        <v>127</v>
      </c>
      <c r="D188" s="2" t="str">
        <f>"30 de Abril de "&amp;F185</f>
        <v>30 de Abril de 2025</v>
      </c>
      <c r="E188" s="2" t="str">
        <f>"Del 1° al 30 de Abril de "&amp;F185</f>
        <v>Del 1° al 30 de Abril de 2025</v>
      </c>
      <c r="T188" s="19"/>
      <c r="U188" s="2" t="s">
        <v>128</v>
      </c>
    </row>
    <row r="189" spans="1:40" ht="15.75" hidden="1" customHeight="1">
      <c r="B189" s="2" t="s">
        <v>129</v>
      </c>
      <c r="C189" s="2" t="s">
        <v>130</v>
      </c>
      <c r="D189" s="2" t="str">
        <f>"31 de Mayo de "&amp;F185</f>
        <v>31 de Mayo de 2025</v>
      </c>
      <c r="E189" s="2" t="str">
        <f>"Del 1° al 31 de Mayo de "&amp;F185</f>
        <v>Del 1° al 31 de Mayo de 2025</v>
      </c>
    </row>
    <row r="190" spans="1:40" ht="15.75" hidden="1" customHeight="1">
      <c r="B190" s="2" t="s">
        <v>131</v>
      </c>
      <c r="C190" s="2" t="s">
        <v>132</v>
      </c>
      <c r="D190" s="2" t="str">
        <f>"30 de Junio de "&amp;F185</f>
        <v>30 de Junio de 2025</v>
      </c>
      <c r="E190" s="2" t="str">
        <f>"Del 1° al 30 de Junio de "&amp;F185</f>
        <v>Del 1° al 30 de Junio de 2025</v>
      </c>
    </row>
    <row r="191" spans="1:40" ht="15.75" hidden="1" customHeight="1">
      <c r="B191" s="2" t="s">
        <v>133</v>
      </c>
      <c r="C191" s="2" t="s">
        <v>134</v>
      </c>
      <c r="D191" s="2" t="str">
        <f>"31 de Julio de "&amp;F185</f>
        <v>31 de Julio de 2025</v>
      </c>
      <c r="E191" s="2" t="str">
        <f>"Del 1° al 31 de Julio de "&amp;F185</f>
        <v>Del 1° al 31 de Julio de 2025</v>
      </c>
    </row>
    <row r="192" spans="1:40" ht="15.75" hidden="1" customHeight="1">
      <c r="B192" s="2" t="s">
        <v>135</v>
      </c>
      <c r="C192" s="2" t="s">
        <v>45</v>
      </c>
      <c r="D192" s="2" t="str">
        <f>"31 de Agosto de "&amp;F185</f>
        <v>31 de Agosto de 2025</v>
      </c>
      <c r="E192" s="2" t="str">
        <f>"Del 1° al 31 de Agosto de "&amp;F185</f>
        <v>Del 1° al 31 de Agosto de 2025</v>
      </c>
    </row>
    <row r="193" spans="2:5" ht="15.75" hidden="1" customHeight="1">
      <c r="B193" s="2" t="s">
        <v>136</v>
      </c>
      <c r="C193" s="2" t="s">
        <v>137</v>
      </c>
      <c r="D193" s="2" t="str">
        <f>"30 de Septiembre de "&amp;F185</f>
        <v>30 de Septiembre de 2025</v>
      </c>
      <c r="E193" s="2" t="str">
        <f>"Del 1° al 30 de Septiembre de "&amp;F185</f>
        <v>Del 1° al 30 de Septiembre de 2025</v>
      </c>
    </row>
    <row r="194" spans="2:5" ht="15.75" hidden="1" customHeight="1">
      <c r="B194" s="2" t="s">
        <v>138</v>
      </c>
      <c r="C194" s="2" t="s">
        <v>139</v>
      </c>
      <c r="D194" s="2" t="str">
        <f>"31 de Octubre de "&amp;F185</f>
        <v>31 de Octubre de 2025</v>
      </c>
      <c r="E194" s="2" t="str">
        <f>"Del 1° al 31 de Octubre de "&amp;F185</f>
        <v>Del 1° al 31 de Octubre de 2025</v>
      </c>
    </row>
    <row r="195" spans="2:5" ht="15.75" hidden="1" customHeight="1">
      <c r="B195" s="2" t="s">
        <v>140</v>
      </c>
      <c r="C195" s="2" t="s">
        <v>141</v>
      </c>
      <c r="D195" s="2" t="str">
        <f>"30 de Noviembre de "&amp;F185</f>
        <v>30 de Noviembre de 2025</v>
      </c>
      <c r="E195" s="2" t="str">
        <f>"Del 1° al 30 de Noviembre de "&amp;F185</f>
        <v>Del 1° al 30 de Noviembre de 2025</v>
      </c>
    </row>
    <row r="196" spans="2:5" ht="15.75" hidden="1" customHeight="1">
      <c r="B196" s="2" t="s">
        <v>142</v>
      </c>
      <c r="C196" s="2" t="s">
        <v>143</v>
      </c>
      <c r="D196" s="2" t="str">
        <f>"31 de Diciembre de "&amp;F185</f>
        <v>31 de Diciembre de 2025</v>
      </c>
      <c r="E196" s="2" t="str">
        <f>"Del 1° al 31 de Diciembre de "&amp;F185</f>
        <v>Del 1° al 31 de Diciembre de 2025</v>
      </c>
    </row>
    <row r="197" spans="2:5" ht="15.75" hidden="1" customHeight="1">
      <c r="B197" s="2" t="s">
        <v>144</v>
      </c>
    </row>
    <row r="198" spans="2:5" ht="15.75" hidden="1" customHeight="1">
      <c r="B198" s="2" t="s">
        <v>145</v>
      </c>
    </row>
    <row r="199" spans="2:5" ht="15.75" hidden="1" customHeight="1">
      <c r="B199" s="2" t="s">
        <v>146</v>
      </c>
    </row>
    <row r="200" spans="2:5" ht="15.75" hidden="1" customHeight="1">
      <c r="B200" s="2" t="s">
        <v>147</v>
      </c>
    </row>
    <row r="201" spans="2:5" ht="15.75" hidden="1" customHeight="1">
      <c r="B201" s="2" t="s">
        <v>148</v>
      </c>
    </row>
    <row r="202" spans="2:5" ht="15.75" hidden="1" customHeight="1">
      <c r="B202" s="2" t="s">
        <v>149</v>
      </c>
    </row>
    <row r="203" spans="2:5" ht="15.75" hidden="1" customHeight="1">
      <c r="B203" s="2" t="s">
        <v>150</v>
      </c>
    </row>
    <row r="204" spans="2:5" ht="15.75" hidden="1" customHeight="1">
      <c r="B204" s="2" t="s">
        <v>151</v>
      </c>
    </row>
    <row r="205" spans="2:5" ht="15.75" hidden="1" customHeight="1">
      <c r="B205" s="2" t="s">
        <v>152</v>
      </c>
    </row>
    <row r="206" spans="2:5" ht="15.75" hidden="1" customHeight="1">
      <c r="B206" s="2" t="s">
        <v>153</v>
      </c>
    </row>
    <row r="207" spans="2:5" ht="15.75" hidden="1" customHeight="1">
      <c r="B207" s="2" t="s">
        <v>154</v>
      </c>
    </row>
    <row r="208" spans="2:5" ht="15.75" hidden="1" customHeight="1">
      <c r="B208" s="2" t="s">
        <v>155</v>
      </c>
    </row>
    <row r="209" spans="2:2" ht="15.75" hidden="1" customHeight="1">
      <c r="B209" s="2" t="s">
        <v>156</v>
      </c>
    </row>
    <row r="210" spans="2:2" ht="15.75" hidden="1" customHeight="1">
      <c r="B210" s="2" t="s">
        <v>157</v>
      </c>
    </row>
    <row r="211" spans="2:2" ht="15.75" hidden="1" customHeight="1">
      <c r="B211" s="2" t="s">
        <v>158</v>
      </c>
    </row>
    <row r="212" spans="2:2" ht="15.75" hidden="1" customHeight="1">
      <c r="B212" s="2" t="s">
        <v>159</v>
      </c>
    </row>
    <row r="213" spans="2:2" ht="15.75" hidden="1" customHeight="1">
      <c r="B213" s="2" t="s">
        <v>160</v>
      </c>
    </row>
    <row r="214" spans="2:2" ht="15.75" hidden="1" customHeight="1">
      <c r="B214" s="2" t="s">
        <v>161</v>
      </c>
    </row>
    <row r="215" spans="2:2" ht="15.75" hidden="1" customHeight="1">
      <c r="B215" s="2" t="s">
        <v>162</v>
      </c>
    </row>
    <row r="216" spans="2:2" ht="15.75" hidden="1" customHeight="1">
      <c r="B216" s="2" t="s">
        <v>163</v>
      </c>
    </row>
    <row r="217" spans="2:2" ht="15.75" hidden="1" customHeight="1">
      <c r="B217" s="2" t="s">
        <v>164</v>
      </c>
    </row>
    <row r="218" spans="2:2" ht="15.75" hidden="1" customHeight="1">
      <c r="B218" s="2" t="s">
        <v>165</v>
      </c>
    </row>
    <row r="219" spans="2:2" ht="15.75" hidden="1" customHeight="1">
      <c r="B219" s="2" t="s">
        <v>166</v>
      </c>
    </row>
    <row r="220" spans="2:2" ht="15.75" hidden="1" customHeight="1">
      <c r="B220" s="2" t="s">
        <v>167</v>
      </c>
    </row>
    <row r="221" spans="2:2" ht="15.75" hidden="1" customHeight="1">
      <c r="B221" s="2" t="s">
        <v>168</v>
      </c>
    </row>
    <row r="222" spans="2:2" ht="15.75" hidden="1" customHeight="1">
      <c r="B222" s="2" t="s">
        <v>169</v>
      </c>
    </row>
    <row r="223" spans="2:2" ht="15.75" hidden="1" customHeight="1">
      <c r="B223" s="2" t="s">
        <v>170</v>
      </c>
    </row>
    <row r="224" spans="2:2" ht="15.75" hidden="1" customHeight="1">
      <c r="B224" s="2" t="s">
        <v>171</v>
      </c>
    </row>
    <row r="225" spans="2:2" ht="15.75" hidden="1" customHeight="1">
      <c r="B225" s="2" t="s">
        <v>172</v>
      </c>
    </row>
    <row r="226" spans="2:2" ht="15.75" hidden="1" customHeight="1">
      <c r="B226" s="2" t="s">
        <v>173</v>
      </c>
    </row>
    <row r="227" spans="2:2" ht="15.75" hidden="1" customHeight="1">
      <c r="B227" s="2" t="s">
        <v>174</v>
      </c>
    </row>
    <row r="228" spans="2:2" ht="15.75" hidden="1" customHeight="1">
      <c r="B228" s="2" t="s">
        <v>175</v>
      </c>
    </row>
    <row r="229" spans="2:2" ht="15.75" hidden="1" customHeight="1">
      <c r="B229" s="2" t="s">
        <v>176</v>
      </c>
    </row>
    <row r="230" spans="2:2" ht="15.75" hidden="1" customHeight="1">
      <c r="B230" s="2" t="s">
        <v>177</v>
      </c>
    </row>
    <row r="231" spans="2:2" ht="15.75" hidden="1" customHeight="1">
      <c r="B231" s="2" t="s">
        <v>178</v>
      </c>
    </row>
    <row r="232" spans="2:2" ht="15.75" hidden="1" customHeight="1">
      <c r="B232" s="2" t="s">
        <v>179</v>
      </c>
    </row>
    <row r="233" spans="2:2" ht="15.75" hidden="1" customHeight="1">
      <c r="B233" s="2" t="s">
        <v>180</v>
      </c>
    </row>
    <row r="234" spans="2:2" ht="15.75" hidden="1" customHeight="1">
      <c r="B234" s="2" t="s">
        <v>181</v>
      </c>
    </row>
    <row r="235" spans="2:2" ht="15.75" hidden="1" customHeight="1">
      <c r="B235" s="2" t="s">
        <v>182</v>
      </c>
    </row>
    <row r="236" spans="2:2" ht="15.75" hidden="1" customHeight="1">
      <c r="B236" s="2" t="s">
        <v>183</v>
      </c>
    </row>
    <row r="237" spans="2:2" ht="15.75" hidden="1" customHeight="1">
      <c r="B237" s="2" t="s">
        <v>184</v>
      </c>
    </row>
    <row r="238" spans="2:2" ht="15.75" hidden="1" customHeight="1">
      <c r="B238" s="2" t="s">
        <v>185</v>
      </c>
    </row>
    <row r="239" spans="2:2" ht="15.75" hidden="1" customHeight="1">
      <c r="B239" s="2" t="s">
        <v>186</v>
      </c>
    </row>
    <row r="240" spans="2:2" ht="15.75" hidden="1" customHeight="1">
      <c r="B240" s="2" t="s">
        <v>187</v>
      </c>
    </row>
    <row r="241" spans="2:2" ht="15.75" hidden="1" customHeight="1">
      <c r="B241" s="2" t="s">
        <v>188</v>
      </c>
    </row>
    <row r="242" spans="2:2" ht="15.75" hidden="1" customHeight="1">
      <c r="B242" s="2" t="s">
        <v>189</v>
      </c>
    </row>
    <row r="243" spans="2:2" ht="15.75" hidden="1" customHeight="1">
      <c r="B243" s="2" t="s">
        <v>190</v>
      </c>
    </row>
    <row r="244" spans="2:2" ht="15.75" hidden="1" customHeight="1">
      <c r="B244" s="2" t="s">
        <v>191</v>
      </c>
    </row>
    <row r="245" spans="2:2" ht="15.75" hidden="1" customHeight="1">
      <c r="B245" s="2" t="s">
        <v>192</v>
      </c>
    </row>
    <row r="246" spans="2:2" ht="15.75" hidden="1" customHeight="1">
      <c r="B246" s="2" t="s">
        <v>193</v>
      </c>
    </row>
    <row r="247" spans="2:2" ht="15.75" hidden="1" customHeight="1">
      <c r="B247" s="2" t="s">
        <v>194</v>
      </c>
    </row>
    <row r="248" spans="2:2" ht="15.75" hidden="1" customHeight="1">
      <c r="B248" s="2" t="s">
        <v>195</v>
      </c>
    </row>
    <row r="249" spans="2:2" ht="15.75" hidden="1" customHeight="1">
      <c r="B249" s="2" t="s">
        <v>196</v>
      </c>
    </row>
    <row r="250" spans="2:2" ht="15.75" hidden="1" customHeight="1">
      <c r="B250" s="2" t="s">
        <v>197</v>
      </c>
    </row>
    <row r="251" spans="2:2" ht="15.75" hidden="1" customHeight="1">
      <c r="B251" s="2" t="s">
        <v>198</v>
      </c>
    </row>
    <row r="252" spans="2:2" ht="15.75" hidden="1" customHeight="1">
      <c r="B252" s="2" t="s">
        <v>199</v>
      </c>
    </row>
    <row r="253" spans="2:2" ht="15.75" hidden="1" customHeight="1">
      <c r="B253" s="2" t="s">
        <v>200</v>
      </c>
    </row>
    <row r="254" spans="2:2" ht="15.75" hidden="1" customHeight="1">
      <c r="B254" s="2" t="s">
        <v>201</v>
      </c>
    </row>
    <row r="255" spans="2:2" ht="15.75" hidden="1" customHeight="1">
      <c r="B255" s="2" t="s">
        <v>202</v>
      </c>
    </row>
    <row r="256" spans="2:2" ht="15.75" hidden="1" customHeight="1">
      <c r="B256" s="2" t="s">
        <v>203</v>
      </c>
    </row>
    <row r="257" spans="2:2" ht="15.75" hidden="1" customHeight="1">
      <c r="B257" s="2" t="s">
        <v>204</v>
      </c>
    </row>
    <row r="258" spans="2:2" ht="15.75" hidden="1" customHeight="1">
      <c r="B258" s="2" t="s">
        <v>205</v>
      </c>
    </row>
    <row r="259" spans="2:2" ht="15.75" hidden="1" customHeight="1">
      <c r="B259" s="2" t="s">
        <v>206</v>
      </c>
    </row>
    <row r="260" spans="2:2" ht="15.75" hidden="1" customHeight="1">
      <c r="B260" s="2" t="s">
        <v>207</v>
      </c>
    </row>
    <row r="261" spans="2:2" ht="15.75" hidden="1" customHeight="1">
      <c r="B261" s="2" t="s">
        <v>208</v>
      </c>
    </row>
    <row r="262" spans="2:2" ht="15.75" hidden="1" customHeight="1">
      <c r="B262" s="2" t="s">
        <v>209</v>
      </c>
    </row>
    <row r="263" spans="2:2" ht="15.75" hidden="1" customHeight="1">
      <c r="B263" s="2" t="s">
        <v>210</v>
      </c>
    </row>
    <row r="264" spans="2:2" ht="15.75" hidden="1" customHeight="1">
      <c r="B264" s="2" t="s">
        <v>211</v>
      </c>
    </row>
    <row r="265" spans="2:2" ht="15.75" hidden="1" customHeight="1">
      <c r="B265" s="2" t="s">
        <v>212</v>
      </c>
    </row>
    <row r="266" spans="2:2" ht="15.75" hidden="1" customHeight="1">
      <c r="B266" s="2" t="s">
        <v>38</v>
      </c>
    </row>
    <row r="267" spans="2:2" ht="15.75" hidden="1" customHeight="1">
      <c r="B267" s="2" t="s">
        <v>213</v>
      </c>
    </row>
    <row r="268" spans="2:2" ht="15.75" hidden="1" customHeight="1">
      <c r="B268" s="2" t="s">
        <v>214</v>
      </c>
    </row>
    <row r="269" spans="2:2" ht="15.75" hidden="1" customHeight="1">
      <c r="B269" s="2" t="s">
        <v>215</v>
      </c>
    </row>
    <row r="270" spans="2:2" ht="15.75" hidden="1" customHeight="1">
      <c r="B270" s="2" t="s">
        <v>216</v>
      </c>
    </row>
    <row r="271" spans="2:2" ht="15.75" hidden="1" customHeight="1">
      <c r="B271" s="2" t="s">
        <v>217</v>
      </c>
    </row>
    <row r="272" spans="2:2" ht="15.75" hidden="1" customHeight="1">
      <c r="B272" s="2" t="s">
        <v>218</v>
      </c>
    </row>
    <row r="273" spans="2:2" ht="15.75" hidden="1" customHeight="1">
      <c r="B273" s="2" t="s">
        <v>219</v>
      </c>
    </row>
    <row r="274" spans="2:2" ht="15.75" hidden="1" customHeight="1">
      <c r="B274" s="2" t="s">
        <v>220</v>
      </c>
    </row>
    <row r="275" spans="2:2" ht="15.75" hidden="1" customHeight="1">
      <c r="B275" s="2" t="s">
        <v>221</v>
      </c>
    </row>
    <row r="276" spans="2:2" ht="15.75" hidden="1" customHeight="1">
      <c r="B276" s="2" t="s">
        <v>222</v>
      </c>
    </row>
    <row r="277" spans="2:2" ht="15.75" hidden="1" customHeight="1">
      <c r="B277" s="2" t="s">
        <v>223</v>
      </c>
    </row>
    <row r="278" spans="2:2" ht="15.75" hidden="1" customHeight="1">
      <c r="B278" s="2" t="s">
        <v>224</v>
      </c>
    </row>
    <row r="279" spans="2:2" ht="15.75" hidden="1" customHeight="1">
      <c r="B279" s="2" t="s">
        <v>225</v>
      </c>
    </row>
    <row r="280" spans="2:2" ht="15.75" hidden="1" customHeight="1">
      <c r="B280" s="2" t="s">
        <v>226</v>
      </c>
    </row>
    <row r="281" spans="2:2" ht="15.75" hidden="1" customHeight="1">
      <c r="B281" s="2" t="s">
        <v>227</v>
      </c>
    </row>
    <row r="282" spans="2:2" ht="15.75" hidden="1" customHeight="1">
      <c r="B282" s="2" t="s">
        <v>228</v>
      </c>
    </row>
    <row r="283" spans="2:2" ht="15.75" hidden="1" customHeight="1">
      <c r="B283" s="2" t="s">
        <v>229</v>
      </c>
    </row>
    <row r="284" spans="2:2" ht="15.75" hidden="1" customHeight="1">
      <c r="B284" s="2" t="s">
        <v>230</v>
      </c>
    </row>
    <row r="285" spans="2:2" ht="15.75" hidden="1" customHeight="1">
      <c r="B285" s="2" t="s">
        <v>231</v>
      </c>
    </row>
    <row r="286" spans="2:2" ht="15.75" hidden="1" customHeight="1">
      <c r="B286" s="2" t="s">
        <v>232</v>
      </c>
    </row>
    <row r="287" spans="2:2" ht="15.75" hidden="1" customHeight="1">
      <c r="B287" s="2" t="s">
        <v>233</v>
      </c>
    </row>
    <row r="288" spans="2:2" ht="15.75" hidden="1" customHeight="1">
      <c r="B288" s="2" t="s">
        <v>234</v>
      </c>
    </row>
    <row r="289" spans="2:2" ht="15.75" hidden="1" customHeight="1">
      <c r="B289" s="2" t="s">
        <v>235</v>
      </c>
    </row>
    <row r="290" spans="2:2" ht="15.75" hidden="1" customHeight="1">
      <c r="B290" s="2" t="s">
        <v>236</v>
      </c>
    </row>
    <row r="291" spans="2:2" ht="15.75" hidden="1" customHeight="1">
      <c r="B291" s="2" t="s">
        <v>237</v>
      </c>
    </row>
    <row r="292" spans="2:2" ht="15.75" hidden="1" customHeight="1">
      <c r="B292" s="2" t="s">
        <v>238</v>
      </c>
    </row>
    <row r="293" spans="2:2" ht="15.75" hidden="1" customHeight="1">
      <c r="B293" s="2" t="s">
        <v>239</v>
      </c>
    </row>
    <row r="294" spans="2:2" ht="15.75" hidden="1" customHeight="1">
      <c r="B294" s="2" t="s">
        <v>240</v>
      </c>
    </row>
    <row r="295" spans="2:2" ht="15.75" hidden="1" customHeight="1">
      <c r="B295" s="2" t="s">
        <v>241</v>
      </c>
    </row>
    <row r="296" spans="2:2" ht="15.75" hidden="1" customHeight="1">
      <c r="B296" s="2" t="s">
        <v>242</v>
      </c>
    </row>
    <row r="297" spans="2:2" ht="15.75" hidden="1" customHeight="1">
      <c r="B297" s="2" t="s">
        <v>243</v>
      </c>
    </row>
    <row r="298" spans="2:2" ht="15.75" hidden="1" customHeight="1">
      <c r="B298" s="2" t="s">
        <v>244</v>
      </c>
    </row>
    <row r="299" spans="2:2" ht="15.75" hidden="1" customHeight="1">
      <c r="B299" s="2" t="s">
        <v>245</v>
      </c>
    </row>
    <row r="300" spans="2:2" ht="15.75" hidden="1" customHeight="1">
      <c r="B300" s="2" t="s">
        <v>246</v>
      </c>
    </row>
    <row r="301" spans="2:2" ht="15.75" hidden="1" customHeight="1">
      <c r="B301" s="2" t="s">
        <v>247</v>
      </c>
    </row>
    <row r="302" spans="2:2" ht="15.75" hidden="1" customHeight="1">
      <c r="B302" s="2" t="s">
        <v>248</v>
      </c>
    </row>
    <row r="303" spans="2:2" ht="15.75" hidden="1" customHeight="1">
      <c r="B303" s="2" t="s">
        <v>249</v>
      </c>
    </row>
    <row r="304" spans="2:2" ht="15.75" hidden="1" customHeight="1">
      <c r="B304" s="2" t="s">
        <v>250</v>
      </c>
    </row>
    <row r="305" spans="2:2" ht="15.75" hidden="1" customHeight="1">
      <c r="B305" s="2" t="s">
        <v>251</v>
      </c>
    </row>
    <row r="306" spans="2:2" ht="15.75" hidden="1" customHeight="1">
      <c r="B306" s="2" t="s">
        <v>252</v>
      </c>
    </row>
    <row r="307" spans="2:2" ht="15.75" hidden="1" customHeight="1">
      <c r="B307" s="2" t="s">
        <v>253</v>
      </c>
    </row>
    <row r="308" spans="2:2" ht="15.75" hidden="1" customHeight="1">
      <c r="B308" s="2" t="s">
        <v>254</v>
      </c>
    </row>
    <row r="309" spans="2:2" ht="15.75" hidden="1" customHeight="1">
      <c r="B309" s="2" t="s">
        <v>255</v>
      </c>
    </row>
    <row r="310" spans="2:2" ht="15.75" hidden="1" customHeight="1">
      <c r="B310" s="2" t="s">
        <v>256</v>
      </c>
    </row>
    <row r="311" spans="2:2" ht="15.75" hidden="1" customHeight="1">
      <c r="B311" s="2" t="s">
        <v>257</v>
      </c>
    </row>
    <row r="312" spans="2:2" ht="15.75" hidden="1" customHeight="1">
      <c r="B312" s="2" t="s">
        <v>258</v>
      </c>
    </row>
    <row r="313" spans="2:2" ht="15.75" hidden="1" customHeight="1">
      <c r="B313" s="2" t="s">
        <v>259</v>
      </c>
    </row>
    <row r="314" spans="2:2" ht="15.75" hidden="1" customHeight="1">
      <c r="B314" s="2" t="s">
        <v>260</v>
      </c>
    </row>
    <row r="315" spans="2:2" ht="15.75" hidden="1" customHeight="1">
      <c r="B315" s="2" t="s">
        <v>261</v>
      </c>
    </row>
    <row r="316" spans="2:2" ht="15.75" hidden="1" customHeight="1">
      <c r="B316" s="2" t="s">
        <v>262</v>
      </c>
    </row>
    <row r="317" spans="2:2" ht="15.75" hidden="1" customHeight="1">
      <c r="B317" s="2" t="s">
        <v>263</v>
      </c>
    </row>
    <row r="318" spans="2:2" ht="15.75" hidden="1" customHeight="1">
      <c r="B318" s="2" t="s">
        <v>264</v>
      </c>
    </row>
    <row r="319" spans="2:2" ht="15.75" hidden="1" customHeight="1">
      <c r="B319" s="2" t="s">
        <v>265</v>
      </c>
    </row>
    <row r="320" spans="2:2" ht="15.75" hidden="1" customHeight="1">
      <c r="B320" s="2" t="s">
        <v>266</v>
      </c>
    </row>
    <row r="321" spans="2:2" ht="15.75" hidden="1" customHeight="1">
      <c r="B321" s="2" t="s">
        <v>267</v>
      </c>
    </row>
    <row r="322" spans="2:2" ht="15.75" hidden="1" customHeight="1">
      <c r="B322" s="2" t="s">
        <v>268</v>
      </c>
    </row>
    <row r="323" spans="2:2" ht="15.75" hidden="1" customHeight="1">
      <c r="B323" s="2" t="s">
        <v>269</v>
      </c>
    </row>
    <row r="324" spans="2:2" ht="15.75" hidden="1" customHeight="1">
      <c r="B324" s="2" t="s">
        <v>270</v>
      </c>
    </row>
    <row r="325" spans="2:2" ht="15.75" hidden="1" customHeight="1">
      <c r="B325" s="2" t="s">
        <v>271</v>
      </c>
    </row>
    <row r="326" spans="2:2" ht="15.75" hidden="1" customHeight="1">
      <c r="B326" s="2" t="s">
        <v>272</v>
      </c>
    </row>
    <row r="327" spans="2:2" ht="15.75" hidden="1" customHeight="1">
      <c r="B327" s="2" t="s">
        <v>273</v>
      </c>
    </row>
    <row r="328" spans="2:2" ht="15.75" hidden="1" customHeight="1">
      <c r="B328" s="2" t="s">
        <v>274</v>
      </c>
    </row>
    <row r="329" spans="2:2" ht="15.75" hidden="1" customHeight="1">
      <c r="B329" s="2" t="s">
        <v>275</v>
      </c>
    </row>
    <row r="330" spans="2:2" ht="15.75" hidden="1" customHeight="1">
      <c r="B330" s="2" t="s">
        <v>276</v>
      </c>
    </row>
    <row r="331" spans="2:2" ht="15.75" hidden="1" customHeight="1">
      <c r="B331" s="2" t="s">
        <v>277</v>
      </c>
    </row>
    <row r="332" spans="2:2" ht="15.75" hidden="1" customHeight="1">
      <c r="B332" s="2" t="s">
        <v>278</v>
      </c>
    </row>
    <row r="333" spans="2:2" ht="15.75" hidden="1" customHeight="1">
      <c r="B333" s="2" t="s">
        <v>279</v>
      </c>
    </row>
    <row r="334" spans="2:2" ht="15.75" hidden="1" customHeight="1">
      <c r="B334" s="2" t="s">
        <v>280</v>
      </c>
    </row>
    <row r="335" spans="2:2" ht="15.75" hidden="1" customHeight="1">
      <c r="B335" s="2" t="s">
        <v>281</v>
      </c>
    </row>
    <row r="336" spans="2:2" ht="15.75" hidden="1" customHeight="1">
      <c r="B336" s="2" t="s">
        <v>282</v>
      </c>
    </row>
    <row r="337" spans="2:2" ht="15.75" hidden="1" customHeight="1">
      <c r="B337" s="2" t="s">
        <v>283</v>
      </c>
    </row>
    <row r="338" spans="2:2" ht="15.75" hidden="1" customHeight="1">
      <c r="B338" s="2" t="s">
        <v>284</v>
      </c>
    </row>
    <row r="339" spans="2:2" ht="15.75" hidden="1" customHeight="1">
      <c r="B339" s="2" t="s">
        <v>285</v>
      </c>
    </row>
    <row r="340" spans="2:2" ht="15.75" hidden="1" customHeight="1">
      <c r="B340" s="2" t="s">
        <v>286</v>
      </c>
    </row>
    <row r="341" spans="2:2" ht="15.75" hidden="1" customHeight="1">
      <c r="B341" s="2" t="s">
        <v>287</v>
      </c>
    </row>
    <row r="342" spans="2:2" ht="15.75" hidden="1" customHeight="1">
      <c r="B342" s="2" t="s">
        <v>288</v>
      </c>
    </row>
    <row r="343" spans="2:2" ht="15.75" hidden="1" customHeight="1">
      <c r="B343" s="2" t="s">
        <v>289</v>
      </c>
    </row>
    <row r="344" spans="2:2" ht="15.75" hidden="1" customHeight="1">
      <c r="B344" s="2" t="s">
        <v>290</v>
      </c>
    </row>
    <row r="345" spans="2:2" ht="15.75" hidden="1" customHeight="1">
      <c r="B345" s="2" t="s">
        <v>291</v>
      </c>
    </row>
    <row r="346" spans="2:2" ht="15.75" hidden="1" customHeight="1">
      <c r="B346" s="2" t="s">
        <v>292</v>
      </c>
    </row>
    <row r="347" spans="2:2" ht="15.75" hidden="1" customHeight="1">
      <c r="B347" s="2" t="s">
        <v>293</v>
      </c>
    </row>
    <row r="348" spans="2:2" ht="15.75" hidden="1" customHeight="1">
      <c r="B348" s="2" t="s">
        <v>294</v>
      </c>
    </row>
    <row r="349" spans="2:2" ht="15.75" hidden="1" customHeight="1">
      <c r="B349" s="2" t="s">
        <v>295</v>
      </c>
    </row>
    <row r="350" spans="2:2" ht="15.75" hidden="1" customHeight="1">
      <c r="B350" s="2" t="s">
        <v>296</v>
      </c>
    </row>
    <row r="351" spans="2:2" ht="15.75" hidden="1" customHeight="1">
      <c r="B351" s="2" t="s">
        <v>297</v>
      </c>
    </row>
    <row r="352" spans="2:2" ht="15.75" hidden="1" customHeight="1">
      <c r="B352" s="2" t="s">
        <v>298</v>
      </c>
    </row>
    <row r="353" spans="2:2" ht="15.75" hidden="1" customHeight="1">
      <c r="B353" s="2" t="s">
        <v>299</v>
      </c>
    </row>
    <row r="354" spans="2:2" ht="15.75" hidden="1" customHeight="1">
      <c r="B354" s="2" t="s">
        <v>300</v>
      </c>
    </row>
    <row r="355" spans="2:2" ht="15.75" hidden="1" customHeight="1">
      <c r="B355" s="2" t="s">
        <v>301</v>
      </c>
    </row>
    <row r="356" spans="2:2" ht="15.75" hidden="1" customHeight="1">
      <c r="B356" s="2" t="s">
        <v>302</v>
      </c>
    </row>
    <row r="357" spans="2:2" ht="15.75" hidden="1" customHeight="1">
      <c r="B357" s="2" t="s">
        <v>303</v>
      </c>
    </row>
    <row r="358" spans="2:2" ht="15.75" hidden="1" customHeight="1">
      <c r="B358" s="2" t="s">
        <v>304</v>
      </c>
    </row>
    <row r="359" spans="2:2" ht="15.75" hidden="1" customHeight="1">
      <c r="B359" s="2" t="s">
        <v>305</v>
      </c>
    </row>
    <row r="360" spans="2:2" ht="15.75" hidden="1" customHeight="1">
      <c r="B360" s="2" t="s">
        <v>306</v>
      </c>
    </row>
    <row r="361" spans="2:2" ht="15.75" hidden="1" customHeight="1">
      <c r="B361" s="2" t="s">
        <v>307</v>
      </c>
    </row>
    <row r="362" spans="2:2" ht="15.75" hidden="1" customHeight="1">
      <c r="B362" s="2" t="s">
        <v>308</v>
      </c>
    </row>
    <row r="363" spans="2:2" ht="15.75" hidden="1" customHeight="1">
      <c r="B363" s="2" t="s">
        <v>309</v>
      </c>
    </row>
    <row r="364" spans="2:2" ht="15.75" hidden="1" customHeight="1">
      <c r="B364" s="2" t="s">
        <v>310</v>
      </c>
    </row>
    <row r="365" spans="2:2" ht="15.75" hidden="1" customHeight="1">
      <c r="B365" s="2" t="s">
        <v>311</v>
      </c>
    </row>
    <row r="366" spans="2:2" ht="15.75" hidden="1" customHeight="1">
      <c r="B366" s="2" t="s">
        <v>312</v>
      </c>
    </row>
    <row r="367" spans="2:2" ht="15.75" hidden="1" customHeight="1">
      <c r="B367" s="2" t="s">
        <v>313</v>
      </c>
    </row>
    <row r="368" spans="2:2" ht="15.75" hidden="1" customHeight="1">
      <c r="B368" s="2" t="s">
        <v>314</v>
      </c>
    </row>
    <row r="369" spans="2:2" ht="15.75" hidden="1" customHeight="1">
      <c r="B369" s="2" t="s">
        <v>315</v>
      </c>
    </row>
    <row r="370" spans="2:2" ht="15.75" hidden="1" customHeight="1">
      <c r="B370" s="2" t="s">
        <v>316</v>
      </c>
    </row>
    <row r="371" spans="2:2" ht="15.75" hidden="1" customHeight="1">
      <c r="B371" s="2" t="s">
        <v>317</v>
      </c>
    </row>
    <row r="372" spans="2:2" ht="15.75" hidden="1" customHeight="1">
      <c r="B372" s="2" t="s">
        <v>318</v>
      </c>
    </row>
    <row r="373" spans="2:2" ht="15.75" hidden="1" customHeight="1">
      <c r="B373" s="2" t="s">
        <v>319</v>
      </c>
    </row>
    <row r="374" spans="2:2" ht="15.75" hidden="1" customHeight="1">
      <c r="B374" s="2" t="s">
        <v>320</v>
      </c>
    </row>
    <row r="375" spans="2:2" ht="15.75" hidden="1" customHeight="1">
      <c r="B375" s="2" t="s">
        <v>321</v>
      </c>
    </row>
    <row r="376" spans="2:2" ht="15.75" hidden="1" customHeight="1">
      <c r="B376" s="2" t="s">
        <v>322</v>
      </c>
    </row>
    <row r="377" spans="2:2" ht="15.75" hidden="1" customHeight="1">
      <c r="B377" s="2" t="s">
        <v>323</v>
      </c>
    </row>
    <row r="378" spans="2:2" ht="15.75" hidden="1" customHeight="1">
      <c r="B378" s="2" t="s">
        <v>324</v>
      </c>
    </row>
    <row r="379" spans="2:2" ht="15.75" hidden="1" customHeight="1">
      <c r="B379" s="2" t="s">
        <v>325</v>
      </c>
    </row>
    <row r="380" spans="2:2" ht="15.75" hidden="1" customHeight="1">
      <c r="B380" s="2" t="s">
        <v>326</v>
      </c>
    </row>
    <row r="381" spans="2:2" ht="15.75" hidden="1" customHeight="1">
      <c r="B381" s="2" t="s">
        <v>327</v>
      </c>
    </row>
    <row r="382" spans="2:2" ht="15.75" hidden="1" customHeight="1">
      <c r="B382" s="2" t="s">
        <v>328</v>
      </c>
    </row>
    <row r="383" spans="2:2" ht="15.75" hidden="1" customHeight="1">
      <c r="B383" s="2" t="s">
        <v>329</v>
      </c>
    </row>
    <row r="384" spans="2:2" ht="15.75" hidden="1" customHeight="1">
      <c r="B384" s="2" t="s">
        <v>330</v>
      </c>
    </row>
    <row r="385" spans="2:2" ht="15.75" hidden="1" customHeight="1">
      <c r="B385" s="2" t="s">
        <v>331</v>
      </c>
    </row>
    <row r="386" spans="2:2" ht="15.75" hidden="1" customHeight="1">
      <c r="B386" s="2" t="s">
        <v>332</v>
      </c>
    </row>
    <row r="387" spans="2:2" ht="15.75" hidden="1" customHeight="1">
      <c r="B387" s="2" t="s">
        <v>333</v>
      </c>
    </row>
    <row r="388" spans="2:2" ht="15.75" hidden="1" customHeight="1">
      <c r="B388" s="2" t="s">
        <v>334</v>
      </c>
    </row>
    <row r="389" spans="2:2" ht="15.75" hidden="1" customHeight="1">
      <c r="B389" s="2" t="s">
        <v>335</v>
      </c>
    </row>
    <row r="390" spans="2:2" ht="15.75" hidden="1" customHeight="1">
      <c r="B390" s="2" t="s">
        <v>336</v>
      </c>
    </row>
    <row r="391" spans="2:2" ht="15.75" hidden="1" customHeight="1">
      <c r="B391" s="2" t="s">
        <v>337</v>
      </c>
    </row>
    <row r="392" spans="2:2" ht="15.75" hidden="1" customHeight="1">
      <c r="B392" s="2" t="s">
        <v>338</v>
      </c>
    </row>
    <row r="393" spans="2:2" ht="15.75" hidden="1" customHeight="1">
      <c r="B393" s="2" t="s">
        <v>339</v>
      </c>
    </row>
    <row r="394" spans="2:2" ht="15.75" hidden="1" customHeight="1">
      <c r="B394" s="2" t="s">
        <v>340</v>
      </c>
    </row>
    <row r="395" spans="2:2" ht="15.75" hidden="1" customHeight="1">
      <c r="B395" s="2" t="s">
        <v>341</v>
      </c>
    </row>
    <row r="396" spans="2:2" ht="15.75" hidden="1" customHeight="1">
      <c r="B396" s="2" t="s">
        <v>342</v>
      </c>
    </row>
    <row r="397" spans="2:2" ht="15.75" hidden="1" customHeight="1">
      <c r="B397" s="2" t="s">
        <v>343</v>
      </c>
    </row>
    <row r="398" spans="2:2" ht="15.75" hidden="1" customHeight="1">
      <c r="B398" s="2" t="s">
        <v>344</v>
      </c>
    </row>
    <row r="399" spans="2:2" ht="15.75" hidden="1" customHeight="1">
      <c r="B399" s="2" t="s">
        <v>345</v>
      </c>
    </row>
    <row r="400" spans="2:2" ht="15.75" hidden="1" customHeight="1">
      <c r="B400" s="2" t="s">
        <v>346</v>
      </c>
    </row>
    <row r="401" spans="2:2" ht="15.75" hidden="1" customHeight="1">
      <c r="B401" s="2" t="s">
        <v>347</v>
      </c>
    </row>
    <row r="402" spans="2:2" ht="15.75" hidden="1" customHeight="1">
      <c r="B402" s="2" t="s">
        <v>348</v>
      </c>
    </row>
    <row r="403" spans="2:2" ht="15.75" hidden="1" customHeight="1">
      <c r="B403" s="2" t="s">
        <v>349</v>
      </c>
    </row>
    <row r="404" spans="2:2" ht="15.75" hidden="1" customHeight="1">
      <c r="B404" s="2" t="s">
        <v>350</v>
      </c>
    </row>
    <row r="405" spans="2:2" ht="15.75" hidden="1" customHeight="1">
      <c r="B405" s="2" t="s">
        <v>351</v>
      </c>
    </row>
    <row r="406" spans="2:2" ht="15.75" hidden="1" customHeight="1">
      <c r="B406" s="2" t="s">
        <v>352</v>
      </c>
    </row>
    <row r="407" spans="2:2" ht="15.75" hidden="1" customHeight="1">
      <c r="B407" s="2" t="s">
        <v>353</v>
      </c>
    </row>
    <row r="408" spans="2:2" ht="15.75" hidden="1" customHeight="1">
      <c r="B408" s="2" t="s">
        <v>354</v>
      </c>
    </row>
    <row r="409" spans="2:2" ht="15.75" hidden="1" customHeight="1">
      <c r="B409" s="2" t="s">
        <v>355</v>
      </c>
    </row>
    <row r="410" spans="2:2" ht="15.75" hidden="1" customHeight="1">
      <c r="B410" s="2" t="s">
        <v>356</v>
      </c>
    </row>
    <row r="411" spans="2:2" ht="15.75" hidden="1" customHeight="1">
      <c r="B411" s="2" t="s">
        <v>357</v>
      </c>
    </row>
    <row r="412" spans="2:2" ht="15.75" hidden="1" customHeight="1">
      <c r="B412" s="2" t="s">
        <v>358</v>
      </c>
    </row>
    <row r="413" spans="2:2" ht="15.75" hidden="1" customHeight="1">
      <c r="B413" s="2" t="s">
        <v>359</v>
      </c>
    </row>
    <row r="414" spans="2:2" ht="15.75" hidden="1" customHeight="1">
      <c r="B414" s="2" t="s">
        <v>360</v>
      </c>
    </row>
    <row r="415" spans="2:2" ht="15.75" hidden="1" customHeight="1">
      <c r="B415" s="2" t="s">
        <v>361</v>
      </c>
    </row>
    <row r="416" spans="2:2" ht="15.75" hidden="1" customHeight="1">
      <c r="B416" s="2" t="s">
        <v>362</v>
      </c>
    </row>
    <row r="417" spans="2:2" ht="15.75" hidden="1" customHeight="1">
      <c r="B417" s="2" t="s">
        <v>363</v>
      </c>
    </row>
    <row r="418" spans="2:2" ht="15.75" hidden="1" customHeight="1">
      <c r="B418" s="2" t="s">
        <v>364</v>
      </c>
    </row>
    <row r="419" spans="2:2" ht="15.75" hidden="1" customHeight="1">
      <c r="B419" s="2" t="s">
        <v>365</v>
      </c>
    </row>
    <row r="420" spans="2:2" ht="15.75" hidden="1" customHeight="1">
      <c r="B420" s="2" t="s">
        <v>366</v>
      </c>
    </row>
    <row r="421" spans="2:2" ht="15.75" hidden="1" customHeight="1">
      <c r="B421" s="2" t="s">
        <v>367</v>
      </c>
    </row>
    <row r="422" spans="2:2" ht="15.75" hidden="1" customHeight="1">
      <c r="B422" s="2" t="s">
        <v>368</v>
      </c>
    </row>
    <row r="423" spans="2:2" ht="15.75" hidden="1" customHeight="1">
      <c r="B423" s="2" t="s">
        <v>369</v>
      </c>
    </row>
    <row r="424" spans="2:2" ht="15.75" hidden="1" customHeight="1">
      <c r="B424" s="2" t="s">
        <v>370</v>
      </c>
    </row>
    <row r="425" spans="2:2" ht="15.75" hidden="1" customHeight="1">
      <c r="B425" s="2" t="s">
        <v>371</v>
      </c>
    </row>
    <row r="426" spans="2:2" ht="15.75" hidden="1" customHeight="1">
      <c r="B426" s="2" t="s">
        <v>372</v>
      </c>
    </row>
    <row r="427" spans="2:2" ht="15.75" hidden="1" customHeight="1">
      <c r="B427" s="2" t="s">
        <v>373</v>
      </c>
    </row>
    <row r="428" spans="2:2" ht="15.75" hidden="1" customHeight="1">
      <c r="B428" s="2" t="s">
        <v>374</v>
      </c>
    </row>
    <row r="429" spans="2:2" ht="15.75" hidden="1" customHeight="1">
      <c r="B429" s="2" t="s">
        <v>375</v>
      </c>
    </row>
    <row r="430" spans="2:2" ht="15.75" hidden="1" customHeight="1">
      <c r="B430" s="2" t="s">
        <v>376</v>
      </c>
    </row>
    <row r="431" spans="2:2" ht="15.75" hidden="1" customHeight="1">
      <c r="B431" s="2" t="s">
        <v>377</v>
      </c>
    </row>
    <row r="432" spans="2:2" ht="15.75" hidden="1" customHeight="1">
      <c r="B432" s="2" t="s">
        <v>378</v>
      </c>
    </row>
    <row r="433" spans="2:2" ht="15.75" hidden="1" customHeight="1">
      <c r="B433" s="2" t="s">
        <v>379</v>
      </c>
    </row>
    <row r="434" spans="2:2" ht="15.75" hidden="1" customHeight="1">
      <c r="B434" s="2" t="s">
        <v>380</v>
      </c>
    </row>
    <row r="435" spans="2:2" ht="15.75" hidden="1" customHeight="1">
      <c r="B435" s="2" t="s">
        <v>381</v>
      </c>
    </row>
    <row r="436" spans="2:2" ht="15.75" hidden="1" customHeight="1">
      <c r="B436" s="2" t="s">
        <v>382</v>
      </c>
    </row>
    <row r="437" spans="2:2" ht="15.75" hidden="1" customHeight="1">
      <c r="B437" s="2" t="s">
        <v>383</v>
      </c>
    </row>
    <row r="438" spans="2:2" ht="15.75" hidden="1" customHeight="1">
      <c r="B438" s="2" t="s">
        <v>384</v>
      </c>
    </row>
    <row r="439" spans="2:2" ht="15.75" hidden="1" customHeight="1">
      <c r="B439" s="2" t="s">
        <v>385</v>
      </c>
    </row>
    <row r="440" spans="2:2" ht="15.75" hidden="1" customHeight="1">
      <c r="B440" s="2" t="s">
        <v>386</v>
      </c>
    </row>
    <row r="441" spans="2:2" ht="15.75" hidden="1" customHeight="1">
      <c r="B441" s="2" t="s">
        <v>387</v>
      </c>
    </row>
    <row r="442" spans="2:2" ht="15.75" hidden="1" customHeight="1">
      <c r="B442" s="2" t="s">
        <v>388</v>
      </c>
    </row>
    <row r="443" spans="2:2" ht="15.75" hidden="1" customHeight="1">
      <c r="B443" s="2" t="s">
        <v>389</v>
      </c>
    </row>
    <row r="444" spans="2:2" ht="15.75" hidden="1" customHeight="1">
      <c r="B444" s="2" t="s">
        <v>390</v>
      </c>
    </row>
    <row r="445" spans="2:2" ht="15.75" hidden="1" customHeight="1">
      <c r="B445" s="2" t="s">
        <v>391</v>
      </c>
    </row>
    <row r="446" spans="2:2" ht="15.75" hidden="1" customHeight="1">
      <c r="B446" s="2" t="s">
        <v>392</v>
      </c>
    </row>
    <row r="447" spans="2:2" ht="15.75" hidden="1" customHeight="1">
      <c r="B447" s="2" t="s">
        <v>393</v>
      </c>
    </row>
    <row r="448" spans="2:2" ht="15.75" hidden="1" customHeight="1">
      <c r="B448" s="2" t="s">
        <v>394</v>
      </c>
    </row>
    <row r="449" spans="2:2" ht="15.75" hidden="1" customHeight="1">
      <c r="B449" s="2" t="s">
        <v>395</v>
      </c>
    </row>
    <row r="450" spans="2:2" ht="15.75" hidden="1" customHeight="1">
      <c r="B450" s="2" t="s">
        <v>396</v>
      </c>
    </row>
    <row r="451" spans="2:2" ht="15.75" hidden="1" customHeight="1">
      <c r="B451" s="2" t="s">
        <v>397</v>
      </c>
    </row>
    <row r="452" spans="2:2" ht="15.75" hidden="1" customHeight="1">
      <c r="B452" s="2" t="s">
        <v>398</v>
      </c>
    </row>
    <row r="453" spans="2:2" ht="15.75" hidden="1" customHeight="1">
      <c r="B453" s="2" t="s">
        <v>399</v>
      </c>
    </row>
    <row r="454" spans="2:2" ht="15.75" hidden="1" customHeight="1">
      <c r="B454" s="2" t="s">
        <v>400</v>
      </c>
    </row>
    <row r="455" spans="2:2" ht="15.75" hidden="1" customHeight="1">
      <c r="B455" s="2" t="s">
        <v>401</v>
      </c>
    </row>
    <row r="456" spans="2:2" ht="15.75" hidden="1" customHeight="1">
      <c r="B456" s="2" t="s">
        <v>402</v>
      </c>
    </row>
    <row r="457" spans="2:2" ht="15.75" hidden="1" customHeight="1">
      <c r="B457" s="2" t="s">
        <v>403</v>
      </c>
    </row>
    <row r="458" spans="2:2" ht="15.75" hidden="1" customHeight="1">
      <c r="B458" s="2" t="s">
        <v>404</v>
      </c>
    </row>
    <row r="459" spans="2:2" ht="15.75" hidden="1" customHeight="1">
      <c r="B459" s="2" t="s">
        <v>405</v>
      </c>
    </row>
    <row r="460" spans="2:2" ht="15.75" hidden="1" customHeight="1">
      <c r="B460" s="2" t="s">
        <v>406</v>
      </c>
    </row>
    <row r="461" spans="2:2" ht="15.75" hidden="1" customHeight="1">
      <c r="B461" s="2" t="s">
        <v>407</v>
      </c>
    </row>
    <row r="462" spans="2:2" ht="15.75" hidden="1" customHeight="1">
      <c r="B462" s="2" t="s">
        <v>408</v>
      </c>
    </row>
    <row r="463" spans="2:2" ht="15.75" hidden="1" customHeight="1">
      <c r="B463" s="2" t="s">
        <v>409</v>
      </c>
    </row>
    <row r="464" spans="2:2" ht="15.75" hidden="1" customHeight="1">
      <c r="B464" s="2" t="s">
        <v>410</v>
      </c>
    </row>
    <row r="465" spans="2:2" ht="15.75" hidden="1" customHeight="1">
      <c r="B465" s="2" t="s">
        <v>411</v>
      </c>
    </row>
    <row r="466" spans="2:2" ht="15.75" hidden="1" customHeight="1">
      <c r="B466" s="2" t="s">
        <v>412</v>
      </c>
    </row>
    <row r="467" spans="2:2" ht="15.75" hidden="1" customHeight="1">
      <c r="B467" s="2" t="s">
        <v>413</v>
      </c>
    </row>
    <row r="468" spans="2:2" ht="15.75" hidden="1" customHeight="1">
      <c r="B468" s="2" t="s">
        <v>414</v>
      </c>
    </row>
    <row r="469" spans="2:2" ht="15.75" hidden="1" customHeight="1">
      <c r="B469" s="2" t="s">
        <v>415</v>
      </c>
    </row>
    <row r="470" spans="2:2" ht="15.75" hidden="1" customHeight="1">
      <c r="B470" s="2" t="s">
        <v>416</v>
      </c>
    </row>
    <row r="471" spans="2:2" ht="15.75" hidden="1" customHeight="1">
      <c r="B471" s="2" t="s">
        <v>417</v>
      </c>
    </row>
    <row r="472" spans="2:2" ht="15.75" hidden="1" customHeight="1">
      <c r="B472" s="2" t="s">
        <v>418</v>
      </c>
    </row>
    <row r="473" spans="2:2" ht="15.75" hidden="1" customHeight="1">
      <c r="B473" s="2" t="s">
        <v>419</v>
      </c>
    </row>
    <row r="474" spans="2:2" ht="15.75" hidden="1" customHeight="1">
      <c r="B474" s="2" t="s">
        <v>420</v>
      </c>
    </row>
    <row r="475" spans="2:2" ht="15.75" hidden="1" customHeight="1">
      <c r="B475" s="2" t="s">
        <v>421</v>
      </c>
    </row>
    <row r="476" spans="2:2" ht="15.75" hidden="1" customHeight="1">
      <c r="B476" s="2" t="s">
        <v>422</v>
      </c>
    </row>
    <row r="477" spans="2:2" ht="15.75" hidden="1" customHeight="1">
      <c r="B477" s="2" t="s">
        <v>423</v>
      </c>
    </row>
    <row r="478" spans="2:2" ht="15.75" hidden="1" customHeight="1">
      <c r="B478" s="2" t="s">
        <v>424</v>
      </c>
    </row>
    <row r="479" spans="2:2" ht="15.75" hidden="1" customHeight="1">
      <c r="B479" s="2" t="s">
        <v>425</v>
      </c>
    </row>
    <row r="480" spans="2:2" ht="15.75" hidden="1" customHeight="1">
      <c r="B480" s="2" t="s">
        <v>426</v>
      </c>
    </row>
    <row r="481" spans="2:2" ht="15.75" hidden="1" customHeight="1">
      <c r="B481" s="2" t="s">
        <v>427</v>
      </c>
    </row>
    <row r="482" spans="2:2" ht="15.75" hidden="1" customHeight="1">
      <c r="B482" s="2" t="s">
        <v>428</v>
      </c>
    </row>
    <row r="483" spans="2:2" ht="15.75" hidden="1" customHeight="1">
      <c r="B483" s="2" t="s">
        <v>429</v>
      </c>
    </row>
    <row r="484" spans="2:2" ht="15.75" hidden="1" customHeight="1">
      <c r="B484" s="2" t="s">
        <v>430</v>
      </c>
    </row>
    <row r="485" spans="2:2" ht="15.75" hidden="1" customHeight="1">
      <c r="B485" s="2" t="s">
        <v>431</v>
      </c>
    </row>
    <row r="486" spans="2:2" ht="15.75" hidden="1" customHeight="1">
      <c r="B486" s="2" t="s">
        <v>432</v>
      </c>
    </row>
    <row r="487" spans="2:2" ht="15.75" hidden="1" customHeight="1">
      <c r="B487" s="2" t="s">
        <v>433</v>
      </c>
    </row>
    <row r="488" spans="2:2" ht="15.75" hidden="1" customHeight="1">
      <c r="B488" s="2" t="s">
        <v>434</v>
      </c>
    </row>
    <row r="489" spans="2:2" ht="15.75" hidden="1" customHeight="1">
      <c r="B489" s="2" t="s">
        <v>435</v>
      </c>
    </row>
    <row r="490" spans="2:2" ht="15.75" hidden="1" customHeight="1">
      <c r="B490" s="2" t="s">
        <v>436</v>
      </c>
    </row>
    <row r="491" spans="2:2" ht="15.75" hidden="1" customHeight="1">
      <c r="B491" s="2" t="s">
        <v>437</v>
      </c>
    </row>
    <row r="492" spans="2:2" ht="15.75" hidden="1" customHeight="1">
      <c r="B492" s="2" t="s">
        <v>438</v>
      </c>
    </row>
    <row r="493" spans="2:2" ht="15.75" hidden="1" customHeight="1">
      <c r="B493" s="2" t="s">
        <v>439</v>
      </c>
    </row>
    <row r="494" spans="2:2" ht="15.75" hidden="1" customHeight="1">
      <c r="B494" s="2" t="s">
        <v>440</v>
      </c>
    </row>
    <row r="495" spans="2:2" ht="15.75" hidden="1" customHeight="1">
      <c r="B495" s="2" t="s">
        <v>441</v>
      </c>
    </row>
    <row r="496" spans="2:2" ht="15.75" hidden="1" customHeight="1">
      <c r="B496" s="2" t="s">
        <v>442</v>
      </c>
    </row>
    <row r="497" spans="2:2" ht="15.75" hidden="1" customHeight="1">
      <c r="B497" s="2" t="s">
        <v>443</v>
      </c>
    </row>
    <row r="498" spans="2:2" ht="15.75" hidden="1" customHeight="1">
      <c r="B498" s="2" t="s">
        <v>444</v>
      </c>
    </row>
    <row r="499" spans="2:2" ht="15.75" hidden="1" customHeight="1">
      <c r="B499" s="2" t="s">
        <v>445</v>
      </c>
    </row>
    <row r="500" spans="2:2" ht="15.75" hidden="1" customHeight="1">
      <c r="B500" s="2" t="s">
        <v>446</v>
      </c>
    </row>
    <row r="501" spans="2:2" ht="15.75" hidden="1" customHeight="1">
      <c r="B501" s="2" t="s">
        <v>447</v>
      </c>
    </row>
    <row r="502" spans="2:2" ht="15.75" hidden="1" customHeight="1">
      <c r="B502" s="2" t="s">
        <v>448</v>
      </c>
    </row>
    <row r="503" spans="2:2" ht="15.75" hidden="1" customHeight="1">
      <c r="B503" s="2" t="s">
        <v>449</v>
      </c>
    </row>
    <row r="504" spans="2:2" ht="15.75" hidden="1" customHeight="1">
      <c r="B504" s="2" t="s">
        <v>450</v>
      </c>
    </row>
    <row r="505" spans="2:2" ht="15.75" hidden="1" customHeight="1">
      <c r="B505" s="2" t="s">
        <v>451</v>
      </c>
    </row>
    <row r="506" spans="2:2" ht="15.75" hidden="1" customHeight="1">
      <c r="B506" s="2" t="s">
        <v>452</v>
      </c>
    </row>
    <row r="507" spans="2:2" ht="15.75" hidden="1" customHeight="1">
      <c r="B507" s="2" t="s">
        <v>453</v>
      </c>
    </row>
    <row r="508" spans="2:2" ht="15.75" hidden="1" customHeight="1">
      <c r="B508" s="2" t="s">
        <v>454</v>
      </c>
    </row>
    <row r="509" spans="2:2" ht="15.75" hidden="1" customHeight="1">
      <c r="B509" s="2" t="s">
        <v>455</v>
      </c>
    </row>
    <row r="510" spans="2:2" ht="15.75" hidden="1" customHeight="1">
      <c r="B510" s="2" t="s">
        <v>456</v>
      </c>
    </row>
    <row r="511" spans="2:2" ht="15.75" hidden="1" customHeight="1">
      <c r="B511" s="2" t="s">
        <v>457</v>
      </c>
    </row>
    <row r="512" spans="2:2" ht="15.75" hidden="1" customHeight="1">
      <c r="B512" s="2" t="s">
        <v>458</v>
      </c>
    </row>
    <row r="513" spans="2:2" ht="15.75" hidden="1" customHeight="1">
      <c r="B513" s="2" t="s">
        <v>459</v>
      </c>
    </row>
    <row r="514" spans="2:2" ht="15.75" hidden="1" customHeight="1">
      <c r="B514" s="2" t="s">
        <v>460</v>
      </c>
    </row>
    <row r="515" spans="2:2" ht="15.75" hidden="1" customHeight="1">
      <c r="B515" s="2" t="s">
        <v>461</v>
      </c>
    </row>
    <row r="516" spans="2:2" ht="15.75" hidden="1" customHeight="1">
      <c r="B516" s="2" t="s">
        <v>462</v>
      </c>
    </row>
    <row r="517" spans="2:2" ht="15.75" hidden="1" customHeight="1">
      <c r="B517" s="2" t="s">
        <v>463</v>
      </c>
    </row>
    <row r="518" spans="2:2" ht="15.75" hidden="1" customHeight="1">
      <c r="B518" s="2" t="s">
        <v>464</v>
      </c>
    </row>
    <row r="519" spans="2:2" ht="15.75" hidden="1" customHeight="1">
      <c r="B519" s="2" t="s">
        <v>465</v>
      </c>
    </row>
    <row r="520" spans="2:2" ht="15.75" hidden="1" customHeight="1">
      <c r="B520" s="2" t="s">
        <v>466</v>
      </c>
    </row>
    <row r="521" spans="2:2" ht="15.75" hidden="1" customHeight="1">
      <c r="B521" s="2" t="s">
        <v>467</v>
      </c>
    </row>
    <row r="522" spans="2:2" ht="15.75" hidden="1" customHeight="1">
      <c r="B522" s="2" t="s">
        <v>468</v>
      </c>
    </row>
    <row r="523" spans="2:2" ht="15.75" hidden="1" customHeight="1">
      <c r="B523" s="2" t="s">
        <v>469</v>
      </c>
    </row>
    <row r="524" spans="2:2" ht="15.75" hidden="1" customHeight="1">
      <c r="B524" s="2" t="s">
        <v>470</v>
      </c>
    </row>
    <row r="525" spans="2:2" ht="15.75" hidden="1" customHeight="1">
      <c r="B525" s="2" t="s">
        <v>471</v>
      </c>
    </row>
    <row r="526" spans="2:2" ht="15.75" hidden="1" customHeight="1">
      <c r="B526" s="2" t="s">
        <v>472</v>
      </c>
    </row>
    <row r="527" spans="2:2" ht="15.75" hidden="1" customHeight="1">
      <c r="B527" s="2" t="s">
        <v>473</v>
      </c>
    </row>
    <row r="528" spans="2:2" ht="15.75" hidden="1" customHeight="1">
      <c r="B528" s="2" t="s">
        <v>474</v>
      </c>
    </row>
    <row r="529" spans="2:2" ht="15.75" hidden="1" customHeight="1">
      <c r="B529" s="2" t="s">
        <v>475</v>
      </c>
    </row>
    <row r="530" spans="2:2" ht="15.75" hidden="1" customHeight="1">
      <c r="B530" s="2" t="s">
        <v>476</v>
      </c>
    </row>
    <row r="531" spans="2:2" ht="15.75" hidden="1" customHeight="1">
      <c r="B531" s="2" t="s">
        <v>477</v>
      </c>
    </row>
    <row r="532" spans="2:2" ht="15.75" hidden="1" customHeight="1">
      <c r="B532" s="2" t="s">
        <v>478</v>
      </c>
    </row>
    <row r="533" spans="2:2" ht="15.75" hidden="1" customHeight="1">
      <c r="B533" s="2" t="s">
        <v>479</v>
      </c>
    </row>
    <row r="534" spans="2:2" ht="15.75" hidden="1" customHeight="1">
      <c r="B534" s="2" t="s">
        <v>480</v>
      </c>
    </row>
    <row r="535" spans="2:2" ht="15.75" hidden="1" customHeight="1">
      <c r="B535" s="2" t="s">
        <v>481</v>
      </c>
    </row>
    <row r="536" spans="2:2" ht="15.75" hidden="1" customHeight="1">
      <c r="B536" s="2" t="s">
        <v>482</v>
      </c>
    </row>
    <row r="537" spans="2:2" ht="15.75" hidden="1" customHeight="1">
      <c r="B537" s="2" t="s">
        <v>483</v>
      </c>
    </row>
    <row r="538" spans="2:2" ht="15.75" hidden="1" customHeight="1">
      <c r="B538" s="2" t="s">
        <v>484</v>
      </c>
    </row>
    <row r="539" spans="2:2" ht="15.75" hidden="1" customHeight="1">
      <c r="B539" s="2" t="s">
        <v>485</v>
      </c>
    </row>
    <row r="540" spans="2:2" ht="15.75" hidden="1" customHeight="1">
      <c r="B540" s="2" t="s">
        <v>486</v>
      </c>
    </row>
    <row r="541" spans="2:2" ht="15.75" hidden="1" customHeight="1">
      <c r="B541" s="2" t="s">
        <v>487</v>
      </c>
    </row>
    <row r="542" spans="2:2" ht="15.75" hidden="1" customHeight="1">
      <c r="B542" s="2" t="s">
        <v>488</v>
      </c>
    </row>
    <row r="543" spans="2:2" ht="15.75" hidden="1" customHeight="1">
      <c r="B543" s="2" t="s">
        <v>489</v>
      </c>
    </row>
    <row r="544" spans="2:2" ht="15.75" hidden="1" customHeight="1">
      <c r="B544" s="2" t="s">
        <v>490</v>
      </c>
    </row>
    <row r="545" spans="2:2" ht="15.75" hidden="1" customHeight="1">
      <c r="B545" s="2" t="s">
        <v>491</v>
      </c>
    </row>
    <row r="546" spans="2:2" ht="15.75" hidden="1" customHeight="1">
      <c r="B546" s="2" t="s">
        <v>492</v>
      </c>
    </row>
    <row r="547" spans="2:2" ht="15.75" hidden="1" customHeight="1">
      <c r="B547" s="2" t="s">
        <v>493</v>
      </c>
    </row>
    <row r="548" spans="2:2" ht="15.75" hidden="1" customHeight="1">
      <c r="B548" s="2" t="s">
        <v>494</v>
      </c>
    </row>
    <row r="549" spans="2:2" ht="15.75" hidden="1" customHeight="1">
      <c r="B549" s="2" t="s">
        <v>495</v>
      </c>
    </row>
    <row r="550" spans="2:2" ht="15.75" hidden="1" customHeight="1">
      <c r="B550" s="2" t="s">
        <v>496</v>
      </c>
    </row>
    <row r="551" spans="2:2" ht="15.75" hidden="1" customHeight="1">
      <c r="B551" s="2" t="s">
        <v>497</v>
      </c>
    </row>
    <row r="552" spans="2:2" ht="15.75" hidden="1" customHeight="1">
      <c r="B552" s="2" t="s">
        <v>498</v>
      </c>
    </row>
    <row r="553" spans="2:2" ht="15.75" hidden="1" customHeight="1">
      <c r="B553" s="2" t="s">
        <v>499</v>
      </c>
    </row>
    <row r="554" spans="2:2" ht="15.75" hidden="1" customHeight="1">
      <c r="B554" s="2" t="s">
        <v>500</v>
      </c>
    </row>
    <row r="555" spans="2:2" ht="15.75" hidden="1" customHeight="1">
      <c r="B555" s="2" t="s">
        <v>501</v>
      </c>
    </row>
    <row r="556" spans="2:2" ht="15.75" hidden="1" customHeight="1">
      <c r="B556" s="2" t="s">
        <v>502</v>
      </c>
    </row>
    <row r="557" spans="2:2" ht="15.75" hidden="1" customHeight="1">
      <c r="B557" s="2" t="s">
        <v>503</v>
      </c>
    </row>
    <row r="558" spans="2:2" ht="15.75" hidden="1" customHeight="1">
      <c r="B558" s="2" t="s">
        <v>504</v>
      </c>
    </row>
    <row r="559" spans="2:2" ht="15.75" hidden="1" customHeight="1">
      <c r="B559" s="2" t="s">
        <v>505</v>
      </c>
    </row>
    <row r="560" spans="2:2" ht="15.75" hidden="1" customHeight="1">
      <c r="B560" s="2" t="s">
        <v>506</v>
      </c>
    </row>
    <row r="561" spans="2:2" ht="15.75" hidden="1" customHeight="1">
      <c r="B561" s="2" t="s">
        <v>507</v>
      </c>
    </row>
    <row r="562" spans="2:2" ht="15.75" hidden="1" customHeight="1">
      <c r="B562" s="2" t="s">
        <v>508</v>
      </c>
    </row>
    <row r="563" spans="2:2" ht="15.75" hidden="1" customHeight="1">
      <c r="B563" s="2" t="s">
        <v>509</v>
      </c>
    </row>
    <row r="564" spans="2:2" ht="15.75" hidden="1" customHeight="1">
      <c r="B564" s="2" t="s">
        <v>510</v>
      </c>
    </row>
    <row r="565" spans="2:2" ht="15.75" hidden="1" customHeight="1">
      <c r="B565" s="2" t="s">
        <v>511</v>
      </c>
    </row>
    <row r="566" spans="2:2" ht="15.75" hidden="1" customHeight="1">
      <c r="B566" s="2" t="s">
        <v>512</v>
      </c>
    </row>
    <row r="567" spans="2:2" ht="15.75" hidden="1" customHeight="1">
      <c r="B567" s="2" t="s">
        <v>513</v>
      </c>
    </row>
    <row r="568" spans="2:2" ht="15.75" customHeight="1"/>
    <row r="569" spans="2:2" ht="15.75" customHeight="1"/>
    <row r="570" spans="2:2" ht="15.75" customHeight="1"/>
    <row r="571" spans="2:2" ht="15.75" customHeight="1"/>
    <row r="572" spans="2:2" ht="15.75" customHeight="1"/>
    <row r="573" spans="2:2" ht="15.75" customHeight="1"/>
    <row r="574" spans="2:2" ht="15.75" customHeight="1"/>
    <row r="575" spans="2:2" ht="15.75" customHeight="1"/>
    <row r="576" spans="2:2"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5">
    <mergeCell ref="A1:AF1"/>
    <mergeCell ref="AG1:AN1"/>
    <mergeCell ref="A2:AN4"/>
    <mergeCell ref="A5:AN5"/>
    <mergeCell ref="A6:AN6"/>
    <mergeCell ref="A7:AN7"/>
    <mergeCell ref="A8:AN8"/>
    <mergeCell ref="M49:X49"/>
    <mergeCell ref="Y49:AN49"/>
    <mergeCell ref="A9:AN9"/>
    <mergeCell ref="A10:AN10"/>
    <mergeCell ref="A11:AL11"/>
    <mergeCell ref="AM11:AN11"/>
    <mergeCell ref="A12:AN12"/>
    <mergeCell ref="A48:AN48"/>
    <mergeCell ref="A49:L49"/>
    <mergeCell ref="M52:X52"/>
    <mergeCell ref="Y52:AN52"/>
    <mergeCell ref="A50:L50"/>
    <mergeCell ref="M50:X50"/>
    <mergeCell ref="Y50:AN50"/>
    <mergeCell ref="A51:L51"/>
    <mergeCell ref="M51:X51"/>
    <mergeCell ref="Y51:AN51"/>
    <mergeCell ref="A52:L52"/>
    <mergeCell ref="M55:X55"/>
    <mergeCell ref="Y55:AN55"/>
    <mergeCell ref="A53:L53"/>
    <mergeCell ref="M53:X53"/>
    <mergeCell ref="Y53:AN53"/>
    <mergeCell ref="A54:L54"/>
    <mergeCell ref="M54:X54"/>
    <mergeCell ref="Y54:AN54"/>
    <mergeCell ref="A55:L55"/>
    <mergeCell ref="A57:F57"/>
    <mergeCell ref="A58:F58"/>
    <mergeCell ref="A59:F59"/>
    <mergeCell ref="A60:F60"/>
    <mergeCell ref="A61:F61"/>
    <mergeCell ref="A62:F62"/>
    <mergeCell ref="A64:B66"/>
    <mergeCell ref="A67:B69"/>
    <mergeCell ref="A70:B72"/>
    <mergeCell ref="C70:AN70"/>
    <mergeCell ref="C71:AN71"/>
    <mergeCell ref="C72:AN72"/>
    <mergeCell ref="A73:B76"/>
    <mergeCell ref="A77:B81"/>
    <mergeCell ref="A82:B91"/>
    <mergeCell ref="A92:B96"/>
    <mergeCell ref="A97:B100"/>
    <mergeCell ref="A148:B159"/>
    <mergeCell ref="A160:B165"/>
    <mergeCell ref="A166:B183"/>
    <mergeCell ref="A101:B103"/>
    <mergeCell ref="A104:B106"/>
    <mergeCell ref="A107:B117"/>
    <mergeCell ref="A118:B123"/>
    <mergeCell ref="A124:B131"/>
    <mergeCell ref="A132:B135"/>
    <mergeCell ref="A136:B147"/>
    <mergeCell ref="S56:X56"/>
    <mergeCell ref="S57:X57"/>
    <mergeCell ref="Y58:AN58"/>
    <mergeCell ref="Y59:AN59"/>
    <mergeCell ref="Y60:AN60"/>
    <mergeCell ref="Y61:AN61"/>
    <mergeCell ref="Y62:AN62"/>
    <mergeCell ref="A56:F56"/>
    <mergeCell ref="G56:L56"/>
    <mergeCell ref="M56:R56"/>
    <mergeCell ref="Y56:AN56"/>
    <mergeCell ref="G57:L57"/>
    <mergeCell ref="M57:R58"/>
    <mergeCell ref="Y57:AN57"/>
    <mergeCell ref="M59:R60"/>
    <mergeCell ref="M61:R62"/>
    <mergeCell ref="G58:L58"/>
    <mergeCell ref="S58:X58"/>
    <mergeCell ref="G59:L59"/>
    <mergeCell ref="S59:X59"/>
    <mergeCell ref="G60:L60"/>
    <mergeCell ref="S60:X60"/>
    <mergeCell ref="S61:X61"/>
    <mergeCell ref="S62:X62"/>
    <mergeCell ref="G61:L61"/>
    <mergeCell ref="G62:L62"/>
    <mergeCell ref="A63:AN63"/>
    <mergeCell ref="C64:AN64"/>
    <mergeCell ref="C65:AN65"/>
    <mergeCell ref="C66:AN66"/>
    <mergeCell ref="C67:AN67"/>
    <mergeCell ref="C68:AN68"/>
    <mergeCell ref="C69:AN69"/>
    <mergeCell ref="C73:AN73"/>
    <mergeCell ref="C74:AN74"/>
    <mergeCell ref="C75:AN75"/>
    <mergeCell ref="C76:AN76"/>
    <mergeCell ref="C77:AN77"/>
    <mergeCell ref="C78:AN78"/>
    <mergeCell ref="C79:AN79"/>
    <mergeCell ref="C80:AN80"/>
    <mergeCell ref="C81:AN81"/>
    <mergeCell ref="C82:AN82"/>
    <mergeCell ref="C83:AN83"/>
    <mergeCell ref="C84:AN84"/>
    <mergeCell ref="C85:AN85"/>
    <mergeCell ref="C86:AN86"/>
    <mergeCell ref="C87:AN87"/>
    <mergeCell ref="C88:AN88"/>
    <mergeCell ref="C89:AN89"/>
    <mergeCell ref="C90:AN90"/>
    <mergeCell ref="C91:AN91"/>
    <mergeCell ref="C92:AN92"/>
    <mergeCell ref="C93:AN93"/>
    <mergeCell ref="C94:AN94"/>
    <mergeCell ref="C95:AN95"/>
    <mergeCell ref="C96:AN96"/>
    <mergeCell ref="C97:AN97"/>
    <mergeCell ref="C98:AN98"/>
    <mergeCell ref="C99:AN99"/>
    <mergeCell ref="C100:AN100"/>
    <mergeCell ref="C101:AN101"/>
    <mergeCell ref="C102:AN102"/>
    <mergeCell ref="C103:AN103"/>
    <mergeCell ref="C104:AN104"/>
    <mergeCell ref="C105:AN105"/>
    <mergeCell ref="C106:AN106"/>
    <mergeCell ref="C107:AN107"/>
    <mergeCell ref="C108:AN108"/>
    <mergeCell ref="C109:AN109"/>
    <mergeCell ref="C110:AN110"/>
    <mergeCell ref="C111:AN111"/>
    <mergeCell ref="C112:AN112"/>
    <mergeCell ref="C113:AN113"/>
    <mergeCell ref="C114:AN114"/>
    <mergeCell ref="C115:AN115"/>
    <mergeCell ref="C116:AN116"/>
    <mergeCell ref="C117:AN117"/>
    <mergeCell ref="C118:AN118"/>
    <mergeCell ref="C119:AN119"/>
    <mergeCell ref="C120:AN120"/>
    <mergeCell ref="C121:AN121"/>
    <mergeCell ref="C122:AN122"/>
    <mergeCell ref="C123:AN123"/>
    <mergeCell ref="C180:AN180"/>
    <mergeCell ref="C181:AN181"/>
    <mergeCell ref="C182:AN182"/>
    <mergeCell ref="C140:AN140"/>
    <mergeCell ref="C141:AN141"/>
    <mergeCell ref="C142:AN142"/>
    <mergeCell ref="C143:AN143"/>
    <mergeCell ref="C144:AN144"/>
    <mergeCell ref="C145:AN145"/>
    <mergeCell ref="C146:AN146"/>
    <mergeCell ref="C147:AN147"/>
    <mergeCell ref="C148:AN148"/>
    <mergeCell ref="C149:AN149"/>
    <mergeCell ref="C150:AN150"/>
    <mergeCell ref="C151:AN151"/>
    <mergeCell ref="C152:AN152"/>
    <mergeCell ref="C153:AN153"/>
    <mergeCell ref="C154:AN154"/>
    <mergeCell ref="C183:AN183"/>
    <mergeCell ref="C173:AN173"/>
    <mergeCell ref="C174:AN174"/>
    <mergeCell ref="C175:AN175"/>
    <mergeCell ref="C176:AN176"/>
    <mergeCell ref="C177:AN177"/>
    <mergeCell ref="C178:AN178"/>
    <mergeCell ref="C179:AN179"/>
    <mergeCell ref="C124:AN124"/>
    <mergeCell ref="C125:AN125"/>
    <mergeCell ref="C126:AN126"/>
    <mergeCell ref="C127:AN127"/>
    <mergeCell ref="C128:AN128"/>
    <mergeCell ref="C129:AN129"/>
    <mergeCell ref="C130:AN130"/>
    <mergeCell ref="C131:AN131"/>
    <mergeCell ref="C132:AN132"/>
    <mergeCell ref="C133:AN133"/>
    <mergeCell ref="C134:AN134"/>
    <mergeCell ref="C135:AN135"/>
    <mergeCell ref="C136:AN136"/>
    <mergeCell ref="C137:AN137"/>
    <mergeCell ref="C138:AN138"/>
    <mergeCell ref="C139:AN139"/>
    <mergeCell ref="C155:AN155"/>
    <mergeCell ref="C156:AN156"/>
    <mergeCell ref="C157:AN157"/>
    <mergeCell ref="C158:AN158"/>
    <mergeCell ref="C159:AN159"/>
    <mergeCell ref="C160:AN160"/>
    <mergeCell ref="C161:AN161"/>
    <mergeCell ref="C162:AN162"/>
    <mergeCell ref="C163:AN163"/>
    <mergeCell ref="C164:AN164"/>
    <mergeCell ref="C165:AN165"/>
    <mergeCell ref="C166:AN166"/>
    <mergeCell ref="C167:AN167"/>
    <mergeCell ref="C168:AN168"/>
    <mergeCell ref="C169:AN169"/>
    <mergeCell ref="C170:AN170"/>
    <mergeCell ref="C171:AN171"/>
    <mergeCell ref="C172:AN172"/>
  </mergeCells>
  <conditionalFormatting sqref="M57:R58">
    <cfRule type="expression" dxfId="722" priority="1">
      <formula>($M$57)&lt;($S$57+$S$58)</formula>
    </cfRule>
  </conditionalFormatting>
  <conditionalFormatting sqref="S57:X57">
    <cfRule type="expression" dxfId="721" priority="2">
      <formula>($M$57)&lt;($S$57+$S$58)</formula>
    </cfRule>
  </conditionalFormatting>
  <conditionalFormatting sqref="S58:X58">
    <cfRule type="expression" dxfId="720" priority="3">
      <formula>($M$57)&lt;($S$57+$S$58)</formula>
    </cfRule>
  </conditionalFormatting>
  <conditionalFormatting sqref="M59:R60">
    <cfRule type="expression" dxfId="719" priority="4">
      <formula>($M$59)&lt;($S$59+$S$60)</formula>
    </cfRule>
  </conditionalFormatting>
  <conditionalFormatting sqref="S59:X59">
    <cfRule type="expression" dxfId="718" priority="5">
      <formula>($M$59)&lt;($S$59+$S$60)</formula>
    </cfRule>
  </conditionalFormatting>
  <conditionalFormatting sqref="S60:X60">
    <cfRule type="expression" dxfId="717" priority="6">
      <formula>($M$59)&lt;($S$59+$S$60)</formula>
    </cfRule>
  </conditionalFormatting>
  <conditionalFormatting sqref="M61:R62">
    <cfRule type="expression" dxfId="716" priority="7">
      <formula>($M$61)&lt;($S$61+$S$62)</formula>
    </cfRule>
  </conditionalFormatting>
  <conditionalFormatting sqref="S61:X61">
    <cfRule type="expression" dxfId="715" priority="8">
      <formula>($M$61)&lt;($S$61+$S$62)</formula>
    </cfRule>
  </conditionalFormatting>
  <conditionalFormatting sqref="S62:X62">
    <cfRule type="expression" dxfId="714" priority="9">
      <formula>($M$61)&lt;($S$61+$S$62)</formula>
    </cfRule>
  </conditionalFormatting>
  <conditionalFormatting sqref="A57:L57">
    <cfRule type="expression" dxfId="713" priority="10">
      <formula>$A$57&lt;$G$57</formula>
    </cfRule>
  </conditionalFormatting>
  <conditionalFormatting sqref="A58:L58">
    <cfRule type="expression" dxfId="712" priority="11">
      <formula>$A$58&lt;$G$58</formula>
    </cfRule>
  </conditionalFormatting>
  <conditionalFormatting sqref="A59:L59">
    <cfRule type="expression" dxfId="711" priority="12">
      <formula>$A$59&lt;$G$59</formula>
    </cfRule>
  </conditionalFormatting>
  <conditionalFormatting sqref="A60:L60">
    <cfRule type="expression" dxfId="710" priority="13">
      <formula>$A$60&lt;$G$60</formula>
    </cfRule>
  </conditionalFormatting>
  <conditionalFormatting sqref="A61:L61">
    <cfRule type="expression" dxfId="709" priority="14">
      <formula>$A$61&lt;$G$61</formula>
    </cfRule>
  </conditionalFormatting>
  <conditionalFormatting sqref="A62:L62">
    <cfRule type="expression" dxfId="708" priority="15">
      <formula>$A$62&lt;$G$62</formula>
    </cfRule>
  </conditionalFormatting>
  <conditionalFormatting sqref="A14:A16 A19:A21 A31:A33 A43 A46:A47">
    <cfRule type="containsBlanks" dxfId="707" priority="16">
      <formula>LEN(TRIM(A14))=0</formula>
    </cfRule>
  </conditionalFormatting>
  <conditionalFormatting sqref="A2:AN4">
    <cfRule type="containsBlanks" dxfId="706" priority="17">
      <formula>LEN(TRIM(A2))=0</formula>
    </cfRule>
  </conditionalFormatting>
  <conditionalFormatting sqref="A7:AN7">
    <cfRule type="containsBlanks" dxfId="705" priority="18">
      <formula>LEN(TRIM(A7))=0</formula>
    </cfRule>
  </conditionalFormatting>
  <conditionalFormatting sqref="A9:AN9">
    <cfRule type="containsBlanks" dxfId="704" priority="19">
      <formula>LEN(TRIM(A9))=0</formula>
    </cfRule>
  </conditionalFormatting>
  <conditionalFormatting sqref="A11">
    <cfRule type="containsBlanks" dxfId="703" priority="20">
      <formula>LEN(TRIM(A11))=0</formula>
    </cfRule>
  </conditionalFormatting>
  <conditionalFormatting sqref="A25:A28">
    <cfRule type="containsBlanks" dxfId="702" priority="21">
      <formula>LEN(TRIM(A25))=0</formula>
    </cfRule>
  </conditionalFormatting>
  <conditionalFormatting sqref="A24">
    <cfRule type="containsBlanks" dxfId="701" priority="22">
      <formula>LEN(TRIM(A24))=0</formula>
    </cfRule>
  </conditionalFormatting>
  <conditionalFormatting sqref="A22">
    <cfRule type="containsBlanks" dxfId="700" priority="23">
      <formula>LEN(TRIM(A22))=0</formula>
    </cfRule>
  </conditionalFormatting>
  <conditionalFormatting sqref="A30">
    <cfRule type="containsBlanks" dxfId="699" priority="24">
      <formula>LEN(TRIM(A30))=0</formula>
    </cfRule>
  </conditionalFormatting>
  <conditionalFormatting sqref="A17">
    <cfRule type="containsBlanks" dxfId="698" priority="25">
      <formula>LEN(TRIM(A17))=0</formula>
    </cfRule>
  </conditionalFormatting>
  <conditionalFormatting sqref="A18">
    <cfRule type="containsBlanks" dxfId="697" priority="26">
      <formula>LEN(TRIM(A18))=0</formula>
    </cfRule>
  </conditionalFormatting>
  <conditionalFormatting sqref="A34">
    <cfRule type="containsBlanks" dxfId="696" priority="27">
      <formula>LEN(TRIM(A34))=0</formula>
    </cfRule>
  </conditionalFormatting>
  <conditionalFormatting sqref="A35">
    <cfRule type="containsBlanks" dxfId="695" priority="28">
      <formula>LEN(TRIM(A35))=0</formula>
    </cfRule>
  </conditionalFormatting>
  <conditionalFormatting sqref="A36:A38">
    <cfRule type="containsBlanks" dxfId="694" priority="29">
      <formula>LEN(TRIM(A36))=0</formula>
    </cfRule>
  </conditionalFormatting>
  <conditionalFormatting sqref="A44">
    <cfRule type="containsBlanks" dxfId="693" priority="30">
      <formula>LEN(TRIM(A44))=0</formula>
    </cfRule>
  </conditionalFormatting>
  <conditionalFormatting sqref="AM11">
    <cfRule type="containsBlanks" dxfId="692" priority="31">
      <formula>LEN(TRIM(AM11))=0</formula>
    </cfRule>
  </conditionalFormatting>
  <conditionalFormatting sqref="A40">
    <cfRule type="containsBlanks" dxfId="691" priority="32">
      <formula>LEN(TRIM(A40))=0</formula>
    </cfRule>
  </conditionalFormatting>
  <conditionalFormatting sqref="A41">
    <cfRule type="containsBlanks" dxfId="690" priority="33">
      <formula>LEN(TRIM(A41))=0</formula>
    </cfRule>
  </conditionalFormatting>
  <conditionalFormatting sqref="A42">
    <cfRule type="containsBlanks" dxfId="689" priority="34">
      <formula>LEN(TRIM(A42))=0</formula>
    </cfRule>
  </conditionalFormatting>
  <dataValidations count="2">
    <dataValidation type="list" allowBlank="1" showErrorMessage="1" sqref="A11">
      <formula1>$C$185:$C$196</formula1>
    </dataValidation>
    <dataValidation type="list" allowBlank="1" showErrorMessage="1" sqref="A2">
      <formula1>$B$185:$B$567</formula1>
    </dataValidation>
  </dataValidations>
  <pageMargins left="0.70866141732283472" right="0.70866141732283472" top="0.74803149606299213" bottom="0.74803149606299213"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92D050"/>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5.140625" customWidth="1"/>
    <col min="2" max="2" width="3.28515625" customWidth="1"/>
    <col min="3" max="3" width="79.42578125" customWidth="1"/>
    <col min="4" max="4" width="4" customWidth="1"/>
    <col min="5" max="7" width="21.7109375" customWidth="1"/>
    <col min="8" max="8" width="0.7109375" customWidth="1"/>
    <col min="9" max="9" width="10.7109375" hidden="1" customWidth="1"/>
    <col min="10" max="26" width="10.7109375" customWidth="1"/>
  </cols>
  <sheetData>
    <row r="1" spans="1:26" ht="54" customHeight="1">
      <c r="A1" s="745" t="str">
        <f>"NOMBRE DEL ENTE PÚBLICO: "&amp;Validacion!A2</f>
        <v>NOMBRE DEL ENTE PÚBLICO: Guadalajara</v>
      </c>
      <c r="B1" s="746"/>
      <c r="C1" s="746"/>
      <c r="D1" s="746"/>
      <c r="E1" s="746"/>
      <c r="F1" s="746"/>
      <c r="G1" s="747"/>
      <c r="H1" s="131"/>
      <c r="I1" s="131"/>
      <c r="J1" s="131"/>
      <c r="K1" s="131"/>
      <c r="L1" s="131"/>
      <c r="M1" s="131"/>
      <c r="N1" s="131"/>
      <c r="O1" s="131"/>
      <c r="P1" s="131"/>
      <c r="Q1" s="131"/>
      <c r="R1" s="131"/>
      <c r="S1" s="131"/>
      <c r="T1" s="131"/>
      <c r="U1" s="131"/>
      <c r="V1" s="131"/>
      <c r="W1" s="131"/>
      <c r="X1" s="131"/>
      <c r="Y1" s="131"/>
      <c r="Z1" s="131"/>
    </row>
    <row r="2" spans="1:26" ht="18.75">
      <c r="A2" s="751" t="s">
        <v>6329</v>
      </c>
      <c r="B2" s="749"/>
      <c r="C2" s="749"/>
      <c r="D2" s="749"/>
      <c r="E2" s="749"/>
      <c r="F2" s="749"/>
      <c r="G2" s="750"/>
      <c r="H2" s="131"/>
      <c r="I2" s="131"/>
      <c r="J2" s="131"/>
      <c r="K2" s="131"/>
      <c r="L2" s="131"/>
      <c r="M2" s="131"/>
      <c r="N2" s="131"/>
      <c r="O2" s="131"/>
      <c r="P2" s="131"/>
      <c r="Q2" s="131"/>
      <c r="R2" s="131"/>
      <c r="S2" s="131"/>
      <c r="T2" s="131"/>
      <c r="U2" s="131"/>
      <c r="V2" s="131"/>
      <c r="W2" s="131"/>
      <c r="X2" s="131"/>
      <c r="Y2" s="131"/>
      <c r="Z2" s="131"/>
    </row>
    <row r="3" spans="1:26" ht="15.75">
      <c r="A3" s="812" t="e">
        <f>'F6'!A3</f>
        <v>#REF!</v>
      </c>
      <c r="B3" s="749"/>
      <c r="C3" s="749"/>
      <c r="D3" s="749"/>
      <c r="E3" s="749"/>
      <c r="F3" s="749"/>
      <c r="G3" s="750"/>
      <c r="H3" s="131"/>
      <c r="I3" s="131"/>
      <c r="J3" s="131"/>
      <c r="K3" s="131"/>
      <c r="L3" s="131"/>
      <c r="M3" s="131"/>
      <c r="N3" s="131"/>
      <c r="O3" s="131"/>
      <c r="P3" s="131"/>
      <c r="Q3" s="131"/>
      <c r="R3" s="131"/>
      <c r="S3" s="131"/>
      <c r="T3" s="131"/>
      <c r="U3" s="131"/>
      <c r="V3" s="131"/>
      <c r="W3" s="131"/>
      <c r="X3" s="131"/>
      <c r="Y3" s="131"/>
      <c r="Z3" s="131"/>
    </row>
    <row r="4" spans="1:26" ht="15.75">
      <c r="A4" s="813" t="s">
        <v>4447</v>
      </c>
      <c r="B4" s="753"/>
      <c r="C4" s="753"/>
      <c r="D4" s="753"/>
      <c r="E4" s="753"/>
      <c r="F4" s="753"/>
      <c r="G4" s="754"/>
      <c r="H4" s="131"/>
      <c r="I4" s="131"/>
      <c r="J4" s="131"/>
      <c r="K4" s="131"/>
      <c r="L4" s="131"/>
      <c r="M4" s="131"/>
      <c r="N4" s="131"/>
      <c r="O4" s="131"/>
      <c r="P4" s="131"/>
      <c r="Q4" s="131"/>
      <c r="R4" s="131"/>
      <c r="S4" s="131"/>
      <c r="T4" s="131"/>
      <c r="U4" s="131"/>
      <c r="V4" s="131"/>
      <c r="W4" s="131"/>
      <c r="X4" s="131"/>
      <c r="Y4" s="131"/>
      <c r="Z4" s="131"/>
    </row>
    <row r="5" spans="1:26" ht="24" customHeight="1">
      <c r="A5" s="845" t="s">
        <v>4379</v>
      </c>
      <c r="B5" s="756"/>
      <c r="C5" s="839"/>
      <c r="D5" s="348"/>
      <c r="E5" s="252" t="s">
        <v>6330</v>
      </c>
      <c r="F5" s="252" t="s">
        <v>4433</v>
      </c>
      <c r="G5" s="252" t="s">
        <v>6331</v>
      </c>
      <c r="H5" s="60"/>
      <c r="I5" s="60"/>
      <c r="J5" s="60"/>
      <c r="K5" s="60"/>
      <c r="L5" s="60"/>
      <c r="M5" s="60"/>
      <c r="N5" s="60"/>
      <c r="O5" s="60"/>
      <c r="P5" s="60"/>
      <c r="Q5" s="60"/>
      <c r="R5" s="60"/>
      <c r="S5" s="60"/>
      <c r="T5" s="60"/>
      <c r="U5" s="60"/>
      <c r="V5" s="60"/>
      <c r="W5" s="60"/>
      <c r="X5" s="60"/>
      <c r="Y5" s="60"/>
      <c r="Z5" s="60"/>
    </row>
    <row r="6" spans="1:26">
      <c r="A6" s="274"/>
      <c r="B6" s="349" t="s">
        <v>6332</v>
      </c>
      <c r="C6" s="350"/>
      <c r="D6" s="351"/>
      <c r="E6" s="141">
        <f t="shared" ref="E6:G6" si="0">SUM(E7:E9)</f>
        <v>12377080335.410002</v>
      </c>
      <c r="F6" s="141">
        <f t="shared" si="0"/>
        <v>6859554692.1199989</v>
      </c>
      <c r="G6" s="141">
        <f t="shared" si="0"/>
        <v>6859554692.1199989</v>
      </c>
      <c r="H6" s="131"/>
      <c r="I6" s="131"/>
      <c r="J6" s="131"/>
      <c r="K6" s="131"/>
      <c r="L6" s="131"/>
      <c r="M6" s="131"/>
      <c r="N6" s="131"/>
      <c r="O6" s="131"/>
      <c r="P6" s="131"/>
      <c r="Q6" s="131"/>
      <c r="R6" s="131"/>
      <c r="S6" s="131"/>
      <c r="T6" s="131"/>
      <c r="U6" s="131"/>
      <c r="V6" s="131"/>
      <c r="W6" s="131"/>
      <c r="X6" s="131"/>
      <c r="Y6" s="131"/>
      <c r="Z6" s="131"/>
    </row>
    <row r="7" spans="1:26">
      <c r="A7" s="352"/>
      <c r="B7" s="353"/>
      <c r="C7" s="315" t="s">
        <v>6333</v>
      </c>
      <c r="D7" s="316"/>
      <c r="E7" s="153">
        <f>F7B!C39</f>
        <v>10983429892.160002</v>
      </c>
      <c r="F7" s="153">
        <f>F7B!F39</f>
        <v>6286284931.4699993</v>
      </c>
      <c r="G7" s="153">
        <f>F7B!G39</f>
        <v>6286284931.4699993</v>
      </c>
      <c r="H7" s="131"/>
      <c r="I7" s="131"/>
      <c r="J7" s="131"/>
      <c r="K7" s="131"/>
      <c r="L7" s="131"/>
      <c r="M7" s="131"/>
      <c r="N7" s="131"/>
      <c r="O7" s="131"/>
      <c r="P7" s="131"/>
      <c r="Q7" s="131"/>
      <c r="R7" s="131"/>
      <c r="S7" s="131"/>
      <c r="T7" s="131"/>
      <c r="U7" s="131"/>
      <c r="V7" s="131"/>
      <c r="W7" s="131"/>
      <c r="X7" s="131"/>
      <c r="Y7" s="131"/>
      <c r="Z7" s="131"/>
    </row>
    <row r="8" spans="1:26">
      <c r="A8" s="352"/>
      <c r="B8" s="353"/>
      <c r="C8" s="315" t="s">
        <v>6334</v>
      </c>
      <c r="D8" s="316"/>
      <c r="E8" s="153">
        <f>F7B!C61</f>
        <v>1507710011.28</v>
      </c>
      <c r="F8" s="153">
        <f>F7B!F61</f>
        <v>771474799.93999994</v>
      </c>
      <c r="G8" s="153">
        <f>F7B!G61</f>
        <v>771474799.93999994</v>
      </c>
      <c r="H8" s="131"/>
      <c r="I8" s="131"/>
      <c r="J8" s="131"/>
      <c r="K8" s="131"/>
      <c r="L8" s="131"/>
      <c r="M8" s="131"/>
      <c r="N8" s="131"/>
      <c r="O8" s="131"/>
      <c r="P8" s="131"/>
      <c r="Q8" s="131"/>
      <c r="R8" s="131"/>
      <c r="S8" s="131"/>
      <c r="T8" s="131"/>
      <c r="U8" s="131"/>
      <c r="V8" s="131"/>
      <c r="W8" s="131"/>
      <c r="X8" s="131"/>
      <c r="Y8" s="131"/>
      <c r="Z8" s="131"/>
    </row>
    <row r="9" spans="1:26">
      <c r="A9" s="352"/>
      <c r="B9" s="353"/>
      <c r="C9" s="315" t="s">
        <v>6335</v>
      </c>
      <c r="D9" s="316"/>
      <c r="E9" s="153">
        <f t="shared" ref="E9:G9" si="1">E33</f>
        <v>-114059568.03</v>
      </c>
      <c r="F9" s="153">
        <f t="shared" si="1"/>
        <v>-198205039.28999999</v>
      </c>
      <c r="G9" s="153">
        <f t="shared" si="1"/>
        <v>-198205039.28999999</v>
      </c>
      <c r="H9" s="131"/>
      <c r="I9" s="131"/>
      <c r="J9" s="131"/>
      <c r="K9" s="131"/>
      <c r="L9" s="131"/>
      <c r="M9" s="131"/>
      <c r="N9" s="131"/>
      <c r="O9" s="131"/>
      <c r="P9" s="131"/>
      <c r="Q9" s="131"/>
      <c r="R9" s="131"/>
      <c r="S9" s="131"/>
      <c r="T9" s="131"/>
      <c r="U9" s="131"/>
      <c r="V9" s="131"/>
      <c r="W9" s="131"/>
      <c r="X9" s="131"/>
      <c r="Y9" s="131"/>
      <c r="Z9" s="131"/>
    </row>
    <row r="10" spans="1:26">
      <c r="A10" s="200"/>
      <c r="B10" s="354" t="s">
        <v>6336</v>
      </c>
      <c r="C10" s="355"/>
      <c r="D10" s="356"/>
      <c r="E10" s="357">
        <f t="shared" ref="E10:G10" si="2">SUM(E11:E12)</f>
        <v>-114059568.03</v>
      </c>
      <c r="F10" s="357">
        <f t="shared" si="2"/>
        <v>-198205039.28999999</v>
      </c>
      <c r="G10" s="357">
        <f t="shared" si="2"/>
        <v>-198205039.28999999</v>
      </c>
      <c r="H10" s="131"/>
      <c r="I10" s="131"/>
      <c r="J10" s="131"/>
      <c r="K10" s="131"/>
      <c r="L10" s="131"/>
      <c r="M10" s="131"/>
      <c r="N10" s="131"/>
      <c r="O10" s="131"/>
      <c r="P10" s="131"/>
      <c r="Q10" s="131"/>
      <c r="R10" s="131"/>
      <c r="S10" s="131"/>
      <c r="T10" s="131"/>
      <c r="U10" s="131"/>
      <c r="V10" s="131"/>
      <c r="W10" s="131"/>
      <c r="X10" s="131"/>
      <c r="Y10" s="131"/>
      <c r="Z10" s="131"/>
    </row>
    <row r="11" spans="1:26">
      <c r="A11" s="352"/>
      <c r="B11" s="353"/>
      <c r="C11" s="315" t="s">
        <v>6337</v>
      </c>
      <c r="D11" s="316"/>
      <c r="E11" s="153">
        <f>F8B!D80-E31</f>
        <v>-114059568.03</v>
      </c>
      <c r="F11" s="153">
        <f>F8B!G80-F31</f>
        <v>-198205039.28999999</v>
      </c>
      <c r="G11" s="153">
        <f>F8B!H80-G31</f>
        <v>-198205039.28999999</v>
      </c>
      <c r="H11" s="131"/>
      <c r="I11" s="131"/>
      <c r="J11" s="131"/>
      <c r="K11" s="131"/>
      <c r="L11" s="131"/>
      <c r="M11" s="131"/>
      <c r="N11" s="131"/>
      <c r="O11" s="131"/>
      <c r="P11" s="131"/>
      <c r="Q11" s="131"/>
      <c r="R11" s="131"/>
      <c r="S11" s="131"/>
      <c r="T11" s="131"/>
      <c r="U11" s="131"/>
      <c r="V11" s="131"/>
      <c r="W11" s="131"/>
      <c r="X11" s="131"/>
      <c r="Y11" s="131"/>
      <c r="Z11" s="131"/>
    </row>
    <row r="12" spans="1:26">
      <c r="A12" s="352"/>
      <c r="B12" s="353"/>
      <c r="C12" s="315" t="s">
        <v>6338</v>
      </c>
      <c r="D12" s="316"/>
      <c r="E12" s="153">
        <f>F8B!D154-E32</f>
        <v>0</v>
      </c>
      <c r="F12" s="153">
        <f>F8B!G154-F32</f>
        <v>0</v>
      </c>
      <c r="G12" s="153">
        <f>F8B!H154-G32</f>
        <v>0</v>
      </c>
      <c r="H12" s="131"/>
      <c r="I12" s="131"/>
      <c r="J12" s="131"/>
      <c r="K12" s="131"/>
      <c r="L12" s="131"/>
      <c r="M12" s="131"/>
      <c r="N12" s="131"/>
      <c r="O12" s="131"/>
      <c r="P12" s="131"/>
      <c r="Q12" s="131"/>
      <c r="R12" s="131"/>
      <c r="S12" s="131"/>
      <c r="T12" s="131"/>
      <c r="U12" s="131"/>
      <c r="V12" s="131"/>
      <c r="W12" s="131"/>
      <c r="X12" s="131"/>
      <c r="Y12" s="131"/>
      <c r="Z12" s="131"/>
    </row>
    <row r="13" spans="1:26">
      <c r="A13" s="200"/>
      <c r="B13" s="354" t="s">
        <v>6339</v>
      </c>
      <c r="C13" s="358"/>
      <c r="D13" s="359"/>
      <c r="E13" s="360"/>
      <c r="F13" s="357">
        <f t="shared" ref="F13:G13" si="3">SUM(F14:F15)</f>
        <v>0</v>
      </c>
      <c r="G13" s="357">
        <f t="shared" si="3"/>
        <v>0</v>
      </c>
      <c r="H13" s="131"/>
      <c r="I13" s="131"/>
      <c r="J13" s="131"/>
      <c r="K13" s="131"/>
      <c r="L13" s="131"/>
      <c r="M13" s="131"/>
      <c r="N13" s="131"/>
      <c r="O13" s="131"/>
      <c r="P13" s="131"/>
      <c r="Q13" s="131"/>
      <c r="R13" s="131"/>
      <c r="S13" s="131"/>
      <c r="T13" s="131"/>
      <c r="U13" s="131"/>
      <c r="V13" s="131"/>
      <c r="W13" s="131"/>
      <c r="X13" s="131"/>
      <c r="Y13" s="131"/>
      <c r="Z13" s="131"/>
    </row>
    <row r="14" spans="1:26">
      <c r="A14" s="352"/>
      <c r="B14" s="353"/>
      <c r="C14" s="315" t="s">
        <v>6340</v>
      </c>
      <c r="D14" s="316"/>
      <c r="E14" s="361"/>
      <c r="F14" s="239"/>
      <c r="G14" s="239"/>
      <c r="H14" s="131"/>
      <c r="I14" s="131"/>
      <c r="J14" s="131"/>
      <c r="K14" s="131"/>
      <c r="L14" s="131"/>
      <c r="M14" s="131"/>
      <c r="N14" s="131"/>
      <c r="O14" s="131"/>
      <c r="P14" s="131"/>
      <c r="Q14" s="131"/>
      <c r="R14" s="131"/>
      <c r="S14" s="131"/>
      <c r="T14" s="131"/>
      <c r="U14" s="131"/>
      <c r="V14" s="131"/>
      <c r="W14" s="131"/>
      <c r="X14" s="131"/>
      <c r="Y14" s="131"/>
      <c r="Z14" s="131"/>
    </row>
    <row r="15" spans="1:26">
      <c r="A15" s="352"/>
      <c r="B15" s="353"/>
      <c r="C15" s="315" t="s">
        <v>6341</v>
      </c>
      <c r="D15" s="316"/>
      <c r="E15" s="361"/>
      <c r="F15" s="256"/>
      <c r="G15" s="256"/>
      <c r="H15" s="131"/>
      <c r="I15" s="131"/>
      <c r="J15" s="131"/>
      <c r="K15" s="131"/>
      <c r="L15" s="131"/>
      <c r="M15" s="131"/>
      <c r="N15" s="131"/>
      <c r="O15" s="131"/>
      <c r="P15" s="131"/>
      <c r="Q15" s="131"/>
      <c r="R15" s="131"/>
      <c r="S15" s="131"/>
      <c r="T15" s="131"/>
      <c r="U15" s="131"/>
      <c r="V15" s="131"/>
      <c r="W15" s="131"/>
      <c r="X15" s="131"/>
      <c r="Y15" s="131"/>
      <c r="Z15" s="131"/>
    </row>
    <row r="16" spans="1:26">
      <c r="A16" s="200"/>
      <c r="B16" s="354" t="s">
        <v>6342</v>
      </c>
      <c r="C16" s="355"/>
      <c r="D16" s="356"/>
      <c r="E16" s="362">
        <f t="shared" ref="E16:G16" si="4">E6-E10+E13</f>
        <v>12491139903.440002</v>
      </c>
      <c r="F16" s="362">
        <f t="shared" si="4"/>
        <v>7057759731.4099989</v>
      </c>
      <c r="G16" s="362">
        <f t="shared" si="4"/>
        <v>7057759731.4099989</v>
      </c>
      <c r="H16" s="131"/>
      <c r="I16" s="131"/>
      <c r="J16" s="131"/>
      <c r="K16" s="131"/>
      <c r="L16" s="131"/>
      <c r="M16" s="131"/>
      <c r="N16" s="131"/>
      <c r="O16" s="131"/>
      <c r="P16" s="131"/>
      <c r="Q16" s="131"/>
      <c r="R16" s="131"/>
      <c r="S16" s="131"/>
      <c r="T16" s="131"/>
      <c r="U16" s="131"/>
      <c r="V16" s="131"/>
      <c r="W16" s="131"/>
      <c r="X16" s="131"/>
      <c r="Y16" s="131"/>
      <c r="Z16" s="131"/>
    </row>
    <row r="17" spans="1:26">
      <c r="A17" s="200"/>
      <c r="B17" s="354" t="s">
        <v>6343</v>
      </c>
      <c r="C17" s="355"/>
      <c r="D17" s="356"/>
      <c r="E17" s="362">
        <f t="shared" ref="E17:G17" si="5">E16-E9</f>
        <v>12605199471.470003</v>
      </c>
      <c r="F17" s="362">
        <f t="shared" si="5"/>
        <v>7255964770.6999989</v>
      </c>
      <c r="G17" s="362">
        <f t="shared" si="5"/>
        <v>7255964770.6999989</v>
      </c>
      <c r="H17" s="131"/>
      <c r="I17" s="131"/>
      <c r="J17" s="131"/>
      <c r="K17" s="131"/>
      <c r="L17" s="131"/>
      <c r="M17" s="131"/>
      <c r="N17" s="131"/>
      <c r="O17" s="131"/>
      <c r="P17" s="131"/>
      <c r="Q17" s="131"/>
      <c r="R17" s="131"/>
      <c r="S17" s="131"/>
      <c r="T17" s="131"/>
      <c r="U17" s="131"/>
      <c r="V17" s="131"/>
      <c r="W17" s="131"/>
      <c r="X17" s="131"/>
      <c r="Y17" s="131"/>
      <c r="Z17" s="131"/>
    </row>
    <row r="18" spans="1:26">
      <c r="A18" s="363"/>
      <c r="B18" s="364" t="s">
        <v>6344</v>
      </c>
      <c r="C18" s="365"/>
      <c r="D18" s="366"/>
      <c r="E18" s="367">
        <f t="shared" ref="E18:G18" si="6">E17-E13</f>
        <v>12605199471.470003</v>
      </c>
      <c r="F18" s="367">
        <f t="shared" si="6"/>
        <v>7255964770.6999989</v>
      </c>
      <c r="G18" s="367">
        <f t="shared" si="6"/>
        <v>7255964770.6999989</v>
      </c>
      <c r="H18" s="131"/>
      <c r="I18" s="131"/>
      <c r="J18" s="131"/>
      <c r="K18" s="131"/>
      <c r="L18" s="131"/>
      <c r="M18" s="131"/>
      <c r="N18" s="131"/>
      <c r="O18" s="131"/>
      <c r="P18" s="131"/>
      <c r="Q18" s="131"/>
      <c r="R18" s="131"/>
      <c r="S18" s="131"/>
      <c r="T18" s="131"/>
      <c r="U18" s="131"/>
      <c r="V18" s="131"/>
      <c r="W18" s="131"/>
      <c r="X18" s="131"/>
      <c r="Y18" s="131"/>
      <c r="Z18" s="131"/>
    </row>
    <row r="19" spans="1:26">
      <c r="A19" s="368"/>
      <c r="B19" s="368"/>
      <c r="C19" s="369"/>
      <c r="D19" s="369"/>
      <c r="E19" s="192"/>
      <c r="F19" s="192"/>
      <c r="G19" s="192"/>
      <c r="H19" s="131"/>
      <c r="I19" s="131"/>
      <c r="J19" s="131"/>
      <c r="K19" s="131"/>
      <c r="L19" s="131"/>
      <c r="M19" s="131"/>
      <c r="N19" s="131"/>
      <c r="O19" s="131"/>
      <c r="P19" s="131"/>
      <c r="Q19" s="131"/>
      <c r="R19" s="131"/>
      <c r="S19" s="131"/>
      <c r="T19" s="131"/>
      <c r="U19" s="131"/>
      <c r="V19" s="131"/>
      <c r="W19" s="131"/>
      <c r="X19" s="131"/>
      <c r="Y19" s="131"/>
      <c r="Z19" s="131"/>
    </row>
    <row r="20" spans="1:26" ht="15" customHeight="1">
      <c r="A20" s="845" t="s">
        <v>4379</v>
      </c>
      <c r="B20" s="756"/>
      <c r="C20" s="839"/>
      <c r="D20" s="348"/>
      <c r="E20" s="370" t="s">
        <v>6257</v>
      </c>
      <c r="F20" s="252" t="s">
        <v>4433</v>
      </c>
      <c r="G20" s="252" t="s">
        <v>6258</v>
      </c>
      <c r="H20" s="131"/>
      <c r="I20" s="131"/>
      <c r="J20" s="131"/>
      <c r="K20" s="131"/>
      <c r="L20" s="131"/>
      <c r="M20" s="131"/>
      <c r="N20" s="131"/>
      <c r="O20" s="131"/>
      <c r="P20" s="131"/>
      <c r="Q20" s="131"/>
      <c r="R20" s="131"/>
      <c r="S20" s="131"/>
      <c r="T20" s="131"/>
      <c r="U20" s="131"/>
      <c r="V20" s="131"/>
      <c r="W20" s="131"/>
      <c r="X20" s="131"/>
      <c r="Y20" s="131"/>
      <c r="Z20" s="131"/>
    </row>
    <row r="21" spans="1:26" ht="15.75" customHeight="1">
      <c r="A21" s="371"/>
      <c r="B21" s="372" t="s">
        <v>6345</v>
      </c>
      <c r="C21" s="372"/>
      <c r="D21" s="373"/>
      <c r="E21" s="141">
        <f t="shared" ref="E21:G21" si="7">SUM(E22:E23)</f>
        <v>126485405.06</v>
      </c>
      <c r="F21" s="141">
        <f t="shared" si="7"/>
        <v>65677483.080000006</v>
      </c>
      <c r="G21" s="141">
        <f t="shared" si="7"/>
        <v>65677483.080000006</v>
      </c>
      <c r="H21" s="131"/>
      <c r="I21" s="131"/>
      <c r="J21" s="131"/>
      <c r="K21" s="131"/>
      <c r="L21" s="131"/>
      <c r="M21" s="131"/>
      <c r="N21" s="131"/>
      <c r="O21" s="131"/>
      <c r="P21" s="131"/>
      <c r="Q21" s="131"/>
      <c r="R21" s="131"/>
      <c r="S21" s="131"/>
      <c r="T21" s="131"/>
      <c r="U21" s="131"/>
      <c r="V21" s="131"/>
      <c r="W21" s="131"/>
      <c r="X21" s="131"/>
      <c r="Y21" s="131"/>
      <c r="Z21" s="131"/>
    </row>
    <row r="22" spans="1:26" ht="15.75" customHeight="1">
      <c r="A22" s="352"/>
      <c r="B22" s="353"/>
      <c r="C22" s="315" t="s">
        <v>6346</v>
      </c>
      <c r="D22" s="316"/>
      <c r="E22" s="153">
        <f>SUM(F8B!D74:D77)</f>
        <v>126485405.06</v>
      </c>
      <c r="F22" s="153">
        <f>SUM(F8B!G74:G77)</f>
        <v>65677483.080000006</v>
      </c>
      <c r="G22" s="153">
        <f>SUM(F8B!H74:H77)</f>
        <v>65677483.080000006</v>
      </c>
      <c r="H22" s="131"/>
      <c r="I22" s="131"/>
      <c r="J22" s="131"/>
      <c r="K22" s="131"/>
      <c r="L22" s="131"/>
      <c r="M22" s="131"/>
      <c r="N22" s="131"/>
      <c r="O22" s="131"/>
      <c r="P22" s="131"/>
      <c r="Q22" s="131"/>
      <c r="R22" s="131"/>
      <c r="S22" s="131"/>
      <c r="T22" s="131"/>
      <c r="U22" s="131"/>
      <c r="V22" s="131"/>
      <c r="W22" s="131"/>
      <c r="X22" s="131"/>
      <c r="Y22" s="131"/>
      <c r="Z22" s="131"/>
    </row>
    <row r="23" spans="1:26" ht="15.75" customHeight="1">
      <c r="A23" s="352"/>
      <c r="B23" s="353"/>
      <c r="C23" s="315" t="s">
        <v>6347</v>
      </c>
      <c r="D23" s="316"/>
      <c r="E23" s="239">
        <f>SUM(F8B!D148:D151)</f>
        <v>0</v>
      </c>
      <c r="F23" s="239">
        <f>SUM(F8B!G148:G151)</f>
        <v>0</v>
      </c>
      <c r="G23" s="239">
        <f>SUM(F8B!H148:H151)</f>
        <v>0</v>
      </c>
      <c r="H23" s="131"/>
      <c r="I23" s="131"/>
      <c r="J23" s="131"/>
      <c r="K23" s="131"/>
      <c r="L23" s="131"/>
      <c r="M23" s="131"/>
      <c r="N23" s="131"/>
      <c r="O23" s="131"/>
      <c r="P23" s="131"/>
      <c r="Q23" s="131"/>
      <c r="R23" s="131"/>
      <c r="S23" s="131"/>
      <c r="T23" s="131"/>
      <c r="U23" s="131"/>
      <c r="V23" s="131"/>
      <c r="W23" s="131"/>
      <c r="X23" s="131"/>
      <c r="Y23" s="131"/>
      <c r="Z23" s="131"/>
    </row>
    <row r="24" spans="1:26" ht="15.75" customHeight="1">
      <c r="A24" s="363"/>
      <c r="B24" s="374" t="s">
        <v>6348</v>
      </c>
      <c r="C24" s="374"/>
      <c r="D24" s="375"/>
      <c r="E24" s="367">
        <f t="shared" ref="E24:G24" si="8">E18+E21</f>
        <v>12731684876.530003</v>
      </c>
      <c r="F24" s="367">
        <f t="shared" si="8"/>
        <v>7321642253.7799988</v>
      </c>
      <c r="G24" s="367">
        <f t="shared" si="8"/>
        <v>7321642253.7799988</v>
      </c>
      <c r="H24" s="131"/>
      <c r="I24" s="131"/>
      <c r="J24" s="131"/>
      <c r="K24" s="131"/>
      <c r="L24" s="131"/>
      <c r="M24" s="131"/>
      <c r="N24" s="131"/>
      <c r="O24" s="131"/>
      <c r="P24" s="131"/>
      <c r="Q24" s="131"/>
      <c r="R24" s="131"/>
      <c r="S24" s="131"/>
      <c r="T24" s="131"/>
      <c r="U24" s="131"/>
      <c r="V24" s="131"/>
      <c r="W24" s="131"/>
      <c r="X24" s="131"/>
      <c r="Y24" s="131"/>
      <c r="Z24" s="131"/>
    </row>
    <row r="25" spans="1:26" ht="15.75" customHeight="1">
      <c r="A25" s="368"/>
      <c r="B25" s="368"/>
      <c r="C25" s="372"/>
      <c r="D25" s="372"/>
      <c r="E25" s="192"/>
      <c r="F25" s="192"/>
      <c r="G25" s="192"/>
      <c r="H25" s="131"/>
      <c r="I25" s="131"/>
      <c r="J25" s="131"/>
      <c r="K25" s="131"/>
      <c r="L25" s="131"/>
      <c r="M25" s="131"/>
      <c r="N25" s="131"/>
      <c r="O25" s="131"/>
      <c r="P25" s="131"/>
      <c r="Q25" s="131"/>
      <c r="R25" s="131"/>
      <c r="S25" s="131"/>
      <c r="T25" s="131"/>
      <c r="U25" s="131"/>
      <c r="V25" s="131"/>
      <c r="W25" s="131"/>
      <c r="X25" s="131"/>
      <c r="Y25" s="131"/>
      <c r="Z25" s="131"/>
    </row>
    <row r="26" spans="1:26" ht="24" customHeight="1">
      <c r="A26" s="845" t="s">
        <v>4379</v>
      </c>
      <c r="B26" s="756"/>
      <c r="C26" s="839"/>
      <c r="D26" s="348"/>
      <c r="E26" s="252" t="s">
        <v>6330</v>
      </c>
      <c r="F26" s="252" t="s">
        <v>4433</v>
      </c>
      <c r="G26" s="252" t="s">
        <v>6331</v>
      </c>
      <c r="H26" s="131"/>
      <c r="I26" s="131"/>
      <c r="J26" s="131"/>
      <c r="K26" s="131"/>
      <c r="L26" s="131"/>
      <c r="M26" s="131"/>
      <c r="N26" s="131"/>
      <c r="O26" s="131"/>
      <c r="P26" s="131"/>
      <c r="Q26" s="131"/>
      <c r="R26" s="131"/>
      <c r="S26" s="131"/>
      <c r="T26" s="131"/>
      <c r="U26" s="131"/>
      <c r="V26" s="131"/>
      <c r="W26" s="131"/>
      <c r="X26" s="131"/>
      <c r="Y26" s="131"/>
      <c r="Z26" s="131"/>
    </row>
    <row r="27" spans="1:26" ht="15.75" customHeight="1">
      <c r="A27" s="376"/>
      <c r="B27" s="350" t="s">
        <v>6349</v>
      </c>
      <c r="C27" s="350"/>
      <c r="D27" s="351"/>
      <c r="E27" s="141">
        <f t="shared" ref="E27:G27" si="9">SUM(E28:E29)</f>
        <v>0</v>
      </c>
      <c r="F27" s="141">
        <f t="shared" si="9"/>
        <v>0</v>
      </c>
      <c r="G27" s="141">
        <f t="shared" si="9"/>
        <v>0</v>
      </c>
      <c r="H27" s="131"/>
      <c r="I27" s="131"/>
      <c r="J27" s="131"/>
      <c r="K27" s="131"/>
      <c r="L27" s="131"/>
      <c r="M27" s="131"/>
      <c r="N27" s="131"/>
      <c r="O27" s="131"/>
      <c r="P27" s="131"/>
      <c r="Q27" s="131"/>
      <c r="R27" s="131"/>
      <c r="S27" s="131"/>
      <c r="T27" s="131"/>
      <c r="U27" s="131"/>
      <c r="V27" s="131"/>
      <c r="W27" s="131"/>
      <c r="X27" s="131"/>
      <c r="Y27" s="131"/>
      <c r="Z27" s="131"/>
    </row>
    <row r="28" spans="1:26" ht="15.75" customHeight="1">
      <c r="A28" s="352"/>
      <c r="B28" s="353"/>
      <c r="C28" s="315" t="s">
        <v>6350</v>
      </c>
      <c r="D28" s="316"/>
      <c r="E28" s="153">
        <f>F7B!C66</f>
        <v>0</v>
      </c>
      <c r="F28" s="153">
        <f>F7B!F66</f>
        <v>0</v>
      </c>
      <c r="G28" s="153">
        <f>F7B!G66</f>
        <v>0</v>
      </c>
      <c r="H28" s="131"/>
      <c r="I28" s="131"/>
      <c r="J28" s="131"/>
      <c r="K28" s="131"/>
      <c r="L28" s="131"/>
      <c r="M28" s="131"/>
      <c r="N28" s="131"/>
      <c r="O28" s="131"/>
      <c r="P28" s="131"/>
      <c r="Q28" s="131"/>
      <c r="R28" s="131"/>
      <c r="S28" s="131"/>
      <c r="T28" s="131"/>
      <c r="U28" s="131"/>
      <c r="V28" s="131"/>
      <c r="W28" s="131"/>
      <c r="X28" s="131"/>
      <c r="Y28" s="131"/>
      <c r="Z28" s="131"/>
    </row>
    <row r="29" spans="1:26" ht="15.75" customHeight="1">
      <c r="A29" s="352"/>
      <c r="B29" s="353"/>
      <c r="C29" s="315" t="s">
        <v>6351</v>
      </c>
      <c r="D29" s="316"/>
      <c r="E29" s="153">
        <f>F7B!C67</f>
        <v>0</v>
      </c>
      <c r="F29" s="153">
        <f>F7B!F67</f>
        <v>0</v>
      </c>
      <c r="G29" s="153">
        <f>F7B!G67</f>
        <v>0</v>
      </c>
      <c r="H29" s="131"/>
      <c r="I29" s="131"/>
      <c r="J29" s="131"/>
      <c r="K29" s="131"/>
      <c r="L29" s="131"/>
      <c r="M29" s="131"/>
      <c r="N29" s="131"/>
      <c r="O29" s="131"/>
      <c r="P29" s="131"/>
      <c r="Q29" s="131"/>
      <c r="R29" s="131"/>
      <c r="S29" s="131"/>
      <c r="T29" s="131"/>
      <c r="U29" s="131"/>
      <c r="V29" s="131"/>
      <c r="W29" s="131"/>
      <c r="X29" s="131"/>
      <c r="Y29" s="131"/>
      <c r="Z29" s="131"/>
    </row>
    <row r="30" spans="1:26" ht="15.75" customHeight="1">
      <c r="A30" s="200"/>
      <c r="B30" s="355" t="s">
        <v>6352</v>
      </c>
      <c r="C30" s="355"/>
      <c r="D30" s="356"/>
      <c r="E30" s="357">
        <f t="shared" ref="E30:G30" si="10">SUM(E31:E32)</f>
        <v>114059568.03</v>
      </c>
      <c r="F30" s="357">
        <f t="shared" si="10"/>
        <v>198205039.28999999</v>
      </c>
      <c r="G30" s="357">
        <f t="shared" si="10"/>
        <v>198205039.28999999</v>
      </c>
      <c r="H30" s="131"/>
      <c r="I30" s="131"/>
      <c r="J30" s="131"/>
      <c r="K30" s="131"/>
      <c r="L30" s="131"/>
      <c r="M30" s="131"/>
      <c r="N30" s="131"/>
      <c r="O30" s="131"/>
      <c r="P30" s="131"/>
      <c r="Q30" s="131"/>
      <c r="R30" s="131"/>
      <c r="S30" s="131"/>
      <c r="T30" s="131"/>
      <c r="U30" s="131"/>
      <c r="V30" s="131"/>
      <c r="W30" s="131"/>
      <c r="X30" s="131"/>
      <c r="Y30" s="131"/>
      <c r="Z30" s="131"/>
    </row>
    <row r="31" spans="1:26" ht="15.75" customHeight="1">
      <c r="A31" s="352"/>
      <c r="B31" s="353"/>
      <c r="C31" s="315" t="s">
        <v>6353</v>
      </c>
      <c r="D31" s="316"/>
      <c r="E31" s="153">
        <f>F8B!D73</f>
        <v>114059568.03</v>
      </c>
      <c r="F31" s="153">
        <f>F8B!G73</f>
        <v>198205039.28999999</v>
      </c>
      <c r="G31" s="153">
        <f>F8B!H73</f>
        <v>198205039.28999999</v>
      </c>
      <c r="H31" s="131"/>
      <c r="I31" s="131"/>
      <c r="J31" s="131"/>
      <c r="K31" s="131"/>
      <c r="L31" s="131"/>
      <c r="M31" s="131"/>
      <c r="N31" s="131"/>
      <c r="O31" s="131"/>
      <c r="P31" s="131"/>
      <c r="Q31" s="131"/>
      <c r="R31" s="131"/>
      <c r="S31" s="131"/>
      <c r="T31" s="131"/>
      <c r="U31" s="131"/>
      <c r="V31" s="131"/>
      <c r="W31" s="131"/>
      <c r="X31" s="131"/>
      <c r="Y31" s="131"/>
      <c r="Z31" s="131"/>
    </row>
    <row r="32" spans="1:26" ht="15.75" customHeight="1">
      <c r="A32" s="352"/>
      <c r="B32" s="353"/>
      <c r="C32" s="315" t="s">
        <v>6354</v>
      </c>
      <c r="D32" s="316"/>
      <c r="E32" s="239">
        <f>F8B!D147</f>
        <v>0</v>
      </c>
      <c r="F32" s="239">
        <f>F8B!G147</f>
        <v>0</v>
      </c>
      <c r="G32" s="239">
        <f>F8B!H147</f>
        <v>0</v>
      </c>
      <c r="H32" s="131"/>
      <c r="I32" s="131"/>
      <c r="J32" s="131"/>
      <c r="K32" s="131"/>
      <c r="L32" s="131"/>
      <c r="M32" s="131"/>
      <c r="N32" s="131"/>
      <c r="O32" s="131"/>
      <c r="P32" s="131"/>
      <c r="Q32" s="131"/>
      <c r="R32" s="131"/>
      <c r="S32" s="131"/>
      <c r="T32" s="131"/>
      <c r="U32" s="131"/>
      <c r="V32" s="131"/>
      <c r="W32" s="131"/>
      <c r="X32" s="131"/>
      <c r="Y32" s="131"/>
      <c r="Z32" s="131"/>
    </row>
    <row r="33" spans="1:26" ht="15.75" customHeight="1">
      <c r="A33" s="363"/>
      <c r="B33" s="364" t="s">
        <v>6355</v>
      </c>
      <c r="C33" s="364"/>
      <c r="D33" s="377"/>
      <c r="E33" s="367">
        <f t="shared" ref="E33:G33" si="11">E27-E30</f>
        <v>-114059568.03</v>
      </c>
      <c r="F33" s="367">
        <f t="shared" si="11"/>
        <v>-198205039.28999999</v>
      </c>
      <c r="G33" s="367">
        <f t="shared" si="11"/>
        <v>-198205039.28999999</v>
      </c>
      <c r="H33" s="131"/>
      <c r="I33" s="131"/>
      <c r="J33" s="131"/>
      <c r="K33" s="131"/>
      <c r="L33" s="131"/>
      <c r="M33" s="131"/>
      <c r="N33" s="131"/>
      <c r="O33" s="131"/>
      <c r="P33" s="131"/>
      <c r="Q33" s="131"/>
      <c r="R33" s="131"/>
      <c r="S33" s="131"/>
      <c r="T33" s="131"/>
      <c r="U33" s="131"/>
      <c r="V33" s="131"/>
      <c r="W33" s="131"/>
      <c r="X33" s="131"/>
      <c r="Y33" s="131"/>
      <c r="Z33" s="131"/>
    </row>
    <row r="34" spans="1:26" ht="15.75" customHeight="1">
      <c r="A34" s="368"/>
      <c r="B34" s="368"/>
      <c r="C34" s="378"/>
      <c r="D34" s="378"/>
      <c r="E34" s="192"/>
      <c r="F34" s="192"/>
      <c r="G34" s="192"/>
      <c r="H34" s="131"/>
      <c r="I34" s="131"/>
      <c r="J34" s="131"/>
      <c r="K34" s="131"/>
      <c r="L34" s="131"/>
      <c r="M34" s="131"/>
      <c r="N34" s="131"/>
      <c r="O34" s="131"/>
      <c r="P34" s="131"/>
      <c r="Q34" s="131"/>
      <c r="R34" s="131"/>
      <c r="S34" s="131"/>
      <c r="T34" s="131"/>
      <c r="U34" s="131"/>
      <c r="V34" s="131"/>
      <c r="W34" s="131"/>
      <c r="X34" s="131"/>
      <c r="Y34" s="131"/>
      <c r="Z34" s="131"/>
    </row>
    <row r="35" spans="1:26" ht="24" customHeight="1">
      <c r="A35" s="845" t="s">
        <v>4379</v>
      </c>
      <c r="B35" s="756"/>
      <c r="C35" s="839"/>
      <c r="D35" s="348"/>
      <c r="E35" s="252" t="s">
        <v>6330</v>
      </c>
      <c r="F35" s="252" t="s">
        <v>4433</v>
      </c>
      <c r="G35" s="252" t="s">
        <v>6331</v>
      </c>
      <c r="H35" s="131"/>
      <c r="I35" s="131"/>
      <c r="J35" s="131"/>
      <c r="K35" s="131"/>
      <c r="L35" s="131"/>
      <c r="M35" s="131"/>
      <c r="N35" s="131"/>
      <c r="O35" s="131"/>
      <c r="P35" s="131"/>
      <c r="Q35" s="131"/>
      <c r="R35" s="131"/>
      <c r="S35" s="131"/>
      <c r="T35" s="131"/>
      <c r="U35" s="131"/>
      <c r="V35" s="131"/>
      <c r="W35" s="131"/>
      <c r="X35" s="131"/>
      <c r="Y35" s="131"/>
      <c r="Z35" s="131"/>
    </row>
    <row r="36" spans="1:26" ht="15.75" customHeight="1">
      <c r="A36" s="376"/>
      <c r="B36" s="379" t="s">
        <v>6333</v>
      </c>
      <c r="C36" s="379"/>
      <c r="D36" s="351"/>
      <c r="E36" s="141">
        <f t="shared" ref="E36:G36" si="12">E7</f>
        <v>10983429892.160002</v>
      </c>
      <c r="F36" s="141">
        <f t="shared" si="12"/>
        <v>6286284931.4699993</v>
      </c>
      <c r="G36" s="141">
        <f t="shared" si="12"/>
        <v>6286284931.4699993</v>
      </c>
      <c r="H36" s="131"/>
      <c r="I36" s="131"/>
      <c r="J36" s="131"/>
      <c r="K36" s="131"/>
      <c r="L36" s="131"/>
      <c r="M36" s="131"/>
      <c r="N36" s="131"/>
      <c r="O36" s="131"/>
      <c r="P36" s="131"/>
      <c r="Q36" s="131"/>
      <c r="R36" s="131"/>
      <c r="S36" s="131"/>
      <c r="T36" s="131"/>
      <c r="U36" s="131"/>
      <c r="V36" s="131"/>
      <c r="W36" s="131"/>
      <c r="X36" s="131"/>
      <c r="Y36" s="131"/>
      <c r="Z36" s="131"/>
    </row>
    <row r="37" spans="1:26" ht="15.75" customHeight="1">
      <c r="A37" s="200"/>
      <c r="B37" s="315" t="s">
        <v>6356</v>
      </c>
      <c r="C37" s="380"/>
      <c r="D37" s="381"/>
      <c r="E37" s="357">
        <f t="shared" ref="E37:G37" si="13">E38-E39</f>
        <v>-114059568.03</v>
      </c>
      <c r="F37" s="357">
        <f t="shared" si="13"/>
        <v>-198205039.28999999</v>
      </c>
      <c r="G37" s="357">
        <f t="shared" si="13"/>
        <v>-198205039.28999999</v>
      </c>
      <c r="H37" s="131"/>
      <c r="I37" s="131"/>
      <c r="J37" s="131"/>
      <c r="K37" s="131"/>
      <c r="L37" s="131"/>
      <c r="M37" s="131"/>
      <c r="N37" s="131"/>
      <c r="O37" s="131"/>
      <c r="P37" s="131"/>
      <c r="Q37" s="131"/>
      <c r="R37" s="131"/>
      <c r="S37" s="131"/>
      <c r="T37" s="131"/>
      <c r="U37" s="131"/>
      <c r="V37" s="131"/>
      <c r="W37" s="131"/>
      <c r="X37" s="131"/>
      <c r="Y37" s="131"/>
      <c r="Z37" s="131"/>
    </row>
    <row r="38" spans="1:26" ht="15.75" customHeight="1">
      <c r="A38" s="352"/>
      <c r="B38" s="353"/>
      <c r="C38" s="315" t="s">
        <v>6350</v>
      </c>
      <c r="D38" s="316"/>
      <c r="E38" s="153">
        <f t="shared" ref="E38:G38" si="14">E28</f>
        <v>0</v>
      </c>
      <c r="F38" s="153">
        <f t="shared" si="14"/>
        <v>0</v>
      </c>
      <c r="G38" s="153">
        <f t="shared" si="14"/>
        <v>0</v>
      </c>
      <c r="H38" s="131"/>
      <c r="I38" s="131"/>
      <c r="J38" s="131"/>
      <c r="K38" s="131"/>
      <c r="L38" s="131"/>
      <c r="M38" s="131"/>
      <c r="N38" s="131"/>
      <c r="O38" s="131"/>
      <c r="P38" s="131"/>
      <c r="Q38" s="131"/>
      <c r="R38" s="131"/>
      <c r="S38" s="131"/>
      <c r="T38" s="131"/>
      <c r="U38" s="131"/>
      <c r="V38" s="131"/>
      <c r="W38" s="131"/>
      <c r="X38" s="131"/>
      <c r="Y38" s="131"/>
      <c r="Z38" s="131"/>
    </row>
    <row r="39" spans="1:26" ht="15.75" customHeight="1">
      <c r="A39" s="352"/>
      <c r="B39" s="353"/>
      <c r="C39" s="315" t="s">
        <v>6357</v>
      </c>
      <c r="D39" s="316"/>
      <c r="E39" s="153">
        <f t="shared" ref="E39:G39" si="15">E31</f>
        <v>114059568.03</v>
      </c>
      <c r="F39" s="153">
        <f t="shared" si="15"/>
        <v>198205039.28999999</v>
      </c>
      <c r="G39" s="153">
        <f t="shared" si="15"/>
        <v>198205039.28999999</v>
      </c>
      <c r="H39" s="131"/>
      <c r="I39" s="131"/>
      <c r="J39" s="131"/>
      <c r="K39" s="131"/>
      <c r="L39" s="131"/>
      <c r="M39" s="131"/>
      <c r="N39" s="131"/>
      <c r="O39" s="131"/>
      <c r="P39" s="131"/>
      <c r="Q39" s="131"/>
      <c r="R39" s="131"/>
      <c r="S39" s="131"/>
      <c r="T39" s="131"/>
      <c r="U39" s="131"/>
      <c r="V39" s="131"/>
      <c r="W39" s="131"/>
      <c r="X39" s="131"/>
      <c r="Y39" s="131"/>
      <c r="Z39" s="131"/>
    </row>
    <row r="40" spans="1:26" ht="15.75" customHeight="1">
      <c r="A40" s="200"/>
      <c r="B40" s="315" t="s">
        <v>6358</v>
      </c>
      <c r="C40" s="382"/>
      <c r="D40" s="381"/>
      <c r="E40" s="357">
        <f t="shared" ref="E40:G40" si="16">E11</f>
        <v>-114059568.03</v>
      </c>
      <c r="F40" s="357">
        <f t="shared" si="16"/>
        <v>-198205039.28999999</v>
      </c>
      <c r="G40" s="357">
        <f t="shared" si="16"/>
        <v>-198205039.28999999</v>
      </c>
      <c r="H40" s="131"/>
      <c r="I40" s="131"/>
      <c r="J40" s="131"/>
      <c r="K40" s="131"/>
      <c r="L40" s="131"/>
      <c r="M40" s="131"/>
      <c r="N40" s="131"/>
      <c r="O40" s="131"/>
      <c r="P40" s="131"/>
      <c r="Q40" s="131"/>
      <c r="R40" s="131"/>
      <c r="S40" s="131"/>
      <c r="T40" s="131"/>
      <c r="U40" s="131"/>
      <c r="V40" s="131"/>
      <c r="W40" s="131"/>
      <c r="X40" s="131"/>
      <c r="Y40" s="131"/>
      <c r="Z40" s="131"/>
    </row>
    <row r="41" spans="1:26" ht="15.75" customHeight="1">
      <c r="A41" s="200"/>
      <c r="B41" s="315" t="s">
        <v>6359</v>
      </c>
      <c r="C41" s="355"/>
      <c r="D41" s="356"/>
      <c r="E41" s="360"/>
      <c r="F41" s="383">
        <f t="shared" ref="F41:G41" si="17">F14</f>
        <v>0</v>
      </c>
      <c r="G41" s="383">
        <f t="shared" si="17"/>
        <v>0</v>
      </c>
      <c r="H41" s="131"/>
      <c r="I41" s="131"/>
      <c r="J41" s="131"/>
      <c r="K41" s="131"/>
      <c r="L41" s="131"/>
      <c r="M41" s="131"/>
      <c r="N41" s="131"/>
      <c r="O41" s="131"/>
      <c r="P41" s="131"/>
      <c r="Q41" s="131"/>
      <c r="R41" s="131"/>
      <c r="S41" s="131"/>
      <c r="T41" s="131"/>
      <c r="U41" s="131"/>
      <c r="V41" s="131"/>
      <c r="W41" s="131"/>
      <c r="X41" s="131"/>
      <c r="Y41" s="131"/>
      <c r="Z41" s="131"/>
    </row>
    <row r="42" spans="1:26" ht="15.75" customHeight="1">
      <c r="A42" s="200"/>
      <c r="B42" s="355" t="s">
        <v>6360</v>
      </c>
      <c r="C42" s="355"/>
      <c r="D42" s="356"/>
      <c r="E42" s="362">
        <f t="shared" ref="E42:G42" si="18">E36+E37-E40+E41</f>
        <v>10983429892.160002</v>
      </c>
      <c r="F42" s="362">
        <f t="shared" si="18"/>
        <v>6286284931.4699993</v>
      </c>
      <c r="G42" s="362">
        <f t="shared" si="18"/>
        <v>6286284931.4699993</v>
      </c>
      <c r="H42" s="131"/>
      <c r="I42" s="131"/>
      <c r="J42" s="131"/>
      <c r="K42" s="131"/>
      <c r="L42" s="131"/>
      <c r="M42" s="131"/>
      <c r="N42" s="131"/>
      <c r="O42" s="131"/>
      <c r="P42" s="131"/>
      <c r="Q42" s="131"/>
      <c r="R42" s="131"/>
      <c r="S42" s="131"/>
      <c r="T42" s="131"/>
      <c r="U42" s="131"/>
      <c r="V42" s="131"/>
      <c r="W42" s="131"/>
      <c r="X42" s="131"/>
      <c r="Y42" s="131"/>
      <c r="Z42" s="131"/>
    </row>
    <row r="43" spans="1:26" ht="15.75" customHeight="1">
      <c r="A43" s="363"/>
      <c r="B43" s="374" t="s">
        <v>6361</v>
      </c>
      <c r="C43" s="365"/>
      <c r="D43" s="366"/>
      <c r="E43" s="367">
        <f t="shared" ref="E43:G43" si="19">E42-E37</f>
        <v>11097489460.190002</v>
      </c>
      <c r="F43" s="367">
        <f t="shared" si="19"/>
        <v>6484489970.7599993</v>
      </c>
      <c r="G43" s="367">
        <f t="shared" si="19"/>
        <v>6484489970.7599993</v>
      </c>
      <c r="H43" s="131"/>
      <c r="I43" s="131"/>
      <c r="J43" s="131"/>
      <c r="K43" s="131"/>
      <c r="L43" s="131"/>
      <c r="M43" s="131"/>
      <c r="N43" s="131"/>
      <c r="O43" s="131"/>
      <c r="P43" s="131"/>
      <c r="Q43" s="131"/>
      <c r="R43" s="131"/>
      <c r="S43" s="131"/>
      <c r="T43" s="131"/>
      <c r="U43" s="131"/>
      <c r="V43" s="131"/>
      <c r="W43" s="131"/>
      <c r="X43" s="131"/>
      <c r="Y43" s="131"/>
      <c r="Z43" s="131"/>
    </row>
    <row r="44" spans="1:26" ht="15.75" customHeight="1">
      <c r="A44" s="368"/>
      <c r="B44" s="368"/>
      <c r="C44" s="369"/>
      <c r="D44" s="369"/>
      <c r="E44" s="192"/>
      <c r="F44" s="192"/>
      <c r="G44" s="192"/>
      <c r="H44" s="131"/>
      <c r="I44" s="131"/>
      <c r="J44" s="131"/>
      <c r="K44" s="131"/>
      <c r="L44" s="131"/>
      <c r="M44" s="131"/>
      <c r="N44" s="131"/>
      <c r="O44" s="131"/>
      <c r="P44" s="131"/>
      <c r="Q44" s="131"/>
      <c r="R44" s="131"/>
      <c r="S44" s="131"/>
      <c r="T44" s="131"/>
      <c r="U44" s="131"/>
      <c r="V44" s="131"/>
      <c r="W44" s="131"/>
      <c r="X44" s="131"/>
      <c r="Y44" s="131"/>
      <c r="Z44" s="131"/>
    </row>
    <row r="45" spans="1:26" ht="24" customHeight="1">
      <c r="A45" s="845" t="s">
        <v>4379</v>
      </c>
      <c r="B45" s="756"/>
      <c r="C45" s="839"/>
      <c r="D45" s="348"/>
      <c r="E45" s="252" t="s">
        <v>6330</v>
      </c>
      <c r="F45" s="252" t="s">
        <v>4433</v>
      </c>
      <c r="G45" s="252" t="s">
        <v>6331</v>
      </c>
      <c r="H45" s="131"/>
      <c r="I45" s="131"/>
      <c r="J45" s="131"/>
      <c r="K45" s="131"/>
      <c r="L45" s="131"/>
      <c r="M45" s="131"/>
      <c r="N45" s="131"/>
      <c r="O45" s="131"/>
      <c r="P45" s="131"/>
      <c r="Q45" s="131"/>
      <c r="R45" s="131"/>
      <c r="S45" s="131"/>
      <c r="T45" s="131"/>
      <c r="U45" s="131"/>
      <c r="V45" s="131"/>
      <c r="W45" s="131"/>
      <c r="X45" s="131"/>
      <c r="Y45" s="131"/>
      <c r="Z45" s="131"/>
    </row>
    <row r="46" spans="1:26" ht="15.75" customHeight="1">
      <c r="A46" s="371"/>
      <c r="B46" s="235" t="s">
        <v>6362</v>
      </c>
      <c r="C46" s="378"/>
      <c r="D46" s="384"/>
      <c r="E46" s="141">
        <f t="shared" ref="E46:G46" si="20">E8</f>
        <v>1507710011.28</v>
      </c>
      <c r="F46" s="141">
        <f t="shared" si="20"/>
        <v>771474799.93999994</v>
      </c>
      <c r="G46" s="141">
        <f t="shared" si="20"/>
        <v>771474799.93999994</v>
      </c>
      <c r="H46" s="131"/>
      <c r="I46" s="131"/>
      <c r="J46" s="131"/>
      <c r="K46" s="131"/>
      <c r="L46" s="131"/>
      <c r="M46" s="131"/>
      <c r="N46" s="131"/>
      <c r="O46" s="131"/>
      <c r="P46" s="131"/>
      <c r="Q46" s="131"/>
      <c r="R46" s="131"/>
      <c r="S46" s="131"/>
      <c r="T46" s="131"/>
      <c r="U46" s="131"/>
      <c r="V46" s="131"/>
      <c r="W46" s="131"/>
      <c r="X46" s="131"/>
      <c r="Y46" s="131"/>
      <c r="Z46" s="131"/>
    </row>
    <row r="47" spans="1:26" ht="15.75" customHeight="1">
      <c r="A47" s="200"/>
      <c r="B47" s="385" t="s">
        <v>6363</v>
      </c>
      <c r="C47" s="386"/>
      <c r="D47" s="387"/>
      <c r="E47" s="357">
        <f t="shared" ref="E47:G47" si="21">E48-E49</f>
        <v>0</v>
      </c>
      <c r="F47" s="357">
        <f t="shared" si="21"/>
        <v>0</v>
      </c>
      <c r="G47" s="357">
        <f t="shared" si="21"/>
        <v>0</v>
      </c>
      <c r="H47" s="131"/>
      <c r="I47" s="131"/>
      <c r="J47" s="131"/>
      <c r="K47" s="131"/>
      <c r="L47" s="131"/>
      <c r="M47" s="131"/>
      <c r="N47" s="131"/>
      <c r="O47" s="131"/>
      <c r="P47" s="131"/>
      <c r="Q47" s="131"/>
      <c r="R47" s="131"/>
      <c r="S47" s="131"/>
      <c r="T47" s="131"/>
      <c r="U47" s="131"/>
      <c r="V47" s="131"/>
      <c r="W47" s="131"/>
      <c r="X47" s="131"/>
      <c r="Y47" s="131"/>
      <c r="Z47" s="131"/>
    </row>
    <row r="48" spans="1:26" ht="15.75" customHeight="1">
      <c r="A48" s="352"/>
      <c r="B48" s="353"/>
      <c r="C48" s="189" t="s">
        <v>6351</v>
      </c>
      <c r="D48" s="388"/>
      <c r="E48" s="389">
        <f t="shared" ref="E48:G48" si="22">E29</f>
        <v>0</v>
      </c>
      <c r="F48" s="389">
        <f t="shared" si="22"/>
        <v>0</v>
      </c>
      <c r="G48" s="389">
        <f t="shared" si="22"/>
        <v>0</v>
      </c>
      <c r="H48" s="131"/>
      <c r="I48" s="131"/>
      <c r="J48" s="131"/>
      <c r="K48" s="131"/>
      <c r="L48" s="131"/>
      <c r="M48" s="131"/>
      <c r="N48" s="131"/>
      <c r="O48" s="131"/>
      <c r="P48" s="131"/>
      <c r="Q48" s="131"/>
      <c r="R48" s="131"/>
      <c r="S48" s="131"/>
      <c r="T48" s="131"/>
      <c r="U48" s="131"/>
      <c r="V48" s="131"/>
      <c r="W48" s="131"/>
      <c r="X48" s="131"/>
      <c r="Y48" s="131"/>
      <c r="Z48" s="131"/>
    </row>
    <row r="49" spans="1:26" ht="15.75" customHeight="1">
      <c r="A49" s="352"/>
      <c r="B49" s="353"/>
      <c r="C49" s="189" t="s">
        <v>6354</v>
      </c>
      <c r="D49" s="388"/>
      <c r="E49" s="389">
        <f t="shared" ref="E49:G49" si="23">E32</f>
        <v>0</v>
      </c>
      <c r="F49" s="389">
        <f t="shared" si="23"/>
        <v>0</v>
      </c>
      <c r="G49" s="389">
        <f t="shared" si="23"/>
        <v>0</v>
      </c>
      <c r="H49" s="131"/>
      <c r="I49" s="131"/>
      <c r="J49" s="131"/>
      <c r="K49" s="131"/>
      <c r="L49" s="131"/>
      <c r="M49" s="131"/>
      <c r="N49" s="131"/>
      <c r="O49" s="131"/>
      <c r="P49" s="131"/>
      <c r="Q49" s="131"/>
      <c r="R49" s="131"/>
      <c r="S49" s="131"/>
      <c r="T49" s="131"/>
      <c r="U49" s="131"/>
      <c r="V49" s="131"/>
      <c r="W49" s="131"/>
      <c r="X49" s="131"/>
      <c r="Y49" s="131"/>
      <c r="Z49" s="131"/>
    </row>
    <row r="50" spans="1:26" ht="15.75" customHeight="1">
      <c r="A50" s="200"/>
      <c r="B50" s="390" t="s">
        <v>6364</v>
      </c>
      <c r="C50" s="391"/>
      <c r="D50" s="392"/>
      <c r="E50" s="357">
        <f t="shared" ref="E50:G50" si="24">E12</f>
        <v>0</v>
      </c>
      <c r="F50" s="357">
        <f t="shared" si="24"/>
        <v>0</v>
      </c>
      <c r="G50" s="357">
        <f t="shared" si="24"/>
        <v>0</v>
      </c>
      <c r="H50" s="131"/>
      <c r="I50" s="131"/>
      <c r="J50" s="131"/>
      <c r="K50" s="131"/>
      <c r="L50" s="131"/>
      <c r="M50" s="131"/>
      <c r="N50" s="131"/>
      <c r="O50" s="131"/>
      <c r="P50" s="131"/>
      <c r="Q50" s="131"/>
      <c r="R50" s="131"/>
      <c r="S50" s="131"/>
      <c r="T50" s="131"/>
      <c r="U50" s="131"/>
      <c r="V50" s="131"/>
      <c r="W50" s="131"/>
      <c r="X50" s="131"/>
      <c r="Y50" s="131"/>
      <c r="Z50" s="131"/>
    </row>
    <row r="51" spans="1:26" ht="15.75" customHeight="1">
      <c r="A51" s="200"/>
      <c r="B51" s="385" t="s">
        <v>6341</v>
      </c>
      <c r="C51" s="386"/>
      <c r="D51" s="387"/>
      <c r="E51" s="360"/>
      <c r="F51" s="383">
        <f t="shared" ref="F51:G51" si="25">F15</f>
        <v>0</v>
      </c>
      <c r="G51" s="383">
        <f t="shared" si="25"/>
        <v>0</v>
      </c>
      <c r="H51" s="131"/>
      <c r="I51" s="131"/>
      <c r="J51" s="131"/>
      <c r="K51" s="131"/>
      <c r="L51" s="131"/>
      <c r="M51" s="131"/>
      <c r="N51" s="131"/>
      <c r="O51" s="131"/>
      <c r="P51" s="131"/>
      <c r="Q51" s="131"/>
      <c r="R51" s="131"/>
      <c r="S51" s="131"/>
      <c r="T51" s="131"/>
      <c r="U51" s="131"/>
      <c r="V51" s="131"/>
      <c r="W51" s="131"/>
      <c r="X51" s="131"/>
      <c r="Y51" s="131"/>
      <c r="Z51" s="131"/>
    </row>
    <row r="52" spans="1:26" ht="15.75" customHeight="1">
      <c r="A52" s="200"/>
      <c r="B52" s="354" t="s">
        <v>6365</v>
      </c>
      <c r="C52" s="354"/>
      <c r="D52" s="393"/>
      <c r="E52" s="362">
        <f t="shared" ref="E52:G52" si="26">E46+E47-E50+E51</f>
        <v>1507710011.28</v>
      </c>
      <c r="F52" s="362">
        <f t="shared" si="26"/>
        <v>771474799.93999994</v>
      </c>
      <c r="G52" s="362">
        <f t="shared" si="26"/>
        <v>771474799.93999994</v>
      </c>
      <c r="H52" s="131"/>
      <c r="I52" s="131"/>
      <c r="J52" s="131"/>
      <c r="K52" s="131"/>
      <c r="L52" s="131"/>
      <c r="M52" s="131"/>
      <c r="N52" s="131"/>
      <c r="O52" s="131"/>
      <c r="P52" s="131"/>
      <c r="Q52" s="131"/>
      <c r="R52" s="131"/>
      <c r="S52" s="131"/>
      <c r="T52" s="131"/>
      <c r="U52" s="131"/>
      <c r="V52" s="131"/>
      <c r="W52" s="131"/>
      <c r="X52" s="131"/>
      <c r="Y52" s="131"/>
      <c r="Z52" s="131"/>
    </row>
    <row r="53" spans="1:26" ht="15.75" customHeight="1">
      <c r="A53" s="363"/>
      <c r="B53" s="394" t="s">
        <v>6366</v>
      </c>
      <c r="C53" s="395"/>
      <c r="D53" s="396"/>
      <c r="E53" s="367">
        <f t="shared" ref="E53:G53" si="27">E52-E47</f>
        <v>1507710011.28</v>
      </c>
      <c r="F53" s="367">
        <f t="shared" si="27"/>
        <v>771474799.93999994</v>
      </c>
      <c r="G53" s="367">
        <f t="shared" si="27"/>
        <v>771474799.93999994</v>
      </c>
      <c r="H53" s="131"/>
      <c r="I53" s="131"/>
      <c r="J53" s="131"/>
      <c r="K53" s="131"/>
      <c r="L53" s="131"/>
      <c r="M53" s="131"/>
      <c r="N53" s="131"/>
      <c r="O53" s="131"/>
      <c r="P53" s="131"/>
      <c r="Q53" s="131"/>
      <c r="R53" s="131"/>
      <c r="S53" s="131"/>
      <c r="T53" s="131"/>
      <c r="U53" s="131"/>
      <c r="V53" s="131"/>
      <c r="W53" s="131"/>
      <c r="X53" s="131"/>
      <c r="Y53" s="131"/>
      <c r="Z53" s="131"/>
    </row>
    <row r="54" spans="1:26" ht="15.75" customHeight="1">
      <c r="A54" s="225"/>
      <c r="B54" s="225"/>
      <c r="C54" s="131"/>
      <c r="D54" s="131"/>
      <c r="E54" s="146"/>
      <c r="F54" s="146"/>
      <c r="G54" s="146"/>
      <c r="H54" s="131"/>
      <c r="I54" s="131"/>
      <c r="J54" s="131"/>
      <c r="K54" s="131"/>
      <c r="L54" s="131"/>
      <c r="M54" s="131"/>
      <c r="N54" s="131"/>
      <c r="O54" s="131"/>
      <c r="P54" s="131"/>
      <c r="Q54" s="131"/>
      <c r="R54" s="131"/>
      <c r="S54" s="131"/>
      <c r="T54" s="131"/>
      <c r="U54" s="131"/>
      <c r="V54" s="131"/>
      <c r="W54" s="131"/>
      <c r="X54" s="131"/>
      <c r="Y54" s="131"/>
      <c r="Z54" s="131"/>
    </row>
    <row r="55" spans="1:26" ht="18.75" customHeight="1">
      <c r="A55" s="846" t="s">
        <v>4422</v>
      </c>
      <c r="B55" s="725"/>
      <c r="C55" s="725"/>
      <c r="D55" s="725"/>
      <c r="E55" s="725"/>
      <c r="F55" s="725"/>
      <c r="G55" s="725"/>
      <c r="H55" s="131"/>
      <c r="I55" s="131"/>
      <c r="J55" s="131"/>
      <c r="K55" s="131"/>
      <c r="L55" s="131"/>
      <c r="M55" s="131"/>
      <c r="N55" s="131"/>
      <c r="O55" s="131"/>
      <c r="P55" s="131"/>
      <c r="Q55" s="131"/>
      <c r="R55" s="131"/>
      <c r="S55" s="131"/>
      <c r="T55" s="131"/>
      <c r="U55" s="131"/>
      <c r="V55" s="131"/>
      <c r="W55" s="131"/>
      <c r="X55" s="131"/>
      <c r="Y55" s="131"/>
      <c r="Z55" s="131"/>
    </row>
    <row r="56" spans="1:26" ht="15.75" customHeight="1">
      <c r="A56" s="725"/>
      <c r="B56" s="725"/>
      <c r="C56" s="725"/>
      <c r="D56" s="725"/>
      <c r="E56" s="725"/>
      <c r="F56" s="725"/>
      <c r="G56" s="725"/>
      <c r="H56" s="131"/>
      <c r="I56" s="131"/>
      <c r="J56" s="131"/>
      <c r="K56" s="131"/>
      <c r="L56" s="131"/>
      <c r="M56" s="131"/>
      <c r="N56" s="131"/>
      <c r="O56" s="131"/>
      <c r="P56" s="131"/>
      <c r="Q56" s="131"/>
      <c r="R56" s="131"/>
      <c r="S56" s="131"/>
      <c r="T56" s="131"/>
      <c r="U56" s="131"/>
      <c r="V56" s="131"/>
      <c r="W56" s="131"/>
      <c r="X56" s="131"/>
      <c r="Y56" s="131"/>
      <c r="Z56" s="131"/>
    </row>
    <row r="57" spans="1:26" ht="15.75" customHeight="1">
      <c r="A57" s="397"/>
      <c r="B57" s="397"/>
      <c r="C57" s="397"/>
      <c r="D57" s="397"/>
      <c r="E57" s="397"/>
      <c r="F57" s="397"/>
      <c r="G57" s="397"/>
      <c r="H57" s="131"/>
      <c r="I57" s="131"/>
      <c r="J57" s="131"/>
      <c r="K57" s="131"/>
      <c r="L57" s="131"/>
      <c r="M57" s="131"/>
      <c r="N57" s="131"/>
      <c r="O57" s="131"/>
      <c r="P57" s="131"/>
      <c r="Q57" s="131"/>
      <c r="R57" s="131"/>
      <c r="S57" s="131"/>
      <c r="T57" s="131"/>
      <c r="U57" s="131"/>
      <c r="V57" s="131"/>
      <c r="W57" s="131"/>
      <c r="X57" s="131"/>
      <c r="Y57" s="131"/>
      <c r="Z57" s="131"/>
    </row>
    <row r="58" spans="1:26" ht="15.75" customHeight="1">
      <c r="A58" s="225"/>
      <c r="B58" s="225"/>
      <c r="C58" s="131"/>
      <c r="D58" s="131"/>
      <c r="E58" s="146"/>
      <c r="F58" s="146"/>
      <c r="G58" s="146"/>
      <c r="H58" s="131"/>
      <c r="I58" s="131"/>
      <c r="J58" s="131"/>
      <c r="K58" s="131"/>
      <c r="L58" s="131"/>
      <c r="M58" s="131"/>
      <c r="N58" s="131"/>
      <c r="O58" s="131"/>
      <c r="P58" s="131"/>
      <c r="Q58" s="131"/>
      <c r="R58" s="131"/>
      <c r="S58" s="131"/>
      <c r="T58" s="131"/>
      <c r="U58" s="131"/>
      <c r="V58" s="131"/>
      <c r="W58" s="131"/>
      <c r="X58" s="131"/>
      <c r="Y58" s="131"/>
      <c r="Z58" s="131"/>
    </row>
    <row r="59" spans="1:26" ht="15.75" customHeight="1">
      <c r="A59" s="225"/>
      <c r="B59" s="225"/>
      <c r="C59" s="834" t="str">
        <f>Validacion!A7</f>
        <v>Vero</v>
      </c>
      <c r="D59" s="131"/>
      <c r="E59" s="834" t="str">
        <f>Validacion!A9</f>
        <v>Irlanda</v>
      </c>
      <c r="F59" s="787"/>
      <c r="G59" s="787"/>
      <c r="H59" s="131"/>
      <c r="I59" s="131"/>
      <c r="J59" s="131"/>
      <c r="K59" s="131"/>
      <c r="L59" s="131"/>
      <c r="M59" s="131"/>
      <c r="N59" s="131"/>
      <c r="O59" s="131"/>
      <c r="P59" s="131"/>
      <c r="Q59" s="131"/>
      <c r="R59" s="131"/>
      <c r="S59" s="131"/>
      <c r="T59" s="131"/>
      <c r="U59" s="131"/>
      <c r="V59" s="131"/>
      <c r="W59" s="131"/>
      <c r="X59" s="131"/>
      <c r="Y59" s="131"/>
      <c r="Z59" s="131"/>
    </row>
    <row r="60" spans="1:26" ht="15.75" customHeight="1">
      <c r="A60" s="225"/>
      <c r="B60" s="225"/>
      <c r="C60" s="725"/>
      <c r="D60" s="131"/>
      <c r="E60" s="725"/>
      <c r="F60" s="725"/>
      <c r="G60" s="725"/>
      <c r="H60" s="131"/>
      <c r="I60" s="131"/>
      <c r="J60" s="131"/>
      <c r="K60" s="131"/>
      <c r="L60" s="131"/>
      <c r="M60" s="131"/>
      <c r="N60" s="131"/>
      <c r="O60" s="131"/>
      <c r="P60" s="131"/>
      <c r="Q60" s="131"/>
      <c r="R60" s="131"/>
      <c r="S60" s="131"/>
      <c r="T60" s="131"/>
      <c r="U60" s="131"/>
      <c r="V60" s="131"/>
      <c r="W60" s="131"/>
      <c r="X60" s="131"/>
      <c r="Y60" s="131"/>
      <c r="Z60" s="131"/>
    </row>
    <row r="61" spans="1:26" ht="15" customHeight="1">
      <c r="A61" s="225"/>
      <c r="B61" s="225"/>
      <c r="C61" s="773" t="s">
        <v>4443</v>
      </c>
      <c r="D61" s="131"/>
      <c r="E61" s="774" t="s">
        <v>6328</v>
      </c>
      <c r="F61" s="725"/>
      <c r="G61" s="725"/>
      <c r="H61" s="131"/>
      <c r="I61" s="131"/>
      <c r="J61" s="131"/>
      <c r="K61" s="131"/>
      <c r="L61" s="131"/>
      <c r="M61" s="131"/>
      <c r="N61" s="131"/>
      <c r="O61" s="131"/>
      <c r="P61" s="131"/>
      <c r="Q61" s="131"/>
      <c r="R61" s="131"/>
      <c r="S61" s="131"/>
      <c r="T61" s="131"/>
      <c r="U61" s="131"/>
      <c r="V61" s="131"/>
      <c r="W61" s="131"/>
      <c r="X61" s="131"/>
      <c r="Y61" s="131"/>
      <c r="Z61" s="131"/>
    </row>
    <row r="62" spans="1:26" ht="15.75" customHeight="1">
      <c r="A62" s="225"/>
      <c r="B62" s="225"/>
      <c r="C62" s="725"/>
      <c r="D62" s="146"/>
      <c r="E62" s="725"/>
      <c r="F62" s="725"/>
      <c r="G62" s="725"/>
      <c r="H62" s="146"/>
      <c r="I62" s="146"/>
      <c r="J62" s="131"/>
      <c r="K62" s="131"/>
      <c r="L62" s="131"/>
      <c r="M62" s="131"/>
      <c r="N62" s="131"/>
      <c r="O62" s="131"/>
      <c r="P62" s="131"/>
      <c r="Q62" s="131"/>
      <c r="R62" s="131"/>
      <c r="S62" s="131"/>
      <c r="T62" s="131"/>
      <c r="U62" s="131"/>
      <c r="V62" s="131"/>
      <c r="W62" s="131"/>
      <c r="X62" s="131"/>
      <c r="Y62" s="131"/>
      <c r="Z62" s="131"/>
    </row>
    <row r="63" spans="1:26" ht="15.75" customHeight="1">
      <c r="A63" s="225"/>
      <c r="B63" s="225"/>
      <c r="C63" s="131"/>
      <c r="D63" s="131"/>
      <c r="E63" s="146"/>
      <c r="F63" s="146"/>
      <c r="G63" s="146"/>
      <c r="H63" s="131"/>
      <c r="I63" s="131"/>
      <c r="J63" s="131"/>
      <c r="K63" s="131"/>
      <c r="L63" s="131"/>
      <c r="M63" s="131"/>
      <c r="N63" s="131"/>
      <c r="O63" s="131"/>
      <c r="P63" s="131"/>
      <c r="Q63" s="131"/>
      <c r="R63" s="131"/>
      <c r="S63" s="131"/>
      <c r="T63" s="131"/>
      <c r="U63" s="131"/>
      <c r="V63" s="131"/>
      <c r="W63" s="131"/>
      <c r="X63" s="131"/>
      <c r="Y63" s="131"/>
      <c r="Z63" s="131"/>
    </row>
    <row r="64" spans="1:26" ht="15.75" customHeight="1">
      <c r="A64" s="225"/>
      <c r="B64" s="225"/>
      <c r="C64" s="131"/>
      <c r="D64" s="131"/>
      <c r="E64" s="146"/>
      <c r="F64" s="146"/>
      <c r="G64" s="146"/>
      <c r="H64" s="131"/>
      <c r="I64" s="131"/>
      <c r="J64" s="131"/>
      <c r="K64" s="131"/>
      <c r="L64" s="131"/>
      <c r="M64" s="131"/>
      <c r="N64" s="131"/>
      <c r="O64" s="131"/>
      <c r="P64" s="131"/>
      <c r="Q64" s="131"/>
      <c r="R64" s="131"/>
      <c r="S64" s="131"/>
      <c r="T64" s="131"/>
      <c r="U64" s="131"/>
      <c r="V64" s="131"/>
      <c r="W64" s="131"/>
      <c r="X64" s="131"/>
      <c r="Y64" s="131"/>
      <c r="Z64" s="131"/>
    </row>
    <row r="65" spans="1:26" ht="15.75" customHeight="1">
      <c r="A65" s="225"/>
      <c r="B65" s="225"/>
      <c r="C65" s="131"/>
      <c r="D65" s="131"/>
      <c r="E65" s="146"/>
      <c r="F65" s="146"/>
      <c r="G65" s="146"/>
      <c r="H65" s="131"/>
      <c r="I65" s="131"/>
      <c r="J65" s="131"/>
      <c r="K65" s="131"/>
      <c r="L65" s="131"/>
      <c r="M65" s="131"/>
      <c r="N65" s="131"/>
      <c r="O65" s="131"/>
      <c r="P65" s="131"/>
      <c r="Q65" s="131"/>
      <c r="R65" s="131"/>
      <c r="S65" s="131"/>
      <c r="T65" s="131"/>
      <c r="U65" s="131"/>
      <c r="V65" s="131"/>
      <c r="W65" s="131"/>
      <c r="X65" s="131"/>
      <c r="Y65" s="131"/>
      <c r="Z65" s="131"/>
    </row>
    <row r="66" spans="1:26" ht="15.75" customHeight="1">
      <c r="A66" s="225"/>
      <c r="B66" s="225"/>
      <c r="C66" s="131"/>
      <c r="D66" s="131"/>
      <c r="E66" s="146"/>
      <c r="F66" s="146"/>
      <c r="G66" s="146"/>
      <c r="H66" s="131"/>
      <c r="I66" s="131"/>
      <c r="J66" s="131"/>
      <c r="K66" s="131"/>
      <c r="L66" s="131"/>
      <c r="M66" s="131"/>
      <c r="N66" s="131"/>
      <c r="O66" s="131"/>
      <c r="P66" s="131"/>
      <c r="Q66" s="131"/>
      <c r="R66" s="131"/>
      <c r="S66" s="131"/>
      <c r="T66" s="131"/>
      <c r="U66" s="131"/>
      <c r="V66" s="131"/>
      <c r="W66" s="131"/>
      <c r="X66" s="131"/>
      <c r="Y66" s="131"/>
      <c r="Z66" s="131"/>
    </row>
    <row r="67" spans="1:26" ht="15.75" customHeight="1">
      <c r="A67" s="225"/>
      <c r="B67" s="225"/>
      <c r="C67" s="131"/>
      <c r="D67" s="131"/>
      <c r="E67" s="146"/>
      <c r="F67" s="146"/>
      <c r="G67" s="146"/>
      <c r="H67" s="131"/>
      <c r="I67" s="131"/>
      <c r="J67" s="131"/>
      <c r="K67" s="131"/>
      <c r="L67" s="131"/>
      <c r="M67" s="131"/>
      <c r="N67" s="131"/>
      <c r="O67" s="131"/>
      <c r="P67" s="131"/>
      <c r="Q67" s="131"/>
      <c r="R67" s="131"/>
      <c r="S67" s="131"/>
      <c r="T67" s="131"/>
      <c r="U67" s="131"/>
      <c r="V67" s="131"/>
      <c r="W67" s="131"/>
      <c r="X67" s="131"/>
      <c r="Y67" s="131"/>
      <c r="Z67" s="131"/>
    </row>
    <row r="68" spans="1:26" ht="15.75" customHeight="1">
      <c r="A68" s="225"/>
      <c r="B68" s="225"/>
      <c r="C68" s="131"/>
      <c r="D68" s="131"/>
      <c r="E68" s="146"/>
      <c r="F68" s="146"/>
      <c r="G68" s="146"/>
      <c r="H68" s="131"/>
      <c r="I68" s="131"/>
      <c r="J68" s="131"/>
      <c r="K68" s="131"/>
      <c r="L68" s="131"/>
      <c r="M68" s="131"/>
      <c r="N68" s="131"/>
      <c r="O68" s="131"/>
      <c r="P68" s="131"/>
      <c r="Q68" s="131"/>
      <c r="R68" s="131"/>
      <c r="S68" s="131"/>
      <c r="T68" s="131"/>
      <c r="U68" s="131"/>
      <c r="V68" s="131"/>
      <c r="W68" s="131"/>
      <c r="X68" s="131"/>
      <c r="Y68" s="131"/>
      <c r="Z68" s="131"/>
    </row>
    <row r="69" spans="1:26" ht="15.75" customHeight="1">
      <c r="A69" s="225"/>
      <c r="B69" s="225"/>
      <c r="C69" s="131"/>
      <c r="D69" s="131"/>
      <c r="E69" s="146"/>
      <c r="F69" s="146"/>
      <c r="G69" s="146"/>
      <c r="H69" s="131"/>
      <c r="I69" s="131"/>
      <c r="J69" s="131"/>
      <c r="K69" s="131"/>
      <c r="L69" s="131"/>
      <c r="M69" s="131"/>
      <c r="N69" s="131"/>
      <c r="O69" s="131"/>
      <c r="P69" s="131"/>
      <c r="Q69" s="131"/>
      <c r="R69" s="131"/>
      <c r="S69" s="131"/>
      <c r="T69" s="131"/>
      <c r="U69" s="131"/>
      <c r="V69" s="131"/>
      <c r="W69" s="131"/>
      <c r="X69" s="131"/>
      <c r="Y69" s="131"/>
      <c r="Z69" s="131"/>
    </row>
    <row r="70" spans="1:26" ht="15.75" customHeight="1">
      <c r="A70" s="225"/>
      <c r="B70" s="225"/>
      <c r="C70" s="131"/>
      <c r="D70" s="131"/>
      <c r="E70" s="146"/>
      <c r="F70" s="146"/>
      <c r="G70" s="146"/>
      <c r="H70" s="131"/>
      <c r="I70" s="131"/>
      <c r="J70" s="131"/>
      <c r="K70" s="131"/>
      <c r="L70" s="131"/>
      <c r="M70" s="131"/>
      <c r="N70" s="131"/>
      <c r="O70" s="131"/>
      <c r="P70" s="131"/>
      <c r="Q70" s="131"/>
      <c r="R70" s="131"/>
      <c r="S70" s="131"/>
      <c r="T70" s="131"/>
      <c r="U70" s="131"/>
      <c r="V70" s="131"/>
      <c r="W70" s="131"/>
      <c r="X70" s="131"/>
      <c r="Y70" s="131"/>
      <c r="Z70" s="131"/>
    </row>
    <row r="71" spans="1:26" ht="15.75" customHeight="1">
      <c r="A71" s="225"/>
      <c r="B71" s="225"/>
      <c r="C71" s="131"/>
      <c r="D71" s="131"/>
      <c r="E71" s="146"/>
      <c r="F71" s="146"/>
      <c r="G71" s="146"/>
      <c r="H71" s="131"/>
      <c r="I71" s="131"/>
      <c r="J71" s="131"/>
      <c r="K71" s="131"/>
      <c r="L71" s="131"/>
      <c r="M71" s="131"/>
      <c r="N71" s="131"/>
      <c r="O71" s="131"/>
      <c r="P71" s="131"/>
      <c r="Q71" s="131"/>
      <c r="R71" s="131"/>
      <c r="S71" s="131"/>
      <c r="T71" s="131"/>
      <c r="U71" s="131"/>
      <c r="V71" s="131"/>
      <c r="W71" s="131"/>
      <c r="X71" s="131"/>
      <c r="Y71" s="131"/>
      <c r="Z71" s="131"/>
    </row>
    <row r="72" spans="1:26" ht="15.75" customHeight="1">
      <c r="A72" s="225"/>
      <c r="B72" s="225"/>
      <c r="C72" s="131"/>
      <c r="D72" s="131"/>
      <c r="E72" s="146"/>
      <c r="F72" s="146"/>
      <c r="G72" s="146"/>
      <c r="H72" s="131"/>
      <c r="I72" s="131"/>
      <c r="J72" s="131"/>
      <c r="K72" s="131"/>
      <c r="L72" s="131"/>
      <c r="M72" s="131"/>
      <c r="N72" s="131"/>
      <c r="O72" s="131"/>
      <c r="P72" s="131"/>
      <c r="Q72" s="131"/>
      <c r="R72" s="131"/>
      <c r="S72" s="131"/>
      <c r="T72" s="131"/>
      <c r="U72" s="131"/>
      <c r="V72" s="131"/>
      <c r="W72" s="131"/>
      <c r="X72" s="131"/>
      <c r="Y72" s="131"/>
      <c r="Z72" s="131"/>
    </row>
    <row r="73" spans="1:26" ht="15.75" customHeight="1">
      <c r="A73" s="225"/>
      <c r="B73" s="225"/>
      <c r="C73" s="131"/>
      <c r="D73" s="131"/>
      <c r="E73" s="146"/>
      <c r="F73" s="146"/>
      <c r="G73" s="146"/>
      <c r="H73" s="131"/>
      <c r="I73" s="131"/>
      <c r="J73" s="131"/>
      <c r="K73" s="131"/>
      <c r="L73" s="131"/>
      <c r="M73" s="131"/>
      <c r="N73" s="131"/>
      <c r="O73" s="131"/>
      <c r="P73" s="131"/>
      <c r="Q73" s="131"/>
      <c r="R73" s="131"/>
      <c r="S73" s="131"/>
      <c r="T73" s="131"/>
      <c r="U73" s="131"/>
      <c r="V73" s="131"/>
      <c r="W73" s="131"/>
      <c r="X73" s="131"/>
      <c r="Y73" s="131"/>
      <c r="Z73" s="131"/>
    </row>
    <row r="74" spans="1:26" ht="15.75" customHeight="1">
      <c r="A74" s="225"/>
      <c r="B74" s="225"/>
      <c r="C74" s="131"/>
      <c r="D74" s="131"/>
      <c r="E74" s="146"/>
      <c r="F74" s="146"/>
      <c r="G74" s="146"/>
      <c r="H74" s="131"/>
      <c r="I74" s="131"/>
      <c r="J74" s="131"/>
      <c r="K74" s="131"/>
      <c r="L74" s="131"/>
      <c r="M74" s="131"/>
      <c r="N74" s="131"/>
      <c r="O74" s="131"/>
      <c r="P74" s="131"/>
      <c r="Q74" s="131"/>
      <c r="R74" s="131"/>
      <c r="S74" s="131"/>
      <c r="T74" s="131"/>
      <c r="U74" s="131"/>
      <c r="V74" s="131"/>
      <c r="W74" s="131"/>
      <c r="X74" s="131"/>
      <c r="Y74" s="131"/>
      <c r="Z74" s="131"/>
    </row>
    <row r="75" spans="1:26" ht="15.75" customHeight="1">
      <c r="A75" s="225"/>
      <c r="B75" s="225"/>
      <c r="C75" s="131"/>
      <c r="D75" s="131"/>
      <c r="E75" s="146"/>
      <c r="F75" s="146"/>
      <c r="G75" s="146"/>
      <c r="H75" s="131"/>
      <c r="I75" s="131"/>
      <c r="J75" s="131"/>
      <c r="K75" s="131"/>
      <c r="L75" s="131"/>
      <c r="M75" s="131"/>
      <c r="N75" s="131"/>
      <c r="O75" s="131"/>
      <c r="P75" s="131"/>
      <c r="Q75" s="131"/>
      <c r="R75" s="131"/>
      <c r="S75" s="131"/>
      <c r="T75" s="131"/>
      <c r="U75" s="131"/>
      <c r="V75" s="131"/>
      <c r="W75" s="131"/>
      <c r="X75" s="131"/>
      <c r="Y75" s="131"/>
      <c r="Z75" s="131"/>
    </row>
    <row r="76" spans="1:26" ht="15.75" customHeight="1">
      <c r="A76" s="225"/>
      <c r="B76" s="225"/>
      <c r="C76" s="131"/>
      <c r="D76" s="131"/>
      <c r="E76" s="146"/>
      <c r="F76" s="146"/>
      <c r="G76" s="146"/>
      <c r="H76" s="131"/>
      <c r="I76" s="131"/>
      <c r="J76" s="131"/>
      <c r="K76" s="131"/>
      <c r="L76" s="131"/>
      <c r="M76" s="131"/>
      <c r="N76" s="131"/>
      <c r="O76" s="131"/>
      <c r="P76" s="131"/>
      <c r="Q76" s="131"/>
      <c r="R76" s="131"/>
      <c r="S76" s="131"/>
      <c r="T76" s="131"/>
      <c r="U76" s="131"/>
      <c r="V76" s="131"/>
      <c r="W76" s="131"/>
      <c r="X76" s="131"/>
      <c r="Y76" s="131"/>
      <c r="Z76" s="131"/>
    </row>
    <row r="77" spans="1:26" ht="15.75" customHeight="1">
      <c r="A77" s="225"/>
      <c r="B77" s="225"/>
      <c r="C77" s="131"/>
      <c r="D77" s="131"/>
      <c r="E77" s="146"/>
      <c r="F77" s="146"/>
      <c r="G77" s="146"/>
      <c r="H77" s="131"/>
      <c r="I77" s="131"/>
      <c r="J77" s="131"/>
      <c r="K77" s="131"/>
      <c r="L77" s="131"/>
      <c r="M77" s="131"/>
      <c r="N77" s="131"/>
      <c r="O77" s="131"/>
      <c r="P77" s="131"/>
      <c r="Q77" s="131"/>
      <c r="R77" s="131"/>
      <c r="S77" s="131"/>
      <c r="T77" s="131"/>
      <c r="U77" s="131"/>
      <c r="V77" s="131"/>
      <c r="W77" s="131"/>
      <c r="X77" s="131"/>
      <c r="Y77" s="131"/>
      <c r="Z77" s="131"/>
    </row>
    <row r="78" spans="1:26" ht="15.75" customHeight="1">
      <c r="A78" s="225"/>
      <c r="B78" s="225"/>
      <c r="C78" s="131"/>
      <c r="D78" s="131"/>
      <c r="E78" s="146"/>
      <c r="F78" s="146"/>
      <c r="G78" s="146"/>
      <c r="H78" s="131"/>
      <c r="I78" s="131"/>
      <c r="J78" s="131"/>
      <c r="K78" s="131"/>
      <c r="L78" s="131"/>
      <c r="M78" s="131"/>
      <c r="N78" s="131"/>
      <c r="O78" s="131"/>
      <c r="P78" s="131"/>
      <c r="Q78" s="131"/>
      <c r="R78" s="131"/>
      <c r="S78" s="131"/>
      <c r="T78" s="131"/>
      <c r="U78" s="131"/>
      <c r="V78" s="131"/>
      <c r="W78" s="131"/>
      <c r="X78" s="131"/>
      <c r="Y78" s="131"/>
      <c r="Z78" s="131"/>
    </row>
    <row r="79" spans="1:26" ht="15.75" customHeight="1">
      <c r="A79" s="225"/>
      <c r="B79" s="225"/>
      <c r="C79" s="131"/>
      <c r="D79" s="131"/>
      <c r="E79" s="146"/>
      <c r="F79" s="146"/>
      <c r="G79" s="146"/>
      <c r="H79" s="131"/>
      <c r="I79" s="131"/>
      <c r="J79" s="131"/>
      <c r="K79" s="131"/>
      <c r="L79" s="131"/>
      <c r="M79" s="131"/>
      <c r="N79" s="131"/>
      <c r="O79" s="131"/>
      <c r="P79" s="131"/>
      <c r="Q79" s="131"/>
      <c r="R79" s="131"/>
      <c r="S79" s="131"/>
      <c r="T79" s="131"/>
      <c r="U79" s="131"/>
      <c r="V79" s="131"/>
      <c r="W79" s="131"/>
      <c r="X79" s="131"/>
      <c r="Y79" s="131"/>
      <c r="Z79" s="131"/>
    </row>
    <row r="80" spans="1:26" ht="15.75" customHeight="1">
      <c r="A80" s="225"/>
      <c r="B80" s="225"/>
      <c r="C80" s="131"/>
      <c r="D80" s="131"/>
      <c r="E80" s="146"/>
      <c r="F80" s="146"/>
      <c r="G80" s="146"/>
      <c r="H80" s="131"/>
      <c r="I80" s="131"/>
      <c r="J80" s="131"/>
      <c r="K80" s="131"/>
      <c r="L80" s="131"/>
      <c r="M80" s="131"/>
      <c r="N80" s="131"/>
      <c r="O80" s="131"/>
      <c r="P80" s="131"/>
      <c r="Q80" s="131"/>
      <c r="R80" s="131"/>
      <c r="S80" s="131"/>
      <c r="T80" s="131"/>
      <c r="U80" s="131"/>
      <c r="V80" s="131"/>
      <c r="W80" s="131"/>
      <c r="X80" s="131"/>
      <c r="Y80" s="131"/>
      <c r="Z80" s="131"/>
    </row>
    <row r="81" spans="1:26" ht="15.75" customHeight="1">
      <c r="A81" s="225"/>
      <c r="B81" s="225"/>
      <c r="C81" s="131"/>
      <c r="D81" s="131"/>
      <c r="E81" s="146"/>
      <c r="F81" s="146"/>
      <c r="G81" s="146"/>
      <c r="H81" s="131"/>
      <c r="I81" s="131"/>
      <c r="J81" s="131"/>
      <c r="K81" s="131"/>
      <c r="L81" s="131"/>
      <c r="M81" s="131"/>
      <c r="N81" s="131"/>
      <c r="O81" s="131"/>
      <c r="P81" s="131"/>
      <c r="Q81" s="131"/>
      <c r="R81" s="131"/>
      <c r="S81" s="131"/>
      <c r="T81" s="131"/>
      <c r="U81" s="131"/>
      <c r="V81" s="131"/>
      <c r="W81" s="131"/>
      <c r="X81" s="131"/>
      <c r="Y81" s="131"/>
      <c r="Z81" s="131"/>
    </row>
    <row r="82" spans="1:26" ht="15.75" customHeight="1">
      <c r="A82" s="225"/>
      <c r="B82" s="225"/>
      <c r="C82" s="131"/>
      <c r="D82" s="131"/>
      <c r="E82" s="146"/>
      <c r="F82" s="146"/>
      <c r="G82" s="146"/>
      <c r="H82" s="131"/>
      <c r="I82" s="131"/>
      <c r="J82" s="131"/>
      <c r="K82" s="131"/>
      <c r="L82" s="131"/>
      <c r="M82" s="131"/>
      <c r="N82" s="131"/>
      <c r="O82" s="131"/>
      <c r="P82" s="131"/>
      <c r="Q82" s="131"/>
      <c r="R82" s="131"/>
      <c r="S82" s="131"/>
      <c r="T82" s="131"/>
      <c r="U82" s="131"/>
      <c r="V82" s="131"/>
      <c r="W82" s="131"/>
      <c r="X82" s="131"/>
      <c r="Y82" s="131"/>
      <c r="Z82" s="131"/>
    </row>
    <row r="83" spans="1:26" ht="15.75" customHeight="1">
      <c r="A83" s="225"/>
      <c r="B83" s="225"/>
      <c r="C83" s="131"/>
      <c r="D83" s="131"/>
      <c r="E83" s="146"/>
      <c r="F83" s="146"/>
      <c r="G83" s="146"/>
      <c r="H83" s="131"/>
      <c r="I83" s="131"/>
      <c r="J83" s="131"/>
      <c r="K83" s="131"/>
      <c r="L83" s="131"/>
      <c r="M83" s="131"/>
      <c r="N83" s="131"/>
      <c r="O83" s="131"/>
      <c r="P83" s="131"/>
      <c r="Q83" s="131"/>
      <c r="R83" s="131"/>
      <c r="S83" s="131"/>
      <c r="T83" s="131"/>
      <c r="U83" s="131"/>
      <c r="V83" s="131"/>
      <c r="W83" s="131"/>
      <c r="X83" s="131"/>
      <c r="Y83" s="131"/>
      <c r="Z83" s="131"/>
    </row>
    <row r="84" spans="1:26" ht="15.75" customHeight="1">
      <c r="A84" s="225"/>
      <c r="B84" s="225"/>
      <c r="C84" s="131"/>
      <c r="D84" s="131"/>
      <c r="E84" s="146"/>
      <c r="F84" s="146"/>
      <c r="G84" s="146"/>
      <c r="H84" s="131"/>
      <c r="I84" s="131"/>
      <c r="J84" s="131"/>
      <c r="K84" s="131"/>
      <c r="L84" s="131"/>
      <c r="M84" s="131"/>
      <c r="N84" s="131"/>
      <c r="O84" s="131"/>
      <c r="P84" s="131"/>
      <c r="Q84" s="131"/>
      <c r="R84" s="131"/>
      <c r="S84" s="131"/>
      <c r="T84" s="131"/>
      <c r="U84" s="131"/>
      <c r="V84" s="131"/>
      <c r="W84" s="131"/>
      <c r="X84" s="131"/>
      <c r="Y84" s="131"/>
      <c r="Z84" s="131"/>
    </row>
    <row r="85" spans="1:26" ht="15.75" customHeight="1">
      <c r="A85" s="225"/>
      <c r="B85" s="225"/>
      <c r="C85" s="131"/>
      <c r="D85" s="131"/>
      <c r="E85" s="146"/>
      <c r="F85" s="146"/>
      <c r="G85" s="146"/>
      <c r="H85" s="131"/>
      <c r="I85" s="131"/>
      <c r="J85" s="131"/>
      <c r="K85" s="131"/>
      <c r="L85" s="131"/>
      <c r="M85" s="131"/>
      <c r="N85" s="131"/>
      <c r="O85" s="131"/>
      <c r="P85" s="131"/>
      <c r="Q85" s="131"/>
      <c r="R85" s="131"/>
      <c r="S85" s="131"/>
      <c r="T85" s="131"/>
      <c r="U85" s="131"/>
      <c r="V85" s="131"/>
      <c r="W85" s="131"/>
      <c r="X85" s="131"/>
      <c r="Y85" s="131"/>
      <c r="Z85" s="131"/>
    </row>
    <row r="86" spans="1:26" ht="15.75" customHeight="1">
      <c r="A86" s="225"/>
      <c r="B86" s="225"/>
      <c r="C86" s="131"/>
      <c r="D86" s="131"/>
      <c r="E86" s="146"/>
      <c r="F86" s="146"/>
      <c r="G86" s="146"/>
      <c r="H86" s="131"/>
      <c r="I86" s="131"/>
      <c r="J86" s="131"/>
      <c r="K86" s="131"/>
      <c r="L86" s="131"/>
      <c r="M86" s="131"/>
      <c r="N86" s="131"/>
      <c r="O86" s="131"/>
      <c r="P86" s="131"/>
      <c r="Q86" s="131"/>
      <c r="R86" s="131"/>
      <c r="S86" s="131"/>
      <c r="T86" s="131"/>
      <c r="U86" s="131"/>
      <c r="V86" s="131"/>
      <c r="W86" s="131"/>
      <c r="X86" s="131"/>
      <c r="Y86" s="131"/>
      <c r="Z86" s="131"/>
    </row>
    <row r="87" spans="1:26" ht="15.75" customHeight="1">
      <c r="A87" s="225"/>
      <c r="B87" s="225"/>
      <c r="C87" s="131"/>
      <c r="D87" s="131"/>
      <c r="E87" s="146"/>
      <c r="F87" s="146"/>
      <c r="G87" s="146"/>
      <c r="H87" s="131"/>
      <c r="I87" s="131"/>
      <c r="J87" s="131"/>
      <c r="K87" s="131"/>
      <c r="L87" s="131"/>
      <c r="M87" s="131"/>
      <c r="N87" s="131"/>
      <c r="O87" s="131"/>
      <c r="P87" s="131"/>
      <c r="Q87" s="131"/>
      <c r="R87" s="131"/>
      <c r="S87" s="131"/>
      <c r="T87" s="131"/>
      <c r="U87" s="131"/>
      <c r="V87" s="131"/>
      <c r="W87" s="131"/>
      <c r="X87" s="131"/>
      <c r="Y87" s="131"/>
      <c r="Z87" s="131"/>
    </row>
    <row r="88" spans="1:26" ht="15.75" customHeight="1">
      <c r="A88" s="225"/>
      <c r="B88" s="225"/>
      <c r="C88" s="131"/>
      <c r="D88" s="131"/>
      <c r="E88" s="146"/>
      <c r="F88" s="146"/>
      <c r="G88" s="146"/>
      <c r="H88" s="131"/>
      <c r="I88" s="131"/>
      <c r="J88" s="131"/>
      <c r="K88" s="131"/>
      <c r="L88" s="131"/>
      <c r="M88" s="131"/>
      <c r="N88" s="131"/>
      <c r="O88" s="131"/>
      <c r="P88" s="131"/>
      <c r="Q88" s="131"/>
      <c r="R88" s="131"/>
      <c r="S88" s="131"/>
      <c r="T88" s="131"/>
      <c r="U88" s="131"/>
      <c r="V88" s="131"/>
      <c r="W88" s="131"/>
      <c r="X88" s="131"/>
      <c r="Y88" s="131"/>
      <c r="Z88" s="131"/>
    </row>
    <row r="89" spans="1:26" ht="15.75" customHeight="1">
      <c r="A89" s="225"/>
      <c r="B89" s="225"/>
      <c r="C89" s="131"/>
      <c r="D89" s="131"/>
      <c r="E89" s="146"/>
      <c r="F89" s="146"/>
      <c r="G89" s="146"/>
      <c r="H89" s="131"/>
      <c r="I89" s="131"/>
      <c r="J89" s="131"/>
      <c r="K89" s="131"/>
      <c r="L89" s="131"/>
      <c r="M89" s="131"/>
      <c r="N89" s="131"/>
      <c r="O89" s="131"/>
      <c r="P89" s="131"/>
      <c r="Q89" s="131"/>
      <c r="R89" s="131"/>
      <c r="S89" s="131"/>
      <c r="T89" s="131"/>
      <c r="U89" s="131"/>
      <c r="V89" s="131"/>
      <c r="W89" s="131"/>
      <c r="X89" s="131"/>
      <c r="Y89" s="131"/>
      <c r="Z89" s="131"/>
    </row>
    <row r="90" spans="1:26" ht="15.75" customHeight="1">
      <c r="A90" s="225"/>
      <c r="B90" s="225"/>
      <c r="C90" s="131"/>
      <c r="D90" s="131"/>
      <c r="E90" s="146"/>
      <c r="F90" s="146"/>
      <c r="G90" s="146"/>
      <c r="H90" s="131"/>
      <c r="I90" s="131"/>
      <c r="J90" s="131"/>
      <c r="K90" s="131"/>
      <c r="L90" s="131"/>
      <c r="M90" s="131"/>
      <c r="N90" s="131"/>
      <c r="O90" s="131"/>
      <c r="P90" s="131"/>
      <c r="Q90" s="131"/>
      <c r="R90" s="131"/>
      <c r="S90" s="131"/>
      <c r="T90" s="131"/>
      <c r="U90" s="131"/>
      <c r="V90" s="131"/>
      <c r="W90" s="131"/>
      <c r="X90" s="131"/>
      <c r="Y90" s="131"/>
      <c r="Z90" s="131"/>
    </row>
    <row r="91" spans="1:26" ht="15.75" customHeight="1">
      <c r="A91" s="225"/>
      <c r="B91" s="225"/>
      <c r="C91" s="131"/>
      <c r="D91" s="131"/>
      <c r="E91" s="146"/>
      <c r="F91" s="146"/>
      <c r="G91" s="146"/>
      <c r="H91" s="131"/>
      <c r="I91" s="131"/>
      <c r="J91" s="131"/>
      <c r="K91" s="131"/>
      <c r="L91" s="131"/>
      <c r="M91" s="131"/>
      <c r="N91" s="131"/>
      <c r="O91" s="131"/>
      <c r="P91" s="131"/>
      <c r="Q91" s="131"/>
      <c r="R91" s="131"/>
      <c r="S91" s="131"/>
      <c r="T91" s="131"/>
      <c r="U91" s="131"/>
      <c r="V91" s="131"/>
      <c r="W91" s="131"/>
      <c r="X91" s="131"/>
      <c r="Y91" s="131"/>
      <c r="Z91" s="131"/>
    </row>
    <row r="92" spans="1:26" ht="15.75" customHeight="1">
      <c r="A92" s="225"/>
      <c r="B92" s="225"/>
      <c r="C92" s="131"/>
      <c r="D92" s="131"/>
      <c r="E92" s="146"/>
      <c r="F92" s="146"/>
      <c r="G92" s="146"/>
      <c r="H92" s="131"/>
      <c r="I92" s="131"/>
      <c r="J92" s="131"/>
      <c r="K92" s="131"/>
      <c r="L92" s="131"/>
      <c r="M92" s="131"/>
      <c r="N92" s="131"/>
      <c r="O92" s="131"/>
      <c r="P92" s="131"/>
      <c r="Q92" s="131"/>
      <c r="R92" s="131"/>
      <c r="S92" s="131"/>
      <c r="T92" s="131"/>
      <c r="U92" s="131"/>
      <c r="V92" s="131"/>
      <c r="W92" s="131"/>
      <c r="X92" s="131"/>
      <c r="Y92" s="131"/>
      <c r="Z92" s="131"/>
    </row>
    <row r="93" spans="1:26" ht="15.75" customHeight="1">
      <c r="A93" s="225"/>
      <c r="B93" s="225"/>
      <c r="C93" s="131"/>
      <c r="D93" s="131"/>
      <c r="E93" s="146"/>
      <c r="F93" s="146"/>
      <c r="G93" s="146"/>
      <c r="H93" s="131"/>
      <c r="I93" s="131"/>
      <c r="J93" s="131"/>
      <c r="K93" s="131"/>
      <c r="L93" s="131"/>
      <c r="M93" s="131"/>
      <c r="N93" s="131"/>
      <c r="O93" s="131"/>
      <c r="P93" s="131"/>
      <c r="Q93" s="131"/>
      <c r="R93" s="131"/>
      <c r="S93" s="131"/>
      <c r="T93" s="131"/>
      <c r="U93" s="131"/>
      <c r="V93" s="131"/>
      <c r="W93" s="131"/>
      <c r="X93" s="131"/>
      <c r="Y93" s="131"/>
      <c r="Z93" s="131"/>
    </row>
    <row r="94" spans="1:26" ht="15.75" customHeight="1">
      <c r="A94" s="225"/>
      <c r="B94" s="225"/>
      <c r="C94" s="131"/>
      <c r="D94" s="131"/>
      <c r="E94" s="146"/>
      <c r="F94" s="146"/>
      <c r="G94" s="146"/>
      <c r="H94" s="131"/>
      <c r="I94" s="131"/>
      <c r="J94" s="131"/>
      <c r="K94" s="131"/>
      <c r="L94" s="131"/>
      <c r="M94" s="131"/>
      <c r="N94" s="131"/>
      <c r="O94" s="131"/>
      <c r="P94" s="131"/>
      <c r="Q94" s="131"/>
      <c r="R94" s="131"/>
      <c r="S94" s="131"/>
      <c r="T94" s="131"/>
      <c r="U94" s="131"/>
      <c r="V94" s="131"/>
      <c r="W94" s="131"/>
      <c r="X94" s="131"/>
      <c r="Y94" s="131"/>
      <c r="Z94" s="131"/>
    </row>
    <row r="95" spans="1:26" ht="15.75" customHeight="1">
      <c r="A95" s="225"/>
      <c r="B95" s="225"/>
      <c r="C95" s="131"/>
      <c r="D95" s="131"/>
      <c r="E95" s="146"/>
      <c r="F95" s="146"/>
      <c r="G95" s="146"/>
      <c r="H95" s="131"/>
      <c r="I95" s="131"/>
      <c r="J95" s="131"/>
      <c r="K95" s="131"/>
      <c r="L95" s="131"/>
      <c r="M95" s="131"/>
      <c r="N95" s="131"/>
      <c r="O95" s="131"/>
      <c r="P95" s="131"/>
      <c r="Q95" s="131"/>
      <c r="R95" s="131"/>
      <c r="S95" s="131"/>
      <c r="T95" s="131"/>
      <c r="U95" s="131"/>
      <c r="V95" s="131"/>
      <c r="W95" s="131"/>
      <c r="X95" s="131"/>
      <c r="Y95" s="131"/>
      <c r="Z95" s="131"/>
    </row>
    <row r="96" spans="1:26" ht="15.75" customHeight="1">
      <c r="A96" s="225"/>
      <c r="B96" s="225"/>
      <c r="C96" s="131"/>
      <c r="D96" s="131"/>
      <c r="E96" s="146"/>
      <c r="F96" s="146"/>
      <c r="G96" s="146"/>
      <c r="H96" s="131"/>
      <c r="I96" s="131"/>
      <c r="J96" s="131"/>
      <c r="K96" s="131"/>
      <c r="L96" s="131"/>
      <c r="M96" s="131"/>
      <c r="N96" s="131"/>
      <c r="O96" s="131"/>
      <c r="P96" s="131"/>
      <c r="Q96" s="131"/>
      <c r="R96" s="131"/>
      <c r="S96" s="131"/>
      <c r="T96" s="131"/>
      <c r="U96" s="131"/>
      <c r="V96" s="131"/>
      <c r="W96" s="131"/>
      <c r="X96" s="131"/>
      <c r="Y96" s="131"/>
      <c r="Z96" s="131"/>
    </row>
    <row r="97" spans="1:26" ht="15.75" customHeight="1">
      <c r="A97" s="225"/>
      <c r="B97" s="225"/>
      <c r="C97" s="131"/>
      <c r="D97" s="131"/>
      <c r="E97" s="146"/>
      <c r="F97" s="146"/>
      <c r="G97" s="146"/>
      <c r="H97" s="131"/>
      <c r="I97" s="131"/>
      <c r="J97" s="131"/>
      <c r="K97" s="131"/>
      <c r="L97" s="131"/>
      <c r="M97" s="131"/>
      <c r="N97" s="131"/>
      <c r="O97" s="131"/>
      <c r="P97" s="131"/>
      <c r="Q97" s="131"/>
      <c r="R97" s="131"/>
      <c r="S97" s="131"/>
      <c r="T97" s="131"/>
      <c r="U97" s="131"/>
      <c r="V97" s="131"/>
      <c r="W97" s="131"/>
      <c r="X97" s="131"/>
      <c r="Y97" s="131"/>
      <c r="Z97" s="131"/>
    </row>
    <row r="98" spans="1:26" ht="15.75" customHeight="1">
      <c r="A98" s="225"/>
      <c r="B98" s="225"/>
      <c r="C98" s="131"/>
      <c r="D98" s="131"/>
      <c r="E98" s="146"/>
      <c r="F98" s="146"/>
      <c r="G98" s="146"/>
      <c r="H98" s="131"/>
      <c r="I98" s="131"/>
      <c r="J98" s="131"/>
      <c r="K98" s="131"/>
      <c r="L98" s="131"/>
      <c r="M98" s="131"/>
      <c r="N98" s="131"/>
      <c r="O98" s="131"/>
      <c r="P98" s="131"/>
      <c r="Q98" s="131"/>
      <c r="R98" s="131"/>
      <c r="S98" s="131"/>
      <c r="T98" s="131"/>
      <c r="U98" s="131"/>
      <c r="V98" s="131"/>
      <c r="W98" s="131"/>
      <c r="X98" s="131"/>
      <c r="Y98" s="131"/>
      <c r="Z98" s="131"/>
    </row>
    <row r="99" spans="1:26" ht="15.75" customHeight="1">
      <c r="A99" s="225"/>
      <c r="B99" s="225"/>
      <c r="C99" s="131"/>
      <c r="D99" s="131"/>
      <c r="E99" s="146"/>
      <c r="F99" s="146"/>
      <c r="G99" s="146"/>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225"/>
      <c r="B100" s="225"/>
      <c r="C100" s="131"/>
      <c r="D100" s="131"/>
      <c r="E100" s="146"/>
      <c r="F100" s="146"/>
      <c r="G100" s="146"/>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225"/>
      <c r="B101" s="225"/>
      <c r="C101" s="131"/>
      <c r="D101" s="131"/>
      <c r="E101" s="146"/>
      <c r="F101" s="146"/>
      <c r="G101" s="146"/>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225"/>
      <c r="B102" s="225"/>
      <c r="C102" s="131"/>
      <c r="D102" s="131"/>
      <c r="E102" s="146"/>
      <c r="F102" s="146"/>
      <c r="G102" s="146"/>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225"/>
      <c r="B103" s="225"/>
      <c r="C103" s="131"/>
      <c r="D103" s="131"/>
      <c r="E103" s="146"/>
      <c r="F103" s="146"/>
      <c r="G103" s="146"/>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225"/>
      <c r="B104" s="225"/>
      <c r="C104" s="131"/>
      <c r="D104" s="131"/>
      <c r="E104" s="146"/>
      <c r="F104" s="146"/>
      <c r="G104" s="146"/>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225"/>
      <c r="B105" s="225"/>
      <c r="C105" s="131"/>
      <c r="D105" s="131"/>
      <c r="E105" s="146"/>
      <c r="F105" s="146"/>
      <c r="G105" s="146"/>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225"/>
      <c r="B106" s="225"/>
      <c r="C106" s="131"/>
      <c r="D106" s="131"/>
      <c r="E106" s="146"/>
      <c r="F106" s="146"/>
      <c r="G106" s="146"/>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225"/>
      <c r="B107" s="225"/>
      <c r="C107" s="131"/>
      <c r="D107" s="131"/>
      <c r="E107" s="146"/>
      <c r="F107" s="146"/>
      <c r="G107" s="146"/>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225"/>
      <c r="B108" s="225"/>
      <c r="C108" s="131"/>
      <c r="D108" s="131"/>
      <c r="E108" s="146"/>
      <c r="F108" s="146"/>
      <c r="G108" s="146"/>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225"/>
      <c r="B109" s="225"/>
      <c r="C109" s="131"/>
      <c r="D109" s="131"/>
      <c r="E109" s="146"/>
      <c r="F109" s="146"/>
      <c r="G109" s="146"/>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225"/>
      <c r="B110" s="225"/>
      <c r="C110" s="131"/>
      <c r="D110" s="131"/>
      <c r="E110" s="146"/>
      <c r="F110" s="146"/>
      <c r="G110" s="146"/>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225"/>
      <c r="B111" s="225"/>
      <c r="C111" s="131"/>
      <c r="D111" s="131"/>
      <c r="E111" s="146"/>
      <c r="F111" s="146"/>
      <c r="G111" s="146"/>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225"/>
      <c r="B112" s="225"/>
      <c r="C112" s="131"/>
      <c r="D112" s="131"/>
      <c r="E112" s="146"/>
      <c r="F112" s="146"/>
      <c r="G112" s="146"/>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225"/>
      <c r="B113" s="225"/>
      <c r="C113" s="131"/>
      <c r="D113" s="131"/>
      <c r="E113" s="146"/>
      <c r="F113" s="146"/>
      <c r="G113" s="146"/>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225"/>
      <c r="B114" s="225"/>
      <c r="C114" s="131"/>
      <c r="D114" s="131"/>
      <c r="E114" s="146"/>
      <c r="F114" s="146"/>
      <c r="G114" s="146"/>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225"/>
      <c r="B115" s="225"/>
      <c r="C115" s="131"/>
      <c r="D115" s="131"/>
      <c r="E115" s="146"/>
      <c r="F115" s="146"/>
      <c r="G115" s="146"/>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225"/>
      <c r="B116" s="225"/>
      <c r="C116" s="131"/>
      <c r="D116" s="131"/>
      <c r="E116" s="146"/>
      <c r="F116" s="146"/>
      <c r="G116" s="146"/>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225"/>
      <c r="B117" s="225"/>
      <c r="C117" s="131"/>
      <c r="D117" s="131"/>
      <c r="E117" s="146"/>
      <c r="F117" s="146"/>
      <c r="G117" s="146"/>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225"/>
      <c r="B118" s="225"/>
      <c r="C118" s="131"/>
      <c r="D118" s="131"/>
      <c r="E118" s="146"/>
      <c r="F118" s="146"/>
      <c r="G118" s="146"/>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225"/>
      <c r="B119" s="225"/>
      <c r="C119" s="131"/>
      <c r="D119" s="131"/>
      <c r="E119" s="146"/>
      <c r="F119" s="146"/>
      <c r="G119" s="146"/>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225"/>
      <c r="B120" s="225"/>
      <c r="C120" s="131"/>
      <c r="D120" s="131"/>
      <c r="E120" s="146"/>
      <c r="F120" s="146"/>
      <c r="G120" s="146"/>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225"/>
      <c r="B121" s="225"/>
      <c r="C121" s="131"/>
      <c r="D121" s="131"/>
      <c r="E121" s="146"/>
      <c r="F121" s="146"/>
      <c r="G121" s="146"/>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225"/>
      <c r="B122" s="225"/>
      <c r="C122" s="131"/>
      <c r="D122" s="131"/>
      <c r="E122" s="146"/>
      <c r="F122" s="146"/>
      <c r="G122" s="146"/>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225"/>
      <c r="B123" s="225"/>
      <c r="C123" s="131"/>
      <c r="D123" s="131"/>
      <c r="E123" s="146"/>
      <c r="F123" s="146"/>
      <c r="G123" s="146"/>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225"/>
      <c r="B124" s="225"/>
      <c r="C124" s="131"/>
      <c r="D124" s="131"/>
      <c r="E124" s="146"/>
      <c r="F124" s="146"/>
      <c r="G124" s="146"/>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225"/>
      <c r="B125" s="225"/>
      <c r="C125" s="131"/>
      <c r="D125" s="131"/>
      <c r="E125" s="146"/>
      <c r="F125" s="146"/>
      <c r="G125" s="146"/>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225"/>
      <c r="B126" s="225"/>
      <c r="C126" s="131"/>
      <c r="D126" s="131"/>
      <c r="E126" s="146"/>
      <c r="F126" s="146"/>
      <c r="G126" s="146"/>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225"/>
      <c r="B127" s="225"/>
      <c r="C127" s="131"/>
      <c r="D127" s="131"/>
      <c r="E127" s="146"/>
      <c r="F127" s="146"/>
      <c r="G127" s="146"/>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225"/>
      <c r="B128" s="225"/>
      <c r="C128" s="131"/>
      <c r="D128" s="131"/>
      <c r="E128" s="146"/>
      <c r="F128" s="146"/>
      <c r="G128" s="146"/>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225"/>
      <c r="B129" s="225"/>
      <c r="C129" s="131"/>
      <c r="D129" s="131"/>
      <c r="E129" s="146"/>
      <c r="F129" s="146"/>
      <c r="G129" s="146"/>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225"/>
      <c r="B130" s="225"/>
      <c r="C130" s="131"/>
      <c r="D130" s="131"/>
      <c r="E130" s="146"/>
      <c r="F130" s="146"/>
      <c r="G130" s="146"/>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225"/>
      <c r="B131" s="225"/>
      <c r="C131" s="131"/>
      <c r="D131" s="131"/>
      <c r="E131" s="146"/>
      <c r="F131" s="146"/>
      <c r="G131" s="146"/>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225"/>
      <c r="B132" s="225"/>
      <c r="C132" s="131"/>
      <c r="D132" s="131"/>
      <c r="E132" s="146"/>
      <c r="F132" s="146"/>
      <c r="G132" s="146"/>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225"/>
      <c r="B133" s="225"/>
      <c r="C133" s="131"/>
      <c r="D133" s="131"/>
      <c r="E133" s="146"/>
      <c r="F133" s="146"/>
      <c r="G133" s="146"/>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225"/>
      <c r="B134" s="225"/>
      <c r="C134" s="131"/>
      <c r="D134" s="131"/>
      <c r="E134" s="146"/>
      <c r="F134" s="146"/>
      <c r="G134" s="146"/>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225"/>
      <c r="B135" s="225"/>
      <c r="C135" s="131"/>
      <c r="D135" s="131"/>
      <c r="E135" s="146"/>
      <c r="F135" s="146"/>
      <c r="G135" s="146"/>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225"/>
      <c r="B136" s="225"/>
      <c r="C136" s="131"/>
      <c r="D136" s="131"/>
      <c r="E136" s="146"/>
      <c r="F136" s="146"/>
      <c r="G136" s="146"/>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225"/>
      <c r="B137" s="225"/>
      <c r="C137" s="131"/>
      <c r="D137" s="131"/>
      <c r="E137" s="146"/>
      <c r="F137" s="146"/>
      <c r="G137" s="146"/>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225"/>
      <c r="B138" s="225"/>
      <c r="C138" s="131"/>
      <c r="D138" s="131"/>
      <c r="E138" s="146"/>
      <c r="F138" s="146"/>
      <c r="G138" s="146"/>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225"/>
      <c r="B139" s="225"/>
      <c r="C139" s="131"/>
      <c r="D139" s="131"/>
      <c r="E139" s="146"/>
      <c r="F139" s="146"/>
      <c r="G139" s="146"/>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225"/>
      <c r="B140" s="225"/>
      <c r="C140" s="131"/>
      <c r="D140" s="131"/>
      <c r="E140" s="146"/>
      <c r="F140" s="146"/>
      <c r="G140" s="146"/>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225"/>
      <c r="B141" s="225"/>
      <c r="C141" s="131"/>
      <c r="D141" s="131"/>
      <c r="E141" s="146"/>
      <c r="F141" s="146"/>
      <c r="G141" s="146"/>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225"/>
      <c r="B142" s="225"/>
      <c r="C142" s="131"/>
      <c r="D142" s="131"/>
      <c r="E142" s="146"/>
      <c r="F142" s="146"/>
      <c r="G142" s="146"/>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225"/>
      <c r="B143" s="225"/>
      <c r="C143" s="131"/>
      <c r="D143" s="131"/>
      <c r="E143" s="146"/>
      <c r="F143" s="146"/>
      <c r="G143" s="146"/>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225"/>
      <c r="B144" s="225"/>
      <c r="C144" s="131"/>
      <c r="D144" s="131"/>
      <c r="E144" s="146"/>
      <c r="F144" s="146"/>
      <c r="G144" s="146"/>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225"/>
      <c r="B145" s="225"/>
      <c r="C145" s="131"/>
      <c r="D145" s="131"/>
      <c r="E145" s="146"/>
      <c r="F145" s="146"/>
      <c r="G145" s="146"/>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225"/>
      <c r="B146" s="225"/>
      <c r="C146" s="131"/>
      <c r="D146" s="131"/>
      <c r="E146" s="146"/>
      <c r="F146" s="146"/>
      <c r="G146" s="146"/>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225"/>
      <c r="B147" s="225"/>
      <c r="C147" s="131"/>
      <c r="D147" s="131"/>
      <c r="E147" s="146"/>
      <c r="F147" s="146"/>
      <c r="G147" s="146"/>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225"/>
      <c r="B148" s="225"/>
      <c r="C148" s="131"/>
      <c r="D148" s="131"/>
      <c r="E148" s="146"/>
      <c r="F148" s="146"/>
      <c r="G148" s="146"/>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225"/>
      <c r="B149" s="225"/>
      <c r="C149" s="131"/>
      <c r="D149" s="131"/>
      <c r="E149" s="146"/>
      <c r="F149" s="146"/>
      <c r="G149" s="146"/>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225"/>
      <c r="B150" s="225"/>
      <c r="C150" s="131"/>
      <c r="D150" s="131"/>
      <c r="E150" s="146"/>
      <c r="F150" s="146"/>
      <c r="G150" s="146"/>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225"/>
      <c r="B151" s="225"/>
      <c r="C151" s="131"/>
      <c r="D151" s="131"/>
      <c r="E151" s="146"/>
      <c r="F151" s="146"/>
      <c r="G151" s="146"/>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225"/>
      <c r="B152" s="225"/>
      <c r="C152" s="131"/>
      <c r="D152" s="131"/>
      <c r="E152" s="146"/>
      <c r="F152" s="146"/>
      <c r="G152" s="146"/>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225"/>
      <c r="B153" s="225"/>
      <c r="C153" s="131"/>
      <c r="D153" s="131"/>
      <c r="E153" s="146"/>
      <c r="F153" s="146"/>
      <c r="G153" s="146"/>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225"/>
      <c r="B154" s="225"/>
      <c r="C154" s="131"/>
      <c r="D154" s="131"/>
      <c r="E154" s="146"/>
      <c r="F154" s="146"/>
      <c r="G154" s="146"/>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225"/>
      <c r="B155" s="225"/>
      <c r="C155" s="131"/>
      <c r="D155" s="131"/>
      <c r="E155" s="146"/>
      <c r="F155" s="146"/>
      <c r="G155" s="146"/>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225"/>
      <c r="B156" s="225"/>
      <c r="C156" s="131"/>
      <c r="D156" s="131"/>
      <c r="E156" s="146"/>
      <c r="F156" s="146"/>
      <c r="G156" s="146"/>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225"/>
      <c r="B157" s="225"/>
      <c r="C157" s="131"/>
      <c r="D157" s="131"/>
      <c r="E157" s="146"/>
      <c r="F157" s="146"/>
      <c r="G157" s="146"/>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225"/>
      <c r="B158" s="225"/>
      <c r="C158" s="131"/>
      <c r="D158" s="131"/>
      <c r="E158" s="146"/>
      <c r="F158" s="146"/>
      <c r="G158" s="146"/>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225"/>
      <c r="B159" s="225"/>
      <c r="C159" s="131"/>
      <c r="D159" s="131"/>
      <c r="E159" s="146"/>
      <c r="F159" s="146"/>
      <c r="G159" s="146"/>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225"/>
      <c r="B160" s="225"/>
      <c r="C160" s="131"/>
      <c r="D160" s="131"/>
      <c r="E160" s="146"/>
      <c r="F160" s="146"/>
      <c r="G160" s="146"/>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225"/>
      <c r="B161" s="225"/>
      <c r="C161" s="131"/>
      <c r="D161" s="131"/>
      <c r="E161" s="146"/>
      <c r="F161" s="146"/>
      <c r="G161" s="146"/>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225"/>
      <c r="B162" s="225"/>
      <c r="C162" s="131"/>
      <c r="D162" s="131"/>
      <c r="E162" s="146"/>
      <c r="F162" s="146"/>
      <c r="G162" s="146"/>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225"/>
      <c r="B163" s="225"/>
      <c r="C163" s="131"/>
      <c r="D163" s="131"/>
      <c r="E163" s="146"/>
      <c r="F163" s="146"/>
      <c r="G163" s="146"/>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225"/>
      <c r="B164" s="225"/>
      <c r="C164" s="131"/>
      <c r="D164" s="131"/>
      <c r="E164" s="146"/>
      <c r="F164" s="146"/>
      <c r="G164" s="146"/>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225"/>
      <c r="B165" s="225"/>
      <c r="C165" s="131"/>
      <c r="D165" s="131"/>
      <c r="E165" s="146"/>
      <c r="F165" s="146"/>
      <c r="G165" s="146"/>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225"/>
      <c r="B166" s="225"/>
      <c r="C166" s="131"/>
      <c r="D166" s="131"/>
      <c r="E166" s="146"/>
      <c r="F166" s="146"/>
      <c r="G166" s="146"/>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225"/>
      <c r="B167" s="225"/>
      <c r="C167" s="131"/>
      <c r="D167" s="131"/>
      <c r="E167" s="146"/>
      <c r="F167" s="146"/>
      <c r="G167" s="146"/>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225"/>
      <c r="B168" s="225"/>
      <c r="C168" s="131"/>
      <c r="D168" s="131"/>
      <c r="E168" s="146"/>
      <c r="F168" s="146"/>
      <c r="G168" s="146"/>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225"/>
      <c r="B169" s="225"/>
      <c r="C169" s="131"/>
      <c r="D169" s="131"/>
      <c r="E169" s="146"/>
      <c r="F169" s="146"/>
      <c r="G169" s="146"/>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225"/>
      <c r="B170" s="225"/>
      <c r="C170" s="131"/>
      <c r="D170" s="131"/>
      <c r="E170" s="146"/>
      <c r="F170" s="146"/>
      <c r="G170" s="146"/>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225"/>
      <c r="B171" s="225"/>
      <c r="C171" s="131"/>
      <c r="D171" s="131"/>
      <c r="E171" s="146"/>
      <c r="F171" s="146"/>
      <c r="G171" s="146"/>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225"/>
      <c r="B172" s="225"/>
      <c r="C172" s="131"/>
      <c r="D172" s="131"/>
      <c r="E172" s="146"/>
      <c r="F172" s="146"/>
      <c r="G172" s="146"/>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225"/>
      <c r="B173" s="225"/>
      <c r="C173" s="131"/>
      <c r="D173" s="131"/>
      <c r="E173" s="146"/>
      <c r="F173" s="146"/>
      <c r="G173" s="146"/>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225"/>
      <c r="B174" s="225"/>
      <c r="C174" s="131"/>
      <c r="D174" s="131"/>
      <c r="E174" s="146"/>
      <c r="F174" s="146"/>
      <c r="G174" s="146"/>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225"/>
      <c r="B175" s="225"/>
      <c r="C175" s="131"/>
      <c r="D175" s="131"/>
      <c r="E175" s="146"/>
      <c r="F175" s="146"/>
      <c r="G175" s="146"/>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225"/>
      <c r="B176" s="225"/>
      <c r="C176" s="131"/>
      <c r="D176" s="131"/>
      <c r="E176" s="146"/>
      <c r="F176" s="146"/>
      <c r="G176" s="146"/>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225"/>
      <c r="B177" s="225"/>
      <c r="C177" s="131"/>
      <c r="D177" s="131"/>
      <c r="E177" s="146"/>
      <c r="F177" s="146"/>
      <c r="G177" s="146"/>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225"/>
      <c r="B178" s="225"/>
      <c r="C178" s="131"/>
      <c r="D178" s="131"/>
      <c r="E178" s="146"/>
      <c r="F178" s="146"/>
      <c r="G178" s="146"/>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225"/>
      <c r="B179" s="225"/>
      <c r="C179" s="131"/>
      <c r="D179" s="131"/>
      <c r="E179" s="146"/>
      <c r="F179" s="146"/>
      <c r="G179" s="146"/>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225"/>
      <c r="B180" s="225"/>
      <c r="C180" s="131"/>
      <c r="D180" s="131"/>
      <c r="E180" s="146"/>
      <c r="F180" s="146"/>
      <c r="G180" s="146"/>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225"/>
      <c r="B181" s="225"/>
      <c r="C181" s="131"/>
      <c r="D181" s="131"/>
      <c r="E181" s="146"/>
      <c r="F181" s="146"/>
      <c r="G181" s="146"/>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225"/>
      <c r="B182" s="225"/>
      <c r="C182" s="131"/>
      <c r="D182" s="131"/>
      <c r="E182" s="146"/>
      <c r="F182" s="146"/>
      <c r="G182" s="146"/>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225"/>
      <c r="B183" s="225"/>
      <c r="C183" s="131"/>
      <c r="D183" s="131"/>
      <c r="E183" s="146"/>
      <c r="F183" s="146"/>
      <c r="G183" s="146"/>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225"/>
      <c r="B184" s="225"/>
      <c r="C184" s="131"/>
      <c r="D184" s="131"/>
      <c r="E184" s="146"/>
      <c r="F184" s="146"/>
      <c r="G184" s="146"/>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225"/>
      <c r="B185" s="225"/>
      <c r="C185" s="131"/>
      <c r="D185" s="131"/>
      <c r="E185" s="146"/>
      <c r="F185" s="146"/>
      <c r="G185" s="146"/>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225"/>
      <c r="B186" s="225"/>
      <c r="C186" s="131"/>
      <c r="D186" s="131"/>
      <c r="E186" s="146"/>
      <c r="F186" s="146"/>
      <c r="G186" s="146"/>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225"/>
      <c r="B187" s="225"/>
      <c r="C187" s="131"/>
      <c r="D187" s="131"/>
      <c r="E187" s="146"/>
      <c r="F187" s="146"/>
      <c r="G187" s="146"/>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225"/>
      <c r="B188" s="225"/>
      <c r="C188" s="131"/>
      <c r="D188" s="131"/>
      <c r="E188" s="146"/>
      <c r="F188" s="146"/>
      <c r="G188" s="146"/>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225"/>
      <c r="B189" s="225"/>
      <c r="C189" s="131"/>
      <c r="D189" s="131"/>
      <c r="E189" s="146"/>
      <c r="F189" s="146"/>
      <c r="G189" s="146"/>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225"/>
      <c r="B190" s="225"/>
      <c r="C190" s="131"/>
      <c r="D190" s="131"/>
      <c r="E190" s="146"/>
      <c r="F190" s="146"/>
      <c r="G190" s="146"/>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225"/>
      <c r="B191" s="225"/>
      <c r="C191" s="131"/>
      <c r="D191" s="131"/>
      <c r="E191" s="146"/>
      <c r="F191" s="146"/>
      <c r="G191" s="146"/>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225"/>
      <c r="B192" s="225"/>
      <c r="C192" s="131"/>
      <c r="D192" s="131"/>
      <c r="E192" s="146"/>
      <c r="F192" s="146"/>
      <c r="G192" s="146"/>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225"/>
      <c r="B193" s="225"/>
      <c r="C193" s="131"/>
      <c r="D193" s="131"/>
      <c r="E193" s="146"/>
      <c r="F193" s="146"/>
      <c r="G193" s="146"/>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225"/>
      <c r="B194" s="225"/>
      <c r="C194" s="131"/>
      <c r="D194" s="131"/>
      <c r="E194" s="146"/>
      <c r="F194" s="146"/>
      <c r="G194" s="146"/>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225"/>
      <c r="B195" s="225"/>
      <c r="C195" s="131"/>
      <c r="D195" s="131"/>
      <c r="E195" s="146"/>
      <c r="F195" s="146"/>
      <c r="G195" s="146"/>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225"/>
      <c r="B196" s="225"/>
      <c r="C196" s="131"/>
      <c r="D196" s="131"/>
      <c r="E196" s="146"/>
      <c r="F196" s="146"/>
      <c r="G196" s="146"/>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225"/>
      <c r="B197" s="225"/>
      <c r="C197" s="131"/>
      <c r="D197" s="131"/>
      <c r="E197" s="146"/>
      <c r="F197" s="146"/>
      <c r="G197" s="146"/>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225"/>
      <c r="B198" s="225"/>
      <c r="C198" s="131"/>
      <c r="D198" s="131"/>
      <c r="E198" s="146"/>
      <c r="F198" s="146"/>
      <c r="G198" s="146"/>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225"/>
      <c r="B199" s="225"/>
      <c r="C199" s="131"/>
      <c r="D199" s="131"/>
      <c r="E199" s="146"/>
      <c r="F199" s="146"/>
      <c r="G199" s="146"/>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225"/>
      <c r="B200" s="225"/>
      <c r="C200" s="131"/>
      <c r="D200" s="131"/>
      <c r="E200" s="146"/>
      <c r="F200" s="146"/>
      <c r="G200" s="146"/>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225"/>
      <c r="B201" s="225"/>
      <c r="C201" s="131"/>
      <c r="D201" s="131"/>
      <c r="E201" s="146"/>
      <c r="F201" s="146"/>
      <c r="G201" s="146"/>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225"/>
      <c r="B202" s="225"/>
      <c r="C202" s="131"/>
      <c r="D202" s="131"/>
      <c r="E202" s="146"/>
      <c r="F202" s="146"/>
      <c r="G202" s="146"/>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225"/>
      <c r="B203" s="225"/>
      <c r="C203" s="131"/>
      <c r="D203" s="131"/>
      <c r="E203" s="146"/>
      <c r="F203" s="146"/>
      <c r="G203" s="146"/>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225"/>
      <c r="B204" s="225"/>
      <c r="C204" s="131"/>
      <c r="D204" s="131"/>
      <c r="E204" s="146"/>
      <c r="F204" s="146"/>
      <c r="G204" s="146"/>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225"/>
      <c r="B205" s="225"/>
      <c r="C205" s="131"/>
      <c r="D205" s="131"/>
      <c r="E205" s="146"/>
      <c r="F205" s="146"/>
      <c r="G205" s="146"/>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225"/>
      <c r="B206" s="225"/>
      <c r="C206" s="131"/>
      <c r="D206" s="131"/>
      <c r="E206" s="146"/>
      <c r="F206" s="146"/>
      <c r="G206" s="146"/>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225"/>
      <c r="B207" s="225"/>
      <c r="C207" s="131"/>
      <c r="D207" s="131"/>
      <c r="E207" s="146"/>
      <c r="F207" s="146"/>
      <c r="G207" s="146"/>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225"/>
      <c r="B208" s="225"/>
      <c r="C208" s="131"/>
      <c r="D208" s="131"/>
      <c r="E208" s="146"/>
      <c r="F208" s="146"/>
      <c r="G208" s="146"/>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225"/>
      <c r="B209" s="225"/>
      <c r="C209" s="131"/>
      <c r="D209" s="131"/>
      <c r="E209" s="146"/>
      <c r="F209" s="146"/>
      <c r="G209" s="146"/>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225"/>
      <c r="B210" s="225"/>
      <c r="C210" s="131"/>
      <c r="D210" s="131"/>
      <c r="E210" s="146"/>
      <c r="F210" s="146"/>
      <c r="G210" s="146"/>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225"/>
      <c r="B211" s="225"/>
      <c r="C211" s="131"/>
      <c r="D211" s="131"/>
      <c r="E211" s="146"/>
      <c r="F211" s="146"/>
      <c r="G211" s="146"/>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225"/>
      <c r="B212" s="225"/>
      <c r="C212" s="131"/>
      <c r="D212" s="131"/>
      <c r="E212" s="146"/>
      <c r="F212" s="146"/>
      <c r="G212" s="146"/>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225"/>
      <c r="B213" s="225"/>
      <c r="C213" s="131"/>
      <c r="D213" s="131"/>
      <c r="E213" s="146"/>
      <c r="F213" s="146"/>
      <c r="G213" s="146"/>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225"/>
      <c r="B214" s="225"/>
      <c r="C214" s="131"/>
      <c r="D214" s="131"/>
      <c r="E214" s="146"/>
      <c r="F214" s="146"/>
      <c r="G214" s="146"/>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225"/>
      <c r="B215" s="225"/>
      <c r="C215" s="131"/>
      <c r="D215" s="131"/>
      <c r="E215" s="146"/>
      <c r="F215" s="146"/>
      <c r="G215" s="146"/>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225"/>
      <c r="B216" s="225"/>
      <c r="C216" s="131"/>
      <c r="D216" s="131"/>
      <c r="E216" s="146"/>
      <c r="F216" s="146"/>
      <c r="G216" s="146"/>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225"/>
      <c r="B217" s="225"/>
      <c r="C217" s="131"/>
      <c r="D217" s="131"/>
      <c r="E217" s="146"/>
      <c r="F217" s="146"/>
      <c r="G217" s="146"/>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225"/>
      <c r="B218" s="225"/>
      <c r="C218" s="131"/>
      <c r="D218" s="131"/>
      <c r="E218" s="146"/>
      <c r="F218" s="146"/>
      <c r="G218" s="146"/>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225"/>
      <c r="B219" s="225"/>
      <c r="C219" s="131"/>
      <c r="D219" s="131"/>
      <c r="E219" s="146"/>
      <c r="F219" s="146"/>
      <c r="G219" s="146"/>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225"/>
      <c r="B220" s="225"/>
      <c r="C220" s="131"/>
      <c r="D220" s="131"/>
      <c r="E220" s="146"/>
      <c r="F220" s="146"/>
      <c r="G220" s="146"/>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225"/>
      <c r="B221" s="225"/>
      <c r="C221" s="131"/>
      <c r="D221" s="131"/>
      <c r="E221" s="146"/>
      <c r="F221" s="146"/>
      <c r="G221" s="146"/>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225"/>
      <c r="B222" s="225"/>
      <c r="C222" s="131"/>
      <c r="D222" s="131"/>
      <c r="E222" s="146"/>
      <c r="F222" s="146"/>
      <c r="G222" s="146"/>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225"/>
      <c r="B223" s="225"/>
      <c r="C223" s="131"/>
      <c r="D223" s="131"/>
      <c r="E223" s="146"/>
      <c r="F223" s="146"/>
      <c r="G223" s="146"/>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225"/>
      <c r="B224" s="225"/>
      <c r="C224" s="131"/>
      <c r="D224" s="131"/>
      <c r="E224" s="146"/>
      <c r="F224" s="146"/>
      <c r="G224" s="146"/>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225"/>
      <c r="B225" s="225"/>
      <c r="C225" s="131"/>
      <c r="D225" s="131"/>
      <c r="E225" s="146"/>
      <c r="F225" s="146"/>
      <c r="G225" s="146"/>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225"/>
      <c r="B226" s="225"/>
      <c r="C226" s="131"/>
      <c r="D226" s="131"/>
      <c r="E226" s="146"/>
      <c r="F226" s="146"/>
      <c r="G226" s="146"/>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225"/>
      <c r="B227" s="225"/>
      <c r="C227" s="131"/>
      <c r="D227" s="131"/>
      <c r="E227" s="146"/>
      <c r="F227" s="146"/>
      <c r="G227" s="146"/>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225"/>
      <c r="B228" s="225"/>
      <c r="C228" s="131"/>
      <c r="D228" s="131"/>
      <c r="E228" s="146"/>
      <c r="F228" s="146"/>
      <c r="G228" s="146"/>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225"/>
      <c r="B229" s="225"/>
      <c r="C229" s="131"/>
      <c r="D229" s="131"/>
      <c r="E229" s="146"/>
      <c r="F229" s="146"/>
      <c r="G229" s="146"/>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225"/>
      <c r="B230" s="225"/>
      <c r="C230" s="131"/>
      <c r="D230" s="131"/>
      <c r="E230" s="146"/>
      <c r="F230" s="146"/>
      <c r="G230" s="146"/>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225"/>
      <c r="B231" s="225"/>
      <c r="C231" s="131"/>
      <c r="D231" s="131"/>
      <c r="E231" s="146"/>
      <c r="F231" s="146"/>
      <c r="G231" s="146"/>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225"/>
      <c r="B232" s="225"/>
      <c r="C232" s="131"/>
      <c r="D232" s="131"/>
      <c r="E232" s="146"/>
      <c r="F232" s="146"/>
      <c r="G232" s="146"/>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225"/>
      <c r="B233" s="225"/>
      <c r="C233" s="131"/>
      <c r="D233" s="131"/>
      <c r="E233" s="146"/>
      <c r="F233" s="146"/>
      <c r="G233" s="146"/>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225"/>
      <c r="B234" s="225"/>
      <c r="C234" s="131"/>
      <c r="D234" s="131"/>
      <c r="E234" s="146"/>
      <c r="F234" s="146"/>
      <c r="G234" s="146"/>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225"/>
      <c r="B235" s="225"/>
      <c r="C235" s="131"/>
      <c r="D235" s="131"/>
      <c r="E235" s="146"/>
      <c r="F235" s="146"/>
      <c r="G235" s="146"/>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225"/>
      <c r="B236" s="225"/>
      <c r="C236" s="131"/>
      <c r="D236" s="131"/>
      <c r="E236" s="146"/>
      <c r="F236" s="146"/>
      <c r="G236" s="146"/>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225"/>
      <c r="B237" s="225"/>
      <c r="C237" s="131"/>
      <c r="D237" s="131"/>
      <c r="E237" s="146"/>
      <c r="F237" s="146"/>
      <c r="G237" s="146"/>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225"/>
      <c r="B238" s="225"/>
      <c r="C238" s="131"/>
      <c r="D238" s="131"/>
      <c r="E238" s="146"/>
      <c r="F238" s="146"/>
      <c r="G238" s="146"/>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225"/>
      <c r="B239" s="225"/>
      <c r="C239" s="131"/>
      <c r="D239" s="131"/>
      <c r="E239" s="146"/>
      <c r="F239" s="146"/>
      <c r="G239" s="146"/>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225"/>
      <c r="B240" s="225"/>
      <c r="C240" s="131"/>
      <c r="D240" s="131"/>
      <c r="E240" s="146"/>
      <c r="F240" s="146"/>
      <c r="G240" s="146"/>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225"/>
      <c r="B241" s="225"/>
      <c r="C241" s="131"/>
      <c r="D241" s="131"/>
      <c r="E241" s="146"/>
      <c r="F241" s="146"/>
      <c r="G241" s="146"/>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225"/>
      <c r="B242" s="225"/>
      <c r="C242" s="131"/>
      <c r="D242" s="131"/>
      <c r="E242" s="146"/>
      <c r="F242" s="146"/>
      <c r="G242" s="146"/>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225"/>
      <c r="B243" s="225"/>
      <c r="C243" s="131"/>
      <c r="D243" s="131"/>
      <c r="E243" s="146"/>
      <c r="F243" s="146"/>
      <c r="G243" s="146"/>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225"/>
      <c r="B244" s="225"/>
      <c r="C244" s="131"/>
      <c r="D244" s="131"/>
      <c r="E244" s="146"/>
      <c r="F244" s="146"/>
      <c r="G244" s="146"/>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225"/>
      <c r="B245" s="225"/>
      <c r="C245" s="131"/>
      <c r="D245" s="131"/>
      <c r="E245" s="146"/>
      <c r="F245" s="146"/>
      <c r="G245" s="146"/>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225"/>
      <c r="B246" s="225"/>
      <c r="C246" s="131"/>
      <c r="D246" s="131"/>
      <c r="E246" s="146"/>
      <c r="F246" s="146"/>
      <c r="G246" s="146"/>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225"/>
      <c r="B247" s="225"/>
      <c r="C247" s="131"/>
      <c r="D247" s="131"/>
      <c r="E247" s="146"/>
      <c r="F247" s="146"/>
      <c r="G247" s="146"/>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225"/>
      <c r="B248" s="225"/>
      <c r="C248" s="131"/>
      <c r="D248" s="131"/>
      <c r="E248" s="146"/>
      <c r="F248" s="146"/>
      <c r="G248" s="146"/>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225"/>
      <c r="B249" s="225"/>
      <c r="C249" s="131"/>
      <c r="D249" s="131"/>
      <c r="E249" s="146"/>
      <c r="F249" s="146"/>
      <c r="G249" s="146"/>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225"/>
      <c r="B250" s="225"/>
      <c r="C250" s="131"/>
      <c r="D250" s="131"/>
      <c r="E250" s="146"/>
      <c r="F250" s="146"/>
      <c r="G250" s="146"/>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225"/>
      <c r="B251" s="225"/>
      <c r="C251" s="131"/>
      <c r="D251" s="131"/>
      <c r="E251" s="146"/>
      <c r="F251" s="146"/>
      <c r="G251" s="146"/>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225"/>
      <c r="B252" s="225"/>
      <c r="C252" s="131"/>
      <c r="D252" s="131"/>
      <c r="E252" s="146"/>
      <c r="F252" s="146"/>
      <c r="G252" s="146"/>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225"/>
      <c r="B253" s="225"/>
      <c r="C253" s="131"/>
      <c r="D253" s="131"/>
      <c r="E253" s="146"/>
      <c r="F253" s="146"/>
      <c r="G253" s="146"/>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225"/>
      <c r="B254" s="225"/>
      <c r="C254" s="131"/>
      <c r="D254" s="131"/>
      <c r="E254" s="146"/>
      <c r="F254" s="146"/>
      <c r="G254" s="146"/>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225"/>
      <c r="B255" s="225"/>
      <c r="C255" s="131"/>
      <c r="D255" s="131"/>
      <c r="E255" s="146"/>
      <c r="F255" s="146"/>
      <c r="G255" s="146"/>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225"/>
      <c r="B256" s="225"/>
      <c r="C256" s="131"/>
      <c r="D256" s="131"/>
      <c r="E256" s="146"/>
      <c r="F256" s="146"/>
      <c r="G256" s="146"/>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225"/>
      <c r="B257" s="225"/>
      <c r="C257" s="131"/>
      <c r="D257" s="131"/>
      <c r="E257" s="146"/>
      <c r="F257" s="146"/>
      <c r="G257" s="146"/>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225"/>
      <c r="B258" s="225"/>
      <c r="C258" s="131"/>
      <c r="D258" s="131"/>
      <c r="E258" s="146"/>
      <c r="F258" s="146"/>
      <c r="G258" s="146"/>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225"/>
      <c r="B259" s="225"/>
      <c r="C259" s="131"/>
      <c r="D259" s="131"/>
      <c r="E259" s="146"/>
      <c r="F259" s="146"/>
      <c r="G259" s="146"/>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225"/>
      <c r="B260" s="225"/>
      <c r="C260" s="131"/>
      <c r="D260" s="131"/>
      <c r="E260" s="146"/>
      <c r="F260" s="146"/>
      <c r="G260" s="146"/>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225"/>
      <c r="B261" s="225"/>
      <c r="C261" s="131"/>
      <c r="D261" s="131"/>
      <c r="E261" s="146"/>
      <c r="F261" s="146"/>
      <c r="G261" s="146"/>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225"/>
      <c r="B262" s="225"/>
      <c r="C262" s="131"/>
      <c r="D262" s="131"/>
      <c r="E262" s="146"/>
      <c r="F262" s="146"/>
      <c r="G262" s="146"/>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225"/>
      <c r="B263" s="225"/>
      <c r="C263" s="131"/>
      <c r="D263" s="131"/>
      <c r="E263" s="146"/>
      <c r="F263" s="146"/>
      <c r="G263" s="146"/>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225"/>
      <c r="B264" s="225"/>
      <c r="C264" s="131"/>
      <c r="D264" s="131"/>
      <c r="E264" s="146"/>
      <c r="F264" s="146"/>
      <c r="G264" s="146"/>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225"/>
      <c r="B265" s="225"/>
      <c r="C265" s="131"/>
      <c r="D265" s="131"/>
      <c r="E265" s="146"/>
      <c r="F265" s="146"/>
      <c r="G265" s="146"/>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225"/>
      <c r="B266" s="225"/>
      <c r="C266" s="131"/>
      <c r="D266" s="131"/>
      <c r="E266" s="146"/>
      <c r="F266" s="146"/>
      <c r="G266" s="146"/>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225"/>
      <c r="B267" s="225"/>
      <c r="C267" s="131"/>
      <c r="D267" s="131"/>
      <c r="E267" s="146"/>
      <c r="F267" s="146"/>
      <c r="G267" s="146"/>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225"/>
      <c r="B268" s="225"/>
      <c r="C268" s="131"/>
      <c r="D268" s="131"/>
      <c r="E268" s="146"/>
      <c r="F268" s="146"/>
      <c r="G268" s="146"/>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225"/>
      <c r="B269" s="225"/>
      <c r="C269" s="131"/>
      <c r="D269" s="131"/>
      <c r="E269" s="146"/>
      <c r="F269" s="146"/>
      <c r="G269" s="146"/>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225"/>
      <c r="B270" s="225"/>
      <c r="C270" s="131"/>
      <c r="D270" s="131"/>
      <c r="E270" s="146"/>
      <c r="F270" s="146"/>
      <c r="G270" s="146"/>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225"/>
      <c r="B271" s="225"/>
      <c r="C271" s="131"/>
      <c r="D271" s="131"/>
      <c r="E271" s="146"/>
      <c r="F271" s="146"/>
      <c r="G271" s="146"/>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225"/>
      <c r="B272" s="225"/>
      <c r="C272" s="131"/>
      <c r="D272" s="131"/>
      <c r="E272" s="146"/>
      <c r="F272" s="146"/>
      <c r="G272" s="146"/>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225"/>
      <c r="B273" s="225"/>
      <c r="C273" s="131"/>
      <c r="D273" s="131"/>
      <c r="E273" s="146"/>
      <c r="F273" s="146"/>
      <c r="G273" s="146"/>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225"/>
      <c r="B274" s="225"/>
      <c r="C274" s="131"/>
      <c r="D274" s="131"/>
      <c r="E274" s="146"/>
      <c r="F274" s="146"/>
      <c r="G274" s="146"/>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225"/>
      <c r="B275" s="225"/>
      <c r="C275" s="131"/>
      <c r="D275" s="131"/>
      <c r="E275" s="146"/>
      <c r="F275" s="146"/>
      <c r="G275" s="146"/>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225"/>
      <c r="B276" s="225"/>
      <c r="C276" s="131"/>
      <c r="D276" s="131"/>
      <c r="E276" s="146"/>
      <c r="F276" s="146"/>
      <c r="G276" s="146"/>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225"/>
      <c r="B277" s="225"/>
      <c r="C277" s="131"/>
      <c r="D277" s="131"/>
      <c r="E277" s="146"/>
      <c r="F277" s="146"/>
      <c r="G277" s="146"/>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225"/>
      <c r="B278" s="225"/>
      <c r="C278" s="131"/>
      <c r="D278" s="131"/>
      <c r="E278" s="146"/>
      <c r="F278" s="146"/>
      <c r="G278" s="146"/>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225"/>
      <c r="B279" s="225"/>
      <c r="C279" s="131"/>
      <c r="D279" s="131"/>
      <c r="E279" s="146"/>
      <c r="F279" s="146"/>
      <c r="G279" s="146"/>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225"/>
      <c r="B280" s="225"/>
      <c r="C280" s="131"/>
      <c r="D280" s="131"/>
      <c r="E280" s="146"/>
      <c r="F280" s="146"/>
      <c r="G280" s="146"/>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225"/>
      <c r="B281" s="225"/>
      <c r="C281" s="131"/>
      <c r="D281" s="131"/>
      <c r="E281" s="146"/>
      <c r="F281" s="146"/>
      <c r="G281" s="146"/>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225"/>
      <c r="B282" s="225"/>
      <c r="C282" s="131"/>
      <c r="D282" s="131"/>
      <c r="E282" s="146"/>
      <c r="F282" s="146"/>
      <c r="G282" s="146"/>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225"/>
      <c r="B283" s="225"/>
      <c r="C283" s="131"/>
      <c r="D283" s="131"/>
      <c r="E283" s="146"/>
      <c r="F283" s="146"/>
      <c r="G283" s="146"/>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225"/>
      <c r="B284" s="225"/>
      <c r="C284" s="131"/>
      <c r="D284" s="131"/>
      <c r="E284" s="146"/>
      <c r="F284" s="146"/>
      <c r="G284" s="146"/>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225"/>
      <c r="B285" s="225"/>
      <c r="C285" s="131"/>
      <c r="D285" s="131"/>
      <c r="E285" s="146"/>
      <c r="F285" s="146"/>
      <c r="G285" s="146"/>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225"/>
      <c r="B286" s="225"/>
      <c r="C286" s="131"/>
      <c r="D286" s="131"/>
      <c r="E286" s="146"/>
      <c r="F286" s="146"/>
      <c r="G286" s="146"/>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225"/>
      <c r="B287" s="225"/>
      <c r="C287" s="131"/>
      <c r="D287" s="131"/>
      <c r="E287" s="146"/>
      <c r="F287" s="146"/>
      <c r="G287" s="146"/>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225"/>
      <c r="B288" s="225"/>
      <c r="C288" s="131"/>
      <c r="D288" s="131"/>
      <c r="E288" s="146"/>
      <c r="F288" s="146"/>
      <c r="G288" s="146"/>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225"/>
      <c r="B289" s="225"/>
      <c r="C289" s="131"/>
      <c r="D289" s="131"/>
      <c r="E289" s="146"/>
      <c r="F289" s="146"/>
      <c r="G289" s="146"/>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225"/>
      <c r="B290" s="225"/>
      <c r="C290" s="131"/>
      <c r="D290" s="131"/>
      <c r="E290" s="146"/>
      <c r="F290" s="146"/>
      <c r="G290" s="146"/>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225"/>
      <c r="B291" s="225"/>
      <c r="C291" s="131"/>
      <c r="D291" s="131"/>
      <c r="E291" s="146"/>
      <c r="F291" s="146"/>
      <c r="G291" s="146"/>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225"/>
      <c r="B292" s="225"/>
      <c r="C292" s="131"/>
      <c r="D292" s="131"/>
      <c r="E292" s="146"/>
      <c r="F292" s="146"/>
      <c r="G292" s="146"/>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225"/>
      <c r="B293" s="225"/>
      <c r="C293" s="131"/>
      <c r="D293" s="131"/>
      <c r="E293" s="146"/>
      <c r="F293" s="146"/>
      <c r="G293" s="146"/>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225"/>
      <c r="B294" s="225"/>
      <c r="C294" s="131"/>
      <c r="D294" s="131"/>
      <c r="E294" s="146"/>
      <c r="F294" s="146"/>
      <c r="G294" s="146"/>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225"/>
      <c r="B295" s="225"/>
      <c r="C295" s="131"/>
      <c r="D295" s="131"/>
      <c r="E295" s="146"/>
      <c r="F295" s="146"/>
      <c r="G295" s="146"/>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225"/>
      <c r="B296" s="225"/>
      <c r="C296" s="131"/>
      <c r="D296" s="131"/>
      <c r="E296" s="146"/>
      <c r="F296" s="146"/>
      <c r="G296" s="146"/>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225"/>
      <c r="B297" s="225"/>
      <c r="C297" s="131"/>
      <c r="D297" s="131"/>
      <c r="E297" s="146"/>
      <c r="F297" s="146"/>
      <c r="G297" s="146"/>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225"/>
      <c r="B298" s="225"/>
      <c r="C298" s="131"/>
      <c r="D298" s="131"/>
      <c r="E298" s="146"/>
      <c r="F298" s="146"/>
      <c r="G298" s="146"/>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225"/>
      <c r="B299" s="225"/>
      <c r="C299" s="131"/>
      <c r="D299" s="131"/>
      <c r="E299" s="146"/>
      <c r="F299" s="146"/>
      <c r="G299" s="146"/>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225"/>
      <c r="B300" s="225"/>
      <c r="C300" s="131"/>
      <c r="D300" s="131"/>
      <c r="E300" s="146"/>
      <c r="F300" s="146"/>
      <c r="G300" s="146"/>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225"/>
      <c r="B301" s="225"/>
      <c r="C301" s="131"/>
      <c r="D301" s="131"/>
      <c r="E301" s="146"/>
      <c r="F301" s="146"/>
      <c r="G301" s="146"/>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225"/>
      <c r="B302" s="225"/>
      <c r="C302" s="131"/>
      <c r="D302" s="131"/>
      <c r="E302" s="146"/>
      <c r="F302" s="146"/>
      <c r="G302" s="146"/>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225"/>
      <c r="B303" s="225"/>
      <c r="C303" s="131"/>
      <c r="D303" s="131"/>
      <c r="E303" s="146"/>
      <c r="F303" s="146"/>
      <c r="G303" s="146"/>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225"/>
      <c r="B304" s="225"/>
      <c r="C304" s="131"/>
      <c r="D304" s="131"/>
      <c r="E304" s="146"/>
      <c r="F304" s="146"/>
      <c r="G304" s="146"/>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225"/>
      <c r="B305" s="225"/>
      <c r="C305" s="131"/>
      <c r="D305" s="131"/>
      <c r="E305" s="146"/>
      <c r="F305" s="146"/>
      <c r="G305" s="146"/>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225"/>
      <c r="B306" s="225"/>
      <c r="C306" s="131"/>
      <c r="D306" s="131"/>
      <c r="E306" s="146"/>
      <c r="F306" s="146"/>
      <c r="G306" s="146"/>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225"/>
      <c r="B307" s="225"/>
      <c r="C307" s="131"/>
      <c r="D307" s="131"/>
      <c r="E307" s="146"/>
      <c r="F307" s="146"/>
      <c r="G307" s="146"/>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225"/>
      <c r="B308" s="225"/>
      <c r="C308" s="131"/>
      <c r="D308" s="131"/>
      <c r="E308" s="146"/>
      <c r="F308" s="146"/>
      <c r="G308" s="146"/>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225"/>
      <c r="B309" s="225"/>
      <c r="C309" s="131"/>
      <c r="D309" s="131"/>
      <c r="E309" s="146"/>
      <c r="F309" s="146"/>
      <c r="G309" s="146"/>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225"/>
      <c r="B310" s="225"/>
      <c r="C310" s="131"/>
      <c r="D310" s="131"/>
      <c r="E310" s="146"/>
      <c r="F310" s="146"/>
      <c r="G310" s="146"/>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225"/>
      <c r="B311" s="225"/>
      <c r="C311" s="131"/>
      <c r="D311" s="131"/>
      <c r="E311" s="146"/>
      <c r="F311" s="146"/>
      <c r="G311" s="146"/>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225"/>
      <c r="B312" s="225"/>
      <c r="C312" s="131"/>
      <c r="D312" s="131"/>
      <c r="E312" s="146"/>
      <c r="F312" s="146"/>
      <c r="G312" s="146"/>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225"/>
      <c r="B313" s="225"/>
      <c r="C313" s="131"/>
      <c r="D313" s="131"/>
      <c r="E313" s="146"/>
      <c r="F313" s="146"/>
      <c r="G313" s="146"/>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225"/>
      <c r="B314" s="225"/>
      <c r="C314" s="131"/>
      <c r="D314" s="131"/>
      <c r="E314" s="146"/>
      <c r="F314" s="146"/>
      <c r="G314" s="146"/>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225"/>
      <c r="B315" s="225"/>
      <c r="C315" s="131"/>
      <c r="D315" s="131"/>
      <c r="E315" s="146"/>
      <c r="F315" s="146"/>
      <c r="G315" s="146"/>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225"/>
      <c r="B316" s="225"/>
      <c r="C316" s="131"/>
      <c r="D316" s="131"/>
      <c r="E316" s="146"/>
      <c r="F316" s="146"/>
      <c r="G316" s="146"/>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225"/>
      <c r="B317" s="225"/>
      <c r="C317" s="131"/>
      <c r="D317" s="131"/>
      <c r="E317" s="146"/>
      <c r="F317" s="146"/>
      <c r="G317" s="146"/>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225"/>
      <c r="B318" s="225"/>
      <c r="C318" s="131"/>
      <c r="D318" s="131"/>
      <c r="E318" s="146"/>
      <c r="F318" s="146"/>
      <c r="G318" s="146"/>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225"/>
      <c r="B319" s="225"/>
      <c r="C319" s="131"/>
      <c r="D319" s="131"/>
      <c r="E319" s="146"/>
      <c r="F319" s="146"/>
      <c r="G319" s="146"/>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225"/>
      <c r="B320" s="225"/>
      <c r="C320" s="131"/>
      <c r="D320" s="131"/>
      <c r="E320" s="146"/>
      <c r="F320" s="146"/>
      <c r="G320" s="146"/>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225"/>
      <c r="B321" s="225"/>
      <c r="C321" s="131"/>
      <c r="D321" s="131"/>
      <c r="E321" s="146"/>
      <c r="F321" s="146"/>
      <c r="G321" s="146"/>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225"/>
      <c r="B322" s="225"/>
      <c r="C322" s="131"/>
      <c r="D322" s="131"/>
      <c r="E322" s="146"/>
      <c r="F322" s="146"/>
      <c r="G322" s="146"/>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225"/>
      <c r="B323" s="225"/>
      <c r="C323" s="131"/>
      <c r="D323" s="131"/>
      <c r="E323" s="146"/>
      <c r="F323" s="146"/>
      <c r="G323" s="146"/>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225"/>
      <c r="B324" s="225"/>
      <c r="C324" s="131"/>
      <c r="D324" s="131"/>
      <c r="E324" s="146"/>
      <c r="F324" s="146"/>
      <c r="G324" s="146"/>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225"/>
      <c r="B325" s="225"/>
      <c r="C325" s="131"/>
      <c r="D325" s="131"/>
      <c r="E325" s="146"/>
      <c r="F325" s="146"/>
      <c r="G325" s="146"/>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225"/>
      <c r="B326" s="225"/>
      <c r="C326" s="131"/>
      <c r="D326" s="131"/>
      <c r="E326" s="146"/>
      <c r="F326" s="146"/>
      <c r="G326" s="146"/>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225"/>
      <c r="B327" s="225"/>
      <c r="C327" s="131"/>
      <c r="D327" s="131"/>
      <c r="E327" s="146"/>
      <c r="F327" s="146"/>
      <c r="G327" s="146"/>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225"/>
      <c r="B328" s="225"/>
      <c r="C328" s="131"/>
      <c r="D328" s="131"/>
      <c r="E328" s="146"/>
      <c r="F328" s="146"/>
      <c r="G328" s="146"/>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225"/>
      <c r="B329" s="225"/>
      <c r="C329" s="131"/>
      <c r="D329" s="131"/>
      <c r="E329" s="146"/>
      <c r="F329" s="146"/>
      <c r="G329" s="146"/>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225"/>
      <c r="B330" s="225"/>
      <c r="C330" s="131"/>
      <c r="D330" s="131"/>
      <c r="E330" s="146"/>
      <c r="F330" s="146"/>
      <c r="G330" s="146"/>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225"/>
      <c r="B331" s="225"/>
      <c r="C331" s="131"/>
      <c r="D331" s="131"/>
      <c r="E331" s="146"/>
      <c r="F331" s="146"/>
      <c r="G331" s="146"/>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225"/>
      <c r="B332" s="225"/>
      <c r="C332" s="131"/>
      <c r="D332" s="131"/>
      <c r="E332" s="146"/>
      <c r="F332" s="146"/>
      <c r="G332" s="146"/>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225"/>
      <c r="B333" s="225"/>
      <c r="C333" s="131"/>
      <c r="D333" s="131"/>
      <c r="E333" s="146"/>
      <c r="F333" s="146"/>
      <c r="G333" s="146"/>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225"/>
      <c r="B334" s="225"/>
      <c r="C334" s="131"/>
      <c r="D334" s="131"/>
      <c r="E334" s="146"/>
      <c r="F334" s="146"/>
      <c r="G334" s="146"/>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225"/>
      <c r="B335" s="225"/>
      <c r="C335" s="131"/>
      <c r="D335" s="131"/>
      <c r="E335" s="146"/>
      <c r="F335" s="146"/>
      <c r="G335" s="146"/>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225"/>
      <c r="B336" s="225"/>
      <c r="C336" s="131"/>
      <c r="D336" s="131"/>
      <c r="E336" s="146"/>
      <c r="F336" s="146"/>
      <c r="G336" s="146"/>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225"/>
      <c r="B337" s="225"/>
      <c r="C337" s="131"/>
      <c r="D337" s="131"/>
      <c r="E337" s="146"/>
      <c r="F337" s="146"/>
      <c r="G337" s="146"/>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225"/>
      <c r="B338" s="225"/>
      <c r="C338" s="131"/>
      <c r="D338" s="131"/>
      <c r="E338" s="146"/>
      <c r="F338" s="146"/>
      <c r="G338" s="146"/>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225"/>
      <c r="B339" s="225"/>
      <c r="C339" s="131"/>
      <c r="D339" s="131"/>
      <c r="E339" s="146"/>
      <c r="F339" s="146"/>
      <c r="G339" s="146"/>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225"/>
      <c r="B340" s="225"/>
      <c r="C340" s="131"/>
      <c r="D340" s="131"/>
      <c r="E340" s="146"/>
      <c r="F340" s="146"/>
      <c r="G340" s="146"/>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225"/>
      <c r="B341" s="225"/>
      <c r="C341" s="131"/>
      <c r="D341" s="131"/>
      <c r="E341" s="146"/>
      <c r="F341" s="146"/>
      <c r="G341" s="146"/>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225"/>
      <c r="B342" s="225"/>
      <c r="C342" s="131"/>
      <c r="D342" s="131"/>
      <c r="E342" s="146"/>
      <c r="F342" s="146"/>
      <c r="G342" s="146"/>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225"/>
      <c r="B343" s="225"/>
      <c r="C343" s="131"/>
      <c r="D343" s="131"/>
      <c r="E343" s="146"/>
      <c r="F343" s="146"/>
      <c r="G343" s="146"/>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225"/>
      <c r="B344" s="225"/>
      <c r="C344" s="131"/>
      <c r="D344" s="131"/>
      <c r="E344" s="146"/>
      <c r="F344" s="146"/>
      <c r="G344" s="146"/>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225"/>
      <c r="B345" s="225"/>
      <c r="C345" s="131"/>
      <c r="D345" s="131"/>
      <c r="E345" s="146"/>
      <c r="F345" s="146"/>
      <c r="G345" s="146"/>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225"/>
      <c r="B346" s="225"/>
      <c r="C346" s="131"/>
      <c r="D346" s="131"/>
      <c r="E346" s="146"/>
      <c r="F346" s="146"/>
      <c r="G346" s="146"/>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225"/>
      <c r="B347" s="225"/>
      <c r="C347" s="131"/>
      <c r="D347" s="131"/>
      <c r="E347" s="146"/>
      <c r="F347" s="146"/>
      <c r="G347" s="146"/>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225"/>
      <c r="B348" s="225"/>
      <c r="C348" s="131"/>
      <c r="D348" s="131"/>
      <c r="E348" s="146"/>
      <c r="F348" s="146"/>
      <c r="G348" s="146"/>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225"/>
      <c r="B349" s="225"/>
      <c r="C349" s="131"/>
      <c r="D349" s="131"/>
      <c r="E349" s="146"/>
      <c r="F349" s="146"/>
      <c r="G349" s="146"/>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225"/>
      <c r="B350" s="225"/>
      <c r="C350" s="131"/>
      <c r="D350" s="131"/>
      <c r="E350" s="146"/>
      <c r="F350" s="146"/>
      <c r="G350" s="146"/>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225"/>
      <c r="B351" s="225"/>
      <c r="C351" s="131"/>
      <c r="D351" s="131"/>
      <c r="E351" s="146"/>
      <c r="F351" s="146"/>
      <c r="G351" s="146"/>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225"/>
      <c r="B352" s="225"/>
      <c r="C352" s="131"/>
      <c r="D352" s="131"/>
      <c r="E352" s="146"/>
      <c r="F352" s="146"/>
      <c r="G352" s="146"/>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225"/>
      <c r="B353" s="225"/>
      <c r="C353" s="131"/>
      <c r="D353" s="131"/>
      <c r="E353" s="146"/>
      <c r="F353" s="146"/>
      <c r="G353" s="146"/>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225"/>
      <c r="B354" s="225"/>
      <c r="C354" s="131"/>
      <c r="D354" s="131"/>
      <c r="E354" s="146"/>
      <c r="F354" s="146"/>
      <c r="G354" s="146"/>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225"/>
      <c r="B355" s="225"/>
      <c r="C355" s="131"/>
      <c r="D355" s="131"/>
      <c r="E355" s="146"/>
      <c r="F355" s="146"/>
      <c r="G355" s="146"/>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225"/>
      <c r="B356" s="225"/>
      <c r="C356" s="131"/>
      <c r="D356" s="131"/>
      <c r="E356" s="146"/>
      <c r="F356" s="146"/>
      <c r="G356" s="146"/>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225"/>
      <c r="B357" s="225"/>
      <c r="C357" s="131"/>
      <c r="D357" s="131"/>
      <c r="E357" s="146"/>
      <c r="F357" s="146"/>
      <c r="G357" s="146"/>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225"/>
      <c r="B358" s="225"/>
      <c r="C358" s="131"/>
      <c r="D358" s="131"/>
      <c r="E358" s="146"/>
      <c r="F358" s="146"/>
      <c r="G358" s="146"/>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225"/>
      <c r="B359" s="225"/>
      <c r="C359" s="131"/>
      <c r="D359" s="131"/>
      <c r="E359" s="146"/>
      <c r="F359" s="146"/>
      <c r="G359" s="146"/>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225"/>
      <c r="B360" s="225"/>
      <c r="C360" s="131"/>
      <c r="D360" s="131"/>
      <c r="E360" s="146"/>
      <c r="F360" s="146"/>
      <c r="G360" s="146"/>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225"/>
      <c r="B361" s="225"/>
      <c r="C361" s="131"/>
      <c r="D361" s="131"/>
      <c r="E361" s="146"/>
      <c r="F361" s="146"/>
      <c r="G361" s="146"/>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225"/>
      <c r="B362" s="225"/>
      <c r="C362" s="131"/>
      <c r="D362" s="131"/>
      <c r="E362" s="146"/>
      <c r="F362" s="146"/>
      <c r="G362" s="146"/>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225"/>
      <c r="B363" s="225"/>
      <c r="C363" s="131"/>
      <c r="D363" s="131"/>
      <c r="E363" s="146"/>
      <c r="F363" s="146"/>
      <c r="G363" s="146"/>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225"/>
      <c r="B364" s="225"/>
      <c r="C364" s="131"/>
      <c r="D364" s="131"/>
      <c r="E364" s="146"/>
      <c r="F364" s="146"/>
      <c r="G364" s="146"/>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225"/>
      <c r="B365" s="225"/>
      <c r="C365" s="131"/>
      <c r="D365" s="131"/>
      <c r="E365" s="146"/>
      <c r="F365" s="146"/>
      <c r="G365" s="146"/>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225"/>
      <c r="B366" s="225"/>
      <c r="C366" s="131"/>
      <c r="D366" s="131"/>
      <c r="E366" s="146"/>
      <c r="F366" s="146"/>
      <c r="G366" s="146"/>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225"/>
      <c r="B367" s="225"/>
      <c r="C367" s="131"/>
      <c r="D367" s="131"/>
      <c r="E367" s="146"/>
      <c r="F367" s="146"/>
      <c r="G367" s="146"/>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225"/>
      <c r="B368" s="225"/>
      <c r="C368" s="131"/>
      <c r="D368" s="131"/>
      <c r="E368" s="146"/>
      <c r="F368" s="146"/>
      <c r="G368" s="146"/>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225"/>
      <c r="B369" s="225"/>
      <c r="C369" s="131"/>
      <c r="D369" s="131"/>
      <c r="E369" s="146"/>
      <c r="F369" s="146"/>
      <c r="G369" s="146"/>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225"/>
      <c r="B370" s="225"/>
      <c r="C370" s="131"/>
      <c r="D370" s="131"/>
      <c r="E370" s="146"/>
      <c r="F370" s="146"/>
      <c r="G370" s="146"/>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225"/>
      <c r="B371" s="225"/>
      <c r="C371" s="131"/>
      <c r="D371" s="131"/>
      <c r="E371" s="146"/>
      <c r="F371" s="146"/>
      <c r="G371" s="146"/>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225"/>
      <c r="B372" s="225"/>
      <c r="C372" s="131"/>
      <c r="D372" s="131"/>
      <c r="E372" s="146"/>
      <c r="F372" s="146"/>
      <c r="G372" s="146"/>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225"/>
      <c r="B373" s="225"/>
      <c r="C373" s="131"/>
      <c r="D373" s="131"/>
      <c r="E373" s="146"/>
      <c r="F373" s="146"/>
      <c r="G373" s="146"/>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225"/>
      <c r="B374" s="225"/>
      <c r="C374" s="131"/>
      <c r="D374" s="131"/>
      <c r="E374" s="146"/>
      <c r="F374" s="146"/>
      <c r="G374" s="146"/>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225"/>
      <c r="B375" s="225"/>
      <c r="C375" s="131"/>
      <c r="D375" s="131"/>
      <c r="E375" s="146"/>
      <c r="F375" s="146"/>
      <c r="G375" s="146"/>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225"/>
      <c r="B376" s="225"/>
      <c r="C376" s="131"/>
      <c r="D376" s="131"/>
      <c r="E376" s="146"/>
      <c r="F376" s="146"/>
      <c r="G376" s="146"/>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225"/>
      <c r="B377" s="225"/>
      <c r="C377" s="131"/>
      <c r="D377" s="131"/>
      <c r="E377" s="146"/>
      <c r="F377" s="146"/>
      <c r="G377" s="146"/>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225"/>
      <c r="B378" s="225"/>
      <c r="C378" s="131"/>
      <c r="D378" s="131"/>
      <c r="E378" s="146"/>
      <c r="F378" s="146"/>
      <c r="G378" s="146"/>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225"/>
      <c r="B379" s="225"/>
      <c r="C379" s="131"/>
      <c r="D379" s="131"/>
      <c r="E379" s="146"/>
      <c r="F379" s="146"/>
      <c r="G379" s="146"/>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225"/>
      <c r="B380" s="225"/>
      <c r="C380" s="131"/>
      <c r="D380" s="131"/>
      <c r="E380" s="146"/>
      <c r="F380" s="146"/>
      <c r="G380" s="146"/>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225"/>
      <c r="B381" s="225"/>
      <c r="C381" s="131"/>
      <c r="D381" s="131"/>
      <c r="E381" s="146"/>
      <c r="F381" s="146"/>
      <c r="G381" s="146"/>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225"/>
      <c r="B382" s="225"/>
      <c r="C382" s="131"/>
      <c r="D382" s="131"/>
      <c r="E382" s="146"/>
      <c r="F382" s="146"/>
      <c r="G382" s="146"/>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225"/>
      <c r="B383" s="225"/>
      <c r="C383" s="131"/>
      <c r="D383" s="131"/>
      <c r="E383" s="146"/>
      <c r="F383" s="146"/>
      <c r="G383" s="146"/>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225"/>
      <c r="B384" s="225"/>
      <c r="C384" s="131"/>
      <c r="D384" s="131"/>
      <c r="E384" s="146"/>
      <c r="F384" s="146"/>
      <c r="G384" s="146"/>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225"/>
      <c r="B385" s="225"/>
      <c r="C385" s="131"/>
      <c r="D385" s="131"/>
      <c r="E385" s="146"/>
      <c r="F385" s="146"/>
      <c r="G385" s="146"/>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225"/>
      <c r="B386" s="225"/>
      <c r="C386" s="131"/>
      <c r="D386" s="131"/>
      <c r="E386" s="146"/>
      <c r="F386" s="146"/>
      <c r="G386" s="146"/>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225"/>
      <c r="B387" s="225"/>
      <c r="C387" s="131"/>
      <c r="D387" s="131"/>
      <c r="E387" s="146"/>
      <c r="F387" s="146"/>
      <c r="G387" s="146"/>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225"/>
      <c r="B388" s="225"/>
      <c r="C388" s="131"/>
      <c r="D388" s="131"/>
      <c r="E388" s="146"/>
      <c r="F388" s="146"/>
      <c r="G388" s="146"/>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225"/>
      <c r="B389" s="225"/>
      <c r="C389" s="131"/>
      <c r="D389" s="131"/>
      <c r="E389" s="146"/>
      <c r="F389" s="146"/>
      <c r="G389" s="146"/>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225"/>
      <c r="B390" s="225"/>
      <c r="C390" s="131"/>
      <c r="D390" s="131"/>
      <c r="E390" s="146"/>
      <c r="F390" s="146"/>
      <c r="G390" s="146"/>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225"/>
      <c r="B391" s="225"/>
      <c r="C391" s="131"/>
      <c r="D391" s="131"/>
      <c r="E391" s="146"/>
      <c r="F391" s="146"/>
      <c r="G391" s="146"/>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225"/>
      <c r="B392" s="225"/>
      <c r="C392" s="131"/>
      <c r="D392" s="131"/>
      <c r="E392" s="146"/>
      <c r="F392" s="146"/>
      <c r="G392" s="146"/>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225"/>
      <c r="B393" s="225"/>
      <c r="C393" s="131"/>
      <c r="D393" s="131"/>
      <c r="E393" s="146"/>
      <c r="F393" s="146"/>
      <c r="G393" s="146"/>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225"/>
      <c r="B394" s="225"/>
      <c r="C394" s="131"/>
      <c r="D394" s="131"/>
      <c r="E394" s="146"/>
      <c r="F394" s="146"/>
      <c r="G394" s="146"/>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225"/>
      <c r="B395" s="225"/>
      <c r="C395" s="131"/>
      <c r="D395" s="131"/>
      <c r="E395" s="146"/>
      <c r="F395" s="146"/>
      <c r="G395" s="146"/>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225"/>
      <c r="B396" s="225"/>
      <c r="C396" s="131"/>
      <c r="D396" s="131"/>
      <c r="E396" s="146"/>
      <c r="F396" s="146"/>
      <c r="G396" s="146"/>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225"/>
      <c r="B397" s="225"/>
      <c r="C397" s="131"/>
      <c r="D397" s="131"/>
      <c r="E397" s="146"/>
      <c r="F397" s="146"/>
      <c r="G397" s="146"/>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225"/>
      <c r="B398" s="225"/>
      <c r="C398" s="131"/>
      <c r="D398" s="131"/>
      <c r="E398" s="146"/>
      <c r="F398" s="146"/>
      <c r="G398" s="146"/>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225"/>
      <c r="B399" s="225"/>
      <c r="C399" s="131"/>
      <c r="D399" s="131"/>
      <c r="E399" s="146"/>
      <c r="F399" s="146"/>
      <c r="G399" s="146"/>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225"/>
      <c r="B400" s="225"/>
      <c r="C400" s="131"/>
      <c r="D400" s="131"/>
      <c r="E400" s="146"/>
      <c r="F400" s="146"/>
      <c r="G400" s="146"/>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225"/>
      <c r="B401" s="225"/>
      <c r="C401" s="131"/>
      <c r="D401" s="131"/>
      <c r="E401" s="146"/>
      <c r="F401" s="146"/>
      <c r="G401" s="146"/>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225"/>
      <c r="B402" s="225"/>
      <c r="C402" s="131"/>
      <c r="D402" s="131"/>
      <c r="E402" s="146"/>
      <c r="F402" s="146"/>
      <c r="G402" s="146"/>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225"/>
      <c r="B403" s="225"/>
      <c r="C403" s="131"/>
      <c r="D403" s="131"/>
      <c r="E403" s="146"/>
      <c r="F403" s="146"/>
      <c r="G403" s="146"/>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225"/>
      <c r="B404" s="225"/>
      <c r="C404" s="131"/>
      <c r="D404" s="131"/>
      <c r="E404" s="146"/>
      <c r="F404" s="146"/>
      <c r="G404" s="146"/>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225"/>
      <c r="B405" s="225"/>
      <c r="C405" s="131"/>
      <c r="D405" s="131"/>
      <c r="E405" s="146"/>
      <c r="F405" s="146"/>
      <c r="G405" s="146"/>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225"/>
      <c r="B406" s="225"/>
      <c r="C406" s="131"/>
      <c r="D406" s="131"/>
      <c r="E406" s="146"/>
      <c r="F406" s="146"/>
      <c r="G406" s="146"/>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225"/>
      <c r="B407" s="225"/>
      <c r="C407" s="131"/>
      <c r="D407" s="131"/>
      <c r="E407" s="146"/>
      <c r="F407" s="146"/>
      <c r="G407" s="146"/>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225"/>
      <c r="B408" s="225"/>
      <c r="C408" s="131"/>
      <c r="D408" s="131"/>
      <c r="E408" s="146"/>
      <c r="F408" s="146"/>
      <c r="G408" s="146"/>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225"/>
      <c r="B409" s="225"/>
      <c r="C409" s="131"/>
      <c r="D409" s="131"/>
      <c r="E409" s="146"/>
      <c r="F409" s="146"/>
      <c r="G409" s="146"/>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225"/>
      <c r="B410" s="225"/>
      <c r="C410" s="131"/>
      <c r="D410" s="131"/>
      <c r="E410" s="146"/>
      <c r="F410" s="146"/>
      <c r="G410" s="146"/>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225"/>
      <c r="B411" s="225"/>
      <c r="C411" s="131"/>
      <c r="D411" s="131"/>
      <c r="E411" s="146"/>
      <c r="F411" s="146"/>
      <c r="G411" s="146"/>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225"/>
      <c r="B412" s="225"/>
      <c r="C412" s="131"/>
      <c r="D412" s="131"/>
      <c r="E412" s="146"/>
      <c r="F412" s="146"/>
      <c r="G412" s="146"/>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225"/>
      <c r="B413" s="225"/>
      <c r="C413" s="131"/>
      <c r="D413" s="131"/>
      <c r="E413" s="146"/>
      <c r="F413" s="146"/>
      <c r="G413" s="146"/>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225"/>
      <c r="B414" s="225"/>
      <c r="C414" s="131"/>
      <c r="D414" s="131"/>
      <c r="E414" s="146"/>
      <c r="F414" s="146"/>
      <c r="G414" s="146"/>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225"/>
      <c r="B415" s="225"/>
      <c r="C415" s="131"/>
      <c r="D415" s="131"/>
      <c r="E415" s="146"/>
      <c r="F415" s="146"/>
      <c r="G415" s="146"/>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225"/>
      <c r="B416" s="225"/>
      <c r="C416" s="131"/>
      <c r="D416" s="131"/>
      <c r="E416" s="146"/>
      <c r="F416" s="146"/>
      <c r="G416" s="146"/>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225"/>
      <c r="B417" s="225"/>
      <c r="C417" s="131"/>
      <c r="D417" s="131"/>
      <c r="E417" s="146"/>
      <c r="F417" s="146"/>
      <c r="G417" s="146"/>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225"/>
      <c r="B418" s="225"/>
      <c r="C418" s="131"/>
      <c r="D418" s="131"/>
      <c r="E418" s="146"/>
      <c r="F418" s="146"/>
      <c r="G418" s="146"/>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225"/>
      <c r="B419" s="225"/>
      <c r="C419" s="131"/>
      <c r="D419" s="131"/>
      <c r="E419" s="146"/>
      <c r="F419" s="146"/>
      <c r="G419" s="146"/>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225"/>
      <c r="B420" s="225"/>
      <c r="C420" s="131"/>
      <c r="D420" s="131"/>
      <c r="E420" s="146"/>
      <c r="F420" s="146"/>
      <c r="G420" s="146"/>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225"/>
      <c r="B421" s="225"/>
      <c r="C421" s="131"/>
      <c r="D421" s="131"/>
      <c r="E421" s="146"/>
      <c r="F421" s="146"/>
      <c r="G421" s="146"/>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225"/>
      <c r="B422" s="225"/>
      <c r="C422" s="131"/>
      <c r="D422" s="131"/>
      <c r="E422" s="146"/>
      <c r="F422" s="146"/>
      <c r="G422" s="146"/>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225"/>
      <c r="B423" s="225"/>
      <c r="C423" s="131"/>
      <c r="D423" s="131"/>
      <c r="E423" s="146"/>
      <c r="F423" s="146"/>
      <c r="G423" s="146"/>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225"/>
      <c r="B424" s="225"/>
      <c r="C424" s="131"/>
      <c r="D424" s="131"/>
      <c r="E424" s="146"/>
      <c r="F424" s="146"/>
      <c r="G424" s="146"/>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225"/>
      <c r="B425" s="225"/>
      <c r="C425" s="131"/>
      <c r="D425" s="131"/>
      <c r="E425" s="146"/>
      <c r="F425" s="146"/>
      <c r="G425" s="146"/>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225"/>
      <c r="B426" s="225"/>
      <c r="C426" s="131"/>
      <c r="D426" s="131"/>
      <c r="E426" s="146"/>
      <c r="F426" s="146"/>
      <c r="G426" s="146"/>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225"/>
      <c r="B427" s="225"/>
      <c r="C427" s="131"/>
      <c r="D427" s="131"/>
      <c r="E427" s="146"/>
      <c r="F427" s="146"/>
      <c r="G427" s="146"/>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225"/>
      <c r="B428" s="225"/>
      <c r="C428" s="131"/>
      <c r="D428" s="131"/>
      <c r="E428" s="146"/>
      <c r="F428" s="146"/>
      <c r="G428" s="146"/>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225"/>
      <c r="B429" s="225"/>
      <c r="C429" s="131"/>
      <c r="D429" s="131"/>
      <c r="E429" s="146"/>
      <c r="F429" s="146"/>
      <c r="G429" s="146"/>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225"/>
      <c r="B430" s="225"/>
      <c r="C430" s="131"/>
      <c r="D430" s="131"/>
      <c r="E430" s="146"/>
      <c r="F430" s="146"/>
      <c r="G430" s="146"/>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225"/>
      <c r="B431" s="225"/>
      <c r="C431" s="131"/>
      <c r="D431" s="131"/>
      <c r="E431" s="146"/>
      <c r="F431" s="146"/>
      <c r="G431" s="146"/>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225"/>
      <c r="B432" s="225"/>
      <c r="C432" s="131"/>
      <c r="D432" s="131"/>
      <c r="E432" s="146"/>
      <c r="F432" s="146"/>
      <c r="G432" s="146"/>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225"/>
      <c r="B433" s="225"/>
      <c r="C433" s="131"/>
      <c r="D433" s="131"/>
      <c r="E433" s="146"/>
      <c r="F433" s="146"/>
      <c r="G433" s="146"/>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225"/>
      <c r="B434" s="225"/>
      <c r="C434" s="131"/>
      <c r="D434" s="131"/>
      <c r="E434" s="146"/>
      <c r="F434" s="146"/>
      <c r="G434" s="146"/>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225"/>
      <c r="B435" s="225"/>
      <c r="C435" s="131"/>
      <c r="D435" s="131"/>
      <c r="E435" s="146"/>
      <c r="F435" s="146"/>
      <c r="G435" s="146"/>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225"/>
      <c r="B436" s="225"/>
      <c r="C436" s="131"/>
      <c r="D436" s="131"/>
      <c r="E436" s="146"/>
      <c r="F436" s="146"/>
      <c r="G436" s="146"/>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225"/>
      <c r="B437" s="225"/>
      <c r="C437" s="131"/>
      <c r="D437" s="131"/>
      <c r="E437" s="146"/>
      <c r="F437" s="146"/>
      <c r="G437" s="146"/>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225"/>
      <c r="B438" s="225"/>
      <c r="C438" s="131"/>
      <c r="D438" s="131"/>
      <c r="E438" s="146"/>
      <c r="F438" s="146"/>
      <c r="G438" s="146"/>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225"/>
      <c r="B439" s="225"/>
      <c r="C439" s="131"/>
      <c r="D439" s="131"/>
      <c r="E439" s="146"/>
      <c r="F439" s="146"/>
      <c r="G439" s="146"/>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225"/>
      <c r="B440" s="225"/>
      <c r="C440" s="131"/>
      <c r="D440" s="131"/>
      <c r="E440" s="146"/>
      <c r="F440" s="146"/>
      <c r="G440" s="146"/>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225"/>
      <c r="B441" s="225"/>
      <c r="C441" s="131"/>
      <c r="D441" s="131"/>
      <c r="E441" s="146"/>
      <c r="F441" s="146"/>
      <c r="G441" s="146"/>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225"/>
      <c r="B442" s="225"/>
      <c r="C442" s="131"/>
      <c r="D442" s="131"/>
      <c r="E442" s="146"/>
      <c r="F442" s="146"/>
      <c r="G442" s="146"/>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225"/>
      <c r="B443" s="225"/>
      <c r="C443" s="131"/>
      <c r="D443" s="131"/>
      <c r="E443" s="146"/>
      <c r="F443" s="146"/>
      <c r="G443" s="146"/>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225"/>
      <c r="B444" s="225"/>
      <c r="C444" s="131"/>
      <c r="D444" s="131"/>
      <c r="E444" s="146"/>
      <c r="F444" s="146"/>
      <c r="G444" s="146"/>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225"/>
      <c r="B445" s="225"/>
      <c r="C445" s="131"/>
      <c r="D445" s="131"/>
      <c r="E445" s="146"/>
      <c r="F445" s="146"/>
      <c r="G445" s="146"/>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225"/>
      <c r="B446" s="225"/>
      <c r="C446" s="131"/>
      <c r="D446" s="131"/>
      <c r="E446" s="146"/>
      <c r="F446" s="146"/>
      <c r="G446" s="146"/>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225"/>
      <c r="B447" s="225"/>
      <c r="C447" s="131"/>
      <c r="D447" s="131"/>
      <c r="E447" s="146"/>
      <c r="F447" s="146"/>
      <c r="G447" s="146"/>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225"/>
      <c r="B448" s="225"/>
      <c r="C448" s="131"/>
      <c r="D448" s="131"/>
      <c r="E448" s="146"/>
      <c r="F448" s="146"/>
      <c r="G448" s="146"/>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225"/>
      <c r="B449" s="225"/>
      <c r="C449" s="131"/>
      <c r="D449" s="131"/>
      <c r="E449" s="146"/>
      <c r="F449" s="146"/>
      <c r="G449" s="146"/>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225"/>
      <c r="B450" s="225"/>
      <c r="C450" s="131"/>
      <c r="D450" s="131"/>
      <c r="E450" s="146"/>
      <c r="F450" s="146"/>
      <c r="G450" s="146"/>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225"/>
      <c r="B451" s="225"/>
      <c r="C451" s="131"/>
      <c r="D451" s="131"/>
      <c r="E451" s="146"/>
      <c r="F451" s="146"/>
      <c r="G451" s="146"/>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225"/>
      <c r="B452" s="225"/>
      <c r="C452" s="131"/>
      <c r="D452" s="131"/>
      <c r="E452" s="146"/>
      <c r="F452" s="146"/>
      <c r="G452" s="146"/>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225"/>
      <c r="B453" s="225"/>
      <c r="C453" s="131"/>
      <c r="D453" s="131"/>
      <c r="E453" s="146"/>
      <c r="F453" s="146"/>
      <c r="G453" s="146"/>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225"/>
      <c r="B454" s="225"/>
      <c r="C454" s="131"/>
      <c r="D454" s="131"/>
      <c r="E454" s="146"/>
      <c r="F454" s="146"/>
      <c r="G454" s="146"/>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225"/>
      <c r="B455" s="225"/>
      <c r="C455" s="131"/>
      <c r="D455" s="131"/>
      <c r="E455" s="146"/>
      <c r="F455" s="146"/>
      <c r="G455" s="146"/>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225"/>
      <c r="B456" s="225"/>
      <c r="C456" s="131"/>
      <c r="D456" s="131"/>
      <c r="E456" s="146"/>
      <c r="F456" s="146"/>
      <c r="G456" s="146"/>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225"/>
      <c r="B457" s="225"/>
      <c r="C457" s="131"/>
      <c r="D457" s="131"/>
      <c r="E457" s="146"/>
      <c r="F457" s="146"/>
      <c r="G457" s="146"/>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225"/>
      <c r="B458" s="225"/>
      <c r="C458" s="131"/>
      <c r="D458" s="131"/>
      <c r="E458" s="146"/>
      <c r="F458" s="146"/>
      <c r="G458" s="146"/>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225"/>
      <c r="B459" s="225"/>
      <c r="C459" s="131"/>
      <c r="D459" s="131"/>
      <c r="E459" s="146"/>
      <c r="F459" s="146"/>
      <c r="G459" s="146"/>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225"/>
      <c r="B460" s="225"/>
      <c r="C460" s="131"/>
      <c r="D460" s="131"/>
      <c r="E460" s="146"/>
      <c r="F460" s="146"/>
      <c r="G460" s="146"/>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225"/>
      <c r="B461" s="225"/>
      <c r="C461" s="131"/>
      <c r="D461" s="131"/>
      <c r="E461" s="146"/>
      <c r="F461" s="146"/>
      <c r="G461" s="146"/>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225"/>
      <c r="B462" s="225"/>
      <c r="C462" s="131"/>
      <c r="D462" s="131"/>
      <c r="E462" s="146"/>
      <c r="F462" s="146"/>
      <c r="G462" s="146"/>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225"/>
      <c r="B463" s="225"/>
      <c r="C463" s="131"/>
      <c r="D463" s="131"/>
      <c r="E463" s="146"/>
      <c r="F463" s="146"/>
      <c r="G463" s="146"/>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225"/>
      <c r="B464" s="225"/>
      <c r="C464" s="131"/>
      <c r="D464" s="131"/>
      <c r="E464" s="146"/>
      <c r="F464" s="146"/>
      <c r="G464" s="146"/>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225"/>
      <c r="B465" s="225"/>
      <c r="C465" s="131"/>
      <c r="D465" s="131"/>
      <c r="E465" s="146"/>
      <c r="F465" s="146"/>
      <c r="G465" s="146"/>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225"/>
      <c r="B466" s="225"/>
      <c r="C466" s="131"/>
      <c r="D466" s="131"/>
      <c r="E466" s="146"/>
      <c r="F466" s="146"/>
      <c r="G466" s="146"/>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225"/>
      <c r="B467" s="225"/>
      <c r="C467" s="131"/>
      <c r="D467" s="131"/>
      <c r="E467" s="146"/>
      <c r="F467" s="146"/>
      <c r="G467" s="146"/>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225"/>
      <c r="B468" s="225"/>
      <c r="C468" s="131"/>
      <c r="D468" s="131"/>
      <c r="E468" s="146"/>
      <c r="F468" s="146"/>
      <c r="G468" s="146"/>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225"/>
      <c r="B469" s="225"/>
      <c r="C469" s="131"/>
      <c r="D469" s="131"/>
      <c r="E469" s="146"/>
      <c r="F469" s="146"/>
      <c r="G469" s="146"/>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225"/>
      <c r="B470" s="225"/>
      <c r="C470" s="131"/>
      <c r="D470" s="131"/>
      <c r="E470" s="146"/>
      <c r="F470" s="146"/>
      <c r="G470" s="146"/>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225"/>
      <c r="B471" s="225"/>
      <c r="C471" s="131"/>
      <c r="D471" s="131"/>
      <c r="E471" s="146"/>
      <c r="F471" s="146"/>
      <c r="G471" s="146"/>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225"/>
      <c r="B472" s="225"/>
      <c r="C472" s="131"/>
      <c r="D472" s="131"/>
      <c r="E472" s="146"/>
      <c r="F472" s="146"/>
      <c r="G472" s="146"/>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225"/>
      <c r="B473" s="225"/>
      <c r="C473" s="131"/>
      <c r="D473" s="131"/>
      <c r="E473" s="146"/>
      <c r="F473" s="146"/>
      <c r="G473" s="146"/>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225"/>
      <c r="B474" s="225"/>
      <c r="C474" s="131"/>
      <c r="D474" s="131"/>
      <c r="E474" s="146"/>
      <c r="F474" s="146"/>
      <c r="G474" s="146"/>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225"/>
      <c r="B475" s="225"/>
      <c r="C475" s="131"/>
      <c r="D475" s="131"/>
      <c r="E475" s="146"/>
      <c r="F475" s="146"/>
      <c r="G475" s="146"/>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225"/>
      <c r="B476" s="225"/>
      <c r="C476" s="131"/>
      <c r="D476" s="131"/>
      <c r="E476" s="146"/>
      <c r="F476" s="146"/>
      <c r="G476" s="146"/>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225"/>
      <c r="B477" s="225"/>
      <c r="C477" s="131"/>
      <c r="D477" s="131"/>
      <c r="E477" s="146"/>
      <c r="F477" s="146"/>
      <c r="G477" s="146"/>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225"/>
      <c r="B478" s="225"/>
      <c r="C478" s="131"/>
      <c r="D478" s="131"/>
      <c r="E478" s="146"/>
      <c r="F478" s="146"/>
      <c r="G478" s="146"/>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225"/>
      <c r="B479" s="225"/>
      <c r="C479" s="131"/>
      <c r="D479" s="131"/>
      <c r="E479" s="146"/>
      <c r="F479" s="146"/>
      <c r="G479" s="146"/>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225"/>
      <c r="B480" s="225"/>
      <c r="C480" s="131"/>
      <c r="D480" s="131"/>
      <c r="E480" s="146"/>
      <c r="F480" s="146"/>
      <c r="G480" s="146"/>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225"/>
      <c r="B481" s="225"/>
      <c r="C481" s="131"/>
      <c r="D481" s="131"/>
      <c r="E481" s="146"/>
      <c r="F481" s="146"/>
      <c r="G481" s="146"/>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225"/>
      <c r="B482" s="225"/>
      <c r="C482" s="131"/>
      <c r="D482" s="131"/>
      <c r="E482" s="146"/>
      <c r="F482" s="146"/>
      <c r="G482" s="146"/>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225"/>
      <c r="B483" s="225"/>
      <c r="C483" s="131"/>
      <c r="D483" s="131"/>
      <c r="E483" s="146"/>
      <c r="F483" s="146"/>
      <c r="G483" s="146"/>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225"/>
      <c r="B484" s="225"/>
      <c r="C484" s="131"/>
      <c r="D484" s="131"/>
      <c r="E484" s="146"/>
      <c r="F484" s="146"/>
      <c r="G484" s="146"/>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225"/>
      <c r="B485" s="225"/>
      <c r="C485" s="131"/>
      <c r="D485" s="131"/>
      <c r="E485" s="146"/>
      <c r="F485" s="146"/>
      <c r="G485" s="146"/>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225"/>
      <c r="B486" s="225"/>
      <c r="C486" s="131"/>
      <c r="D486" s="131"/>
      <c r="E486" s="146"/>
      <c r="F486" s="146"/>
      <c r="G486" s="146"/>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225"/>
      <c r="B487" s="225"/>
      <c r="C487" s="131"/>
      <c r="D487" s="131"/>
      <c r="E487" s="146"/>
      <c r="F487" s="146"/>
      <c r="G487" s="146"/>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225"/>
      <c r="B488" s="225"/>
      <c r="C488" s="131"/>
      <c r="D488" s="131"/>
      <c r="E488" s="146"/>
      <c r="F488" s="146"/>
      <c r="G488" s="146"/>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225"/>
      <c r="B489" s="225"/>
      <c r="C489" s="131"/>
      <c r="D489" s="131"/>
      <c r="E489" s="146"/>
      <c r="F489" s="146"/>
      <c r="G489" s="146"/>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225"/>
      <c r="B490" s="225"/>
      <c r="C490" s="131"/>
      <c r="D490" s="131"/>
      <c r="E490" s="146"/>
      <c r="F490" s="146"/>
      <c r="G490" s="146"/>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225"/>
      <c r="B491" s="225"/>
      <c r="C491" s="131"/>
      <c r="D491" s="131"/>
      <c r="E491" s="146"/>
      <c r="F491" s="146"/>
      <c r="G491" s="146"/>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225"/>
      <c r="B492" s="225"/>
      <c r="C492" s="131"/>
      <c r="D492" s="131"/>
      <c r="E492" s="146"/>
      <c r="F492" s="146"/>
      <c r="G492" s="146"/>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225"/>
      <c r="B493" s="225"/>
      <c r="C493" s="131"/>
      <c r="D493" s="131"/>
      <c r="E493" s="146"/>
      <c r="F493" s="146"/>
      <c r="G493" s="146"/>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225"/>
      <c r="B494" s="225"/>
      <c r="C494" s="131"/>
      <c r="D494" s="131"/>
      <c r="E494" s="146"/>
      <c r="F494" s="146"/>
      <c r="G494" s="146"/>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225"/>
      <c r="B495" s="225"/>
      <c r="C495" s="131"/>
      <c r="D495" s="131"/>
      <c r="E495" s="146"/>
      <c r="F495" s="146"/>
      <c r="G495" s="146"/>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225"/>
      <c r="B496" s="225"/>
      <c r="C496" s="131"/>
      <c r="D496" s="131"/>
      <c r="E496" s="146"/>
      <c r="F496" s="146"/>
      <c r="G496" s="146"/>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225"/>
      <c r="B497" s="225"/>
      <c r="C497" s="131"/>
      <c r="D497" s="131"/>
      <c r="E497" s="146"/>
      <c r="F497" s="146"/>
      <c r="G497" s="146"/>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225"/>
      <c r="B498" s="225"/>
      <c r="C498" s="131"/>
      <c r="D498" s="131"/>
      <c r="E498" s="146"/>
      <c r="F498" s="146"/>
      <c r="G498" s="146"/>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225"/>
      <c r="B499" s="225"/>
      <c r="C499" s="131"/>
      <c r="D499" s="131"/>
      <c r="E499" s="146"/>
      <c r="F499" s="146"/>
      <c r="G499" s="146"/>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225"/>
      <c r="B500" s="225"/>
      <c r="C500" s="131"/>
      <c r="D500" s="131"/>
      <c r="E500" s="146"/>
      <c r="F500" s="146"/>
      <c r="G500" s="146"/>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225"/>
      <c r="B501" s="225"/>
      <c r="C501" s="131"/>
      <c r="D501" s="131"/>
      <c r="E501" s="146"/>
      <c r="F501" s="146"/>
      <c r="G501" s="146"/>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225"/>
      <c r="B502" s="225"/>
      <c r="C502" s="131"/>
      <c r="D502" s="131"/>
      <c r="E502" s="146"/>
      <c r="F502" s="146"/>
      <c r="G502" s="146"/>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225"/>
      <c r="B503" s="225"/>
      <c r="C503" s="131"/>
      <c r="D503" s="131"/>
      <c r="E503" s="146"/>
      <c r="F503" s="146"/>
      <c r="G503" s="146"/>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225"/>
      <c r="B504" s="225"/>
      <c r="C504" s="131"/>
      <c r="D504" s="131"/>
      <c r="E504" s="146"/>
      <c r="F504" s="146"/>
      <c r="G504" s="146"/>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225"/>
      <c r="B505" s="225"/>
      <c r="C505" s="131"/>
      <c r="D505" s="131"/>
      <c r="E505" s="146"/>
      <c r="F505" s="146"/>
      <c r="G505" s="146"/>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225"/>
      <c r="B506" s="225"/>
      <c r="C506" s="131"/>
      <c r="D506" s="131"/>
      <c r="E506" s="146"/>
      <c r="F506" s="146"/>
      <c r="G506" s="146"/>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225"/>
      <c r="B507" s="225"/>
      <c r="C507" s="131"/>
      <c r="D507" s="131"/>
      <c r="E507" s="146"/>
      <c r="F507" s="146"/>
      <c r="G507" s="146"/>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225"/>
      <c r="B508" s="225"/>
      <c r="C508" s="131"/>
      <c r="D508" s="131"/>
      <c r="E508" s="146"/>
      <c r="F508" s="146"/>
      <c r="G508" s="146"/>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225"/>
      <c r="B509" s="225"/>
      <c r="C509" s="131"/>
      <c r="D509" s="131"/>
      <c r="E509" s="146"/>
      <c r="F509" s="146"/>
      <c r="G509" s="146"/>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225"/>
      <c r="B510" s="225"/>
      <c r="C510" s="131"/>
      <c r="D510" s="131"/>
      <c r="E510" s="146"/>
      <c r="F510" s="146"/>
      <c r="G510" s="146"/>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225"/>
      <c r="B511" s="225"/>
      <c r="C511" s="131"/>
      <c r="D511" s="131"/>
      <c r="E511" s="146"/>
      <c r="F511" s="146"/>
      <c r="G511" s="146"/>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225"/>
      <c r="B512" s="225"/>
      <c r="C512" s="131"/>
      <c r="D512" s="131"/>
      <c r="E512" s="146"/>
      <c r="F512" s="146"/>
      <c r="G512" s="146"/>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225"/>
      <c r="B513" s="225"/>
      <c r="C513" s="131"/>
      <c r="D513" s="131"/>
      <c r="E513" s="146"/>
      <c r="F513" s="146"/>
      <c r="G513" s="146"/>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225"/>
      <c r="B514" s="225"/>
      <c r="C514" s="131"/>
      <c r="D514" s="131"/>
      <c r="E514" s="146"/>
      <c r="F514" s="146"/>
      <c r="G514" s="146"/>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225"/>
      <c r="B515" s="225"/>
      <c r="C515" s="131"/>
      <c r="D515" s="131"/>
      <c r="E515" s="146"/>
      <c r="F515" s="146"/>
      <c r="G515" s="146"/>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225"/>
      <c r="B516" s="225"/>
      <c r="C516" s="131"/>
      <c r="D516" s="131"/>
      <c r="E516" s="146"/>
      <c r="F516" s="146"/>
      <c r="G516" s="146"/>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225"/>
      <c r="B517" s="225"/>
      <c r="C517" s="131"/>
      <c r="D517" s="131"/>
      <c r="E517" s="146"/>
      <c r="F517" s="146"/>
      <c r="G517" s="146"/>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225"/>
      <c r="B518" s="225"/>
      <c r="C518" s="131"/>
      <c r="D518" s="131"/>
      <c r="E518" s="146"/>
      <c r="F518" s="146"/>
      <c r="G518" s="146"/>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225"/>
      <c r="B519" s="225"/>
      <c r="C519" s="131"/>
      <c r="D519" s="131"/>
      <c r="E519" s="146"/>
      <c r="F519" s="146"/>
      <c r="G519" s="146"/>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225"/>
      <c r="B520" s="225"/>
      <c r="C520" s="131"/>
      <c r="D520" s="131"/>
      <c r="E520" s="146"/>
      <c r="F520" s="146"/>
      <c r="G520" s="146"/>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225"/>
      <c r="B521" s="225"/>
      <c r="C521" s="131"/>
      <c r="D521" s="131"/>
      <c r="E521" s="146"/>
      <c r="F521" s="146"/>
      <c r="G521" s="146"/>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225"/>
      <c r="B522" s="225"/>
      <c r="C522" s="131"/>
      <c r="D522" s="131"/>
      <c r="E522" s="146"/>
      <c r="F522" s="146"/>
      <c r="G522" s="146"/>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225"/>
      <c r="B523" s="225"/>
      <c r="C523" s="131"/>
      <c r="D523" s="131"/>
      <c r="E523" s="146"/>
      <c r="F523" s="146"/>
      <c r="G523" s="146"/>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225"/>
      <c r="B524" s="225"/>
      <c r="C524" s="131"/>
      <c r="D524" s="131"/>
      <c r="E524" s="146"/>
      <c r="F524" s="146"/>
      <c r="G524" s="146"/>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225"/>
      <c r="B525" s="225"/>
      <c r="C525" s="131"/>
      <c r="D525" s="131"/>
      <c r="E525" s="146"/>
      <c r="F525" s="146"/>
      <c r="G525" s="146"/>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225"/>
      <c r="B526" s="225"/>
      <c r="C526" s="131"/>
      <c r="D526" s="131"/>
      <c r="E526" s="146"/>
      <c r="F526" s="146"/>
      <c r="G526" s="146"/>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225"/>
      <c r="B527" s="225"/>
      <c r="C527" s="131"/>
      <c r="D527" s="131"/>
      <c r="E527" s="146"/>
      <c r="F527" s="146"/>
      <c r="G527" s="146"/>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225"/>
      <c r="B528" s="225"/>
      <c r="C528" s="131"/>
      <c r="D528" s="131"/>
      <c r="E528" s="146"/>
      <c r="F528" s="146"/>
      <c r="G528" s="146"/>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225"/>
      <c r="B529" s="225"/>
      <c r="C529" s="131"/>
      <c r="D529" s="131"/>
      <c r="E529" s="146"/>
      <c r="F529" s="146"/>
      <c r="G529" s="146"/>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225"/>
      <c r="B530" s="225"/>
      <c r="C530" s="131"/>
      <c r="D530" s="131"/>
      <c r="E530" s="146"/>
      <c r="F530" s="146"/>
      <c r="G530" s="146"/>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225"/>
      <c r="B531" s="225"/>
      <c r="C531" s="131"/>
      <c r="D531" s="131"/>
      <c r="E531" s="146"/>
      <c r="F531" s="146"/>
      <c r="G531" s="146"/>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225"/>
      <c r="B532" s="225"/>
      <c r="C532" s="131"/>
      <c r="D532" s="131"/>
      <c r="E532" s="146"/>
      <c r="F532" s="146"/>
      <c r="G532" s="146"/>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225"/>
      <c r="B533" s="225"/>
      <c r="C533" s="131"/>
      <c r="D533" s="131"/>
      <c r="E533" s="146"/>
      <c r="F533" s="146"/>
      <c r="G533" s="146"/>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225"/>
      <c r="B534" s="225"/>
      <c r="C534" s="131"/>
      <c r="D534" s="131"/>
      <c r="E534" s="146"/>
      <c r="F534" s="146"/>
      <c r="G534" s="146"/>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225"/>
      <c r="B535" s="225"/>
      <c r="C535" s="131"/>
      <c r="D535" s="131"/>
      <c r="E535" s="146"/>
      <c r="F535" s="146"/>
      <c r="G535" s="146"/>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225"/>
      <c r="B536" s="225"/>
      <c r="C536" s="131"/>
      <c r="D536" s="131"/>
      <c r="E536" s="146"/>
      <c r="F536" s="146"/>
      <c r="G536" s="146"/>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225"/>
      <c r="B537" s="225"/>
      <c r="C537" s="131"/>
      <c r="D537" s="131"/>
      <c r="E537" s="146"/>
      <c r="F537" s="146"/>
      <c r="G537" s="146"/>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225"/>
      <c r="B538" s="225"/>
      <c r="C538" s="131"/>
      <c r="D538" s="131"/>
      <c r="E538" s="146"/>
      <c r="F538" s="146"/>
      <c r="G538" s="146"/>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225"/>
      <c r="B539" s="225"/>
      <c r="C539" s="131"/>
      <c r="D539" s="131"/>
      <c r="E539" s="146"/>
      <c r="F539" s="146"/>
      <c r="G539" s="146"/>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225"/>
      <c r="B540" s="225"/>
      <c r="C540" s="131"/>
      <c r="D540" s="131"/>
      <c r="E540" s="146"/>
      <c r="F540" s="146"/>
      <c r="G540" s="146"/>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225"/>
      <c r="B541" s="225"/>
      <c r="C541" s="131"/>
      <c r="D541" s="131"/>
      <c r="E541" s="146"/>
      <c r="F541" s="146"/>
      <c r="G541" s="146"/>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225"/>
      <c r="B542" s="225"/>
      <c r="C542" s="131"/>
      <c r="D542" s="131"/>
      <c r="E542" s="146"/>
      <c r="F542" s="146"/>
      <c r="G542" s="146"/>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225"/>
      <c r="B543" s="225"/>
      <c r="C543" s="131"/>
      <c r="D543" s="131"/>
      <c r="E543" s="146"/>
      <c r="F543" s="146"/>
      <c r="G543" s="146"/>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225"/>
      <c r="B544" s="225"/>
      <c r="C544" s="131"/>
      <c r="D544" s="131"/>
      <c r="E544" s="146"/>
      <c r="F544" s="146"/>
      <c r="G544" s="146"/>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225"/>
      <c r="B545" s="225"/>
      <c r="C545" s="131"/>
      <c r="D545" s="131"/>
      <c r="E545" s="146"/>
      <c r="F545" s="146"/>
      <c r="G545" s="146"/>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225"/>
      <c r="B546" s="225"/>
      <c r="C546" s="131"/>
      <c r="D546" s="131"/>
      <c r="E546" s="146"/>
      <c r="F546" s="146"/>
      <c r="G546" s="146"/>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225"/>
      <c r="B547" s="225"/>
      <c r="C547" s="131"/>
      <c r="D547" s="131"/>
      <c r="E547" s="146"/>
      <c r="F547" s="146"/>
      <c r="G547" s="146"/>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225"/>
      <c r="B548" s="225"/>
      <c r="C548" s="131"/>
      <c r="D548" s="131"/>
      <c r="E548" s="146"/>
      <c r="F548" s="146"/>
      <c r="G548" s="146"/>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225"/>
      <c r="B549" s="225"/>
      <c r="C549" s="131"/>
      <c r="D549" s="131"/>
      <c r="E549" s="146"/>
      <c r="F549" s="146"/>
      <c r="G549" s="146"/>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225"/>
      <c r="B550" s="225"/>
      <c r="C550" s="131"/>
      <c r="D550" s="131"/>
      <c r="E550" s="146"/>
      <c r="F550" s="146"/>
      <c r="G550" s="146"/>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225"/>
      <c r="B551" s="225"/>
      <c r="C551" s="131"/>
      <c r="D551" s="131"/>
      <c r="E551" s="146"/>
      <c r="F551" s="146"/>
      <c r="G551" s="146"/>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225"/>
      <c r="B552" s="225"/>
      <c r="C552" s="131"/>
      <c r="D552" s="131"/>
      <c r="E552" s="146"/>
      <c r="F552" s="146"/>
      <c r="G552" s="146"/>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225"/>
      <c r="B553" s="225"/>
      <c r="C553" s="131"/>
      <c r="D553" s="131"/>
      <c r="E553" s="146"/>
      <c r="F553" s="146"/>
      <c r="G553" s="146"/>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225"/>
      <c r="B554" s="225"/>
      <c r="C554" s="131"/>
      <c r="D554" s="131"/>
      <c r="E554" s="146"/>
      <c r="F554" s="146"/>
      <c r="G554" s="146"/>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225"/>
      <c r="B555" s="225"/>
      <c r="C555" s="131"/>
      <c r="D555" s="131"/>
      <c r="E555" s="146"/>
      <c r="F555" s="146"/>
      <c r="G555" s="146"/>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225"/>
      <c r="B556" s="225"/>
      <c r="C556" s="131"/>
      <c r="D556" s="131"/>
      <c r="E556" s="146"/>
      <c r="F556" s="146"/>
      <c r="G556" s="146"/>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225"/>
      <c r="B557" s="225"/>
      <c r="C557" s="131"/>
      <c r="D557" s="131"/>
      <c r="E557" s="146"/>
      <c r="F557" s="146"/>
      <c r="G557" s="146"/>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225"/>
      <c r="B558" s="225"/>
      <c r="C558" s="131"/>
      <c r="D558" s="131"/>
      <c r="E558" s="146"/>
      <c r="F558" s="146"/>
      <c r="G558" s="146"/>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225"/>
      <c r="B559" s="225"/>
      <c r="C559" s="131"/>
      <c r="D559" s="131"/>
      <c r="E559" s="146"/>
      <c r="F559" s="146"/>
      <c r="G559" s="146"/>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225"/>
      <c r="B560" s="225"/>
      <c r="C560" s="131"/>
      <c r="D560" s="131"/>
      <c r="E560" s="146"/>
      <c r="F560" s="146"/>
      <c r="G560" s="146"/>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225"/>
      <c r="B561" s="225"/>
      <c r="C561" s="131"/>
      <c r="D561" s="131"/>
      <c r="E561" s="146"/>
      <c r="F561" s="146"/>
      <c r="G561" s="146"/>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225"/>
      <c r="B562" s="225"/>
      <c r="C562" s="131"/>
      <c r="D562" s="131"/>
      <c r="E562" s="146"/>
      <c r="F562" s="146"/>
      <c r="G562" s="146"/>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225"/>
      <c r="B563" s="225"/>
      <c r="C563" s="131"/>
      <c r="D563" s="131"/>
      <c r="E563" s="146"/>
      <c r="F563" s="146"/>
      <c r="G563" s="146"/>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225"/>
      <c r="B564" s="225"/>
      <c r="C564" s="131"/>
      <c r="D564" s="131"/>
      <c r="E564" s="146"/>
      <c r="F564" s="146"/>
      <c r="G564" s="146"/>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225"/>
      <c r="B565" s="225"/>
      <c r="C565" s="131"/>
      <c r="D565" s="131"/>
      <c r="E565" s="146"/>
      <c r="F565" s="146"/>
      <c r="G565" s="146"/>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225"/>
      <c r="B566" s="225"/>
      <c r="C566" s="131"/>
      <c r="D566" s="131"/>
      <c r="E566" s="146"/>
      <c r="F566" s="146"/>
      <c r="G566" s="146"/>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225"/>
      <c r="B567" s="225"/>
      <c r="C567" s="131"/>
      <c r="D567" s="131"/>
      <c r="E567" s="146"/>
      <c r="F567" s="146"/>
      <c r="G567" s="146"/>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225"/>
      <c r="B568" s="225"/>
      <c r="C568" s="131"/>
      <c r="D568" s="131"/>
      <c r="E568" s="146"/>
      <c r="F568" s="146"/>
      <c r="G568" s="146"/>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225"/>
      <c r="B569" s="225"/>
      <c r="C569" s="131"/>
      <c r="D569" s="131"/>
      <c r="E569" s="146"/>
      <c r="F569" s="146"/>
      <c r="G569" s="146"/>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225"/>
      <c r="B570" s="225"/>
      <c r="C570" s="131"/>
      <c r="D570" s="131"/>
      <c r="E570" s="146"/>
      <c r="F570" s="146"/>
      <c r="G570" s="146"/>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225"/>
      <c r="B571" s="225"/>
      <c r="C571" s="131"/>
      <c r="D571" s="131"/>
      <c r="E571" s="146"/>
      <c r="F571" s="146"/>
      <c r="G571" s="146"/>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225"/>
      <c r="B572" s="225"/>
      <c r="C572" s="131"/>
      <c r="D572" s="131"/>
      <c r="E572" s="146"/>
      <c r="F572" s="146"/>
      <c r="G572" s="146"/>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225"/>
      <c r="B573" s="225"/>
      <c r="C573" s="131"/>
      <c r="D573" s="131"/>
      <c r="E573" s="146"/>
      <c r="F573" s="146"/>
      <c r="G573" s="146"/>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225"/>
      <c r="B574" s="225"/>
      <c r="C574" s="131"/>
      <c r="D574" s="131"/>
      <c r="E574" s="146"/>
      <c r="F574" s="146"/>
      <c r="G574" s="146"/>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225"/>
      <c r="B575" s="225"/>
      <c r="C575" s="131"/>
      <c r="D575" s="131"/>
      <c r="E575" s="146"/>
      <c r="F575" s="146"/>
      <c r="G575" s="146"/>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225"/>
      <c r="B576" s="225"/>
      <c r="C576" s="131"/>
      <c r="D576" s="131"/>
      <c r="E576" s="146"/>
      <c r="F576" s="146"/>
      <c r="G576" s="146"/>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225"/>
      <c r="B577" s="225"/>
      <c r="C577" s="131"/>
      <c r="D577" s="131"/>
      <c r="E577" s="146"/>
      <c r="F577" s="146"/>
      <c r="G577" s="146"/>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225"/>
      <c r="B578" s="225"/>
      <c r="C578" s="131"/>
      <c r="D578" s="131"/>
      <c r="E578" s="146"/>
      <c r="F578" s="146"/>
      <c r="G578" s="146"/>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225"/>
      <c r="B579" s="225"/>
      <c r="C579" s="131"/>
      <c r="D579" s="131"/>
      <c r="E579" s="146"/>
      <c r="F579" s="146"/>
      <c r="G579" s="146"/>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225"/>
      <c r="B580" s="225"/>
      <c r="C580" s="131"/>
      <c r="D580" s="131"/>
      <c r="E580" s="146"/>
      <c r="F580" s="146"/>
      <c r="G580" s="146"/>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225"/>
      <c r="B581" s="225"/>
      <c r="C581" s="131"/>
      <c r="D581" s="131"/>
      <c r="E581" s="146"/>
      <c r="F581" s="146"/>
      <c r="G581" s="146"/>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225"/>
      <c r="B582" s="225"/>
      <c r="C582" s="131"/>
      <c r="D582" s="131"/>
      <c r="E582" s="146"/>
      <c r="F582" s="146"/>
      <c r="G582" s="146"/>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225"/>
      <c r="B583" s="225"/>
      <c r="C583" s="131"/>
      <c r="D583" s="131"/>
      <c r="E583" s="146"/>
      <c r="F583" s="146"/>
      <c r="G583" s="146"/>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225"/>
      <c r="B584" s="225"/>
      <c r="C584" s="131"/>
      <c r="D584" s="131"/>
      <c r="E584" s="146"/>
      <c r="F584" s="146"/>
      <c r="G584" s="146"/>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225"/>
      <c r="B585" s="225"/>
      <c r="C585" s="131"/>
      <c r="D585" s="131"/>
      <c r="E585" s="146"/>
      <c r="F585" s="146"/>
      <c r="G585" s="146"/>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225"/>
      <c r="B586" s="225"/>
      <c r="C586" s="131"/>
      <c r="D586" s="131"/>
      <c r="E586" s="146"/>
      <c r="F586" s="146"/>
      <c r="G586" s="146"/>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225"/>
      <c r="B587" s="225"/>
      <c r="C587" s="131"/>
      <c r="D587" s="131"/>
      <c r="E587" s="146"/>
      <c r="F587" s="146"/>
      <c r="G587" s="146"/>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225"/>
      <c r="B588" s="225"/>
      <c r="C588" s="131"/>
      <c r="D588" s="131"/>
      <c r="E588" s="146"/>
      <c r="F588" s="146"/>
      <c r="G588" s="146"/>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225"/>
      <c r="B589" s="225"/>
      <c r="C589" s="131"/>
      <c r="D589" s="131"/>
      <c r="E589" s="146"/>
      <c r="F589" s="146"/>
      <c r="G589" s="146"/>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225"/>
      <c r="B590" s="225"/>
      <c r="C590" s="131"/>
      <c r="D590" s="131"/>
      <c r="E590" s="146"/>
      <c r="F590" s="146"/>
      <c r="G590" s="146"/>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225"/>
      <c r="B591" s="225"/>
      <c r="C591" s="131"/>
      <c r="D591" s="131"/>
      <c r="E591" s="146"/>
      <c r="F591" s="146"/>
      <c r="G591" s="146"/>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225"/>
      <c r="B592" s="225"/>
      <c r="C592" s="131"/>
      <c r="D592" s="131"/>
      <c r="E592" s="146"/>
      <c r="F592" s="146"/>
      <c r="G592" s="146"/>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225"/>
      <c r="B593" s="225"/>
      <c r="C593" s="131"/>
      <c r="D593" s="131"/>
      <c r="E593" s="146"/>
      <c r="F593" s="146"/>
      <c r="G593" s="146"/>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225"/>
      <c r="B594" s="225"/>
      <c r="C594" s="131"/>
      <c r="D594" s="131"/>
      <c r="E594" s="146"/>
      <c r="F594" s="146"/>
      <c r="G594" s="146"/>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225"/>
      <c r="B595" s="225"/>
      <c r="C595" s="131"/>
      <c r="D595" s="131"/>
      <c r="E595" s="146"/>
      <c r="F595" s="146"/>
      <c r="G595" s="146"/>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225"/>
      <c r="B596" s="225"/>
      <c r="C596" s="131"/>
      <c r="D596" s="131"/>
      <c r="E596" s="146"/>
      <c r="F596" s="146"/>
      <c r="G596" s="146"/>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225"/>
      <c r="B597" s="225"/>
      <c r="C597" s="131"/>
      <c r="D597" s="131"/>
      <c r="E597" s="146"/>
      <c r="F597" s="146"/>
      <c r="G597" s="146"/>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225"/>
      <c r="B598" s="225"/>
      <c r="C598" s="131"/>
      <c r="D598" s="131"/>
      <c r="E598" s="146"/>
      <c r="F598" s="146"/>
      <c r="G598" s="146"/>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225"/>
      <c r="B599" s="225"/>
      <c r="C599" s="131"/>
      <c r="D599" s="131"/>
      <c r="E599" s="146"/>
      <c r="F599" s="146"/>
      <c r="G599" s="146"/>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225"/>
      <c r="B600" s="225"/>
      <c r="C600" s="131"/>
      <c r="D600" s="131"/>
      <c r="E600" s="146"/>
      <c r="F600" s="146"/>
      <c r="G600" s="146"/>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225"/>
      <c r="B601" s="225"/>
      <c r="C601" s="131"/>
      <c r="D601" s="131"/>
      <c r="E601" s="146"/>
      <c r="F601" s="146"/>
      <c r="G601" s="146"/>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225"/>
      <c r="B602" s="225"/>
      <c r="C602" s="131"/>
      <c r="D602" s="131"/>
      <c r="E602" s="146"/>
      <c r="F602" s="146"/>
      <c r="G602" s="146"/>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225"/>
      <c r="B603" s="225"/>
      <c r="C603" s="131"/>
      <c r="D603" s="131"/>
      <c r="E603" s="146"/>
      <c r="F603" s="146"/>
      <c r="G603" s="146"/>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225"/>
      <c r="B604" s="225"/>
      <c r="C604" s="131"/>
      <c r="D604" s="131"/>
      <c r="E604" s="146"/>
      <c r="F604" s="146"/>
      <c r="G604" s="146"/>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225"/>
      <c r="B605" s="225"/>
      <c r="C605" s="131"/>
      <c r="D605" s="131"/>
      <c r="E605" s="146"/>
      <c r="F605" s="146"/>
      <c r="G605" s="146"/>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225"/>
      <c r="B606" s="225"/>
      <c r="C606" s="131"/>
      <c r="D606" s="131"/>
      <c r="E606" s="146"/>
      <c r="F606" s="146"/>
      <c r="G606" s="146"/>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225"/>
      <c r="B607" s="225"/>
      <c r="C607" s="131"/>
      <c r="D607" s="131"/>
      <c r="E607" s="146"/>
      <c r="F607" s="146"/>
      <c r="G607" s="146"/>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225"/>
      <c r="B608" s="225"/>
      <c r="C608" s="131"/>
      <c r="D608" s="131"/>
      <c r="E608" s="146"/>
      <c r="F608" s="146"/>
      <c r="G608" s="146"/>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225"/>
      <c r="B609" s="225"/>
      <c r="C609" s="131"/>
      <c r="D609" s="131"/>
      <c r="E609" s="146"/>
      <c r="F609" s="146"/>
      <c r="G609" s="146"/>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225"/>
      <c r="B610" s="225"/>
      <c r="C610" s="131"/>
      <c r="D610" s="131"/>
      <c r="E610" s="146"/>
      <c r="F610" s="146"/>
      <c r="G610" s="146"/>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225"/>
      <c r="B611" s="225"/>
      <c r="C611" s="131"/>
      <c r="D611" s="131"/>
      <c r="E611" s="146"/>
      <c r="F611" s="146"/>
      <c r="G611" s="146"/>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225"/>
      <c r="B612" s="225"/>
      <c r="C612" s="131"/>
      <c r="D612" s="131"/>
      <c r="E612" s="146"/>
      <c r="F612" s="146"/>
      <c r="G612" s="146"/>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225"/>
      <c r="B613" s="225"/>
      <c r="C613" s="131"/>
      <c r="D613" s="131"/>
      <c r="E613" s="146"/>
      <c r="F613" s="146"/>
      <c r="G613" s="146"/>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225"/>
      <c r="B614" s="225"/>
      <c r="C614" s="131"/>
      <c r="D614" s="131"/>
      <c r="E614" s="146"/>
      <c r="F614" s="146"/>
      <c r="G614" s="146"/>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225"/>
      <c r="B615" s="225"/>
      <c r="C615" s="131"/>
      <c r="D615" s="131"/>
      <c r="E615" s="146"/>
      <c r="F615" s="146"/>
      <c r="G615" s="146"/>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225"/>
      <c r="B616" s="225"/>
      <c r="C616" s="131"/>
      <c r="D616" s="131"/>
      <c r="E616" s="146"/>
      <c r="F616" s="146"/>
      <c r="G616" s="146"/>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225"/>
      <c r="B617" s="225"/>
      <c r="C617" s="131"/>
      <c r="D617" s="131"/>
      <c r="E617" s="146"/>
      <c r="F617" s="146"/>
      <c r="G617" s="146"/>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225"/>
      <c r="B618" s="225"/>
      <c r="C618" s="131"/>
      <c r="D618" s="131"/>
      <c r="E618" s="146"/>
      <c r="F618" s="146"/>
      <c r="G618" s="146"/>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225"/>
      <c r="B619" s="225"/>
      <c r="C619" s="131"/>
      <c r="D619" s="131"/>
      <c r="E619" s="146"/>
      <c r="F619" s="146"/>
      <c r="G619" s="146"/>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225"/>
      <c r="B620" s="225"/>
      <c r="C620" s="131"/>
      <c r="D620" s="131"/>
      <c r="E620" s="146"/>
      <c r="F620" s="146"/>
      <c r="G620" s="146"/>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225"/>
      <c r="B621" s="225"/>
      <c r="C621" s="131"/>
      <c r="D621" s="131"/>
      <c r="E621" s="146"/>
      <c r="F621" s="146"/>
      <c r="G621" s="146"/>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225"/>
      <c r="B622" s="225"/>
      <c r="C622" s="131"/>
      <c r="D622" s="131"/>
      <c r="E622" s="146"/>
      <c r="F622" s="146"/>
      <c r="G622" s="146"/>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225"/>
      <c r="B623" s="225"/>
      <c r="C623" s="131"/>
      <c r="D623" s="131"/>
      <c r="E623" s="146"/>
      <c r="F623" s="146"/>
      <c r="G623" s="146"/>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225"/>
      <c r="B624" s="225"/>
      <c r="C624" s="131"/>
      <c r="D624" s="131"/>
      <c r="E624" s="146"/>
      <c r="F624" s="146"/>
      <c r="G624" s="146"/>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225"/>
      <c r="B625" s="225"/>
      <c r="C625" s="131"/>
      <c r="D625" s="131"/>
      <c r="E625" s="146"/>
      <c r="F625" s="146"/>
      <c r="G625" s="146"/>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225"/>
      <c r="B626" s="225"/>
      <c r="C626" s="131"/>
      <c r="D626" s="131"/>
      <c r="E626" s="146"/>
      <c r="F626" s="146"/>
      <c r="G626" s="146"/>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225"/>
      <c r="B627" s="225"/>
      <c r="C627" s="131"/>
      <c r="D627" s="131"/>
      <c r="E627" s="146"/>
      <c r="F627" s="146"/>
      <c r="G627" s="146"/>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225"/>
      <c r="B628" s="225"/>
      <c r="C628" s="131"/>
      <c r="D628" s="131"/>
      <c r="E628" s="146"/>
      <c r="F628" s="146"/>
      <c r="G628" s="146"/>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225"/>
      <c r="B629" s="225"/>
      <c r="C629" s="131"/>
      <c r="D629" s="131"/>
      <c r="E629" s="146"/>
      <c r="F629" s="146"/>
      <c r="G629" s="146"/>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225"/>
      <c r="B630" s="225"/>
      <c r="C630" s="131"/>
      <c r="D630" s="131"/>
      <c r="E630" s="146"/>
      <c r="F630" s="146"/>
      <c r="G630" s="146"/>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225"/>
      <c r="B631" s="225"/>
      <c r="C631" s="131"/>
      <c r="D631" s="131"/>
      <c r="E631" s="146"/>
      <c r="F631" s="146"/>
      <c r="G631" s="146"/>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225"/>
      <c r="B632" s="225"/>
      <c r="C632" s="131"/>
      <c r="D632" s="131"/>
      <c r="E632" s="146"/>
      <c r="F632" s="146"/>
      <c r="G632" s="146"/>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225"/>
      <c r="B633" s="225"/>
      <c r="C633" s="131"/>
      <c r="D633" s="131"/>
      <c r="E633" s="146"/>
      <c r="F633" s="146"/>
      <c r="G633" s="146"/>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225"/>
      <c r="B634" s="225"/>
      <c r="C634" s="131"/>
      <c r="D634" s="131"/>
      <c r="E634" s="146"/>
      <c r="F634" s="146"/>
      <c r="G634" s="146"/>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225"/>
      <c r="B635" s="225"/>
      <c r="C635" s="131"/>
      <c r="D635" s="131"/>
      <c r="E635" s="146"/>
      <c r="F635" s="146"/>
      <c r="G635" s="146"/>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225"/>
      <c r="B636" s="225"/>
      <c r="C636" s="131"/>
      <c r="D636" s="131"/>
      <c r="E636" s="146"/>
      <c r="F636" s="146"/>
      <c r="G636" s="146"/>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225"/>
      <c r="B637" s="225"/>
      <c r="C637" s="131"/>
      <c r="D637" s="131"/>
      <c r="E637" s="146"/>
      <c r="F637" s="146"/>
      <c r="G637" s="146"/>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225"/>
      <c r="B638" s="225"/>
      <c r="C638" s="131"/>
      <c r="D638" s="131"/>
      <c r="E638" s="146"/>
      <c r="F638" s="146"/>
      <c r="G638" s="146"/>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225"/>
      <c r="B639" s="225"/>
      <c r="C639" s="131"/>
      <c r="D639" s="131"/>
      <c r="E639" s="146"/>
      <c r="F639" s="146"/>
      <c r="G639" s="146"/>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225"/>
      <c r="B640" s="225"/>
      <c r="C640" s="131"/>
      <c r="D640" s="131"/>
      <c r="E640" s="146"/>
      <c r="F640" s="146"/>
      <c r="G640" s="146"/>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225"/>
      <c r="B641" s="225"/>
      <c r="C641" s="131"/>
      <c r="D641" s="131"/>
      <c r="E641" s="146"/>
      <c r="F641" s="146"/>
      <c r="G641" s="146"/>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225"/>
      <c r="B642" s="225"/>
      <c r="C642" s="131"/>
      <c r="D642" s="131"/>
      <c r="E642" s="146"/>
      <c r="F642" s="146"/>
      <c r="G642" s="146"/>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225"/>
      <c r="B643" s="225"/>
      <c r="C643" s="131"/>
      <c r="D643" s="131"/>
      <c r="E643" s="146"/>
      <c r="F643" s="146"/>
      <c r="G643" s="146"/>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225"/>
      <c r="B644" s="225"/>
      <c r="C644" s="131"/>
      <c r="D644" s="131"/>
      <c r="E644" s="146"/>
      <c r="F644" s="146"/>
      <c r="G644" s="146"/>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225"/>
      <c r="B645" s="225"/>
      <c r="C645" s="131"/>
      <c r="D645" s="131"/>
      <c r="E645" s="146"/>
      <c r="F645" s="146"/>
      <c r="G645" s="146"/>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225"/>
      <c r="B646" s="225"/>
      <c r="C646" s="131"/>
      <c r="D646" s="131"/>
      <c r="E646" s="146"/>
      <c r="F646" s="146"/>
      <c r="G646" s="146"/>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225"/>
      <c r="B647" s="225"/>
      <c r="C647" s="131"/>
      <c r="D647" s="131"/>
      <c r="E647" s="146"/>
      <c r="F647" s="146"/>
      <c r="G647" s="146"/>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225"/>
      <c r="B648" s="225"/>
      <c r="C648" s="131"/>
      <c r="D648" s="131"/>
      <c r="E648" s="146"/>
      <c r="F648" s="146"/>
      <c r="G648" s="146"/>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225"/>
      <c r="B649" s="225"/>
      <c r="C649" s="131"/>
      <c r="D649" s="131"/>
      <c r="E649" s="146"/>
      <c r="F649" s="146"/>
      <c r="G649" s="146"/>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225"/>
      <c r="B650" s="225"/>
      <c r="C650" s="131"/>
      <c r="D650" s="131"/>
      <c r="E650" s="146"/>
      <c r="F650" s="146"/>
      <c r="G650" s="146"/>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225"/>
      <c r="B651" s="225"/>
      <c r="C651" s="131"/>
      <c r="D651" s="131"/>
      <c r="E651" s="146"/>
      <c r="F651" s="146"/>
      <c r="G651" s="146"/>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225"/>
      <c r="B652" s="225"/>
      <c r="C652" s="131"/>
      <c r="D652" s="131"/>
      <c r="E652" s="146"/>
      <c r="F652" s="146"/>
      <c r="G652" s="146"/>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225"/>
      <c r="B653" s="225"/>
      <c r="C653" s="131"/>
      <c r="D653" s="131"/>
      <c r="E653" s="146"/>
      <c r="F653" s="146"/>
      <c r="G653" s="146"/>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225"/>
      <c r="B654" s="225"/>
      <c r="C654" s="131"/>
      <c r="D654" s="131"/>
      <c r="E654" s="146"/>
      <c r="F654" s="146"/>
      <c r="G654" s="146"/>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225"/>
      <c r="B655" s="225"/>
      <c r="C655" s="131"/>
      <c r="D655" s="131"/>
      <c r="E655" s="146"/>
      <c r="F655" s="146"/>
      <c r="G655" s="146"/>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225"/>
      <c r="B656" s="225"/>
      <c r="C656" s="131"/>
      <c r="D656" s="131"/>
      <c r="E656" s="146"/>
      <c r="F656" s="146"/>
      <c r="G656" s="146"/>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225"/>
      <c r="B657" s="225"/>
      <c r="C657" s="131"/>
      <c r="D657" s="131"/>
      <c r="E657" s="146"/>
      <c r="F657" s="146"/>
      <c r="G657" s="146"/>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225"/>
      <c r="B658" s="225"/>
      <c r="C658" s="131"/>
      <c r="D658" s="131"/>
      <c r="E658" s="146"/>
      <c r="F658" s="146"/>
      <c r="G658" s="146"/>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225"/>
      <c r="B659" s="225"/>
      <c r="C659" s="131"/>
      <c r="D659" s="131"/>
      <c r="E659" s="146"/>
      <c r="F659" s="146"/>
      <c r="G659" s="146"/>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225"/>
      <c r="B660" s="225"/>
      <c r="C660" s="131"/>
      <c r="D660" s="131"/>
      <c r="E660" s="146"/>
      <c r="F660" s="146"/>
      <c r="G660" s="146"/>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225"/>
      <c r="B661" s="225"/>
      <c r="C661" s="131"/>
      <c r="D661" s="131"/>
      <c r="E661" s="146"/>
      <c r="F661" s="146"/>
      <c r="G661" s="146"/>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225"/>
      <c r="B662" s="225"/>
      <c r="C662" s="131"/>
      <c r="D662" s="131"/>
      <c r="E662" s="146"/>
      <c r="F662" s="146"/>
      <c r="G662" s="146"/>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225"/>
      <c r="B663" s="225"/>
      <c r="C663" s="131"/>
      <c r="D663" s="131"/>
      <c r="E663" s="146"/>
      <c r="F663" s="146"/>
      <c r="G663" s="146"/>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225"/>
      <c r="B664" s="225"/>
      <c r="C664" s="131"/>
      <c r="D664" s="131"/>
      <c r="E664" s="146"/>
      <c r="F664" s="146"/>
      <c r="G664" s="146"/>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225"/>
      <c r="B665" s="225"/>
      <c r="C665" s="131"/>
      <c r="D665" s="131"/>
      <c r="E665" s="146"/>
      <c r="F665" s="146"/>
      <c r="G665" s="146"/>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225"/>
      <c r="B666" s="225"/>
      <c r="C666" s="131"/>
      <c r="D666" s="131"/>
      <c r="E666" s="146"/>
      <c r="F666" s="146"/>
      <c r="G666" s="146"/>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225"/>
      <c r="B667" s="225"/>
      <c r="C667" s="131"/>
      <c r="D667" s="131"/>
      <c r="E667" s="146"/>
      <c r="F667" s="146"/>
      <c r="G667" s="146"/>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225"/>
      <c r="B668" s="225"/>
      <c r="C668" s="131"/>
      <c r="D668" s="131"/>
      <c r="E668" s="146"/>
      <c r="F668" s="146"/>
      <c r="G668" s="146"/>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225"/>
      <c r="B669" s="225"/>
      <c r="C669" s="131"/>
      <c r="D669" s="131"/>
      <c r="E669" s="146"/>
      <c r="F669" s="146"/>
      <c r="G669" s="146"/>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225"/>
      <c r="B670" s="225"/>
      <c r="C670" s="131"/>
      <c r="D670" s="131"/>
      <c r="E670" s="146"/>
      <c r="F670" s="146"/>
      <c r="G670" s="146"/>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225"/>
      <c r="B671" s="225"/>
      <c r="C671" s="131"/>
      <c r="D671" s="131"/>
      <c r="E671" s="146"/>
      <c r="F671" s="146"/>
      <c r="G671" s="146"/>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225"/>
      <c r="B672" s="225"/>
      <c r="C672" s="131"/>
      <c r="D672" s="131"/>
      <c r="E672" s="146"/>
      <c r="F672" s="146"/>
      <c r="G672" s="146"/>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225"/>
      <c r="B673" s="225"/>
      <c r="C673" s="131"/>
      <c r="D673" s="131"/>
      <c r="E673" s="146"/>
      <c r="F673" s="146"/>
      <c r="G673" s="146"/>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225"/>
      <c r="B674" s="225"/>
      <c r="C674" s="131"/>
      <c r="D674" s="131"/>
      <c r="E674" s="146"/>
      <c r="F674" s="146"/>
      <c r="G674" s="146"/>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225"/>
      <c r="B675" s="225"/>
      <c r="C675" s="131"/>
      <c r="D675" s="131"/>
      <c r="E675" s="146"/>
      <c r="F675" s="146"/>
      <c r="G675" s="146"/>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225"/>
      <c r="B676" s="225"/>
      <c r="C676" s="131"/>
      <c r="D676" s="131"/>
      <c r="E676" s="146"/>
      <c r="F676" s="146"/>
      <c r="G676" s="146"/>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225"/>
      <c r="B677" s="225"/>
      <c r="C677" s="131"/>
      <c r="D677" s="131"/>
      <c r="E677" s="146"/>
      <c r="F677" s="146"/>
      <c r="G677" s="146"/>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225"/>
      <c r="B678" s="225"/>
      <c r="C678" s="131"/>
      <c r="D678" s="131"/>
      <c r="E678" s="146"/>
      <c r="F678" s="146"/>
      <c r="G678" s="146"/>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225"/>
      <c r="B679" s="225"/>
      <c r="C679" s="131"/>
      <c r="D679" s="131"/>
      <c r="E679" s="146"/>
      <c r="F679" s="146"/>
      <c r="G679" s="146"/>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225"/>
      <c r="B680" s="225"/>
      <c r="C680" s="131"/>
      <c r="D680" s="131"/>
      <c r="E680" s="146"/>
      <c r="F680" s="146"/>
      <c r="G680" s="146"/>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225"/>
      <c r="B681" s="225"/>
      <c r="C681" s="131"/>
      <c r="D681" s="131"/>
      <c r="E681" s="146"/>
      <c r="F681" s="146"/>
      <c r="G681" s="146"/>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225"/>
      <c r="B682" s="225"/>
      <c r="C682" s="131"/>
      <c r="D682" s="131"/>
      <c r="E682" s="146"/>
      <c r="F682" s="146"/>
      <c r="G682" s="146"/>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225"/>
      <c r="B683" s="225"/>
      <c r="C683" s="131"/>
      <c r="D683" s="131"/>
      <c r="E683" s="146"/>
      <c r="F683" s="146"/>
      <c r="G683" s="146"/>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225"/>
      <c r="B684" s="225"/>
      <c r="C684" s="131"/>
      <c r="D684" s="131"/>
      <c r="E684" s="146"/>
      <c r="F684" s="146"/>
      <c r="G684" s="146"/>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225"/>
      <c r="B685" s="225"/>
      <c r="C685" s="131"/>
      <c r="D685" s="131"/>
      <c r="E685" s="146"/>
      <c r="F685" s="146"/>
      <c r="G685" s="146"/>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225"/>
      <c r="B686" s="225"/>
      <c r="C686" s="131"/>
      <c r="D686" s="131"/>
      <c r="E686" s="146"/>
      <c r="F686" s="146"/>
      <c r="G686" s="146"/>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225"/>
      <c r="B687" s="225"/>
      <c r="C687" s="131"/>
      <c r="D687" s="131"/>
      <c r="E687" s="146"/>
      <c r="F687" s="146"/>
      <c r="G687" s="146"/>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225"/>
      <c r="B688" s="225"/>
      <c r="C688" s="131"/>
      <c r="D688" s="131"/>
      <c r="E688" s="146"/>
      <c r="F688" s="146"/>
      <c r="G688" s="146"/>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225"/>
      <c r="B689" s="225"/>
      <c r="C689" s="131"/>
      <c r="D689" s="131"/>
      <c r="E689" s="146"/>
      <c r="F689" s="146"/>
      <c r="G689" s="146"/>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225"/>
      <c r="B690" s="225"/>
      <c r="C690" s="131"/>
      <c r="D690" s="131"/>
      <c r="E690" s="146"/>
      <c r="F690" s="146"/>
      <c r="G690" s="146"/>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225"/>
      <c r="B691" s="225"/>
      <c r="C691" s="131"/>
      <c r="D691" s="131"/>
      <c r="E691" s="146"/>
      <c r="F691" s="146"/>
      <c r="G691" s="146"/>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225"/>
      <c r="B692" s="225"/>
      <c r="C692" s="131"/>
      <c r="D692" s="131"/>
      <c r="E692" s="146"/>
      <c r="F692" s="146"/>
      <c r="G692" s="146"/>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225"/>
      <c r="B693" s="225"/>
      <c r="C693" s="131"/>
      <c r="D693" s="131"/>
      <c r="E693" s="146"/>
      <c r="F693" s="146"/>
      <c r="G693" s="146"/>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225"/>
      <c r="B694" s="225"/>
      <c r="C694" s="131"/>
      <c r="D694" s="131"/>
      <c r="E694" s="146"/>
      <c r="F694" s="146"/>
      <c r="G694" s="146"/>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225"/>
      <c r="B695" s="225"/>
      <c r="C695" s="131"/>
      <c r="D695" s="131"/>
      <c r="E695" s="146"/>
      <c r="F695" s="146"/>
      <c r="G695" s="146"/>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225"/>
      <c r="B696" s="225"/>
      <c r="C696" s="131"/>
      <c r="D696" s="131"/>
      <c r="E696" s="146"/>
      <c r="F696" s="146"/>
      <c r="G696" s="146"/>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225"/>
      <c r="B697" s="225"/>
      <c r="C697" s="131"/>
      <c r="D697" s="131"/>
      <c r="E697" s="146"/>
      <c r="F697" s="146"/>
      <c r="G697" s="146"/>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225"/>
      <c r="B698" s="225"/>
      <c r="C698" s="131"/>
      <c r="D698" s="131"/>
      <c r="E698" s="146"/>
      <c r="F698" s="146"/>
      <c r="G698" s="146"/>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225"/>
      <c r="B699" s="225"/>
      <c r="C699" s="131"/>
      <c r="D699" s="131"/>
      <c r="E699" s="146"/>
      <c r="F699" s="146"/>
      <c r="G699" s="146"/>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225"/>
      <c r="B700" s="225"/>
      <c r="C700" s="131"/>
      <c r="D700" s="131"/>
      <c r="E700" s="146"/>
      <c r="F700" s="146"/>
      <c r="G700" s="146"/>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225"/>
      <c r="B701" s="225"/>
      <c r="C701" s="131"/>
      <c r="D701" s="131"/>
      <c r="E701" s="146"/>
      <c r="F701" s="146"/>
      <c r="G701" s="146"/>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225"/>
      <c r="B702" s="225"/>
      <c r="C702" s="131"/>
      <c r="D702" s="131"/>
      <c r="E702" s="146"/>
      <c r="F702" s="146"/>
      <c r="G702" s="146"/>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225"/>
      <c r="B703" s="225"/>
      <c r="C703" s="131"/>
      <c r="D703" s="131"/>
      <c r="E703" s="146"/>
      <c r="F703" s="146"/>
      <c r="G703" s="146"/>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225"/>
      <c r="B704" s="225"/>
      <c r="C704" s="131"/>
      <c r="D704" s="131"/>
      <c r="E704" s="146"/>
      <c r="F704" s="146"/>
      <c r="G704" s="146"/>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225"/>
      <c r="B705" s="225"/>
      <c r="C705" s="131"/>
      <c r="D705" s="131"/>
      <c r="E705" s="146"/>
      <c r="F705" s="146"/>
      <c r="G705" s="146"/>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225"/>
      <c r="B706" s="225"/>
      <c r="C706" s="131"/>
      <c r="D706" s="131"/>
      <c r="E706" s="146"/>
      <c r="F706" s="146"/>
      <c r="G706" s="146"/>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225"/>
      <c r="B707" s="225"/>
      <c r="C707" s="131"/>
      <c r="D707" s="131"/>
      <c r="E707" s="146"/>
      <c r="F707" s="146"/>
      <c r="G707" s="146"/>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225"/>
      <c r="B708" s="225"/>
      <c r="C708" s="131"/>
      <c r="D708" s="131"/>
      <c r="E708" s="146"/>
      <c r="F708" s="146"/>
      <c r="G708" s="146"/>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225"/>
      <c r="B709" s="225"/>
      <c r="C709" s="131"/>
      <c r="D709" s="131"/>
      <c r="E709" s="146"/>
      <c r="F709" s="146"/>
      <c r="G709" s="146"/>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225"/>
      <c r="B710" s="225"/>
      <c r="C710" s="131"/>
      <c r="D710" s="131"/>
      <c r="E710" s="146"/>
      <c r="F710" s="146"/>
      <c r="G710" s="146"/>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225"/>
      <c r="B711" s="225"/>
      <c r="C711" s="131"/>
      <c r="D711" s="131"/>
      <c r="E711" s="146"/>
      <c r="F711" s="146"/>
      <c r="G711" s="146"/>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225"/>
      <c r="B712" s="225"/>
      <c r="C712" s="131"/>
      <c r="D712" s="131"/>
      <c r="E712" s="146"/>
      <c r="F712" s="146"/>
      <c r="G712" s="146"/>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225"/>
      <c r="B713" s="225"/>
      <c r="C713" s="131"/>
      <c r="D713" s="131"/>
      <c r="E713" s="146"/>
      <c r="F713" s="146"/>
      <c r="G713" s="146"/>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225"/>
      <c r="B714" s="225"/>
      <c r="C714" s="131"/>
      <c r="D714" s="131"/>
      <c r="E714" s="146"/>
      <c r="F714" s="146"/>
      <c r="G714" s="146"/>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225"/>
      <c r="B715" s="225"/>
      <c r="C715" s="131"/>
      <c r="D715" s="131"/>
      <c r="E715" s="146"/>
      <c r="F715" s="146"/>
      <c r="G715" s="146"/>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225"/>
      <c r="B716" s="225"/>
      <c r="C716" s="131"/>
      <c r="D716" s="131"/>
      <c r="E716" s="146"/>
      <c r="F716" s="146"/>
      <c r="G716" s="146"/>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225"/>
      <c r="B717" s="225"/>
      <c r="C717" s="131"/>
      <c r="D717" s="131"/>
      <c r="E717" s="146"/>
      <c r="F717" s="146"/>
      <c r="G717" s="146"/>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225"/>
      <c r="B718" s="225"/>
      <c r="C718" s="131"/>
      <c r="D718" s="131"/>
      <c r="E718" s="146"/>
      <c r="F718" s="146"/>
      <c r="G718" s="146"/>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225"/>
      <c r="B719" s="225"/>
      <c r="C719" s="131"/>
      <c r="D719" s="131"/>
      <c r="E719" s="146"/>
      <c r="F719" s="146"/>
      <c r="G719" s="146"/>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225"/>
      <c r="B720" s="225"/>
      <c r="C720" s="131"/>
      <c r="D720" s="131"/>
      <c r="E720" s="146"/>
      <c r="F720" s="146"/>
      <c r="G720" s="146"/>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225"/>
      <c r="B721" s="225"/>
      <c r="C721" s="131"/>
      <c r="D721" s="131"/>
      <c r="E721" s="146"/>
      <c r="F721" s="146"/>
      <c r="G721" s="146"/>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225"/>
      <c r="B722" s="225"/>
      <c r="C722" s="131"/>
      <c r="D722" s="131"/>
      <c r="E722" s="146"/>
      <c r="F722" s="146"/>
      <c r="G722" s="146"/>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225"/>
      <c r="B723" s="225"/>
      <c r="C723" s="131"/>
      <c r="D723" s="131"/>
      <c r="E723" s="146"/>
      <c r="F723" s="146"/>
      <c r="G723" s="146"/>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225"/>
      <c r="B724" s="225"/>
      <c r="C724" s="131"/>
      <c r="D724" s="131"/>
      <c r="E724" s="146"/>
      <c r="F724" s="146"/>
      <c r="G724" s="146"/>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225"/>
      <c r="B725" s="225"/>
      <c r="C725" s="131"/>
      <c r="D725" s="131"/>
      <c r="E725" s="146"/>
      <c r="F725" s="146"/>
      <c r="G725" s="146"/>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225"/>
      <c r="B726" s="225"/>
      <c r="C726" s="131"/>
      <c r="D726" s="131"/>
      <c r="E726" s="146"/>
      <c r="F726" s="146"/>
      <c r="G726" s="146"/>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225"/>
      <c r="B727" s="225"/>
      <c r="C727" s="131"/>
      <c r="D727" s="131"/>
      <c r="E727" s="146"/>
      <c r="F727" s="146"/>
      <c r="G727" s="146"/>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225"/>
      <c r="B728" s="225"/>
      <c r="C728" s="131"/>
      <c r="D728" s="131"/>
      <c r="E728" s="146"/>
      <c r="F728" s="146"/>
      <c r="G728" s="146"/>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225"/>
      <c r="B729" s="225"/>
      <c r="C729" s="131"/>
      <c r="D729" s="131"/>
      <c r="E729" s="146"/>
      <c r="F729" s="146"/>
      <c r="G729" s="146"/>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225"/>
      <c r="B730" s="225"/>
      <c r="C730" s="131"/>
      <c r="D730" s="131"/>
      <c r="E730" s="146"/>
      <c r="F730" s="146"/>
      <c r="G730" s="146"/>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225"/>
      <c r="B731" s="225"/>
      <c r="C731" s="131"/>
      <c r="D731" s="131"/>
      <c r="E731" s="146"/>
      <c r="F731" s="146"/>
      <c r="G731" s="146"/>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225"/>
      <c r="B732" s="225"/>
      <c r="C732" s="131"/>
      <c r="D732" s="131"/>
      <c r="E732" s="146"/>
      <c r="F732" s="146"/>
      <c r="G732" s="146"/>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225"/>
      <c r="B733" s="225"/>
      <c r="C733" s="131"/>
      <c r="D733" s="131"/>
      <c r="E733" s="146"/>
      <c r="F733" s="146"/>
      <c r="G733" s="146"/>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225"/>
      <c r="B734" s="225"/>
      <c r="C734" s="131"/>
      <c r="D734" s="131"/>
      <c r="E734" s="146"/>
      <c r="F734" s="146"/>
      <c r="G734" s="146"/>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225"/>
      <c r="B735" s="225"/>
      <c r="C735" s="131"/>
      <c r="D735" s="131"/>
      <c r="E735" s="146"/>
      <c r="F735" s="146"/>
      <c r="G735" s="146"/>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225"/>
      <c r="B736" s="225"/>
      <c r="C736" s="131"/>
      <c r="D736" s="131"/>
      <c r="E736" s="146"/>
      <c r="F736" s="146"/>
      <c r="G736" s="146"/>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225"/>
      <c r="B737" s="225"/>
      <c r="C737" s="131"/>
      <c r="D737" s="131"/>
      <c r="E737" s="146"/>
      <c r="F737" s="146"/>
      <c r="G737" s="146"/>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225"/>
      <c r="B738" s="225"/>
      <c r="C738" s="131"/>
      <c r="D738" s="131"/>
      <c r="E738" s="146"/>
      <c r="F738" s="146"/>
      <c r="G738" s="146"/>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225"/>
      <c r="B739" s="225"/>
      <c r="C739" s="131"/>
      <c r="D739" s="131"/>
      <c r="E739" s="146"/>
      <c r="F739" s="146"/>
      <c r="G739" s="146"/>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225"/>
      <c r="B740" s="225"/>
      <c r="C740" s="131"/>
      <c r="D740" s="131"/>
      <c r="E740" s="146"/>
      <c r="F740" s="146"/>
      <c r="G740" s="146"/>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225"/>
      <c r="B741" s="225"/>
      <c r="C741" s="131"/>
      <c r="D741" s="131"/>
      <c r="E741" s="146"/>
      <c r="F741" s="146"/>
      <c r="G741" s="146"/>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225"/>
      <c r="B742" s="225"/>
      <c r="C742" s="131"/>
      <c r="D742" s="131"/>
      <c r="E742" s="146"/>
      <c r="F742" s="146"/>
      <c r="G742" s="146"/>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225"/>
      <c r="B743" s="225"/>
      <c r="C743" s="131"/>
      <c r="D743" s="131"/>
      <c r="E743" s="146"/>
      <c r="F743" s="146"/>
      <c r="G743" s="146"/>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225"/>
      <c r="B744" s="225"/>
      <c r="C744" s="131"/>
      <c r="D744" s="131"/>
      <c r="E744" s="146"/>
      <c r="F744" s="146"/>
      <c r="G744" s="146"/>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225"/>
      <c r="B745" s="225"/>
      <c r="C745" s="131"/>
      <c r="D745" s="131"/>
      <c r="E745" s="146"/>
      <c r="F745" s="146"/>
      <c r="G745" s="146"/>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225"/>
      <c r="B746" s="225"/>
      <c r="C746" s="131"/>
      <c r="D746" s="131"/>
      <c r="E746" s="146"/>
      <c r="F746" s="146"/>
      <c r="G746" s="146"/>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225"/>
      <c r="B747" s="225"/>
      <c r="C747" s="131"/>
      <c r="D747" s="131"/>
      <c r="E747" s="146"/>
      <c r="F747" s="146"/>
      <c r="G747" s="146"/>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225"/>
      <c r="B748" s="225"/>
      <c r="C748" s="131"/>
      <c r="D748" s="131"/>
      <c r="E748" s="146"/>
      <c r="F748" s="146"/>
      <c r="G748" s="146"/>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225"/>
      <c r="B749" s="225"/>
      <c r="C749" s="131"/>
      <c r="D749" s="131"/>
      <c r="E749" s="146"/>
      <c r="F749" s="146"/>
      <c r="G749" s="146"/>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225"/>
      <c r="B750" s="225"/>
      <c r="C750" s="131"/>
      <c r="D750" s="131"/>
      <c r="E750" s="146"/>
      <c r="F750" s="146"/>
      <c r="G750" s="146"/>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225"/>
      <c r="B751" s="225"/>
      <c r="C751" s="131"/>
      <c r="D751" s="131"/>
      <c r="E751" s="146"/>
      <c r="F751" s="146"/>
      <c r="G751" s="146"/>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225"/>
      <c r="B752" s="225"/>
      <c r="C752" s="131"/>
      <c r="D752" s="131"/>
      <c r="E752" s="146"/>
      <c r="F752" s="146"/>
      <c r="G752" s="146"/>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225"/>
      <c r="B753" s="225"/>
      <c r="C753" s="131"/>
      <c r="D753" s="131"/>
      <c r="E753" s="146"/>
      <c r="F753" s="146"/>
      <c r="G753" s="146"/>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225"/>
      <c r="B754" s="225"/>
      <c r="C754" s="131"/>
      <c r="D754" s="131"/>
      <c r="E754" s="146"/>
      <c r="F754" s="146"/>
      <c r="G754" s="146"/>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225"/>
      <c r="B755" s="225"/>
      <c r="C755" s="131"/>
      <c r="D755" s="131"/>
      <c r="E755" s="146"/>
      <c r="F755" s="146"/>
      <c r="G755" s="146"/>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225"/>
      <c r="B756" s="225"/>
      <c r="C756" s="131"/>
      <c r="D756" s="131"/>
      <c r="E756" s="146"/>
      <c r="F756" s="146"/>
      <c r="G756" s="146"/>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225"/>
      <c r="B757" s="225"/>
      <c r="C757" s="131"/>
      <c r="D757" s="131"/>
      <c r="E757" s="146"/>
      <c r="F757" s="146"/>
      <c r="G757" s="146"/>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225"/>
      <c r="B758" s="225"/>
      <c r="C758" s="131"/>
      <c r="D758" s="131"/>
      <c r="E758" s="146"/>
      <c r="F758" s="146"/>
      <c r="G758" s="146"/>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225"/>
      <c r="B759" s="225"/>
      <c r="C759" s="131"/>
      <c r="D759" s="131"/>
      <c r="E759" s="146"/>
      <c r="F759" s="146"/>
      <c r="G759" s="146"/>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225"/>
      <c r="B760" s="225"/>
      <c r="C760" s="131"/>
      <c r="D760" s="131"/>
      <c r="E760" s="146"/>
      <c r="F760" s="146"/>
      <c r="G760" s="146"/>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225"/>
      <c r="B761" s="225"/>
      <c r="C761" s="131"/>
      <c r="D761" s="131"/>
      <c r="E761" s="146"/>
      <c r="F761" s="146"/>
      <c r="G761" s="146"/>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225"/>
      <c r="B762" s="225"/>
      <c r="C762" s="131"/>
      <c r="D762" s="131"/>
      <c r="E762" s="146"/>
      <c r="F762" s="146"/>
      <c r="G762" s="146"/>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225"/>
      <c r="B763" s="225"/>
      <c r="C763" s="131"/>
      <c r="D763" s="131"/>
      <c r="E763" s="146"/>
      <c r="F763" s="146"/>
      <c r="G763" s="146"/>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225"/>
      <c r="B764" s="225"/>
      <c r="C764" s="131"/>
      <c r="D764" s="131"/>
      <c r="E764" s="146"/>
      <c r="F764" s="146"/>
      <c r="G764" s="146"/>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225"/>
      <c r="B765" s="225"/>
      <c r="C765" s="131"/>
      <c r="D765" s="131"/>
      <c r="E765" s="146"/>
      <c r="F765" s="146"/>
      <c r="G765" s="146"/>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225"/>
      <c r="B766" s="225"/>
      <c r="C766" s="131"/>
      <c r="D766" s="131"/>
      <c r="E766" s="146"/>
      <c r="F766" s="146"/>
      <c r="G766" s="146"/>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225"/>
      <c r="B767" s="225"/>
      <c r="C767" s="131"/>
      <c r="D767" s="131"/>
      <c r="E767" s="146"/>
      <c r="F767" s="146"/>
      <c r="G767" s="146"/>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225"/>
      <c r="B768" s="225"/>
      <c r="C768" s="131"/>
      <c r="D768" s="131"/>
      <c r="E768" s="146"/>
      <c r="F768" s="146"/>
      <c r="G768" s="146"/>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225"/>
      <c r="B769" s="225"/>
      <c r="C769" s="131"/>
      <c r="D769" s="131"/>
      <c r="E769" s="146"/>
      <c r="F769" s="146"/>
      <c r="G769" s="146"/>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225"/>
      <c r="B770" s="225"/>
      <c r="C770" s="131"/>
      <c r="D770" s="131"/>
      <c r="E770" s="146"/>
      <c r="F770" s="146"/>
      <c r="G770" s="146"/>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225"/>
      <c r="B771" s="225"/>
      <c r="C771" s="131"/>
      <c r="D771" s="131"/>
      <c r="E771" s="146"/>
      <c r="F771" s="146"/>
      <c r="G771" s="146"/>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225"/>
      <c r="B772" s="225"/>
      <c r="C772" s="131"/>
      <c r="D772" s="131"/>
      <c r="E772" s="146"/>
      <c r="F772" s="146"/>
      <c r="G772" s="146"/>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225"/>
      <c r="B773" s="225"/>
      <c r="C773" s="131"/>
      <c r="D773" s="131"/>
      <c r="E773" s="146"/>
      <c r="F773" s="146"/>
      <c r="G773" s="146"/>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225"/>
      <c r="B774" s="225"/>
      <c r="C774" s="131"/>
      <c r="D774" s="131"/>
      <c r="E774" s="146"/>
      <c r="F774" s="146"/>
      <c r="G774" s="146"/>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225"/>
      <c r="B775" s="225"/>
      <c r="C775" s="131"/>
      <c r="D775" s="131"/>
      <c r="E775" s="146"/>
      <c r="F775" s="146"/>
      <c r="G775" s="146"/>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225"/>
      <c r="B776" s="225"/>
      <c r="C776" s="131"/>
      <c r="D776" s="131"/>
      <c r="E776" s="146"/>
      <c r="F776" s="146"/>
      <c r="G776" s="146"/>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225"/>
      <c r="B777" s="225"/>
      <c r="C777" s="131"/>
      <c r="D777" s="131"/>
      <c r="E777" s="146"/>
      <c r="F777" s="146"/>
      <c r="G777" s="146"/>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225"/>
      <c r="B778" s="225"/>
      <c r="C778" s="131"/>
      <c r="D778" s="131"/>
      <c r="E778" s="146"/>
      <c r="F778" s="146"/>
      <c r="G778" s="146"/>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225"/>
      <c r="B779" s="225"/>
      <c r="C779" s="131"/>
      <c r="D779" s="131"/>
      <c r="E779" s="146"/>
      <c r="F779" s="146"/>
      <c r="G779" s="146"/>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225"/>
      <c r="B780" s="225"/>
      <c r="C780" s="131"/>
      <c r="D780" s="131"/>
      <c r="E780" s="146"/>
      <c r="F780" s="146"/>
      <c r="G780" s="146"/>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225"/>
      <c r="B781" s="225"/>
      <c r="C781" s="131"/>
      <c r="D781" s="131"/>
      <c r="E781" s="146"/>
      <c r="F781" s="146"/>
      <c r="G781" s="146"/>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225"/>
      <c r="B782" s="225"/>
      <c r="C782" s="131"/>
      <c r="D782" s="131"/>
      <c r="E782" s="146"/>
      <c r="F782" s="146"/>
      <c r="G782" s="146"/>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225"/>
      <c r="B783" s="225"/>
      <c r="C783" s="131"/>
      <c r="D783" s="131"/>
      <c r="E783" s="146"/>
      <c r="F783" s="146"/>
      <c r="G783" s="146"/>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225"/>
      <c r="B784" s="225"/>
      <c r="C784" s="131"/>
      <c r="D784" s="131"/>
      <c r="E784" s="146"/>
      <c r="F784" s="146"/>
      <c r="G784" s="146"/>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225"/>
      <c r="B785" s="225"/>
      <c r="C785" s="131"/>
      <c r="D785" s="131"/>
      <c r="E785" s="146"/>
      <c r="F785" s="146"/>
      <c r="G785" s="146"/>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225"/>
      <c r="B786" s="225"/>
      <c r="C786" s="131"/>
      <c r="D786" s="131"/>
      <c r="E786" s="146"/>
      <c r="F786" s="146"/>
      <c r="G786" s="146"/>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225"/>
      <c r="B787" s="225"/>
      <c r="C787" s="131"/>
      <c r="D787" s="131"/>
      <c r="E787" s="146"/>
      <c r="F787" s="146"/>
      <c r="G787" s="146"/>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225"/>
      <c r="B788" s="225"/>
      <c r="C788" s="131"/>
      <c r="D788" s="131"/>
      <c r="E788" s="146"/>
      <c r="F788" s="146"/>
      <c r="G788" s="146"/>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225"/>
      <c r="B789" s="225"/>
      <c r="C789" s="131"/>
      <c r="D789" s="131"/>
      <c r="E789" s="146"/>
      <c r="F789" s="146"/>
      <c r="G789" s="146"/>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225"/>
      <c r="B790" s="225"/>
      <c r="C790" s="131"/>
      <c r="D790" s="131"/>
      <c r="E790" s="146"/>
      <c r="F790" s="146"/>
      <c r="G790" s="146"/>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225"/>
      <c r="B791" s="225"/>
      <c r="C791" s="131"/>
      <c r="D791" s="131"/>
      <c r="E791" s="146"/>
      <c r="F791" s="146"/>
      <c r="G791" s="146"/>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225"/>
      <c r="B792" s="225"/>
      <c r="C792" s="131"/>
      <c r="D792" s="131"/>
      <c r="E792" s="146"/>
      <c r="F792" s="146"/>
      <c r="G792" s="146"/>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225"/>
      <c r="B793" s="225"/>
      <c r="C793" s="131"/>
      <c r="D793" s="131"/>
      <c r="E793" s="146"/>
      <c r="F793" s="146"/>
      <c r="G793" s="146"/>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225"/>
      <c r="B794" s="225"/>
      <c r="C794" s="131"/>
      <c r="D794" s="131"/>
      <c r="E794" s="146"/>
      <c r="F794" s="146"/>
      <c r="G794" s="146"/>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225"/>
      <c r="B795" s="225"/>
      <c r="C795" s="131"/>
      <c r="D795" s="131"/>
      <c r="E795" s="146"/>
      <c r="F795" s="146"/>
      <c r="G795" s="146"/>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225"/>
      <c r="B796" s="225"/>
      <c r="C796" s="131"/>
      <c r="D796" s="131"/>
      <c r="E796" s="146"/>
      <c r="F796" s="146"/>
      <c r="G796" s="146"/>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225"/>
      <c r="B797" s="225"/>
      <c r="C797" s="131"/>
      <c r="D797" s="131"/>
      <c r="E797" s="146"/>
      <c r="F797" s="146"/>
      <c r="G797" s="146"/>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225"/>
      <c r="B798" s="225"/>
      <c r="C798" s="131"/>
      <c r="D798" s="131"/>
      <c r="E798" s="146"/>
      <c r="F798" s="146"/>
      <c r="G798" s="146"/>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225"/>
      <c r="B799" s="225"/>
      <c r="C799" s="131"/>
      <c r="D799" s="131"/>
      <c r="E799" s="146"/>
      <c r="F799" s="146"/>
      <c r="G799" s="146"/>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225"/>
      <c r="B800" s="225"/>
      <c r="C800" s="131"/>
      <c r="D800" s="131"/>
      <c r="E800" s="146"/>
      <c r="F800" s="146"/>
      <c r="G800" s="146"/>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225"/>
      <c r="B801" s="225"/>
      <c r="C801" s="131"/>
      <c r="D801" s="131"/>
      <c r="E801" s="146"/>
      <c r="F801" s="146"/>
      <c r="G801" s="146"/>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225"/>
      <c r="B802" s="225"/>
      <c r="C802" s="131"/>
      <c r="D802" s="131"/>
      <c r="E802" s="146"/>
      <c r="F802" s="146"/>
      <c r="G802" s="146"/>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225"/>
      <c r="B803" s="225"/>
      <c r="C803" s="131"/>
      <c r="D803" s="131"/>
      <c r="E803" s="146"/>
      <c r="F803" s="146"/>
      <c r="G803" s="146"/>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225"/>
      <c r="B804" s="225"/>
      <c r="C804" s="131"/>
      <c r="D804" s="131"/>
      <c r="E804" s="146"/>
      <c r="F804" s="146"/>
      <c r="G804" s="146"/>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225"/>
      <c r="B805" s="225"/>
      <c r="C805" s="131"/>
      <c r="D805" s="131"/>
      <c r="E805" s="146"/>
      <c r="F805" s="146"/>
      <c r="G805" s="146"/>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225"/>
      <c r="B806" s="225"/>
      <c r="C806" s="131"/>
      <c r="D806" s="131"/>
      <c r="E806" s="146"/>
      <c r="F806" s="146"/>
      <c r="G806" s="146"/>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225"/>
      <c r="B807" s="225"/>
      <c r="C807" s="131"/>
      <c r="D807" s="131"/>
      <c r="E807" s="146"/>
      <c r="F807" s="146"/>
      <c r="G807" s="146"/>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225"/>
      <c r="B808" s="225"/>
      <c r="C808" s="131"/>
      <c r="D808" s="131"/>
      <c r="E808" s="146"/>
      <c r="F808" s="146"/>
      <c r="G808" s="146"/>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225"/>
      <c r="B809" s="225"/>
      <c r="C809" s="131"/>
      <c r="D809" s="131"/>
      <c r="E809" s="146"/>
      <c r="F809" s="146"/>
      <c r="G809" s="146"/>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225"/>
      <c r="B810" s="225"/>
      <c r="C810" s="131"/>
      <c r="D810" s="131"/>
      <c r="E810" s="146"/>
      <c r="F810" s="146"/>
      <c r="G810" s="146"/>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225"/>
      <c r="B811" s="225"/>
      <c r="C811" s="131"/>
      <c r="D811" s="131"/>
      <c r="E811" s="146"/>
      <c r="F811" s="146"/>
      <c r="G811" s="146"/>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225"/>
      <c r="B812" s="225"/>
      <c r="C812" s="131"/>
      <c r="D812" s="131"/>
      <c r="E812" s="146"/>
      <c r="F812" s="146"/>
      <c r="G812" s="146"/>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225"/>
      <c r="B813" s="225"/>
      <c r="C813" s="131"/>
      <c r="D813" s="131"/>
      <c r="E813" s="146"/>
      <c r="F813" s="146"/>
      <c r="G813" s="146"/>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225"/>
      <c r="B814" s="225"/>
      <c r="C814" s="131"/>
      <c r="D814" s="131"/>
      <c r="E814" s="146"/>
      <c r="F814" s="146"/>
      <c r="G814" s="146"/>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225"/>
      <c r="B815" s="225"/>
      <c r="C815" s="131"/>
      <c r="D815" s="131"/>
      <c r="E815" s="146"/>
      <c r="F815" s="146"/>
      <c r="G815" s="146"/>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225"/>
      <c r="B816" s="225"/>
      <c r="C816" s="131"/>
      <c r="D816" s="131"/>
      <c r="E816" s="146"/>
      <c r="F816" s="146"/>
      <c r="G816" s="146"/>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225"/>
      <c r="B817" s="225"/>
      <c r="C817" s="131"/>
      <c r="D817" s="131"/>
      <c r="E817" s="146"/>
      <c r="F817" s="146"/>
      <c r="G817" s="146"/>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225"/>
      <c r="B818" s="225"/>
      <c r="C818" s="131"/>
      <c r="D818" s="131"/>
      <c r="E818" s="146"/>
      <c r="F818" s="146"/>
      <c r="G818" s="146"/>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225"/>
      <c r="B819" s="225"/>
      <c r="C819" s="131"/>
      <c r="D819" s="131"/>
      <c r="E819" s="146"/>
      <c r="F819" s="146"/>
      <c r="G819" s="146"/>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225"/>
      <c r="B820" s="225"/>
      <c r="C820" s="131"/>
      <c r="D820" s="131"/>
      <c r="E820" s="146"/>
      <c r="F820" s="146"/>
      <c r="G820" s="146"/>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225"/>
      <c r="B821" s="225"/>
      <c r="C821" s="131"/>
      <c r="D821" s="131"/>
      <c r="E821" s="146"/>
      <c r="F821" s="146"/>
      <c r="G821" s="146"/>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225"/>
      <c r="B822" s="225"/>
      <c r="C822" s="131"/>
      <c r="D822" s="131"/>
      <c r="E822" s="146"/>
      <c r="F822" s="146"/>
      <c r="G822" s="146"/>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225"/>
      <c r="B823" s="225"/>
      <c r="C823" s="131"/>
      <c r="D823" s="131"/>
      <c r="E823" s="146"/>
      <c r="F823" s="146"/>
      <c r="G823" s="146"/>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225"/>
      <c r="B824" s="225"/>
      <c r="C824" s="131"/>
      <c r="D824" s="131"/>
      <c r="E824" s="146"/>
      <c r="F824" s="146"/>
      <c r="G824" s="146"/>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225"/>
      <c r="B825" s="225"/>
      <c r="C825" s="131"/>
      <c r="D825" s="131"/>
      <c r="E825" s="146"/>
      <c r="F825" s="146"/>
      <c r="G825" s="146"/>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225"/>
      <c r="B826" s="225"/>
      <c r="C826" s="131"/>
      <c r="D826" s="131"/>
      <c r="E826" s="146"/>
      <c r="F826" s="146"/>
      <c r="G826" s="146"/>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225"/>
      <c r="B827" s="225"/>
      <c r="C827" s="131"/>
      <c r="D827" s="131"/>
      <c r="E827" s="146"/>
      <c r="F827" s="146"/>
      <c r="G827" s="146"/>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225"/>
      <c r="B828" s="225"/>
      <c r="C828" s="131"/>
      <c r="D828" s="131"/>
      <c r="E828" s="146"/>
      <c r="F828" s="146"/>
      <c r="G828" s="146"/>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225"/>
      <c r="B829" s="225"/>
      <c r="C829" s="131"/>
      <c r="D829" s="131"/>
      <c r="E829" s="146"/>
      <c r="F829" s="146"/>
      <c r="G829" s="146"/>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225"/>
      <c r="B830" s="225"/>
      <c r="C830" s="131"/>
      <c r="D830" s="131"/>
      <c r="E830" s="146"/>
      <c r="F830" s="146"/>
      <c r="G830" s="146"/>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225"/>
      <c r="B831" s="225"/>
      <c r="C831" s="131"/>
      <c r="D831" s="131"/>
      <c r="E831" s="146"/>
      <c r="F831" s="146"/>
      <c r="G831" s="146"/>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225"/>
      <c r="B832" s="225"/>
      <c r="C832" s="131"/>
      <c r="D832" s="131"/>
      <c r="E832" s="146"/>
      <c r="F832" s="146"/>
      <c r="G832" s="146"/>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225"/>
      <c r="B833" s="225"/>
      <c r="C833" s="131"/>
      <c r="D833" s="131"/>
      <c r="E833" s="146"/>
      <c r="F833" s="146"/>
      <c r="G833" s="146"/>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225"/>
      <c r="B834" s="225"/>
      <c r="C834" s="131"/>
      <c r="D834" s="131"/>
      <c r="E834" s="146"/>
      <c r="F834" s="146"/>
      <c r="G834" s="146"/>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225"/>
      <c r="B835" s="225"/>
      <c r="C835" s="131"/>
      <c r="D835" s="131"/>
      <c r="E835" s="146"/>
      <c r="F835" s="146"/>
      <c r="G835" s="146"/>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225"/>
      <c r="B836" s="225"/>
      <c r="C836" s="131"/>
      <c r="D836" s="131"/>
      <c r="E836" s="146"/>
      <c r="F836" s="146"/>
      <c r="G836" s="146"/>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225"/>
      <c r="B837" s="225"/>
      <c r="C837" s="131"/>
      <c r="D837" s="131"/>
      <c r="E837" s="146"/>
      <c r="F837" s="146"/>
      <c r="G837" s="146"/>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225"/>
      <c r="B838" s="225"/>
      <c r="C838" s="131"/>
      <c r="D838" s="131"/>
      <c r="E838" s="146"/>
      <c r="F838" s="146"/>
      <c r="G838" s="146"/>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225"/>
      <c r="B839" s="225"/>
      <c r="C839" s="131"/>
      <c r="D839" s="131"/>
      <c r="E839" s="146"/>
      <c r="F839" s="146"/>
      <c r="G839" s="146"/>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225"/>
      <c r="B840" s="225"/>
      <c r="C840" s="131"/>
      <c r="D840" s="131"/>
      <c r="E840" s="146"/>
      <c r="F840" s="146"/>
      <c r="G840" s="146"/>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225"/>
      <c r="B841" s="225"/>
      <c r="C841" s="131"/>
      <c r="D841" s="131"/>
      <c r="E841" s="146"/>
      <c r="F841" s="146"/>
      <c r="G841" s="146"/>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225"/>
      <c r="B842" s="225"/>
      <c r="C842" s="131"/>
      <c r="D842" s="131"/>
      <c r="E842" s="146"/>
      <c r="F842" s="146"/>
      <c r="G842" s="146"/>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225"/>
      <c r="B843" s="225"/>
      <c r="C843" s="131"/>
      <c r="D843" s="131"/>
      <c r="E843" s="146"/>
      <c r="F843" s="146"/>
      <c r="G843" s="146"/>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225"/>
      <c r="B844" s="225"/>
      <c r="C844" s="131"/>
      <c r="D844" s="131"/>
      <c r="E844" s="146"/>
      <c r="F844" s="146"/>
      <c r="G844" s="146"/>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225"/>
      <c r="B845" s="225"/>
      <c r="C845" s="131"/>
      <c r="D845" s="131"/>
      <c r="E845" s="146"/>
      <c r="F845" s="146"/>
      <c r="G845" s="146"/>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225"/>
      <c r="B846" s="225"/>
      <c r="C846" s="131"/>
      <c r="D846" s="131"/>
      <c r="E846" s="146"/>
      <c r="F846" s="146"/>
      <c r="G846" s="146"/>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225"/>
      <c r="B847" s="225"/>
      <c r="C847" s="131"/>
      <c r="D847" s="131"/>
      <c r="E847" s="146"/>
      <c r="F847" s="146"/>
      <c r="G847" s="146"/>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225"/>
      <c r="B848" s="225"/>
      <c r="C848" s="131"/>
      <c r="D848" s="131"/>
      <c r="E848" s="146"/>
      <c r="F848" s="146"/>
      <c r="G848" s="146"/>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225"/>
      <c r="B849" s="225"/>
      <c r="C849" s="131"/>
      <c r="D849" s="131"/>
      <c r="E849" s="146"/>
      <c r="F849" s="146"/>
      <c r="G849" s="146"/>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225"/>
      <c r="B850" s="225"/>
      <c r="C850" s="131"/>
      <c r="D850" s="131"/>
      <c r="E850" s="146"/>
      <c r="F850" s="146"/>
      <c r="G850" s="146"/>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225"/>
      <c r="B851" s="225"/>
      <c r="C851" s="131"/>
      <c r="D851" s="131"/>
      <c r="E851" s="146"/>
      <c r="F851" s="146"/>
      <c r="G851" s="146"/>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225"/>
      <c r="B852" s="225"/>
      <c r="C852" s="131"/>
      <c r="D852" s="131"/>
      <c r="E852" s="146"/>
      <c r="F852" s="146"/>
      <c r="G852" s="146"/>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225"/>
      <c r="B853" s="225"/>
      <c r="C853" s="131"/>
      <c r="D853" s="131"/>
      <c r="E853" s="146"/>
      <c r="F853" s="146"/>
      <c r="G853" s="146"/>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225"/>
      <c r="B854" s="225"/>
      <c r="C854" s="131"/>
      <c r="D854" s="131"/>
      <c r="E854" s="146"/>
      <c r="F854" s="146"/>
      <c r="G854" s="146"/>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225"/>
      <c r="B855" s="225"/>
      <c r="C855" s="131"/>
      <c r="D855" s="131"/>
      <c r="E855" s="146"/>
      <c r="F855" s="146"/>
      <c r="G855" s="146"/>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225"/>
      <c r="B856" s="225"/>
      <c r="C856" s="131"/>
      <c r="D856" s="131"/>
      <c r="E856" s="146"/>
      <c r="F856" s="146"/>
      <c r="G856" s="146"/>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225"/>
      <c r="B857" s="225"/>
      <c r="C857" s="131"/>
      <c r="D857" s="131"/>
      <c r="E857" s="146"/>
      <c r="F857" s="146"/>
      <c r="G857" s="146"/>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225"/>
      <c r="B858" s="225"/>
      <c r="C858" s="131"/>
      <c r="D858" s="131"/>
      <c r="E858" s="146"/>
      <c r="F858" s="146"/>
      <c r="G858" s="146"/>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225"/>
      <c r="B859" s="225"/>
      <c r="C859" s="131"/>
      <c r="D859" s="131"/>
      <c r="E859" s="146"/>
      <c r="F859" s="146"/>
      <c r="G859" s="146"/>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225"/>
      <c r="B860" s="225"/>
      <c r="C860" s="131"/>
      <c r="D860" s="131"/>
      <c r="E860" s="146"/>
      <c r="F860" s="146"/>
      <c r="G860" s="146"/>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225"/>
      <c r="B861" s="225"/>
      <c r="C861" s="131"/>
      <c r="D861" s="131"/>
      <c r="E861" s="146"/>
      <c r="F861" s="146"/>
      <c r="G861" s="146"/>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225"/>
      <c r="B862" s="225"/>
      <c r="C862" s="131"/>
      <c r="D862" s="131"/>
      <c r="E862" s="146"/>
      <c r="F862" s="146"/>
      <c r="G862" s="146"/>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225"/>
      <c r="B863" s="225"/>
      <c r="C863" s="131"/>
      <c r="D863" s="131"/>
      <c r="E863" s="146"/>
      <c r="F863" s="146"/>
      <c r="G863" s="146"/>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225"/>
      <c r="B864" s="225"/>
      <c r="C864" s="131"/>
      <c r="D864" s="131"/>
      <c r="E864" s="146"/>
      <c r="F864" s="146"/>
      <c r="G864" s="146"/>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225"/>
      <c r="B865" s="225"/>
      <c r="C865" s="131"/>
      <c r="D865" s="131"/>
      <c r="E865" s="146"/>
      <c r="F865" s="146"/>
      <c r="G865" s="146"/>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225"/>
      <c r="B866" s="225"/>
      <c r="C866" s="131"/>
      <c r="D866" s="131"/>
      <c r="E866" s="146"/>
      <c r="F866" s="146"/>
      <c r="G866" s="146"/>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225"/>
      <c r="B867" s="225"/>
      <c r="C867" s="131"/>
      <c r="D867" s="131"/>
      <c r="E867" s="146"/>
      <c r="F867" s="146"/>
      <c r="G867" s="146"/>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225"/>
      <c r="B868" s="225"/>
      <c r="C868" s="131"/>
      <c r="D868" s="131"/>
      <c r="E868" s="146"/>
      <c r="F868" s="146"/>
      <c r="G868" s="146"/>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225"/>
      <c r="B869" s="225"/>
      <c r="C869" s="131"/>
      <c r="D869" s="131"/>
      <c r="E869" s="146"/>
      <c r="F869" s="146"/>
      <c r="G869" s="146"/>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225"/>
      <c r="B870" s="225"/>
      <c r="C870" s="131"/>
      <c r="D870" s="131"/>
      <c r="E870" s="146"/>
      <c r="F870" s="146"/>
      <c r="G870" s="146"/>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225"/>
      <c r="B871" s="225"/>
      <c r="C871" s="131"/>
      <c r="D871" s="131"/>
      <c r="E871" s="146"/>
      <c r="F871" s="146"/>
      <c r="G871" s="146"/>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225"/>
      <c r="B872" s="225"/>
      <c r="C872" s="131"/>
      <c r="D872" s="131"/>
      <c r="E872" s="146"/>
      <c r="F872" s="146"/>
      <c r="G872" s="146"/>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225"/>
      <c r="B873" s="225"/>
      <c r="C873" s="131"/>
      <c r="D873" s="131"/>
      <c r="E873" s="146"/>
      <c r="F873" s="146"/>
      <c r="G873" s="146"/>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225"/>
      <c r="B874" s="225"/>
      <c r="C874" s="131"/>
      <c r="D874" s="131"/>
      <c r="E874" s="146"/>
      <c r="F874" s="146"/>
      <c r="G874" s="146"/>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225"/>
      <c r="B875" s="225"/>
      <c r="C875" s="131"/>
      <c r="D875" s="131"/>
      <c r="E875" s="146"/>
      <c r="F875" s="146"/>
      <c r="G875" s="146"/>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225"/>
      <c r="B876" s="225"/>
      <c r="C876" s="131"/>
      <c r="D876" s="131"/>
      <c r="E876" s="146"/>
      <c r="F876" s="146"/>
      <c r="G876" s="146"/>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225"/>
      <c r="B877" s="225"/>
      <c r="C877" s="131"/>
      <c r="D877" s="131"/>
      <c r="E877" s="146"/>
      <c r="F877" s="146"/>
      <c r="G877" s="146"/>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225"/>
      <c r="B878" s="225"/>
      <c r="C878" s="131"/>
      <c r="D878" s="131"/>
      <c r="E878" s="146"/>
      <c r="F878" s="146"/>
      <c r="G878" s="146"/>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225"/>
      <c r="B879" s="225"/>
      <c r="C879" s="131"/>
      <c r="D879" s="131"/>
      <c r="E879" s="146"/>
      <c r="F879" s="146"/>
      <c r="G879" s="146"/>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225"/>
      <c r="B880" s="225"/>
      <c r="C880" s="131"/>
      <c r="D880" s="131"/>
      <c r="E880" s="146"/>
      <c r="F880" s="146"/>
      <c r="G880" s="146"/>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225"/>
      <c r="B881" s="225"/>
      <c r="C881" s="131"/>
      <c r="D881" s="131"/>
      <c r="E881" s="146"/>
      <c r="F881" s="146"/>
      <c r="G881" s="146"/>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225"/>
      <c r="B882" s="225"/>
      <c r="C882" s="131"/>
      <c r="D882" s="131"/>
      <c r="E882" s="146"/>
      <c r="F882" s="146"/>
      <c r="G882" s="146"/>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225"/>
      <c r="B883" s="225"/>
      <c r="C883" s="131"/>
      <c r="D883" s="131"/>
      <c r="E883" s="146"/>
      <c r="F883" s="146"/>
      <c r="G883" s="146"/>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225"/>
      <c r="B884" s="225"/>
      <c r="C884" s="131"/>
      <c r="D884" s="131"/>
      <c r="E884" s="146"/>
      <c r="F884" s="146"/>
      <c r="G884" s="146"/>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225"/>
      <c r="B885" s="225"/>
      <c r="C885" s="131"/>
      <c r="D885" s="131"/>
      <c r="E885" s="146"/>
      <c r="F885" s="146"/>
      <c r="G885" s="146"/>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225"/>
      <c r="B886" s="225"/>
      <c r="C886" s="131"/>
      <c r="D886" s="131"/>
      <c r="E886" s="146"/>
      <c r="F886" s="146"/>
      <c r="G886" s="146"/>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225"/>
      <c r="B887" s="225"/>
      <c r="C887" s="131"/>
      <c r="D887" s="131"/>
      <c r="E887" s="146"/>
      <c r="F887" s="146"/>
      <c r="G887" s="146"/>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225"/>
      <c r="B888" s="225"/>
      <c r="C888" s="131"/>
      <c r="D888" s="131"/>
      <c r="E888" s="146"/>
      <c r="F888" s="146"/>
      <c r="G888" s="146"/>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225"/>
      <c r="B889" s="225"/>
      <c r="C889" s="131"/>
      <c r="D889" s="131"/>
      <c r="E889" s="146"/>
      <c r="F889" s="146"/>
      <c r="G889" s="146"/>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225"/>
      <c r="B890" s="225"/>
      <c r="C890" s="131"/>
      <c r="D890" s="131"/>
      <c r="E890" s="146"/>
      <c r="F890" s="146"/>
      <c r="G890" s="146"/>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225"/>
      <c r="B891" s="225"/>
      <c r="C891" s="131"/>
      <c r="D891" s="131"/>
      <c r="E891" s="146"/>
      <c r="F891" s="146"/>
      <c r="G891" s="146"/>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225"/>
      <c r="B892" s="225"/>
      <c r="C892" s="131"/>
      <c r="D892" s="131"/>
      <c r="E892" s="146"/>
      <c r="F892" s="146"/>
      <c r="G892" s="146"/>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225"/>
      <c r="B893" s="225"/>
      <c r="C893" s="131"/>
      <c r="D893" s="131"/>
      <c r="E893" s="146"/>
      <c r="F893" s="146"/>
      <c r="G893" s="146"/>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225"/>
      <c r="B894" s="225"/>
      <c r="C894" s="131"/>
      <c r="D894" s="131"/>
      <c r="E894" s="146"/>
      <c r="F894" s="146"/>
      <c r="G894" s="146"/>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225"/>
      <c r="B895" s="225"/>
      <c r="C895" s="131"/>
      <c r="D895" s="131"/>
      <c r="E895" s="146"/>
      <c r="F895" s="146"/>
      <c r="G895" s="146"/>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225"/>
      <c r="B896" s="225"/>
      <c r="C896" s="131"/>
      <c r="D896" s="131"/>
      <c r="E896" s="146"/>
      <c r="F896" s="146"/>
      <c r="G896" s="146"/>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225"/>
      <c r="B897" s="225"/>
      <c r="C897" s="131"/>
      <c r="D897" s="131"/>
      <c r="E897" s="146"/>
      <c r="F897" s="146"/>
      <c r="G897" s="146"/>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225"/>
      <c r="B898" s="225"/>
      <c r="C898" s="131"/>
      <c r="D898" s="131"/>
      <c r="E898" s="146"/>
      <c r="F898" s="146"/>
      <c r="G898" s="146"/>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225"/>
      <c r="B899" s="225"/>
      <c r="C899" s="131"/>
      <c r="D899" s="131"/>
      <c r="E899" s="146"/>
      <c r="F899" s="146"/>
      <c r="G899" s="146"/>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225"/>
      <c r="B900" s="225"/>
      <c r="C900" s="131"/>
      <c r="D900" s="131"/>
      <c r="E900" s="146"/>
      <c r="F900" s="146"/>
      <c r="G900" s="146"/>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225"/>
      <c r="B901" s="225"/>
      <c r="C901" s="131"/>
      <c r="D901" s="131"/>
      <c r="E901" s="146"/>
      <c r="F901" s="146"/>
      <c r="G901" s="146"/>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225"/>
      <c r="B902" s="225"/>
      <c r="C902" s="131"/>
      <c r="D902" s="131"/>
      <c r="E902" s="146"/>
      <c r="F902" s="146"/>
      <c r="G902" s="146"/>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225"/>
      <c r="B903" s="225"/>
      <c r="C903" s="131"/>
      <c r="D903" s="131"/>
      <c r="E903" s="146"/>
      <c r="F903" s="146"/>
      <c r="G903" s="146"/>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225"/>
      <c r="B904" s="225"/>
      <c r="C904" s="131"/>
      <c r="D904" s="131"/>
      <c r="E904" s="146"/>
      <c r="F904" s="146"/>
      <c r="G904" s="146"/>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225"/>
      <c r="B905" s="225"/>
      <c r="C905" s="131"/>
      <c r="D905" s="131"/>
      <c r="E905" s="146"/>
      <c r="F905" s="146"/>
      <c r="G905" s="146"/>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225"/>
      <c r="B906" s="225"/>
      <c r="C906" s="131"/>
      <c r="D906" s="131"/>
      <c r="E906" s="146"/>
      <c r="F906" s="146"/>
      <c r="G906" s="146"/>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225"/>
      <c r="B907" s="225"/>
      <c r="C907" s="131"/>
      <c r="D907" s="131"/>
      <c r="E907" s="146"/>
      <c r="F907" s="146"/>
      <c r="G907" s="146"/>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225"/>
      <c r="B908" s="225"/>
      <c r="C908" s="131"/>
      <c r="D908" s="131"/>
      <c r="E908" s="146"/>
      <c r="F908" s="146"/>
      <c r="G908" s="146"/>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225"/>
      <c r="B909" s="225"/>
      <c r="C909" s="131"/>
      <c r="D909" s="131"/>
      <c r="E909" s="146"/>
      <c r="F909" s="146"/>
      <c r="G909" s="146"/>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225"/>
      <c r="B910" s="225"/>
      <c r="C910" s="131"/>
      <c r="D910" s="131"/>
      <c r="E910" s="146"/>
      <c r="F910" s="146"/>
      <c r="G910" s="146"/>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225"/>
      <c r="B911" s="225"/>
      <c r="C911" s="131"/>
      <c r="D911" s="131"/>
      <c r="E911" s="146"/>
      <c r="F911" s="146"/>
      <c r="G911" s="146"/>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225"/>
      <c r="B912" s="225"/>
      <c r="C912" s="131"/>
      <c r="D912" s="131"/>
      <c r="E912" s="146"/>
      <c r="F912" s="146"/>
      <c r="G912" s="146"/>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225"/>
      <c r="B913" s="225"/>
      <c r="C913" s="131"/>
      <c r="D913" s="131"/>
      <c r="E913" s="146"/>
      <c r="F913" s="146"/>
      <c r="G913" s="146"/>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225"/>
      <c r="B914" s="225"/>
      <c r="C914" s="131"/>
      <c r="D914" s="131"/>
      <c r="E914" s="146"/>
      <c r="F914" s="146"/>
      <c r="G914" s="146"/>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225"/>
      <c r="B915" s="225"/>
      <c r="C915" s="131"/>
      <c r="D915" s="131"/>
      <c r="E915" s="146"/>
      <c r="F915" s="146"/>
      <c r="G915" s="146"/>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225"/>
      <c r="B916" s="225"/>
      <c r="C916" s="131"/>
      <c r="D916" s="131"/>
      <c r="E916" s="146"/>
      <c r="F916" s="146"/>
      <c r="G916" s="146"/>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225"/>
      <c r="B917" s="225"/>
      <c r="C917" s="131"/>
      <c r="D917" s="131"/>
      <c r="E917" s="146"/>
      <c r="F917" s="146"/>
      <c r="G917" s="146"/>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225"/>
      <c r="B918" s="225"/>
      <c r="C918" s="131"/>
      <c r="D918" s="131"/>
      <c r="E918" s="146"/>
      <c r="F918" s="146"/>
      <c r="G918" s="146"/>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225"/>
      <c r="B919" s="225"/>
      <c r="C919" s="131"/>
      <c r="D919" s="131"/>
      <c r="E919" s="146"/>
      <c r="F919" s="146"/>
      <c r="G919" s="146"/>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225"/>
      <c r="B920" s="225"/>
      <c r="C920" s="131"/>
      <c r="D920" s="131"/>
      <c r="E920" s="146"/>
      <c r="F920" s="146"/>
      <c r="G920" s="146"/>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225"/>
      <c r="B921" s="225"/>
      <c r="C921" s="131"/>
      <c r="D921" s="131"/>
      <c r="E921" s="146"/>
      <c r="F921" s="146"/>
      <c r="G921" s="146"/>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225"/>
      <c r="B922" s="225"/>
      <c r="C922" s="131"/>
      <c r="D922" s="131"/>
      <c r="E922" s="146"/>
      <c r="F922" s="146"/>
      <c r="G922" s="146"/>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225"/>
      <c r="B923" s="225"/>
      <c r="C923" s="131"/>
      <c r="D923" s="131"/>
      <c r="E923" s="146"/>
      <c r="F923" s="146"/>
      <c r="G923" s="146"/>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225"/>
      <c r="B924" s="225"/>
      <c r="C924" s="131"/>
      <c r="D924" s="131"/>
      <c r="E924" s="146"/>
      <c r="F924" s="146"/>
      <c r="G924" s="146"/>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225"/>
      <c r="B925" s="225"/>
      <c r="C925" s="131"/>
      <c r="D925" s="131"/>
      <c r="E925" s="146"/>
      <c r="F925" s="146"/>
      <c r="G925" s="146"/>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225"/>
      <c r="B926" s="225"/>
      <c r="C926" s="131"/>
      <c r="D926" s="131"/>
      <c r="E926" s="146"/>
      <c r="F926" s="146"/>
      <c r="G926" s="146"/>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225"/>
      <c r="B927" s="225"/>
      <c r="C927" s="131"/>
      <c r="D927" s="131"/>
      <c r="E927" s="146"/>
      <c r="F927" s="146"/>
      <c r="G927" s="146"/>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225"/>
      <c r="B928" s="225"/>
      <c r="C928" s="131"/>
      <c r="D928" s="131"/>
      <c r="E928" s="146"/>
      <c r="F928" s="146"/>
      <c r="G928" s="146"/>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225"/>
      <c r="B929" s="225"/>
      <c r="C929" s="131"/>
      <c r="D929" s="131"/>
      <c r="E929" s="146"/>
      <c r="F929" s="146"/>
      <c r="G929" s="146"/>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225"/>
      <c r="B930" s="225"/>
      <c r="C930" s="131"/>
      <c r="D930" s="131"/>
      <c r="E930" s="146"/>
      <c r="F930" s="146"/>
      <c r="G930" s="146"/>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225"/>
      <c r="B931" s="225"/>
      <c r="C931" s="131"/>
      <c r="D931" s="131"/>
      <c r="E931" s="146"/>
      <c r="F931" s="146"/>
      <c r="G931" s="146"/>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225"/>
      <c r="B932" s="225"/>
      <c r="C932" s="131"/>
      <c r="D932" s="131"/>
      <c r="E932" s="146"/>
      <c r="F932" s="146"/>
      <c r="G932" s="146"/>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225"/>
      <c r="B933" s="225"/>
      <c r="C933" s="131"/>
      <c r="D933" s="131"/>
      <c r="E933" s="146"/>
      <c r="F933" s="146"/>
      <c r="G933" s="146"/>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225"/>
      <c r="B934" s="225"/>
      <c r="C934" s="131"/>
      <c r="D934" s="131"/>
      <c r="E934" s="146"/>
      <c r="F934" s="146"/>
      <c r="G934" s="146"/>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225"/>
      <c r="B935" s="225"/>
      <c r="C935" s="131"/>
      <c r="D935" s="131"/>
      <c r="E935" s="146"/>
      <c r="F935" s="146"/>
      <c r="G935" s="146"/>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225"/>
      <c r="B936" s="225"/>
      <c r="C936" s="131"/>
      <c r="D936" s="131"/>
      <c r="E936" s="146"/>
      <c r="F936" s="146"/>
      <c r="G936" s="146"/>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225"/>
      <c r="B937" s="225"/>
      <c r="C937" s="131"/>
      <c r="D937" s="131"/>
      <c r="E937" s="146"/>
      <c r="F937" s="146"/>
      <c r="G937" s="146"/>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225"/>
      <c r="B938" s="225"/>
      <c r="C938" s="131"/>
      <c r="D938" s="131"/>
      <c r="E938" s="146"/>
      <c r="F938" s="146"/>
      <c r="G938" s="146"/>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225"/>
      <c r="B939" s="225"/>
      <c r="C939" s="131"/>
      <c r="D939" s="131"/>
      <c r="E939" s="146"/>
      <c r="F939" s="146"/>
      <c r="G939" s="146"/>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225"/>
      <c r="B940" s="225"/>
      <c r="C940" s="131"/>
      <c r="D940" s="131"/>
      <c r="E940" s="146"/>
      <c r="F940" s="146"/>
      <c r="G940" s="146"/>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225"/>
      <c r="B941" s="225"/>
      <c r="C941" s="131"/>
      <c r="D941" s="131"/>
      <c r="E941" s="146"/>
      <c r="F941" s="146"/>
      <c r="G941" s="146"/>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225"/>
      <c r="B942" s="225"/>
      <c r="C942" s="131"/>
      <c r="D942" s="131"/>
      <c r="E942" s="146"/>
      <c r="F942" s="146"/>
      <c r="G942" s="146"/>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225"/>
      <c r="B943" s="225"/>
      <c r="C943" s="131"/>
      <c r="D943" s="131"/>
      <c r="E943" s="146"/>
      <c r="F943" s="146"/>
      <c r="G943" s="146"/>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225"/>
      <c r="B944" s="225"/>
      <c r="C944" s="131"/>
      <c r="D944" s="131"/>
      <c r="E944" s="146"/>
      <c r="F944" s="146"/>
      <c r="G944" s="146"/>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225"/>
      <c r="B945" s="225"/>
      <c r="C945" s="131"/>
      <c r="D945" s="131"/>
      <c r="E945" s="146"/>
      <c r="F945" s="146"/>
      <c r="G945" s="146"/>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225"/>
      <c r="B946" s="225"/>
      <c r="C946" s="131"/>
      <c r="D946" s="131"/>
      <c r="E946" s="146"/>
      <c r="F946" s="146"/>
      <c r="G946" s="146"/>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225"/>
      <c r="B947" s="225"/>
      <c r="C947" s="131"/>
      <c r="D947" s="131"/>
      <c r="E947" s="146"/>
      <c r="F947" s="146"/>
      <c r="G947" s="146"/>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225"/>
      <c r="B948" s="225"/>
      <c r="C948" s="131"/>
      <c r="D948" s="131"/>
      <c r="E948" s="146"/>
      <c r="F948" s="146"/>
      <c r="G948" s="146"/>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225"/>
      <c r="B949" s="225"/>
      <c r="C949" s="131"/>
      <c r="D949" s="131"/>
      <c r="E949" s="146"/>
      <c r="F949" s="146"/>
      <c r="G949" s="146"/>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225"/>
      <c r="B950" s="225"/>
      <c r="C950" s="131"/>
      <c r="D950" s="131"/>
      <c r="E950" s="146"/>
      <c r="F950" s="146"/>
      <c r="G950" s="146"/>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225"/>
      <c r="B951" s="225"/>
      <c r="C951" s="131"/>
      <c r="D951" s="131"/>
      <c r="E951" s="146"/>
      <c r="F951" s="146"/>
      <c r="G951" s="146"/>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225"/>
      <c r="B952" s="225"/>
      <c r="C952" s="131"/>
      <c r="D952" s="131"/>
      <c r="E952" s="146"/>
      <c r="F952" s="146"/>
      <c r="G952" s="146"/>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225"/>
      <c r="B953" s="225"/>
      <c r="C953" s="131"/>
      <c r="D953" s="131"/>
      <c r="E953" s="146"/>
      <c r="F953" s="146"/>
      <c r="G953" s="146"/>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225"/>
      <c r="B954" s="225"/>
      <c r="C954" s="131"/>
      <c r="D954" s="131"/>
      <c r="E954" s="146"/>
      <c r="F954" s="146"/>
      <c r="G954" s="146"/>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225"/>
      <c r="B955" s="225"/>
      <c r="C955" s="131"/>
      <c r="D955" s="131"/>
      <c r="E955" s="146"/>
      <c r="F955" s="146"/>
      <c r="G955" s="146"/>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225"/>
      <c r="B956" s="225"/>
      <c r="C956" s="131"/>
      <c r="D956" s="131"/>
      <c r="E956" s="146"/>
      <c r="F956" s="146"/>
      <c r="G956" s="146"/>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225"/>
      <c r="B957" s="225"/>
      <c r="C957" s="131"/>
      <c r="D957" s="131"/>
      <c r="E957" s="146"/>
      <c r="F957" s="146"/>
      <c r="G957" s="146"/>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225"/>
      <c r="B958" s="225"/>
      <c r="C958" s="131"/>
      <c r="D958" s="131"/>
      <c r="E958" s="146"/>
      <c r="F958" s="146"/>
      <c r="G958" s="146"/>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225"/>
      <c r="B959" s="225"/>
      <c r="C959" s="131"/>
      <c r="D959" s="131"/>
      <c r="E959" s="146"/>
      <c r="F959" s="146"/>
      <c r="G959" s="146"/>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225"/>
      <c r="B960" s="225"/>
      <c r="C960" s="131"/>
      <c r="D960" s="131"/>
      <c r="E960" s="146"/>
      <c r="F960" s="146"/>
      <c r="G960" s="146"/>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225"/>
      <c r="B961" s="225"/>
      <c r="C961" s="131"/>
      <c r="D961" s="131"/>
      <c r="E961" s="146"/>
      <c r="F961" s="146"/>
      <c r="G961" s="146"/>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225"/>
      <c r="B962" s="225"/>
      <c r="C962" s="131"/>
      <c r="D962" s="131"/>
      <c r="E962" s="146"/>
      <c r="F962" s="146"/>
      <c r="G962" s="146"/>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225"/>
      <c r="B963" s="225"/>
      <c r="C963" s="131"/>
      <c r="D963" s="131"/>
      <c r="E963" s="146"/>
      <c r="F963" s="146"/>
      <c r="G963" s="146"/>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225"/>
      <c r="B964" s="225"/>
      <c r="C964" s="131"/>
      <c r="D964" s="131"/>
      <c r="E964" s="146"/>
      <c r="F964" s="146"/>
      <c r="G964" s="146"/>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225"/>
      <c r="B965" s="225"/>
      <c r="C965" s="131"/>
      <c r="D965" s="131"/>
      <c r="E965" s="146"/>
      <c r="F965" s="146"/>
      <c r="G965" s="146"/>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225"/>
      <c r="B966" s="225"/>
      <c r="C966" s="131"/>
      <c r="D966" s="131"/>
      <c r="E966" s="146"/>
      <c r="F966" s="146"/>
      <c r="G966" s="146"/>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225"/>
      <c r="B967" s="225"/>
      <c r="C967" s="131"/>
      <c r="D967" s="131"/>
      <c r="E967" s="146"/>
      <c r="F967" s="146"/>
      <c r="G967" s="146"/>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225"/>
      <c r="B968" s="225"/>
      <c r="C968" s="131"/>
      <c r="D968" s="131"/>
      <c r="E968" s="146"/>
      <c r="F968" s="146"/>
      <c r="G968" s="146"/>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225"/>
      <c r="B969" s="225"/>
      <c r="C969" s="131"/>
      <c r="D969" s="131"/>
      <c r="E969" s="146"/>
      <c r="F969" s="146"/>
      <c r="G969" s="146"/>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225"/>
      <c r="B970" s="225"/>
      <c r="C970" s="131"/>
      <c r="D970" s="131"/>
      <c r="E970" s="146"/>
      <c r="F970" s="146"/>
      <c r="G970" s="146"/>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225"/>
      <c r="B971" s="225"/>
      <c r="C971" s="131"/>
      <c r="D971" s="131"/>
      <c r="E971" s="146"/>
      <c r="F971" s="146"/>
      <c r="G971" s="146"/>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225"/>
      <c r="B972" s="225"/>
      <c r="C972" s="131"/>
      <c r="D972" s="131"/>
      <c r="E972" s="146"/>
      <c r="F972" s="146"/>
      <c r="G972" s="146"/>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225"/>
      <c r="B973" s="225"/>
      <c r="C973" s="131"/>
      <c r="D973" s="131"/>
      <c r="E973" s="146"/>
      <c r="F973" s="146"/>
      <c r="G973" s="146"/>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225"/>
      <c r="B974" s="225"/>
      <c r="C974" s="131"/>
      <c r="D974" s="131"/>
      <c r="E974" s="146"/>
      <c r="F974" s="146"/>
      <c r="G974" s="146"/>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225"/>
      <c r="B975" s="225"/>
      <c r="C975" s="131"/>
      <c r="D975" s="131"/>
      <c r="E975" s="146"/>
      <c r="F975" s="146"/>
      <c r="G975" s="146"/>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225"/>
      <c r="B976" s="225"/>
      <c r="C976" s="131"/>
      <c r="D976" s="131"/>
      <c r="E976" s="146"/>
      <c r="F976" s="146"/>
      <c r="G976" s="146"/>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225"/>
      <c r="B977" s="225"/>
      <c r="C977" s="131"/>
      <c r="D977" s="131"/>
      <c r="E977" s="146"/>
      <c r="F977" s="146"/>
      <c r="G977" s="146"/>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225"/>
      <c r="B978" s="225"/>
      <c r="C978" s="131"/>
      <c r="D978" s="131"/>
      <c r="E978" s="146"/>
      <c r="F978" s="146"/>
      <c r="G978" s="146"/>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225"/>
      <c r="B979" s="225"/>
      <c r="C979" s="131"/>
      <c r="D979" s="131"/>
      <c r="E979" s="146"/>
      <c r="F979" s="146"/>
      <c r="G979" s="146"/>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225"/>
      <c r="B980" s="225"/>
      <c r="C980" s="131"/>
      <c r="D980" s="131"/>
      <c r="E980" s="146"/>
      <c r="F980" s="146"/>
      <c r="G980" s="146"/>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225"/>
      <c r="B981" s="225"/>
      <c r="C981" s="131"/>
      <c r="D981" s="131"/>
      <c r="E981" s="146"/>
      <c r="F981" s="146"/>
      <c r="G981" s="146"/>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225"/>
      <c r="B982" s="225"/>
      <c r="C982" s="131"/>
      <c r="D982" s="131"/>
      <c r="E982" s="146"/>
      <c r="F982" s="146"/>
      <c r="G982" s="146"/>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225"/>
      <c r="B983" s="225"/>
      <c r="C983" s="131"/>
      <c r="D983" s="131"/>
      <c r="E983" s="146"/>
      <c r="F983" s="146"/>
      <c r="G983" s="146"/>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225"/>
      <c r="B984" s="225"/>
      <c r="C984" s="131"/>
      <c r="D984" s="131"/>
      <c r="E984" s="146"/>
      <c r="F984" s="146"/>
      <c r="G984" s="146"/>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225"/>
      <c r="B985" s="225"/>
      <c r="C985" s="131"/>
      <c r="D985" s="131"/>
      <c r="E985" s="146"/>
      <c r="F985" s="146"/>
      <c r="G985" s="146"/>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225"/>
      <c r="B986" s="225"/>
      <c r="C986" s="131"/>
      <c r="D986" s="131"/>
      <c r="E986" s="146"/>
      <c r="F986" s="146"/>
      <c r="G986" s="146"/>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225"/>
      <c r="B987" s="225"/>
      <c r="C987" s="131"/>
      <c r="D987" s="131"/>
      <c r="E987" s="146"/>
      <c r="F987" s="146"/>
      <c r="G987" s="146"/>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225"/>
      <c r="B988" s="225"/>
      <c r="C988" s="131"/>
      <c r="D988" s="131"/>
      <c r="E988" s="146"/>
      <c r="F988" s="146"/>
      <c r="G988" s="146"/>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225"/>
      <c r="B989" s="225"/>
      <c r="C989" s="131"/>
      <c r="D989" s="131"/>
      <c r="E989" s="146"/>
      <c r="F989" s="146"/>
      <c r="G989" s="146"/>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225"/>
      <c r="B990" s="225"/>
      <c r="C990" s="131"/>
      <c r="D990" s="131"/>
      <c r="E990" s="146"/>
      <c r="F990" s="146"/>
      <c r="G990" s="146"/>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225"/>
      <c r="B991" s="225"/>
      <c r="C991" s="131"/>
      <c r="D991" s="131"/>
      <c r="E991" s="146"/>
      <c r="F991" s="146"/>
      <c r="G991" s="146"/>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225"/>
      <c r="B992" s="225"/>
      <c r="C992" s="131"/>
      <c r="D992" s="131"/>
      <c r="E992" s="146"/>
      <c r="F992" s="146"/>
      <c r="G992" s="146"/>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225"/>
      <c r="B993" s="225"/>
      <c r="C993" s="131"/>
      <c r="D993" s="131"/>
      <c r="E993" s="146"/>
      <c r="F993" s="146"/>
      <c r="G993" s="146"/>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225"/>
      <c r="B994" s="225"/>
      <c r="C994" s="131"/>
      <c r="D994" s="131"/>
      <c r="E994" s="146"/>
      <c r="F994" s="146"/>
      <c r="G994" s="146"/>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225"/>
      <c r="B995" s="225"/>
      <c r="C995" s="131"/>
      <c r="D995" s="131"/>
      <c r="E995" s="146"/>
      <c r="F995" s="146"/>
      <c r="G995" s="146"/>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225"/>
      <c r="B996" s="225"/>
      <c r="C996" s="131"/>
      <c r="D996" s="131"/>
      <c r="E996" s="146"/>
      <c r="F996" s="146"/>
      <c r="G996" s="146"/>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225"/>
      <c r="B997" s="225"/>
      <c r="C997" s="131"/>
      <c r="D997" s="131"/>
      <c r="E997" s="146"/>
      <c r="F997" s="146"/>
      <c r="G997" s="146"/>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225"/>
      <c r="B998" s="225"/>
      <c r="C998" s="131"/>
      <c r="D998" s="131"/>
      <c r="E998" s="146"/>
      <c r="F998" s="146"/>
      <c r="G998" s="146"/>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225"/>
      <c r="B999" s="225"/>
      <c r="C999" s="131"/>
      <c r="D999" s="131"/>
      <c r="E999" s="146"/>
      <c r="F999" s="146"/>
      <c r="G999" s="146"/>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225"/>
      <c r="B1000" s="225"/>
      <c r="C1000" s="131"/>
      <c r="D1000" s="131"/>
      <c r="E1000" s="146"/>
      <c r="F1000" s="146"/>
      <c r="G1000" s="146"/>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4">
    <mergeCell ref="C61:C62"/>
    <mergeCell ref="E61:G62"/>
    <mergeCell ref="A1:G1"/>
    <mergeCell ref="A2:G2"/>
    <mergeCell ref="A3:G3"/>
    <mergeCell ref="A4:G4"/>
    <mergeCell ref="A5:C5"/>
    <mergeCell ref="A20:C20"/>
    <mergeCell ref="A26:C26"/>
    <mergeCell ref="A35:C35"/>
    <mergeCell ref="A45:C45"/>
    <mergeCell ref="A55:G56"/>
    <mergeCell ref="C59:C60"/>
    <mergeCell ref="E59:G60"/>
  </mergeCells>
  <conditionalFormatting sqref="F14:G15">
    <cfRule type="cellIs" dxfId="21" priority="1" stopIfTrue="1" operator="equal">
      <formula>0</formula>
    </cfRule>
  </conditionalFormatting>
  <dataValidations count="1">
    <dataValidation type="decimal" allowBlank="1" showErrorMessage="1" sqref="E7:G9 E11:G12 E14:G15 E22:G23 E28:G29 E31:G32 E38:G39">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&amp;RBalance Presupuestario - LDF Página &amp;P de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92D050"/>
  </sheetPr>
  <dimension ref="A1:Z1000"/>
  <sheetViews>
    <sheetView showGridLines="0" workbookViewId="0">
      <pane ySplit="8" topLeftCell="A9" activePane="bottomLeft" state="frozen"/>
      <selection pane="bottomLeft" activeCell="B10" sqref="B10"/>
    </sheetView>
  </sheetViews>
  <sheetFormatPr baseColWidth="10" defaultColWidth="14.42578125" defaultRowHeight="15" customHeight="1"/>
  <cols>
    <col min="1" max="1" width="28.5703125" customWidth="1"/>
    <col min="2" max="2" width="15.7109375" customWidth="1"/>
    <col min="3" max="3" width="28.5703125" customWidth="1"/>
    <col min="4" max="4" width="19.28515625" customWidth="1"/>
    <col min="5" max="6" width="9.140625" customWidth="1"/>
    <col min="7" max="10" width="8" customWidth="1"/>
    <col min="11" max="11" width="8.140625" customWidth="1"/>
    <col min="12" max="12" width="8.28515625" customWidth="1"/>
    <col min="13" max="13" width="10" customWidth="1"/>
    <col min="14" max="15" width="5.85546875" customWidth="1"/>
    <col min="16" max="20" width="14.42578125" customWidth="1"/>
    <col min="21" max="21" width="12.42578125" customWidth="1"/>
    <col min="22" max="23" width="8.5703125" customWidth="1"/>
    <col min="24" max="26" width="10.7109375" customWidth="1"/>
  </cols>
  <sheetData>
    <row r="1" spans="1:26" ht="22.5" customHeight="1">
      <c r="A1" s="847" t="str">
        <f>"Nombre del Ente Público: "&amp;Validacion!A2</f>
        <v>Nombre del Ente Público: Guadalajara</v>
      </c>
      <c r="B1" s="746"/>
      <c r="C1" s="746"/>
      <c r="D1" s="746"/>
      <c r="E1" s="746"/>
      <c r="F1" s="746"/>
      <c r="G1" s="746"/>
      <c r="H1" s="746"/>
      <c r="I1" s="746"/>
      <c r="J1" s="746"/>
      <c r="K1" s="746"/>
      <c r="L1" s="746"/>
      <c r="M1" s="746"/>
      <c r="N1" s="746"/>
      <c r="O1" s="746"/>
      <c r="P1" s="746"/>
      <c r="Q1" s="746"/>
      <c r="R1" s="746"/>
      <c r="S1" s="746"/>
      <c r="T1" s="746"/>
      <c r="U1" s="746"/>
      <c r="V1" s="746"/>
      <c r="W1" s="747"/>
      <c r="X1" s="203"/>
      <c r="Y1" s="203"/>
      <c r="Z1" s="203"/>
    </row>
    <row r="2" spans="1:26" ht="15.75" customHeight="1">
      <c r="A2" s="748" t="s">
        <v>6367</v>
      </c>
      <c r="B2" s="749"/>
      <c r="C2" s="749"/>
      <c r="D2" s="749"/>
      <c r="E2" s="749"/>
      <c r="F2" s="749"/>
      <c r="G2" s="749"/>
      <c r="H2" s="749"/>
      <c r="I2" s="749"/>
      <c r="J2" s="749"/>
      <c r="K2" s="749"/>
      <c r="L2" s="749"/>
      <c r="M2" s="749"/>
      <c r="N2" s="749"/>
      <c r="O2" s="749"/>
      <c r="P2" s="749"/>
      <c r="Q2" s="749"/>
      <c r="R2" s="749"/>
      <c r="S2" s="749"/>
      <c r="T2" s="749"/>
      <c r="U2" s="749"/>
      <c r="V2" s="749"/>
      <c r="W2" s="750"/>
      <c r="X2" s="203"/>
      <c r="Y2" s="203"/>
      <c r="Z2" s="203"/>
    </row>
    <row r="3" spans="1:26" ht="15" customHeight="1">
      <c r="A3" s="804" t="e">
        <f>'F6'!A3</f>
        <v>#REF!</v>
      </c>
      <c r="B3" s="749"/>
      <c r="C3" s="749"/>
      <c r="D3" s="749"/>
      <c r="E3" s="749"/>
      <c r="F3" s="749"/>
      <c r="G3" s="749"/>
      <c r="H3" s="749"/>
      <c r="I3" s="749"/>
      <c r="J3" s="749"/>
      <c r="K3" s="749"/>
      <c r="L3" s="749"/>
      <c r="M3" s="749"/>
      <c r="N3" s="749"/>
      <c r="O3" s="749"/>
      <c r="P3" s="749"/>
      <c r="Q3" s="749"/>
      <c r="R3" s="749"/>
      <c r="S3" s="749"/>
      <c r="T3" s="749"/>
      <c r="U3" s="749"/>
      <c r="V3" s="749"/>
      <c r="W3" s="750"/>
      <c r="X3" s="203"/>
      <c r="Y3" s="203"/>
      <c r="Z3" s="203"/>
    </row>
    <row r="4" spans="1:26" ht="15" customHeight="1">
      <c r="A4" s="805" t="s">
        <v>6368</v>
      </c>
      <c r="B4" s="753"/>
      <c r="C4" s="753"/>
      <c r="D4" s="753"/>
      <c r="E4" s="753"/>
      <c r="F4" s="753"/>
      <c r="G4" s="753"/>
      <c r="H4" s="753"/>
      <c r="I4" s="753"/>
      <c r="J4" s="753"/>
      <c r="K4" s="753"/>
      <c r="L4" s="753"/>
      <c r="M4" s="753"/>
      <c r="N4" s="753"/>
      <c r="O4" s="753"/>
      <c r="P4" s="753"/>
      <c r="Q4" s="753"/>
      <c r="R4" s="753"/>
      <c r="S4" s="753"/>
      <c r="T4" s="753"/>
      <c r="U4" s="753"/>
      <c r="V4" s="753"/>
      <c r="W4" s="754"/>
      <c r="X4" s="203"/>
      <c r="Y4" s="203"/>
      <c r="Z4" s="203"/>
    </row>
    <row r="5" spans="1:26" ht="15" customHeight="1">
      <c r="A5" s="848" t="s">
        <v>6369</v>
      </c>
      <c r="B5" s="848" t="s">
        <v>6370</v>
      </c>
      <c r="C5" s="848" t="s">
        <v>6371</v>
      </c>
      <c r="D5" s="848" t="s">
        <v>6372</v>
      </c>
      <c r="E5" s="799" t="s">
        <v>6373</v>
      </c>
      <c r="F5" s="778"/>
      <c r="G5" s="801" t="s">
        <v>6374</v>
      </c>
      <c r="H5" s="787"/>
      <c r="I5" s="787"/>
      <c r="J5" s="778"/>
      <c r="K5" s="801" t="s">
        <v>6375</v>
      </c>
      <c r="L5" s="787"/>
      <c r="M5" s="778"/>
      <c r="N5" s="850" t="s">
        <v>6376</v>
      </c>
      <c r="O5" s="778"/>
      <c r="P5" s="801" t="s">
        <v>6377</v>
      </c>
      <c r="Q5" s="787"/>
      <c r="R5" s="787"/>
      <c r="S5" s="778"/>
      <c r="T5" s="851" t="s">
        <v>6378</v>
      </c>
      <c r="U5" s="851" t="s">
        <v>6379</v>
      </c>
      <c r="V5" s="850" t="s">
        <v>6380</v>
      </c>
      <c r="W5" s="778"/>
      <c r="X5" s="195"/>
      <c r="Y5" s="195"/>
      <c r="Z5" s="195"/>
    </row>
    <row r="6" spans="1:26" ht="15" customHeight="1">
      <c r="A6" s="849"/>
      <c r="B6" s="849"/>
      <c r="C6" s="849"/>
      <c r="D6" s="849"/>
      <c r="E6" s="800"/>
      <c r="F6" s="798"/>
      <c r="G6" s="779"/>
      <c r="H6" s="793"/>
      <c r="I6" s="793"/>
      <c r="J6" s="780"/>
      <c r="K6" s="800"/>
      <c r="L6" s="725"/>
      <c r="M6" s="798"/>
      <c r="N6" s="800"/>
      <c r="O6" s="798"/>
      <c r="P6" s="800"/>
      <c r="Q6" s="725"/>
      <c r="R6" s="725"/>
      <c r="S6" s="798"/>
      <c r="T6" s="849"/>
      <c r="U6" s="849"/>
      <c r="V6" s="800"/>
      <c r="W6" s="798"/>
      <c r="X6" s="195"/>
      <c r="Y6" s="195"/>
      <c r="Z6" s="195"/>
    </row>
    <row r="7" spans="1:26" ht="15" customHeight="1">
      <c r="A7" s="849"/>
      <c r="B7" s="849"/>
      <c r="C7" s="849"/>
      <c r="D7" s="849"/>
      <c r="E7" s="779"/>
      <c r="F7" s="780"/>
      <c r="G7" s="852" t="s">
        <v>6381</v>
      </c>
      <c r="H7" s="853" t="s">
        <v>6382</v>
      </c>
      <c r="I7" s="756"/>
      <c r="J7" s="733"/>
      <c r="K7" s="779"/>
      <c r="L7" s="793"/>
      <c r="M7" s="780"/>
      <c r="N7" s="779"/>
      <c r="O7" s="780"/>
      <c r="P7" s="779"/>
      <c r="Q7" s="793"/>
      <c r="R7" s="793"/>
      <c r="S7" s="780"/>
      <c r="T7" s="849"/>
      <c r="U7" s="849"/>
      <c r="V7" s="779"/>
      <c r="W7" s="780"/>
      <c r="X7" s="195"/>
      <c r="Y7" s="195"/>
      <c r="Z7" s="195"/>
    </row>
    <row r="8" spans="1:26" ht="27.75" customHeight="1">
      <c r="A8" s="730"/>
      <c r="B8" s="730"/>
      <c r="C8" s="730"/>
      <c r="D8" s="730"/>
      <c r="E8" s="398" t="s">
        <v>6383</v>
      </c>
      <c r="F8" s="398" t="s">
        <v>6384</v>
      </c>
      <c r="G8" s="730"/>
      <c r="H8" s="398" t="s">
        <v>6385</v>
      </c>
      <c r="I8" s="398" t="s">
        <v>6386</v>
      </c>
      <c r="J8" s="398" t="s">
        <v>6387</v>
      </c>
      <c r="K8" s="398" t="s">
        <v>6388</v>
      </c>
      <c r="L8" s="398" t="s">
        <v>6389</v>
      </c>
      <c r="M8" s="398" t="s">
        <v>6390</v>
      </c>
      <c r="N8" s="204" t="s">
        <v>6391</v>
      </c>
      <c r="O8" s="204" t="s">
        <v>6392</v>
      </c>
      <c r="P8" s="399" t="s">
        <v>6393</v>
      </c>
      <c r="Q8" s="205" t="s">
        <v>6394</v>
      </c>
      <c r="R8" s="205" t="s">
        <v>6395</v>
      </c>
      <c r="S8" s="205" t="s">
        <v>6396</v>
      </c>
      <c r="T8" s="730"/>
      <c r="U8" s="730"/>
      <c r="V8" s="205" t="s">
        <v>6391</v>
      </c>
      <c r="W8" s="205" t="s">
        <v>6392</v>
      </c>
      <c r="X8" s="196"/>
      <c r="Y8" s="196"/>
      <c r="Z8" s="196"/>
    </row>
    <row r="9" spans="1:26" ht="25.5" customHeight="1">
      <c r="A9" s="206"/>
      <c r="B9" s="207"/>
      <c r="C9" s="206"/>
      <c r="D9" s="207"/>
      <c r="E9" s="207"/>
      <c r="F9" s="207"/>
      <c r="G9" s="400"/>
      <c r="H9" s="400"/>
      <c r="I9" s="400"/>
      <c r="J9" s="400"/>
      <c r="K9" s="401"/>
      <c r="L9" s="401"/>
      <c r="M9" s="208">
        <f t="shared" ref="M9:M500" si="0">L9-K9</f>
        <v>0</v>
      </c>
      <c r="N9" s="400"/>
      <c r="O9" s="400"/>
      <c r="P9" s="402"/>
      <c r="Q9" s="402"/>
      <c r="R9" s="402"/>
      <c r="S9" s="402"/>
      <c r="T9" s="403">
        <f t="shared" ref="T9:T500" si="1">SUM(P9:S9)</f>
        <v>0</v>
      </c>
      <c r="U9" s="209"/>
      <c r="V9" s="400"/>
      <c r="W9" s="400"/>
      <c r="X9" s="203"/>
      <c r="Y9" s="203"/>
      <c r="Z9" s="203"/>
    </row>
    <row r="10" spans="1:26" ht="25.5" customHeight="1">
      <c r="A10" s="206"/>
      <c r="B10" s="207"/>
      <c r="C10" s="206"/>
      <c r="D10" s="207"/>
      <c r="E10" s="207"/>
      <c r="F10" s="207"/>
      <c r="G10" s="400"/>
      <c r="H10" s="400"/>
      <c r="I10" s="400"/>
      <c r="J10" s="400"/>
      <c r="K10" s="401"/>
      <c r="L10" s="401"/>
      <c r="M10" s="208">
        <f t="shared" si="0"/>
        <v>0</v>
      </c>
      <c r="N10" s="400"/>
      <c r="O10" s="400"/>
      <c r="P10" s="402"/>
      <c r="Q10" s="402"/>
      <c r="R10" s="402"/>
      <c r="S10" s="402"/>
      <c r="T10" s="403">
        <f t="shared" si="1"/>
        <v>0</v>
      </c>
      <c r="U10" s="209"/>
      <c r="V10" s="400"/>
      <c r="W10" s="400"/>
      <c r="X10" s="203"/>
      <c r="Y10" s="203"/>
      <c r="Z10" s="203"/>
    </row>
    <row r="11" spans="1:26" ht="25.5" customHeight="1">
      <c r="A11" s="206"/>
      <c r="B11" s="207"/>
      <c r="C11" s="206"/>
      <c r="D11" s="207"/>
      <c r="E11" s="207"/>
      <c r="F11" s="207"/>
      <c r="G11" s="400"/>
      <c r="H11" s="400"/>
      <c r="I11" s="400"/>
      <c r="J11" s="400"/>
      <c r="K11" s="401"/>
      <c r="L11" s="401"/>
      <c r="M11" s="208">
        <f t="shared" si="0"/>
        <v>0</v>
      </c>
      <c r="N11" s="400"/>
      <c r="O11" s="400"/>
      <c r="P11" s="402"/>
      <c r="Q11" s="402"/>
      <c r="R11" s="402"/>
      <c r="S11" s="402"/>
      <c r="T11" s="403">
        <f t="shared" si="1"/>
        <v>0</v>
      </c>
      <c r="U11" s="209"/>
      <c r="V11" s="400"/>
      <c r="W11" s="400"/>
      <c r="X11" s="203"/>
      <c r="Y11" s="203"/>
      <c r="Z11" s="203"/>
    </row>
    <row r="12" spans="1:26" ht="25.5" customHeight="1">
      <c r="A12" s="206"/>
      <c r="B12" s="207"/>
      <c r="C12" s="206"/>
      <c r="D12" s="207"/>
      <c r="E12" s="207"/>
      <c r="F12" s="207"/>
      <c r="G12" s="400"/>
      <c r="H12" s="400"/>
      <c r="I12" s="400"/>
      <c r="J12" s="400"/>
      <c r="K12" s="401"/>
      <c r="L12" s="401"/>
      <c r="M12" s="208">
        <f t="shared" si="0"/>
        <v>0</v>
      </c>
      <c r="N12" s="400"/>
      <c r="O12" s="400"/>
      <c r="P12" s="402"/>
      <c r="Q12" s="402"/>
      <c r="R12" s="402"/>
      <c r="S12" s="402"/>
      <c r="T12" s="403">
        <f t="shared" si="1"/>
        <v>0</v>
      </c>
      <c r="U12" s="209"/>
      <c r="V12" s="400"/>
      <c r="W12" s="400"/>
      <c r="X12" s="203"/>
      <c r="Y12" s="203"/>
      <c r="Z12" s="203"/>
    </row>
    <row r="13" spans="1:26" ht="25.5" customHeight="1">
      <c r="A13" s="206"/>
      <c r="B13" s="207"/>
      <c r="C13" s="206"/>
      <c r="D13" s="207"/>
      <c r="E13" s="207"/>
      <c r="F13" s="207"/>
      <c r="G13" s="400"/>
      <c r="H13" s="400"/>
      <c r="I13" s="400"/>
      <c r="J13" s="400"/>
      <c r="K13" s="401"/>
      <c r="L13" s="401"/>
      <c r="M13" s="208">
        <f t="shared" si="0"/>
        <v>0</v>
      </c>
      <c r="N13" s="400"/>
      <c r="O13" s="400"/>
      <c r="P13" s="402"/>
      <c r="Q13" s="402"/>
      <c r="R13" s="402"/>
      <c r="S13" s="402"/>
      <c r="T13" s="403">
        <f t="shared" si="1"/>
        <v>0</v>
      </c>
      <c r="U13" s="209"/>
      <c r="V13" s="400"/>
      <c r="W13" s="400"/>
      <c r="X13" s="203"/>
      <c r="Y13" s="203"/>
      <c r="Z13" s="203"/>
    </row>
    <row r="14" spans="1:26" ht="25.5" customHeight="1">
      <c r="A14" s="206"/>
      <c r="B14" s="207"/>
      <c r="C14" s="206"/>
      <c r="D14" s="207"/>
      <c r="E14" s="207"/>
      <c r="F14" s="207"/>
      <c r="G14" s="400"/>
      <c r="H14" s="400"/>
      <c r="I14" s="400"/>
      <c r="J14" s="400"/>
      <c r="K14" s="401"/>
      <c r="L14" s="401"/>
      <c r="M14" s="208">
        <f t="shared" si="0"/>
        <v>0</v>
      </c>
      <c r="N14" s="400"/>
      <c r="O14" s="400"/>
      <c r="P14" s="402"/>
      <c r="Q14" s="402"/>
      <c r="R14" s="402"/>
      <c r="S14" s="402"/>
      <c r="T14" s="403">
        <f t="shared" si="1"/>
        <v>0</v>
      </c>
      <c r="U14" s="209"/>
      <c r="V14" s="400"/>
      <c r="W14" s="400"/>
      <c r="X14" s="203"/>
      <c r="Y14" s="203"/>
      <c r="Z14" s="203"/>
    </row>
    <row r="15" spans="1:26" ht="25.5" customHeight="1">
      <c r="A15" s="206"/>
      <c r="B15" s="207"/>
      <c r="C15" s="206"/>
      <c r="D15" s="207"/>
      <c r="E15" s="207"/>
      <c r="F15" s="207"/>
      <c r="G15" s="400"/>
      <c r="H15" s="400"/>
      <c r="I15" s="400"/>
      <c r="J15" s="400"/>
      <c r="K15" s="401"/>
      <c r="L15" s="401"/>
      <c r="M15" s="208">
        <f t="shared" si="0"/>
        <v>0</v>
      </c>
      <c r="N15" s="400"/>
      <c r="O15" s="400"/>
      <c r="P15" s="402"/>
      <c r="Q15" s="402"/>
      <c r="R15" s="402"/>
      <c r="S15" s="402"/>
      <c r="T15" s="403">
        <f t="shared" si="1"/>
        <v>0</v>
      </c>
      <c r="U15" s="209"/>
      <c r="V15" s="400"/>
      <c r="W15" s="400"/>
      <c r="X15" s="203"/>
      <c r="Y15" s="203"/>
      <c r="Z15" s="203"/>
    </row>
    <row r="16" spans="1:26" ht="25.5" customHeight="1">
      <c r="A16" s="206"/>
      <c r="B16" s="207"/>
      <c r="C16" s="206"/>
      <c r="D16" s="207"/>
      <c r="E16" s="207"/>
      <c r="F16" s="207"/>
      <c r="G16" s="400"/>
      <c r="H16" s="400"/>
      <c r="I16" s="400"/>
      <c r="J16" s="400"/>
      <c r="K16" s="401"/>
      <c r="L16" s="401"/>
      <c r="M16" s="208">
        <f t="shared" si="0"/>
        <v>0</v>
      </c>
      <c r="N16" s="400"/>
      <c r="O16" s="400"/>
      <c r="P16" s="402"/>
      <c r="Q16" s="402"/>
      <c r="R16" s="402"/>
      <c r="S16" s="402"/>
      <c r="T16" s="403">
        <f t="shared" si="1"/>
        <v>0</v>
      </c>
      <c r="U16" s="209"/>
      <c r="V16" s="400"/>
      <c r="W16" s="400"/>
      <c r="X16" s="203"/>
      <c r="Y16" s="203"/>
      <c r="Z16" s="203"/>
    </row>
    <row r="17" spans="1:26" ht="25.5" customHeight="1">
      <c r="A17" s="206"/>
      <c r="B17" s="207"/>
      <c r="C17" s="206"/>
      <c r="D17" s="207"/>
      <c r="E17" s="207"/>
      <c r="F17" s="207"/>
      <c r="G17" s="400"/>
      <c r="H17" s="400"/>
      <c r="I17" s="400"/>
      <c r="J17" s="400"/>
      <c r="K17" s="401"/>
      <c r="L17" s="401"/>
      <c r="M17" s="208">
        <f t="shared" si="0"/>
        <v>0</v>
      </c>
      <c r="N17" s="400"/>
      <c r="O17" s="400"/>
      <c r="P17" s="402"/>
      <c r="Q17" s="402"/>
      <c r="R17" s="402"/>
      <c r="S17" s="402"/>
      <c r="T17" s="403">
        <f t="shared" si="1"/>
        <v>0</v>
      </c>
      <c r="U17" s="209"/>
      <c r="V17" s="400"/>
      <c r="W17" s="400"/>
      <c r="X17" s="203"/>
      <c r="Y17" s="203"/>
      <c r="Z17" s="203"/>
    </row>
    <row r="18" spans="1:26" ht="25.5" customHeight="1">
      <c r="A18" s="206"/>
      <c r="B18" s="207"/>
      <c r="C18" s="206"/>
      <c r="D18" s="207"/>
      <c r="E18" s="207"/>
      <c r="F18" s="207"/>
      <c r="G18" s="400"/>
      <c r="H18" s="400"/>
      <c r="I18" s="400"/>
      <c r="J18" s="400"/>
      <c r="K18" s="401"/>
      <c r="L18" s="401"/>
      <c r="M18" s="208">
        <f t="shared" si="0"/>
        <v>0</v>
      </c>
      <c r="N18" s="400"/>
      <c r="O18" s="400"/>
      <c r="P18" s="402"/>
      <c r="Q18" s="402"/>
      <c r="R18" s="402"/>
      <c r="S18" s="402"/>
      <c r="T18" s="403">
        <f t="shared" si="1"/>
        <v>0</v>
      </c>
      <c r="U18" s="209"/>
      <c r="V18" s="400"/>
      <c r="W18" s="400"/>
      <c r="X18" s="203"/>
      <c r="Y18" s="203"/>
      <c r="Z18" s="203"/>
    </row>
    <row r="19" spans="1:26" ht="25.5" customHeight="1">
      <c r="A19" s="206"/>
      <c r="B19" s="207"/>
      <c r="C19" s="206"/>
      <c r="D19" s="207"/>
      <c r="E19" s="207"/>
      <c r="F19" s="207"/>
      <c r="G19" s="400"/>
      <c r="H19" s="400"/>
      <c r="I19" s="400"/>
      <c r="J19" s="400"/>
      <c r="K19" s="401"/>
      <c r="L19" s="401"/>
      <c r="M19" s="208">
        <f t="shared" si="0"/>
        <v>0</v>
      </c>
      <c r="N19" s="400"/>
      <c r="O19" s="400"/>
      <c r="P19" s="402"/>
      <c r="Q19" s="402"/>
      <c r="R19" s="402"/>
      <c r="S19" s="402"/>
      <c r="T19" s="403">
        <f t="shared" si="1"/>
        <v>0</v>
      </c>
      <c r="U19" s="209"/>
      <c r="V19" s="400"/>
      <c r="W19" s="400"/>
      <c r="X19" s="203"/>
      <c r="Y19" s="203"/>
      <c r="Z19" s="203"/>
    </row>
    <row r="20" spans="1:26" ht="25.5" customHeight="1">
      <c r="A20" s="206"/>
      <c r="B20" s="207"/>
      <c r="C20" s="206"/>
      <c r="D20" s="207"/>
      <c r="E20" s="207"/>
      <c r="F20" s="207"/>
      <c r="G20" s="400"/>
      <c r="H20" s="400"/>
      <c r="I20" s="400"/>
      <c r="J20" s="400"/>
      <c r="K20" s="401"/>
      <c r="L20" s="401"/>
      <c r="M20" s="208">
        <f t="shared" si="0"/>
        <v>0</v>
      </c>
      <c r="N20" s="400"/>
      <c r="O20" s="400"/>
      <c r="P20" s="402"/>
      <c r="Q20" s="402"/>
      <c r="R20" s="402"/>
      <c r="S20" s="402"/>
      <c r="T20" s="403">
        <f t="shared" si="1"/>
        <v>0</v>
      </c>
      <c r="U20" s="209"/>
      <c r="V20" s="400"/>
      <c r="W20" s="400"/>
      <c r="X20" s="203"/>
      <c r="Y20" s="203"/>
      <c r="Z20" s="203"/>
    </row>
    <row r="21" spans="1:26" ht="25.5" customHeight="1">
      <c r="A21" s="206"/>
      <c r="B21" s="207"/>
      <c r="C21" s="206"/>
      <c r="D21" s="207"/>
      <c r="E21" s="207"/>
      <c r="F21" s="207"/>
      <c r="G21" s="400"/>
      <c r="H21" s="400"/>
      <c r="I21" s="400"/>
      <c r="J21" s="400"/>
      <c r="K21" s="401"/>
      <c r="L21" s="401"/>
      <c r="M21" s="208">
        <f t="shared" si="0"/>
        <v>0</v>
      </c>
      <c r="N21" s="400"/>
      <c r="O21" s="400"/>
      <c r="P21" s="402"/>
      <c r="Q21" s="402"/>
      <c r="R21" s="402"/>
      <c r="S21" s="402"/>
      <c r="T21" s="403">
        <f t="shared" si="1"/>
        <v>0</v>
      </c>
      <c r="U21" s="209"/>
      <c r="V21" s="400"/>
      <c r="W21" s="400"/>
      <c r="X21" s="203"/>
      <c r="Y21" s="203"/>
      <c r="Z21" s="203"/>
    </row>
    <row r="22" spans="1:26" ht="25.5" customHeight="1">
      <c r="A22" s="206"/>
      <c r="B22" s="207"/>
      <c r="C22" s="206"/>
      <c r="D22" s="207"/>
      <c r="E22" s="207"/>
      <c r="F22" s="207"/>
      <c r="G22" s="400"/>
      <c r="H22" s="400"/>
      <c r="I22" s="400"/>
      <c r="J22" s="400"/>
      <c r="K22" s="401"/>
      <c r="L22" s="401"/>
      <c r="M22" s="208">
        <f t="shared" si="0"/>
        <v>0</v>
      </c>
      <c r="N22" s="400"/>
      <c r="O22" s="400"/>
      <c r="P22" s="402"/>
      <c r="Q22" s="402"/>
      <c r="R22" s="402"/>
      <c r="S22" s="402"/>
      <c r="T22" s="403">
        <f t="shared" si="1"/>
        <v>0</v>
      </c>
      <c r="U22" s="209"/>
      <c r="V22" s="400"/>
      <c r="W22" s="400"/>
      <c r="X22" s="203"/>
      <c r="Y22" s="203"/>
      <c r="Z22" s="203"/>
    </row>
    <row r="23" spans="1:26" ht="25.5" customHeight="1">
      <c r="A23" s="206"/>
      <c r="B23" s="207"/>
      <c r="C23" s="206"/>
      <c r="D23" s="207"/>
      <c r="E23" s="207"/>
      <c r="F23" s="207"/>
      <c r="G23" s="400"/>
      <c r="H23" s="400"/>
      <c r="I23" s="400"/>
      <c r="J23" s="400"/>
      <c r="K23" s="401"/>
      <c r="L23" s="401"/>
      <c r="M23" s="208">
        <f t="shared" si="0"/>
        <v>0</v>
      </c>
      <c r="N23" s="400"/>
      <c r="O23" s="400"/>
      <c r="P23" s="402"/>
      <c r="Q23" s="402"/>
      <c r="R23" s="402"/>
      <c r="S23" s="402"/>
      <c r="T23" s="403">
        <f t="shared" si="1"/>
        <v>0</v>
      </c>
      <c r="U23" s="209"/>
      <c r="V23" s="400"/>
      <c r="W23" s="400"/>
      <c r="X23" s="203"/>
      <c r="Y23" s="203"/>
      <c r="Z23" s="203"/>
    </row>
    <row r="24" spans="1:26" ht="25.5" customHeight="1">
      <c r="A24" s="206"/>
      <c r="B24" s="207"/>
      <c r="C24" s="206"/>
      <c r="D24" s="207"/>
      <c r="E24" s="207"/>
      <c r="F24" s="207"/>
      <c r="G24" s="400"/>
      <c r="H24" s="400"/>
      <c r="I24" s="400"/>
      <c r="J24" s="400"/>
      <c r="K24" s="401"/>
      <c r="L24" s="401"/>
      <c r="M24" s="208">
        <f t="shared" si="0"/>
        <v>0</v>
      </c>
      <c r="N24" s="400"/>
      <c r="O24" s="400"/>
      <c r="P24" s="402"/>
      <c r="Q24" s="402"/>
      <c r="R24" s="402"/>
      <c r="S24" s="402"/>
      <c r="T24" s="403">
        <f t="shared" si="1"/>
        <v>0</v>
      </c>
      <c r="U24" s="209"/>
      <c r="V24" s="400"/>
      <c r="W24" s="400"/>
      <c r="X24" s="203"/>
      <c r="Y24" s="203"/>
      <c r="Z24" s="203"/>
    </row>
    <row r="25" spans="1:26" ht="25.5" customHeight="1">
      <c r="A25" s="206"/>
      <c r="B25" s="207"/>
      <c r="C25" s="206"/>
      <c r="D25" s="207"/>
      <c r="E25" s="207"/>
      <c r="F25" s="207"/>
      <c r="G25" s="400"/>
      <c r="H25" s="400"/>
      <c r="I25" s="400"/>
      <c r="J25" s="400"/>
      <c r="K25" s="401"/>
      <c r="L25" s="401"/>
      <c r="M25" s="208">
        <f t="shared" si="0"/>
        <v>0</v>
      </c>
      <c r="N25" s="400"/>
      <c r="O25" s="400"/>
      <c r="P25" s="402"/>
      <c r="Q25" s="402"/>
      <c r="R25" s="402"/>
      <c r="S25" s="402"/>
      <c r="T25" s="403">
        <f t="shared" si="1"/>
        <v>0</v>
      </c>
      <c r="U25" s="209"/>
      <c r="V25" s="400"/>
      <c r="W25" s="400"/>
      <c r="X25" s="203"/>
      <c r="Y25" s="203"/>
      <c r="Z25" s="203"/>
    </row>
    <row r="26" spans="1:26" ht="25.5" customHeight="1">
      <c r="A26" s="206"/>
      <c r="B26" s="207"/>
      <c r="C26" s="206"/>
      <c r="D26" s="207"/>
      <c r="E26" s="207"/>
      <c r="F26" s="207"/>
      <c r="G26" s="400"/>
      <c r="H26" s="400"/>
      <c r="I26" s="400"/>
      <c r="J26" s="400"/>
      <c r="K26" s="401"/>
      <c r="L26" s="401"/>
      <c r="M26" s="208">
        <f t="shared" si="0"/>
        <v>0</v>
      </c>
      <c r="N26" s="400"/>
      <c r="O26" s="400"/>
      <c r="P26" s="402"/>
      <c r="Q26" s="402"/>
      <c r="R26" s="402"/>
      <c r="S26" s="402"/>
      <c r="T26" s="403">
        <f t="shared" si="1"/>
        <v>0</v>
      </c>
      <c r="U26" s="209"/>
      <c r="V26" s="400"/>
      <c r="W26" s="400"/>
      <c r="X26" s="203"/>
      <c r="Y26" s="203"/>
      <c r="Z26" s="203"/>
    </row>
    <row r="27" spans="1:26" ht="25.5" customHeight="1">
      <c r="A27" s="206"/>
      <c r="B27" s="207"/>
      <c r="C27" s="206"/>
      <c r="D27" s="207"/>
      <c r="E27" s="207"/>
      <c r="F27" s="207"/>
      <c r="G27" s="400"/>
      <c r="H27" s="400"/>
      <c r="I27" s="400"/>
      <c r="J27" s="400"/>
      <c r="K27" s="401"/>
      <c r="L27" s="401"/>
      <c r="M27" s="208">
        <f t="shared" si="0"/>
        <v>0</v>
      </c>
      <c r="N27" s="400"/>
      <c r="O27" s="400"/>
      <c r="P27" s="402"/>
      <c r="Q27" s="402"/>
      <c r="R27" s="402"/>
      <c r="S27" s="402"/>
      <c r="T27" s="403">
        <f t="shared" si="1"/>
        <v>0</v>
      </c>
      <c r="U27" s="209"/>
      <c r="V27" s="400"/>
      <c r="W27" s="400"/>
      <c r="X27" s="203"/>
      <c r="Y27" s="203"/>
      <c r="Z27" s="203"/>
    </row>
    <row r="28" spans="1:26" ht="25.5" customHeight="1">
      <c r="A28" s="206"/>
      <c r="B28" s="207"/>
      <c r="C28" s="206"/>
      <c r="D28" s="207"/>
      <c r="E28" s="207"/>
      <c r="F28" s="207"/>
      <c r="G28" s="400"/>
      <c r="H28" s="400"/>
      <c r="I28" s="400"/>
      <c r="J28" s="400"/>
      <c r="K28" s="401"/>
      <c r="L28" s="401"/>
      <c r="M28" s="208">
        <f t="shared" si="0"/>
        <v>0</v>
      </c>
      <c r="N28" s="400"/>
      <c r="O28" s="400"/>
      <c r="P28" s="402"/>
      <c r="Q28" s="402"/>
      <c r="R28" s="402"/>
      <c r="S28" s="402"/>
      <c r="T28" s="403">
        <f t="shared" si="1"/>
        <v>0</v>
      </c>
      <c r="U28" s="209"/>
      <c r="V28" s="400"/>
      <c r="W28" s="400"/>
      <c r="X28" s="203"/>
      <c r="Y28" s="203"/>
      <c r="Z28" s="203"/>
    </row>
    <row r="29" spans="1:26" ht="25.5" customHeight="1">
      <c r="A29" s="206"/>
      <c r="B29" s="207"/>
      <c r="C29" s="206"/>
      <c r="D29" s="207"/>
      <c r="E29" s="207"/>
      <c r="F29" s="207"/>
      <c r="G29" s="400"/>
      <c r="H29" s="400"/>
      <c r="I29" s="400"/>
      <c r="J29" s="400"/>
      <c r="K29" s="401"/>
      <c r="L29" s="401"/>
      <c r="M29" s="208">
        <f t="shared" si="0"/>
        <v>0</v>
      </c>
      <c r="N29" s="400"/>
      <c r="O29" s="400"/>
      <c r="P29" s="402"/>
      <c r="Q29" s="402"/>
      <c r="R29" s="402"/>
      <c r="S29" s="402"/>
      <c r="T29" s="403">
        <f t="shared" si="1"/>
        <v>0</v>
      </c>
      <c r="U29" s="209"/>
      <c r="V29" s="400"/>
      <c r="W29" s="400"/>
      <c r="X29" s="203"/>
      <c r="Y29" s="203"/>
      <c r="Z29" s="203"/>
    </row>
    <row r="30" spans="1:26" ht="25.5" customHeight="1">
      <c r="A30" s="206"/>
      <c r="B30" s="207"/>
      <c r="C30" s="206"/>
      <c r="D30" s="207"/>
      <c r="E30" s="207"/>
      <c r="F30" s="207"/>
      <c r="G30" s="400"/>
      <c r="H30" s="400"/>
      <c r="I30" s="400"/>
      <c r="J30" s="400"/>
      <c r="K30" s="401"/>
      <c r="L30" s="401"/>
      <c r="M30" s="208">
        <f t="shared" si="0"/>
        <v>0</v>
      </c>
      <c r="N30" s="400"/>
      <c r="O30" s="400"/>
      <c r="P30" s="402"/>
      <c r="Q30" s="402"/>
      <c r="R30" s="402"/>
      <c r="S30" s="402"/>
      <c r="T30" s="403">
        <f t="shared" si="1"/>
        <v>0</v>
      </c>
      <c r="U30" s="209"/>
      <c r="V30" s="400"/>
      <c r="W30" s="400"/>
      <c r="X30" s="203"/>
      <c r="Y30" s="203"/>
      <c r="Z30" s="203"/>
    </row>
    <row r="31" spans="1:26" ht="25.5" customHeight="1">
      <c r="A31" s="206"/>
      <c r="B31" s="207"/>
      <c r="C31" s="206"/>
      <c r="D31" s="207"/>
      <c r="E31" s="207"/>
      <c r="F31" s="207"/>
      <c r="G31" s="400"/>
      <c r="H31" s="400"/>
      <c r="I31" s="400"/>
      <c r="J31" s="400"/>
      <c r="K31" s="401"/>
      <c r="L31" s="401"/>
      <c r="M31" s="208">
        <f t="shared" si="0"/>
        <v>0</v>
      </c>
      <c r="N31" s="400"/>
      <c r="O31" s="400"/>
      <c r="P31" s="402"/>
      <c r="Q31" s="402"/>
      <c r="R31" s="402"/>
      <c r="S31" s="402"/>
      <c r="T31" s="403">
        <f t="shared" si="1"/>
        <v>0</v>
      </c>
      <c r="U31" s="209"/>
      <c r="V31" s="400"/>
      <c r="W31" s="400"/>
      <c r="X31" s="203"/>
      <c r="Y31" s="203"/>
      <c r="Z31" s="203"/>
    </row>
    <row r="32" spans="1:26" ht="25.5" customHeight="1">
      <c r="A32" s="206"/>
      <c r="B32" s="207"/>
      <c r="C32" s="206"/>
      <c r="D32" s="207"/>
      <c r="E32" s="207"/>
      <c r="F32" s="207"/>
      <c r="G32" s="400"/>
      <c r="H32" s="400"/>
      <c r="I32" s="400"/>
      <c r="J32" s="400"/>
      <c r="K32" s="401"/>
      <c r="L32" s="401"/>
      <c r="M32" s="208">
        <f t="shared" si="0"/>
        <v>0</v>
      </c>
      <c r="N32" s="400"/>
      <c r="O32" s="400"/>
      <c r="P32" s="402"/>
      <c r="Q32" s="402"/>
      <c r="R32" s="402"/>
      <c r="S32" s="402"/>
      <c r="T32" s="403">
        <f t="shared" si="1"/>
        <v>0</v>
      </c>
      <c r="U32" s="209"/>
      <c r="V32" s="400"/>
      <c r="W32" s="400"/>
      <c r="X32" s="203"/>
      <c r="Y32" s="203"/>
      <c r="Z32" s="203"/>
    </row>
    <row r="33" spans="1:26" ht="25.5" customHeight="1">
      <c r="A33" s="206"/>
      <c r="B33" s="207"/>
      <c r="C33" s="206"/>
      <c r="D33" s="207"/>
      <c r="E33" s="207"/>
      <c r="F33" s="207"/>
      <c r="G33" s="400"/>
      <c r="H33" s="400"/>
      <c r="I33" s="400"/>
      <c r="J33" s="400"/>
      <c r="K33" s="401"/>
      <c r="L33" s="401"/>
      <c r="M33" s="208">
        <f t="shared" si="0"/>
        <v>0</v>
      </c>
      <c r="N33" s="400"/>
      <c r="O33" s="400"/>
      <c r="P33" s="402"/>
      <c r="Q33" s="402"/>
      <c r="R33" s="402"/>
      <c r="S33" s="402"/>
      <c r="T33" s="403">
        <f t="shared" si="1"/>
        <v>0</v>
      </c>
      <c r="U33" s="209"/>
      <c r="V33" s="400"/>
      <c r="W33" s="400"/>
      <c r="X33" s="203"/>
      <c r="Y33" s="203"/>
      <c r="Z33" s="203"/>
    </row>
    <row r="34" spans="1:26" ht="25.5" customHeight="1">
      <c r="A34" s="206"/>
      <c r="B34" s="207"/>
      <c r="C34" s="206"/>
      <c r="D34" s="207"/>
      <c r="E34" s="207"/>
      <c r="F34" s="207"/>
      <c r="G34" s="400"/>
      <c r="H34" s="400"/>
      <c r="I34" s="400"/>
      <c r="J34" s="400"/>
      <c r="K34" s="401"/>
      <c r="L34" s="401"/>
      <c r="M34" s="208">
        <f t="shared" si="0"/>
        <v>0</v>
      </c>
      <c r="N34" s="400"/>
      <c r="O34" s="400"/>
      <c r="P34" s="402"/>
      <c r="Q34" s="402"/>
      <c r="R34" s="402"/>
      <c r="S34" s="402"/>
      <c r="T34" s="403">
        <f t="shared" si="1"/>
        <v>0</v>
      </c>
      <c r="U34" s="209"/>
      <c r="V34" s="400"/>
      <c r="W34" s="400"/>
      <c r="X34" s="203"/>
      <c r="Y34" s="203"/>
      <c r="Z34" s="203"/>
    </row>
    <row r="35" spans="1:26" ht="25.5" customHeight="1">
      <c r="A35" s="206"/>
      <c r="B35" s="207"/>
      <c r="C35" s="206"/>
      <c r="D35" s="207"/>
      <c r="E35" s="207"/>
      <c r="F35" s="207"/>
      <c r="G35" s="400"/>
      <c r="H35" s="400"/>
      <c r="I35" s="400"/>
      <c r="J35" s="400"/>
      <c r="K35" s="401"/>
      <c r="L35" s="401"/>
      <c r="M35" s="208">
        <f t="shared" si="0"/>
        <v>0</v>
      </c>
      <c r="N35" s="400"/>
      <c r="O35" s="400"/>
      <c r="P35" s="402"/>
      <c r="Q35" s="402"/>
      <c r="R35" s="402"/>
      <c r="S35" s="402"/>
      <c r="T35" s="403">
        <f t="shared" si="1"/>
        <v>0</v>
      </c>
      <c r="U35" s="209"/>
      <c r="V35" s="400"/>
      <c r="W35" s="400"/>
      <c r="X35" s="203"/>
      <c r="Y35" s="203"/>
      <c r="Z35" s="203"/>
    </row>
    <row r="36" spans="1:26" ht="25.5" customHeight="1">
      <c r="A36" s="206"/>
      <c r="B36" s="207"/>
      <c r="C36" s="206"/>
      <c r="D36" s="207"/>
      <c r="E36" s="207"/>
      <c r="F36" s="207"/>
      <c r="G36" s="400"/>
      <c r="H36" s="400"/>
      <c r="I36" s="400"/>
      <c r="J36" s="400"/>
      <c r="K36" s="401"/>
      <c r="L36" s="401"/>
      <c r="M36" s="208">
        <f t="shared" si="0"/>
        <v>0</v>
      </c>
      <c r="N36" s="400"/>
      <c r="O36" s="400"/>
      <c r="P36" s="402"/>
      <c r="Q36" s="402"/>
      <c r="R36" s="402"/>
      <c r="S36" s="402"/>
      <c r="T36" s="403">
        <f t="shared" si="1"/>
        <v>0</v>
      </c>
      <c r="U36" s="209"/>
      <c r="V36" s="400"/>
      <c r="W36" s="400"/>
      <c r="X36" s="203"/>
      <c r="Y36" s="203"/>
      <c r="Z36" s="203"/>
    </row>
    <row r="37" spans="1:26" ht="25.5" customHeight="1">
      <c r="A37" s="206"/>
      <c r="B37" s="207"/>
      <c r="C37" s="206"/>
      <c r="D37" s="207"/>
      <c r="E37" s="207"/>
      <c r="F37" s="207"/>
      <c r="G37" s="400"/>
      <c r="H37" s="400"/>
      <c r="I37" s="400"/>
      <c r="J37" s="400"/>
      <c r="K37" s="401"/>
      <c r="L37" s="401"/>
      <c r="M37" s="208">
        <f t="shared" si="0"/>
        <v>0</v>
      </c>
      <c r="N37" s="400"/>
      <c r="O37" s="400"/>
      <c r="P37" s="402"/>
      <c r="Q37" s="402"/>
      <c r="R37" s="402"/>
      <c r="S37" s="402"/>
      <c r="T37" s="403">
        <f t="shared" si="1"/>
        <v>0</v>
      </c>
      <c r="U37" s="209"/>
      <c r="V37" s="400"/>
      <c r="W37" s="400"/>
      <c r="X37" s="203"/>
      <c r="Y37" s="203"/>
      <c r="Z37" s="203"/>
    </row>
    <row r="38" spans="1:26" ht="25.5" customHeight="1">
      <c r="A38" s="206"/>
      <c r="B38" s="207"/>
      <c r="C38" s="206"/>
      <c r="D38" s="207"/>
      <c r="E38" s="207"/>
      <c r="F38" s="207"/>
      <c r="G38" s="400"/>
      <c r="H38" s="400"/>
      <c r="I38" s="400"/>
      <c r="J38" s="400"/>
      <c r="K38" s="401"/>
      <c r="L38" s="401"/>
      <c r="M38" s="208">
        <f t="shared" si="0"/>
        <v>0</v>
      </c>
      <c r="N38" s="400"/>
      <c r="O38" s="400"/>
      <c r="P38" s="402"/>
      <c r="Q38" s="402"/>
      <c r="R38" s="402"/>
      <c r="S38" s="402"/>
      <c r="T38" s="403">
        <f t="shared" si="1"/>
        <v>0</v>
      </c>
      <c r="U38" s="209"/>
      <c r="V38" s="400"/>
      <c r="W38" s="400"/>
      <c r="X38" s="203"/>
      <c r="Y38" s="203"/>
      <c r="Z38" s="203"/>
    </row>
    <row r="39" spans="1:26" ht="25.5" customHeight="1">
      <c r="A39" s="206"/>
      <c r="B39" s="207"/>
      <c r="C39" s="206"/>
      <c r="D39" s="207"/>
      <c r="E39" s="207"/>
      <c r="F39" s="207"/>
      <c r="G39" s="400"/>
      <c r="H39" s="400"/>
      <c r="I39" s="400"/>
      <c r="J39" s="400"/>
      <c r="K39" s="401"/>
      <c r="L39" s="401"/>
      <c r="M39" s="208">
        <f t="shared" si="0"/>
        <v>0</v>
      </c>
      <c r="N39" s="400"/>
      <c r="O39" s="400"/>
      <c r="P39" s="402"/>
      <c r="Q39" s="402"/>
      <c r="R39" s="402"/>
      <c r="S39" s="402"/>
      <c r="T39" s="403">
        <f t="shared" si="1"/>
        <v>0</v>
      </c>
      <c r="U39" s="209"/>
      <c r="V39" s="400"/>
      <c r="W39" s="400"/>
      <c r="X39" s="203"/>
      <c r="Y39" s="203"/>
      <c r="Z39" s="203"/>
    </row>
    <row r="40" spans="1:26" ht="25.5" customHeight="1">
      <c r="A40" s="206"/>
      <c r="B40" s="207"/>
      <c r="C40" s="206"/>
      <c r="D40" s="207"/>
      <c r="E40" s="207"/>
      <c r="F40" s="207"/>
      <c r="G40" s="400"/>
      <c r="H40" s="400"/>
      <c r="I40" s="400"/>
      <c r="J40" s="400"/>
      <c r="K40" s="401"/>
      <c r="L40" s="401"/>
      <c r="M40" s="208">
        <f t="shared" si="0"/>
        <v>0</v>
      </c>
      <c r="N40" s="400"/>
      <c r="O40" s="400"/>
      <c r="P40" s="402"/>
      <c r="Q40" s="402"/>
      <c r="R40" s="402"/>
      <c r="S40" s="402"/>
      <c r="T40" s="403">
        <f t="shared" si="1"/>
        <v>0</v>
      </c>
      <c r="U40" s="209"/>
      <c r="V40" s="400"/>
      <c r="W40" s="400"/>
      <c r="X40" s="203"/>
      <c r="Y40" s="203"/>
      <c r="Z40" s="203"/>
    </row>
    <row r="41" spans="1:26" ht="25.5" customHeight="1">
      <c r="A41" s="206"/>
      <c r="B41" s="207"/>
      <c r="C41" s="206"/>
      <c r="D41" s="207"/>
      <c r="E41" s="207"/>
      <c r="F41" s="207"/>
      <c r="G41" s="400"/>
      <c r="H41" s="400"/>
      <c r="I41" s="400"/>
      <c r="J41" s="400"/>
      <c r="K41" s="401"/>
      <c r="L41" s="401"/>
      <c r="M41" s="208">
        <f t="shared" si="0"/>
        <v>0</v>
      </c>
      <c r="N41" s="400"/>
      <c r="O41" s="400"/>
      <c r="P41" s="402"/>
      <c r="Q41" s="402"/>
      <c r="R41" s="402"/>
      <c r="S41" s="402"/>
      <c r="T41" s="403">
        <f t="shared" si="1"/>
        <v>0</v>
      </c>
      <c r="U41" s="209"/>
      <c r="V41" s="400"/>
      <c r="W41" s="400"/>
      <c r="X41" s="203"/>
      <c r="Y41" s="203"/>
      <c r="Z41" s="203"/>
    </row>
    <row r="42" spans="1:26" ht="25.5" customHeight="1">
      <c r="A42" s="206"/>
      <c r="B42" s="207"/>
      <c r="C42" s="206"/>
      <c r="D42" s="207"/>
      <c r="E42" s="207"/>
      <c r="F42" s="207"/>
      <c r="G42" s="400"/>
      <c r="H42" s="400"/>
      <c r="I42" s="400"/>
      <c r="J42" s="400"/>
      <c r="K42" s="401"/>
      <c r="L42" s="401"/>
      <c r="M42" s="208">
        <f t="shared" si="0"/>
        <v>0</v>
      </c>
      <c r="N42" s="400"/>
      <c r="O42" s="400"/>
      <c r="P42" s="402"/>
      <c r="Q42" s="402"/>
      <c r="R42" s="402"/>
      <c r="S42" s="402"/>
      <c r="T42" s="403">
        <f t="shared" si="1"/>
        <v>0</v>
      </c>
      <c r="U42" s="209"/>
      <c r="V42" s="400"/>
      <c r="W42" s="400"/>
      <c r="X42" s="203"/>
      <c r="Y42" s="203"/>
      <c r="Z42" s="203"/>
    </row>
    <row r="43" spans="1:26" ht="25.5" customHeight="1">
      <c r="A43" s="206"/>
      <c r="B43" s="207"/>
      <c r="C43" s="206"/>
      <c r="D43" s="207"/>
      <c r="E43" s="207"/>
      <c r="F43" s="207"/>
      <c r="G43" s="400"/>
      <c r="H43" s="400"/>
      <c r="I43" s="400"/>
      <c r="J43" s="400"/>
      <c r="K43" s="401"/>
      <c r="L43" s="401"/>
      <c r="M43" s="208">
        <f t="shared" si="0"/>
        <v>0</v>
      </c>
      <c r="N43" s="400"/>
      <c r="O43" s="400"/>
      <c r="P43" s="402"/>
      <c r="Q43" s="402"/>
      <c r="R43" s="402"/>
      <c r="S43" s="402"/>
      <c r="T43" s="403">
        <f t="shared" si="1"/>
        <v>0</v>
      </c>
      <c r="U43" s="209"/>
      <c r="V43" s="400"/>
      <c r="W43" s="400"/>
      <c r="X43" s="203"/>
      <c r="Y43" s="203"/>
      <c r="Z43" s="203"/>
    </row>
    <row r="44" spans="1:26" ht="25.5" customHeight="1">
      <c r="A44" s="206"/>
      <c r="B44" s="207"/>
      <c r="C44" s="206"/>
      <c r="D44" s="207"/>
      <c r="E44" s="207"/>
      <c r="F44" s="207"/>
      <c r="G44" s="400"/>
      <c r="H44" s="400"/>
      <c r="I44" s="400"/>
      <c r="J44" s="400"/>
      <c r="K44" s="401"/>
      <c r="L44" s="401"/>
      <c r="M44" s="208">
        <f t="shared" si="0"/>
        <v>0</v>
      </c>
      <c r="N44" s="400"/>
      <c r="O44" s="400"/>
      <c r="P44" s="402"/>
      <c r="Q44" s="402"/>
      <c r="R44" s="402"/>
      <c r="S44" s="402"/>
      <c r="T44" s="403">
        <f t="shared" si="1"/>
        <v>0</v>
      </c>
      <c r="U44" s="209"/>
      <c r="V44" s="400"/>
      <c r="W44" s="400"/>
      <c r="X44" s="203"/>
      <c r="Y44" s="203"/>
      <c r="Z44" s="203"/>
    </row>
    <row r="45" spans="1:26" ht="25.5" customHeight="1">
      <c r="A45" s="206"/>
      <c r="B45" s="207"/>
      <c r="C45" s="206"/>
      <c r="D45" s="207"/>
      <c r="E45" s="207"/>
      <c r="F45" s="207"/>
      <c r="G45" s="400"/>
      <c r="H45" s="400"/>
      <c r="I45" s="400"/>
      <c r="J45" s="400"/>
      <c r="K45" s="401"/>
      <c r="L45" s="401"/>
      <c r="M45" s="208">
        <f t="shared" si="0"/>
        <v>0</v>
      </c>
      <c r="N45" s="400"/>
      <c r="O45" s="400"/>
      <c r="P45" s="402"/>
      <c r="Q45" s="402"/>
      <c r="R45" s="402"/>
      <c r="S45" s="402"/>
      <c r="T45" s="403">
        <f t="shared" si="1"/>
        <v>0</v>
      </c>
      <c r="U45" s="209"/>
      <c r="V45" s="400"/>
      <c r="W45" s="400"/>
      <c r="X45" s="203"/>
      <c r="Y45" s="203"/>
      <c r="Z45" s="203"/>
    </row>
    <row r="46" spans="1:26" ht="25.5" customHeight="1">
      <c r="A46" s="206"/>
      <c r="B46" s="207"/>
      <c r="C46" s="206"/>
      <c r="D46" s="207"/>
      <c r="E46" s="207"/>
      <c r="F46" s="207"/>
      <c r="G46" s="400"/>
      <c r="H46" s="400"/>
      <c r="I46" s="400"/>
      <c r="J46" s="400"/>
      <c r="K46" s="401"/>
      <c r="L46" s="401"/>
      <c r="M46" s="208">
        <f t="shared" si="0"/>
        <v>0</v>
      </c>
      <c r="N46" s="400"/>
      <c r="O46" s="400"/>
      <c r="P46" s="402"/>
      <c r="Q46" s="402"/>
      <c r="R46" s="402"/>
      <c r="S46" s="402"/>
      <c r="T46" s="403">
        <f t="shared" si="1"/>
        <v>0</v>
      </c>
      <c r="U46" s="209"/>
      <c r="V46" s="400"/>
      <c r="W46" s="400"/>
      <c r="X46" s="203"/>
      <c r="Y46" s="203"/>
      <c r="Z46" s="203"/>
    </row>
    <row r="47" spans="1:26" ht="25.5" customHeight="1">
      <c r="A47" s="206"/>
      <c r="B47" s="207"/>
      <c r="C47" s="206"/>
      <c r="D47" s="207"/>
      <c r="E47" s="207"/>
      <c r="F47" s="207"/>
      <c r="G47" s="400"/>
      <c r="H47" s="400"/>
      <c r="I47" s="400"/>
      <c r="J47" s="400"/>
      <c r="K47" s="401"/>
      <c r="L47" s="401"/>
      <c r="M47" s="208">
        <f t="shared" si="0"/>
        <v>0</v>
      </c>
      <c r="N47" s="400"/>
      <c r="O47" s="400"/>
      <c r="P47" s="402"/>
      <c r="Q47" s="402"/>
      <c r="R47" s="402"/>
      <c r="S47" s="402"/>
      <c r="T47" s="403">
        <f t="shared" si="1"/>
        <v>0</v>
      </c>
      <c r="U47" s="209"/>
      <c r="V47" s="400"/>
      <c r="W47" s="400"/>
      <c r="X47" s="203"/>
      <c r="Y47" s="203"/>
      <c r="Z47" s="203"/>
    </row>
    <row r="48" spans="1:26" ht="25.5" customHeight="1">
      <c r="A48" s="206"/>
      <c r="B48" s="207"/>
      <c r="C48" s="206"/>
      <c r="D48" s="207"/>
      <c r="E48" s="207"/>
      <c r="F48" s="207"/>
      <c r="G48" s="400"/>
      <c r="H48" s="400"/>
      <c r="I48" s="400"/>
      <c r="J48" s="400"/>
      <c r="K48" s="401"/>
      <c r="L48" s="401"/>
      <c r="M48" s="208">
        <f t="shared" si="0"/>
        <v>0</v>
      </c>
      <c r="N48" s="400"/>
      <c r="O48" s="400"/>
      <c r="P48" s="402"/>
      <c r="Q48" s="402"/>
      <c r="R48" s="402"/>
      <c r="S48" s="402"/>
      <c r="T48" s="403">
        <f t="shared" si="1"/>
        <v>0</v>
      </c>
      <c r="U48" s="209"/>
      <c r="V48" s="400"/>
      <c r="W48" s="400"/>
      <c r="X48" s="203"/>
      <c r="Y48" s="203"/>
      <c r="Z48" s="203"/>
    </row>
    <row r="49" spans="1:26" ht="25.5" customHeight="1">
      <c r="A49" s="206"/>
      <c r="B49" s="207"/>
      <c r="C49" s="206"/>
      <c r="D49" s="207"/>
      <c r="E49" s="207"/>
      <c r="F49" s="207"/>
      <c r="G49" s="400"/>
      <c r="H49" s="400"/>
      <c r="I49" s="400"/>
      <c r="J49" s="400"/>
      <c r="K49" s="401"/>
      <c r="L49" s="401"/>
      <c r="M49" s="208">
        <f t="shared" si="0"/>
        <v>0</v>
      </c>
      <c r="N49" s="400"/>
      <c r="O49" s="400"/>
      <c r="P49" s="402"/>
      <c r="Q49" s="402"/>
      <c r="R49" s="402"/>
      <c r="S49" s="402"/>
      <c r="T49" s="403">
        <f t="shared" si="1"/>
        <v>0</v>
      </c>
      <c r="U49" s="209"/>
      <c r="V49" s="400"/>
      <c r="W49" s="400"/>
      <c r="X49" s="203"/>
      <c r="Y49" s="203"/>
      <c r="Z49" s="203"/>
    </row>
    <row r="50" spans="1:26" ht="25.5" customHeight="1">
      <c r="A50" s="206"/>
      <c r="B50" s="207"/>
      <c r="C50" s="206"/>
      <c r="D50" s="207"/>
      <c r="E50" s="207"/>
      <c r="F50" s="207"/>
      <c r="G50" s="400"/>
      <c r="H50" s="400"/>
      <c r="I50" s="400"/>
      <c r="J50" s="400"/>
      <c r="K50" s="401"/>
      <c r="L50" s="401"/>
      <c r="M50" s="208">
        <f t="shared" si="0"/>
        <v>0</v>
      </c>
      <c r="N50" s="400"/>
      <c r="O50" s="400"/>
      <c r="P50" s="402"/>
      <c r="Q50" s="402"/>
      <c r="R50" s="402"/>
      <c r="S50" s="402"/>
      <c r="T50" s="403">
        <f t="shared" si="1"/>
        <v>0</v>
      </c>
      <c r="U50" s="209"/>
      <c r="V50" s="400"/>
      <c r="W50" s="400"/>
      <c r="X50" s="203"/>
      <c r="Y50" s="203"/>
      <c r="Z50" s="203"/>
    </row>
    <row r="51" spans="1:26" ht="25.5" customHeight="1">
      <c r="A51" s="206"/>
      <c r="B51" s="207"/>
      <c r="C51" s="206"/>
      <c r="D51" s="207"/>
      <c r="E51" s="207"/>
      <c r="F51" s="207"/>
      <c r="G51" s="400"/>
      <c r="H51" s="400"/>
      <c r="I51" s="400"/>
      <c r="J51" s="400"/>
      <c r="K51" s="401"/>
      <c r="L51" s="401"/>
      <c r="M51" s="208">
        <f t="shared" si="0"/>
        <v>0</v>
      </c>
      <c r="N51" s="400"/>
      <c r="O51" s="400"/>
      <c r="P51" s="402"/>
      <c r="Q51" s="402"/>
      <c r="R51" s="402"/>
      <c r="S51" s="402"/>
      <c r="T51" s="403">
        <f t="shared" si="1"/>
        <v>0</v>
      </c>
      <c r="U51" s="209"/>
      <c r="V51" s="400"/>
      <c r="W51" s="400"/>
      <c r="X51" s="203"/>
      <c r="Y51" s="203"/>
      <c r="Z51" s="203"/>
    </row>
    <row r="52" spans="1:26" ht="25.5" customHeight="1">
      <c r="A52" s="206"/>
      <c r="B52" s="207"/>
      <c r="C52" s="206"/>
      <c r="D52" s="207"/>
      <c r="E52" s="207"/>
      <c r="F52" s="207"/>
      <c r="G52" s="400"/>
      <c r="H52" s="400"/>
      <c r="I52" s="400"/>
      <c r="J52" s="400"/>
      <c r="K52" s="401"/>
      <c r="L52" s="401"/>
      <c r="M52" s="208">
        <f t="shared" si="0"/>
        <v>0</v>
      </c>
      <c r="N52" s="400"/>
      <c r="O52" s="400"/>
      <c r="P52" s="402"/>
      <c r="Q52" s="402"/>
      <c r="R52" s="402"/>
      <c r="S52" s="402"/>
      <c r="T52" s="403">
        <f t="shared" si="1"/>
        <v>0</v>
      </c>
      <c r="U52" s="209"/>
      <c r="V52" s="400"/>
      <c r="W52" s="400"/>
      <c r="X52" s="203"/>
      <c r="Y52" s="203"/>
      <c r="Z52" s="203"/>
    </row>
    <row r="53" spans="1:26" ht="25.5" customHeight="1">
      <c r="A53" s="206"/>
      <c r="B53" s="207"/>
      <c r="C53" s="206"/>
      <c r="D53" s="207"/>
      <c r="E53" s="207"/>
      <c r="F53" s="207"/>
      <c r="G53" s="400"/>
      <c r="H53" s="400"/>
      <c r="I53" s="400"/>
      <c r="J53" s="400"/>
      <c r="K53" s="401"/>
      <c r="L53" s="401"/>
      <c r="M53" s="208">
        <f t="shared" si="0"/>
        <v>0</v>
      </c>
      <c r="N53" s="400"/>
      <c r="O53" s="400"/>
      <c r="P53" s="402"/>
      <c r="Q53" s="402"/>
      <c r="R53" s="402"/>
      <c r="S53" s="402"/>
      <c r="T53" s="403">
        <f t="shared" si="1"/>
        <v>0</v>
      </c>
      <c r="U53" s="209"/>
      <c r="V53" s="400"/>
      <c r="W53" s="400"/>
      <c r="X53" s="203"/>
      <c r="Y53" s="203"/>
      <c r="Z53" s="203"/>
    </row>
    <row r="54" spans="1:26" ht="25.5" customHeight="1">
      <c r="A54" s="206"/>
      <c r="B54" s="207"/>
      <c r="C54" s="206"/>
      <c r="D54" s="207"/>
      <c r="E54" s="207"/>
      <c r="F54" s="207"/>
      <c r="G54" s="400"/>
      <c r="H54" s="400"/>
      <c r="I54" s="400"/>
      <c r="J54" s="400"/>
      <c r="K54" s="401"/>
      <c r="L54" s="401"/>
      <c r="M54" s="208">
        <f t="shared" si="0"/>
        <v>0</v>
      </c>
      <c r="N54" s="400"/>
      <c r="O54" s="400"/>
      <c r="P54" s="402"/>
      <c r="Q54" s="402"/>
      <c r="R54" s="402"/>
      <c r="S54" s="402"/>
      <c r="T54" s="403">
        <f t="shared" si="1"/>
        <v>0</v>
      </c>
      <c r="U54" s="209"/>
      <c r="V54" s="400"/>
      <c r="W54" s="400"/>
      <c r="X54" s="203"/>
      <c r="Y54" s="203"/>
      <c r="Z54" s="203"/>
    </row>
    <row r="55" spans="1:26" ht="25.5" customHeight="1">
      <c r="A55" s="206"/>
      <c r="B55" s="207"/>
      <c r="C55" s="206"/>
      <c r="D55" s="207"/>
      <c r="E55" s="207"/>
      <c r="F55" s="207"/>
      <c r="G55" s="400"/>
      <c r="H55" s="400"/>
      <c r="I55" s="400"/>
      <c r="J55" s="400"/>
      <c r="K55" s="401"/>
      <c r="L55" s="401"/>
      <c r="M55" s="208">
        <f t="shared" si="0"/>
        <v>0</v>
      </c>
      <c r="N55" s="400"/>
      <c r="O55" s="400"/>
      <c r="P55" s="402"/>
      <c r="Q55" s="402"/>
      <c r="R55" s="402"/>
      <c r="S55" s="402"/>
      <c r="T55" s="403">
        <f t="shared" si="1"/>
        <v>0</v>
      </c>
      <c r="U55" s="209"/>
      <c r="V55" s="400"/>
      <c r="W55" s="400"/>
      <c r="X55" s="203"/>
      <c r="Y55" s="203"/>
      <c r="Z55" s="203"/>
    </row>
    <row r="56" spans="1:26" ht="25.5" customHeight="1">
      <c r="A56" s="206"/>
      <c r="B56" s="207"/>
      <c r="C56" s="206"/>
      <c r="D56" s="207"/>
      <c r="E56" s="207"/>
      <c r="F56" s="207"/>
      <c r="G56" s="400"/>
      <c r="H56" s="400"/>
      <c r="I56" s="400"/>
      <c r="J56" s="400"/>
      <c r="K56" s="401"/>
      <c r="L56" s="401"/>
      <c r="M56" s="208">
        <f t="shared" si="0"/>
        <v>0</v>
      </c>
      <c r="N56" s="400"/>
      <c r="O56" s="400"/>
      <c r="P56" s="402"/>
      <c r="Q56" s="402"/>
      <c r="R56" s="402"/>
      <c r="S56" s="402"/>
      <c r="T56" s="403">
        <f t="shared" si="1"/>
        <v>0</v>
      </c>
      <c r="U56" s="209"/>
      <c r="V56" s="400"/>
      <c r="W56" s="400"/>
      <c r="X56" s="203"/>
      <c r="Y56" s="203"/>
      <c r="Z56" s="203"/>
    </row>
    <row r="57" spans="1:26" ht="25.5" customHeight="1">
      <c r="A57" s="206"/>
      <c r="B57" s="207"/>
      <c r="C57" s="206"/>
      <c r="D57" s="207"/>
      <c r="E57" s="207"/>
      <c r="F57" s="207"/>
      <c r="G57" s="400"/>
      <c r="H57" s="400"/>
      <c r="I57" s="400"/>
      <c r="J57" s="400"/>
      <c r="K57" s="401"/>
      <c r="L57" s="401"/>
      <c r="M57" s="208">
        <f t="shared" si="0"/>
        <v>0</v>
      </c>
      <c r="N57" s="400"/>
      <c r="O57" s="400"/>
      <c r="P57" s="402"/>
      <c r="Q57" s="402"/>
      <c r="R57" s="402"/>
      <c r="S57" s="402"/>
      <c r="T57" s="403">
        <f t="shared" si="1"/>
        <v>0</v>
      </c>
      <c r="U57" s="209"/>
      <c r="V57" s="400"/>
      <c r="W57" s="400"/>
      <c r="X57" s="203"/>
      <c r="Y57" s="203"/>
      <c r="Z57" s="203"/>
    </row>
    <row r="58" spans="1:26" ht="25.5" customHeight="1">
      <c r="A58" s="206"/>
      <c r="B58" s="207"/>
      <c r="C58" s="206"/>
      <c r="D58" s="207"/>
      <c r="E58" s="207"/>
      <c r="F58" s="207"/>
      <c r="G58" s="400"/>
      <c r="H58" s="400"/>
      <c r="I58" s="400"/>
      <c r="J58" s="400"/>
      <c r="K58" s="401"/>
      <c r="L58" s="401"/>
      <c r="M58" s="208">
        <f t="shared" si="0"/>
        <v>0</v>
      </c>
      <c r="N58" s="400"/>
      <c r="O58" s="400"/>
      <c r="P58" s="402"/>
      <c r="Q58" s="402"/>
      <c r="R58" s="402"/>
      <c r="S58" s="402"/>
      <c r="T58" s="403">
        <f t="shared" si="1"/>
        <v>0</v>
      </c>
      <c r="U58" s="209"/>
      <c r="V58" s="400"/>
      <c r="W58" s="400"/>
      <c r="X58" s="203"/>
      <c r="Y58" s="203"/>
      <c r="Z58" s="203"/>
    </row>
    <row r="59" spans="1:26" ht="25.5" customHeight="1">
      <c r="A59" s="206"/>
      <c r="B59" s="207"/>
      <c r="C59" s="206"/>
      <c r="D59" s="207"/>
      <c r="E59" s="207"/>
      <c r="F59" s="207"/>
      <c r="G59" s="400"/>
      <c r="H59" s="400"/>
      <c r="I59" s="400"/>
      <c r="J59" s="400"/>
      <c r="K59" s="401"/>
      <c r="L59" s="401"/>
      <c r="M59" s="208">
        <f t="shared" si="0"/>
        <v>0</v>
      </c>
      <c r="N59" s="400"/>
      <c r="O59" s="400"/>
      <c r="P59" s="402"/>
      <c r="Q59" s="402"/>
      <c r="R59" s="402"/>
      <c r="S59" s="402"/>
      <c r="T59" s="403">
        <f t="shared" si="1"/>
        <v>0</v>
      </c>
      <c r="U59" s="209"/>
      <c r="V59" s="400"/>
      <c r="W59" s="400"/>
      <c r="X59" s="203"/>
      <c r="Y59" s="203"/>
      <c r="Z59" s="203"/>
    </row>
    <row r="60" spans="1:26" ht="25.5" customHeight="1">
      <c r="A60" s="206"/>
      <c r="B60" s="207"/>
      <c r="C60" s="206"/>
      <c r="D60" s="207"/>
      <c r="E60" s="207"/>
      <c r="F60" s="207"/>
      <c r="G60" s="400"/>
      <c r="H60" s="400"/>
      <c r="I60" s="400"/>
      <c r="J60" s="400"/>
      <c r="K60" s="401"/>
      <c r="L60" s="401"/>
      <c r="M60" s="208">
        <f t="shared" si="0"/>
        <v>0</v>
      </c>
      <c r="N60" s="400"/>
      <c r="O60" s="400"/>
      <c r="P60" s="402"/>
      <c r="Q60" s="402"/>
      <c r="R60" s="402"/>
      <c r="S60" s="402"/>
      <c r="T60" s="403">
        <f t="shared" si="1"/>
        <v>0</v>
      </c>
      <c r="U60" s="209"/>
      <c r="V60" s="400"/>
      <c r="W60" s="400"/>
      <c r="X60" s="203"/>
      <c r="Y60" s="203"/>
      <c r="Z60" s="203"/>
    </row>
    <row r="61" spans="1:26" ht="25.5" customHeight="1">
      <c r="A61" s="206"/>
      <c r="B61" s="207"/>
      <c r="C61" s="206"/>
      <c r="D61" s="207"/>
      <c r="E61" s="207"/>
      <c r="F61" s="207"/>
      <c r="G61" s="400"/>
      <c r="H61" s="400"/>
      <c r="I61" s="400"/>
      <c r="J61" s="400"/>
      <c r="K61" s="401"/>
      <c r="L61" s="401"/>
      <c r="M61" s="208">
        <f t="shared" si="0"/>
        <v>0</v>
      </c>
      <c r="N61" s="400"/>
      <c r="O61" s="400"/>
      <c r="P61" s="402"/>
      <c r="Q61" s="402"/>
      <c r="R61" s="402"/>
      <c r="S61" s="402"/>
      <c r="T61" s="403">
        <f t="shared" si="1"/>
        <v>0</v>
      </c>
      <c r="U61" s="209"/>
      <c r="V61" s="400"/>
      <c r="W61" s="400"/>
      <c r="X61" s="203"/>
      <c r="Y61" s="203"/>
      <c r="Z61" s="203"/>
    </row>
    <row r="62" spans="1:26" ht="25.5" customHeight="1">
      <c r="A62" s="206"/>
      <c r="B62" s="207"/>
      <c r="C62" s="206"/>
      <c r="D62" s="207"/>
      <c r="E62" s="207"/>
      <c r="F62" s="207"/>
      <c r="G62" s="400"/>
      <c r="H62" s="400"/>
      <c r="I62" s="400"/>
      <c r="J62" s="400"/>
      <c r="K62" s="401"/>
      <c r="L62" s="401"/>
      <c r="M62" s="208">
        <f t="shared" si="0"/>
        <v>0</v>
      </c>
      <c r="N62" s="400"/>
      <c r="O62" s="400"/>
      <c r="P62" s="402"/>
      <c r="Q62" s="402"/>
      <c r="R62" s="402"/>
      <c r="S62" s="402"/>
      <c r="T62" s="403">
        <f t="shared" si="1"/>
        <v>0</v>
      </c>
      <c r="U62" s="209"/>
      <c r="V62" s="400"/>
      <c r="W62" s="400"/>
      <c r="X62" s="203"/>
      <c r="Y62" s="203"/>
      <c r="Z62" s="203"/>
    </row>
    <row r="63" spans="1:26" ht="25.5" customHeight="1">
      <c r="A63" s="206"/>
      <c r="B63" s="207"/>
      <c r="C63" s="206"/>
      <c r="D63" s="207"/>
      <c r="E63" s="207"/>
      <c r="F63" s="207"/>
      <c r="G63" s="400"/>
      <c r="H63" s="400"/>
      <c r="I63" s="400"/>
      <c r="J63" s="400"/>
      <c r="K63" s="401"/>
      <c r="L63" s="401"/>
      <c r="M63" s="208">
        <f t="shared" si="0"/>
        <v>0</v>
      </c>
      <c r="N63" s="400"/>
      <c r="O63" s="400"/>
      <c r="P63" s="402"/>
      <c r="Q63" s="402"/>
      <c r="R63" s="402"/>
      <c r="S63" s="402"/>
      <c r="T63" s="403">
        <f t="shared" si="1"/>
        <v>0</v>
      </c>
      <c r="U63" s="209"/>
      <c r="V63" s="400"/>
      <c r="W63" s="400"/>
      <c r="X63" s="203"/>
      <c r="Y63" s="203"/>
      <c r="Z63" s="203"/>
    </row>
    <row r="64" spans="1:26" ht="25.5" customHeight="1">
      <c r="A64" s="206"/>
      <c r="B64" s="207"/>
      <c r="C64" s="206"/>
      <c r="D64" s="207"/>
      <c r="E64" s="207"/>
      <c r="F64" s="207"/>
      <c r="G64" s="400"/>
      <c r="H64" s="400"/>
      <c r="I64" s="400"/>
      <c r="J64" s="400"/>
      <c r="K64" s="401"/>
      <c r="L64" s="401"/>
      <c r="M64" s="208">
        <f t="shared" si="0"/>
        <v>0</v>
      </c>
      <c r="N64" s="400"/>
      <c r="O64" s="400"/>
      <c r="P64" s="402"/>
      <c r="Q64" s="402"/>
      <c r="R64" s="402"/>
      <c r="S64" s="402"/>
      <c r="T64" s="403">
        <f t="shared" si="1"/>
        <v>0</v>
      </c>
      <c r="U64" s="209"/>
      <c r="V64" s="400"/>
      <c r="W64" s="400"/>
      <c r="X64" s="203"/>
      <c r="Y64" s="203"/>
      <c r="Z64" s="203"/>
    </row>
    <row r="65" spans="1:26" ht="25.5" customHeight="1">
      <c r="A65" s="206"/>
      <c r="B65" s="207"/>
      <c r="C65" s="206"/>
      <c r="D65" s="207"/>
      <c r="E65" s="207"/>
      <c r="F65" s="207"/>
      <c r="G65" s="400"/>
      <c r="H65" s="400"/>
      <c r="I65" s="400"/>
      <c r="J65" s="400"/>
      <c r="K65" s="401"/>
      <c r="L65" s="401"/>
      <c r="M65" s="208">
        <f t="shared" si="0"/>
        <v>0</v>
      </c>
      <c r="N65" s="400"/>
      <c r="O65" s="400"/>
      <c r="P65" s="402"/>
      <c r="Q65" s="402"/>
      <c r="R65" s="402"/>
      <c r="S65" s="402"/>
      <c r="T65" s="403">
        <f t="shared" si="1"/>
        <v>0</v>
      </c>
      <c r="U65" s="209"/>
      <c r="V65" s="400"/>
      <c r="W65" s="400"/>
      <c r="X65" s="203"/>
      <c r="Y65" s="203"/>
      <c r="Z65" s="203"/>
    </row>
    <row r="66" spans="1:26" ht="25.5" customHeight="1">
      <c r="A66" s="206"/>
      <c r="B66" s="207"/>
      <c r="C66" s="206"/>
      <c r="D66" s="207"/>
      <c r="E66" s="207"/>
      <c r="F66" s="207"/>
      <c r="G66" s="400"/>
      <c r="H66" s="400"/>
      <c r="I66" s="400"/>
      <c r="J66" s="400"/>
      <c r="K66" s="401"/>
      <c r="L66" s="401"/>
      <c r="M66" s="208">
        <f t="shared" si="0"/>
        <v>0</v>
      </c>
      <c r="N66" s="400"/>
      <c r="O66" s="400"/>
      <c r="P66" s="402"/>
      <c r="Q66" s="402"/>
      <c r="R66" s="402"/>
      <c r="S66" s="402"/>
      <c r="T66" s="403">
        <f t="shared" si="1"/>
        <v>0</v>
      </c>
      <c r="U66" s="209"/>
      <c r="V66" s="400"/>
      <c r="W66" s="400"/>
      <c r="X66" s="203"/>
      <c r="Y66" s="203"/>
      <c r="Z66" s="203"/>
    </row>
    <row r="67" spans="1:26" ht="25.5" customHeight="1">
      <c r="A67" s="206"/>
      <c r="B67" s="207"/>
      <c r="C67" s="206"/>
      <c r="D67" s="207"/>
      <c r="E67" s="207"/>
      <c r="F67" s="207"/>
      <c r="G67" s="400"/>
      <c r="H67" s="400"/>
      <c r="I67" s="400"/>
      <c r="J67" s="400"/>
      <c r="K67" s="401"/>
      <c r="L67" s="401"/>
      <c r="M67" s="208">
        <f t="shared" si="0"/>
        <v>0</v>
      </c>
      <c r="N67" s="400"/>
      <c r="O67" s="400"/>
      <c r="P67" s="402"/>
      <c r="Q67" s="402"/>
      <c r="R67" s="402"/>
      <c r="S67" s="402"/>
      <c r="T67" s="403">
        <f t="shared" si="1"/>
        <v>0</v>
      </c>
      <c r="U67" s="209"/>
      <c r="V67" s="400"/>
      <c r="W67" s="400"/>
      <c r="X67" s="203"/>
      <c r="Y67" s="203"/>
      <c r="Z67" s="203"/>
    </row>
    <row r="68" spans="1:26" ht="25.5" customHeight="1">
      <c r="A68" s="206"/>
      <c r="B68" s="207"/>
      <c r="C68" s="206"/>
      <c r="D68" s="207"/>
      <c r="E68" s="207"/>
      <c r="F68" s="207"/>
      <c r="G68" s="400"/>
      <c r="H68" s="400"/>
      <c r="I68" s="400"/>
      <c r="J68" s="400"/>
      <c r="K68" s="401"/>
      <c r="L68" s="401"/>
      <c r="M68" s="208">
        <f t="shared" si="0"/>
        <v>0</v>
      </c>
      <c r="N68" s="400"/>
      <c r="O68" s="400"/>
      <c r="P68" s="402"/>
      <c r="Q68" s="402"/>
      <c r="R68" s="402"/>
      <c r="S68" s="402"/>
      <c r="T68" s="403">
        <f t="shared" si="1"/>
        <v>0</v>
      </c>
      <c r="U68" s="209"/>
      <c r="V68" s="400"/>
      <c r="W68" s="400"/>
      <c r="X68" s="203"/>
      <c r="Y68" s="203"/>
      <c r="Z68" s="203"/>
    </row>
    <row r="69" spans="1:26" ht="25.5" customHeight="1">
      <c r="A69" s="206"/>
      <c r="B69" s="207"/>
      <c r="C69" s="206"/>
      <c r="D69" s="207"/>
      <c r="E69" s="207"/>
      <c r="F69" s="207"/>
      <c r="G69" s="400"/>
      <c r="H69" s="400"/>
      <c r="I69" s="400"/>
      <c r="J69" s="400"/>
      <c r="K69" s="401"/>
      <c r="L69" s="401"/>
      <c r="M69" s="208">
        <f t="shared" si="0"/>
        <v>0</v>
      </c>
      <c r="N69" s="400"/>
      <c r="O69" s="400"/>
      <c r="P69" s="402"/>
      <c r="Q69" s="402"/>
      <c r="R69" s="402"/>
      <c r="S69" s="402"/>
      <c r="T69" s="403">
        <f t="shared" si="1"/>
        <v>0</v>
      </c>
      <c r="U69" s="209"/>
      <c r="V69" s="400"/>
      <c r="W69" s="400"/>
      <c r="X69" s="203"/>
      <c r="Y69" s="203"/>
      <c r="Z69" s="203"/>
    </row>
    <row r="70" spans="1:26" ht="25.5" customHeight="1">
      <c r="A70" s="206"/>
      <c r="B70" s="207"/>
      <c r="C70" s="206"/>
      <c r="D70" s="207"/>
      <c r="E70" s="207"/>
      <c r="F70" s="207"/>
      <c r="G70" s="400"/>
      <c r="H70" s="400"/>
      <c r="I70" s="400"/>
      <c r="J70" s="400"/>
      <c r="K70" s="401"/>
      <c r="L70" s="401"/>
      <c r="M70" s="208">
        <f t="shared" si="0"/>
        <v>0</v>
      </c>
      <c r="N70" s="400"/>
      <c r="O70" s="400"/>
      <c r="P70" s="402"/>
      <c r="Q70" s="402"/>
      <c r="R70" s="402"/>
      <c r="S70" s="402"/>
      <c r="T70" s="403">
        <f t="shared" si="1"/>
        <v>0</v>
      </c>
      <c r="U70" s="209"/>
      <c r="V70" s="400"/>
      <c r="W70" s="400"/>
      <c r="X70" s="203"/>
      <c r="Y70" s="203"/>
      <c r="Z70" s="203"/>
    </row>
    <row r="71" spans="1:26" ht="25.5" customHeight="1">
      <c r="A71" s="206"/>
      <c r="B71" s="207"/>
      <c r="C71" s="206"/>
      <c r="D71" s="207"/>
      <c r="E71" s="207"/>
      <c r="F71" s="207"/>
      <c r="G71" s="400"/>
      <c r="H71" s="400"/>
      <c r="I71" s="400"/>
      <c r="J71" s="400"/>
      <c r="K71" s="401"/>
      <c r="L71" s="401"/>
      <c r="M71" s="208">
        <f t="shared" si="0"/>
        <v>0</v>
      </c>
      <c r="N71" s="400"/>
      <c r="O71" s="400"/>
      <c r="P71" s="402"/>
      <c r="Q71" s="402"/>
      <c r="R71" s="402"/>
      <c r="S71" s="402"/>
      <c r="T71" s="403">
        <f t="shared" si="1"/>
        <v>0</v>
      </c>
      <c r="U71" s="209"/>
      <c r="V71" s="400"/>
      <c r="W71" s="400"/>
      <c r="X71" s="203"/>
      <c r="Y71" s="203"/>
      <c r="Z71" s="203"/>
    </row>
    <row r="72" spans="1:26" ht="25.5" customHeight="1">
      <c r="A72" s="206"/>
      <c r="B72" s="207"/>
      <c r="C72" s="206"/>
      <c r="D72" s="207"/>
      <c r="E72" s="207"/>
      <c r="F72" s="207"/>
      <c r="G72" s="400"/>
      <c r="H72" s="400"/>
      <c r="I72" s="400"/>
      <c r="J72" s="400"/>
      <c r="K72" s="401"/>
      <c r="L72" s="401"/>
      <c r="M72" s="208">
        <f t="shared" si="0"/>
        <v>0</v>
      </c>
      <c r="N72" s="400"/>
      <c r="O72" s="400"/>
      <c r="P72" s="402"/>
      <c r="Q72" s="402"/>
      <c r="R72" s="402"/>
      <c r="S72" s="402"/>
      <c r="T72" s="403">
        <f t="shared" si="1"/>
        <v>0</v>
      </c>
      <c r="U72" s="209"/>
      <c r="V72" s="400"/>
      <c r="W72" s="400"/>
      <c r="X72" s="203"/>
      <c r="Y72" s="203"/>
      <c r="Z72" s="203"/>
    </row>
    <row r="73" spans="1:26" ht="25.5" customHeight="1">
      <c r="A73" s="206"/>
      <c r="B73" s="207"/>
      <c r="C73" s="206"/>
      <c r="D73" s="207"/>
      <c r="E73" s="207"/>
      <c r="F73" s="207"/>
      <c r="G73" s="400"/>
      <c r="H73" s="400"/>
      <c r="I73" s="400"/>
      <c r="J73" s="400"/>
      <c r="K73" s="401"/>
      <c r="L73" s="401"/>
      <c r="M73" s="208">
        <f t="shared" si="0"/>
        <v>0</v>
      </c>
      <c r="N73" s="400"/>
      <c r="O73" s="400"/>
      <c r="P73" s="402"/>
      <c r="Q73" s="402"/>
      <c r="R73" s="402"/>
      <c r="S73" s="402"/>
      <c r="T73" s="403">
        <f t="shared" si="1"/>
        <v>0</v>
      </c>
      <c r="U73" s="209"/>
      <c r="V73" s="400"/>
      <c r="W73" s="400"/>
      <c r="X73" s="203"/>
      <c r="Y73" s="203"/>
      <c r="Z73" s="203"/>
    </row>
    <row r="74" spans="1:26" ht="25.5" customHeight="1">
      <c r="A74" s="206"/>
      <c r="B74" s="207"/>
      <c r="C74" s="206"/>
      <c r="D74" s="207"/>
      <c r="E74" s="207"/>
      <c r="F74" s="207"/>
      <c r="G74" s="400"/>
      <c r="H74" s="400"/>
      <c r="I74" s="400"/>
      <c r="J74" s="400"/>
      <c r="K74" s="401"/>
      <c r="L74" s="401"/>
      <c r="M74" s="208">
        <f t="shared" si="0"/>
        <v>0</v>
      </c>
      <c r="N74" s="400"/>
      <c r="O74" s="400"/>
      <c r="P74" s="402"/>
      <c r="Q74" s="402"/>
      <c r="R74" s="402"/>
      <c r="S74" s="402"/>
      <c r="T74" s="403">
        <f t="shared" si="1"/>
        <v>0</v>
      </c>
      <c r="U74" s="209"/>
      <c r="V74" s="400"/>
      <c r="W74" s="400"/>
      <c r="X74" s="203"/>
      <c r="Y74" s="203"/>
      <c r="Z74" s="203"/>
    </row>
    <row r="75" spans="1:26" ht="25.5" customHeight="1">
      <c r="A75" s="206"/>
      <c r="B75" s="207"/>
      <c r="C75" s="206"/>
      <c r="D75" s="207"/>
      <c r="E75" s="207"/>
      <c r="F75" s="207"/>
      <c r="G75" s="400"/>
      <c r="H75" s="400"/>
      <c r="I75" s="400"/>
      <c r="J75" s="400"/>
      <c r="K75" s="401"/>
      <c r="L75" s="401"/>
      <c r="M75" s="208">
        <f t="shared" si="0"/>
        <v>0</v>
      </c>
      <c r="N75" s="400"/>
      <c r="O75" s="400"/>
      <c r="P75" s="402"/>
      <c r="Q75" s="402"/>
      <c r="R75" s="402"/>
      <c r="S75" s="402"/>
      <c r="T75" s="403">
        <f t="shared" si="1"/>
        <v>0</v>
      </c>
      <c r="U75" s="209"/>
      <c r="V75" s="400"/>
      <c r="W75" s="400"/>
      <c r="X75" s="203"/>
      <c r="Y75" s="203"/>
      <c r="Z75" s="203"/>
    </row>
    <row r="76" spans="1:26" ht="25.5" customHeight="1">
      <c r="A76" s="206"/>
      <c r="B76" s="207"/>
      <c r="C76" s="206"/>
      <c r="D76" s="207"/>
      <c r="E76" s="207"/>
      <c r="F76" s="207"/>
      <c r="G76" s="400"/>
      <c r="H76" s="400"/>
      <c r="I76" s="400"/>
      <c r="J76" s="400"/>
      <c r="K76" s="401"/>
      <c r="L76" s="401"/>
      <c r="M76" s="208">
        <f t="shared" si="0"/>
        <v>0</v>
      </c>
      <c r="N76" s="400"/>
      <c r="O76" s="400"/>
      <c r="P76" s="402"/>
      <c r="Q76" s="402"/>
      <c r="R76" s="402"/>
      <c r="S76" s="402"/>
      <c r="T76" s="403">
        <f t="shared" si="1"/>
        <v>0</v>
      </c>
      <c r="U76" s="209"/>
      <c r="V76" s="400"/>
      <c r="W76" s="400"/>
      <c r="X76" s="203"/>
      <c r="Y76" s="203"/>
      <c r="Z76" s="203"/>
    </row>
    <row r="77" spans="1:26" ht="25.5" customHeight="1">
      <c r="A77" s="206"/>
      <c r="B77" s="207"/>
      <c r="C77" s="206"/>
      <c r="D77" s="207"/>
      <c r="E77" s="207"/>
      <c r="F77" s="207"/>
      <c r="G77" s="400"/>
      <c r="H77" s="400"/>
      <c r="I77" s="400"/>
      <c r="J77" s="400"/>
      <c r="K77" s="401"/>
      <c r="L77" s="401"/>
      <c r="M77" s="208">
        <f t="shared" si="0"/>
        <v>0</v>
      </c>
      <c r="N77" s="400"/>
      <c r="O77" s="400"/>
      <c r="P77" s="402"/>
      <c r="Q77" s="402"/>
      <c r="R77" s="402"/>
      <c r="S77" s="402"/>
      <c r="T77" s="403">
        <f t="shared" si="1"/>
        <v>0</v>
      </c>
      <c r="U77" s="209"/>
      <c r="V77" s="400"/>
      <c r="W77" s="400"/>
      <c r="X77" s="203"/>
      <c r="Y77" s="203"/>
      <c r="Z77" s="203"/>
    </row>
    <row r="78" spans="1:26" ht="25.5" customHeight="1">
      <c r="A78" s="206"/>
      <c r="B78" s="207"/>
      <c r="C78" s="206"/>
      <c r="D78" s="207"/>
      <c r="E78" s="207"/>
      <c r="F78" s="207"/>
      <c r="G78" s="400"/>
      <c r="H78" s="400"/>
      <c r="I78" s="400"/>
      <c r="J78" s="400"/>
      <c r="K78" s="401"/>
      <c r="L78" s="401"/>
      <c r="M78" s="208">
        <f t="shared" si="0"/>
        <v>0</v>
      </c>
      <c r="N78" s="400"/>
      <c r="O78" s="400"/>
      <c r="P78" s="402"/>
      <c r="Q78" s="402"/>
      <c r="R78" s="402"/>
      <c r="S78" s="402"/>
      <c r="T78" s="403">
        <f t="shared" si="1"/>
        <v>0</v>
      </c>
      <c r="U78" s="209"/>
      <c r="V78" s="400"/>
      <c r="W78" s="400"/>
      <c r="X78" s="203"/>
      <c r="Y78" s="203"/>
      <c r="Z78" s="203"/>
    </row>
    <row r="79" spans="1:26" ht="25.5" customHeight="1">
      <c r="A79" s="206"/>
      <c r="B79" s="207"/>
      <c r="C79" s="206"/>
      <c r="D79" s="207"/>
      <c r="E79" s="207"/>
      <c r="F79" s="207"/>
      <c r="G79" s="400"/>
      <c r="H79" s="400"/>
      <c r="I79" s="400"/>
      <c r="J79" s="400"/>
      <c r="K79" s="401"/>
      <c r="L79" s="401"/>
      <c r="M79" s="208">
        <f t="shared" si="0"/>
        <v>0</v>
      </c>
      <c r="N79" s="400"/>
      <c r="O79" s="400"/>
      <c r="P79" s="402"/>
      <c r="Q79" s="402"/>
      <c r="R79" s="402"/>
      <c r="S79" s="402"/>
      <c r="T79" s="403">
        <f t="shared" si="1"/>
        <v>0</v>
      </c>
      <c r="U79" s="209"/>
      <c r="V79" s="400"/>
      <c r="W79" s="400"/>
      <c r="X79" s="203"/>
      <c r="Y79" s="203"/>
      <c r="Z79" s="203"/>
    </row>
    <row r="80" spans="1:26" ht="25.5" customHeight="1">
      <c r="A80" s="206"/>
      <c r="B80" s="207"/>
      <c r="C80" s="206"/>
      <c r="D80" s="207"/>
      <c r="E80" s="207"/>
      <c r="F80" s="207"/>
      <c r="G80" s="400"/>
      <c r="H80" s="400"/>
      <c r="I80" s="400"/>
      <c r="J80" s="400"/>
      <c r="K80" s="401"/>
      <c r="L80" s="401"/>
      <c r="M80" s="208">
        <f t="shared" si="0"/>
        <v>0</v>
      </c>
      <c r="N80" s="400"/>
      <c r="O80" s="400"/>
      <c r="P80" s="402"/>
      <c r="Q80" s="402"/>
      <c r="R80" s="402"/>
      <c r="S80" s="402"/>
      <c r="T80" s="403">
        <f t="shared" si="1"/>
        <v>0</v>
      </c>
      <c r="U80" s="209"/>
      <c r="V80" s="400"/>
      <c r="W80" s="400"/>
      <c r="X80" s="203"/>
      <c r="Y80" s="203"/>
      <c r="Z80" s="203"/>
    </row>
    <row r="81" spans="1:26" ht="25.5" customHeight="1">
      <c r="A81" s="206"/>
      <c r="B81" s="207"/>
      <c r="C81" s="206"/>
      <c r="D81" s="207"/>
      <c r="E81" s="207"/>
      <c r="F81" s="207"/>
      <c r="G81" s="400"/>
      <c r="H81" s="400"/>
      <c r="I81" s="400"/>
      <c r="J81" s="400"/>
      <c r="K81" s="401"/>
      <c r="L81" s="401"/>
      <c r="M81" s="208">
        <f t="shared" si="0"/>
        <v>0</v>
      </c>
      <c r="N81" s="400"/>
      <c r="O81" s="400"/>
      <c r="P81" s="402"/>
      <c r="Q81" s="402"/>
      <c r="R81" s="402"/>
      <c r="S81" s="402"/>
      <c r="T81" s="403">
        <f t="shared" si="1"/>
        <v>0</v>
      </c>
      <c r="U81" s="209"/>
      <c r="V81" s="400"/>
      <c r="W81" s="400"/>
      <c r="X81" s="203"/>
      <c r="Y81" s="203"/>
      <c r="Z81" s="203"/>
    </row>
    <row r="82" spans="1:26" ht="25.5" customHeight="1">
      <c r="A82" s="206"/>
      <c r="B82" s="207"/>
      <c r="C82" s="206"/>
      <c r="D82" s="207"/>
      <c r="E82" s="207"/>
      <c r="F82" s="207"/>
      <c r="G82" s="400"/>
      <c r="H82" s="400"/>
      <c r="I82" s="400"/>
      <c r="J82" s="400"/>
      <c r="K82" s="401"/>
      <c r="L82" s="401"/>
      <c r="M82" s="208">
        <f t="shared" si="0"/>
        <v>0</v>
      </c>
      <c r="N82" s="400"/>
      <c r="O82" s="400"/>
      <c r="P82" s="402"/>
      <c r="Q82" s="402"/>
      <c r="R82" s="402"/>
      <c r="S82" s="402"/>
      <c r="T82" s="403">
        <f t="shared" si="1"/>
        <v>0</v>
      </c>
      <c r="U82" s="209"/>
      <c r="V82" s="400"/>
      <c r="W82" s="400"/>
      <c r="X82" s="203"/>
      <c r="Y82" s="203"/>
      <c r="Z82" s="203"/>
    </row>
    <row r="83" spans="1:26" ht="25.5" customHeight="1">
      <c r="A83" s="206"/>
      <c r="B83" s="207"/>
      <c r="C83" s="206"/>
      <c r="D83" s="207"/>
      <c r="E83" s="207"/>
      <c r="F83" s="207"/>
      <c r="G83" s="400"/>
      <c r="H83" s="400"/>
      <c r="I83" s="400"/>
      <c r="J83" s="400"/>
      <c r="K83" s="401"/>
      <c r="L83" s="401"/>
      <c r="M83" s="208">
        <f t="shared" si="0"/>
        <v>0</v>
      </c>
      <c r="N83" s="400"/>
      <c r="O83" s="400"/>
      <c r="P83" s="402"/>
      <c r="Q83" s="402"/>
      <c r="R83" s="402"/>
      <c r="S83" s="402"/>
      <c r="T83" s="403">
        <f t="shared" si="1"/>
        <v>0</v>
      </c>
      <c r="U83" s="209"/>
      <c r="V83" s="400"/>
      <c r="W83" s="400"/>
      <c r="X83" s="203"/>
      <c r="Y83" s="203"/>
      <c r="Z83" s="203"/>
    </row>
    <row r="84" spans="1:26" ht="25.5" customHeight="1">
      <c r="A84" s="206"/>
      <c r="B84" s="207"/>
      <c r="C84" s="206"/>
      <c r="D84" s="207"/>
      <c r="E84" s="207"/>
      <c r="F84" s="207"/>
      <c r="G84" s="400"/>
      <c r="H84" s="400"/>
      <c r="I84" s="400"/>
      <c r="J84" s="400"/>
      <c r="K84" s="401"/>
      <c r="L84" s="401"/>
      <c r="M84" s="208">
        <f t="shared" si="0"/>
        <v>0</v>
      </c>
      <c r="N84" s="400"/>
      <c r="O84" s="400"/>
      <c r="P84" s="402"/>
      <c r="Q84" s="402"/>
      <c r="R84" s="402"/>
      <c r="S84" s="402"/>
      <c r="T84" s="403">
        <f t="shared" si="1"/>
        <v>0</v>
      </c>
      <c r="U84" s="209"/>
      <c r="V84" s="400"/>
      <c r="W84" s="400"/>
      <c r="X84" s="203"/>
      <c r="Y84" s="203"/>
      <c r="Z84" s="203"/>
    </row>
    <row r="85" spans="1:26" ht="25.5" customHeight="1">
      <c r="A85" s="206"/>
      <c r="B85" s="207"/>
      <c r="C85" s="206"/>
      <c r="D85" s="207"/>
      <c r="E85" s="207"/>
      <c r="F85" s="207"/>
      <c r="G85" s="400"/>
      <c r="H85" s="400"/>
      <c r="I85" s="400"/>
      <c r="J85" s="400"/>
      <c r="K85" s="401"/>
      <c r="L85" s="401"/>
      <c r="M85" s="208">
        <f t="shared" si="0"/>
        <v>0</v>
      </c>
      <c r="N85" s="400"/>
      <c r="O85" s="400"/>
      <c r="P85" s="402"/>
      <c r="Q85" s="402"/>
      <c r="R85" s="402"/>
      <c r="S85" s="402"/>
      <c r="T85" s="403">
        <f t="shared" si="1"/>
        <v>0</v>
      </c>
      <c r="U85" s="209"/>
      <c r="V85" s="400"/>
      <c r="W85" s="400"/>
      <c r="X85" s="203"/>
      <c r="Y85" s="203"/>
      <c r="Z85" s="203"/>
    </row>
    <row r="86" spans="1:26" ht="25.5" customHeight="1">
      <c r="A86" s="206"/>
      <c r="B86" s="207"/>
      <c r="C86" s="206"/>
      <c r="D86" s="207"/>
      <c r="E86" s="207"/>
      <c r="F86" s="207"/>
      <c r="G86" s="400"/>
      <c r="H86" s="400"/>
      <c r="I86" s="400"/>
      <c r="J86" s="400"/>
      <c r="K86" s="401"/>
      <c r="L86" s="401"/>
      <c r="M86" s="208">
        <f t="shared" si="0"/>
        <v>0</v>
      </c>
      <c r="N86" s="400"/>
      <c r="O86" s="400"/>
      <c r="P86" s="402"/>
      <c r="Q86" s="402"/>
      <c r="R86" s="402"/>
      <c r="S86" s="402"/>
      <c r="T86" s="403">
        <f t="shared" si="1"/>
        <v>0</v>
      </c>
      <c r="U86" s="209"/>
      <c r="V86" s="400"/>
      <c r="W86" s="400"/>
      <c r="X86" s="203"/>
      <c r="Y86" s="203"/>
      <c r="Z86" s="203"/>
    </row>
    <row r="87" spans="1:26" ht="25.5" customHeight="1">
      <c r="A87" s="206"/>
      <c r="B87" s="207"/>
      <c r="C87" s="206"/>
      <c r="D87" s="207"/>
      <c r="E87" s="207"/>
      <c r="F87" s="207"/>
      <c r="G87" s="400"/>
      <c r="H87" s="400"/>
      <c r="I87" s="400"/>
      <c r="J87" s="400"/>
      <c r="K87" s="401"/>
      <c r="L87" s="401"/>
      <c r="M87" s="208">
        <f t="shared" si="0"/>
        <v>0</v>
      </c>
      <c r="N87" s="400"/>
      <c r="O87" s="400"/>
      <c r="P87" s="402"/>
      <c r="Q87" s="402"/>
      <c r="R87" s="402"/>
      <c r="S87" s="402"/>
      <c r="T87" s="403">
        <f t="shared" si="1"/>
        <v>0</v>
      </c>
      <c r="U87" s="209"/>
      <c r="V87" s="400"/>
      <c r="W87" s="400"/>
      <c r="X87" s="203"/>
      <c r="Y87" s="203"/>
      <c r="Z87" s="203"/>
    </row>
    <row r="88" spans="1:26" ht="25.5" customHeight="1">
      <c r="A88" s="206"/>
      <c r="B88" s="207"/>
      <c r="C88" s="206"/>
      <c r="D88" s="207"/>
      <c r="E88" s="207"/>
      <c r="F88" s="207"/>
      <c r="G88" s="400"/>
      <c r="H88" s="400"/>
      <c r="I88" s="400"/>
      <c r="J88" s="400"/>
      <c r="K88" s="401"/>
      <c r="L88" s="401"/>
      <c r="M88" s="208">
        <f t="shared" si="0"/>
        <v>0</v>
      </c>
      <c r="N88" s="400"/>
      <c r="O88" s="400"/>
      <c r="P88" s="402"/>
      <c r="Q88" s="402"/>
      <c r="R88" s="402"/>
      <c r="S88" s="402"/>
      <c r="T88" s="403">
        <f t="shared" si="1"/>
        <v>0</v>
      </c>
      <c r="U88" s="209"/>
      <c r="V88" s="400"/>
      <c r="W88" s="400"/>
      <c r="X88" s="203"/>
      <c r="Y88" s="203"/>
      <c r="Z88" s="203"/>
    </row>
    <row r="89" spans="1:26" ht="25.5" customHeight="1">
      <c r="A89" s="206"/>
      <c r="B89" s="207"/>
      <c r="C89" s="206"/>
      <c r="D89" s="207"/>
      <c r="E89" s="207"/>
      <c r="F89" s="207"/>
      <c r="G89" s="400"/>
      <c r="H89" s="400"/>
      <c r="I89" s="400"/>
      <c r="J89" s="400"/>
      <c r="K89" s="401"/>
      <c r="L89" s="401"/>
      <c r="M89" s="208">
        <f t="shared" si="0"/>
        <v>0</v>
      </c>
      <c r="N89" s="400"/>
      <c r="O89" s="400"/>
      <c r="P89" s="402"/>
      <c r="Q89" s="402"/>
      <c r="R89" s="402"/>
      <c r="S89" s="402"/>
      <c r="T89" s="403">
        <f t="shared" si="1"/>
        <v>0</v>
      </c>
      <c r="U89" s="209"/>
      <c r="V89" s="400"/>
      <c r="W89" s="400"/>
      <c r="X89" s="203"/>
      <c r="Y89" s="203"/>
      <c r="Z89" s="203"/>
    </row>
    <row r="90" spans="1:26" ht="25.5" customHeight="1">
      <c r="A90" s="206"/>
      <c r="B90" s="207"/>
      <c r="C90" s="206"/>
      <c r="D90" s="207"/>
      <c r="E90" s="207"/>
      <c r="F90" s="207"/>
      <c r="G90" s="400"/>
      <c r="H90" s="400"/>
      <c r="I90" s="400"/>
      <c r="J90" s="400"/>
      <c r="K90" s="401"/>
      <c r="L90" s="401"/>
      <c r="M90" s="208">
        <f t="shared" si="0"/>
        <v>0</v>
      </c>
      <c r="N90" s="400"/>
      <c r="O90" s="400"/>
      <c r="P90" s="402"/>
      <c r="Q90" s="402"/>
      <c r="R90" s="402"/>
      <c r="S90" s="402"/>
      <c r="T90" s="403">
        <f t="shared" si="1"/>
        <v>0</v>
      </c>
      <c r="U90" s="209"/>
      <c r="V90" s="400"/>
      <c r="W90" s="400"/>
      <c r="X90" s="203"/>
      <c r="Y90" s="203"/>
      <c r="Z90" s="203"/>
    </row>
    <row r="91" spans="1:26" ht="25.5" customHeight="1">
      <c r="A91" s="206"/>
      <c r="B91" s="207"/>
      <c r="C91" s="206"/>
      <c r="D91" s="207"/>
      <c r="E91" s="207"/>
      <c r="F91" s="207"/>
      <c r="G91" s="400"/>
      <c r="H91" s="400"/>
      <c r="I91" s="400"/>
      <c r="J91" s="400"/>
      <c r="K91" s="401"/>
      <c r="L91" s="401"/>
      <c r="M91" s="208">
        <f t="shared" si="0"/>
        <v>0</v>
      </c>
      <c r="N91" s="400"/>
      <c r="O91" s="400"/>
      <c r="P91" s="402"/>
      <c r="Q91" s="402"/>
      <c r="R91" s="402"/>
      <c r="S91" s="402"/>
      <c r="T91" s="403">
        <f t="shared" si="1"/>
        <v>0</v>
      </c>
      <c r="U91" s="209"/>
      <c r="V91" s="400"/>
      <c r="W91" s="400"/>
      <c r="X91" s="203"/>
      <c r="Y91" s="203"/>
      <c r="Z91" s="203"/>
    </row>
    <row r="92" spans="1:26" ht="25.5" customHeight="1">
      <c r="A92" s="206"/>
      <c r="B92" s="207"/>
      <c r="C92" s="206"/>
      <c r="D92" s="207"/>
      <c r="E92" s="207"/>
      <c r="F92" s="207"/>
      <c r="G92" s="400"/>
      <c r="H92" s="400"/>
      <c r="I92" s="400"/>
      <c r="J92" s="400"/>
      <c r="K92" s="401"/>
      <c r="L92" s="401"/>
      <c r="M92" s="208">
        <f t="shared" si="0"/>
        <v>0</v>
      </c>
      <c r="N92" s="400"/>
      <c r="O92" s="400"/>
      <c r="P92" s="402"/>
      <c r="Q92" s="402"/>
      <c r="R92" s="402"/>
      <c r="S92" s="402"/>
      <c r="T92" s="403">
        <f t="shared" si="1"/>
        <v>0</v>
      </c>
      <c r="U92" s="209"/>
      <c r="V92" s="400"/>
      <c r="W92" s="400"/>
      <c r="X92" s="203"/>
      <c r="Y92" s="203"/>
      <c r="Z92" s="203"/>
    </row>
    <row r="93" spans="1:26" ht="25.5" customHeight="1">
      <c r="A93" s="206"/>
      <c r="B93" s="207"/>
      <c r="C93" s="206"/>
      <c r="D93" s="207"/>
      <c r="E93" s="207"/>
      <c r="F93" s="207"/>
      <c r="G93" s="400"/>
      <c r="H93" s="400"/>
      <c r="I93" s="400"/>
      <c r="J93" s="400"/>
      <c r="K93" s="401"/>
      <c r="L93" s="401"/>
      <c r="M93" s="208">
        <f t="shared" si="0"/>
        <v>0</v>
      </c>
      <c r="N93" s="400"/>
      <c r="O93" s="400"/>
      <c r="P93" s="402"/>
      <c r="Q93" s="402"/>
      <c r="R93" s="402"/>
      <c r="S93" s="402"/>
      <c r="T93" s="403">
        <f t="shared" si="1"/>
        <v>0</v>
      </c>
      <c r="U93" s="209"/>
      <c r="V93" s="400"/>
      <c r="W93" s="400"/>
      <c r="X93" s="203"/>
      <c r="Y93" s="203"/>
      <c r="Z93" s="203"/>
    </row>
    <row r="94" spans="1:26" ht="25.5" customHeight="1">
      <c r="A94" s="206"/>
      <c r="B94" s="207"/>
      <c r="C94" s="206"/>
      <c r="D94" s="207"/>
      <c r="E94" s="207"/>
      <c r="F94" s="207"/>
      <c r="G94" s="400"/>
      <c r="H94" s="400"/>
      <c r="I94" s="400"/>
      <c r="J94" s="400"/>
      <c r="K94" s="401"/>
      <c r="L94" s="401"/>
      <c r="M94" s="208">
        <f t="shared" si="0"/>
        <v>0</v>
      </c>
      <c r="N94" s="400"/>
      <c r="O94" s="400"/>
      <c r="P94" s="402"/>
      <c r="Q94" s="402"/>
      <c r="R94" s="402"/>
      <c r="S94" s="402"/>
      <c r="T94" s="403">
        <f t="shared" si="1"/>
        <v>0</v>
      </c>
      <c r="U94" s="209"/>
      <c r="V94" s="400"/>
      <c r="W94" s="400"/>
      <c r="X94" s="203"/>
      <c r="Y94" s="203"/>
      <c r="Z94" s="203"/>
    </row>
    <row r="95" spans="1:26" ht="25.5" customHeight="1">
      <c r="A95" s="206"/>
      <c r="B95" s="207"/>
      <c r="C95" s="206"/>
      <c r="D95" s="207"/>
      <c r="E95" s="207"/>
      <c r="F95" s="207"/>
      <c r="G95" s="400"/>
      <c r="H95" s="400"/>
      <c r="I95" s="400"/>
      <c r="J95" s="400"/>
      <c r="K95" s="401"/>
      <c r="L95" s="401"/>
      <c r="M95" s="208">
        <f t="shared" si="0"/>
        <v>0</v>
      </c>
      <c r="N95" s="400"/>
      <c r="O95" s="400"/>
      <c r="P95" s="402"/>
      <c r="Q95" s="402"/>
      <c r="R95" s="402"/>
      <c r="S95" s="402"/>
      <c r="T95" s="403">
        <f t="shared" si="1"/>
        <v>0</v>
      </c>
      <c r="U95" s="209"/>
      <c r="V95" s="400"/>
      <c r="W95" s="400"/>
      <c r="X95" s="203"/>
      <c r="Y95" s="203"/>
      <c r="Z95" s="203"/>
    </row>
    <row r="96" spans="1:26" ht="25.5" customHeight="1">
      <c r="A96" s="206"/>
      <c r="B96" s="207"/>
      <c r="C96" s="206"/>
      <c r="D96" s="207"/>
      <c r="E96" s="207"/>
      <c r="F96" s="207"/>
      <c r="G96" s="400"/>
      <c r="H96" s="400"/>
      <c r="I96" s="400"/>
      <c r="J96" s="400"/>
      <c r="K96" s="401"/>
      <c r="L96" s="401"/>
      <c r="M96" s="208">
        <f t="shared" si="0"/>
        <v>0</v>
      </c>
      <c r="N96" s="400"/>
      <c r="O96" s="400"/>
      <c r="P96" s="402"/>
      <c r="Q96" s="402"/>
      <c r="R96" s="402"/>
      <c r="S96" s="402"/>
      <c r="T96" s="403">
        <f t="shared" si="1"/>
        <v>0</v>
      </c>
      <c r="U96" s="209"/>
      <c r="V96" s="400"/>
      <c r="W96" s="400"/>
      <c r="X96" s="203"/>
      <c r="Y96" s="203"/>
      <c r="Z96" s="203"/>
    </row>
    <row r="97" spans="1:26" ht="25.5" customHeight="1">
      <c r="A97" s="206"/>
      <c r="B97" s="207"/>
      <c r="C97" s="206"/>
      <c r="D97" s="207"/>
      <c r="E97" s="207"/>
      <c r="F97" s="207"/>
      <c r="G97" s="400"/>
      <c r="H97" s="400"/>
      <c r="I97" s="400"/>
      <c r="J97" s="400"/>
      <c r="K97" s="401"/>
      <c r="L97" s="401"/>
      <c r="M97" s="208">
        <f t="shared" si="0"/>
        <v>0</v>
      </c>
      <c r="N97" s="400"/>
      <c r="O97" s="400"/>
      <c r="P97" s="402"/>
      <c r="Q97" s="402"/>
      <c r="R97" s="402"/>
      <c r="S97" s="402"/>
      <c r="T97" s="403">
        <f t="shared" si="1"/>
        <v>0</v>
      </c>
      <c r="U97" s="209"/>
      <c r="V97" s="400"/>
      <c r="W97" s="400"/>
      <c r="X97" s="203"/>
      <c r="Y97" s="203"/>
      <c r="Z97" s="203"/>
    </row>
    <row r="98" spans="1:26" ht="25.5" customHeight="1">
      <c r="A98" s="206"/>
      <c r="B98" s="207"/>
      <c r="C98" s="206"/>
      <c r="D98" s="207"/>
      <c r="E98" s="207"/>
      <c r="F98" s="207"/>
      <c r="G98" s="400"/>
      <c r="H98" s="400"/>
      <c r="I98" s="400"/>
      <c r="J98" s="400"/>
      <c r="K98" s="401"/>
      <c r="L98" s="401"/>
      <c r="M98" s="208">
        <f t="shared" si="0"/>
        <v>0</v>
      </c>
      <c r="N98" s="400"/>
      <c r="O98" s="400"/>
      <c r="P98" s="402"/>
      <c r="Q98" s="402"/>
      <c r="R98" s="402"/>
      <c r="S98" s="402"/>
      <c r="T98" s="403">
        <f t="shared" si="1"/>
        <v>0</v>
      </c>
      <c r="U98" s="209"/>
      <c r="V98" s="400"/>
      <c r="W98" s="400"/>
      <c r="X98" s="203"/>
      <c r="Y98" s="203"/>
      <c r="Z98" s="203"/>
    </row>
    <row r="99" spans="1:26" ht="25.5" customHeight="1">
      <c r="A99" s="206"/>
      <c r="B99" s="207"/>
      <c r="C99" s="206"/>
      <c r="D99" s="207"/>
      <c r="E99" s="207"/>
      <c r="F99" s="207"/>
      <c r="G99" s="400"/>
      <c r="H99" s="400"/>
      <c r="I99" s="400"/>
      <c r="J99" s="400"/>
      <c r="K99" s="401"/>
      <c r="L99" s="401"/>
      <c r="M99" s="208">
        <f t="shared" si="0"/>
        <v>0</v>
      </c>
      <c r="N99" s="400"/>
      <c r="O99" s="400"/>
      <c r="P99" s="402"/>
      <c r="Q99" s="402"/>
      <c r="R99" s="402"/>
      <c r="S99" s="402"/>
      <c r="T99" s="403">
        <f t="shared" si="1"/>
        <v>0</v>
      </c>
      <c r="U99" s="209"/>
      <c r="V99" s="400"/>
      <c r="W99" s="400"/>
      <c r="X99" s="203"/>
      <c r="Y99" s="203"/>
      <c r="Z99" s="203"/>
    </row>
    <row r="100" spans="1:26" ht="25.5" customHeight="1">
      <c r="A100" s="206"/>
      <c r="B100" s="207"/>
      <c r="C100" s="206"/>
      <c r="D100" s="207"/>
      <c r="E100" s="207"/>
      <c r="F100" s="207"/>
      <c r="G100" s="400"/>
      <c r="H100" s="400"/>
      <c r="I100" s="400"/>
      <c r="J100" s="400"/>
      <c r="K100" s="401"/>
      <c r="L100" s="401"/>
      <c r="M100" s="208">
        <f t="shared" si="0"/>
        <v>0</v>
      </c>
      <c r="N100" s="400"/>
      <c r="O100" s="400"/>
      <c r="P100" s="402"/>
      <c r="Q100" s="402"/>
      <c r="R100" s="402"/>
      <c r="S100" s="402"/>
      <c r="T100" s="403">
        <f t="shared" si="1"/>
        <v>0</v>
      </c>
      <c r="U100" s="209"/>
      <c r="V100" s="400"/>
      <c r="W100" s="400"/>
      <c r="X100" s="203"/>
      <c r="Y100" s="203"/>
      <c r="Z100" s="203"/>
    </row>
    <row r="101" spans="1:26" ht="25.5" customHeight="1">
      <c r="A101" s="206"/>
      <c r="B101" s="207"/>
      <c r="C101" s="206"/>
      <c r="D101" s="207"/>
      <c r="E101" s="207"/>
      <c r="F101" s="207"/>
      <c r="G101" s="400"/>
      <c r="H101" s="400"/>
      <c r="I101" s="400"/>
      <c r="J101" s="400"/>
      <c r="K101" s="401"/>
      <c r="L101" s="401"/>
      <c r="M101" s="208">
        <f t="shared" si="0"/>
        <v>0</v>
      </c>
      <c r="N101" s="400"/>
      <c r="O101" s="400"/>
      <c r="P101" s="402"/>
      <c r="Q101" s="402"/>
      <c r="R101" s="402"/>
      <c r="S101" s="402"/>
      <c r="T101" s="403">
        <f t="shared" si="1"/>
        <v>0</v>
      </c>
      <c r="U101" s="209"/>
      <c r="V101" s="400"/>
      <c r="W101" s="400"/>
      <c r="X101" s="203"/>
      <c r="Y101" s="203"/>
      <c r="Z101" s="203"/>
    </row>
    <row r="102" spans="1:26" ht="25.5" customHeight="1">
      <c r="A102" s="206"/>
      <c r="B102" s="207"/>
      <c r="C102" s="206"/>
      <c r="D102" s="207"/>
      <c r="E102" s="207"/>
      <c r="F102" s="207"/>
      <c r="G102" s="400"/>
      <c r="H102" s="400"/>
      <c r="I102" s="400"/>
      <c r="J102" s="400"/>
      <c r="K102" s="401"/>
      <c r="L102" s="401"/>
      <c r="M102" s="208">
        <f t="shared" si="0"/>
        <v>0</v>
      </c>
      <c r="N102" s="400"/>
      <c r="O102" s="400"/>
      <c r="P102" s="402"/>
      <c r="Q102" s="402"/>
      <c r="R102" s="402"/>
      <c r="S102" s="402"/>
      <c r="T102" s="403">
        <f t="shared" si="1"/>
        <v>0</v>
      </c>
      <c r="U102" s="209"/>
      <c r="V102" s="400"/>
      <c r="W102" s="400"/>
      <c r="X102" s="203"/>
      <c r="Y102" s="203"/>
      <c r="Z102" s="203"/>
    </row>
    <row r="103" spans="1:26" ht="25.5" customHeight="1">
      <c r="A103" s="206"/>
      <c r="B103" s="207"/>
      <c r="C103" s="206"/>
      <c r="D103" s="207"/>
      <c r="E103" s="207"/>
      <c r="F103" s="207"/>
      <c r="G103" s="400"/>
      <c r="H103" s="400"/>
      <c r="I103" s="400"/>
      <c r="J103" s="400"/>
      <c r="K103" s="401"/>
      <c r="L103" s="401"/>
      <c r="M103" s="208">
        <f t="shared" si="0"/>
        <v>0</v>
      </c>
      <c r="N103" s="400"/>
      <c r="O103" s="400"/>
      <c r="P103" s="402"/>
      <c r="Q103" s="402"/>
      <c r="R103" s="402"/>
      <c r="S103" s="402"/>
      <c r="T103" s="403">
        <f t="shared" si="1"/>
        <v>0</v>
      </c>
      <c r="U103" s="209"/>
      <c r="V103" s="400"/>
      <c r="W103" s="400"/>
      <c r="X103" s="203"/>
      <c r="Y103" s="203"/>
      <c r="Z103" s="203"/>
    </row>
    <row r="104" spans="1:26" ht="25.5" customHeight="1">
      <c r="A104" s="206"/>
      <c r="B104" s="207"/>
      <c r="C104" s="206"/>
      <c r="D104" s="207"/>
      <c r="E104" s="207"/>
      <c r="F104" s="207"/>
      <c r="G104" s="400"/>
      <c r="H104" s="400"/>
      <c r="I104" s="400"/>
      <c r="J104" s="400"/>
      <c r="K104" s="401"/>
      <c r="L104" s="401"/>
      <c r="M104" s="208">
        <f t="shared" si="0"/>
        <v>0</v>
      </c>
      <c r="N104" s="400"/>
      <c r="O104" s="400"/>
      <c r="P104" s="402"/>
      <c r="Q104" s="402"/>
      <c r="R104" s="402"/>
      <c r="S104" s="402"/>
      <c r="T104" s="403">
        <f t="shared" si="1"/>
        <v>0</v>
      </c>
      <c r="U104" s="209"/>
      <c r="V104" s="400"/>
      <c r="W104" s="400"/>
      <c r="X104" s="203"/>
      <c r="Y104" s="203"/>
      <c r="Z104" s="203"/>
    </row>
    <row r="105" spans="1:26" ht="25.5" customHeight="1">
      <c r="A105" s="206"/>
      <c r="B105" s="207"/>
      <c r="C105" s="206"/>
      <c r="D105" s="207"/>
      <c r="E105" s="207"/>
      <c r="F105" s="207"/>
      <c r="G105" s="400"/>
      <c r="H105" s="400"/>
      <c r="I105" s="400"/>
      <c r="J105" s="400"/>
      <c r="K105" s="401"/>
      <c r="L105" s="401"/>
      <c r="M105" s="208">
        <f t="shared" si="0"/>
        <v>0</v>
      </c>
      <c r="N105" s="400"/>
      <c r="O105" s="400"/>
      <c r="P105" s="402"/>
      <c r="Q105" s="402"/>
      <c r="R105" s="402"/>
      <c r="S105" s="402"/>
      <c r="T105" s="403">
        <f t="shared" si="1"/>
        <v>0</v>
      </c>
      <c r="U105" s="209"/>
      <c r="V105" s="400"/>
      <c r="W105" s="400"/>
      <c r="X105" s="203"/>
      <c r="Y105" s="203"/>
      <c r="Z105" s="203"/>
    </row>
    <row r="106" spans="1:26" ht="25.5" customHeight="1">
      <c r="A106" s="206"/>
      <c r="B106" s="207"/>
      <c r="C106" s="206"/>
      <c r="D106" s="207"/>
      <c r="E106" s="207"/>
      <c r="F106" s="207"/>
      <c r="G106" s="400"/>
      <c r="H106" s="400"/>
      <c r="I106" s="400"/>
      <c r="J106" s="400"/>
      <c r="K106" s="401"/>
      <c r="L106" s="401"/>
      <c r="M106" s="208">
        <f t="shared" si="0"/>
        <v>0</v>
      </c>
      <c r="N106" s="400"/>
      <c r="O106" s="400"/>
      <c r="P106" s="402"/>
      <c r="Q106" s="402"/>
      <c r="R106" s="402"/>
      <c r="S106" s="402"/>
      <c r="T106" s="403">
        <f t="shared" si="1"/>
        <v>0</v>
      </c>
      <c r="U106" s="209"/>
      <c r="V106" s="400"/>
      <c r="W106" s="400"/>
      <c r="X106" s="203"/>
      <c r="Y106" s="203"/>
      <c r="Z106" s="203"/>
    </row>
    <row r="107" spans="1:26" ht="25.5" customHeight="1">
      <c r="A107" s="206"/>
      <c r="B107" s="207"/>
      <c r="C107" s="206"/>
      <c r="D107" s="207"/>
      <c r="E107" s="207"/>
      <c r="F107" s="207"/>
      <c r="G107" s="400"/>
      <c r="H107" s="400"/>
      <c r="I107" s="400"/>
      <c r="J107" s="400"/>
      <c r="K107" s="401"/>
      <c r="L107" s="401"/>
      <c r="M107" s="208">
        <f t="shared" si="0"/>
        <v>0</v>
      </c>
      <c r="N107" s="400"/>
      <c r="O107" s="400"/>
      <c r="P107" s="402"/>
      <c r="Q107" s="402"/>
      <c r="R107" s="402"/>
      <c r="S107" s="402"/>
      <c r="T107" s="403">
        <f t="shared" si="1"/>
        <v>0</v>
      </c>
      <c r="U107" s="209"/>
      <c r="V107" s="400"/>
      <c r="W107" s="400"/>
      <c r="X107" s="203"/>
      <c r="Y107" s="203"/>
      <c r="Z107" s="203"/>
    </row>
    <row r="108" spans="1:26" ht="25.5" customHeight="1">
      <c r="A108" s="206"/>
      <c r="B108" s="207"/>
      <c r="C108" s="206"/>
      <c r="D108" s="207"/>
      <c r="E108" s="207"/>
      <c r="F108" s="207"/>
      <c r="G108" s="400"/>
      <c r="H108" s="400"/>
      <c r="I108" s="400"/>
      <c r="J108" s="400"/>
      <c r="K108" s="401"/>
      <c r="L108" s="401"/>
      <c r="M108" s="208">
        <f t="shared" si="0"/>
        <v>0</v>
      </c>
      <c r="N108" s="400"/>
      <c r="O108" s="400"/>
      <c r="P108" s="402"/>
      <c r="Q108" s="402"/>
      <c r="R108" s="402"/>
      <c r="S108" s="402"/>
      <c r="T108" s="403">
        <f t="shared" si="1"/>
        <v>0</v>
      </c>
      <c r="U108" s="209"/>
      <c r="V108" s="400"/>
      <c r="W108" s="400"/>
      <c r="X108" s="203"/>
      <c r="Y108" s="203"/>
      <c r="Z108" s="203"/>
    </row>
    <row r="109" spans="1:26" ht="25.5" customHeight="1">
      <c r="A109" s="206"/>
      <c r="B109" s="207"/>
      <c r="C109" s="206"/>
      <c r="D109" s="207"/>
      <c r="E109" s="207"/>
      <c r="F109" s="207"/>
      <c r="G109" s="400"/>
      <c r="H109" s="400"/>
      <c r="I109" s="400"/>
      <c r="J109" s="400"/>
      <c r="K109" s="401"/>
      <c r="L109" s="401"/>
      <c r="M109" s="208">
        <f t="shared" si="0"/>
        <v>0</v>
      </c>
      <c r="N109" s="400"/>
      <c r="O109" s="400"/>
      <c r="P109" s="402"/>
      <c r="Q109" s="402"/>
      <c r="R109" s="402"/>
      <c r="S109" s="402"/>
      <c r="T109" s="403">
        <f t="shared" si="1"/>
        <v>0</v>
      </c>
      <c r="U109" s="209"/>
      <c r="V109" s="400"/>
      <c r="W109" s="400"/>
      <c r="X109" s="203"/>
      <c r="Y109" s="203"/>
      <c r="Z109" s="203"/>
    </row>
    <row r="110" spans="1:26" ht="25.5" customHeight="1">
      <c r="A110" s="206"/>
      <c r="B110" s="207"/>
      <c r="C110" s="206"/>
      <c r="D110" s="207"/>
      <c r="E110" s="207"/>
      <c r="F110" s="207"/>
      <c r="G110" s="400"/>
      <c r="H110" s="400"/>
      <c r="I110" s="400"/>
      <c r="J110" s="400"/>
      <c r="K110" s="401"/>
      <c r="L110" s="401"/>
      <c r="M110" s="208">
        <f t="shared" si="0"/>
        <v>0</v>
      </c>
      <c r="N110" s="400"/>
      <c r="O110" s="400"/>
      <c r="P110" s="402"/>
      <c r="Q110" s="402"/>
      <c r="R110" s="402"/>
      <c r="S110" s="402"/>
      <c r="T110" s="403">
        <f t="shared" si="1"/>
        <v>0</v>
      </c>
      <c r="U110" s="209"/>
      <c r="V110" s="400"/>
      <c r="W110" s="400"/>
      <c r="X110" s="203"/>
      <c r="Y110" s="203"/>
      <c r="Z110" s="203"/>
    </row>
    <row r="111" spans="1:26" ht="25.5" customHeight="1">
      <c r="A111" s="206"/>
      <c r="B111" s="207"/>
      <c r="C111" s="206"/>
      <c r="D111" s="207"/>
      <c r="E111" s="207"/>
      <c r="F111" s="207"/>
      <c r="G111" s="400"/>
      <c r="H111" s="400"/>
      <c r="I111" s="400"/>
      <c r="J111" s="400"/>
      <c r="K111" s="401"/>
      <c r="L111" s="401"/>
      <c r="M111" s="208">
        <f t="shared" si="0"/>
        <v>0</v>
      </c>
      <c r="N111" s="400"/>
      <c r="O111" s="400"/>
      <c r="P111" s="402"/>
      <c r="Q111" s="402"/>
      <c r="R111" s="402"/>
      <c r="S111" s="402"/>
      <c r="T111" s="403">
        <f t="shared" si="1"/>
        <v>0</v>
      </c>
      <c r="U111" s="209"/>
      <c r="V111" s="400"/>
      <c r="W111" s="400"/>
      <c r="X111" s="203"/>
      <c r="Y111" s="203"/>
      <c r="Z111" s="203"/>
    </row>
    <row r="112" spans="1:26" ht="25.5" customHeight="1">
      <c r="A112" s="206"/>
      <c r="B112" s="207"/>
      <c r="C112" s="206"/>
      <c r="D112" s="207"/>
      <c r="E112" s="207"/>
      <c r="F112" s="207"/>
      <c r="G112" s="400"/>
      <c r="H112" s="400"/>
      <c r="I112" s="400"/>
      <c r="J112" s="400"/>
      <c r="K112" s="401"/>
      <c r="L112" s="401"/>
      <c r="M112" s="208">
        <f t="shared" si="0"/>
        <v>0</v>
      </c>
      <c r="N112" s="400"/>
      <c r="O112" s="400"/>
      <c r="P112" s="402"/>
      <c r="Q112" s="402"/>
      <c r="R112" s="402"/>
      <c r="S112" s="402"/>
      <c r="T112" s="403">
        <f t="shared" si="1"/>
        <v>0</v>
      </c>
      <c r="U112" s="209"/>
      <c r="V112" s="400"/>
      <c r="W112" s="400"/>
      <c r="X112" s="203"/>
      <c r="Y112" s="203"/>
      <c r="Z112" s="203"/>
    </row>
    <row r="113" spans="1:26" ht="25.5" customHeight="1">
      <c r="A113" s="206"/>
      <c r="B113" s="207"/>
      <c r="C113" s="206"/>
      <c r="D113" s="207"/>
      <c r="E113" s="207"/>
      <c r="F113" s="207"/>
      <c r="G113" s="400"/>
      <c r="H113" s="400"/>
      <c r="I113" s="400"/>
      <c r="J113" s="400"/>
      <c r="K113" s="401"/>
      <c r="L113" s="401"/>
      <c r="M113" s="208">
        <f t="shared" si="0"/>
        <v>0</v>
      </c>
      <c r="N113" s="400"/>
      <c r="O113" s="400"/>
      <c r="P113" s="402"/>
      <c r="Q113" s="402"/>
      <c r="R113" s="402"/>
      <c r="S113" s="402"/>
      <c r="T113" s="403">
        <f t="shared" si="1"/>
        <v>0</v>
      </c>
      <c r="U113" s="209"/>
      <c r="V113" s="400"/>
      <c r="W113" s="400"/>
      <c r="X113" s="203"/>
      <c r="Y113" s="203"/>
      <c r="Z113" s="203"/>
    </row>
    <row r="114" spans="1:26" ht="25.5" customHeight="1">
      <c r="A114" s="206"/>
      <c r="B114" s="207"/>
      <c r="C114" s="206"/>
      <c r="D114" s="207"/>
      <c r="E114" s="207"/>
      <c r="F114" s="207"/>
      <c r="G114" s="400"/>
      <c r="H114" s="400"/>
      <c r="I114" s="400"/>
      <c r="J114" s="400"/>
      <c r="K114" s="401"/>
      <c r="L114" s="401"/>
      <c r="M114" s="208">
        <f t="shared" si="0"/>
        <v>0</v>
      </c>
      <c r="N114" s="400"/>
      <c r="O114" s="400"/>
      <c r="P114" s="402"/>
      <c r="Q114" s="402"/>
      <c r="R114" s="402"/>
      <c r="S114" s="402"/>
      <c r="T114" s="403">
        <f t="shared" si="1"/>
        <v>0</v>
      </c>
      <c r="U114" s="209"/>
      <c r="V114" s="400"/>
      <c r="W114" s="400"/>
      <c r="X114" s="203"/>
      <c r="Y114" s="203"/>
      <c r="Z114" s="203"/>
    </row>
    <row r="115" spans="1:26" ht="25.5" customHeight="1">
      <c r="A115" s="206"/>
      <c r="B115" s="207"/>
      <c r="C115" s="206"/>
      <c r="D115" s="207"/>
      <c r="E115" s="207"/>
      <c r="F115" s="207"/>
      <c r="G115" s="400"/>
      <c r="H115" s="400"/>
      <c r="I115" s="400"/>
      <c r="J115" s="400"/>
      <c r="K115" s="401"/>
      <c r="L115" s="401"/>
      <c r="M115" s="208">
        <f t="shared" si="0"/>
        <v>0</v>
      </c>
      <c r="N115" s="400"/>
      <c r="O115" s="400"/>
      <c r="P115" s="402"/>
      <c r="Q115" s="402"/>
      <c r="R115" s="402"/>
      <c r="S115" s="402"/>
      <c r="T115" s="403">
        <f t="shared" si="1"/>
        <v>0</v>
      </c>
      <c r="U115" s="209"/>
      <c r="V115" s="400"/>
      <c r="W115" s="400"/>
      <c r="X115" s="203"/>
      <c r="Y115" s="203"/>
      <c r="Z115" s="203"/>
    </row>
    <row r="116" spans="1:26" ht="25.5" customHeight="1">
      <c r="A116" s="206"/>
      <c r="B116" s="207"/>
      <c r="C116" s="206"/>
      <c r="D116" s="207"/>
      <c r="E116" s="207"/>
      <c r="F116" s="207"/>
      <c r="G116" s="400"/>
      <c r="H116" s="400"/>
      <c r="I116" s="400"/>
      <c r="J116" s="400"/>
      <c r="K116" s="401"/>
      <c r="L116" s="401"/>
      <c r="M116" s="208">
        <f t="shared" si="0"/>
        <v>0</v>
      </c>
      <c r="N116" s="400"/>
      <c r="O116" s="400"/>
      <c r="P116" s="402"/>
      <c r="Q116" s="402"/>
      <c r="R116" s="402"/>
      <c r="S116" s="402"/>
      <c r="T116" s="403">
        <f t="shared" si="1"/>
        <v>0</v>
      </c>
      <c r="U116" s="209"/>
      <c r="V116" s="400"/>
      <c r="W116" s="400"/>
      <c r="X116" s="203"/>
      <c r="Y116" s="203"/>
      <c r="Z116" s="203"/>
    </row>
    <row r="117" spans="1:26" ht="25.5" customHeight="1">
      <c r="A117" s="206"/>
      <c r="B117" s="207"/>
      <c r="C117" s="206"/>
      <c r="D117" s="207"/>
      <c r="E117" s="207"/>
      <c r="F117" s="207"/>
      <c r="G117" s="400"/>
      <c r="H117" s="400"/>
      <c r="I117" s="400"/>
      <c r="J117" s="400"/>
      <c r="K117" s="401"/>
      <c r="L117" s="401"/>
      <c r="M117" s="208">
        <f t="shared" si="0"/>
        <v>0</v>
      </c>
      <c r="N117" s="400"/>
      <c r="O117" s="400"/>
      <c r="P117" s="402"/>
      <c r="Q117" s="402"/>
      <c r="R117" s="402"/>
      <c r="S117" s="402"/>
      <c r="T117" s="403">
        <f t="shared" si="1"/>
        <v>0</v>
      </c>
      <c r="U117" s="209"/>
      <c r="V117" s="400"/>
      <c r="W117" s="400"/>
      <c r="X117" s="203"/>
      <c r="Y117" s="203"/>
      <c r="Z117" s="203"/>
    </row>
    <row r="118" spans="1:26" ht="25.5" customHeight="1">
      <c r="A118" s="206"/>
      <c r="B118" s="207"/>
      <c r="C118" s="206"/>
      <c r="D118" s="207"/>
      <c r="E118" s="207"/>
      <c r="F118" s="207"/>
      <c r="G118" s="400"/>
      <c r="H118" s="400"/>
      <c r="I118" s="400"/>
      <c r="J118" s="400"/>
      <c r="K118" s="401"/>
      <c r="L118" s="401"/>
      <c r="M118" s="208">
        <f t="shared" si="0"/>
        <v>0</v>
      </c>
      <c r="N118" s="400"/>
      <c r="O118" s="400"/>
      <c r="P118" s="402"/>
      <c r="Q118" s="402"/>
      <c r="R118" s="402"/>
      <c r="S118" s="402"/>
      <c r="T118" s="403">
        <f t="shared" si="1"/>
        <v>0</v>
      </c>
      <c r="U118" s="209"/>
      <c r="V118" s="400"/>
      <c r="W118" s="400"/>
      <c r="X118" s="203"/>
      <c r="Y118" s="203"/>
      <c r="Z118" s="203"/>
    </row>
    <row r="119" spans="1:26" ht="25.5" customHeight="1">
      <c r="A119" s="206"/>
      <c r="B119" s="207"/>
      <c r="C119" s="206"/>
      <c r="D119" s="207"/>
      <c r="E119" s="207"/>
      <c r="F119" s="207"/>
      <c r="G119" s="400"/>
      <c r="H119" s="400"/>
      <c r="I119" s="400"/>
      <c r="J119" s="400"/>
      <c r="K119" s="401"/>
      <c r="L119" s="401"/>
      <c r="M119" s="208">
        <f t="shared" si="0"/>
        <v>0</v>
      </c>
      <c r="N119" s="400"/>
      <c r="O119" s="400"/>
      <c r="P119" s="402"/>
      <c r="Q119" s="402"/>
      <c r="R119" s="402"/>
      <c r="S119" s="402"/>
      <c r="T119" s="403">
        <f t="shared" si="1"/>
        <v>0</v>
      </c>
      <c r="U119" s="209"/>
      <c r="V119" s="400"/>
      <c r="W119" s="400"/>
      <c r="X119" s="203"/>
      <c r="Y119" s="203"/>
      <c r="Z119" s="203"/>
    </row>
    <row r="120" spans="1:26" ht="25.5" customHeight="1">
      <c r="A120" s="206"/>
      <c r="B120" s="207"/>
      <c r="C120" s="206"/>
      <c r="D120" s="207"/>
      <c r="E120" s="207"/>
      <c r="F120" s="207"/>
      <c r="G120" s="400"/>
      <c r="H120" s="400"/>
      <c r="I120" s="400"/>
      <c r="J120" s="400"/>
      <c r="K120" s="401"/>
      <c r="L120" s="401"/>
      <c r="M120" s="208">
        <f t="shared" si="0"/>
        <v>0</v>
      </c>
      <c r="N120" s="400"/>
      <c r="O120" s="400"/>
      <c r="P120" s="402"/>
      <c r="Q120" s="402"/>
      <c r="R120" s="402"/>
      <c r="S120" s="402"/>
      <c r="T120" s="403">
        <f t="shared" si="1"/>
        <v>0</v>
      </c>
      <c r="U120" s="209"/>
      <c r="V120" s="400"/>
      <c r="W120" s="400"/>
      <c r="X120" s="203"/>
      <c r="Y120" s="203"/>
      <c r="Z120" s="203"/>
    </row>
    <row r="121" spans="1:26" ht="25.5" customHeight="1">
      <c r="A121" s="206"/>
      <c r="B121" s="207"/>
      <c r="C121" s="206"/>
      <c r="D121" s="207"/>
      <c r="E121" s="207"/>
      <c r="F121" s="207"/>
      <c r="G121" s="400"/>
      <c r="H121" s="400"/>
      <c r="I121" s="400"/>
      <c r="J121" s="400"/>
      <c r="K121" s="401"/>
      <c r="L121" s="401"/>
      <c r="M121" s="208">
        <f t="shared" si="0"/>
        <v>0</v>
      </c>
      <c r="N121" s="400"/>
      <c r="O121" s="400"/>
      <c r="P121" s="402"/>
      <c r="Q121" s="402"/>
      <c r="R121" s="402"/>
      <c r="S121" s="402"/>
      <c r="T121" s="403">
        <f t="shared" si="1"/>
        <v>0</v>
      </c>
      <c r="U121" s="209"/>
      <c r="V121" s="400"/>
      <c r="W121" s="400"/>
      <c r="X121" s="203"/>
      <c r="Y121" s="203"/>
      <c r="Z121" s="203"/>
    </row>
    <row r="122" spans="1:26" ht="25.5" customHeight="1">
      <c r="A122" s="206"/>
      <c r="B122" s="207"/>
      <c r="C122" s="206"/>
      <c r="D122" s="207"/>
      <c r="E122" s="207"/>
      <c r="F122" s="207"/>
      <c r="G122" s="400"/>
      <c r="H122" s="400"/>
      <c r="I122" s="400"/>
      <c r="J122" s="400"/>
      <c r="K122" s="401"/>
      <c r="L122" s="401"/>
      <c r="M122" s="208">
        <f t="shared" si="0"/>
        <v>0</v>
      </c>
      <c r="N122" s="400"/>
      <c r="O122" s="400"/>
      <c r="P122" s="402"/>
      <c r="Q122" s="402"/>
      <c r="R122" s="402"/>
      <c r="S122" s="402"/>
      <c r="T122" s="403">
        <f t="shared" si="1"/>
        <v>0</v>
      </c>
      <c r="U122" s="209"/>
      <c r="V122" s="400"/>
      <c r="W122" s="400"/>
      <c r="X122" s="203"/>
      <c r="Y122" s="203"/>
      <c r="Z122" s="203"/>
    </row>
    <row r="123" spans="1:26" ht="25.5" customHeight="1">
      <c r="A123" s="206"/>
      <c r="B123" s="207"/>
      <c r="C123" s="206"/>
      <c r="D123" s="207"/>
      <c r="E123" s="207"/>
      <c r="F123" s="207"/>
      <c r="G123" s="400"/>
      <c r="H123" s="400"/>
      <c r="I123" s="400"/>
      <c r="J123" s="400"/>
      <c r="K123" s="401"/>
      <c r="L123" s="401"/>
      <c r="M123" s="208">
        <f t="shared" si="0"/>
        <v>0</v>
      </c>
      <c r="N123" s="400"/>
      <c r="O123" s="400"/>
      <c r="P123" s="402"/>
      <c r="Q123" s="402"/>
      <c r="R123" s="402"/>
      <c r="S123" s="402"/>
      <c r="T123" s="403">
        <f t="shared" si="1"/>
        <v>0</v>
      </c>
      <c r="U123" s="209"/>
      <c r="V123" s="400"/>
      <c r="W123" s="400"/>
      <c r="X123" s="203"/>
      <c r="Y123" s="203"/>
      <c r="Z123" s="203"/>
    </row>
    <row r="124" spans="1:26" ht="25.5" customHeight="1">
      <c r="A124" s="206"/>
      <c r="B124" s="207"/>
      <c r="C124" s="206"/>
      <c r="D124" s="207"/>
      <c r="E124" s="207"/>
      <c r="F124" s="207"/>
      <c r="G124" s="400"/>
      <c r="H124" s="400"/>
      <c r="I124" s="400"/>
      <c r="J124" s="400"/>
      <c r="K124" s="401"/>
      <c r="L124" s="401"/>
      <c r="M124" s="208">
        <f t="shared" si="0"/>
        <v>0</v>
      </c>
      <c r="N124" s="400"/>
      <c r="O124" s="400"/>
      <c r="P124" s="402"/>
      <c r="Q124" s="402"/>
      <c r="R124" s="402"/>
      <c r="S124" s="402"/>
      <c r="T124" s="403">
        <f t="shared" si="1"/>
        <v>0</v>
      </c>
      <c r="U124" s="209"/>
      <c r="V124" s="400"/>
      <c r="W124" s="400"/>
      <c r="X124" s="203"/>
      <c r="Y124" s="203"/>
      <c r="Z124" s="203"/>
    </row>
    <row r="125" spans="1:26" ht="25.5" customHeight="1">
      <c r="A125" s="206"/>
      <c r="B125" s="207"/>
      <c r="C125" s="206"/>
      <c r="D125" s="207"/>
      <c r="E125" s="207"/>
      <c r="F125" s="207"/>
      <c r="G125" s="400"/>
      <c r="H125" s="400"/>
      <c r="I125" s="400"/>
      <c r="J125" s="400"/>
      <c r="K125" s="401"/>
      <c r="L125" s="401"/>
      <c r="M125" s="208">
        <f t="shared" si="0"/>
        <v>0</v>
      </c>
      <c r="N125" s="400"/>
      <c r="O125" s="400"/>
      <c r="P125" s="402"/>
      <c r="Q125" s="402"/>
      <c r="R125" s="402"/>
      <c r="S125" s="402"/>
      <c r="T125" s="403">
        <f t="shared" si="1"/>
        <v>0</v>
      </c>
      <c r="U125" s="209"/>
      <c r="V125" s="400"/>
      <c r="W125" s="400"/>
      <c r="X125" s="203"/>
      <c r="Y125" s="203"/>
      <c r="Z125" s="203"/>
    </row>
    <row r="126" spans="1:26" ht="25.5" customHeight="1">
      <c r="A126" s="206"/>
      <c r="B126" s="207"/>
      <c r="C126" s="206"/>
      <c r="D126" s="207"/>
      <c r="E126" s="207"/>
      <c r="F126" s="207"/>
      <c r="G126" s="400"/>
      <c r="H126" s="400"/>
      <c r="I126" s="400"/>
      <c r="J126" s="400"/>
      <c r="K126" s="401"/>
      <c r="L126" s="401"/>
      <c r="M126" s="208">
        <f t="shared" si="0"/>
        <v>0</v>
      </c>
      <c r="N126" s="400"/>
      <c r="O126" s="400"/>
      <c r="P126" s="402"/>
      <c r="Q126" s="402"/>
      <c r="R126" s="402"/>
      <c r="S126" s="402"/>
      <c r="T126" s="403">
        <f t="shared" si="1"/>
        <v>0</v>
      </c>
      <c r="U126" s="209"/>
      <c r="V126" s="400"/>
      <c r="W126" s="400"/>
      <c r="X126" s="203"/>
      <c r="Y126" s="203"/>
      <c r="Z126" s="203"/>
    </row>
    <row r="127" spans="1:26" ht="25.5" customHeight="1">
      <c r="A127" s="206"/>
      <c r="B127" s="207"/>
      <c r="C127" s="206"/>
      <c r="D127" s="207"/>
      <c r="E127" s="207"/>
      <c r="F127" s="207"/>
      <c r="G127" s="400"/>
      <c r="H127" s="400"/>
      <c r="I127" s="400"/>
      <c r="J127" s="400"/>
      <c r="K127" s="401"/>
      <c r="L127" s="401"/>
      <c r="M127" s="208">
        <f t="shared" si="0"/>
        <v>0</v>
      </c>
      <c r="N127" s="400"/>
      <c r="O127" s="400"/>
      <c r="P127" s="402"/>
      <c r="Q127" s="402"/>
      <c r="R127" s="402"/>
      <c r="S127" s="402"/>
      <c r="T127" s="403">
        <f t="shared" si="1"/>
        <v>0</v>
      </c>
      <c r="U127" s="209"/>
      <c r="V127" s="400"/>
      <c r="W127" s="400"/>
      <c r="X127" s="203"/>
      <c r="Y127" s="203"/>
      <c r="Z127" s="203"/>
    </row>
    <row r="128" spans="1:26" ht="25.5" customHeight="1">
      <c r="A128" s="206"/>
      <c r="B128" s="207"/>
      <c r="C128" s="206"/>
      <c r="D128" s="207"/>
      <c r="E128" s="207"/>
      <c r="F128" s="207"/>
      <c r="G128" s="400"/>
      <c r="H128" s="400"/>
      <c r="I128" s="400"/>
      <c r="J128" s="400"/>
      <c r="K128" s="401"/>
      <c r="L128" s="401"/>
      <c r="M128" s="208">
        <f t="shared" si="0"/>
        <v>0</v>
      </c>
      <c r="N128" s="400"/>
      <c r="O128" s="400"/>
      <c r="P128" s="402"/>
      <c r="Q128" s="402"/>
      <c r="R128" s="402"/>
      <c r="S128" s="402"/>
      <c r="T128" s="403">
        <f t="shared" si="1"/>
        <v>0</v>
      </c>
      <c r="U128" s="209"/>
      <c r="V128" s="400"/>
      <c r="W128" s="400"/>
      <c r="X128" s="203"/>
      <c r="Y128" s="203"/>
      <c r="Z128" s="203"/>
    </row>
    <row r="129" spans="1:26" ht="25.5" customHeight="1">
      <c r="A129" s="206"/>
      <c r="B129" s="207"/>
      <c r="C129" s="206"/>
      <c r="D129" s="207"/>
      <c r="E129" s="207"/>
      <c r="F129" s="207"/>
      <c r="G129" s="400"/>
      <c r="H129" s="400"/>
      <c r="I129" s="400"/>
      <c r="J129" s="400"/>
      <c r="K129" s="401"/>
      <c r="L129" s="401"/>
      <c r="M129" s="208">
        <f t="shared" si="0"/>
        <v>0</v>
      </c>
      <c r="N129" s="400"/>
      <c r="O129" s="400"/>
      <c r="P129" s="402"/>
      <c r="Q129" s="402"/>
      <c r="R129" s="402"/>
      <c r="S129" s="402"/>
      <c r="T129" s="403">
        <f t="shared" si="1"/>
        <v>0</v>
      </c>
      <c r="U129" s="209"/>
      <c r="V129" s="400"/>
      <c r="W129" s="400"/>
      <c r="X129" s="203"/>
      <c r="Y129" s="203"/>
      <c r="Z129" s="203"/>
    </row>
    <row r="130" spans="1:26" ht="25.5" customHeight="1">
      <c r="A130" s="206"/>
      <c r="B130" s="207"/>
      <c r="C130" s="206"/>
      <c r="D130" s="207"/>
      <c r="E130" s="207"/>
      <c r="F130" s="207"/>
      <c r="G130" s="400"/>
      <c r="H130" s="400"/>
      <c r="I130" s="400"/>
      <c r="J130" s="400"/>
      <c r="K130" s="401"/>
      <c r="L130" s="401"/>
      <c r="M130" s="208">
        <f t="shared" si="0"/>
        <v>0</v>
      </c>
      <c r="N130" s="400"/>
      <c r="O130" s="400"/>
      <c r="P130" s="402"/>
      <c r="Q130" s="402"/>
      <c r="R130" s="402"/>
      <c r="S130" s="402"/>
      <c r="T130" s="403">
        <f t="shared" si="1"/>
        <v>0</v>
      </c>
      <c r="U130" s="209"/>
      <c r="V130" s="400"/>
      <c r="W130" s="400"/>
      <c r="X130" s="203"/>
      <c r="Y130" s="203"/>
      <c r="Z130" s="203"/>
    </row>
    <row r="131" spans="1:26" ht="25.5" customHeight="1">
      <c r="A131" s="206"/>
      <c r="B131" s="207"/>
      <c r="C131" s="206"/>
      <c r="D131" s="207"/>
      <c r="E131" s="207"/>
      <c r="F131" s="207"/>
      <c r="G131" s="400"/>
      <c r="H131" s="400"/>
      <c r="I131" s="400"/>
      <c r="J131" s="400"/>
      <c r="K131" s="401"/>
      <c r="L131" s="401"/>
      <c r="M131" s="208">
        <f t="shared" si="0"/>
        <v>0</v>
      </c>
      <c r="N131" s="400"/>
      <c r="O131" s="400"/>
      <c r="P131" s="402"/>
      <c r="Q131" s="402"/>
      <c r="R131" s="402"/>
      <c r="S131" s="402"/>
      <c r="T131" s="403">
        <f t="shared" si="1"/>
        <v>0</v>
      </c>
      <c r="U131" s="209"/>
      <c r="V131" s="400"/>
      <c r="W131" s="400"/>
      <c r="X131" s="203"/>
      <c r="Y131" s="203"/>
      <c r="Z131" s="203"/>
    </row>
    <row r="132" spans="1:26" ht="25.5" customHeight="1">
      <c r="A132" s="206"/>
      <c r="B132" s="207"/>
      <c r="C132" s="206"/>
      <c r="D132" s="207"/>
      <c r="E132" s="207"/>
      <c r="F132" s="207"/>
      <c r="G132" s="400"/>
      <c r="H132" s="400"/>
      <c r="I132" s="400"/>
      <c r="J132" s="400"/>
      <c r="K132" s="401"/>
      <c r="L132" s="401"/>
      <c r="M132" s="208">
        <f t="shared" si="0"/>
        <v>0</v>
      </c>
      <c r="N132" s="400"/>
      <c r="O132" s="400"/>
      <c r="P132" s="402"/>
      <c r="Q132" s="402"/>
      <c r="R132" s="402"/>
      <c r="S132" s="402"/>
      <c r="T132" s="403">
        <f t="shared" si="1"/>
        <v>0</v>
      </c>
      <c r="U132" s="209"/>
      <c r="V132" s="400"/>
      <c r="W132" s="400"/>
      <c r="X132" s="203"/>
      <c r="Y132" s="203"/>
      <c r="Z132" s="203"/>
    </row>
    <row r="133" spans="1:26" ht="25.5" customHeight="1">
      <c r="A133" s="206"/>
      <c r="B133" s="207"/>
      <c r="C133" s="206"/>
      <c r="D133" s="207"/>
      <c r="E133" s="207"/>
      <c r="F133" s="207"/>
      <c r="G133" s="400"/>
      <c r="H133" s="400"/>
      <c r="I133" s="400"/>
      <c r="J133" s="400"/>
      <c r="K133" s="401"/>
      <c r="L133" s="401"/>
      <c r="M133" s="208">
        <f t="shared" si="0"/>
        <v>0</v>
      </c>
      <c r="N133" s="400"/>
      <c r="O133" s="400"/>
      <c r="P133" s="402"/>
      <c r="Q133" s="402"/>
      <c r="R133" s="402"/>
      <c r="S133" s="402"/>
      <c r="T133" s="403">
        <f t="shared" si="1"/>
        <v>0</v>
      </c>
      <c r="U133" s="209"/>
      <c r="V133" s="400"/>
      <c r="W133" s="400"/>
      <c r="X133" s="203"/>
      <c r="Y133" s="203"/>
      <c r="Z133" s="203"/>
    </row>
    <row r="134" spans="1:26" ht="25.5" customHeight="1">
      <c r="A134" s="206"/>
      <c r="B134" s="207"/>
      <c r="C134" s="206"/>
      <c r="D134" s="207"/>
      <c r="E134" s="207"/>
      <c r="F134" s="207"/>
      <c r="G134" s="400"/>
      <c r="H134" s="400"/>
      <c r="I134" s="400"/>
      <c r="J134" s="400"/>
      <c r="K134" s="401"/>
      <c r="L134" s="401"/>
      <c r="M134" s="208">
        <f t="shared" si="0"/>
        <v>0</v>
      </c>
      <c r="N134" s="400"/>
      <c r="O134" s="400"/>
      <c r="P134" s="402"/>
      <c r="Q134" s="402"/>
      <c r="R134" s="402"/>
      <c r="S134" s="402"/>
      <c r="T134" s="403">
        <f t="shared" si="1"/>
        <v>0</v>
      </c>
      <c r="U134" s="209"/>
      <c r="V134" s="400"/>
      <c r="W134" s="400"/>
      <c r="X134" s="203"/>
      <c r="Y134" s="203"/>
      <c r="Z134" s="203"/>
    </row>
    <row r="135" spans="1:26" ht="25.5" customHeight="1">
      <c r="A135" s="206"/>
      <c r="B135" s="207"/>
      <c r="C135" s="206"/>
      <c r="D135" s="207"/>
      <c r="E135" s="207"/>
      <c r="F135" s="207"/>
      <c r="G135" s="400"/>
      <c r="H135" s="400"/>
      <c r="I135" s="400"/>
      <c r="J135" s="400"/>
      <c r="K135" s="401"/>
      <c r="L135" s="401"/>
      <c r="M135" s="208">
        <f t="shared" si="0"/>
        <v>0</v>
      </c>
      <c r="N135" s="400"/>
      <c r="O135" s="400"/>
      <c r="P135" s="402"/>
      <c r="Q135" s="402"/>
      <c r="R135" s="402"/>
      <c r="S135" s="402"/>
      <c r="T135" s="403">
        <f t="shared" si="1"/>
        <v>0</v>
      </c>
      <c r="U135" s="209"/>
      <c r="V135" s="400"/>
      <c r="W135" s="400"/>
      <c r="X135" s="203"/>
      <c r="Y135" s="203"/>
      <c r="Z135" s="203"/>
    </row>
    <row r="136" spans="1:26" ht="25.5" customHeight="1">
      <c r="A136" s="206"/>
      <c r="B136" s="207"/>
      <c r="C136" s="206"/>
      <c r="D136" s="207"/>
      <c r="E136" s="207"/>
      <c r="F136" s="207"/>
      <c r="G136" s="400"/>
      <c r="H136" s="400"/>
      <c r="I136" s="400"/>
      <c r="J136" s="400"/>
      <c r="K136" s="401"/>
      <c r="L136" s="401"/>
      <c r="M136" s="208">
        <f t="shared" si="0"/>
        <v>0</v>
      </c>
      <c r="N136" s="400"/>
      <c r="O136" s="400"/>
      <c r="P136" s="402"/>
      <c r="Q136" s="402"/>
      <c r="R136" s="402"/>
      <c r="S136" s="402"/>
      <c r="T136" s="403">
        <f t="shared" si="1"/>
        <v>0</v>
      </c>
      <c r="U136" s="209"/>
      <c r="V136" s="400"/>
      <c r="W136" s="400"/>
      <c r="X136" s="203"/>
      <c r="Y136" s="203"/>
      <c r="Z136" s="203"/>
    </row>
    <row r="137" spans="1:26" ht="25.5" customHeight="1">
      <c r="A137" s="206"/>
      <c r="B137" s="207"/>
      <c r="C137" s="206"/>
      <c r="D137" s="207"/>
      <c r="E137" s="207"/>
      <c r="F137" s="207"/>
      <c r="G137" s="400"/>
      <c r="H137" s="400"/>
      <c r="I137" s="400"/>
      <c r="J137" s="400"/>
      <c r="K137" s="401"/>
      <c r="L137" s="401"/>
      <c r="M137" s="208">
        <f t="shared" si="0"/>
        <v>0</v>
      </c>
      <c r="N137" s="400"/>
      <c r="O137" s="400"/>
      <c r="P137" s="402"/>
      <c r="Q137" s="402"/>
      <c r="R137" s="402"/>
      <c r="S137" s="402"/>
      <c r="T137" s="403">
        <f t="shared" si="1"/>
        <v>0</v>
      </c>
      <c r="U137" s="209"/>
      <c r="V137" s="400"/>
      <c r="W137" s="400"/>
      <c r="X137" s="203"/>
      <c r="Y137" s="203"/>
      <c r="Z137" s="203"/>
    </row>
    <row r="138" spans="1:26" ht="25.5" customHeight="1">
      <c r="A138" s="206"/>
      <c r="B138" s="207"/>
      <c r="C138" s="206"/>
      <c r="D138" s="207"/>
      <c r="E138" s="207"/>
      <c r="F138" s="207"/>
      <c r="G138" s="400"/>
      <c r="H138" s="400"/>
      <c r="I138" s="400"/>
      <c r="J138" s="400"/>
      <c r="K138" s="401"/>
      <c r="L138" s="401"/>
      <c r="M138" s="208">
        <f t="shared" si="0"/>
        <v>0</v>
      </c>
      <c r="N138" s="400"/>
      <c r="O138" s="400"/>
      <c r="P138" s="402"/>
      <c r="Q138" s="402"/>
      <c r="R138" s="402"/>
      <c r="S138" s="402"/>
      <c r="T138" s="403">
        <f t="shared" si="1"/>
        <v>0</v>
      </c>
      <c r="U138" s="209"/>
      <c r="V138" s="400"/>
      <c r="W138" s="400"/>
      <c r="X138" s="203"/>
      <c r="Y138" s="203"/>
      <c r="Z138" s="203"/>
    </row>
    <row r="139" spans="1:26" ht="25.5" customHeight="1">
      <c r="A139" s="206"/>
      <c r="B139" s="207"/>
      <c r="C139" s="206"/>
      <c r="D139" s="207"/>
      <c r="E139" s="207"/>
      <c r="F139" s="207"/>
      <c r="G139" s="400"/>
      <c r="H139" s="400"/>
      <c r="I139" s="400"/>
      <c r="J139" s="400"/>
      <c r="K139" s="401"/>
      <c r="L139" s="401"/>
      <c r="M139" s="208">
        <f t="shared" si="0"/>
        <v>0</v>
      </c>
      <c r="N139" s="400"/>
      <c r="O139" s="400"/>
      <c r="P139" s="402"/>
      <c r="Q139" s="402"/>
      <c r="R139" s="402"/>
      <c r="S139" s="402"/>
      <c r="T139" s="403">
        <f t="shared" si="1"/>
        <v>0</v>
      </c>
      <c r="U139" s="209"/>
      <c r="V139" s="400"/>
      <c r="W139" s="400"/>
      <c r="X139" s="203"/>
      <c r="Y139" s="203"/>
      <c r="Z139" s="203"/>
    </row>
    <row r="140" spans="1:26" ht="25.5" customHeight="1">
      <c r="A140" s="206"/>
      <c r="B140" s="207"/>
      <c r="C140" s="206"/>
      <c r="D140" s="207"/>
      <c r="E140" s="207"/>
      <c r="F140" s="207"/>
      <c r="G140" s="400"/>
      <c r="H140" s="400"/>
      <c r="I140" s="400"/>
      <c r="J140" s="400"/>
      <c r="K140" s="401"/>
      <c r="L140" s="401"/>
      <c r="M140" s="208">
        <f t="shared" si="0"/>
        <v>0</v>
      </c>
      <c r="N140" s="400"/>
      <c r="O140" s="400"/>
      <c r="P140" s="402"/>
      <c r="Q140" s="402"/>
      <c r="R140" s="402"/>
      <c r="S140" s="402"/>
      <c r="T140" s="403">
        <f t="shared" si="1"/>
        <v>0</v>
      </c>
      <c r="U140" s="209"/>
      <c r="V140" s="400"/>
      <c r="W140" s="400"/>
      <c r="X140" s="203"/>
      <c r="Y140" s="203"/>
      <c r="Z140" s="203"/>
    </row>
    <row r="141" spans="1:26" ht="25.5" customHeight="1">
      <c r="A141" s="206"/>
      <c r="B141" s="207"/>
      <c r="C141" s="206"/>
      <c r="D141" s="207"/>
      <c r="E141" s="207"/>
      <c r="F141" s="207"/>
      <c r="G141" s="400"/>
      <c r="H141" s="400"/>
      <c r="I141" s="400"/>
      <c r="J141" s="400"/>
      <c r="K141" s="401"/>
      <c r="L141" s="401"/>
      <c r="M141" s="208">
        <f t="shared" si="0"/>
        <v>0</v>
      </c>
      <c r="N141" s="400"/>
      <c r="O141" s="400"/>
      <c r="P141" s="402"/>
      <c r="Q141" s="402"/>
      <c r="R141" s="402"/>
      <c r="S141" s="402"/>
      <c r="T141" s="403">
        <f t="shared" si="1"/>
        <v>0</v>
      </c>
      <c r="U141" s="209"/>
      <c r="V141" s="400"/>
      <c r="W141" s="400"/>
      <c r="X141" s="203"/>
      <c r="Y141" s="203"/>
      <c r="Z141" s="203"/>
    </row>
    <row r="142" spans="1:26" ht="25.5" customHeight="1">
      <c r="A142" s="206"/>
      <c r="B142" s="207"/>
      <c r="C142" s="206"/>
      <c r="D142" s="207"/>
      <c r="E142" s="207"/>
      <c r="F142" s="207"/>
      <c r="G142" s="400"/>
      <c r="H142" s="400"/>
      <c r="I142" s="400"/>
      <c r="J142" s="400"/>
      <c r="K142" s="401"/>
      <c r="L142" s="401"/>
      <c r="M142" s="208">
        <f t="shared" si="0"/>
        <v>0</v>
      </c>
      <c r="N142" s="400"/>
      <c r="O142" s="400"/>
      <c r="P142" s="402"/>
      <c r="Q142" s="402"/>
      <c r="R142" s="402"/>
      <c r="S142" s="402"/>
      <c r="T142" s="403">
        <f t="shared" si="1"/>
        <v>0</v>
      </c>
      <c r="U142" s="209"/>
      <c r="V142" s="400"/>
      <c r="W142" s="400"/>
      <c r="X142" s="203"/>
      <c r="Y142" s="203"/>
      <c r="Z142" s="203"/>
    </row>
    <row r="143" spans="1:26" ht="25.5" customHeight="1">
      <c r="A143" s="206"/>
      <c r="B143" s="207"/>
      <c r="C143" s="206"/>
      <c r="D143" s="207"/>
      <c r="E143" s="207"/>
      <c r="F143" s="207"/>
      <c r="G143" s="400"/>
      <c r="H143" s="400"/>
      <c r="I143" s="400"/>
      <c r="J143" s="400"/>
      <c r="K143" s="401"/>
      <c r="L143" s="401"/>
      <c r="M143" s="208">
        <f t="shared" si="0"/>
        <v>0</v>
      </c>
      <c r="N143" s="400"/>
      <c r="O143" s="400"/>
      <c r="P143" s="402"/>
      <c r="Q143" s="402"/>
      <c r="R143" s="402"/>
      <c r="S143" s="402"/>
      <c r="T143" s="403">
        <f t="shared" si="1"/>
        <v>0</v>
      </c>
      <c r="U143" s="209"/>
      <c r="V143" s="400"/>
      <c r="W143" s="400"/>
      <c r="X143" s="203"/>
      <c r="Y143" s="203"/>
      <c r="Z143" s="203"/>
    </row>
    <row r="144" spans="1:26" ht="25.5" customHeight="1">
      <c r="A144" s="206"/>
      <c r="B144" s="207"/>
      <c r="C144" s="206"/>
      <c r="D144" s="207"/>
      <c r="E144" s="207"/>
      <c r="F144" s="207"/>
      <c r="G144" s="400"/>
      <c r="H144" s="400"/>
      <c r="I144" s="400"/>
      <c r="J144" s="400"/>
      <c r="K144" s="401"/>
      <c r="L144" s="401"/>
      <c r="M144" s="208">
        <f t="shared" si="0"/>
        <v>0</v>
      </c>
      <c r="N144" s="400"/>
      <c r="O144" s="400"/>
      <c r="P144" s="402"/>
      <c r="Q144" s="402"/>
      <c r="R144" s="402"/>
      <c r="S144" s="402"/>
      <c r="T144" s="403">
        <f t="shared" si="1"/>
        <v>0</v>
      </c>
      <c r="U144" s="209"/>
      <c r="V144" s="400"/>
      <c r="W144" s="400"/>
      <c r="X144" s="203"/>
      <c r="Y144" s="203"/>
      <c r="Z144" s="203"/>
    </row>
    <row r="145" spans="1:26" ht="25.5" customHeight="1">
      <c r="A145" s="206"/>
      <c r="B145" s="207"/>
      <c r="C145" s="206"/>
      <c r="D145" s="207"/>
      <c r="E145" s="207"/>
      <c r="F145" s="207"/>
      <c r="G145" s="400"/>
      <c r="H145" s="400"/>
      <c r="I145" s="400"/>
      <c r="J145" s="400"/>
      <c r="K145" s="401"/>
      <c r="L145" s="401"/>
      <c r="M145" s="208">
        <f t="shared" si="0"/>
        <v>0</v>
      </c>
      <c r="N145" s="400"/>
      <c r="O145" s="400"/>
      <c r="P145" s="402"/>
      <c r="Q145" s="402"/>
      <c r="R145" s="402"/>
      <c r="S145" s="402"/>
      <c r="T145" s="403">
        <f t="shared" si="1"/>
        <v>0</v>
      </c>
      <c r="U145" s="209"/>
      <c r="V145" s="400"/>
      <c r="W145" s="400"/>
      <c r="X145" s="203"/>
      <c r="Y145" s="203"/>
      <c r="Z145" s="203"/>
    </row>
    <row r="146" spans="1:26" ht="25.5" customHeight="1">
      <c r="A146" s="206"/>
      <c r="B146" s="207"/>
      <c r="C146" s="206"/>
      <c r="D146" s="207"/>
      <c r="E146" s="207"/>
      <c r="F146" s="207"/>
      <c r="G146" s="400"/>
      <c r="H146" s="400"/>
      <c r="I146" s="400"/>
      <c r="J146" s="400"/>
      <c r="K146" s="401"/>
      <c r="L146" s="401"/>
      <c r="M146" s="208">
        <f t="shared" si="0"/>
        <v>0</v>
      </c>
      <c r="N146" s="400"/>
      <c r="O146" s="400"/>
      <c r="P146" s="402"/>
      <c r="Q146" s="402"/>
      <c r="R146" s="402"/>
      <c r="S146" s="402"/>
      <c r="T146" s="403">
        <f t="shared" si="1"/>
        <v>0</v>
      </c>
      <c r="U146" s="209"/>
      <c r="V146" s="400"/>
      <c r="W146" s="400"/>
      <c r="X146" s="203"/>
      <c r="Y146" s="203"/>
      <c r="Z146" s="203"/>
    </row>
    <row r="147" spans="1:26" ht="25.5" customHeight="1">
      <c r="A147" s="206"/>
      <c r="B147" s="207"/>
      <c r="C147" s="206"/>
      <c r="D147" s="207"/>
      <c r="E147" s="207"/>
      <c r="F147" s="207"/>
      <c r="G147" s="400"/>
      <c r="H147" s="400"/>
      <c r="I147" s="400"/>
      <c r="J147" s="400"/>
      <c r="K147" s="401"/>
      <c r="L147" s="401"/>
      <c r="M147" s="208">
        <f t="shared" si="0"/>
        <v>0</v>
      </c>
      <c r="N147" s="400"/>
      <c r="O147" s="400"/>
      <c r="P147" s="402"/>
      <c r="Q147" s="402"/>
      <c r="R147" s="402"/>
      <c r="S147" s="402"/>
      <c r="T147" s="403">
        <f t="shared" si="1"/>
        <v>0</v>
      </c>
      <c r="U147" s="209"/>
      <c r="V147" s="400"/>
      <c r="W147" s="400"/>
      <c r="X147" s="203"/>
      <c r="Y147" s="203"/>
      <c r="Z147" s="203"/>
    </row>
    <row r="148" spans="1:26" ht="25.5" customHeight="1">
      <c r="A148" s="206"/>
      <c r="B148" s="207"/>
      <c r="C148" s="206"/>
      <c r="D148" s="207"/>
      <c r="E148" s="207"/>
      <c r="F148" s="207"/>
      <c r="G148" s="400"/>
      <c r="H148" s="400"/>
      <c r="I148" s="400"/>
      <c r="J148" s="400"/>
      <c r="K148" s="401"/>
      <c r="L148" s="401"/>
      <c r="M148" s="208">
        <f t="shared" si="0"/>
        <v>0</v>
      </c>
      <c r="N148" s="400"/>
      <c r="O148" s="400"/>
      <c r="P148" s="402"/>
      <c r="Q148" s="402"/>
      <c r="R148" s="402"/>
      <c r="S148" s="402"/>
      <c r="T148" s="403">
        <f t="shared" si="1"/>
        <v>0</v>
      </c>
      <c r="U148" s="209"/>
      <c r="V148" s="400"/>
      <c r="W148" s="400"/>
      <c r="X148" s="203"/>
      <c r="Y148" s="203"/>
      <c r="Z148" s="203"/>
    </row>
    <row r="149" spans="1:26" ht="25.5" customHeight="1">
      <c r="A149" s="206"/>
      <c r="B149" s="207"/>
      <c r="C149" s="206"/>
      <c r="D149" s="207"/>
      <c r="E149" s="207"/>
      <c r="F149" s="207"/>
      <c r="G149" s="400"/>
      <c r="H149" s="400"/>
      <c r="I149" s="400"/>
      <c r="J149" s="400"/>
      <c r="K149" s="401"/>
      <c r="L149" s="401"/>
      <c r="M149" s="208">
        <f t="shared" si="0"/>
        <v>0</v>
      </c>
      <c r="N149" s="400"/>
      <c r="O149" s="400"/>
      <c r="P149" s="402"/>
      <c r="Q149" s="402"/>
      <c r="R149" s="402"/>
      <c r="S149" s="402"/>
      <c r="T149" s="403">
        <f t="shared" si="1"/>
        <v>0</v>
      </c>
      <c r="U149" s="209"/>
      <c r="V149" s="400"/>
      <c r="W149" s="400"/>
      <c r="X149" s="203"/>
      <c r="Y149" s="203"/>
      <c r="Z149" s="203"/>
    </row>
    <row r="150" spans="1:26" ht="25.5" customHeight="1">
      <c r="A150" s="206"/>
      <c r="B150" s="207"/>
      <c r="C150" s="206"/>
      <c r="D150" s="207"/>
      <c r="E150" s="207"/>
      <c r="F150" s="207"/>
      <c r="G150" s="400"/>
      <c r="H150" s="400"/>
      <c r="I150" s="400"/>
      <c r="J150" s="400"/>
      <c r="K150" s="401"/>
      <c r="L150" s="401"/>
      <c r="M150" s="208">
        <f t="shared" si="0"/>
        <v>0</v>
      </c>
      <c r="N150" s="400"/>
      <c r="O150" s="400"/>
      <c r="P150" s="402"/>
      <c r="Q150" s="402"/>
      <c r="R150" s="402"/>
      <c r="S150" s="402"/>
      <c r="T150" s="403">
        <f t="shared" si="1"/>
        <v>0</v>
      </c>
      <c r="U150" s="209"/>
      <c r="V150" s="400"/>
      <c r="W150" s="400"/>
      <c r="X150" s="203"/>
      <c r="Y150" s="203"/>
      <c r="Z150" s="203"/>
    </row>
    <row r="151" spans="1:26" ht="25.5" customHeight="1">
      <c r="A151" s="206"/>
      <c r="B151" s="207"/>
      <c r="C151" s="206"/>
      <c r="D151" s="207"/>
      <c r="E151" s="207"/>
      <c r="F151" s="207"/>
      <c r="G151" s="400"/>
      <c r="H151" s="400"/>
      <c r="I151" s="400"/>
      <c r="J151" s="400"/>
      <c r="K151" s="401"/>
      <c r="L151" s="401"/>
      <c r="M151" s="208">
        <f t="shared" si="0"/>
        <v>0</v>
      </c>
      <c r="N151" s="400"/>
      <c r="O151" s="400"/>
      <c r="P151" s="402"/>
      <c r="Q151" s="402"/>
      <c r="R151" s="402"/>
      <c r="S151" s="402"/>
      <c r="T151" s="403">
        <f t="shared" si="1"/>
        <v>0</v>
      </c>
      <c r="U151" s="209"/>
      <c r="V151" s="400"/>
      <c r="W151" s="400"/>
      <c r="X151" s="203"/>
      <c r="Y151" s="203"/>
      <c r="Z151" s="203"/>
    </row>
    <row r="152" spans="1:26" ht="25.5" customHeight="1">
      <c r="A152" s="206"/>
      <c r="B152" s="207"/>
      <c r="C152" s="206"/>
      <c r="D152" s="207"/>
      <c r="E152" s="207"/>
      <c r="F152" s="207"/>
      <c r="G152" s="400"/>
      <c r="H152" s="400"/>
      <c r="I152" s="400"/>
      <c r="J152" s="400"/>
      <c r="K152" s="401"/>
      <c r="L152" s="401"/>
      <c r="M152" s="208">
        <f t="shared" si="0"/>
        <v>0</v>
      </c>
      <c r="N152" s="400"/>
      <c r="O152" s="400"/>
      <c r="P152" s="402"/>
      <c r="Q152" s="402"/>
      <c r="R152" s="402"/>
      <c r="S152" s="402"/>
      <c r="T152" s="403">
        <f t="shared" si="1"/>
        <v>0</v>
      </c>
      <c r="U152" s="209"/>
      <c r="V152" s="400"/>
      <c r="W152" s="400"/>
      <c r="X152" s="203"/>
      <c r="Y152" s="203"/>
      <c r="Z152" s="203"/>
    </row>
    <row r="153" spans="1:26" ht="25.5" customHeight="1">
      <c r="A153" s="206"/>
      <c r="B153" s="207"/>
      <c r="C153" s="206"/>
      <c r="D153" s="207"/>
      <c r="E153" s="207"/>
      <c r="F153" s="207"/>
      <c r="G153" s="400"/>
      <c r="H153" s="400"/>
      <c r="I153" s="400"/>
      <c r="J153" s="400"/>
      <c r="K153" s="401"/>
      <c r="L153" s="401"/>
      <c r="M153" s="208">
        <f t="shared" si="0"/>
        <v>0</v>
      </c>
      <c r="N153" s="400"/>
      <c r="O153" s="400"/>
      <c r="P153" s="402"/>
      <c r="Q153" s="402"/>
      <c r="R153" s="402"/>
      <c r="S153" s="402"/>
      <c r="T153" s="403">
        <f t="shared" si="1"/>
        <v>0</v>
      </c>
      <c r="U153" s="209"/>
      <c r="V153" s="400"/>
      <c r="W153" s="400"/>
      <c r="X153" s="203"/>
      <c r="Y153" s="203"/>
      <c r="Z153" s="203"/>
    </row>
    <row r="154" spans="1:26" ht="25.5" customHeight="1">
      <c r="A154" s="206"/>
      <c r="B154" s="207"/>
      <c r="C154" s="206"/>
      <c r="D154" s="207"/>
      <c r="E154" s="207"/>
      <c r="F154" s="207"/>
      <c r="G154" s="400"/>
      <c r="H154" s="400"/>
      <c r="I154" s="400"/>
      <c r="J154" s="400"/>
      <c r="K154" s="401"/>
      <c r="L154" s="401"/>
      <c r="M154" s="208">
        <f t="shared" si="0"/>
        <v>0</v>
      </c>
      <c r="N154" s="400"/>
      <c r="O154" s="400"/>
      <c r="P154" s="402"/>
      <c r="Q154" s="402"/>
      <c r="R154" s="402"/>
      <c r="S154" s="402"/>
      <c r="T154" s="403">
        <f t="shared" si="1"/>
        <v>0</v>
      </c>
      <c r="U154" s="209"/>
      <c r="V154" s="400"/>
      <c r="W154" s="400"/>
      <c r="X154" s="203"/>
      <c r="Y154" s="203"/>
      <c r="Z154" s="203"/>
    </row>
    <row r="155" spans="1:26" ht="25.5" customHeight="1">
      <c r="A155" s="206"/>
      <c r="B155" s="207"/>
      <c r="C155" s="206"/>
      <c r="D155" s="207"/>
      <c r="E155" s="207"/>
      <c r="F155" s="207"/>
      <c r="G155" s="400"/>
      <c r="H155" s="400"/>
      <c r="I155" s="400"/>
      <c r="J155" s="400"/>
      <c r="K155" s="401"/>
      <c r="L155" s="401"/>
      <c r="M155" s="208">
        <f t="shared" si="0"/>
        <v>0</v>
      </c>
      <c r="N155" s="400"/>
      <c r="O155" s="400"/>
      <c r="P155" s="402"/>
      <c r="Q155" s="402"/>
      <c r="R155" s="402"/>
      <c r="S155" s="402"/>
      <c r="T155" s="403">
        <f t="shared" si="1"/>
        <v>0</v>
      </c>
      <c r="U155" s="209"/>
      <c r="V155" s="400"/>
      <c r="W155" s="400"/>
      <c r="X155" s="203"/>
      <c r="Y155" s="203"/>
      <c r="Z155" s="203"/>
    </row>
    <row r="156" spans="1:26" ht="25.5" customHeight="1">
      <c r="A156" s="206"/>
      <c r="B156" s="207"/>
      <c r="C156" s="206"/>
      <c r="D156" s="207"/>
      <c r="E156" s="207"/>
      <c r="F156" s="207"/>
      <c r="G156" s="400"/>
      <c r="H156" s="400"/>
      <c r="I156" s="400"/>
      <c r="J156" s="400"/>
      <c r="K156" s="401"/>
      <c r="L156" s="401"/>
      <c r="M156" s="208">
        <f t="shared" si="0"/>
        <v>0</v>
      </c>
      <c r="N156" s="400"/>
      <c r="O156" s="400"/>
      <c r="P156" s="402"/>
      <c r="Q156" s="402"/>
      <c r="R156" s="402"/>
      <c r="S156" s="402"/>
      <c r="T156" s="403">
        <f t="shared" si="1"/>
        <v>0</v>
      </c>
      <c r="U156" s="209"/>
      <c r="V156" s="400"/>
      <c r="W156" s="400"/>
      <c r="X156" s="203"/>
      <c r="Y156" s="203"/>
      <c r="Z156" s="203"/>
    </row>
    <row r="157" spans="1:26" ht="25.5" customHeight="1">
      <c r="A157" s="206"/>
      <c r="B157" s="207"/>
      <c r="C157" s="206"/>
      <c r="D157" s="207"/>
      <c r="E157" s="207"/>
      <c r="F157" s="207"/>
      <c r="G157" s="400"/>
      <c r="H157" s="400"/>
      <c r="I157" s="400"/>
      <c r="J157" s="400"/>
      <c r="K157" s="401"/>
      <c r="L157" s="401"/>
      <c r="M157" s="208">
        <f t="shared" si="0"/>
        <v>0</v>
      </c>
      <c r="N157" s="400"/>
      <c r="O157" s="400"/>
      <c r="P157" s="402"/>
      <c r="Q157" s="402"/>
      <c r="R157" s="402"/>
      <c r="S157" s="402"/>
      <c r="T157" s="403">
        <f t="shared" si="1"/>
        <v>0</v>
      </c>
      <c r="U157" s="209"/>
      <c r="V157" s="400"/>
      <c r="W157" s="400"/>
      <c r="X157" s="203"/>
      <c r="Y157" s="203"/>
      <c r="Z157" s="203"/>
    </row>
    <row r="158" spans="1:26" ht="25.5" customHeight="1">
      <c r="A158" s="206"/>
      <c r="B158" s="207"/>
      <c r="C158" s="206"/>
      <c r="D158" s="207"/>
      <c r="E158" s="207"/>
      <c r="F158" s="207"/>
      <c r="G158" s="400"/>
      <c r="H158" s="400"/>
      <c r="I158" s="400"/>
      <c r="J158" s="400"/>
      <c r="K158" s="401"/>
      <c r="L158" s="401"/>
      <c r="M158" s="208">
        <f t="shared" si="0"/>
        <v>0</v>
      </c>
      <c r="N158" s="400"/>
      <c r="O158" s="400"/>
      <c r="P158" s="402"/>
      <c r="Q158" s="402"/>
      <c r="R158" s="402"/>
      <c r="S158" s="402"/>
      <c r="T158" s="403">
        <f t="shared" si="1"/>
        <v>0</v>
      </c>
      <c r="U158" s="209"/>
      <c r="V158" s="400"/>
      <c r="W158" s="400"/>
      <c r="X158" s="203"/>
      <c r="Y158" s="203"/>
      <c r="Z158" s="203"/>
    </row>
    <row r="159" spans="1:26" ht="25.5" customHeight="1">
      <c r="A159" s="206"/>
      <c r="B159" s="207"/>
      <c r="C159" s="206"/>
      <c r="D159" s="207"/>
      <c r="E159" s="207"/>
      <c r="F159" s="207"/>
      <c r="G159" s="400"/>
      <c r="H159" s="400"/>
      <c r="I159" s="400"/>
      <c r="J159" s="400"/>
      <c r="K159" s="401"/>
      <c r="L159" s="401"/>
      <c r="M159" s="208">
        <f t="shared" si="0"/>
        <v>0</v>
      </c>
      <c r="N159" s="400"/>
      <c r="O159" s="400"/>
      <c r="P159" s="402"/>
      <c r="Q159" s="402"/>
      <c r="R159" s="402"/>
      <c r="S159" s="402"/>
      <c r="T159" s="403">
        <f t="shared" si="1"/>
        <v>0</v>
      </c>
      <c r="U159" s="209"/>
      <c r="V159" s="400"/>
      <c r="W159" s="400"/>
      <c r="X159" s="203"/>
      <c r="Y159" s="203"/>
      <c r="Z159" s="203"/>
    </row>
    <row r="160" spans="1:26" ht="25.5" customHeight="1">
      <c r="A160" s="206"/>
      <c r="B160" s="207"/>
      <c r="C160" s="206"/>
      <c r="D160" s="207"/>
      <c r="E160" s="207"/>
      <c r="F160" s="207"/>
      <c r="G160" s="400"/>
      <c r="H160" s="400"/>
      <c r="I160" s="400"/>
      <c r="J160" s="400"/>
      <c r="K160" s="401"/>
      <c r="L160" s="401"/>
      <c r="M160" s="208">
        <f t="shared" si="0"/>
        <v>0</v>
      </c>
      <c r="N160" s="400"/>
      <c r="O160" s="400"/>
      <c r="P160" s="402"/>
      <c r="Q160" s="402"/>
      <c r="R160" s="402"/>
      <c r="S160" s="402"/>
      <c r="T160" s="403">
        <f t="shared" si="1"/>
        <v>0</v>
      </c>
      <c r="U160" s="209"/>
      <c r="V160" s="400"/>
      <c r="W160" s="400"/>
      <c r="X160" s="203"/>
      <c r="Y160" s="203"/>
      <c r="Z160" s="203"/>
    </row>
    <row r="161" spans="1:26" ht="25.5" customHeight="1">
      <c r="A161" s="206"/>
      <c r="B161" s="207"/>
      <c r="C161" s="206"/>
      <c r="D161" s="207"/>
      <c r="E161" s="207"/>
      <c r="F161" s="207"/>
      <c r="G161" s="400"/>
      <c r="H161" s="400"/>
      <c r="I161" s="400"/>
      <c r="J161" s="400"/>
      <c r="K161" s="401"/>
      <c r="L161" s="401"/>
      <c r="M161" s="208">
        <f t="shared" si="0"/>
        <v>0</v>
      </c>
      <c r="N161" s="400"/>
      <c r="O161" s="400"/>
      <c r="P161" s="402"/>
      <c r="Q161" s="402"/>
      <c r="R161" s="402"/>
      <c r="S161" s="402"/>
      <c r="T161" s="403">
        <f t="shared" si="1"/>
        <v>0</v>
      </c>
      <c r="U161" s="209"/>
      <c r="V161" s="400"/>
      <c r="W161" s="400"/>
      <c r="X161" s="203"/>
      <c r="Y161" s="203"/>
      <c r="Z161" s="203"/>
    </row>
    <row r="162" spans="1:26" ht="25.5" customHeight="1">
      <c r="A162" s="206"/>
      <c r="B162" s="207"/>
      <c r="C162" s="206"/>
      <c r="D162" s="207"/>
      <c r="E162" s="207"/>
      <c r="F162" s="207"/>
      <c r="G162" s="400"/>
      <c r="H162" s="400"/>
      <c r="I162" s="400"/>
      <c r="J162" s="400"/>
      <c r="K162" s="401"/>
      <c r="L162" s="401"/>
      <c r="M162" s="208">
        <f t="shared" si="0"/>
        <v>0</v>
      </c>
      <c r="N162" s="400"/>
      <c r="O162" s="400"/>
      <c r="P162" s="402"/>
      <c r="Q162" s="402"/>
      <c r="R162" s="402"/>
      <c r="S162" s="402"/>
      <c r="T162" s="403">
        <f t="shared" si="1"/>
        <v>0</v>
      </c>
      <c r="U162" s="209"/>
      <c r="V162" s="400"/>
      <c r="W162" s="400"/>
      <c r="X162" s="203"/>
      <c r="Y162" s="203"/>
      <c r="Z162" s="203"/>
    </row>
    <row r="163" spans="1:26" ht="25.5" customHeight="1">
      <c r="A163" s="206"/>
      <c r="B163" s="207"/>
      <c r="C163" s="206"/>
      <c r="D163" s="207"/>
      <c r="E163" s="207"/>
      <c r="F163" s="207"/>
      <c r="G163" s="400"/>
      <c r="H163" s="400"/>
      <c r="I163" s="400"/>
      <c r="J163" s="400"/>
      <c r="K163" s="401"/>
      <c r="L163" s="401"/>
      <c r="M163" s="208">
        <f t="shared" si="0"/>
        <v>0</v>
      </c>
      <c r="N163" s="400"/>
      <c r="O163" s="400"/>
      <c r="P163" s="402"/>
      <c r="Q163" s="402"/>
      <c r="R163" s="402"/>
      <c r="S163" s="402"/>
      <c r="T163" s="403">
        <f t="shared" si="1"/>
        <v>0</v>
      </c>
      <c r="U163" s="209"/>
      <c r="V163" s="400"/>
      <c r="W163" s="400"/>
      <c r="X163" s="203"/>
      <c r="Y163" s="203"/>
      <c r="Z163" s="203"/>
    </row>
    <row r="164" spans="1:26" ht="25.5" customHeight="1">
      <c r="A164" s="206"/>
      <c r="B164" s="207"/>
      <c r="C164" s="206"/>
      <c r="D164" s="207"/>
      <c r="E164" s="207"/>
      <c r="F164" s="207"/>
      <c r="G164" s="400"/>
      <c r="H164" s="400"/>
      <c r="I164" s="400"/>
      <c r="J164" s="400"/>
      <c r="K164" s="401"/>
      <c r="L164" s="401"/>
      <c r="M164" s="208">
        <f t="shared" si="0"/>
        <v>0</v>
      </c>
      <c r="N164" s="400"/>
      <c r="O164" s="400"/>
      <c r="P164" s="402"/>
      <c r="Q164" s="402"/>
      <c r="R164" s="402"/>
      <c r="S164" s="402"/>
      <c r="T164" s="403">
        <f t="shared" si="1"/>
        <v>0</v>
      </c>
      <c r="U164" s="209"/>
      <c r="V164" s="400"/>
      <c r="W164" s="400"/>
      <c r="X164" s="203"/>
      <c r="Y164" s="203"/>
      <c r="Z164" s="203"/>
    </row>
    <row r="165" spans="1:26" ht="25.5" customHeight="1">
      <c r="A165" s="206"/>
      <c r="B165" s="207"/>
      <c r="C165" s="206"/>
      <c r="D165" s="207"/>
      <c r="E165" s="207"/>
      <c r="F165" s="207"/>
      <c r="G165" s="400"/>
      <c r="H165" s="400"/>
      <c r="I165" s="400"/>
      <c r="J165" s="400"/>
      <c r="K165" s="401"/>
      <c r="L165" s="401"/>
      <c r="M165" s="208">
        <f t="shared" si="0"/>
        <v>0</v>
      </c>
      <c r="N165" s="400"/>
      <c r="O165" s="400"/>
      <c r="P165" s="402"/>
      <c r="Q165" s="402"/>
      <c r="R165" s="402"/>
      <c r="S165" s="402"/>
      <c r="T165" s="403">
        <f t="shared" si="1"/>
        <v>0</v>
      </c>
      <c r="U165" s="209"/>
      <c r="V165" s="400"/>
      <c r="W165" s="400"/>
      <c r="X165" s="203"/>
      <c r="Y165" s="203"/>
      <c r="Z165" s="203"/>
    </row>
    <row r="166" spans="1:26" ht="25.5" customHeight="1">
      <c r="A166" s="206"/>
      <c r="B166" s="207"/>
      <c r="C166" s="206"/>
      <c r="D166" s="207"/>
      <c r="E166" s="207"/>
      <c r="F166" s="207"/>
      <c r="G166" s="400"/>
      <c r="H166" s="400"/>
      <c r="I166" s="400"/>
      <c r="J166" s="400"/>
      <c r="K166" s="401"/>
      <c r="L166" s="401"/>
      <c r="M166" s="208">
        <f t="shared" si="0"/>
        <v>0</v>
      </c>
      <c r="N166" s="400"/>
      <c r="O166" s="400"/>
      <c r="P166" s="402"/>
      <c r="Q166" s="402"/>
      <c r="R166" s="402"/>
      <c r="S166" s="402"/>
      <c r="T166" s="403">
        <f t="shared" si="1"/>
        <v>0</v>
      </c>
      <c r="U166" s="209"/>
      <c r="V166" s="400"/>
      <c r="W166" s="400"/>
      <c r="X166" s="203"/>
      <c r="Y166" s="203"/>
      <c r="Z166" s="203"/>
    </row>
    <row r="167" spans="1:26" ht="25.5" customHeight="1">
      <c r="A167" s="206"/>
      <c r="B167" s="207"/>
      <c r="C167" s="206"/>
      <c r="D167" s="207"/>
      <c r="E167" s="207"/>
      <c r="F167" s="207"/>
      <c r="G167" s="400"/>
      <c r="H167" s="400"/>
      <c r="I167" s="400"/>
      <c r="J167" s="400"/>
      <c r="K167" s="401"/>
      <c r="L167" s="401"/>
      <c r="M167" s="208">
        <f t="shared" si="0"/>
        <v>0</v>
      </c>
      <c r="N167" s="400"/>
      <c r="O167" s="400"/>
      <c r="P167" s="402"/>
      <c r="Q167" s="402"/>
      <c r="R167" s="402"/>
      <c r="S167" s="402"/>
      <c r="T167" s="403">
        <f t="shared" si="1"/>
        <v>0</v>
      </c>
      <c r="U167" s="209"/>
      <c r="V167" s="400"/>
      <c r="W167" s="400"/>
      <c r="X167" s="203"/>
      <c r="Y167" s="203"/>
      <c r="Z167" s="203"/>
    </row>
    <row r="168" spans="1:26" ht="25.5" customHeight="1">
      <c r="A168" s="206"/>
      <c r="B168" s="207"/>
      <c r="C168" s="206"/>
      <c r="D168" s="207"/>
      <c r="E168" s="207"/>
      <c r="F168" s="207"/>
      <c r="G168" s="400"/>
      <c r="H168" s="400"/>
      <c r="I168" s="400"/>
      <c r="J168" s="400"/>
      <c r="K168" s="401"/>
      <c r="L168" s="401"/>
      <c r="M168" s="208">
        <f t="shared" si="0"/>
        <v>0</v>
      </c>
      <c r="N168" s="400"/>
      <c r="O168" s="400"/>
      <c r="P168" s="402"/>
      <c r="Q168" s="402"/>
      <c r="R168" s="402"/>
      <c r="S168" s="402"/>
      <c r="T168" s="403">
        <f t="shared" si="1"/>
        <v>0</v>
      </c>
      <c r="U168" s="209"/>
      <c r="V168" s="400"/>
      <c r="W168" s="400"/>
      <c r="X168" s="203"/>
      <c r="Y168" s="203"/>
      <c r="Z168" s="203"/>
    </row>
    <row r="169" spans="1:26" ht="25.5" customHeight="1">
      <c r="A169" s="206"/>
      <c r="B169" s="207"/>
      <c r="C169" s="206"/>
      <c r="D169" s="207"/>
      <c r="E169" s="207"/>
      <c r="F169" s="207"/>
      <c r="G169" s="400"/>
      <c r="H169" s="400"/>
      <c r="I169" s="400"/>
      <c r="J169" s="400"/>
      <c r="K169" s="401"/>
      <c r="L169" s="401"/>
      <c r="M169" s="208">
        <f t="shared" si="0"/>
        <v>0</v>
      </c>
      <c r="N169" s="400"/>
      <c r="O169" s="400"/>
      <c r="P169" s="402"/>
      <c r="Q169" s="402"/>
      <c r="R169" s="402"/>
      <c r="S169" s="402"/>
      <c r="T169" s="403">
        <f t="shared" si="1"/>
        <v>0</v>
      </c>
      <c r="U169" s="209"/>
      <c r="V169" s="400"/>
      <c r="W169" s="400"/>
      <c r="X169" s="203"/>
      <c r="Y169" s="203"/>
      <c r="Z169" s="203"/>
    </row>
    <row r="170" spans="1:26" ht="25.5" customHeight="1">
      <c r="A170" s="206"/>
      <c r="B170" s="207"/>
      <c r="C170" s="206"/>
      <c r="D170" s="207"/>
      <c r="E170" s="207"/>
      <c r="F170" s="207"/>
      <c r="G170" s="400"/>
      <c r="H170" s="400"/>
      <c r="I170" s="400"/>
      <c r="J170" s="400"/>
      <c r="K170" s="401"/>
      <c r="L170" s="401"/>
      <c r="M170" s="208">
        <f t="shared" si="0"/>
        <v>0</v>
      </c>
      <c r="N170" s="400"/>
      <c r="O170" s="400"/>
      <c r="P170" s="402"/>
      <c r="Q170" s="402"/>
      <c r="R170" s="402"/>
      <c r="S170" s="402"/>
      <c r="T170" s="403">
        <f t="shared" si="1"/>
        <v>0</v>
      </c>
      <c r="U170" s="209"/>
      <c r="V170" s="400"/>
      <c r="W170" s="400"/>
      <c r="X170" s="203"/>
      <c r="Y170" s="203"/>
      <c r="Z170" s="203"/>
    </row>
    <row r="171" spans="1:26" ht="25.5" customHeight="1">
      <c r="A171" s="206"/>
      <c r="B171" s="207"/>
      <c r="C171" s="206"/>
      <c r="D171" s="207"/>
      <c r="E171" s="207"/>
      <c r="F171" s="207"/>
      <c r="G171" s="400"/>
      <c r="H171" s="400"/>
      <c r="I171" s="400"/>
      <c r="J171" s="400"/>
      <c r="K171" s="401"/>
      <c r="L171" s="401"/>
      <c r="M171" s="208">
        <f t="shared" si="0"/>
        <v>0</v>
      </c>
      <c r="N171" s="400"/>
      <c r="O171" s="400"/>
      <c r="P171" s="402"/>
      <c r="Q171" s="402"/>
      <c r="R171" s="402"/>
      <c r="S171" s="402"/>
      <c r="T171" s="403">
        <f t="shared" si="1"/>
        <v>0</v>
      </c>
      <c r="U171" s="209"/>
      <c r="V171" s="400"/>
      <c r="W171" s="400"/>
      <c r="X171" s="203"/>
      <c r="Y171" s="203"/>
      <c r="Z171" s="203"/>
    </row>
    <row r="172" spans="1:26" ht="25.5" customHeight="1">
      <c r="A172" s="206"/>
      <c r="B172" s="207"/>
      <c r="C172" s="206"/>
      <c r="D172" s="207"/>
      <c r="E172" s="207"/>
      <c r="F172" s="207"/>
      <c r="G172" s="400"/>
      <c r="H172" s="400"/>
      <c r="I172" s="400"/>
      <c r="J172" s="400"/>
      <c r="K172" s="401"/>
      <c r="L172" s="401"/>
      <c r="M172" s="208">
        <f t="shared" si="0"/>
        <v>0</v>
      </c>
      <c r="N172" s="400"/>
      <c r="O172" s="400"/>
      <c r="P172" s="402"/>
      <c r="Q172" s="402"/>
      <c r="R172" s="402"/>
      <c r="S172" s="402"/>
      <c r="T172" s="403">
        <f t="shared" si="1"/>
        <v>0</v>
      </c>
      <c r="U172" s="209"/>
      <c r="V172" s="400"/>
      <c r="W172" s="400"/>
      <c r="X172" s="203"/>
      <c r="Y172" s="203"/>
      <c r="Z172" s="203"/>
    </row>
    <row r="173" spans="1:26" ht="25.5" customHeight="1">
      <c r="A173" s="206"/>
      <c r="B173" s="207"/>
      <c r="C173" s="206"/>
      <c r="D173" s="207"/>
      <c r="E173" s="207"/>
      <c r="F173" s="207"/>
      <c r="G173" s="400"/>
      <c r="H173" s="400"/>
      <c r="I173" s="400"/>
      <c r="J173" s="400"/>
      <c r="K173" s="401"/>
      <c r="L173" s="401"/>
      <c r="M173" s="208">
        <f t="shared" si="0"/>
        <v>0</v>
      </c>
      <c r="N173" s="400"/>
      <c r="O173" s="400"/>
      <c r="P173" s="402"/>
      <c r="Q173" s="402"/>
      <c r="R173" s="402"/>
      <c r="S173" s="402"/>
      <c r="T173" s="403">
        <f t="shared" si="1"/>
        <v>0</v>
      </c>
      <c r="U173" s="209"/>
      <c r="V173" s="400"/>
      <c r="W173" s="400"/>
      <c r="X173" s="203"/>
      <c r="Y173" s="203"/>
      <c r="Z173" s="203"/>
    </row>
    <row r="174" spans="1:26" ht="25.5" customHeight="1">
      <c r="A174" s="206"/>
      <c r="B174" s="207"/>
      <c r="C174" s="206"/>
      <c r="D174" s="207"/>
      <c r="E174" s="207"/>
      <c r="F174" s="207"/>
      <c r="G174" s="400"/>
      <c r="H174" s="400"/>
      <c r="I174" s="400"/>
      <c r="J174" s="400"/>
      <c r="K174" s="401"/>
      <c r="L174" s="401"/>
      <c r="M174" s="208">
        <f t="shared" si="0"/>
        <v>0</v>
      </c>
      <c r="N174" s="400"/>
      <c r="O174" s="400"/>
      <c r="P174" s="402"/>
      <c r="Q174" s="402"/>
      <c r="R174" s="402"/>
      <c r="S174" s="402"/>
      <c r="T174" s="403">
        <f t="shared" si="1"/>
        <v>0</v>
      </c>
      <c r="U174" s="209"/>
      <c r="V174" s="400"/>
      <c r="W174" s="400"/>
      <c r="X174" s="203"/>
      <c r="Y174" s="203"/>
      <c r="Z174" s="203"/>
    </row>
    <row r="175" spans="1:26" ht="25.5" customHeight="1">
      <c r="A175" s="206"/>
      <c r="B175" s="207"/>
      <c r="C175" s="206"/>
      <c r="D175" s="207"/>
      <c r="E175" s="207"/>
      <c r="F175" s="207"/>
      <c r="G175" s="400"/>
      <c r="H175" s="400"/>
      <c r="I175" s="400"/>
      <c r="J175" s="400"/>
      <c r="K175" s="401"/>
      <c r="L175" s="401"/>
      <c r="M175" s="208">
        <f t="shared" si="0"/>
        <v>0</v>
      </c>
      <c r="N175" s="400"/>
      <c r="O175" s="400"/>
      <c r="P175" s="402"/>
      <c r="Q175" s="402"/>
      <c r="R175" s="402"/>
      <c r="S175" s="402"/>
      <c r="T175" s="403">
        <f t="shared" si="1"/>
        <v>0</v>
      </c>
      <c r="U175" s="209"/>
      <c r="V175" s="400"/>
      <c r="W175" s="400"/>
      <c r="X175" s="203"/>
      <c r="Y175" s="203"/>
      <c r="Z175" s="203"/>
    </row>
    <row r="176" spans="1:26" ht="25.5" customHeight="1">
      <c r="A176" s="206"/>
      <c r="B176" s="207"/>
      <c r="C176" s="206"/>
      <c r="D176" s="207"/>
      <c r="E176" s="207"/>
      <c r="F176" s="207"/>
      <c r="G176" s="400"/>
      <c r="H176" s="400"/>
      <c r="I176" s="400"/>
      <c r="J176" s="400"/>
      <c r="K176" s="401"/>
      <c r="L176" s="401"/>
      <c r="M176" s="208">
        <f t="shared" si="0"/>
        <v>0</v>
      </c>
      <c r="N176" s="400"/>
      <c r="O176" s="400"/>
      <c r="P176" s="402"/>
      <c r="Q176" s="402"/>
      <c r="R176" s="402"/>
      <c r="S176" s="402"/>
      <c r="T176" s="403">
        <f t="shared" si="1"/>
        <v>0</v>
      </c>
      <c r="U176" s="209"/>
      <c r="V176" s="400"/>
      <c r="W176" s="400"/>
      <c r="X176" s="203"/>
      <c r="Y176" s="203"/>
      <c r="Z176" s="203"/>
    </row>
    <row r="177" spans="1:26" ht="25.5" customHeight="1">
      <c r="A177" s="206"/>
      <c r="B177" s="207"/>
      <c r="C177" s="206"/>
      <c r="D177" s="207"/>
      <c r="E177" s="207"/>
      <c r="F177" s="207"/>
      <c r="G177" s="400"/>
      <c r="H177" s="400"/>
      <c r="I177" s="400"/>
      <c r="J177" s="400"/>
      <c r="K177" s="401"/>
      <c r="L177" s="401"/>
      <c r="M177" s="208">
        <f t="shared" si="0"/>
        <v>0</v>
      </c>
      <c r="N177" s="400"/>
      <c r="O177" s="400"/>
      <c r="P177" s="402"/>
      <c r="Q177" s="402"/>
      <c r="R177" s="402"/>
      <c r="S177" s="402"/>
      <c r="T177" s="403">
        <f t="shared" si="1"/>
        <v>0</v>
      </c>
      <c r="U177" s="209"/>
      <c r="V177" s="400"/>
      <c r="W177" s="400"/>
      <c r="X177" s="203"/>
      <c r="Y177" s="203"/>
      <c r="Z177" s="203"/>
    </row>
    <row r="178" spans="1:26" ht="25.5" customHeight="1">
      <c r="A178" s="206"/>
      <c r="B178" s="207"/>
      <c r="C178" s="206"/>
      <c r="D178" s="207"/>
      <c r="E178" s="207"/>
      <c r="F178" s="207"/>
      <c r="G178" s="400"/>
      <c r="H178" s="400"/>
      <c r="I178" s="400"/>
      <c r="J178" s="400"/>
      <c r="K178" s="401"/>
      <c r="L178" s="401"/>
      <c r="M178" s="208">
        <f t="shared" si="0"/>
        <v>0</v>
      </c>
      <c r="N178" s="400"/>
      <c r="O178" s="400"/>
      <c r="P178" s="402"/>
      <c r="Q178" s="402"/>
      <c r="R178" s="402"/>
      <c r="S178" s="402"/>
      <c r="T178" s="403">
        <f t="shared" si="1"/>
        <v>0</v>
      </c>
      <c r="U178" s="209"/>
      <c r="V178" s="400"/>
      <c r="W178" s="400"/>
      <c r="X178" s="203"/>
      <c r="Y178" s="203"/>
      <c r="Z178" s="203"/>
    </row>
    <row r="179" spans="1:26" ht="25.5" customHeight="1">
      <c r="A179" s="206"/>
      <c r="B179" s="207"/>
      <c r="C179" s="206"/>
      <c r="D179" s="207"/>
      <c r="E179" s="207"/>
      <c r="F179" s="207"/>
      <c r="G179" s="400"/>
      <c r="H179" s="400"/>
      <c r="I179" s="400"/>
      <c r="J179" s="400"/>
      <c r="K179" s="401"/>
      <c r="L179" s="401"/>
      <c r="M179" s="208">
        <f t="shared" si="0"/>
        <v>0</v>
      </c>
      <c r="N179" s="400"/>
      <c r="O179" s="400"/>
      <c r="P179" s="402"/>
      <c r="Q179" s="402"/>
      <c r="R179" s="402"/>
      <c r="S179" s="402"/>
      <c r="T179" s="403">
        <f t="shared" si="1"/>
        <v>0</v>
      </c>
      <c r="U179" s="209"/>
      <c r="V179" s="400"/>
      <c r="W179" s="400"/>
      <c r="X179" s="203"/>
      <c r="Y179" s="203"/>
      <c r="Z179" s="203"/>
    </row>
    <row r="180" spans="1:26" ht="25.5" customHeight="1">
      <c r="A180" s="206"/>
      <c r="B180" s="207"/>
      <c r="C180" s="206"/>
      <c r="D180" s="207"/>
      <c r="E180" s="207"/>
      <c r="F180" s="207"/>
      <c r="G180" s="400"/>
      <c r="H180" s="400"/>
      <c r="I180" s="400"/>
      <c r="J180" s="400"/>
      <c r="K180" s="401"/>
      <c r="L180" s="401"/>
      <c r="M180" s="208">
        <f t="shared" si="0"/>
        <v>0</v>
      </c>
      <c r="N180" s="400"/>
      <c r="O180" s="400"/>
      <c r="P180" s="402"/>
      <c r="Q180" s="402"/>
      <c r="R180" s="402"/>
      <c r="S180" s="402"/>
      <c r="T180" s="403">
        <f t="shared" si="1"/>
        <v>0</v>
      </c>
      <c r="U180" s="209"/>
      <c r="V180" s="400"/>
      <c r="W180" s="400"/>
      <c r="X180" s="203"/>
      <c r="Y180" s="203"/>
      <c r="Z180" s="203"/>
    </row>
    <row r="181" spans="1:26" ht="25.5" customHeight="1">
      <c r="A181" s="206"/>
      <c r="B181" s="207"/>
      <c r="C181" s="206"/>
      <c r="D181" s="207"/>
      <c r="E181" s="207"/>
      <c r="F181" s="207"/>
      <c r="G181" s="400"/>
      <c r="H181" s="400"/>
      <c r="I181" s="400"/>
      <c r="J181" s="400"/>
      <c r="K181" s="401"/>
      <c r="L181" s="401"/>
      <c r="M181" s="208">
        <f t="shared" si="0"/>
        <v>0</v>
      </c>
      <c r="N181" s="400"/>
      <c r="O181" s="400"/>
      <c r="P181" s="402"/>
      <c r="Q181" s="402"/>
      <c r="R181" s="402"/>
      <c r="S181" s="402"/>
      <c r="T181" s="403">
        <f t="shared" si="1"/>
        <v>0</v>
      </c>
      <c r="U181" s="209"/>
      <c r="V181" s="400"/>
      <c r="W181" s="400"/>
      <c r="X181" s="203"/>
      <c r="Y181" s="203"/>
      <c r="Z181" s="203"/>
    </row>
    <row r="182" spans="1:26" ht="25.5" customHeight="1">
      <c r="A182" s="206"/>
      <c r="B182" s="207"/>
      <c r="C182" s="206"/>
      <c r="D182" s="207"/>
      <c r="E182" s="207"/>
      <c r="F182" s="207"/>
      <c r="G182" s="400"/>
      <c r="H182" s="400"/>
      <c r="I182" s="400"/>
      <c r="J182" s="400"/>
      <c r="K182" s="401"/>
      <c r="L182" s="401"/>
      <c r="M182" s="208">
        <f t="shared" si="0"/>
        <v>0</v>
      </c>
      <c r="N182" s="400"/>
      <c r="O182" s="400"/>
      <c r="P182" s="402"/>
      <c r="Q182" s="402"/>
      <c r="R182" s="402"/>
      <c r="S182" s="402"/>
      <c r="T182" s="403">
        <f t="shared" si="1"/>
        <v>0</v>
      </c>
      <c r="U182" s="209"/>
      <c r="V182" s="400"/>
      <c r="W182" s="400"/>
      <c r="X182" s="203"/>
      <c r="Y182" s="203"/>
      <c r="Z182" s="203"/>
    </row>
    <row r="183" spans="1:26" ht="25.5" customHeight="1">
      <c r="A183" s="206"/>
      <c r="B183" s="207"/>
      <c r="C183" s="206"/>
      <c r="D183" s="207"/>
      <c r="E183" s="207"/>
      <c r="F183" s="207"/>
      <c r="G183" s="400"/>
      <c r="H183" s="400"/>
      <c r="I183" s="400"/>
      <c r="J183" s="400"/>
      <c r="K183" s="401"/>
      <c r="L183" s="401"/>
      <c r="M183" s="208">
        <f t="shared" si="0"/>
        <v>0</v>
      </c>
      <c r="N183" s="400"/>
      <c r="O183" s="400"/>
      <c r="P183" s="402"/>
      <c r="Q183" s="402"/>
      <c r="R183" s="402"/>
      <c r="S183" s="402"/>
      <c r="T183" s="403">
        <f t="shared" si="1"/>
        <v>0</v>
      </c>
      <c r="U183" s="209"/>
      <c r="V183" s="400"/>
      <c r="W183" s="400"/>
      <c r="X183" s="203"/>
      <c r="Y183" s="203"/>
      <c r="Z183" s="203"/>
    </row>
    <row r="184" spans="1:26" ht="25.5" customHeight="1">
      <c r="A184" s="206"/>
      <c r="B184" s="207"/>
      <c r="C184" s="206"/>
      <c r="D184" s="207"/>
      <c r="E184" s="207"/>
      <c r="F184" s="207"/>
      <c r="G184" s="400"/>
      <c r="H184" s="400"/>
      <c r="I184" s="400"/>
      <c r="J184" s="400"/>
      <c r="K184" s="401"/>
      <c r="L184" s="401"/>
      <c r="M184" s="208">
        <f t="shared" si="0"/>
        <v>0</v>
      </c>
      <c r="N184" s="400"/>
      <c r="O184" s="400"/>
      <c r="P184" s="402"/>
      <c r="Q184" s="402"/>
      <c r="R184" s="402"/>
      <c r="S184" s="402"/>
      <c r="T184" s="403">
        <f t="shared" si="1"/>
        <v>0</v>
      </c>
      <c r="U184" s="209"/>
      <c r="V184" s="400"/>
      <c r="W184" s="400"/>
      <c r="X184" s="203"/>
      <c r="Y184" s="203"/>
      <c r="Z184" s="203"/>
    </row>
    <row r="185" spans="1:26" ht="25.5" customHeight="1">
      <c r="A185" s="206"/>
      <c r="B185" s="207"/>
      <c r="C185" s="206"/>
      <c r="D185" s="207"/>
      <c r="E185" s="207"/>
      <c r="F185" s="207"/>
      <c r="G185" s="400"/>
      <c r="H185" s="400"/>
      <c r="I185" s="400"/>
      <c r="J185" s="400"/>
      <c r="K185" s="401"/>
      <c r="L185" s="401"/>
      <c r="M185" s="208">
        <f t="shared" si="0"/>
        <v>0</v>
      </c>
      <c r="N185" s="400"/>
      <c r="O185" s="400"/>
      <c r="P185" s="402"/>
      <c r="Q185" s="402"/>
      <c r="R185" s="402"/>
      <c r="S185" s="402"/>
      <c r="T185" s="403">
        <f t="shared" si="1"/>
        <v>0</v>
      </c>
      <c r="U185" s="209"/>
      <c r="V185" s="400"/>
      <c r="W185" s="400"/>
      <c r="X185" s="203"/>
      <c r="Y185" s="203"/>
      <c r="Z185" s="203"/>
    </row>
    <row r="186" spans="1:26" ht="25.5" customHeight="1">
      <c r="A186" s="206"/>
      <c r="B186" s="207"/>
      <c r="C186" s="206"/>
      <c r="D186" s="207"/>
      <c r="E186" s="207"/>
      <c r="F186" s="207"/>
      <c r="G186" s="400"/>
      <c r="H186" s="400"/>
      <c r="I186" s="400"/>
      <c r="J186" s="400"/>
      <c r="K186" s="401"/>
      <c r="L186" s="401"/>
      <c r="M186" s="208">
        <f t="shared" si="0"/>
        <v>0</v>
      </c>
      <c r="N186" s="400"/>
      <c r="O186" s="400"/>
      <c r="P186" s="402"/>
      <c r="Q186" s="402"/>
      <c r="R186" s="402"/>
      <c r="S186" s="402"/>
      <c r="T186" s="403">
        <f t="shared" si="1"/>
        <v>0</v>
      </c>
      <c r="U186" s="209"/>
      <c r="V186" s="400"/>
      <c r="W186" s="400"/>
      <c r="X186" s="203"/>
      <c r="Y186" s="203"/>
      <c r="Z186" s="203"/>
    </row>
    <row r="187" spans="1:26" ht="25.5" customHeight="1">
      <c r="A187" s="206"/>
      <c r="B187" s="207"/>
      <c r="C187" s="206"/>
      <c r="D187" s="207"/>
      <c r="E187" s="207"/>
      <c r="F187" s="207"/>
      <c r="G187" s="400"/>
      <c r="H187" s="400"/>
      <c r="I187" s="400"/>
      <c r="J187" s="400"/>
      <c r="K187" s="401"/>
      <c r="L187" s="401"/>
      <c r="M187" s="208">
        <f t="shared" si="0"/>
        <v>0</v>
      </c>
      <c r="N187" s="400"/>
      <c r="O187" s="400"/>
      <c r="P187" s="402"/>
      <c r="Q187" s="402"/>
      <c r="R187" s="402"/>
      <c r="S187" s="402"/>
      <c r="T187" s="403">
        <f t="shared" si="1"/>
        <v>0</v>
      </c>
      <c r="U187" s="209"/>
      <c r="V187" s="400"/>
      <c r="W187" s="400"/>
      <c r="X187" s="203"/>
      <c r="Y187" s="203"/>
      <c r="Z187" s="203"/>
    </row>
    <row r="188" spans="1:26" ht="25.5" customHeight="1">
      <c r="A188" s="206"/>
      <c r="B188" s="207"/>
      <c r="C188" s="206"/>
      <c r="D188" s="207"/>
      <c r="E188" s="207"/>
      <c r="F188" s="207"/>
      <c r="G188" s="400"/>
      <c r="H188" s="400"/>
      <c r="I188" s="400"/>
      <c r="J188" s="400"/>
      <c r="K188" s="401"/>
      <c r="L188" s="401"/>
      <c r="M188" s="208">
        <f t="shared" si="0"/>
        <v>0</v>
      </c>
      <c r="N188" s="400"/>
      <c r="O188" s="400"/>
      <c r="P188" s="402"/>
      <c r="Q188" s="402"/>
      <c r="R188" s="402"/>
      <c r="S188" s="402"/>
      <c r="T188" s="403">
        <f t="shared" si="1"/>
        <v>0</v>
      </c>
      <c r="U188" s="209"/>
      <c r="V188" s="400"/>
      <c r="W188" s="400"/>
      <c r="X188" s="203"/>
      <c r="Y188" s="203"/>
      <c r="Z188" s="203"/>
    </row>
    <row r="189" spans="1:26" ht="25.5" customHeight="1">
      <c r="A189" s="206"/>
      <c r="B189" s="207"/>
      <c r="C189" s="206"/>
      <c r="D189" s="207"/>
      <c r="E189" s="207"/>
      <c r="F189" s="207"/>
      <c r="G189" s="400"/>
      <c r="H189" s="400"/>
      <c r="I189" s="400"/>
      <c r="J189" s="400"/>
      <c r="K189" s="401"/>
      <c r="L189" s="401"/>
      <c r="M189" s="208">
        <f t="shared" si="0"/>
        <v>0</v>
      </c>
      <c r="N189" s="400"/>
      <c r="O189" s="400"/>
      <c r="P189" s="402"/>
      <c r="Q189" s="402"/>
      <c r="R189" s="402"/>
      <c r="S189" s="402"/>
      <c r="T189" s="403">
        <f t="shared" si="1"/>
        <v>0</v>
      </c>
      <c r="U189" s="209"/>
      <c r="V189" s="400"/>
      <c r="W189" s="400"/>
      <c r="X189" s="203"/>
      <c r="Y189" s="203"/>
      <c r="Z189" s="203"/>
    </row>
    <row r="190" spans="1:26" ht="25.5" customHeight="1">
      <c r="A190" s="206"/>
      <c r="B190" s="207"/>
      <c r="C190" s="206"/>
      <c r="D190" s="207"/>
      <c r="E190" s="207"/>
      <c r="F190" s="207"/>
      <c r="G190" s="400"/>
      <c r="H190" s="400"/>
      <c r="I190" s="400"/>
      <c r="J190" s="400"/>
      <c r="K190" s="401"/>
      <c r="L190" s="401"/>
      <c r="M190" s="208">
        <f t="shared" si="0"/>
        <v>0</v>
      </c>
      <c r="N190" s="400"/>
      <c r="O190" s="400"/>
      <c r="P190" s="402"/>
      <c r="Q190" s="402"/>
      <c r="R190" s="402"/>
      <c r="S190" s="402"/>
      <c r="T190" s="403">
        <f t="shared" si="1"/>
        <v>0</v>
      </c>
      <c r="U190" s="209"/>
      <c r="V190" s="400"/>
      <c r="W190" s="400"/>
      <c r="X190" s="203"/>
      <c r="Y190" s="203"/>
      <c r="Z190" s="203"/>
    </row>
    <row r="191" spans="1:26" ht="25.5" customHeight="1">
      <c r="A191" s="206"/>
      <c r="B191" s="207"/>
      <c r="C191" s="206"/>
      <c r="D191" s="207"/>
      <c r="E191" s="207"/>
      <c r="F191" s="207"/>
      <c r="G191" s="400"/>
      <c r="H191" s="400"/>
      <c r="I191" s="400"/>
      <c r="J191" s="400"/>
      <c r="K191" s="401"/>
      <c r="L191" s="401"/>
      <c r="M191" s="208">
        <f t="shared" si="0"/>
        <v>0</v>
      </c>
      <c r="N191" s="400"/>
      <c r="O191" s="400"/>
      <c r="P191" s="402"/>
      <c r="Q191" s="402"/>
      <c r="R191" s="402"/>
      <c r="S191" s="402"/>
      <c r="T191" s="403">
        <f t="shared" si="1"/>
        <v>0</v>
      </c>
      <c r="U191" s="209"/>
      <c r="V191" s="400"/>
      <c r="W191" s="400"/>
      <c r="X191" s="203"/>
      <c r="Y191" s="203"/>
      <c r="Z191" s="203"/>
    </row>
    <row r="192" spans="1:26" ht="25.5" customHeight="1">
      <c r="A192" s="206"/>
      <c r="B192" s="207"/>
      <c r="C192" s="206"/>
      <c r="D192" s="207"/>
      <c r="E192" s="207"/>
      <c r="F192" s="207"/>
      <c r="G192" s="400"/>
      <c r="H192" s="400"/>
      <c r="I192" s="400"/>
      <c r="J192" s="400"/>
      <c r="K192" s="401"/>
      <c r="L192" s="401"/>
      <c r="M192" s="208">
        <f t="shared" si="0"/>
        <v>0</v>
      </c>
      <c r="N192" s="400"/>
      <c r="O192" s="400"/>
      <c r="P192" s="402"/>
      <c r="Q192" s="402"/>
      <c r="R192" s="402"/>
      <c r="S192" s="402"/>
      <c r="T192" s="403">
        <f t="shared" si="1"/>
        <v>0</v>
      </c>
      <c r="U192" s="209"/>
      <c r="V192" s="400"/>
      <c r="W192" s="400"/>
      <c r="X192" s="203"/>
      <c r="Y192" s="203"/>
      <c r="Z192" s="203"/>
    </row>
    <row r="193" spans="1:26" ht="25.5" customHeight="1">
      <c r="A193" s="206"/>
      <c r="B193" s="207"/>
      <c r="C193" s="206"/>
      <c r="D193" s="207"/>
      <c r="E193" s="207"/>
      <c r="F193" s="207"/>
      <c r="G193" s="400"/>
      <c r="H193" s="400"/>
      <c r="I193" s="400"/>
      <c r="J193" s="400"/>
      <c r="K193" s="401"/>
      <c r="L193" s="401"/>
      <c r="M193" s="208">
        <f t="shared" si="0"/>
        <v>0</v>
      </c>
      <c r="N193" s="400"/>
      <c r="O193" s="400"/>
      <c r="P193" s="402"/>
      <c r="Q193" s="402"/>
      <c r="R193" s="402"/>
      <c r="S193" s="402"/>
      <c r="T193" s="403">
        <f t="shared" si="1"/>
        <v>0</v>
      </c>
      <c r="U193" s="209"/>
      <c r="V193" s="400"/>
      <c r="W193" s="400"/>
      <c r="X193" s="203"/>
      <c r="Y193" s="203"/>
      <c r="Z193" s="203"/>
    </row>
    <row r="194" spans="1:26" ht="25.5" customHeight="1">
      <c r="A194" s="206"/>
      <c r="B194" s="207"/>
      <c r="C194" s="206"/>
      <c r="D194" s="207"/>
      <c r="E194" s="207"/>
      <c r="F194" s="207"/>
      <c r="G194" s="400"/>
      <c r="H194" s="400"/>
      <c r="I194" s="400"/>
      <c r="J194" s="400"/>
      <c r="K194" s="401"/>
      <c r="L194" s="401"/>
      <c r="M194" s="208">
        <f t="shared" si="0"/>
        <v>0</v>
      </c>
      <c r="N194" s="400"/>
      <c r="O194" s="400"/>
      <c r="P194" s="402"/>
      <c r="Q194" s="402"/>
      <c r="R194" s="402"/>
      <c r="S194" s="402"/>
      <c r="T194" s="403">
        <f t="shared" si="1"/>
        <v>0</v>
      </c>
      <c r="U194" s="209"/>
      <c r="V194" s="400"/>
      <c r="W194" s="400"/>
      <c r="X194" s="203"/>
      <c r="Y194" s="203"/>
      <c r="Z194" s="203"/>
    </row>
    <row r="195" spans="1:26" ht="25.5" customHeight="1">
      <c r="A195" s="206"/>
      <c r="B195" s="207"/>
      <c r="C195" s="206"/>
      <c r="D195" s="207"/>
      <c r="E195" s="207"/>
      <c r="F195" s="207"/>
      <c r="G195" s="400"/>
      <c r="H195" s="400"/>
      <c r="I195" s="400"/>
      <c r="J195" s="400"/>
      <c r="K195" s="401"/>
      <c r="L195" s="401"/>
      <c r="M195" s="208">
        <f t="shared" si="0"/>
        <v>0</v>
      </c>
      <c r="N195" s="400"/>
      <c r="O195" s="400"/>
      <c r="P195" s="402"/>
      <c r="Q195" s="402"/>
      <c r="R195" s="402"/>
      <c r="S195" s="402"/>
      <c r="T195" s="403">
        <f t="shared" si="1"/>
        <v>0</v>
      </c>
      <c r="U195" s="209"/>
      <c r="V195" s="400"/>
      <c r="W195" s="400"/>
      <c r="X195" s="203"/>
      <c r="Y195" s="203"/>
      <c r="Z195" s="203"/>
    </row>
    <row r="196" spans="1:26" ht="25.5" customHeight="1">
      <c r="A196" s="206"/>
      <c r="B196" s="207"/>
      <c r="C196" s="206"/>
      <c r="D196" s="207"/>
      <c r="E196" s="207"/>
      <c r="F196" s="207"/>
      <c r="G196" s="400"/>
      <c r="H196" s="400"/>
      <c r="I196" s="400"/>
      <c r="J196" s="400"/>
      <c r="K196" s="401"/>
      <c r="L196" s="401"/>
      <c r="M196" s="208">
        <f t="shared" si="0"/>
        <v>0</v>
      </c>
      <c r="N196" s="400"/>
      <c r="O196" s="400"/>
      <c r="P196" s="402"/>
      <c r="Q196" s="402"/>
      <c r="R196" s="402"/>
      <c r="S196" s="402"/>
      <c r="T196" s="403">
        <f t="shared" si="1"/>
        <v>0</v>
      </c>
      <c r="U196" s="209"/>
      <c r="V196" s="400"/>
      <c r="W196" s="400"/>
      <c r="X196" s="203"/>
      <c r="Y196" s="203"/>
      <c r="Z196" s="203"/>
    </row>
    <row r="197" spans="1:26" ht="25.5" customHeight="1">
      <c r="A197" s="206"/>
      <c r="B197" s="207"/>
      <c r="C197" s="206"/>
      <c r="D197" s="207"/>
      <c r="E197" s="207"/>
      <c r="F197" s="207"/>
      <c r="G197" s="400"/>
      <c r="H197" s="400"/>
      <c r="I197" s="400"/>
      <c r="J197" s="400"/>
      <c r="K197" s="401"/>
      <c r="L197" s="401"/>
      <c r="M197" s="208">
        <f t="shared" si="0"/>
        <v>0</v>
      </c>
      <c r="N197" s="400"/>
      <c r="O197" s="400"/>
      <c r="P197" s="402"/>
      <c r="Q197" s="402"/>
      <c r="R197" s="402"/>
      <c r="S197" s="402"/>
      <c r="T197" s="403">
        <f t="shared" si="1"/>
        <v>0</v>
      </c>
      <c r="U197" s="209"/>
      <c r="V197" s="400"/>
      <c r="W197" s="400"/>
      <c r="X197" s="203"/>
      <c r="Y197" s="203"/>
      <c r="Z197" s="203"/>
    </row>
    <row r="198" spans="1:26" ht="25.5" customHeight="1">
      <c r="A198" s="206"/>
      <c r="B198" s="207"/>
      <c r="C198" s="206"/>
      <c r="D198" s="207"/>
      <c r="E198" s="207"/>
      <c r="F198" s="207"/>
      <c r="G198" s="400"/>
      <c r="H198" s="400"/>
      <c r="I198" s="400"/>
      <c r="J198" s="400"/>
      <c r="K198" s="401"/>
      <c r="L198" s="401"/>
      <c r="M198" s="208">
        <f t="shared" si="0"/>
        <v>0</v>
      </c>
      <c r="N198" s="400"/>
      <c r="O198" s="400"/>
      <c r="P198" s="402"/>
      <c r="Q198" s="402"/>
      <c r="R198" s="402"/>
      <c r="S198" s="402"/>
      <c r="T198" s="403">
        <f t="shared" si="1"/>
        <v>0</v>
      </c>
      <c r="U198" s="209"/>
      <c r="V198" s="400"/>
      <c r="W198" s="400"/>
      <c r="X198" s="203"/>
      <c r="Y198" s="203"/>
      <c r="Z198" s="203"/>
    </row>
    <row r="199" spans="1:26" ht="25.5" customHeight="1">
      <c r="A199" s="206"/>
      <c r="B199" s="207"/>
      <c r="C199" s="206"/>
      <c r="D199" s="207"/>
      <c r="E199" s="207"/>
      <c r="F199" s="207"/>
      <c r="G199" s="400"/>
      <c r="H199" s="400"/>
      <c r="I199" s="400"/>
      <c r="J199" s="400"/>
      <c r="K199" s="401"/>
      <c r="L199" s="401"/>
      <c r="M199" s="208">
        <f t="shared" si="0"/>
        <v>0</v>
      </c>
      <c r="N199" s="400"/>
      <c r="O199" s="400"/>
      <c r="P199" s="402"/>
      <c r="Q199" s="402"/>
      <c r="R199" s="402"/>
      <c r="S199" s="402"/>
      <c r="T199" s="403">
        <f t="shared" si="1"/>
        <v>0</v>
      </c>
      <c r="U199" s="209"/>
      <c r="V199" s="400"/>
      <c r="W199" s="400"/>
      <c r="X199" s="203"/>
      <c r="Y199" s="203"/>
      <c r="Z199" s="203"/>
    </row>
    <row r="200" spans="1:26" ht="25.5" customHeight="1">
      <c r="A200" s="206"/>
      <c r="B200" s="207"/>
      <c r="C200" s="206"/>
      <c r="D200" s="207"/>
      <c r="E200" s="207"/>
      <c r="F200" s="207"/>
      <c r="G200" s="400"/>
      <c r="H200" s="400"/>
      <c r="I200" s="400"/>
      <c r="J200" s="400"/>
      <c r="K200" s="401"/>
      <c r="L200" s="401"/>
      <c r="M200" s="208">
        <f t="shared" si="0"/>
        <v>0</v>
      </c>
      <c r="N200" s="400"/>
      <c r="O200" s="400"/>
      <c r="P200" s="402"/>
      <c r="Q200" s="402"/>
      <c r="R200" s="402"/>
      <c r="S200" s="402"/>
      <c r="T200" s="403">
        <f t="shared" si="1"/>
        <v>0</v>
      </c>
      <c r="U200" s="209"/>
      <c r="V200" s="400"/>
      <c r="W200" s="400"/>
      <c r="X200" s="203"/>
      <c r="Y200" s="203"/>
      <c r="Z200" s="203"/>
    </row>
    <row r="201" spans="1:26" ht="25.5" customHeight="1">
      <c r="A201" s="206"/>
      <c r="B201" s="207"/>
      <c r="C201" s="206"/>
      <c r="D201" s="207"/>
      <c r="E201" s="207"/>
      <c r="F201" s="207"/>
      <c r="G201" s="400"/>
      <c r="H201" s="400"/>
      <c r="I201" s="400"/>
      <c r="J201" s="400"/>
      <c r="K201" s="401"/>
      <c r="L201" s="401"/>
      <c r="M201" s="208">
        <f t="shared" si="0"/>
        <v>0</v>
      </c>
      <c r="N201" s="400"/>
      <c r="O201" s="400"/>
      <c r="P201" s="402"/>
      <c r="Q201" s="402"/>
      <c r="R201" s="402"/>
      <c r="S201" s="402"/>
      <c r="T201" s="403">
        <f t="shared" si="1"/>
        <v>0</v>
      </c>
      <c r="U201" s="209"/>
      <c r="V201" s="400"/>
      <c r="W201" s="400"/>
      <c r="X201" s="203"/>
      <c r="Y201" s="203"/>
      <c r="Z201" s="203"/>
    </row>
    <row r="202" spans="1:26" ht="25.5" customHeight="1">
      <c r="A202" s="206"/>
      <c r="B202" s="207"/>
      <c r="C202" s="206"/>
      <c r="D202" s="207"/>
      <c r="E202" s="207"/>
      <c r="F202" s="207"/>
      <c r="G202" s="400"/>
      <c r="H202" s="400"/>
      <c r="I202" s="400"/>
      <c r="J202" s="400"/>
      <c r="K202" s="401"/>
      <c r="L202" s="401"/>
      <c r="M202" s="208">
        <f t="shared" si="0"/>
        <v>0</v>
      </c>
      <c r="N202" s="400"/>
      <c r="O202" s="400"/>
      <c r="P202" s="402"/>
      <c r="Q202" s="402"/>
      <c r="R202" s="402"/>
      <c r="S202" s="402"/>
      <c r="T202" s="403">
        <f t="shared" si="1"/>
        <v>0</v>
      </c>
      <c r="U202" s="209"/>
      <c r="V202" s="400"/>
      <c r="W202" s="400"/>
      <c r="X202" s="203"/>
      <c r="Y202" s="203"/>
      <c r="Z202" s="203"/>
    </row>
    <row r="203" spans="1:26" ht="25.5" customHeight="1">
      <c r="A203" s="206"/>
      <c r="B203" s="207"/>
      <c r="C203" s="206"/>
      <c r="D203" s="207"/>
      <c r="E203" s="207"/>
      <c r="F203" s="207"/>
      <c r="G203" s="400"/>
      <c r="H203" s="400"/>
      <c r="I203" s="400"/>
      <c r="J203" s="400"/>
      <c r="K203" s="401"/>
      <c r="L203" s="401"/>
      <c r="M203" s="208">
        <f t="shared" si="0"/>
        <v>0</v>
      </c>
      <c r="N203" s="400"/>
      <c r="O203" s="400"/>
      <c r="P203" s="402"/>
      <c r="Q203" s="402"/>
      <c r="R203" s="402"/>
      <c r="S203" s="402"/>
      <c r="T203" s="403">
        <f t="shared" si="1"/>
        <v>0</v>
      </c>
      <c r="U203" s="209"/>
      <c r="V203" s="400"/>
      <c r="W203" s="400"/>
      <c r="X203" s="203"/>
      <c r="Y203" s="203"/>
      <c r="Z203" s="203"/>
    </row>
    <row r="204" spans="1:26" ht="25.5" customHeight="1">
      <c r="A204" s="206"/>
      <c r="B204" s="207"/>
      <c r="C204" s="206"/>
      <c r="D204" s="207"/>
      <c r="E204" s="207"/>
      <c r="F204" s="207"/>
      <c r="G204" s="400"/>
      <c r="H204" s="400"/>
      <c r="I204" s="400"/>
      <c r="J204" s="400"/>
      <c r="K204" s="401"/>
      <c r="L204" s="401"/>
      <c r="M204" s="208">
        <f t="shared" si="0"/>
        <v>0</v>
      </c>
      <c r="N204" s="400"/>
      <c r="O204" s="400"/>
      <c r="P204" s="402"/>
      <c r="Q204" s="402"/>
      <c r="R204" s="402"/>
      <c r="S204" s="402"/>
      <c r="T204" s="403">
        <f t="shared" si="1"/>
        <v>0</v>
      </c>
      <c r="U204" s="209"/>
      <c r="V204" s="400"/>
      <c r="W204" s="400"/>
      <c r="X204" s="203"/>
      <c r="Y204" s="203"/>
      <c r="Z204" s="203"/>
    </row>
    <row r="205" spans="1:26" ht="25.5" customHeight="1">
      <c r="A205" s="206"/>
      <c r="B205" s="207"/>
      <c r="C205" s="206"/>
      <c r="D205" s="207"/>
      <c r="E205" s="207"/>
      <c r="F205" s="207"/>
      <c r="G205" s="400"/>
      <c r="H205" s="400"/>
      <c r="I205" s="400"/>
      <c r="J205" s="400"/>
      <c r="K205" s="401"/>
      <c r="L205" s="401"/>
      <c r="M205" s="208">
        <f t="shared" si="0"/>
        <v>0</v>
      </c>
      <c r="N205" s="400"/>
      <c r="O205" s="400"/>
      <c r="P205" s="402"/>
      <c r="Q205" s="402"/>
      <c r="R205" s="402"/>
      <c r="S205" s="402"/>
      <c r="T205" s="403">
        <f t="shared" si="1"/>
        <v>0</v>
      </c>
      <c r="U205" s="209"/>
      <c r="V205" s="400"/>
      <c r="W205" s="400"/>
      <c r="X205" s="203"/>
      <c r="Y205" s="203"/>
      <c r="Z205" s="203"/>
    </row>
    <row r="206" spans="1:26" ht="25.5" customHeight="1">
      <c r="A206" s="206"/>
      <c r="B206" s="207"/>
      <c r="C206" s="206"/>
      <c r="D206" s="207"/>
      <c r="E206" s="207"/>
      <c r="F206" s="207"/>
      <c r="G206" s="400"/>
      <c r="H206" s="400"/>
      <c r="I206" s="400"/>
      <c r="J206" s="400"/>
      <c r="K206" s="401"/>
      <c r="L206" s="401"/>
      <c r="M206" s="208">
        <f t="shared" si="0"/>
        <v>0</v>
      </c>
      <c r="N206" s="400"/>
      <c r="O206" s="400"/>
      <c r="P206" s="402"/>
      <c r="Q206" s="402"/>
      <c r="R206" s="402"/>
      <c r="S206" s="402"/>
      <c r="T206" s="403">
        <f t="shared" si="1"/>
        <v>0</v>
      </c>
      <c r="U206" s="209"/>
      <c r="V206" s="400"/>
      <c r="W206" s="400"/>
      <c r="X206" s="203"/>
      <c r="Y206" s="203"/>
      <c r="Z206" s="203"/>
    </row>
    <row r="207" spans="1:26" ht="25.5" customHeight="1">
      <c r="A207" s="206"/>
      <c r="B207" s="207"/>
      <c r="C207" s="206"/>
      <c r="D207" s="207"/>
      <c r="E207" s="207"/>
      <c r="F207" s="207"/>
      <c r="G207" s="400"/>
      <c r="H207" s="400"/>
      <c r="I207" s="400"/>
      <c r="J207" s="400"/>
      <c r="K207" s="401"/>
      <c r="L207" s="401"/>
      <c r="M207" s="208">
        <f t="shared" si="0"/>
        <v>0</v>
      </c>
      <c r="N207" s="400"/>
      <c r="O207" s="400"/>
      <c r="P207" s="402"/>
      <c r="Q207" s="402"/>
      <c r="R207" s="402"/>
      <c r="S207" s="402"/>
      <c r="T207" s="403">
        <f t="shared" si="1"/>
        <v>0</v>
      </c>
      <c r="U207" s="209"/>
      <c r="V207" s="400"/>
      <c r="W207" s="400"/>
      <c r="X207" s="203"/>
      <c r="Y207" s="203"/>
      <c r="Z207" s="203"/>
    </row>
    <row r="208" spans="1:26" ht="25.5" customHeight="1">
      <c r="A208" s="206"/>
      <c r="B208" s="207"/>
      <c r="C208" s="206"/>
      <c r="D208" s="207"/>
      <c r="E208" s="207"/>
      <c r="F208" s="207"/>
      <c r="G208" s="400"/>
      <c r="H208" s="400"/>
      <c r="I208" s="400"/>
      <c r="J208" s="400"/>
      <c r="K208" s="401"/>
      <c r="L208" s="401"/>
      <c r="M208" s="208">
        <f t="shared" si="0"/>
        <v>0</v>
      </c>
      <c r="N208" s="400"/>
      <c r="O208" s="400"/>
      <c r="P208" s="402"/>
      <c r="Q208" s="402"/>
      <c r="R208" s="402"/>
      <c r="S208" s="402"/>
      <c r="T208" s="403">
        <f t="shared" si="1"/>
        <v>0</v>
      </c>
      <c r="U208" s="209"/>
      <c r="V208" s="400"/>
      <c r="W208" s="400"/>
      <c r="X208" s="203"/>
      <c r="Y208" s="203"/>
      <c r="Z208" s="203"/>
    </row>
    <row r="209" spans="1:26" ht="25.5" customHeight="1">
      <c r="A209" s="206"/>
      <c r="B209" s="207"/>
      <c r="C209" s="206"/>
      <c r="D209" s="207"/>
      <c r="E209" s="207"/>
      <c r="F209" s="207"/>
      <c r="G209" s="400"/>
      <c r="H209" s="400"/>
      <c r="I209" s="400"/>
      <c r="J209" s="400"/>
      <c r="K209" s="401"/>
      <c r="L209" s="401"/>
      <c r="M209" s="208">
        <f t="shared" si="0"/>
        <v>0</v>
      </c>
      <c r="N209" s="400"/>
      <c r="O209" s="400"/>
      <c r="P209" s="402"/>
      <c r="Q209" s="402"/>
      <c r="R209" s="402"/>
      <c r="S209" s="402"/>
      <c r="T209" s="403">
        <f t="shared" si="1"/>
        <v>0</v>
      </c>
      <c r="U209" s="209"/>
      <c r="V209" s="400"/>
      <c r="W209" s="400"/>
      <c r="X209" s="203"/>
      <c r="Y209" s="203"/>
      <c r="Z209" s="203"/>
    </row>
    <row r="210" spans="1:26" ht="25.5" customHeight="1">
      <c r="A210" s="206"/>
      <c r="B210" s="207"/>
      <c r="C210" s="206"/>
      <c r="D210" s="207"/>
      <c r="E210" s="207"/>
      <c r="F210" s="207"/>
      <c r="G210" s="400"/>
      <c r="H210" s="400"/>
      <c r="I210" s="400"/>
      <c r="J210" s="400"/>
      <c r="K210" s="401"/>
      <c r="L210" s="401"/>
      <c r="M210" s="208">
        <f t="shared" si="0"/>
        <v>0</v>
      </c>
      <c r="N210" s="400"/>
      <c r="O210" s="400"/>
      <c r="P210" s="402"/>
      <c r="Q210" s="402"/>
      <c r="R210" s="402"/>
      <c r="S210" s="402"/>
      <c r="T210" s="403">
        <f t="shared" si="1"/>
        <v>0</v>
      </c>
      <c r="U210" s="209"/>
      <c r="V210" s="400"/>
      <c r="W210" s="400"/>
      <c r="X210" s="203"/>
      <c r="Y210" s="203"/>
      <c r="Z210" s="203"/>
    </row>
    <row r="211" spans="1:26" ht="25.5" customHeight="1">
      <c r="A211" s="206"/>
      <c r="B211" s="207"/>
      <c r="C211" s="206"/>
      <c r="D211" s="207"/>
      <c r="E211" s="207"/>
      <c r="F211" s="207"/>
      <c r="G211" s="400"/>
      <c r="H211" s="400"/>
      <c r="I211" s="400"/>
      <c r="J211" s="400"/>
      <c r="K211" s="401"/>
      <c r="L211" s="401"/>
      <c r="M211" s="208">
        <f t="shared" si="0"/>
        <v>0</v>
      </c>
      <c r="N211" s="400"/>
      <c r="O211" s="400"/>
      <c r="P211" s="402"/>
      <c r="Q211" s="402"/>
      <c r="R211" s="402"/>
      <c r="S211" s="402"/>
      <c r="T211" s="403">
        <f t="shared" si="1"/>
        <v>0</v>
      </c>
      <c r="U211" s="209"/>
      <c r="V211" s="400"/>
      <c r="W211" s="400"/>
      <c r="X211" s="203"/>
      <c r="Y211" s="203"/>
      <c r="Z211" s="203"/>
    </row>
    <row r="212" spans="1:26" ht="25.5" customHeight="1">
      <c r="A212" s="206"/>
      <c r="B212" s="207"/>
      <c r="C212" s="206"/>
      <c r="D212" s="207"/>
      <c r="E212" s="207"/>
      <c r="F212" s="207"/>
      <c r="G212" s="400"/>
      <c r="H212" s="400"/>
      <c r="I212" s="400"/>
      <c r="J212" s="400"/>
      <c r="K212" s="401"/>
      <c r="L212" s="401"/>
      <c r="M212" s="208">
        <f t="shared" si="0"/>
        <v>0</v>
      </c>
      <c r="N212" s="400"/>
      <c r="O212" s="400"/>
      <c r="P212" s="402"/>
      <c r="Q212" s="402"/>
      <c r="R212" s="402"/>
      <c r="S212" s="402"/>
      <c r="T212" s="403">
        <f t="shared" si="1"/>
        <v>0</v>
      </c>
      <c r="U212" s="209"/>
      <c r="V212" s="400"/>
      <c r="W212" s="400"/>
      <c r="X212" s="203"/>
      <c r="Y212" s="203"/>
      <c r="Z212" s="203"/>
    </row>
    <row r="213" spans="1:26" ht="25.5" customHeight="1">
      <c r="A213" s="206"/>
      <c r="B213" s="207"/>
      <c r="C213" s="206"/>
      <c r="D213" s="207"/>
      <c r="E213" s="207"/>
      <c r="F213" s="207"/>
      <c r="G213" s="400"/>
      <c r="H213" s="400"/>
      <c r="I213" s="400"/>
      <c r="J213" s="400"/>
      <c r="K213" s="401"/>
      <c r="L213" s="401"/>
      <c r="M213" s="208">
        <f t="shared" si="0"/>
        <v>0</v>
      </c>
      <c r="N213" s="400"/>
      <c r="O213" s="400"/>
      <c r="P213" s="402"/>
      <c r="Q213" s="402"/>
      <c r="R213" s="402"/>
      <c r="S213" s="402"/>
      <c r="T213" s="403">
        <f t="shared" si="1"/>
        <v>0</v>
      </c>
      <c r="U213" s="209"/>
      <c r="V213" s="400"/>
      <c r="W213" s="400"/>
      <c r="X213" s="203"/>
      <c r="Y213" s="203"/>
      <c r="Z213" s="203"/>
    </row>
    <row r="214" spans="1:26" ht="25.5" customHeight="1">
      <c r="A214" s="206"/>
      <c r="B214" s="207"/>
      <c r="C214" s="206"/>
      <c r="D214" s="207"/>
      <c r="E214" s="207"/>
      <c r="F214" s="207"/>
      <c r="G214" s="400"/>
      <c r="H214" s="400"/>
      <c r="I214" s="400"/>
      <c r="J214" s="400"/>
      <c r="K214" s="401"/>
      <c r="L214" s="401"/>
      <c r="M214" s="208">
        <f t="shared" si="0"/>
        <v>0</v>
      </c>
      <c r="N214" s="400"/>
      <c r="O214" s="400"/>
      <c r="P214" s="402"/>
      <c r="Q214" s="402"/>
      <c r="R214" s="402"/>
      <c r="S214" s="402"/>
      <c r="T214" s="403">
        <f t="shared" si="1"/>
        <v>0</v>
      </c>
      <c r="U214" s="209"/>
      <c r="V214" s="400"/>
      <c r="W214" s="400"/>
      <c r="X214" s="203"/>
      <c r="Y214" s="203"/>
      <c r="Z214" s="203"/>
    </row>
    <row r="215" spans="1:26" ht="25.5" customHeight="1">
      <c r="A215" s="206"/>
      <c r="B215" s="207"/>
      <c r="C215" s="206"/>
      <c r="D215" s="207"/>
      <c r="E215" s="207"/>
      <c r="F215" s="207"/>
      <c r="G215" s="400"/>
      <c r="H215" s="400"/>
      <c r="I215" s="400"/>
      <c r="J215" s="400"/>
      <c r="K215" s="401"/>
      <c r="L215" s="401"/>
      <c r="M215" s="208">
        <f t="shared" si="0"/>
        <v>0</v>
      </c>
      <c r="N215" s="400"/>
      <c r="O215" s="400"/>
      <c r="P215" s="402"/>
      <c r="Q215" s="402"/>
      <c r="R215" s="402"/>
      <c r="S215" s="402"/>
      <c r="T215" s="403">
        <f t="shared" si="1"/>
        <v>0</v>
      </c>
      <c r="U215" s="209"/>
      <c r="V215" s="400"/>
      <c r="W215" s="400"/>
      <c r="X215" s="203"/>
      <c r="Y215" s="203"/>
      <c r="Z215" s="203"/>
    </row>
    <row r="216" spans="1:26" ht="25.5" customHeight="1">
      <c r="A216" s="206"/>
      <c r="B216" s="207"/>
      <c r="C216" s="206"/>
      <c r="D216" s="207"/>
      <c r="E216" s="207"/>
      <c r="F216" s="207"/>
      <c r="G216" s="400"/>
      <c r="H216" s="400"/>
      <c r="I216" s="400"/>
      <c r="J216" s="400"/>
      <c r="K216" s="401"/>
      <c r="L216" s="401"/>
      <c r="M216" s="208">
        <f t="shared" si="0"/>
        <v>0</v>
      </c>
      <c r="N216" s="400"/>
      <c r="O216" s="400"/>
      <c r="P216" s="402"/>
      <c r="Q216" s="402"/>
      <c r="R216" s="402"/>
      <c r="S216" s="402"/>
      <c r="T216" s="403">
        <f t="shared" si="1"/>
        <v>0</v>
      </c>
      <c r="U216" s="209"/>
      <c r="V216" s="400"/>
      <c r="W216" s="400"/>
      <c r="X216" s="203"/>
      <c r="Y216" s="203"/>
      <c r="Z216" s="203"/>
    </row>
    <row r="217" spans="1:26" ht="25.5" customHeight="1">
      <c r="A217" s="206"/>
      <c r="B217" s="207"/>
      <c r="C217" s="206"/>
      <c r="D217" s="207"/>
      <c r="E217" s="207"/>
      <c r="F217" s="207"/>
      <c r="G217" s="400"/>
      <c r="H217" s="400"/>
      <c r="I217" s="400"/>
      <c r="J217" s="400"/>
      <c r="K217" s="401"/>
      <c r="L217" s="401"/>
      <c r="M217" s="208">
        <f t="shared" si="0"/>
        <v>0</v>
      </c>
      <c r="N217" s="400"/>
      <c r="O217" s="400"/>
      <c r="P217" s="402"/>
      <c r="Q217" s="402"/>
      <c r="R217" s="402"/>
      <c r="S217" s="402"/>
      <c r="T217" s="403">
        <f t="shared" si="1"/>
        <v>0</v>
      </c>
      <c r="U217" s="209"/>
      <c r="V217" s="400"/>
      <c r="W217" s="400"/>
      <c r="X217" s="203"/>
      <c r="Y217" s="203"/>
      <c r="Z217" s="203"/>
    </row>
    <row r="218" spans="1:26" ht="25.5" customHeight="1">
      <c r="A218" s="206"/>
      <c r="B218" s="207"/>
      <c r="C218" s="206"/>
      <c r="D218" s="207"/>
      <c r="E218" s="207"/>
      <c r="F218" s="207"/>
      <c r="G218" s="400"/>
      <c r="H218" s="400"/>
      <c r="I218" s="400"/>
      <c r="J218" s="400"/>
      <c r="K218" s="401"/>
      <c r="L218" s="401"/>
      <c r="M218" s="208">
        <f t="shared" si="0"/>
        <v>0</v>
      </c>
      <c r="N218" s="400"/>
      <c r="O218" s="400"/>
      <c r="P218" s="402"/>
      <c r="Q218" s="402"/>
      <c r="R218" s="402"/>
      <c r="S218" s="402"/>
      <c r="T218" s="403">
        <f t="shared" si="1"/>
        <v>0</v>
      </c>
      <c r="U218" s="209"/>
      <c r="V218" s="400"/>
      <c r="W218" s="400"/>
      <c r="X218" s="203"/>
      <c r="Y218" s="203"/>
      <c r="Z218" s="203"/>
    </row>
    <row r="219" spans="1:26" ht="25.5" customHeight="1">
      <c r="A219" s="206"/>
      <c r="B219" s="207"/>
      <c r="C219" s="206"/>
      <c r="D219" s="207"/>
      <c r="E219" s="207"/>
      <c r="F219" s="207"/>
      <c r="G219" s="400"/>
      <c r="H219" s="400"/>
      <c r="I219" s="400"/>
      <c r="J219" s="400"/>
      <c r="K219" s="401"/>
      <c r="L219" s="401"/>
      <c r="M219" s="208">
        <f t="shared" si="0"/>
        <v>0</v>
      </c>
      <c r="N219" s="400"/>
      <c r="O219" s="400"/>
      <c r="P219" s="402"/>
      <c r="Q219" s="402"/>
      <c r="R219" s="402"/>
      <c r="S219" s="402"/>
      <c r="T219" s="403">
        <f t="shared" si="1"/>
        <v>0</v>
      </c>
      <c r="U219" s="209"/>
      <c r="V219" s="400"/>
      <c r="W219" s="400"/>
      <c r="X219" s="203"/>
      <c r="Y219" s="203"/>
      <c r="Z219" s="203"/>
    </row>
    <row r="220" spans="1:26" ht="25.5" customHeight="1">
      <c r="A220" s="206"/>
      <c r="B220" s="207"/>
      <c r="C220" s="206"/>
      <c r="D220" s="207"/>
      <c r="E220" s="207"/>
      <c r="F220" s="207"/>
      <c r="G220" s="400"/>
      <c r="H220" s="400"/>
      <c r="I220" s="400"/>
      <c r="J220" s="400"/>
      <c r="K220" s="401"/>
      <c r="L220" s="401"/>
      <c r="M220" s="208">
        <f t="shared" si="0"/>
        <v>0</v>
      </c>
      <c r="N220" s="400"/>
      <c r="O220" s="400"/>
      <c r="P220" s="402"/>
      <c r="Q220" s="402"/>
      <c r="R220" s="402"/>
      <c r="S220" s="402"/>
      <c r="T220" s="403">
        <f t="shared" si="1"/>
        <v>0</v>
      </c>
      <c r="U220" s="209"/>
      <c r="V220" s="400"/>
      <c r="W220" s="400"/>
      <c r="X220" s="203"/>
      <c r="Y220" s="203"/>
      <c r="Z220" s="203"/>
    </row>
    <row r="221" spans="1:26" ht="25.5" customHeight="1">
      <c r="A221" s="206"/>
      <c r="B221" s="207"/>
      <c r="C221" s="206"/>
      <c r="D221" s="207"/>
      <c r="E221" s="207"/>
      <c r="F221" s="207"/>
      <c r="G221" s="400"/>
      <c r="H221" s="400"/>
      <c r="I221" s="400"/>
      <c r="J221" s="400"/>
      <c r="K221" s="401"/>
      <c r="L221" s="401"/>
      <c r="M221" s="208">
        <f t="shared" si="0"/>
        <v>0</v>
      </c>
      <c r="N221" s="400"/>
      <c r="O221" s="400"/>
      <c r="P221" s="402"/>
      <c r="Q221" s="402"/>
      <c r="R221" s="402"/>
      <c r="S221" s="402"/>
      <c r="T221" s="403">
        <f t="shared" si="1"/>
        <v>0</v>
      </c>
      <c r="U221" s="209"/>
      <c r="V221" s="400"/>
      <c r="W221" s="400"/>
      <c r="X221" s="203"/>
      <c r="Y221" s="203"/>
      <c r="Z221" s="203"/>
    </row>
    <row r="222" spans="1:26" ht="25.5" customHeight="1">
      <c r="A222" s="206"/>
      <c r="B222" s="207"/>
      <c r="C222" s="206"/>
      <c r="D222" s="207"/>
      <c r="E222" s="207"/>
      <c r="F222" s="207"/>
      <c r="G222" s="400"/>
      <c r="H222" s="400"/>
      <c r="I222" s="400"/>
      <c r="J222" s="400"/>
      <c r="K222" s="401"/>
      <c r="L222" s="401"/>
      <c r="M222" s="208">
        <f t="shared" si="0"/>
        <v>0</v>
      </c>
      <c r="N222" s="400"/>
      <c r="O222" s="400"/>
      <c r="P222" s="402"/>
      <c r="Q222" s="402"/>
      <c r="R222" s="402"/>
      <c r="S222" s="402"/>
      <c r="T222" s="403">
        <f t="shared" si="1"/>
        <v>0</v>
      </c>
      <c r="U222" s="209"/>
      <c r="V222" s="400"/>
      <c r="W222" s="400"/>
      <c r="X222" s="203"/>
      <c r="Y222" s="203"/>
      <c r="Z222" s="203"/>
    </row>
    <row r="223" spans="1:26" ht="25.5" customHeight="1">
      <c r="A223" s="206"/>
      <c r="B223" s="207"/>
      <c r="C223" s="206"/>
      <c r="D223" s="207"/>
      <c r="E223" s="207"/>
      <c r="F223" s="207"/>
      <c r="G223" s="400"/>
      <c r="H223" s="400"/>
      <c r="I223" s="400"/>
      <c r="J223" s="400"/>
      <c r="K223" s="401"/>
      <c r="L223" s="401"/>
      <c r="M223" s="208">
        <f t="shared" si="0"/>
        <v>0</v>
      </c>
      <c r="N223" s="400"/>
      <c r="O223" s="400"/>
      <c r="P223" s="402"/>
      <c r="Q223" s="402"/>
      <c r="R223" s="402"/>
      <c r="S223" s="402"/>
      <c r="T223" s="403">
        <f t="shared" si="1"/>
        <v>0</v>
      </c>
      <c r="U223" s="209"/>
      <c r="V223" s="400"/>
      <c r="W223" s="400"/>
      <c r="X223" s="203"/>
      <c r="Y223" s="203"/>
      <c r="Z223" s="203"/>
    </row>
    <row r="224" spans="1:26" ht="25.5" customHeight="1">
      <c r="A224" s="206"/>
      <c r="B224" s="207"/>
      <c r="C224" s="206"/>
      <c r="D224" s="207"/>
      <c r="E224" s="207"/>
      <c r="F224" s="207"/>
      <c r="G224" s="400"/>
      <c r="H224" s="400"/>
      <c r="I224" s="400"/>
      <c r="J224" s="400"/>
      <c r="K224" s="401"/>
      <c r="L224" s="401"/>
      <c r="M224" s="208">
        <f t="shared" si="0"/>
        <v>0</v>
      </c>
      <c r="N224" s="400"/>
      <c r="O224" s="400"/>
      <c r="P224" s="402"/>
      <c r="Q224" s="402"/>
      <c r="R224" s="402"/>
      <c r="S224" s="402"/>
      <c r="T224" s="403">
        <f t="shared" si="1"/>
        <v>0</v>
      </c>
      <c r="U224" s="209"/>
      <c r="V224" s="400"/>
      <c r="W224" s="400"/>
      <c r="X224" s="203"/>
      <c r="Y224" s="203"/>
      <c r="Z224" s="203"/>
    </row>
    <row r="225" spans="1:26" ht="25.5" customHeight="1">
      <c r="A225" s="206"/>
      <c r="B225" s="207"/>
      <c r="C225" s="206"/>
      <c r="D225" s="207"/>
      <c r="E225" s="207"/>
      <c r="F225" s="207"/>
      <c r="G225" s="400"/>
      <c r="H225" s="400"/>
      <c r="I225" s="400"/>
      <c r="J225" s="400"/>
      <c r="K225" s="401"/>
      <c r="L225" s="401"/>
      <c r="M225" s="208">
        <f t="shared" si="0"/>
        <v>0</v>
      </c>
      <c r="N225" s="400"/>
      <c r="O225" s="400"/>
      <c r="P225" s="402"/>
      <c r="Q225" s="402"/>
      <c r="R225" s="402"/>
      <c r="S225" s="402"/>
      <c r="T225" s="403">
        <f t="shared" si="1"/>
        <v>0</v>
      </c>
      <c r="U225" s="209"/>
      <c r="V225" s="400"/>
      <c r="W225" s="400"/>
      <c r="X225" s="203"/>
      <c r="Y225" s="203"/>
      <c r="Z225" s="203"/>
    </row>
    <row r="226" spans="1:26" ht="25.5" customHeight="1">
      <c r="A226" s="206"/>
      <c r="B226" s="207"/>
      <c r="C226" s="206"/>
      <c r="D226" s="207"/>
      <c r="E226" s="207"/>
      <c r="F226" s="207"/>
      <c r="G226" s="400"/>
      <c r="H226" s="400"/>
      <c r="I226" s="400"/>
      <c r="J226" s="400"/>
      <c r="K226" s="401"/>
      <c r="L226" s="401"/>
      <c r="M226" s="208">
        <f t="shared" si="0"/>
        <v>0</v>
      </c>
      <c r="N226" s="400"/>
      <c r="O226" s="400"/>
      <c r="P226" s="402"/>
      <c r="Q226" s="402"/>
      <c r="R226" s="402"/>
      <c r="S226" s="402"/>
      <c r="T226" s="403">
        <f t="shared" si="1"/>
        <v>0</v>
      </c>
      <c r="U226" s="209"/>
      <c r="V226" s="400"/>
      <c r="W226" s="400"/>
      <c r="X226" s="203"/>
      <c r="Y226" s="203"/>
      <c r="Z226" s="203"/>
    </row>
    <row r="227" spans="1:26" ht="25.5" customHeight="1">
      <c r="A227" s="206"/>
      <c r="B227" s="207"/>
      <c r="C227" s="206"/>
      <c r="D227" s="207"/>
      <c r="E227" s="207"/>
      <c r="F227" s="207"/>
      <c r="G227" s="400"/>
      <c r="H227" s="400"/>
      <c r="I227" s="400"/>
      <c r="J227" s="400"/>
      <c r="K227" s="401"/>
      <c r="L227" s="401"/>
      <c r="M227" s="208">
        <f t="shared" si="0"/>
        <v>0</v>
      </c>
      <c r="N227" s="400"/>
      <c r="O227" s="400"/>
      <c r="P227" s="402"/>
      <c r="Q227" s="402"/>
      <c r="R227" s="402"/>
      <c r="S227" s="402"/>
      <c r="T227" s="403">
        <f t="shared" si="1"/>
        <v>0</v>
      </c>
      <c r="U227" s="209"/>
      <c r="V227" s="400"/>
      <c r="W227" s="400"/>
      <c r="X227" s="203"/>
      <c r="Y227" s="203"/>
      <c r="Z227" s="203"/>
    </row>
    <row r="228" spans="1:26" ht="25.5" customHeight="1">
      <c r="A228" s="206"/>
      <c r="B228" s="207"/>
      <c r="C228" s="206"/>
      <c r="D228" s="207"/>
      <c r="E228" s="207"/>
      <c r="F228" s="207"/>
      <c r="G228" s="400"/>
      <c r="H228" s="400"/>
      <c r="I228" s="400"/>
      <c r="J228" s="400"/>
      <c r="K228" s="401"/>
      <c r="L228" s="401"/>
      <c r="M228" s="208">
        <f t="shared" si="0"/>
        <v>0</v>
      </c>
      <c r="N228" s="400"/>
      <c r="O228" s="400"/>
      <c r="P228" s="402"/>
      <c r="Q228" s="402"/>
      <c r="R228" s="402"/>
      <c r="S228" s="402"/>
      <c r="T228" s="403">
        <f t="shared" si="1"/>
        <v>0</v>
      </c>
      <c r="U228" s="209"/>
      <c r="V228" s="400"/>
      <c r="W228" s="400"/>
      <c r="X228" s="203"/>
      <c r="Y228" s="203"/>
      <c r="Z228" s="203"/>
    </row>
    <row r="229" spans="1:26" ht="25.5" customHeight="1">
      <c r="A229" s="206"/>
      <c r="B229" s="207"/>
      <c r="C229" s="206"/>
      <c r="D229" s="207"/>
      <c r="E229" s="207"/>
      <c r="F229" s="207"/>
      <c r="G229" s="400"/>
      <c r="H229" s="400"/>
      <c r="I229" s="400"/>
      <c r="J229" s="400"/>
      <c r="K229" s="401"/>
      <c r="L229" s="401"/>
      <c r="M229" s="208">
        <f t="shared" si="0"/>
        <v>0</v>
      </c>
      <c r="N229" s="400"/>
      <c r="O229" s="400"/>
      <c r="P229" s="402"/>
      <c r="Q229" s="402"/>
      <c r="R229" s="402"/>
      <c r="S229" s="402"/>
      <c r="T229" s="403">
        <f t="shared" si="1"/>
        <v>0</v>
      </c>
      <c r="U229" s="209"/>
      <c r="V229" s="400"/>
      <c r="W229" s="400"/>
      <c r="X229" s="203"/>
      <c r="Y229" s="203"/>
      <c r="Z229" s="203"/>
    </row>
    <row r="230" spans="1:26" ht="25.5" customHeight="1">
      <c r="A230" s="206"/>
      <c r="B230" s="207"/>
      <c r="C230" s="206"/>
      <c r="D230" s="207"/>
      <c r="E230" s="207"/>
      <c r="F230" s="207"/>
      <c r="G230" s="400"/>
      <c r="H230" s="400"/>
      <c r="I230" s="400"/>
      <c r="J230" s="400"/>
      <c r="K230" s="401"/>
      <c r="L230" s="401"/>
      <c r="M230" s="208">
        <f t="shared" si="0"/>
        <v>0</v>
      </c>
      <c r="N230" s="400"/>
      <c r="O230" s="400"/>
      <c r="P230" s="402"/>
      <c r="Q230" s="402"/>
      <c r="R230" s="402"/>
      <c r="S230" s="402"/>
      <c r="T230" s="403">
        <f t="shared" si="1"/>
        <v>0</v>
      </c>
      <c r="U230" s="209"/>
      <c r="V230" s="400"/>
      <c r="W230" s="400"/>
      <c r="X230" s="203"/>
      <c r="Y230" s="203"/>
      <c r="Z230" s="203"/>
    </row>
    <row r="231" spans="1:26" ht="25.5" customHeight="1">
      <c r="A231" s="206"/>
      <c r="B231" s="207"/>
      <c r="C231" s="206"/>
      <c r="D231" s="207"/>
      <c r="E231" s="207"/>
      <c r="F231" s="207"/>
      <c r="G231" s="400"/>
      <c r="H231" s="400"/>
      <c r="I231" s="400"/>
      <c r="J231" s="400"/>
      <c r="K231" s="401"/>
      <c r="L231" s="401"/>
      <c r="M231" s="208">
        <f t="shared" si="0"/>
        <v>0</v>
      </c>
      <c r="N231" s="400"/>
      <c r="O231" s="400"/>
      <c r="P231" s="402"/>
      <c r="Q231" s="402"/>
      <c r="R231" s="402"/>
      <c r="S231" s="402"/>
      <c r="T231" s="403">
        <f t="shared" si="1"/>
        <v>0</v>
      </c>
      <c r="U231" s="209"/>
      <c r="V231" s="400"/>
      <c r="W231" s="400"/>
      <c r="X231" s="203"/>
      <c r="Y231" s="203"/>
      <c r="Z231" s="203"/>
    </row>
    <row r="232" spans="1:26" ht="25.5" customHeight="1">
      <c r="A232" s="206"/>
      <c r="B232" s="207"/>
      <c r="C232" s="206"/>
      <c r="D232" s="207"/>
      <c r="E232" s="207"/>
      <c r="F232" s="207"/>
      <c r="G232" s="400"/>
      <c r="H232" s="400"/>
      <c r="I232" s="400"/>
      <c r="J232" s="400"/>
      <c r="K232" s="401"/>
      <c r="L232" s="401"/>
      <c r="M232" s="208">
        <f t="shared" si="0"/>
        <v>0</v>
      </c>
      <c r="N232" s="400"/>
      <c r="O232" s="400"/>
      <c r="P232" s="402"/>
      <c r="Q232" s="402"/>
      <c r="R232" s="402"/>
      <c r="S232" s="402"/>
      <c r="T232" s="403">
        <f t="shared" si="1"/>
        <v>0</v>
      </c>
      <c r="U232" s="209"/>
      <c r="V232" s="400"/>
      <c r="W232" s="400"/>
      <c r="X232" s="203"/>
      <c r="Y232" s="203"/>
      <c r="Z232" s="203"/>
    </row>
    <row r="233" spans="1:26" ht="25.5" customHeight="1">
      <c r="A233" s="206"/>
      <c r="B233" s="207"/>
      <c r="C233" s="206"/>
      <c r="D233" s="207"/>
      <c r="E233" s="207"/>
      <c r="F233" s="207"/>
      <c r="G233" s="400"/>
      <c r="H233" s="400"/>
      <c r="I233" s="400"/>
      <c r="J233" s="400"/>
      <c r="K233" s="401"/>
      <c r="L233" s="401"/>
      <c r="M233" s="208">
        <f t="shared" si="0"/>
        <v>0</v>
      </c>
      <c r="N233" s="400"/>
      <c r="O233" s="400"/>
      <c r="P233" s="402"/>
      <c r="Q233" s="402"/>
      <c r="R233" s="402"/>
      <c r="S233" s="402"/>
      <c r="T233" s="403">
        <f t="shared" si="1"/>
        <v>0</v>
      </c>
      <c r="U233" s="209"/>
      <c r="V233" s="400"/>
      <c r="W233" s="400"/>
      <c r="X233" s="203"/>
      <c r="Y233" s="203"/>
      <c r="Z233" s="203"/>
    </row>
    <row r="234" spans="1:26" ht="25.5" customHeight="1">
      <c r="A234" s="206"/>
      <c r="B234" s="207"/>
      <c r="C234" s="206"/>
      <c r="D234" s="207"/>
      <c r="E234" s="207"/>
      <c r="F234" s="207"/>
      <c r="G234" s="400"/>
      <c r="H234" s="400"/>
      <c r="I234" s="400"/>
      <c r="J234" s="400"/>
      <c r="K234" s="401"/>
      <c r="L234" s="401"/>
      <c r="M234" s="208">
        <f t="shared" si="0"/>
        <v>0</v>
      </c>
      <c r="N234" s="400"/>
      <c r="O234" s="400"/>
      <c r="P234" s="402"/>
      <c r="Q234" s="402"/>
      <c r="R234" s="402"/>
      <c r="S234" s="402"/>
      <c r="T234" s="403">
        <f t="shared" si="1"/>
        <v>0</v>
      </c>
      <c r="U234" s="209"/>
      <c r="V234" s="400"/>
      <c r="W234" s="400"/>
      <c r="X234" s="203"/>
      <c r="Y234" s="203"/>
      <c r="Z234" s="203"/>
    </row>
    <row r="235" spans="1:26" ht="25.5" customHeight="1">
      <c r="A235" s="206"/>
      <c r="B235" s="207"/>
      <c r="C235" s="206"/>
      <c r="D235" s="207"/>
      <c r="E235" s="207"/>
      <c r="F235" s="207"/>
      <c r="G235" s="400"/>
      <c r="H235" s="400"/>
      <c r="I235" s="400"/>
      <c r="J235" s="400"/>
      <c r="K235" s="401"/>
      <c r="L235" s="401"/>
      <c r="M235" s="208">
        <f t="shared" si="0"/>
        <v>0</v>
      </c>
      <c r="N235" s="400"/>
      <c r="O235" s="400"/>
      <c r="P235" s="402"/>
      <c r="Q235" s="402"/>
      <c r="R235" s="402"/>
      <c r="S235" s="402"/>
      <c r="T235" s="403">
        <f t="shared" si="1"/>
        <v>0</v>
      </c>
      <c r="U235" s="209"/>
      <c r="V235" s="400"/>
      <c r="W235" s="400"/>
      <c r="X235" s="203"/>
      <c r="Y235" s="203"/>
      <c r="Z235" s="203"/>
    </row>
    <row r="236" spans="1:26" ht="25.5" customHeight="1">
      <c r="A236" s="206"/>
      <c r="B236" s="207"/>
      <c r="C236" s="206"/>
      <c r="D236" s="207"/>
      <c r="E236" s="207"/>
      <c r="F236" s="207"/>
      <c r="G236" s="400"/>
      <c r="H236" s="400"/>
      <c r="I236" s="400"/>
      <c r="J236" s="400"/>
      <c r="K236" s="401"/>
      <c r="L236" s="401"/>
      <c r="M236" s="208">
        <f t="shared" si="0"/>
        <v>0</v>
      </c>
      <c r="N236" s="400"/>
      <c r="O236" s="400"/>
      <c r="P236" s="402"/>
      <c r="Q236" s="402"/>
      <c r="R236" s="402"/>
      <c r="S236" s="402"/>
      <c r="T236" s="403">
        <f t="shared" si="1"/>
        <v>0</v>
      </c>
      <c r="U236" s="209"/>
      <c r="V236" s="400"/>
      <c r="W236" s="400"/>
      <c r="X236" s="203"/>
      <c r="Y236" s="203"/>
      <c r="Z236" s="203"/>
    </row>
    <row r="237" spans="1:26" ht="25.5" customHeight="1">
      <c r="A237" s="206"/>
      <c r="B237" s="207"/>
      <c r="C237" s="206"/>
      <c r="D237" s="207"/>
      <c r="E237" s="207"/>
      <c r="F237" s="207"/>
      <c r="G237" s="400"/>
      <c r="H237" s="400"/>
      <c r="I237" s="400"/>
      <c r="J237" s="400"/>
      <c r="K237" s="401"/>
      <c r="L237" s="401"/>
      <c r="M237" s="208">
        <f t="shared" si="0"/>
        <v>0</v>
      </c>
      <c r="N237" s="400"/>
      <c r="O237" s="400"/>
      <c r="P237" s="402"/>
      <c r="Q237" s="402"/>
      <c r="R237" s="402"/>
      <c r="S237" s="402"/>
      <c r="T237" s="403">
        <f t="shared" si="1"/>
        <v>0</v>
      </c>
      <c r="U237" s="209"/>
      <c r="V237" s="400"/>
      <c r="W237" s="400"/>
      <c r="X237" s="203"/>
      <c r="Y237" s="203"/>
      <c r="Z237" s="203"/>
    </row>
    <row r="238" spans="1:26" ht="25.5" customHeight="1">
      <c r="A238" s="206"/>
      <c r="B238" s="207"/>
      <c r="C238" s="206"/>
      <c r="D238" s="207"/>
      <c r="E238" s="207"/>
      <c r="F238" s="207"/>
      <c r="G238" s="400"/>
      <c r="H238" s="400"/>
      <c r="I238" s="400"/>
      <c r="J238" s="400"/>
      <c r="K238" s="401"/>
      <c r="L238" s="401"/>
      <c r="M238" s="208">
        <f t="shared" si="0"/>
        <v>0</v>
      </c>
      <c r="N238" s="400"/>
      <c r="O238" s="400"/>
      <c r="P238" s="402"/>
      <c r="Q238" s="402"/>
      <c r="R238" s="402"/>
      <c r="S238" s="402"/>
      <c r="T238" s="403">
        <f t="shared" si="1"/>
        <v>0</v>
      </c>
      <c r="U238" s="209"/>
      <c r="V238" s="400"/>
      <c r="W238" s="400"/>
      <c r="X238" s="203"/>
      <c r="Y238" s="203"/>
      <c r="Z238" s="203"/>
    </row>
    <row r="239" spans="1:26" ht="25.5" customHeight="1">
      <c r="A239" s="206"/>
      <c r="B239" s="207"/>
      <c r="C239" s="206"/>
      <c r="D239" s="207"/>
      <c r="E239" s="207"/>
      <c r="F239" s="207"/>
      <c r="G239" s="400"/>
      <c r="H239" s="400"/>
      <c r="I239" s="400"/>
      <c r="J239" s="400"/>
      <c r="K239" s="401"/>
      <c r="L239" s="401"/>
      <c r="M239" s="208">
        <f t="shared" si="0"/>
        <v>0</v>
      </c>
      <c r="N239" s="400"/>
      <c r="O239" s="400"/>
      <c r="P239" s="402"/>
      <c r="Q239" s="402"/>
      <c r="R239" s="402"/>
      <c r="S239" s="402"/>
      <c r="T239" s="403">
        <f t="shared" si="1"/>
        <v>0</v>
      </c>
      <c r="U239" s="209"/>
      <c r="V239" s="400"/>
      <c r="W239" s="400"/>
      <c r="X239" s="203"/>
      <c r="Y239" s="203"/>
      <c r="Z239" s="203"/>
    </row>
    <row r="240" spans="1:26" ht="25.5" customHeight="1">
      <c r="A240" s="206"/>
      <c r="B240" s="207"/>
      <c r="C240" s="206"/>
      <c r="D240" s="207"/>
      <c r="E240" s="207"/>
      <c r="F240" s="207"/>
      <c r="G240" s="400"/>
      <c r="H240" s="400"/>
      <c r="I240" s="400"/>
      <c r="J240" s="400"/>
      <c r="K240" s="401"/>
      <c r="L240" s="401"/>
      <c r="M240" s="208">
        <f t="shared" si="0"/>
        <v>0</v>
      </c>
      <c r="N240" s="400"/>
      <c r="O240" s="400"/>
      <c r="P240" s="402"/>
      <c r="Q240" s="402"/>
      <c r="R240" s="402"/>
      <c r="S240" s="402"/>
      <c r="T240" s="403">
        <f t="shared" si="1"/>
        <v>0</v>
      </c>
      <c r="U240" s="209"/>
      <c r="V240" s="400"/>
      <c r="W240" s="400"/>
      <c r="X240" s="203"/>
      <c r="Y240" s="203"/>
      <c r="Z240" s="203"/>
    </row>
    <row r="241" spans="1:26" ht="25.5" customHeight="1">
      <c r="A241" s="206"/>
      <c r="B241" s="207"/>
      <c r="C241" s="206"/>
      <c r="D241" s="207"/>
      <c r="E241" s="207"/>
      <c r="F241" s="207"/>
      <c r="G241" s="400"/>
      <c r="H241" s="400"/>
      <c r="I241" s="400"/>
      <c r="J241" s="400"/>
      <c r="K241" s="401"/>
      <c r="L241" s="401"/>
      <c r="M241" s="208">
        <f t="shared" si="0"/>
        <v>0</v>
      </c>
      <c r="N241" s="400"/>
      <c r="O241" s="400"/>
      <c r="P241" s="402"/>
      <c r="Q241" s="402"/>
      <c r="R241" s="402"/>
      <c r="S241" s="402"/>
      <c r="T241" s="403">
        <f t="shared" si="1"/>
        <v>0</v>
      </c>
      <c r="U241" s="209"/>
      <c r="V241" s="400"/>
      <c r="W241" s="400"/>
      <c r="X241" s="203"/>
      <c r="Y241" s="203"/>
      <c r="Z241" s="203"/>
    </row>
    <row r="242" spans="1:26" ht="25.5" customHeight="1">
      <c r="A242" s="206"/>
      <c r="B242" s="207"/>
      <c r="C242" s="206"/>
      <c r="D242" s="207"/>
      <c r="E242" s="207"/>
      <c r="F242" s="207"/>
      <c r="G242" s="400"/>
      <c r="H242" s="400"/>
      <c r="I242" s="400"/>
      <c r="J242" s="400"/>
      <c r="K242" s="401"/>
      <c r="L242" s="401"/>
      <c r="M242" s="208">
        <f t="shared" si="0"/>
        <v>0</v>
      </c>
      <c r="N242" s="400"/>
      <c r="O242" s="400"/>
      <c r="P242" s="402"/>
      <c r="Q242" s="402"/>
      <c r="R242" s="402"/>
      <c r="S242" s="402"/>
      <c r="T242" s="403">
        <f t="shared" si="1"/>
        <v>0</v>
      </c>
      <c r="U242" s="209"/>
      <c r="V242" s="400"/>
      <c r="W242" s="400"/>
      <c r="X242" s="203"/>
      <c r="Y242" s="203"/>
      <c r="Z242" s="203"/>
    </row>
    <row r="243" spans="1:26" ht="25.5" customHeight="1">
      <c r="A243" s="206"/>
      <c r="B243" s="207"/>
      <c r="C243" s="206"/>
      <c r="D243" s="207"/>
      <c r="E243" s="207"/>
      <c r="F243" s="207"/>
      <c r="G243" s="400"/>
      <c r="H243" s="400"/>
      <c r="I243" s="400"/>
      <c r="J243" s="400"/>
      <c r="K243" s="401"/>
      <c r="L243" s="401"/>
      <c r="M243" s="208">
        <f t="shared" si="0"/>
        <v>0</v>
      </c>
      <c r="N243" s="400"/>
      <c r="O243" s="400"/>
      <c r="P243" s="402"/>
      <c r="Q243" s="402"/>
      <c r="R243" s="402"/>
      <c r="S243" s="402"/>
      <c r="T243" s="403">
        <f t="shared" si="1"/>
        <v>0</v>
      </c>
      <c r="U243" s="209"/>
      <c r="V243" s="400"/>
      <c r="W243" s="400"/>
      <c r="X243" s="203"/>
      <c r="Y243" s="203"/>
      <c r="Z243" s="203"/>
    </row>
    <row r="244" spans="1:26" ht="25.5" customHeight="1">
      <c r="A244" s="206"/>
      <c r="B244" s="207"/>
      <c r="C244" s="206"/>
      <c r="D244" s="207"/>
      <c r="E244" s="207"/>
      <c r="F244" s="207"/>
      <c r="G244" s="400"/>
      <c r="H244" s="400"/>
      <c r="I244" s="400"/>
      <c r="J244" s="400"/>
      <c r="K244" s="401"/>
      <c r="L244" s="401"/>
      <c r="M244" s="208">
        <f t="shared" si="0"/>
        <v>0</v>
      </c>
      <c r="N244" s="400"/>
      <c r="O244" s="400"/>
      <c r="P244" s="402"/>
      <c r="Q244" s="402"/>
      <c r="R244" s="402"/>
      <c r="S244" s="402"/>
      <c r="T244" s="403">
        <f t="shared" si="1"/>
        <v>0</v>
      </c>
      <c r="U244" s="209"/>
      <c r="V244" s="400"/>
      <c r="W244" s="400"/>
      <c r="X244" s="203"/>
      <c r="Y244" s="203"/>
      <c r="Z244" s="203"/>
    </row>
    <row r="245" spans="1:26" ht="25.5" customHeight="1">
      <c r="A245" s="206"/>
      <c r="B245" s="207"/>
      <c r="C245" s="206"/>
      <c r="D245" s="207"/>
      <c r="E245" s="207"/>
      <c r="F245" s="207"/>
      <c r="G245" s="400"/>
      <c r="H245" s="400"/>
      <c r="I245" s="400"/>
      <c r="J245" s="400"/>
      <c r="K245" s="401"/>
      <c r="L245" s="401"/>
      <c r="M245" s="208">
        <f t="shared" si="0"/>
        <v>0</v>
      </c>
      <c r="N245" s="400"/>
      <c r="O245" s="400"/>
      <c r="P245" s="402"/>
      <c r="Q245" s="402"/>
      <c r="R245" s="402"/>
      <c r="S245" s="402"/>
      <c r="T245" s="403">
        <f t="shared" si="1"/>
        <v>0</v>
      </c>
      <c r="U245" s="209"/>
      <c r="V245" s="400"/>
      <c r="W245" s="400"/>
      <c r="X245" s="203"/>
      <c r="Y245" s="203"/>
      <c r="Z245" s="203"/>
    </row>
    <row r="246" spans="1:26" ht="25.5" customHeight="1">
      <c r="A246" s="206"/>
      <c r="B246" s="207"/>
      <c r="C246" s="206"/>
      <c r="D246" s="207"/>
      <c r="E246" s="207"/>
      <c r="F246" s="207"/>
      <c r="G246" s="400"/>
      <c r="H246" s="400"/>
      <c r="I246" s="400"/>
      <c r="J246" s="400"/>
      <c r="K246" s="401"/>
      <c r="L246" s="401"/>
      <c r="M246" s="208">
        <f t="shared" si="0"/>
        <v>0</v>
      </c>
      <c r="N246" s="400"/>
      <c r="O246" s="400"/>
      <c r="P246" s="402"/>
      <c r="Q246" s="402"/>
      <c r="R246" s="402"/>
      <c r="S246" s="402"/>
      <c r="T246" s="403">
        <f t="shared" si="1"/>
        <v>0</v>
      </c>
      <c r="U246" s="209"/>
      <c r="V246" s="400"/>
      <c r="W246" s="400"/>
      <c r="X246" s="203"/>
      <c r="Y246" s="203"/>
      <c r="Z246" s="203"/>
    </row>
    <row r="247" spans="1:26" ht="25.5" customHeight="1">
      <c r="A247" s="206"/>
      <c r="B247" s="207"/>
      <c r="C247" s="206"/>
      <c r="D247" s="207"/>
      <c r="E247" s="207"/>
      <c r="F247" s="207"/>
      <c r="G247" s="400"/>
      <c r="H247" s="400"/>
      <c r="I247" s="400"/>
      <c r="J247" s="400"/>
      <c r="K247" s="401"/>
      <c r="L247" s="401"/>
      <c r="M247" s="208">
        <f t="shared" si="0"/>
        <v>0</v>
      </c>
      <c r="N247" s="400"/>
      <c r="O247" s="400"/>
      <c r="P247" s="402"/>
      <c r="Q247" s="402"/>
      <c r="R247" s="402"/>
      <c r="S247" s="402"/>
      <c r="T247" s="403">
        <f t="shared" si="1"/>
        <v>0</v>
      </c>
      <c r="U247" s="209"/>
      <c r="V247" s="400"/>
      <c r="W247" s="400"/>
      <c r="X247" s="203"/>
      <c r="Y247" s="203"/>
      <c r="Z247" s="203"/>
    </row>
    <row r="248" spans="1:26" ht="25.5" customHeight="1">
      <c r="A248" s="206"/>
      <c r="B248" s="207"/>
      <c r="C248" s="206"/>
      <c r="D248" s="207"/>
      <c r="E248" s="207"/>
      <c r="F248" s="207"/>
      <c r="G248" s="400"/>
      <c r="H248" s="400"/>
      <c r="I248" s="400"/>
      <c r="J248" s="400"/>
      <c r="K248" s="401"/>
      <c r="L248" s="401"/>
      <c r="M248" s="208">
        <f t="shared" si="0"/>
        <v>0</v>
      </c>
      <c r="N248" s="400"/>
      <c r="O248" s="400"/>
      <c r="P248" s="402"/>
      <c r="Q248" s="402"/>
      <c r="R248" s="402"/>
      <c r="S248" s="402"/>
      <c r="T248" s="403">
        <f t="shared" si="1"/>
        <v>0</v>
      </c>
      <c r="U248" s="209"/>
      <c r="V248" s="400"/>
      <c r="W248" s="400"/>
      <c r="X248" s="203"/>
      <c r="Y248" s="203"/>
      <c r="Z248" s="203"/>
    </row>
    <row r="249" spans="1:26" ht="25.5" customHeight="1">
      <c r="A249" s="206"/>
      <c r="B249" s="207"/>
      <c r="C249" s="206"/>
      <c r="D249" s="207"/>
      <c r="E249" s="207"/>
      <c r="F249" s="207"/>
      <c r="G249" s="400"/>
      <c r="H249" s="400"/>
      <c r="I249" s="400"/>
      <c r="J249" s="400"/>
      <c r="K249" s="401"/>
      <c r="L249" s="401"/>
      <c r="M249" s="208">
        <f t="shared" si="0"/>
        <v>0</v>
      </c>
      <c r="N249" s="400"/>
      <c r="O249" s="400"/>
      <c r="P249" s="402"/>
      <c r="Q249" s="402"/>
      <c r="R249" s="402"/>
      <c r="S249" s="402"/>
      <c r="T249" s="403">
        <f t="shared" si="1"/>
        <v>0</v>
      </c>
      <c r="U249" s="209"/>
      <c r="V249" s="400"/>
      <c r="W249" s="400"/>
      <c r="X249" s="203"/>
      <c r="Y249" s="203"/>
      <c r="Z249" s="203"/>
    </row>
    <row r="250" spans="1:26" ht="25.5" customHeight="1">
      <c r="A250" s="206"/>
      <c r="B250" s="207"/>
      <c r="C250" s="206"/>
      <c r="D250" s="207"/>
      <c r="E250" s="207"/>
      <c r="F250" s="207"/>
      <c r="G250" s="400"/>
      <c r="H250" s="400"/>
      <c r="I250" s="400"/>
      <c r="J250" s="400"/>
      <c r="K250" s="401"/>
      <c r="L250" s="401"/>
      <c r="M250" s="208">
        <f t="shared" si="0"/>
        <v>0</v>
      </c>
      <c r="N250" s="400"/>
      <c r="O250" s="400"/>
      <c r="P250" s="402"/>
      <c r="Q250" s="402"/>
      <c r="R250" s="402"/>
      <c r="S250" s="402"/>
      <c r="T250" s="403">
        <f t="shared" si="1"/>
        <v>0</v>
      </c>
      <c r="U250" s="209"/>
      <c r="V250" s="400"/>
      <c r="W250" s="400"/>
      <c r="X250" s="203"/>
      <c r="Y250" s="203"/>
      <c r="Z250" s="203"/>
    </row>
    <row r="251" spans="1:26" ht="25.5" customHeight="1">
      <c r="A251" s="206"/>
      <c r="B251" s="207"/>
      <c r="C251" s="206"/>
      <c r="D251" s="207"/>
      <c r="E251" s="207"/>
      <c r="F251" s="207"/>
      <c r="G251" s="400"/>
      <c r="H251" s="400"/>
      <c r="I251" s="400"/>
      <c r="J251" s="400"/>
      <c r="K251" s="401"/>
      <c r="L251" s="401"/>
      <c r="M251" s="208">
        <f t="shared" si="0"/>
        <v>0</v>
      </c>
      <c r="N251" s="400"/>
      <c r="O251" s="400"/>
      <c r="P251" s="402"/>
      <c r="Q251" s="402"/>
      <c r="R251" s="402"/>
      <c r="S251" s="402"/>
      <c r="T251" s="403">
        <f t="shared" si="1"/>
        <v>0</v>
      </c>
      <c r="U251" s="209"/>
      <c r="V251" s="400"/>
      <c r="W251" s="400"/>
      <c r="X251" s="203"/>
      <c r="Y251" s="203"/>
      <c r="Z251" s="203"/>
    </row>
    <row r="252" spans="1:26" ht="25.5" customHeight="1">
      <c r="A252" s="206"/>
      <c r="B252" s="207"/>
      <c r="C252" s="206"/>
      <c r="D252" s="207"/>
      <c r="E252" s="207"/>
      <c r="F252" s="207"/>
      <c r="G252" s="400"/>
      <c r="H252" s="400"/>
      <c r="I252" s="400"/>
      <c r="J252" s="400"/>
      <c r="K252" s="401"/>
      <c r="L252" s="401"/>
      <c r="M252" s="208">
        <f t="shared" si="0"/>
        <v>0</v>
      </c>
      <c r="N252" s="400"/>
      <c r="O252" s="400"/>
      <c r="P252" s="402"/>
      <c r="Q252" s="402"/>
      <c r="R252" s="402"/>
      <c r="S252" s="402"/>
      <c r="T252" s="403">
        <f t="shared" si="1"/>
        <v>0</v>
      </c>
      <c r="U252" s="209"/>
      <c r="V252" s="400"/>
      <c r="W252" s="400"/>
      <c r="X252" s="203"/>
      <c r="Y252" s="203"/>
      <c r="Z252" s="203"/>
    </row>
    <row r="253" spans="1:26" ht="25.5" customHeight="1">
      <c r="A253" s="206"/>
      <c r="B253" s="207"/>
      <c r="C253" s="206"/>
      <c r="D253" s="207"/>
      <c r="E253" s="207"/>
      <c r="F253" s="207"/>
      <c r="G253" s="400"/>
      <c r="H253" s="400"/>
      <c r="I253" s="400"/>
      <c r="J253" s="400"/>
      <c r="K253" s="401"/>
      <c r="L253" s="401"/>
      <c r="M253" s="208">
        <f t="shared" si="0"/>
        <v>0</v>
      </c>
      <c r="N253" s="400"/>
      <c r="O253" s="400"/>
      <c r="P253" s="402"/>
      <c r="Q253" s="402"/>
      <c r="R253" s="402"/>
      <c r="S253" s="402"/>
      <c r="T253" s="403">
        <f t="shared" si="1"/>
        <v>0</v>
      </c>
      <c r="U253" s="209"/>
      <c r="V253" s="400"/>
      <c r="W253" s="400"/>
      <c r="X253" s="203"/>
      <c r="Y253" s="203"/>
      <c r="Z253" s="203"/>
    </row>
    <row r="254" spans="1:26" ht="25.5" customHeight="1">
      <c r="A254" s="206"/>
      <c r="B254" s="207"/>
      <c r="C254" s="206"/>
      <c r="D254" s="207"/>
      <c r="E254" s="207"/>
      <c r="F254" s="207"/>
      <c r="G254" s="400"/>
      <c r="H254" s="400"/>
      <c r="I254" s="400"/>
      <c r="J254" s="400"/>
      <c r="K254" s="401"/>
      <c r="L254" s="401"/>
      <c r="M254" s="208">
        <f t="shared" si="0"/>
        <v>0</v>
      </c>
      <c r="N254" s="400"/>
      <c r="O254" s="400"/>
      <c r="P254" s="402"/>
      <c r="Q254" s="402"/>
      <c r="R254" s="402"/>
      <c r="S254" s="402"/>
      <c r="T254" s="403">
        <f t="shared" si="1"/>
        <v>0</v>
      </c>
      <c r="U254" s="209"/>
      <c r="V254" s="400"/>
      <c r="W254" s="400"/>
      <c r="X254" s="203"/>
      <c r="Y254" s="203"/>
      <c r="Z254" s="203"/>
    </row>
    <row r="255" spans="1:26" ht="25.5" customHeight="1">
      <c r="A255" s="206"/>
      <c r="B255" s="207"/>
      <c r="C255" s="206"/>
      <c r="D255" s="207"/>
      <c r="E255" s="207"/>
      <c r="F255" s="207"/>
      <c r="G255" s="400"/>
      <c r="H255" s="400"/>
      <c r="I255" s="400"/>
      <c r="J255" s="400"/>
      <c r="K255" s="401"/>
      <c r="L255" s="401"/>
      <c r="M255" s="208">
        <f t="shared" si="0"/>
        <v>0</v>
      </c>
      <c r="N255" s="400"/>
      <c r="O255" s="400"/>
      <c r="P255" s="402"/>
      <c r="Q255" s="402"/>
      <c r="R255" s="402"/>
      <c r="S255" s="402"/>
      <c r="T255" s="403">
        <f t="shared" si="1"/>
        <v>0</v>
      </c>
      <c r="U255" s="209"/>
      <c r="V255" s="400"/>
      <c r="W255" s="400"/>
      <c r="X255" s="203"/>
      <c r="Y255" s="203"/>
      <c r="Z255" s="203"/>
    </row>
    <row r="256" spans="1:26" ht="25.5" customHeight="1">
      <c r="A256" s="206"/>
      <c r="B256" s="207"/>
      <c r="C256" s="206"/>
      <c r="D256" s="207"/>
      <c r="E256" s="207"/>
      <c r="F256" s="207"/>
      <c r="G256" s="400"/>
      <c r="H256" s="400"/>
      <c r="I256" s="400"/>
      <c r="J256" s="400"/>
      <c r="K256" s="401"/>
      <c r="L256" s="401"/>
      <c r="M256" s="208">
        <f t="shared" si="0"/>
        <v>0</v>
      </c>
      <c r="N256" s="400"/>
      <c r="O256" s="400"/>
      <c r="P256" s="402"/>
      <c r="Q256" s="402"/>
      <c r="R256" s="402"/>
      <c r="S256" s="402"/>
      <c r="T256" s="403">
        <f t="shared" si="1"/>
        <v>0</v>
      </c>
      <c r="U256" s="209"/>
      <c r="V256" s="400"/>
      <c r="W256" s="400"/>
      <c r="X256" s="203"/>
      <c r="Y256" s="203"/>
      <c r="Z256" s="203"/>
    </row>
    <row r="257" spans="1:26" ht="25.5" customHeight="1">
      <c r="A257" s="206"/>
      <c r="B257" s="207"/>
      <c r="C257" s="206"/>
      <c r="D257" s="207"/>
      <c r="E257" s="207"/>
      <c r="F257" s="207"/>
      <c r="G257" s="400"/>
      <c r="H257" s="400"/>
      <c r="I257" s="400"/>
      <c r="J257" s="400"/>
      <c r="K257" s="401"/>
      <c r="L257" s="401"/>
      <c r="M257" s="208">
        <f t="shared" si="0"/>
        <v>0</v>
      </c>
      <c r="N257" s="400"/>
      <c r="O257" s="400"/>
      <c r="P257" s="402"/>
      <c r="Q257" s="402"/>
      <c r="R257" s="402"/>
      <c r="S257" s="402"/>
      <c r="T257" s="403">
        <f t="shared" si="1"/>
        <v>0</v>
      </c>
      <c r="U257" s="209"/>
      <c r="V257" s="400"/>
      <c r="W257" s="400"/>
      <c r="X257" s="203"/>
      <c r="Y257" s="203"/>
      <c r="Z257" s="203"/>
    </row>
    <row r="258" spans="1:26" ht="25.5" customHeight="1">
      <c r="A258" s="206"/>
      <c r="B258" s="207"/>
      <c r="C258" s="206"/>
      <c r="D258" s="207"/>
      <c r="E258" s="207"/>
      <c r="F258" s="207"/>
      <c r="G258" s="400"/>
      <c r="H258" s="400"/>
      <c r="I258" s="400"/>
      <c r="J258" s="400"/>
      <c r="K258" s="401"/>
      <c r="L258" s="401"/>
      <c r="M258" s="208">
        <f t="shared" si="0"/>
        <v>0</v>
      </c>
      <c r="N258" s="400"/>
      <c r="O258" s="400"/>
      <c r="P258" s="402"/>
      <c r="Q258" s="402"/>
      <c r="R258" s="402"/>
      <c r="S258" s="402"/>
      <c r="T258" s="403">
        <f t="shared" si="1"/>
        <v>0</v>
      </c>
      <c r="U258" s="209"/>
      <c r="V258" s="400"/>
      <c r="W258" s="400"/>
      <c r="X258" s="203"/>
      <c r="Y258" s="203"/>
      <c r="Z258" s="203"/>
    </row>
    <row r="259" spans="1:26" ht="25.5" customHeight="1">
      <c r="A259" s="206"/>
      <c r="B259" s="207"/>
      <c r="C259" s="206"/>
      <c r="D259" s="207"/>
      <c r="E259" s="207"/>
      <c r="F259" s="207"/>
      <c r="G259" s="400"/>
      <c r="H259" s="400"/>
      <c r="I259" s="400"/>
      <c r="J259" s="400"/>
      <c r="K259" s="401"/>
      <c r="L259" s="401"/>
      <c r="M259" s="208">
        <f t="shared" si="0"/>
        <v>0</v>
      </c>
      <c r="N259" s="400"/>
      <c r="O259" s="400"/>
      <c r="P259" s="402"/>
      <c r="Q259" s="402"/>
      <c r="R259" s="402"/>
      <c r="S259" s="402"/>
      <c r="T259" s="403">
        <f t="shared" si="1"/>
        <v>0</v>
      </c>
      <c r="U259" s="209"/>
      <c r="V259" s="400"/>
      <c r="W259" s="400"/>
      <c r="X259" s="203"/>
      <c r="Y259" s="203"/>
      <c r="Z259" s="203"/>
    </row>
    <row r="260" spans="1:26" ht="25.5" customHeight="1">
      <c r="A260" s="206"/>
      <c r="B260" s="207"/>
      <c r="C260" s="206"/>
      <c r="D260" s="207"/>
      <c r="E260" s="207"/>
      <c r="F260" s="207"/>
      <c r="G260" s="400"/>
      <c r="H260" s="400"/>
      <c r="I260" s="400"/>
      <c r="J260" s="400"/>
      <c r="K260" s="401"/>
      <c r="L260" s="401"/>
      <c r="M260" s="208">
        <f t="shared" si="0"/>
        <v>0</v>
      </c>
      <c r="N260" s="400"/>
      <c r="O260" s="400"/>
      <c r="P260" s="402"/>
      <c r="Q260" s="402"/>
      <c r="R260" s="402"/>
      <c r="S260" s="402"/>
      <c r="T260" s="403">
        <f t="shared" si="1"/>
        <v>0</v>
      </c>
      <c r="U260" s="209"/>
      <c r="V260" s="400"/>
      <c r="W260" s="400"/>
      <c r="X260" s="203"/>
      <c r="Y260" s="203"/>
      <c r="Z260" s="203"/>
    </row>
    <row r="261" spans="1:26" ht="25.5" customHeight="1">
      <c r="A261" s="206"/>
      <c r="B261" s="207"/>
      <c r="C261" s="206"/>
      <c r="D261" s="207"/>
      <c r="E261" s="207"/>
      <c r="F261" s="207"/>
      <c r="G261" s="400"/>
      <c r="H261" s="400"/>
      <c r="I261" s="400"/>
      <c r="J261" s="400"/>
      <c r="K261" s="401"/>
      <c r="L261" s="401"/>
      <c r="M261" s="208">
        <f t="shared" si="0"/>
        <v>0</v>
      </c>
      <c r="N261" s="400"/>
      <c r="O261" s="400"/>
      <c r="P261" s="402"/>
      <c r="Q261" s="402"/>
      <c r="R261" s="402"/>
      <c r="S261" s="402"/>
      <c r="T261" s="403">
        <f t="shared" si="1"/>
        <v>0</v>
      </c>
      <c r="U261" s="209"/>
      <c r="V261" s="400"/>
      <c r="W261" s="400"/>
      <c r="X261" s="203"/>
      <c r="Y261" s="203"/>
      <c r="Z261" s="203"/>
    </row>
    <row r="262" spans="1:26" ht="25.5" customHeight="1">
      <c r="A262" s="206"/>
      <c r="B262" s="207"/>
      <c r="C262" s="206"/>
      <c r="D262" s="207"/>
      <c r="E262" s="207"/>
      <c r="F262" s="207"/>
      <c r="G262" s="400"/>
      <c r="H262" s="400"/>
      <c r="I262" s="400"/>
      <c r="J262" s="400"/>
      <c r="K262" s="401"/>
      <c r="L262" s="401"/>
      <c r="M262" s="208">
        <f t="shared" si="0"/>
        <v>0</v>
      </c>
      <c r="N262" s="400"/>
      <c r="O262" s="400"/>
      <c r="P262" s="402"/>
      <c r="Q262" s="402"/>
      <c r="R262" s="402"/>
      <c r="S262" s="402"/>
      <c r="T262" s="403">
        <f t="shared" si="1"/>
        <v>0</v>
      </c>
      <c r="U262" s="209"/>
      <c r="V262" s="400"/>
      <c r="W262" s="400"/>
      <c r="X262" s="203"/>
      <c r="Y262" s="203"/>
      <c r="Z262" s="203"/>
    </row>
    <row r="263" spans="1:26" ht="25.5" customHeight="1">
      <c r="A263" s="206"/>
      <c r="B263" s="207"/>
      <c r="C263" s="206"/>
      <c r="D263" s="207"/>
      <c r="E263" s="207"/>
      <c r="F263" s="207"/>
      <c r="G263" s="400"/>
      <c r="H263" s="400"/>
      <c r="I263" s="400"/>
      <c r="J263" s="400"/>
      <c r="K263" s="401"/>
      <c r="L263" s="401"/>
      <c r="M263" s="208">
        <f t="shared" si="0"/>
        <v>0</v>
      </c>
      <c r="N263" s="400"/>
      <c r="O263" s="400"/>
      <c r="P263" s="402"/>
      <c r="Q263" s="402"/>
      <c r="R263" s="402"/>
      <c r="S263" s="402"/>
      <c r="T263" s="403">
        <f t="shared" si="1"/>
        <v>0</v>
      </c>
      <c r="U263" s="209"/>
      <c r="V263" s="400"/>
      <c r="W263" s="400"/>
      <c r="X263" s="203"/>
      <c r="Y263" s="203"/>
      <c r="Z263" s="203"/>
    </row>
    <row r="264" spans="1:26" ht="25.5" customHeight="1">
      <c r="A264" s="206"/>
      <c r="B264" s="207"/>
      <c r="C264" s="206"/>
      <c r="D264" s="207"/>
      <c r="E264" s="207"/>
      <c r="F264" s="207"/>
      <c r="G264" s="400"/>
      <c r="H264" s="400"/>
      <c r="I264" s="400"/>
      <c r="J264" s="400"/>
      <c r="K264" s="401"/>
      <c r="L264" s="401"/>
      <c r="M264" s="208">
        <f t="shared" si="0"/>
        <v>0</v>
      </c>
      <c r="N264" s="400"/>
      <c r="O264" s="400"/>
      <c r="P264" s="402"/>
      <c r="Q264" s="402"/>
      <c r="R264" s="402"/>
      <c r="S264" s="402"/>
      <c r="T264" s="403">
        <f t="shared" si="1"/>
        <v>0</v>
      </c>
      <c r="U264" s="209"/>
      <c r="V264" s="400"/>
      <c r="W264" s="400"/>
      <c r="X264" s="203"/>
      <c r="Y264" s="203"/>
      <c r="Z264" s="203"/>
    </row>
    <row r="265" spans="1:26" ht="25.5" customHeight="1">
      <c r="A265" s="206"/>
      <c r="B265" s="207"/>
      <c r="C265" s="206"/>
      <c r="D265" s="207"/>
      <c r="E265" s="207"/>
      <c r="F265" s="207"/>
      <c r="G265" s="400"/>
      <c r="H265" s="400"/>
      <c r="I265" s="400"/>
      <c r="J265" s="400"/>
      <c r="K265" s="401"/>
      <c r="L265" s="401"/>
      <c r="M265" s="208">
        <f t="shared" si="0"/>
        <v>0</v>
      </c>
      <c r="N265" s="400"/>
      <c r="O265" s="400"/>
      <c r="P265" s="402"/>
      <c r="Q265" s="402"/>
      <c r="R265" s="402"/>
      <c r="S265" s="402"/>
      <c r="T265" s="403">
        <f t="shared" si="1"/>
        <v>0</v>
      </c>
      <c r="U265" s="209"/>
      <c r="V265" s="400"/>
      <c r="W265" s="400"/>
      <c r="X265" s="203"/>
      <c r="Y265" s="203"/>
      <c r="Z265" s="203"/>
    </row>
    <row r="266" spans="1:26" ht="25.5" customHeight="1">
      <c r="A266" s="206"/>
      <c r="B266" s="207"/>
      <c r="C266" s="206"/>
      <c r="D266" s="207"/>
      <c r="E266" s="207"/>
      <c r="F266" s="207"/>
      <c r="G266" s="400"/>
      <c r="H266" s="400"/>
      <c r="I266" s="400"/>
      <c r="J266" s="400"/>
      <c r="K266" s="401"/>
      <c r="L266" s="401"/>
      <c r="M266" s="208">
        <f t="shared" si="0"/>
        <v>0</v>
      </c>
      <c r="N266" s="400"/>
      <c r="O266" s="400"/>
      <c r="P266" s="402"/>
      <c r="Q266" s="402"/>
      <c r="R266" s="402"/>
      <c r="S266" s="402"/>
      <c r="T266" s="403">
        <f t="shared" si="1"/>
        <v>0</v>
      </c>
      <c r="U266" s="209"/>
      <c r="V266" s="400"/>
      <c r="W266" s="400"/>
      <c r="X266" s="203"/>
      <c r="Y266" s="203"/>
      <c r="Z266" s="203"/>
    </row>
    <row r="267" spans="1:26" ht="25.5" customHeight="1">
      <c r="A267" s="206"/>
      <c r="B267" s="207"/>
      <c r="C267" s="206"/>
      <c r="D267" s="207"/>
      <c r="E267" s="207"/>
      <c r="F267" s="207"/>
      <c r="G267" s="400"/>
      <c r="H267" s="400"/>
      <c r="I267" s="400"/>
      <c r="J267" s="400"/>
      <c r="K267" s="401"/>
      <c r="L267" s="401"/>
      <c r="M267" s="208">
        <f t="shared" si="0"/>
        <v>0</v>
      </c>
      <c r="N267" s="400"/>
      <c r="O267" s="400"/>
      <c r="P267" s="402"/>
      <c r="Q267" s="402"/>
      <c r="R267" s="402"/>
      <c r="S267" s="402"/>
      <c r="T267" s="403">
        <f t="shared" si="1"/>
        <v>0</v>
      </c>
      <c r="U267" s="209"/>
      <c r="V267" s="400"/>
      <c r="W267" s="400"/>
      <c r="X267" s="203"/>
      <c r="Y267" s="203"/>
      <c r="Z267" s="203"/>
    </row>
    <row r="268" spans="1:26" ht="25.5" customHeight="1">
      <c r="A268" s="206"/>
      <c r="B268" s="207"/>
      <c r="C268" s="206"/>
      <c r="D268" s="207"/>
      <c r="E268" s="207"/>
      <c r="F268" s="207"/>
      <c r="G268" s="400"/>
      <c r="H268" s="400"/>
      <c r="I268" s="400"/>
      <c r="J268" s="400"/>
      <c r="K268" s="401"/>
      <c r="L268" s="401"/>
      <c r="M268" s="208">
        <f t="shared" si="0"/>
        <v>0</v>
      </c>
      <c r="N268" s="400"/>
      <c r="O268" s="400"/>
      <c r="P268" s="402"/>
      <c r="Q268" s="402"/>
      <c r="R268" s="402"/>
      <c r="S268" s="402"/>
      <c r="T268" s="403">
        <f t="shared" si="1"/>
        <v>0</v>
      </c>
      <c r="U268" s="209"/>
      <c r="V268" s="400"/>
      <c r="W268" s="400"/>
      <c r="X268" s="203"/>
      <c r="Y268" s="203"/>
      <c r="Z268" s="203"/>
    </row>
    <row r="269" spans="1:26" ht="25.5" customHeight="1">
      <c r="A269" s="206"/>
      <c r="B269" s="207"/>
      <c r="C269" s="206"/>
      <c r="D269" s="207"/>
      <c r="E269" s="207"/>
      <c r="F269" s="207"/>
      <c r="G269" s="400"/>
      <c r="H269" s="400"/>
      <c r="I269" s="400"/>
      <c r="J269" s="400"/>
      <c r="K269" s="401"/>
      <c r="L269" s="401"/>
      <c r="M269" s="208">
        <f t="shared" si="0"/>
        <v>0</v>
      </c>
      <c r="N269" s="400"/>
      <c r="O269" s="400"/>
      <c r="P269" s="402"/>
      <c r="Q269" s="402"/>
      <c r="R269" s="402"/>
      <c r="S269" s="402"/>
      <c r="T269" s="403">
        <f t="shared" si="1"/>
        <v>0</v>
      </c>
      <c r="U269" s="209"/>
      <c r="V269" s="400"/>
      <c r="W269" s="400"/>
      <c r="X269" s="203"/>
      <c r="Y269" s="203"/>
      <c r="Z269" s="203"/>
    </row>
    <row r="270" spans="1:26" ht="25.5" customHeight="1">
      <c r="A270" s="206"/>
      <c r="B270" s="207"/>
      <c r="C270" s="206"/>
      <c r="D270" s="207"/>
      <c r="E270" s="207"/>
      <c r="F270" s="207"/>
      <c r="G270" s="400"/>
      <c r="H270" s="400"/>
      <c r="I270" s="400"/>
      <c r="J270" s="400"/>
      <c r="K270" s="401"/>
      <c r="L270" s="401"/>
      <c r="M270" s="208">
        <f t="shared" si="0"/>
        <v>0</v>
      </c>
      <c r="N270" s="400"/>
      <c r="O270" s="400"/>
      <c r="P270" s="402"/>
      <c r="Q270" s="402"/>
      <c r="R270" s="402"/>
      <c r="S270" s="402"/>
      <c r="T270" s="403">
        <f t="shared" si="1"/>
        <v>0</v>
      </c>
      <c r="U270" s="209"/>
      <c r="V270" s="400"/>
      <c r="W270" s="400"/>
      <c r="X270" s="203"/>
      <c r="Y270" s="203"/>
      <c r="Z270" s="203"/>
    </row>
    <row r="271" spans="1:26" ht="25.5" customHeight="1">
      <c r="A271" s="206"/>
      <c r="B271" s="207"/>
      <c r="C271" s="206"/>
      <c r="D271" s="207"/>
      <c r="E271" s="207"/>
      <c r="F271" s="207"/>
      <c r="G271" s="400"/>
      <c r="H271" s="400"/>
      <c r="I271" s="400"/>
      <c r="J271" s="400"/>
      <c r="K271" s="401"/>
      <c r="L271" s="401"/>
      <c r="M271" s="208">
        <f t="shared" si="0"/>
        <v>0</v>
      </c>
      <c r="N271" s="400"/>
      <c r="O271" s="400"/>
      <c r="P271" s="402"/>
      <c r="Q271" s="402"/>
      <c r="R271" s="402"/>
      <c r="S271" s="402"/>
      <c r="T271" s="403">
        <f t="shared" si="1"/>
        <v>0</v>
      </c>
      <c r="U271" s="209"/>
      <c r="V271" s="400"/>
      <c r="W271" s="400"/>
      <c r="X271" s="203"/>
      <c r="Y271" s="203"/>
      <c r="Z271" s="203"/>
    </row>
    <row r="272" spans="1:26" ht="25.5" customHeight="1">
      <c r="A272" s="206"/>
      <c r="B272" s="207"/>
      <c r="C272" s="206"/>
      <c r="D272" s="207"/>
      <c r="E272" s="207"/>
      <c r="F272" s="207"/>
      <c r="G272" s="400"/>
      <c r="H272" s="400"/>
      <c r="I272" s="400"/>
      <c r="J272" s="400"/>
      <c r="K272" s="401"/>
      <c r="L272" s="401"/>
      <c r="M272" s="208">
        <f t="shared" si="0"/>
        <v>0</v>
      </c>
      <c r="N272" s="400"/>
      <c r="O272" s="400"/>
      <c r="P272" s="402"/>
      <c r="Q272" s="402"/>
      <c r="R272" s="402"/>
      <c r="S272" s="402"/>
      <c r="T272" s="403">
        <f t="shared" si="1"/>
        <v>0</v>
      </c>
      <c r="U272" s="209"/>
      <c r="V272" s="400"/>
      <c r="W272" s="400"/>
      <c r="X272" s="203"/>
      <c r="Y272" s="203"/>
      <c r="Z272" s="203"/>
    </row>
    <row r="273" spans="1:26" ht="25.5" customHeight="1">
      <c r="A273" s="206"/>
      <c r="B273" s="207"/>
      <c r="C273" s="206"/>
      <c r="D273" s="207"/>
      <c r="E273" s="207"/>
      <c r="F273" s="207"/>
      <c r="G273" s="400"/>
      <c r="H273" s="400"/>
      <c r="I273" s="400"/>
      <c r="J273" s="400"/>
      <c r="K273" s="401"/>
      <c r="L273" s="401"/>
      <c r="M273" s="208">
        <f t="shared" si="0"/>
        <v>0</v>
      </c>
      <c r="N273" s="400"/>
      <c r="O273" s="400"/>
      <c r="P273" s="402"/>
      <c r="Q273" s="402"/>
      <c r="R273" s="402"/>
      <c r="S273" s="402"/>
      <c r="T273" s="403">
        <f t="shared" si="1"/>
        <v>0</v>
      </c>
      <c r="U273" s="209"/>
      <c r="V273" s="400"/>
      <c r="W273" s="400"/>
      <c r="X273" s="203"/>
      <c r="Y273" s="203"/>
      <c r="Z273" s="203"/>
    </row>
    <row r="274" spans="1:26" ht="25.5" customHeight="1">
      <c r="A274" s="206"/>
      <c r="B274" s="207"/>
      <c r="C274" s="206"/>
      <c r="D274" s="207"/>
      <c r="E274" s="207"/>
      <c r="F274" s="207"/>
      <c r="G274" s="400"/>
      <c r="H274" s="400"/>
      <c r="I274" s="400"/>
      <c r="J274" s="400"/>
      <c r="K274" s="401"/>
      <c r="L274" s="401"/>
      <c r="M274" s="208">
        <f t="shared" si="0"/>
        <v>0</v>
      </c>
      <c r="N274" s="400"/>
      <c r="O274" s="400"/>
      <c r="P274" s="402"/>
      <c r="Q274" s="402"/>
      <c r="R274" s="402"/>
      <c r="S274" s="402"/>
      <c r="T274" s="403">
        <f t="shared" si="1"/>
        <v>0</v>
      </c>
      <c r="U274" s="209"/>
      <c r="V274" s="400"/>
      <c r="W274" s="400"/>
      <c r="X274" s="203"/>
      <c r="Y274" s="203"/>
      <c r="Z274" s="203"/>
    </row>
    <row r="275" spans="1:26" ht="25.5" customHeight="1">
      <c r="A275" s="206"/>
      <c r="B275" s="207"/>
      <c r="C275" s="206"/>
      <c r="D275" s="207"/>
      <c r="E275" s="207"/>
      <c r="F275" s="207"/>
      <c r="G275" s="400"/>
      <c r="H275" s="400"/>
      <c r="I275" s="400"/>
      <c r="J275" s="400"/>
      <c r="K275" s="401"/>
      <c r="L275" s="401"/>
      <c r="M275" s="208">
        <f t="shared" si="0"/>
        <v>0</v>
      </c>
      <c r="N275" s="400"/>
      <c r="O275" s="400"/>
      <c r="P275" s="402"/>
      <c r="Q275" s="402"/>
      <c r="R275" s="402"/>
      <c r="S275" s="402"/>
      <c r="T275" s="403">
        <f t="shared" si="1"/>
        <v>0</v>
      </c>
      <c r="U275" s="209"/>
      <c r="V275" s="400"/>
      <c r="W275" s="400"/>
      <c r="X275" s="203"/>
      <c r="Y275" s="203"/>
      <c r="Z275" s="203"/>
    </row>
    <row r="276" spans="1:26" ht="25.5" customHeight="1">
      <c r="A276" s="206"/>
      <c r="B276" s="207"/>
      <c r="C276" s="206"/>
      <c r="D276" s="207"/>
      <c r="E276" s="207"/>
      <c r="F276" s="207"/>
      <c r="G276" s="400"/>
      <c r="H276" s="400"/>
      <c r="I276" s="400"/>
      <c r="J276" s="400"/>
      <c r="K276" s="401"/>
      <c r="L276" s="401"/>
      <c r="M276" s="208">
        <f t="shared" si="0"/>
        <v>0</v>
      </c>
      <c r="N276" s="400"/>
      <c r="O276" s="400"/>
      <c r="P276" s="402"/>
      <c r="Q276" s="402"/>
      <c r="R276" s="402"/>
      <c r="S276" s="402"/>
      <c r="T276" s="403">
        <f t="shared" si="1"/>
        <v>0</v>
      </c>
      <c r="U276" s="209"/>
      <c r="V276" s="400"/>
      <c r="W276" s="400"/>
      <c r="X276" s="203"/>
      <c r="Y276" s="203"/>
      <c r="Z276" s="203"/>
    </row>
    <row r="277" spans="1:26" ht="25.5" customHeight="1">
      <c r="A277" s="206"/>
      <c r="B277" s="207"/>
      <c r="C277" s="206"/>
      <c r="D277" s="207"/>
      <c r="E277" s="207"/>
      <c r="F277" s="207"/>
      <c r="G277" s="400"/>
      <c r="H277" s="400"/>
      <c r="I277" s="400"/>
      <c r="J277" s="400"/>
      <c r="K277" s="401"/>
      <c r="L277" s="401"/>
      <c r="M277" s="208">
        <f t="shared" si="0"/>
        <v>0</v>
      </c>
      <c r="N277" s="400"/>
      <c r="O277" s="400"/>
      <c r="P277" s="402"/>
      <c r="Q277" s="402"/>
      <c r="R277" s="402"/>
      <c r="S277" s="402"/>
      <c r="T277" s="403">
        <f t="shared" si="1"/>
        <v>0</v>
      </c>
      <c r="U277" s="209"/>
      <c r="V277" s="400"/>
      <c r="W277" s="400"/>
      <c r="X277" s="203"/>
      <c r="Y277" s="203"/>
      <c r="Z277" s="203"/>
    </row>
    <row r="278" spans="1:26" ht="25.5" customHeight="1">
      <c r="A278" s="206"/>
      <c r="B278" s="207"/>
      <c r="C278" s="206"/>
      <c r="D278" s="207"/>
      <c r="E278" s="207"/>
      <c r="F278" s="207"/>
      <c r="G278" s="400"/>
      <c r="H278" s="400"/>
      <c r="I278" s="400"/>
      <c r="J278" s="400"/>
      <c r="K278" s="401"/>
      <c r="L278" s="401"/>
      <c r="M278" s="208">
        <f t="shared" si="0"/>
        <v>0</v>
      </c>
      <c r="N278" s="400"/>
      <c r="O278" s="400"/>
      <c r="P278" s="402"/>
      <c r="Q278" s="402"/>
      <c r="R278" s="402"/>
      <c r="S278" s="402"/>
      <c r="T278" s="403">
        <f t="shared" si="1"/>
        <v>0</v>
      </c>
      <c r="U278" s="209"/>
      <c r="V278" s="400"/>
      <c r="W278" s="400"/>
      <c r="X278" s="203"/>
      <c r="Y278" s="203"/>
      <c r="Z278" s="203"/>
    </row>
    <row r="279" spans="1:26" ht="25.5" customHeight="1">
      <c r="A279" s="206"/>
      <c r="B279" s="207"/>
      <c r="C279" s="206"/>
      <c r="D279" s="207"/>
      <c r="E279" s="207"/>
      <c r="F279" s="207"/>
      <c r="G279" s="400"/>
      <c r="H279" s="400"/>
      <c r="I279" s="400"/>
      <c r="J279" s="400"/>
      <c r="K279" s="401"/>
      <c r="L279" s="401"/>
      <c r="M279" s="208">
        <f t="shared" si="0"/>
        <v>0</v>
      </c>
      <c r="N279" s="400"/>
      <c r="O279" s="400"/>
      <c r="P279" s="402"/>
      <c r="Q279" s="402"/>
      <c r="R279" s="402"/>
      <c r="S279" s="402"/>
      <c r="T279" s="403">
        <f t="shared" si="1"/>
        <v>0</v>
      </c>
      <c r="U279" s="209"/>
      <c r="V279" s="400"/>
      <c r="W279" s="400"/>
      <c r="X279" s="203"/>
      <c r="Y279" s="203"/>
      <c r="Z279" s="203"/>
    </row>
    <row r="280" spans="1:26" ht="25.5" customHeight="1">
      <c r="A280" s="206"/>
      <c r="B280" s="207"/>
      <c r="C280" s="206"/>
      <c r="D280" s="207"/>
      <c r="E280" s="207"/>
      <c r="F280" s="207"/>
      <c r="G280" s="400"/>
      <c r="H280" s="400"/>
      <c r="I280" s="400"/>
      <c r="J280" s="400"/>
      <c r="K280" s="401"/>
      <c r="L280" s="401"/>
      <c r="M280" s="208">
        <f t="shared" si="0"/>
        <v>0</v>
      </c>
      <c r="N280" s="400"/>
      <c r="O280" s="400"/>
      <c r="P280" s="402"/>
      <c r="Q280" s="402"/>
      <c r="R280" s="402"/>
      <c r="S280" s="402"/>
      <c r="T280" s="403">
        <f t="shared" si="1"/>
        <v>0</v>
      </c>
      <c r="U280" s="209"/>
      <c r="V280" s="400"/>
      <c r="W280" s="400"/>
      <c r="X280" s="203"/>
      <c r="Y280" s="203"/>
      <c r="Z280" s="203"/>
    </row>
    <row r="281" spans="1:26" ht="25.5" customHeight="1">
      <c r="A281" s="206"/>
      <c r="B281" s="207"/>
      <c r="C281" s="206"/>
      <c r="D281" s="207"/>
      <c r="E281" s="207"/>
      <c r="F281" s="207"/>
      <c r="G281" s="400"/>
      <c r="H281" s="400"/>
      <c r="I281" s="400"/>
      <c r="J281" s="400"/>
      <c r="K281" s="401"/>
      <c r="L281" s="401"/>
      <c r="M281" s="208">
        <f t="shared" si="0"/>
        <v>0</v>
      </c>
      <c r="N281" s="400"/>
      <c r="O281" s="400"/>
      <c r="P281" s="402"/>
      <c r="Q281" s="402"/>
      <c r="R281" s="402"/>
      <c r="S281" s="402"/>
      <c r="T281" s="403">
        <f t="shared" si="1"/>
        <v>0</v>
      </c>
      <c r="U281" s="209"/>
      <c r="V281" s="400"/>
      <c r="W281" s="400"/>
      <c r="X281" s="203"/>
      <c r="Y281" s="203"/>
      <c r="Z281" s="203"/>
    </row>
    <row r="282" spans="1:26" ht="25.5" customHeight="1">
      <c r="A282" s="206"/>
      <c r="B282" s="207"/>
      <c r="C282" s="206"/>
      <c r="D282" s="207"/>
      <c r="E282" s="207"/>
      <c r="F282" s="207"/>
      <c r="G282" s="400"/>
      <c r="H282" s="400"/>
      <c r="I282" s="400"/>
      <c r="J282" s="400"/>
      <c r="K282" s="401"/>
      <c r="L282" s="401"/>
      <c r="M282" s="208">
        <f t="shared" si="0"/>
        <v>0</v>
      </c>
      <c r="N282" s="400"/>
      <c r="O282" s="400"/>
      <c r="P282" s="402"/>
      <c r="Q282" s="402"/>
      <c r="R282" s="402"/>
      <c r="S282" s="402"/>
      <c r="T282" s="403">
        <f t="shared" si="1"/>
        <v>0</v>
      </c>
      <c r="U282" s="209"/>
      <c r="V282" s="400"/>
      <c r="W282" s="400"/>
      <c r="X282" s="203"/>
      <c r="Y282" s="203"/>
      <c r="Z282" s="203"/>
    </row>
    <row r="283" spans="1:26" ht="25.5" customHeight="1">
      <c r="A283" s="206"/>
      <c r="B283" s="207"/>
      <c r="C283" s="206"/>
      <c r="D283" s="207"/>
      <c r="E283" s="207"/>
      <c r="F283" s="207"/>
      <c r="G283" s="400"/>
      <c r="H283" s="400"/>
      <c r="I283" s="400"/>
      <c r="J283" s="400"/>
      <c r="K283" s="401"/>
      <c r="L283" s="401"/>
      <c r="M283" s="208">
        <f t="shared" si="0"/>
        <v>0</v>
      </c>
      <c r="N283" s="400"/>
      <c r="O283" s="400"/>
      <c r="P283" s="402"/>
      <c r="Q283" s="402"/>
      <c r="R283" s="402"/>
      <c r="S283" s="402"/>
      <c r="T283" s="403">
        <f t="shared" si="1"/>
        <v>0</v>
      </c>
      <c r="U283" s="209"/>
      <c r="V283" s="400"/>
      <c r="W283" s="400"/>
      <c r="X283" s="203"/>
      <c r="Y283" s="203"/>
      <c r="Z283" s="203"/>
    </row>
    <row r="284" spans="1:26" ht="25.5" customHeight="1">
      <c r="A284" s="206"/>
      <c r="B284" s="207"/>
      <c r="C284" s="206"/>
      <c r="D284" s="207"/>
      <c r="E284" s="207"/>
      <c r="F284" s="207"/>
      <c r="G284" s="400"/>
      <c r="H284" s="400"/>
      <c r="I284" s="400"/>
      <c r="J284" s="400"/>
      <c r="K284" s="401"/>
      <c r="L284" s="401"/>
      <c r="M284" s="208">
        <f t="shared" si="0"/>
        <v>0</v>
      </c>
      <c r="N284" s="400"/>
      <c r="O284" s="400"/>
      <c r="P284" s="402"/>
      <c r="Q284" s="402"/>
      <c r="R284" s="402"/>
      <c r="S284" s="402"/>
      <c r="T284" s="403">
        <f t="shared" si="1"/>
        <v>0</v>
      </c>
      <c r="U284" s="209"/>
      <c r="V284" s="400"/>
      <c r="W284" s="400"/>
      <c r="X284" s="203"/>
      <c r="Y284" s="203"/>
      <c r="Z284" s="203"/>
    </row>
    <row r="285" spans="1:26" ht="25.5" customHeight="1">
      <c r="A285" s="206"/>
      <c r="B285" s="207"/>
      <c r="C285" s="206"/>
      <c r="D285" s="207"/>
      <c r="E285" s="207"/>
      <c r="F285" s="207"/>
      <c r="G285" s="400"/>
      <c r="H285" s="400"/>
      <c r="I285" s="400"/>
      <c r="J285" s="400"/>
      <c r="K285" s="401"/>
      <c r="L285" s="401"/>
      <c r="M285" s="208">
        <f t="shared" si="0"/>
        <v>0</v>
      </c>
      <c r="N285" s="400"/>
      <c r="O285" s="400"/>
      <c r="P285" s="402"/>
      <c r="Q285" s="402"/>
      <c r="R285" s="402"/>
      <c r="S285" s="402"/>
      <c r="T285" s="403">
        <f t="shared" si="1"/>
        <v>0</v>
      </c>
      <c r="U285" s="209"/>
      <c r="V285" s="400"/>
      <c r="W285" s="400"/>
      <c r="X285" s="203"/>
      <c r="Y285" s="203"/>
      <c r="Z285" s="203"/>
    </row>
    <row r="286" spans="1:26" ht="25.5" customHeight="1">
      <c r="A286" s="206"/>
      <c r="B286" s="207"/>
      <c r="C286" s="206"/>
      <c r="D286" s="207"/>
      <c r="E286" s="207"/>
      <c r="F286" s="207"/>
      <c r="G286" s="400"/>
      <c r="H286" s="400"/>
      <c r="I286" s="400"/>
      <c r="J286" s="400"/>
      <c r="K286" s="401"/>
      <c r="L286" s="401"/>
      <c r="M286" s="208">
        <f t="shared" si="0"/>
        <v>0</v>
      </c>
      <c r="N286" s="400"/>
      <c r="O286" s="400"/>
      <c r="P286" s="402"/>
      <c r="Q286" s="402"/>
      <c r="R286" s="402"/>
      <c r="S286" s="402"/>
      <c r="T286" s="403">
        <f t="shared" si="1"/>
        <v>0</v>
      </c>
      <c r="U286" s="209"/>
      <c r="V286" s="400"/>
      <c r="W286" s="400"/>
      <c r="X286" s="203"/>
      <c r="Y286" s="203"/>
      <c r="Z286" s="203"/>
    </row>
    <row r="287" spans="1:26" ht="25.5" customHeight="1">
      <c r="A287" s="206"/>
      <c r="B287" s="207"/>
      <c r="C287" s="206"/>
      <c r="D287" s="207"/>
      <c r="E287" s="207"/>
      <c r="F287" s="207"/>
      <c r="G287" s="400"/>
      <c r="H287" s="400"/>
      <c r="I287" s="400"/>
      <c r="J287" s="400"/>
      <c r="K287" s="401"/>
      <c r="L287" s="401"/>
      <c r="M287" s="208">
        <f t="shared" si="0"/>
        <v>0</v>
      </c>
      <c r="N287" s="400"/>
      <c r="O287" s="400"/>
      <c r="P287" s="402"/>
      <c r="Q287" s="402"/>
      <c r="R287" s="402"/>
      <c r="S287" s="402"/>
      <c r="T287" s="403">
        <f t="shared" si="1"/>
        <v>0</v>
      </c>
      <c r="U287" s="209"/>
      <c r="V287" s="400"/>
      <c r="W287" s="400"/>
      <c r="X287" s="203"/>
      <c r="Y287" s="203"/>
      <c r="Z287" s="203"/>
    </row>
    <row r="288" spans="1:26" ht="25.5" customHeight="1">
      <c r="A288" s="206"/>
      <c r="B288" s="207"/>
      <c r="C288" s="206"/>
      <c r="D288" s="207"/>
      <c r="E288" s="207"/>
      <c r="F288" s="207"/>
      <c r="G288" s="400"/>
      <c r="H288" s="400"/>
      <c r="I288" s="400"/>
      <c r="J288" s="400"/>
      <c r="K288" s="401"/>
      <c r="L288" s="401"/>
      <c r="M288" s="208">
        <f t="shared" si="0"/>
        <v>0</v>
      </c>
      <c r="N288" s="400"/>
      <c r="O288" s="400"/>
      <c r="P288" s="402"/>
      <c r="Q288" s="402"/>
      <c r="R288" s="402"/>
      <c r="S288" s="402"/>
      <c r="T288" s="403">
        <f t="shared" si="1"/>
        <v>0</v>
      </c>
      <c r="U288" s="209"/>
      <c r="V288" s="400"/>
      <c r="W288" s="400"/>
      <c r="X288" s="203"/>
      <c r="Y288" s="203"/>
      <c r="Z288" s="203"/>
    </row>
    <row r="289" spans="1:26" ht="25.5" customHeight="1">
      <c r="A289" s="206"/>
      <c r="B289" s="207"/>
      <c r="C289" s="206"/>
      <c r="D289" s="207"/>
      <c r="E289" s="207"/>
      <c r="F289" s="207"/>
      <c r="G289" s="400"/>
      <c r="H289" s="400"/>
      <c r="I289" s="400"/>
      <c r="J289" s="400"/>
      <c r="K289" s="401"/>
      <c r="L289" s="401"/>
      <c r="M289" s="208">
        <f t="shared" si="0"/>
        <v>0</v>
      </c>
      <c r="N289" s="400"/>
      <c r="O289" s="400"/>
      <c r="P289" s="402"/>
      <c r="Q289" s="402"/>
      <c r="R289" s="402"/>
      <c r="S289" s="402"/>
      <c r="T289" s="403">
        <f t="shared" si="1"/>
        <v>0</v>
      </c>
      <c r="U289" s="209"/>
      <c r="V289" s="400"/>
      <c r="W289" s="400"/>
      <c r="X289" s="203"/>
      <c r="Y289" s="203"/>
      <c r="Z289" s="203"/>
    </row>
    <row r="290" spans="1:26" ht="25.5" customHeight="1">
      <c r="A290" s="206"/>
      <c r="B290" s="207"/>
      <c r="C290" s="206"/>
      <c r="D290" s="207"/>
      <c r="E290" s="207"/>
      <c r="F290" s="207"/>
      <c r="G290" s="400"/>
      <c r="H290" s="400"/>
      <c r="I290" s="400"/>
      <c r="J290" s="400"/>
      <c r="K290" s="401"/>
      <c r="L290" s="401"/>
      <c r="M290" s="208">
        <f t="shared" si="0"/>
        <v>0</v>
      </c>
      <c r="N290" s="400"/>
      <c r="O290" s="400"/>
      <c r="P290" s="402"/>
      <c r="Q290" s="402"/>
      <c r="R290" s="402"/>
      <c r="S290" s="402"/>
      <c r="T290" s="403">
        <f t="shared" si="1"/>
        <v>0</v>
      </c>
      <c r="U290" s="209"/>
      <c r="V290" s="400"/>
      <c r="W290" s="400"/>
      <c r="X290" s="203"/>
      <c r="Y290" s="203"/>
      <c r="Z290" s="203"/>
    </row>
    <row r="291" spans="1:26" ht="25.5" customHeight="1">
      <c r="A291" s="206"/>
      <c r="B291" s="207"/>
      <c r="C291" s="206"/>
      <c r="D291" s="207"/>
      <c r="E291" s="207"/>
      <c r="F291" s="207"/>
      <c r="G291" s="400"/>
      <c r="H291" s="400"/>
      <c r="I291" s="400"/>
      <c r="J291" s="400"/>
      <c r="K291" s="401"/>
      <c r="L291" s="401"/>
      <c r="M291" s="208">
        <f t="shared" si="0"/>
        <v>0</v>
      </c>
      <c r="N291" s="400"/>
      <c r="O291" s="400"/>
      <c r="P291" s="402"/>
      <c r="Q291" s="402"/>
      <c r="R291" s="402"/>
      <c r="S291" s="402"/>
      <c r="T291" s="403">
        <f t="shared" si="1"/>
        <v>0</v>
      </c>
      <c r="U291" s="209"/>
      <c r="V291" s="400"/>
      <c r="W291" s="400"/>
      <c r="X291" s="203"/>
      <c r="Y291" s="203"/>
      <c r="Z291" s="203"/>
    </row>
    <row r="292" spans="1:26" ht="25.5" customHeight="1">
      <c r="A292" s="206"/>
      <c r="B292" s="207"/>
      <c r="C292" s="206"/>
      <c r="D292" s="207"/>
      <c r="E292" s="207"/>
      <c r="F292" s="207"/>
      <c r="G292" s="400"/>
      <c r="H292" s="400"/>
      <c r="I292" s="400"/>
      <c r="J292" s="400"/>
      <c r="K292" s="401"/>
      <c r="L292" s="401"/>
      <c r="M292" s="208">
        <f t="shared" si="0"/>
        <v>0</v>
      </c>
      <c r="N292" s="400"/>
      <c r="O292" s="400"/>
      <c r="P292" s="402"/>
      <c r="Q292" s="402"/>
      <c r="R292" s="402"/>
      <c r="S292" s="402"/>
      <c r="T292" s="403">
        <f t="shared" si="1"/>
        <v>0</v>
      </c>
      <c r="U292" s="209"/>
      <c r="V292" s="400"/>
      <c r="W292" s="400"/>
      <c r="X292" s="203"/>
      <c r="Y292" s="203"/>
      <c r="Z292" s="203"/>
    </row>
    <row r="293" spans="1:26" ht="25.5" customHeight="1">
      <c r="A293" s="206"/>
      <c r="B293" s="207"/>
      <c r="C293" s="206"/>
      <c r="D293" s="207"/>
      <c r="E293" s="207"/>
      <c r="F293" s="207"/>
      <c r="G293" s="400"/>
      <c r="H293" s="400"/>
      <c r="I293" s="400"/>
      <c r="J293" s="400"/>
      <c r="K293" s="401"/>
      <c r="L293" s="401"/>
      <c r="M293" s="208">
        <f t="shared" si="0"/>
        <v>0</v>
      </c>
      <c r="N293" s="400"/>
      <c r="O293" s="400"/>
      <c r="P293" s="402"/>
      <c r="Q293" s="402"/>
      <c r="R293" s="402"/>
      <c r="S293" s="402"/>
      <c r="T293" s="403">
        <f t="shared" si="1"/>
        <v>0</v>
      </c>
      <c r="U293" s="209"/>
      <c r="V293" s="400"/>
      <c r="W293" s="400"/>
      <c r="X293" s="203"/>
      <c r="Y293" s="203"/>
      <c r="Z293" s="203"/>
    </row>
    <row r="294" spans="1:26" ht="25.5" customHeight="1">
      <c r="A294" s="206"/>
      <c r="B294" s="207"/>
      <c r="C294" s="206"/>
      <c r="D294" s="207"/>
      <c r="E294" s="207"/>
      <c r="F294" s="207"/>
      <c r="G294" s="400"/>
      <c r="H294" s="400"/>
      <c r="I294" s="400"/>
      <c r="J294" s="400"/>
      <c r="K294" s="401"/>
      <c r="L294" s="401"/>
      <c r="M294" s="208">
        <f t="shared" si="0"/>
        <v>0</v>
      </c>
      <c r="N294" s="400"/>
      <c r="O294" s="400"/>
      <c r="P294" s="402"/>
      <c r="Q294" s="402"/>
      <c r="R294" s="402"/>
      <c r="S294" s="402"/>
      <c r="T294" s="403">
        <f t="shared" si="1"/>
        <v>0</v>
      </c>
      <c r="U294" s="209"/>
      <c r="V294" s="400"/>
      <c r="W294" s="400"/>
      <c r="X294" s="203"/>
      <c r="Y294" s="203"/>
      <c r="Z294" s="203"/>
    </row>
    <row r="295" spans="1:26" ht="25.5" customHeight="1">
      <c r="A295" s="206"/>
      <c r="B295" s="207"/>
      <c r="C295" s="206"/>
      <c r="D295" s="207"/>
      <c r="E295" s="207"/>
      <c r="F295" s="207"/>
      <c r="G295" s="400"/>
      <c r="H295" s="400"/>
      <c r="I295" s="400"/>
      <c r="J295" s="400"/>
      <c r="K295" s="401"/>
      <c r="L295" s="401"/>
      <c r="M295" s="208">
        <f t="shared" si="0"/>
        <v>0</v>
      </c>
      <c r="N295" s="400"/>
      <c r="O295" s="400"/>
      <c r="P295" s="402"/>
      <c r="Q295" s="402"/>
      <c r="R295" s="402"/>
      <c r="S295" s="402"/>
      <c r="T295" s="403">
        <f t="shared" si="1"/>
        <v>0</v>
      </c>
      <c r="U295" s="209"/>
      <c r="V295" s="400"/>
      <c r="W295" s="400"/>
      <c r="X295" s="203"/>
      <c r="Y295" s="203"/>
      <c r="Z295" s="203"/>
    </row>
    <row r="296" spans="1:26" ht="25.5" customHeight="1">
      <c r="A296" s="206"/>
      <c r="B296" s="207"/>
      <c r="C296" s="206"/>
      <c r="D296" s="207"/>
      <c r="E296" s="207"/>
      <c r="F296" s="207"/>
      <c r="G296" s="400"/>
      <c r="H296" s="400"/>
      <c r="I296" s="400"/>
      <c r="J296" s="400"/>
      <c r="K296" s="401"/>
      <c r="L296" s="401"/>
      <c r="M296" s="208">
        <f t="shared" si="0"/>
        <v>0</v>
      </c>
      <c r="N296" s="400"/>
      <c r="O296" s="400"/>
      <c r="P296" s="402"/>
      <c r="Q296" s="402"/>
      <c r="R296" s="402"/>
      <c r="S296" s="402"/>
      <c r="T296" s="403">
        <f t="shared" si="1"/>
        <v>0</v>
      </c>
      <c r="U296" s="209"/>
      <c r="V296" s="400"/>
      <c r="W296" s="400"/>
      <c r="X296" s="203"/>
      <c r="Y296" s="203"/>
      <c r="Z296" s="203"/>
    </row>
    <row r="297" spans="1:26" ht="25.5" customHeight="1">
      <c r="A297" s="206"/>
      <c r="B297" s="207"/>
      <c r="C297" s="206"/>
      <c r="D297" s="207"/>
      <c r="E297" s="207"/>
      <c r="F297" s="207"/>
      <c r="G297" s="400"/>
      <c r="H297" s="400"/>
      <c r="I297" s="400"/>
      <c r="J297" s="400"/>
      <c r="K297" s="401"/>
      <c r="L297" s="401"/>
      <c r="M297" s="208">
        <f t="shared" si="0"/>
        <v>0</v>
      </c>
      <c r="N297" s="400"/>
      <c r="O297" s="400"/>
      <c r="P297" s="402"/>
      <c r="Q297" s="402"/>
      <c r="R297" s="402"/>
      <c r="S297" s="402"/>
      <c r="T297" s="403">
        <f t="shared" si="1"/>
        <v>0</v>
      </c>
      <c r="U297" s="209"/>
      <c r="V297" s="400"/>
      <c r="W297" s="400"/>
      <c r="X297" s="203"/>
      <c r="Y297" s="203"/>
      <c r="Z297" s="203"/>
    </row>
    <row r="298" spans="1:26" ht="25.5" customHeight="1">
      <c r="A298" s="206"/>
      <c r="B298" s="207"/>
      <c r="C298" s="206"/>
      <c r="D298" s="207"/>
      <c r="E298" s="207"/>
      <c r="F298" s="207"/>
      <c r="G298" s="400"/>
      <c r="H298" s="400"/>
      <c r="I298" s="400"/>
      <c r="J298" s="400"/>
      <c r="K298" s="401"/>
      <c r="L298" s="401"/>
      <c r="M298" s="208">
        <f t="shared" si="0"/>
        <v>0</v>
      </c>
      <c r="N298" s="400"/>
      <c r="O298" s="400"/>
      <c r="P298" s="402"/>
      <c r="Q298" s="402"/>
      <c r="R298" s="402"/>
      <c r="S298" s="402"/>
      <c r="T298" s="403">
        <f t="shared" si="1"/>
        <v>0</v>
      </c>
      <c r="U298" s="209"/>
      <c r="V298" s="400"/>
      <c r="W298" s="400"/>
      <c r="X298" s="203"/>
      <c r="Y298" s="203"/>
      <c r="Z298" s="203"/>
    </row>
    <row r="299" spans="1:26" ht="25.5" customHeight="1">
      <c r="A299" s="206"/>
      <c r="B299" s="207"/>
      <c r="C299" s="206"/>
      <c r="D299" s="207"/>
      <c r="E299" s="207"/>
      <c r="F299" s="207"/>
      <c r="G299" s="400"/>
      <c r="H299" s="400"/>
      <c r="I299" s="400"/>
      <c r="J299" s="400"/>
      <c r="K299" s="401"/>
      <c r="L299" s="401"/>
      <c r="M299" s="208">
        <f t="shared" si="0"/>
        <v>0</v>
      </c>
      <c r="N299" s="400"/>
      <c r="O299" s="400"/>
      <c r="P299" s="402"/>
      <c r="Q299" s="402"/>
      <c r="R299" s="402"/>
      <c r="S299" s="402"/>
      <c r="T299" s="403">
        <f t="shared" si="1"/>
        <v>0</v>
      </c>
      <c r="U299" s="209"/>
      <c r="V299" s="400"/>
      <c r="W299" s="400"/>
      <c r="X299" s="203"/>
      <c r="Y299" s="203"/>
      <c r="Z299" s="203"/>
    </row>
    <row r="300" spans="1:26" ht="25.5" customHeight="1">
      <c r="A300" s="206"/>
      <c r="B300" s="207"/>
      <c r="C300" s="206"/>
      <c r="D300" s="207"/>
      <c r="E300" s="207"/>
      <c r="F300" s="207"/>
      <c r="G300" s="400"/>
      <c r="H300" s="400"/>
      <c r="I300" s="400"/>
      <c r="J300" s="400"/>
      <c r="K300" s="401"/>
      <c r="L300" s="401"/>
      <c r="M300" s="208">
        <f t="shared" si="0"/>
        <v>0</v>
      </c>
      <c r="N300" s="400"/>
      <c r="O300" s="400"/>
      <c r="P300" s="402"/>
      <c r="Q300" s="402"/>
      <c r="R300" s="402"/>
      <c r="S300" s="402"/>
      <c r="T300" s="403">
        <f t="shared" si="1"/>
        <v>0</v>
      </c>
      <c r="U300" s="209"/>
      <c r="V300" s="400"/>
      <c r="W300" s="400"/>
      <c r="X300" s="203"/>
      <c r="Y300" s="203"/>
      <c r="Z300" s="203"/>
    </row>
    <row r="301" spans="1:26" ht="25.5" customHeight="1">
      <c r="A301" s="206"/>
      <c r="B301" s="207"/>
      <c r="C301" s="206"/>
      <c r="D301" s="207"/>
      <c r="E301" s="207"/>
      <c r="F301" s="207"/>
      <c r="G301" s="400"/>
      <c r="H301" s="400"/>
      <c r="I301" s="400"/>
      <c r="J301" s="400"/>
      <c r="K301" s="401"/>
      <c r="L301" s="401"/>
      <c r="M301" s="208">
        <f t="shared" si="0"/>
        <v>0</v>
      </c>
      <c r="N301" s="400"/>
      <c r="O301" s="400"/>
      <c r="P301" s="402"/>
      <c r="Q301" s="402"/>
      <c r="R301" s="402"/>
      <c r="S301" s="402"/>
      <c r="T301" s="403">
        <f t="shared" si="1"/>
        <v>0</v>
      </c>
      <c r="U301" s="209"/>
      <c r="V301" s="400"/>
      <c r="W301" s="400"/>
      <c r="X301" s="203"/>
      <c r="Y301" s="203"/>
      <c r="Z301" s="203"/>
    </row>
    <row r="302" spans="1:26" ht="25.5" customHeight="1">
      <c r="A302" s="206"/>
      <c r="B302" s="207"/>
      <c r="C302" s="206"/>
      <c r="D302" s="207"/>
      <c r="E302" s="207"/>
      <c r="F302" s="207"/>
      <c r="G302" s="400"/>
      <c r="H302" s="400"/>
      <c r="I302" s="400"/>
      <c r="J302" s="400"/>
      <c r="K302" s="401"/>
      <c r="L302" s="401"/>
      <c r="M302" s="208">
        <f t="shared" si="0"/>
        <v>0</v>
      </c>
      <c r="N302" s="400"/>
      <c r="O302" s="400"/>
      <c r="P302" s="402"/>
      <c r="Q302" s="402"/>
      <c r="R302" s="402"/>
      <c r="S302" s="402"/>
      <c r="T302" s="403">
        <f t="shared" si="1"/>
        <v>0</v>
      </c>
      <c r="U302" s="209"/>
      <c r="V302" s="400"/>
      <c r="W302" s="400"/>
      <c r="X302" s="203"/>
      <c r="Y302" s="203"/>
      <c r="Z302" s="203"/>
    </row>
    <row r="303" spans="1:26" ht="25.5" customHeight="1">
      <c r="A303" s="206"/>
      <c r="B303" s="207"/>
      <c r="C303" s="206"/>
      <c r="D303" s="207"/>
      <c r="E303" s="207"/>
      <c r="F303" s="207"/>
      <c r="G303" s="400"/>
      <c r="H303" s="400"/>
      <c r="I303" s="400"/>
      <c r="J303" s="400"/>
      <c r="K303" s="401"/>
      <c r="L303" s="401"/>
      <c r="M303" s="208">
        <f t="shared" si="0"/>
        <v>0</v>
      </c>
      <c r="N303" s="400"/>
      <c r="O303" s="400"/>
      <c r="P303" s="402"/>
      <c r="Q303" s="402"/>
      <c r="R303" s="402"/>
      <c r="S303" s="402"/>
      <c r="T303" s="403">
        <f t="shared" si="1"/>
        <v>0</v>
      </c>
      <c r="U303" s="209"/>
      <c r="V303" s="400"/>
      <c r="W303" s="400"/>
      <c r="X303" s="203"/>
      <c r="Y303" s="203"/>
      <c r="Z303" s="203"/>
    </row>
    <row r="304" spans="1:26" ht="25.5" customHeight="1">
      <c r="A304" s="206"/>
      <c r="B304" s="207"/>
      <c r="C304" s="206"/>
      <c r="D304" s="207"/>
      <c r="E304" s="207"/>
      <c r="F304" s="207"/>
      <c r="G304" s="400"/>
      <c r="H304" s="400"/>
      <c r="I304" s="400"/>
      <c r="J304" s="400"/>
      <c r="K304" s="401"/>
      <c r="L304" s="401"/>
      <c r="M304" s="208">
        <f t="shared" si="0"/>
        <v>0</v>
      </c>
      <c r="N304" s="400"/>
      <c r="O304" s="400"/>
      <c r="P304" s="402"/>
      <c r="Q304" s="402"/>
      <c r="R304" s="402"/>
      <c r="S304" s="402"/>
      <c r="T304" s="403">
        <f t="shared" si="1"/>
        <v>0</v>
      </c>
      <c r="U304" s="209"/>
      <c r="V304" s="400"/>
      <c r="W304" s="400"/>
      <c r="X304" s="203"/>
      <c r="Y304" s="203"/>
      <c r="Z304" s="203"/>
    </row>
    <row r="305" spans="1:26" ht="25.5" customHeight="1">
      <c r="A305" s="206"/>
      <c r="B305" s="207"/>
      <c r="C305" s="206"/>
      <c r="D305" s="207"/>
      <c r="E305" s="207"/>
      <c r="F305" s="207"/>
      <c r="G305" s="400"/>
      <c r="H305" s="400"/>
      <c r="I305" s="400"/>
      <c r="J305" s="400"/>
      <c r="K305" s="401"/>
      <c r="L305" s="401"/>
      <c r="M305" s="208">
        <f t="shared" si="0"/>
        <v>0</v>
      </c>
      <c r="N305" s="400"/>
      <c r="O305" s="400"/>
      <c r="P305" s="402"/>
      <c r="Q305" s="402"/>
      <c r="R305" s="402"/>
      <c r="S305" s="402"/>
      <c r="T305" s="403">
        <f t="shared" si="1"/>
        <v>0</v>
      </c>
      <c r="U305" s="209"/>
      <c r="V305" s="400"/>
      <c r="W305" s="400"/>
      <c r="X305" s="203"/>
      <c r="Y305" s="203"/>
      <c r="Z305" s="203"/>
    </row>
    <row r="306" spans="1:26" ht="25.5" customHeight="1">
      <c r="A306" s="206"/>
      <c r="B306" s="207"/>
      <c r="C306" s="206"/>
      <c r="D306" s="207"/>
      <c r="E306" s="207"/>
      <c r="F306" s="207"/>
      <c r="G306" s="400"/>
      <c r="H306" s="400"/>
      <c r="I306" s="400"/>
      <c r="J306" s="400"/>
      <c r="K306" s="401"/>
      <c r="L306" s="401"/>
      <c r="M306" s="208">
        <f t="shared" si="0"/>
        <v>0</v>
      </c>
      <c r="N306" s="400"/>
      <c r="O306" s="400"/>
      <c r="P306" s="402"/>
      <c r="Q306" s="402"/>
      <c r="R306" s="402"/>
      <c r="S306" s="402"/>
      <c r="T306" s="403">
        <f t="shared" si="1"/>
        <v>0</v>
      </c>
      <c r="U306" s="209"/>
      <c r="V306" s="400"/>
      <c r="W306" s="400"/>
      <c r="X306" s="203"/>
      <c r="Y306" s="203"/>
      <c r="Z306" s="203"/>
    </row>
    <row r="307" spans="1:26" ht="25.5" customHeight="1">
      <c r="A307" s="206"/>
      <c r="B307" s="207"/>
      <c r="C307" s="206"/>
      <c r="D307" s="207"/>
      <c r="E307" s="207"/>
      <c r="F307" s="207"/>
      <c r="G307" s="400"/>
      <c r="H307" s="400"/>
      <c r="I307" s="400"/>
      <c r="J307" s="400"/>
      <c r="K307" s="401"/>
      <c r="L307" s="401"/>
      <c r="M307" s="208">
        <f t="shared" si="0"/>
        <v>0</v>
      </c>
      <c r="N307" s="400"/>
      <c r="O307" s="400"/>
      <c r="P307" s="402"/>
      <c r="Q307" s="402"/>
      <c r="R307" s="402"/>
      <c r="S307" s="402"/>
      <c r="T307" s="403">
        <f t="shared" si="1"/>
        <v>0</v>
      </c>
      <c r="U307" s="209"/>
      <c r="V307" s="400"/>
      <c r="W307" s="400"/>
      <c r="X307" s="203"/>
      <c r="Y307" s="203"/>
      <c r="Z307" s="203"/>
    </row>
    <row r="308" spans="1:26" ht="25.5" customHeight="1">
      <c r="A308" s="206"/>
      <c r="B308" s="207"/>
      <c r="C308" s="206"/>
      <c r="D308" s="207"/>
      <c r="E308" s="207"/>
      <c r="F308" s="207"/>
      <c r="G308" s="400"/>
      <c r="H308" s="400"/>
      <c r="I308" s="400"/>
      <c r="J308" s="400"/>
      <c r="K308" s="401"/>
      <c r="L308" s="401"/>
      <c r="M308" s="208">
        <f t="shared" si="0"/>
        <v>0</v>
      </c>
      <c r="N308" s="400"/>
      <c r="O308" s="400"/>
      <c r="P308" s="402"/>
      <c r="Q308" s="402"/>
      <c r="R308" s="402"/>
      <c r="S308" s="402"/>
      <c r="T308" s="403">
        <f t="shared" si="1"/>
        <v>0</v>
      </c>
      <c r="U308" s="209"/>
      <c r="V308" s="400"/>
      <c r="W308" s="400"/>
      <c r="X308" s="203"/>
      <c r="Y308" s="203"/>
      <c r="Z308" s="203"/>
    </row>
    <row r="309" spans="1:26" ht="25.5" customHeight="1">
      <c r="A309" s="206"/>
      <c r="B309" s="207"/>
      <c r="C309" s="206"/>
      <c r="D309" s="207"/>
      <c r="E309" s="207"/>
      <c r="F309" s="207"/>
      <c r="G309" s="400"/>
      <c r="H309" s="400"/>
      <c r="I309" s="400"/>
      <c r="J309" s="400"/>
      <c r="K309" s="401"/>
      <c r="L309" s="401"/>
      <c r="M309" s="208">
        <f t="shared" si="0"/>
        <v>0</v>
      </c>
      <c r="N309" s="400"/>
      <c r="O309" s="400"/>
      <c r="P309" s="402"/>
      <c r="Q309" s="402"/>
      <c r="R309" s="402"/>
      <c r="S309" s="402"/>
      <c r="T309" s="403">
        <f t="shared" si="1"/>
        <v>0</v>
      </c>
      <c r="U309" s="209"/>
      <c r="V309" s="400"/>
      <c r="W309" s="400"/>
      <c r="X309" s="203"/>
      <c r="Y309" s="203"/>
      <c r="Z309" s="203"/>
    </row>
    <row r="310" spans="1:26" ht="25.5" customHeight="1">
      <c r="A310" s="206"/>
      <c r="B310" s="207"/>
      <c r="C310" s="206"/>
      <c r="D310" s="207"/>
      <c r="E310" s="207"/>
      <c r="F310" s="207"/>
      <c r="G310" s="400"/>
      <c r="H310" s="400"/>
      <c r="I310" s="400"/>
      <c r="J310" s="400"/>
      <c r="K310" s="401"/>
      <c r="L310" s="401"/>
      <c r="M310" s="208">
        <f t="shared" si="0"/>
        <v>0</v>
      </c>
      <c r="N310" s="400"/>
      <c r="O310" s="400"/>
      <c r="P310" s="402"/>
      <c r="Q310" s="402"/>
      <c r="R310" s="402"/>
      <c r="S310" s="402"/>
      <c r="T310" s="403">
        <f t="shared" si="1"/>
        <v>0</v>
      </c>
      <c r="U310" s="209"/>
      <c r="V310" s="400"/>
      <c r="W310" s="400"/>
      <c r="X310" s="203"/>
      <c r="Y310" s="203"/>
      <c r="Z310" s="203"/>
    </row>
    <row r="311" spans="1:26" ht="25.5" customHeight="1">
      <c r="A311" s="206"/>
      <c r="B311" s="207"/>
      <c r="C311" s="206"/>
      <c r="D311" s="207"/>
      <c r="E311" s="207"/>
      <c r="F311" s="207"/>
      <c r="G311" s="400"/>
      <c r="H311" s="400"/>
      <c r="I311" s="400"/>
      <c r="J311" s="400"/>
      <c r="K311" s="401"/>
      <c r="L311" s="401"/>
      <c r="M311" s="208">
        <f t="shared" si="0"/>
        <v>0</v>
      </c>
      <c r="N311" s="400"/>
      <c r="O311" s="400"/>
      <c r="P311" s="402"/>
      <c r="Q311" s="402"/>
      <c r="R311" s="402"/>
      <c r="S311" s="402"/>
      <c r="T311" s="403">
        <f t="shared" si="1"/>
        <v>0</v>
      </c>
      <c r="U311" s="209"/>
      <c r="V311" s="400"/>
      <c r="W311" s="400"/>
      <c r="X311" s="203"/>
      <c r="Y311" s="203"/>
      <c r="Z311" s="203"/>
    </row>
    <row r="312" spans="1:26" ht="25.5" customHeight="1">
      <c r="A312" s="206"/>
      <c r="B312" s="207"/>
      <c r="C312" s="206"/>
      <c r="D312" s="207"/>
      <c r="E312" s="207"/>
      <c r="F312" s="207"/>
      <c r="G312" s="400"/>
      <c r="H312" s="400"/>
      <c r="I312" s="400"/>
      <c r="J312" s="400"/>
      <c r="K312" s="401"/>
      <c r="L312" s="401"/>
      <c r="M312" s="208">
        <f t="shared" si="0"/>
        <v>0</v>
      </c>
      <c r="N312" s="400"/>
      <c r="O312" s="400"/>
      <c r="P312" s="402"/>
      <c r="Q312" s="402"/>
      <c r="R312" s="402"/>
      <c r="S312" s="402"/>
      <c r="T312" s="403">
        <f t="shared" si="1"/>
        <v>0</v>
      </c>
      <c r="U312" s="209"/>
      <c r="V312" s="400"/>
      <c r="W312" s="400"/>
      <c r="X312" s="203"/>
      <c r="Y312" s="203"/>
      <c r="Z312" s="203"/>
    </row>
    <row r="313" spans="1:26" ht="25.5" customHeight="1">
      <c r="A313" s="206"/>
      <c r="B313" s="207"/>
      <c r="C313" s="206"/>
      <c r="D313" s="207"/>
      <c r="E313" s="207"/>
      <c r="F313" s="207"/>
      <c r="G313" s="400"/>
      <c r="H313" s="400"/>
      <c r="I313" s="400"/>
      <c r="J313" s="400"/>
      <c r="K313" s="401"/>
      <c r="L313" s="401"/>
      <c r="M313" s="208">
        <f t="shared" si="0"/>
        <v>0</v>
      </c>
      <c r="N313" s="400"/>
      <c r="O313" s="400"/>
      <c r="P313" s="402"/>
      <c r="Q313" s="402"/>
      <c r="R313" s="402"/>
      <c r="S313" s="402"/>
      <c r="T313" s="403">
        <f t="shared" si="1"/>
        <v>0</v>
      </c>
      <c r="U313" s="209"/>
      <c r="V313" s="400"/>
      <c r="W313" s="400"/>
      <c r="X313" s="203"/>
      <c r="Y313" s="203"/>
      <c r="Z313" s="203"/>
    </row>
    <row r="314" spans="1:26" ht="25.5" customHeight="1">
      <c r="A314" s="206"/>
      <c r="B314" s="207"/>
      <c r="C314" s="206"/>
      <c r="D314" s="207"/>
      <c r="E314" s="207"/>
      <c r="F314" s="207"/>
      <c r="G314" s="400"/>
      <c r="H314" s="400"/>
      <c r="I314" s="400"/>
      <c r="J314" s="400"/>
      <c r="K314" s="401"/>
      <c r="L314" s="401"/>
      <c r="M314" s="208">
        <f t="shared" si="0"/>
        <v>0</v>
      </c>
      <c r="N314" s="400"/>
      <c r="O314" s="400"/>
      <c r="P314" s="402"/>
      <c r="Q314" s="402"/>
      <c r="R314" s="402"/>
      <c r="S314" s="402"/>
      <c r="T314" s="403">
        <f t="shared" si="1"/>
        <v>0</v>
      </c>
      <c r="U314" s="209"/>
      <c r="V314" s="400"/>
      <c r="W314" s="400"/>
      <c r="X314" s="203"/>
      <c r="Y314" s="203"/>
      <c r="Z314" s="203"/>
    </row>
    <row r="315" spans="1:26" ht="25.5" customHeight="1">
      <c r="A315" s="206"/>
      <c r="B315" s="207"/>
      <c r="C315" s="206"/>
      <c r="D315" s="207"/>
      <c r="E315" s="207"/>
      <c r="F315" s="207"/>
      <c r="G315" s="400"/>
      <c r="H315" s="400"/>
      <c r="I315" s="400"/>
      <c r="J315" s="400"/>
      <c r="K315" s="401"/>
      <c r="L315" s="401"/>
      <c r="M315" s="208">
        <f t="shared" si="0"/>
        <v>0</v>
      </c>
      <c r="N315" s="400"/>
      <c r="O315" s="400"/>
      <c r="P315" s="402"/>
      <c r="Q315" s="402"/>
      <c r="R315" s="402"/>
      <c r="S315" s="402"/>
      <c r="T315" s="403">
        <f t="shared" si="1"/>
        <v>0</v>
      </c>
      <c r="U315" s="209"/>
      <c r="V315" s="400"/>
      <c r="W315" s="400"/>
      <c r="X315" s="203"/>
      <c r="Y315" s="203"/>
      <c r="Z315" s="203"/>
    </row>
    <row r="316" spans="1:26" ht="25.5" customHeight="1">
      <c r="A316" s="206"/>
      <c r="B316" s="207"/>
      <c r="C316" s="206"/>
      <c r="D316" s="207"/>
      <c r="E316" s="207"/>
      <c r="F316" s="207"/>
      <c r="G316" s="400"/>
      <c r="H316" s="400"/>
      <c r="I316" s="400"/>
      <c r="J316" s="400"/>
      <c r="K316" s="401"/>
      <c r="L316" s="401"/>
      <c r="M316" s="208">
        <f t="shared" si="0"/>
        <v>0</v>
      </c>
      <c r="N316" s="400"/>
      <c r="O316" s="400"/>
      <c r="P316" s="402"/>
      <c r="Q316" s="402"/>
      <c r="R316" s="402"/>
      <c r="S316" s="402"/>
      <c r="T316" s="403">
        <f t="shared" si="1"/>
        <v>0</v>
      </c>
      <c r="U316" s="209"/>
      <c r="V316" s="400"/>
      <c r="W316" s="400"/>
      <c r="X316" s="203"/>
      <c r="Y316" s="203"/>
      <c r="Z316" s="203"/>
    </row>
    <row r="317" spans="1:26" ht="25.5" customHeight="1">
      <c r="A317" s="206"/>
      <c r="B317" s="207"/>
      <c r="C317" s="206"/>
      <c r="D317" s="207"/>
      <c r="E317" s="207"/>
      <c r="F317" s="207"/>
      <c r="G317" s="400"/>
      <c r="H317" s="400"/>
      <c r="I317" s="400"/>
      <c r="J317" s="400"/>
      <c r="K317" s="401"/>
      <c r="L317" s="401"/>
      <c r="M317" s="208">
        <f t="shared" si="0"/>
        <v>0</v>
      </c>
      <c r="N317" s="400"/>
      <c r="O317" s="400"/>
      <c r="P317" s="402"/>
      <c r="Q317" s="402"/>
      <c r="R317" s="402"/>
      <c r="S317" s="402"/>
      <c r="T317" s="403">
        <f t="shared" si="1"/>
        <v>0</v>
      </c>
      <c r="U317" s="209"/>
      <c r="V317" s="400"/>
      <c r="W317" s="400"/>
      <c r="X317" s="203"/>
      <c r="Y317" s="203"/>
      <c r="Z317" s="203"/>
    </row>
    <row r="318" spans="1:26" ht="25.5" customHeight="1">
      <c r="A318" s="206"/>
      <c r="B318" s="207"/>
      <c r="C318" s="206"/>
      <c r="D318" s="207"/>
      <c r="E318" s="207"/>
      <c r="F318" s="207"/>
      <c r="G318" s="400"/>
      <c r="H318" s="400"/>
      <c r="I318" s="400"/>
      <c r="J318" s="400"/>
      <c r="K318" s="401"/>
      <c r="L318" s="401"/>
      <c r="M318" s="208">
        <f t="shared" si="0"/>
        <v>0</v>
      </c>
      <c r="N318" s="400"/>
      <c r="O318" s="400"/>
      <c r="P318" s="402"/>
      <c r="Q318" s="402"/>
      <c r="R318" s="402"/>
      <c r="S318" s="402"/>
      <c r="T318" s="403">
        <f t="shared" si="1"/>
        <v>0</v>
      </c>
      <c r="U318" s="209"/>
      <c r="V318" s="400"/>
      <c r="W318" s="400"/>
      <c r="X318" s="203"/>
      <c r="Y318" s="203"/>
      <c r="Z318" s="203"/>
    </row>
    <row r="319" spans="1:26" ht="25.5" customHeight="1">
      <c r="A319" s="206"/>
      <c r="B319" s="207"/>
      <c r="C319" s="206"/>
      <c r="D319" s="207"/>
      <c r="E319" s="207"/>
      <c r="F319" s="207"/>
      <c r="G319" s="400"/>
      <c r="H319" s="400"/>
      <c r="I319" s="400"/>
      <c r="J319" s="400"/>
      <c r="K319" s="401"/>
      <c r="L319" s="401"/>
      <c r="M319" s="208">
        <f t="shared" si="0"/>
        <v>0</v>
      </c>
      <c r="N319" s="400"/>
      <c r="O319" s="400"/>
      <c r="P319" s="402"/>
      <c r="Q319" s="402"/>
      <c r="R319" s="402"/>
      <c r="S319" s="402"/>
      <c r="T319" s="403">
        <f t="shared" si="1"/>
        <v>0</v>
      </c>
      <c r="U319" s="209"/>
      <c r="V319" s="400"/>
      <c r="W319" s="400"/>
      <c r="X319" s="203"/>
      <c r="Y319" s="203"/>
      <c r="Z319" s="203"/>
    </row>
    <row r="320" spans="1:26" ht="25.5" customHeight="1">
      <c r="A320" s="206"/>
      <c r="B320" s="207"/>
      <c r="C320" s="206"/>
      <c r="D320" s="207"/>
      <c r="E320" s="207"/>
      <c r="F320" s="207"/>
      <c r="G320" s="400"/>
      <c r="H320" s="400"/>
      <c r="I320" s="400"/>
      <c r="J320" s="400"/>
      <c r="K320" s="401"/>
      <c r="L320" s="401"/>
      <c r="M320" s="208">
        <f t="shared" si="0"/>
        <v>0</v>
      </c>
      <c r="N320" s="400"/>
      <c r="O320" s="400"/>
      <c r="P320" s="402"/>
      <c r="Q320" s="402"/>
      <c r="R320" s="402"/>
      <c r="S320" s="402"/>
      <c r="T320" s="403">
        <f t="shared" si="1"/>
        <v>0</v>
      </c>
      <c r="U320" s="209"/>
      <c r="V320" s="400"/>
      <c r="W320" s="400"/>
      <c r="X320" s="203"/>
      <c r="Y320" s="203"/>
      <c r="Z320" s="203"/>
    </row>
    <row r="321" spans="1:26" ht="25.5" customHeight="1">
      <c r="A321" s="206"/>
      <c r="B321" s="207"/>
      <c r="C321" s="206"/>
      <c r="D321" s="207"/>
      <c r="E321" s="207"/>
      <c r="F321" s="207"/>
      <c r="G321" s="400"/>
      <c r="H321" s="400"/>
      <c r="I321" s="400"/>
      <c r="J321" s="400"/>
      <c r="K321" s="401"/>
      <c r="L321" s="401"/>
      <c r="M321" s="208">
        <f t="shared" si="0"/>
        <v>0</v>
      </c>
      <c r="N321" s="400"/>
      <c r="O321" s="400"/>
      <c r="P321" s="402"/>
      <c r="Q321" s="402"/>
      <c r="R321" s="402"/>
      <c r="S321" s="402"/>
      <c r="T321" s="403">
        <f t="shared" si="1"/>
        <v>0</v>
      </c>
      <c r="U321" s="209"/>
      <c r="V321" s="400"/>
      <c r="W321" s="400"/>
      <c r="X321" s="203"/>
      <c r="Y321" s="203"/>
      <c r="Z321" s="203"/>
    </row>
    <row r="322" spans="1:26" ht="25.5" customHeight="1">
      <c r="A322" s="206"/>
      <c r="B322" s="207"/>
      <c r="C322" s="206"/>
      <c r="D322" s="207"/>
      <c r="E322" s="207"/>
      <c r="F322" s="207"/>
      <c r="G322" s="400"/>
      <c r="H322" s="400"/>
      <c r="I322" s="400"/>
      <c r="J322" s="400"/>
      <c r="K322" s="401"/>
      <c r="L322" s="401"/>
      <c r="M322" s="208">
        <f t="shared" si="0"/>
        <v>0</v>
      </c>
      <c r="N322" s="400"/>
      <c r="O322" s="400"/>
      <c r="P322" s="402"/>
      <c r="Q322" s="402"/>
      <c r="R322" s="402"/>
      <c r="S322" s="402"/>
      <c r="T322" s="403">
        <f t="shared" si="1"/>
        <v>0</v>
      </c>
      <c r="U322" s="209"/>
      <c r="V322" s="400"/>
      <c r="W322" s="400"/>
      <c r="X322" s="203"/>
      <c r="Y322" s="203"/>
      <c r="Z322" s="203"/>
    </row>
    <row r="323" spans="1:26" ht="25.5" customHeight="1">
      <c r="A323" s="206"/>
      <c r="B323" s="207"/>
      <c r="C323" s="206"/>
      <c r="D323" s="207"/>
      <c r="E323" s="207"/>
      <c r="F323" s="207"/>
      <c r="G323" s="400"/>
      <c r="H323" s="400"/>
      <c r="I323" s="400"/>
      <c r="J323" s="400"/>
      <c r="K323" s="401"/>
      <c r="L323" s="401"/>
      <c r="M323" s="208">
        <f t="shared" si="0"/>
        <v>0</v>
      </c>
      <c r="N323" s="400"/>
      <c r="O323" s="400"/>
      <c r="P323" s="402"/>
      <c r="Q323" s="402"/>
      <c r="R323" s="402"/>
      <c r="S323" s="402"/>
      <c r="T323" s="403">
        <f t="shared" si="1"/>
        <v>0</v>
      </c>
      <c r="U323" s="209"/>
      <c r="V323" s="400"/>
      <c r="W323" s="400"/>
      <c r="X323" s="203"/>
      <c r="Y323" s="203"/>
      <c r="Z323" s="203"/>
    </row>
    <row r="324" spans="1:26" ht="25.5" customHeight="1">
      <c r="A324" s="206"/>
      <c r="B324" s="207"/>
      <c r="C324" s="206"/>
      <c r="D324" s="207"/>
      <c r="E324" s="207"/>
      <c r="F324" s="207"/>
      <c r="G324" s="400"/>
      <c r="H324" s="400"/>
      <c r="I324" s="400"/>
      <c r="J324" s="400"/>
      <c r="K324" s="401"/>
      <c r="L324" s="401"/>
      <c r="M324" s="208">
        <f t="shared" si="0"/>
        <v>0</v>
      </c>
      <c r="N324" s="400"/>
      <c r="O324" s="400"/>
      <c r="P324" s="402"/>
      <c r="Q324" s="402"/>
      <c r="R324" s="402"/>
      <c r="S324" s="402"/>
      <c r="T324" s="403">
        <f t="shared" si="1"/>
        <v>0</v>
      </c>
      <c r="U324" s="209"/>
      <c r="V324" s="400"/>
      <c r="W324" s="400"/>
      <c r="X324" s="203"/>
      <c r="Y324" s="203"/>
      <c r="Z324" s="203"/>
    </row>
    <row r="325" spans="1:26" ht="25.5" customHeight="1">
      <c r="A325" s="206"/>
      <c r="B325" s="207"/>
      <c r="C325" s="206"/>
      <c r="D325" s="207"/>
      <c r="E325" s="207"/>
      <c r="F325" s="207"/>
      <c r="G325" s="400"/>
      <c r="H325" s="400"/>
      <c r="I325" s="400"/>
      <c r="J325" s="400"/>
      <c r="K325" s="401"/>
      <c r="L325" s="401"/>
      <c r="M325" s="208">
        <f t="shared" si="0"/>
        <v>0</v>
      </c>
      <c r="N325" s="400"/>
      <c r="O325" s="400"/>
      <c r="P325" s="402"/>
      <c r="Q325" s="402"/>
      <c r="R325" s="402"/>
      <c r="S325" s="402"/>
      <c r="T325" s="403">
        <f t="shared" si="1"/>
        <v>0</v>
      </c>
      <c r="U325" s="209"/>
      <c r="V325" s="400"/>
      <c r="W325" s="400"/>
      <c r="X325" s="203"/>
      <c r="Y325" s="203"/>
      <c r="Z325" s="203"/>
    </row>
    <row r="326" spans="1:26" ht="25.5" customHeight="1">
      <c r="A326" s="206"/>
      <c r="B326" s="207"/>
      <c r="C326" s="206"/>
      <c r="D326" s="207"/>
      <c r="E326" s="207"/>
      <c r="F326" s="207"/>
      <c r="G326" s="400"/>
      <c r="H326" s="400"/>
      <c r="I326" s="400"/>
      <c r="J326" s="400"/>
      <c r="K326" s="401"/>
      <c r="L326" s="401"/>
      <c r="M326" s="208">
        <f t="shared" si="0"/>
        <v>0</v>
      </c>
      <c r="N326" s="400"/>
      <c r="O326" s="400"/>
      <c r="P326" s="402"/>
      <c r="Q326" s="402"/>
      <c r="R326" s="402"/>
      <c r="S326" s="402"/>
      <c r="T326" s="403">
        <f t="shared" si="1"/>
        <v>0</v>
      </c>
      <c r="U326" s="209"/>
      <c r="V326" s="400"/>
      <c r="W326" s="400"/>
      <c r="X326" s="203"/>
      <c r="Y326" s="203"/>
      <c r="Z326" s="203"/>
    </row>
    <row r="327" spans="1:26" ht="25.5" customHeight="1">
      <c r="A327" s="206"/>
      <c r="B327" s="207"/>
      <c r="C327" s="206"/>
      <c r="D327" s="207"/>
      <c r="E327" s="207"/>
      <c r="F327" s="207"/>
      <c r="G327" s="400"/>
      <c r="H327" s="400"/>
      <c r="I327" s="400"/>
      <c r="J327" s="400"/>
      <c r="K327" s="401"/>
      <c r="L327" s="401"/>
      <c r="M327" s="208">
        <f t="shared" si="0"/>
        <v>0</v>
      </c>
      <c r="N327" s="400"/>
      <c r="O327" s="400"/>
      <c r="P327" s="402"/>
      <c r="Q327" s="402"/>
      <c r="R327" s="402"/>
      <c r="S327" s="402"/>
      <c r="T327" s="403">
        <f t="shared" si="1"/>
        <v>0</v>
      </c>
      <c r="U327" s="209"/>
      <c r="V327" s="400"/>
      <c r="W327" s="400"/>
      <c r="X327" s="203"/>
      <c r="Y327" s="203"/>
      <c r="Z327" s="203"/>
    </row>
    <row r="328" spans="1:26" ht="25.5" customHeight="1">
      <c r="A328" s="206"/>
      <c r="B328" s="207"/>
      <c r="C328" s="206"/>
      <c r="D328" s="207"/>
      <c r="E328" s="207"/>
      <c r="F328" s="207"/>
      <c r="G328" s="400"/>
      <c r="H328" s="400"/>
      <c r="I328" s="400"/>
      <c r="J328" s="400"/>
      <c r="K328" s="401"/>
      <c r="L328" s="401"/>
      <c r="M328" s="208">
        <f t="shared" si="0"/>
        <v>0</v>
      </c>
      <c r="N328" s="400"/>
      <c r="O328" s="400"/>
      <c r="P328" s="402"/>
      <c r="Q328" s="402"/>
      <c r="R328" s="402"/>
      <c r="S328" s="402"/>
      <c r="T328" s="403">
        <f t="shared" si="1"/>
        <v>0</v>
      </c>
      <c r="U328" s="209"/>
      <c r="V328" s="400"/>
      <c r="W328" s="400"/>
      <c r="X328" s="203"/>
      <c r="Y328" s="203"/>
      <c r="Z328" s="203"/>
    </row>
    <row r="329" spans="1:26" ht="25.5" customHeight="1">
      <c r="A329" s="206"/>
      <c r="B329" s="207"/>
      <c r="C329" s="206"/>
      <c r="D329" s="207"/>
      <c r="E329" s="207"/>
      <c r="F329" s="207"/>
      <c r="G329" s="400"/>
      <c r="H329" s="400"/>
      <c r="I329" s="400"/>
      <c r="J329" s="400"/>
      <c r="K329" s="401"/>
      <c r="L329" s="401"/>
      <c r="M329" s="208">
        <f t="shared" si="0"/>
        <v>0</v>
      </c>
      <c r="N329" s="400"/>
      <c r="O329" s="400"/>
      <c r="P329" s="402"/>
      <c r="Q329" s="402"/>
      <c r="R329" s="402"/>
      <c r="S329" s="402"/>
      <c r="T329" s="403">
        <f t="shared" si="1"/>
        <v>0</v>
      </c>
      <c r="U329" s="209"/>
      <c r="V329" s="400"/>
      <c r="W329" s="400"/>
      <c r="X329" s="203"/>
      <c r="Y329" s="203"/>
      <c r="Z329" s="203"/>
    </row>
    <row r="330" spans="1:26" ht="25.5" customHeight="1">
      <c r="A330" s="206"/>
      <c r="B330" s="207"/>
      <c r="C330" s="206"/>
      <c r="D330" s="207"/>
      <c r="E330" s="207"/>
      <c r="F330" s="207"/>
      <c r="G330" s="400"/>
      <c r="H330" s="400"/>
      <c r="I330" s="400"/>
      <c r="J330" s="400"/>
      <c r="K330" s="401"/>
      <c r="L330" s="401"/>
      <c r="M330" s="208">
        <f t="shared" si="0"/>
        <v>0</v>
      </c>
      <c r="N330" s="400"/>
      <c r="O330" s="400"/>
      <c r="P330" s="402"/>
      <c r="Q330" s="402"/>
      <c r="R330" s="402"/>
      <c r="S330" s="402"/>
      <c r="T330" s="403">
        <f t="shared" si="1"/>
        <v>0</v>
      </c>
      <c r="U330" s="209"/>
      <c r="V330" s="400"/>
      <c r="W330" s="400"/>
      <c r="X330" s="203"/>
      <c r="Y330" s="203"/>
      <c r="Z330" s="203"/>
    </row>
    <row r="331" spans="1:26" ht="25.5" customHeight="1">
      <c r="A331" s="206"/>
      <c r="B331" s="207"/>
      <c r="C331" s="206"/>
      <c r="D331" s="207"/>
      <c r="E331" s="207"/>
      <c r="F331" s="207"/>
      <c r="G331" s="400"/>
      <c r="H331" s="400"/>
      <c r="I331" s="400"/>
      <c r="J331" s="400"/>
      <c r="K331" s="401"/>
      <c r="L331" s="401"/>
      <c r="M331" s="208">
        <f t="shared" si="0"/>
        <v>0</v>
      </c>
      <c r="N331" s="400"/>
      <c r="O331" s="400"/>
      <c r="P331" s="402"/>
      <c r="Q331" s="402"/>
      <c r="R331" s="402"/>
      <c r="S331" s="402"/>
      <c r="T331" s="403">
        <f t="shared" si="1"/>
        <v>0</v>
      </c>
      <c r="U331" s="209"/>
      <c r="V331" s="400"/>
      <c r="W331" s="400"/>
      <c r="X331" s="203"/>
      <c r="Y331" s="203"/>
      <c r="Z331" s="203"/>
    </row>
    <row r="332" spans="1:26" ht="25.5" customHeight="1">
      <c r="A332" s="206"/>
      <c r="B332" s="207"/>
      <c r="C332" s="206"/>
      <c r="D332" s="207"/>
      <c r="E332" s="207"/>
      <c r="F332" s="207"/>
      <c r="G332" s="400"/>
      <c r="H332" s="400"/>
      <c r="I332" s="400"/>
      <c r="J332" s="400"/>
      <c r="K332" s="401"/>
      <c r="L332" s="401"/>
      <c r="M332" s="208">
        <f t="shared" si="0"/>
        <v>0</v>
      </c>
      <c r="N332" s="400"/>
      <c r="O332" s="400"/>
      <c r="P332" s="402"/>
      <c r="Q332" s="402"/>
      <c r="R332" s="402"/>
      <c r="S332" s="402"/>
      <c r="T332" s="403">
        <f t="shared" si="1"/>
        <v>0</v>
      </c>
      <c r="U332" s="209"/>
      <c r="V332" s="400"/>
      <c r="W332" s="400"/>
      <c r="X332" s="203"/>
      <c r="Y332" s="203"/>
      <c r="Z332" s="203"/>
    </row>
    <row r="333" spans="1:26" ht="25.5" customHeight="1">
      <c r="A333" s="206"/>
      <c r="B333" s="207"/>
      <c r="C333" s="206"/>
      <c r="D333" s="207"/>
      <c r="E333" s="207"/>
      <c r="F333" s="207"/>
      <c r="G333" s="400"/>
      <c r="H333" s="400"/>
      <c r="I333" s="400"/>
      <c r="J333" s="400"/>
      <c r="K333" s="401"/>
      <c r="L333" s="401"/>
      <c r="M333" s="208">
        <f t="shared" si="0"/>
        <v>0</v>
      </c>
      <c r="N333" s="400"/>
      <c r="O333" s="400"/>
      <c r="P333" s="402"/>
      <c r="Q333" s="402"/>
      <c r="R333" s="402"/>
      <c r="S333" s="402"/>
      <c r="T333" s="403">
        <f t="shared" si="1"/>
        <v>0</v>
      </c>
      <c r="U333" s="209"/>
      <c r="V333" s="400"/>
      <c r="W333" s="400"/>
      <c r="X333" s="203"/>
      <c r="Y333" s="203"/>
      <c r="Z333" s="203"/>
    </row>
    <row r="334" spans="1:26" ht="25.5" customHeight="1">
      <c r="A334" s="206"/>
      <c r="B334" s="207"/>
      <c r="C334" s="206"/>
      <c r="D334" s="207"/>
      <c r="E334" s="207"/>
      <c r="F334" s="207"/>
      <c r="G334" s="400"/>
      <c r="H334" s="400"/>
      <c r="I334" s="400"/>
      <c r="J334" s="400"/>
      <c r="K334" s="401"/>
      <c r="L334" s="401"/>
      <c r="M334" s="208">
        <f t="shared" si="0"/>
        <v>0</v>
      </c>
      <c r="N334" s="400"/>
      <c r="O334" s="400"/>
      <c r="P334" s="402"/>
      <c r="Q334" s="402"/>
      <c r="R334" s="402"/>
      <c r="S334" s="402"/>
      <c r="T334" s="403">
        <f t="shared" si="1"/>
        <v>0</v>
      </c>
      <c r="U334" s="209"/>
      <c r="V334" s="400"/>
      <c r="W334" s="400"/>
      <c r="X334" s="203"/>
      <c r="Y334" s="203"/>
      <c r="Z334" s="203"/>
    </row>
    <row r="335" spans="1:26" ht="25.5" customHeight="1">
      <c r="A335" s="206"/>
      <c r="B335" s="207"/>
      <c r="C335" s="206"/>
      <c r="D335" s="207"/>
      <c r="E335" s="207"/>
      <c r="F335" s="207"/>
      <c r="G335" s="400"/>
      <c r="H335" s="400"/>
      <c r="I335" s="400"/>
      <c r="J335" s="400"/>
      <c r="K335" s="401"/>
      <c r="L335" s="401"/>
      <c r="M335" s="208">
        <f t="shared" si="0"/>
        <v>0</v>
      </c>
      <c r="N335" s="400"/>
      <c r="O335" s="400"/>
      <c r="P335" s="402"/>
      <c r="Q335" s="402"/>
      <c r="R335" s="402"/>
      <c r="S335" s="402"/>
      <c r="T335" s="403">
        <f t="shared" si="1"/>
        <v>0</v>
      </c>
      <c r="U335" s="209"/>
      <c r="V335" s="400"/>
      <c r="W335" s="400"/>
      <c r="X335" s="203"/>
      <c r="Y335" s="203"/>
      <c r="Z335" s="203"/>
    </row>
    <row r="336" spans="1:26" ht="25.5" customHeight="1">
      <c r="A336" s="206"/>
      <c r="B336" s="207"/>
      <c r="C336" s="206"/>
      <c r="D336" s="207"/>
      <c r="E336" s="207"/>
      <c r="F336" s="207"/>
      <c r="G336" s="400"/>
      <c r="H336" s="400"/>
      <c r="I336" s="400"/>
      <c r="J336" s="400"/>
      <c r="K336" s="401"/>
      <c r="L336" s="401"/>
      <c r="M336" s="208">
        <f t="shared" si="0"/>
        <v>0</v>
      </c>
      <c r="N336" s="400"/>
      <c r="O336" s="400"/>
      <c r="P336" s="402"/>
      <c r="Q336" s="402"/>
      <c r="R336" s="402"/>
      <c r="S336" s="402"/>
      <c r="T336" s="403">
        <f t="shared" si="1"/>
        <v>0</v>
      </c>
      <c r="U336" s="209"/>
      <c r="V336" s="400"/>
      <c r="W336" s="400"/>
      <c r="X336" s="203"/>
      <c r="Y336" s="203"/>
      <c r="Z336" s="203"/>
    </row>
    <row r="337" spans="1:26" ht="25.5" customHeight="1">
      <c r="A337" s="206"/>
      <c r="B337" s="207"/>
      <c r="C337" s="206"/>
      <c r="D337" s="207"/>
      <c r="E337" s="207"/>
      <c r="F337" s="207"/>
      <c r="G337" s="400"/>
      <c r="H337" s="400"/>
      <c r="I337" s="400"/>
      <c r="J337" s="400"/>
      <c r="K337" s="401"/>
      <c r="L337" s="401"/>
      <c r="M337" s="208">
        <f t="shared" si="0"/>
        <v>0</v>
      </c>
      <c r="N337" s="400"/>
      <c r="O337" s="400"/>
      <c r="P337" s="402"/>
      <c r="Q337" s="402"/>
      <c r="R337" s="402"/>
      <c r="S337" s="402"/>
      <c r="T337" s="403">
        <f t="shared" si="1"/>
        <v>0</v>
      </c>
      <c r="U337" s="209"/>
      <c r="V337" s="400"/>
      <c r="W337" s="400"/>
      <c r="X337" s="203"/>
      <c r="Y337" s="203"/>
      <c r="Z337" s="203"/>
    </row>
    <row r="338" spans="1:26" ht="25.5" customHeight="1">
      <c r="A338" s="206"/>
      <c r="B338" s="207"/>
      <c r="C338" s="206"/>
      <c r="D338" s="207"/>
      <c r="E338" s="207"/>
      <c r="F338" s="207"/>
      <c r="G338" s="400"/>
      <c r="H338" s="400"/>
      <c r="I338" s="400"/>
      <c r="J338" s="400"/>
      <c r="K338" s="401"/>
      <c r="L338" s="401"/>
      <c r="M338" s="208">
        <f t="shared" si="0"/>
        <v>0</v>
      </c>
      <c r="N338" s="400"/>
      <c r="O338" s="400"/>
      <c r="P338" s="402"/>
      <c r="Q338" s="402"/>
      <c r="R338" s="402"/>
      <c r="S338" s="402"/>
      <c r="T338" s="403">
        <f t="shared" si="1"/>
        <v>0</v>
      </c>
      <c r="U338" s="209"/>
      <c r="V338" s="400"/>
      <c r="W338" s="400"/>
      <c r="X338" s="203"/>
      <c r="Y338" s="203"/>
      <c r="Z338" s="203"/>
    </row>
    <row r="339" spans="1:26" ht="25.5" customHeight="1">
      <c r="A339" s="206"/>
      <c r="B339" s="207"/>
      <c r="C339" s="206"/>
      <c r="D339" s="207"/>
      <c r="E339" s="207"/>
      <c r="F339" s="207"/>
      <c r="G339" s="400"/>
      <c r="H339" s="400"/>
      <c r="I339" s="400"/>
      <c r="J339" s="400"/>
      <c r="K339" s="401"/>
      <c r="L339" s="401"/>
      <c r="M339" s="208">
        <f t="shared" si="0"/>
        <v>0</v>
      </c>
      <c r="N339" s="400"/>
      <c r="O339" s="400"/>
      <c r="P339" s="402"/>
      <c r="Q339" s="402"/>
      <c r="R339" s="402"/>
      <c r="S339" s="402"/>
      <c r="T339" s="403">
        <f t="shared" si="1"/>
        <v>0</v>
      </c>
      <c r="U339" s="209"/>
      <c r="V339" s="400"/>
      <c r="W339" s="400"/>
      <c r="X339" s="203"/>
      <c r="Y339" s="203"/>
      <c r="Z339" s="203"/>
    </row>
    <row r="340" spans="1:26" ht="25.5" customHeight="1">
      <c r="A340" s="206"/>
      <c r="B340" s="207"/>
      <c r="C340" s="206"/>
      <c r="D340" s="207"/>
      <c r="E340" s="207"/>
      <c r="F340" s="207"/>
      <c r="G340" s="400"/>
      <c r="H340" s="400"/>
      <c r="I340" s="400"/>
      <c r="J340" s="400"/>
      <c r="K340" s="401"/>
      <c r="L340" s="401"/>
      <c r="M340" s="208">
        <f t="shared" si="0"/>
        <v>0</v>
      </c>
      <c r="N340" s="400"/>
      <c r="O340" s="400"/>
      <c r="P340" s="402"/>
      <c r="Q340" s="402"/>
      <c r="R340" s="402"/>
      <c r="S340" s="402"/>
      <c r="T340" s="403">
        <f t="shared" si="1"/>
        <v>0</v>
      </c>
      <c r="U340" s="209"/>
      <c r="V340" s="400"/>
      <c r="W340" s="400"/>
      <c r="X340" s="203"/>
      <c r="Y340" s="203"/>
      <c r="Z340" s="203"/>
    </row>
    <row r="341" spans="1:26" ht="25.5" customHeight="1">
      <c r="A341" s="206"/>
      <c r="B341" s="207"/>
      <c r="C341" s="206"/>
      <c r="D341" s="207"/>
      <c r="E341" s="207"/>
      <c r="F341" s="207"/>
      <c r="G341" s="400"/>
      <c r="H341" s="400"/>
      <c r="I341" s="400"/>
      <c r="J341" s="400"/>
      <c r="K341" s="401"/>
      <c r="L341" s="401"/>
      <c r="M341" s="208">
        <f t="shared" si="0"/>
        <v>0</v>
      </c>
      <c r="N341" s="400"/>
      <c r="O341" s="400"/>
      <c r="P341" s="402"/>
      <c r="Q341" s="402"/>
      <c r="R341" s="402"/>
      <c r="S341" s="402"/>
      <c r="T341" s="403">
        <f t="shared" si="1"/>
        <v>0</v>
      </c>
      <c r="U341" s="209"/>
      <c r="V341" s="400"/>
      <c r="W341" s="400"/>
      <c r="X341" s="203"/>
      <c r="Y341" s="203"/>
      <c r="Z341" s="203"/>
    </row>
    <row r="342" spans="1:26" ht="25.5" customHeight="1">
      <c r="A342" s="206"/>
      <c r="B342" s="207"/>
      <c r="C342" s="206"/>
      <c r="D342" s="207"/>
      <c r="E342" s="207"/>
      <c r="F342" s="207"/>
      <c r="G342" s="400"/>
      <c r="H342" s="400"/>
      <c r="I342" s="400"/>
      <c r="J342" s="400"/>
      <c r="K342" s="401"/>
      <c r="L342" s="401"/>
      <c r="M342" s="208">
        <f t="shared" si="0"/>
        <v>0</v>
      </c>
      <c r="N342" s="400"/>
      <c r="O342" s="400"/>
      <c r="P342" s="402"/>
      <c r="Q342" s="402"/>
      <c r="R342" s="402"/>
      <c r="S342" s="402"/>
      <c r="T342" s="403">
        <f t="shared" si="1"/>
        <v>0</v>
      </c>
      <c r="U342" s="209"/>
      <c r="V342" s="400"/>
      <c r="W342" s="400"/>
      <c r="X342" s="203"/>
      <c r="Y342" s="203"/>
      <c r="Z342" s="203"/>
    </row>
    <row r="343" spans="1:26" ht="25.5" customHeight="1">
      <c r="A343" s="206"/>
      <c r="B343" s="207"/>
      <c r="C343" s="206"/>
      <c r="D343" s="207"/>
      <c r="E343" s="207"/>
      <c r="F343" s="207"/>
      <c r="G343" s="400"/>
      <c r="H343" s="400"/>
      <c r="I343" s="400"/>
      <c r="J343" s="400"/>
      <c r="K343" s="401"/>
      <c r="L343" s="401"/>
      <c r="M343" s="208">
        <f t="shared" si="0"/>
        <v>0</v>
      </c>
      <c r="N343" s="400"/>
      <c r="O343" s="400"/>
      <c r="P343" s="402"/>
      <c r="Q343" s="402"/>
      <c r="R343" s="402"/>
      <c r="S343" s="402"/>
      <c r="T343" s="403">
        <f t="shared" si="1"/>
        <v>0</v>
      </c>
      <c r="U343" s="209"/>
      <c r="V343" s="400"/>
      <c r="W343" s="400"/>
      <c r="X343" s="203"/>
      <c r="Y343" s="203"/>
      <c r="Z343" s="203"/>
    </row>
    <row r="344" spans="1:26" ht="25.5" customHeight="1">
      <c r="A344" s="206"/>
      <c r="B344" s="207"/>
      <c r="C344" s="206"/>
      <c r="D344" s="207"/>
      <c r="E344" s="207"/>
      <c r="F344" s="207"/>
      <c r="G344" s="400"/>
      <c r="H344" s="400"/>
      <c r="I344" s="400"/>
      <c r="J344" s="400"/>
      <c r="K344" s="401"/>
      <c r="L344" s="401"/>
      <c r="M344" s="208">
        <f t="shared" si="0"/>
        <v>0</v>
      </c>
      <c r="N344" s="400"/>
      <c r="O344" s="400"/>
      <c r="P344" s="402"/>
      <c r="Q344" s="402"/>
      <c r="R344" s="402"/>
      <c r="S344" s="402"/>
      <c r="T344" s="403">
        <f t="shared" si="1"/>
        <v>0</v>
      </c>
      <c r="U344" s="209"/>
      <c r="V344" s="400"/>
      <c r="W344" s="400"/>
      <c r="X344" s="203"/>
      <c r="Y344" s="203"/>
      <c r="Z344" s="203"/>
    </row>
    <row r="345" spans="1:26" ht="25.5" customHeight="1">
      <c r="A345" s="206"/>
      <c r="B345" s="207"/>
      <c r="C345" s="206"/>
      <c r="D345" s="207"/>
      <c r="E345" s="207"/>
      <c r="F345" s="207"/>
      <c r="G345" s="400"/>
      <c r="H345" s="400"/>
      <c r="I345" s="400"/>
      <c r="J345" s="400"/>
      <c r="K345" s="401"/>
      <c r="L345" s="401"/>
      <c r="M345" s="208">
        <f t="shared" si="0"/>
        <v>0</v>
      </c>
      <c r="N345" s="400"/>
      <c r="O345" s="400"/>
      <c r="P345" s="402"/>
      <c r="Q345" s="402"/>
      <c r="R345" s="402"/>
      <c r="S345" s="402"/>
      <c r="T345" s="403">
        <f t="shared" si="1"/>
        <v>0</v>
      </c>
      <c r="U345" s="209"/>
      <c r="V345" s="400"/>
      <c r="W345" s="400"/>
      <c r="X345" s="203"/>
      <c r="Y345" s="203"/>
      <c r="Z345" s="203"/>
    </row>
    <row r="346" spans="1:26" ht="25.5" customHeight="1">
      <c r="A346" s="206"/>
      <c r="B346" s="207"/>
      <c r="C346" s="206"/>
      <c r="D346" s="207"/>
      <c r="E346" s="207"/>
      <c r="F346" s="207"/>
      <c r="G346" s="400"/>
      <c r="H346" s="400"/>
      <c r="I346" s="400"/>
      <c r="J346" s="400"/>
      <c r="K346" s="401"/>
      <c r="L346" s="401"/>
      <c r="M346" s="208">
        <f t="shared" si="0"/>
        <v>0</v>
      </c>
      <c r="N346" s="400"/>
      <c r="O346" s="400"/>
      <c r="P346" s="402"/>
      <c r="Q346" s="402"/>
      <c r="R346" s="402"/>
      <c r="S346" s="402"/>
      <c r="T346" s="403">
        <f t="shared" si="1"/>
        <v>0</v>
      </c>
      <c r="U346" s="209"/>
      <c r="V346" s="400"/>
      <c r="W346" s="400"/>
      <c r="X346" s="203"/>
      <c r="Y346" s="203"/>
      <c r="Z346" s="203"/>
    </row>
    <row r="347" spans="1:26" ht="25.5" customHeight="1">
      <c r="A347" s="206"/>
      <c r="B347" s="207"/>
      <c r="C347" s="206"/>
      <c r="D347" s="207"/>
      <c r="E347" s="207"/>
      <c r="F347" s="207"/>
      <c r="G347" s="400"/>
      <c r="H347" s="400"/>
      <c r="I347" s="400"/>
      <c r="J347" s="400"/>
      <c r="K347" s="401"/>
      <c r="L347" s="401"/>
      <c r="M347" s="208">
        <f t="shared" si="0"/>
        <v>0</v>
      </c>
      <c r="N347" s="400"/>
      <c r="O347" s="400"/>
      <c r="P347" s="402"/>
      <c r="Q347" s="402"/>
      <c r="R347" s="402"/>
      <c r="S347" s="402"/>
      <c r="T347" s="403">
        <f t="shared" si="1"/>
        <v>0</v>
      </c>
      <c r="U347" s="209"/>
      <c r="V347" s="400"/>
      <c r="W347" s="400"/>
      <c r="X347" s="203"/>
      <c r="Y347" s="203"/>
      <c r="Z347" s="203"/>
    </row>
    <row r="348" spans="1:26" ht="25.5" customHeight="1">
      <c r="A348" s="206"/>
      <c r="B348" s="207"/>
      <c r="C348" s="206"/>
      <c r="D348" s="207"/>
      <c r="E348" s="207"/>
      <c r="F348" s="207"/>
      <c r="G348" s="400"/>
      <c r="H348" s="400"/>
      <c r="I348" s="400"/>
      <c r="J348" s="400"/>
      <c r="K348" s="401"/>
      <c r="L348" s="401"/>
      <c r="M348" s="208">
        <f t="shared" si="0"/>
        <v>0</v>
      </c>
      <c r="N348" s="400"/>
      <c r="O348" s="400"/>
      <c r="P348" s="402"/>
      <c r="Q348" s="402"/>
      <c r="R348" s="402"/>
      <c r="S348" s="402"/>
      <c r="T348" s="403">
        <f t="shared" si="1"/>
        <v>0</v>
      </c>
      <c r="U348" s="209"/>
      <c r="V348" s="400"/>
      <c r="W348" s="400"/>
      <c r="X348" s="203"/>
      <c r="Y348" s="203"/>
      <c r="Z348" s="203"/>
    </row>
    <row r="349" spans="1:26" ht="25.5" customHeight="1">
      <c r="A349" s="206"/>
      <c r="B349" s="207"/>
      <c r="C349" s="206"/>
      <c r="D349" s="207"/>
      <c r="E349" s="207"/>
      <c r="F349" s="207"/>
      <c r="G349" s="400"/>
      <c r="H349" s="400"/>
      <c r="I349" s="400"/>
      <c r="J349" s="400"/>
      <c r="K349" s="401"/>
      <c r="L349" s="401"/>
      <c r="M349" s="208">
        <f t="shared" si="0"/>
        <v>0</v>
      </c>
      <c r="N349" s="400"/>
      <c r="O349" s="400"/>
      <c r="P349" s="402"/>
      <c r="Q349" s="402"/>
      <c r="R349" s="402"/>
      <c r="S349" s="402"/>
      <c r="T349" s="403">
        <f t="shared" si="1"/>
        <v>0</v>
      </c>
      <c r="U349" s="209"/>
      <c r="V349" s="400"/>
      <c r="W349" s="400"/>
      <c r="X349" s="203"/>
      <c r="Y349" s="203"/>
      <c r="Z349" s="203"/>
    </row>
    <row r="350" spans="1:26" ht="25.5" customHeight="1">
      <c r="A350" s="206"/>
      <c r="B350" s="207"/>
      <c r="C350" s="206"/>
      <c r="D350" s="207"/>
      <c r="E350" s="207"/>
      <c r="F350" s="207"/>
      <c r="G350" s="400"/>
      <c r="H350" s="400"/>
      <c r="I350" s="400"/>
      <c r="J350" s="400"/>
      <c r="K350" s="401"/>
      <c r="L350" s="401"/>
      <c r="M350" s="208">
        <f t="shared" si="0"/>
        <v>0</v>
      </c>
      <c r="N350" s="400"/>
      <c r="O350" s="400"/>
      <c r="P350" s="402"/>
      <c r="Q350" s="402"/>
      <c r="R350" s="402"/>
      <c r="S350" s="402"/>
      <c r="T350" s="403">
        <f t="shared" si="1"/>
        <v>0</v>
      </c>
      <c r="U350" s="209"/>
      <c r="V350" s="400"/>
      <c r="W350" s="400"/>
      <c r="X350" s="203"/>
      <c r="Y350" s="203"/>
      <c r="Z350" s="203"/>
    </row>
    <row r="351" spans="1:26" ht="25.5" customHeight="1">
      <c r="A351" s="206"/>
      <c r="B351" s="207"/>
      <c r="C351" s="206"/>
      <c r="D351" s="207"/>
      <c r="E351" s="207"/>
      <c r="F351" s="207"/>
      <c r="G351" s="400"/>
      <c r="H351" s="400"/>
      <c r="I351" s="400"/>
      <c r="J351" s="400"/>
      <c r="K351" s="401"/>
      <c r="L351" s="401"/>
      <c r="M351" s="208">
        <f t="shared" si="0"/>
        <v>0</v>
      </c>
      <c r="N351" s="400"/>
      <c r="O351" s="400"/>
      <c r="P351" s="402"/>
      <c r="Q351" s="402"/>
      <c r="R351" s="402"/>
      <c r="S351" s="402"/>
      <c r="T351" s="403">
        <f t="shared" si="1"/>
        <v>0</v>
      </c>
      <c r="U351" s="209"/>
      <c r="V351" s="400"/>
      <c r="W351" s="400"/>
      <c r="X351" s="203"/>
      <c r="Y351" s="203"/>
      <c r="Z351" s="203"/>
    </row>
    <row r="352" spans="1:26" ht="25.5" customHeight="1">
      <c r="A352" s="206"/>
      <c r="B352" s="207"/>
      <c r="C352" s="206"/>
      <c r="D352" s="207"/>
      <c r="E352" s="207"/>
      <c r="F352" s="207"/>
      <c r="G352" s="400"/>
      <c r="H352" s="400"/>
      <c r="I352" s="400"/>
      <c r="J352" s="400"/>
      <c r="K352" s="401"/>
      <c r="L352" s="401"/>
      <c r="M352" s="208">
        <f t="shared" si="0"/>
        <v>0</v>
      </c>
      <c r="N352" s="400"/>
      <c r="O352" s="400"/>
      <c r="P352" s="402"/>
      <c r="Q352" s="402"/>
      <c r="R352" s="402"/>
      <c r="S352" s="402"/>
      <c r="T352" s="403">
        <f t="shared" si="1"/>
        <v>0</v>
      </c>
      <c r="U352" s="209"/>
      <c r="V352" s="400"/>
      <c r="W352" s="400"/>
      <c r="X352" s="203"/>
      <c r="Y352" s="203"/>
      <c r="Z352" s="203"/>
    </row>
    <row r="353" spans="1:26" ht="25.5" customHeight="1">
      <c r="A353" s="206"/>
      <c r="B353" s="207"/>
      <c r="C353" s="206"/>
      <c r="D353" s="207"/>
      <c r="E353" s="207"/>
      <c r="F353" s="207"/>
      <c r="G353" s="400"/>
      <c r="H353" s="400"/>
      <c r="I353" s="400"/>
      <c r="J353" s="400"/>
      <c r="K353" s="401"/>
      <c r="L353" s="401"/>
      <c r="M353" s="208">
        <f t="shared" si="0"/>
        <v>0</v>
      </c>
      <c r="N353" s="400"/>
      <c r="O353" s="400"/>
      <c r="P353" s="402"/>
      <c r="Q353" s="402"/>
      <c r="R353" s="402"/>
      <c r="S353" s="402"/>
      <c r="T353" s="403">
        <f t="shared" si="1"/>
        <v>0</v>
      </c>
      <c r="U353" s="209"/>
      <c r="V353" s="400"/>
      <c r="W353" s="400"/>
      <c r="X353" s="203"/>
      <c r="Y353" s="203"/>
      <c r="Z353" s="203"/>
    </row>
    <row r="354" spans="1:26" ht="25.5" customHeight="1">
      <c r="A354" s="206"/>
      <c r="B354" s="207"/>
      <c r="C354" s="206"/>
      <c r="D354" s="207"/>
      <c r="E354" s="207"/>
      <c r="F354" s="207"/>
      <c r="G354" s="400"/>
      <c r="H354" s="400"/>
      <c r="I354" s="400"/>
      <c r="J354" s="400"/>
      <c r="K354" s="401"/>
      <c r="L354" s="401"/>
      <c r="M354" s="208">
        <f t="shared" si="0"/>
        <v>0</v>
      </c>
      <c r="N354" s="400"/>
      <c r="O354" s="400"/>
      <c r="P354" s="402"/>
      <c r="Q354" s="402"/>
      <c r="R354" s="402"/>
      <c r="S354" s="402"/>
      <c r="T354" s="403">
        <f t="shared" si="1"/>
        <v>0</v>
      </c>
      <c r="U354" s="209"/>
      <c r="V354" s="400"/>
      <c r="W354" s="400"/>
      <c r="X354" s="203"/>
      <c r="Y354" s="203"/>
      <c r="Z354" s="203"/>
    </row>
    <row r="355" spans="1:26" ht="25.5" customHeight="1">
      <c r="A355" s="206"/>
      <c r="B355" s="207"/>
      <c r="C355" s="206"/>
      <c r="D355" s="207"/>
      <c r="E355" s="207"/>
      <c r="F355" s="207"/>
      <c r="G355" s="400"/>
      <c r="H355" s="400"/>
      <c r="I355" s="400"/>
      <c r="J355" s="400"/>
      <c r="K355" s="401"/>
      <c r="L355" s="401"/>
      <c r="M355" s="208">
        <f t="shared" si="0"/>
        <v>0</v>
      </c>
      <c r="N355" s="400"/>
      <c r="O355" s="400"/>
      <c r="P355" s="402"/>
      <c r="Q355" s="402"/>
      <c r="R355" s="402"/>
      <c r="S355" s="402"/>
      <c r="T355" s="403">
        <f t="shared" si="1"/>
        <v>0</v>
      </c>
      <c r="U355" s="209"/>
      <c r="V355" s="400"/>
      <c r="W355" s="400"/>
      <c r="X355" s="203"/>
      <c r="Y355" s="203"/>
      <c r="Z355" s="203"/>
    </row>
    <row r="356" spans="1:26" ht="25.5" customHeight="1">
      <c r="A356" s="206"/>
      <c r="B356" s="207"/>
      <c r="C356" s="206"/>
      <c r="D356" s="207"/>
      <c r="E356" s="207"/>
      <c r="F356" s="207"/>
      <c r="G356" s="400"/>
      <c r="H356" s="400"/>
      <c r="I356" s="400"/>
      <c r="J356" s="400"/>
      <c r="K356" s="401"/>
      <c r="L356" s="401"/>
      <c r="M356" s="208">
        <f t="shared" si="0"/>
        <v>0</v>
      </c>
      <c r="N356" s="400"/>
      <c r="O356" s="400"/>
      <c r="P356" s="402"/>
      <c r="Q356" s="402"/>
      <c r="R356" s="402"/>
      <c r="S356" s="402"/>
      <c r="T356" s="403">
        <f t="shared" si="1"/>
        <v>0</v>
      </c>
      <c r="U356" s="209"/>
      <c r="V356" s="400"/>
      <c r="W356" s="400"/>
      <c r="X356" s="203"/>
      <c r="Y356" s="203"/>
      <c r="Z356" s="203"/>
    </row>
    <row r="357" spans="1:26" ht="25.5" customHeight="1">
      <c r="A357" s="206"/>
      <c r="B357" s="207"/>
      <c r="C357" s="206"/>
      <c r="D357" s="207"/>
      <c r="E357" s="207"/>
      <c r="F357" s="207"/>
      <c r="G357" s="400"/>
      <c r="H357" s="400"/>
      <c r="I357" s="400"/>
      <c r="J357" s="400"/>
      <c r="K357" s="401"/>
      <c r="L357" s="401"/>
      <c r="M357" s="208">
        <f t="shared" si="0"/>
        <v>0</v>
      </c>
      <c r="N357" s="400"/>
      <c r="O357" s="400"/>
      <c r="P357" s="402"/>
      <c r="Q357" s="402"/>
      <c r="R357" s="402"/>
      <c r="S357" s="402"/>
      <c r="T357" s="403">
        <f t="shared" si="1"/>
        <v>0</v>
      </c>
      <c r="U357" s="209"/>
      <c r="V357" s="400"/>
      <c r="W357" s="400"/>
      <c r="X357" s="203"/>
      <c r="Y357" s="203"/>
      <c r="Z357" s="203"/>
    </row>
    <row r="358" spans="1:26" ht="25.5" customHeight="1">
      <c r="A358" s="206"/>
      <c r="B358" s="207"/>
      <c r="C358" s="206"/>
      <c r="D358" s="207"/>
      <c r="E358" s="207"/>
      <c r="F358" s="207"/>
      <c r="G358" s="400"/>
      <c r="H358" s="400"/>
      <c r="I358" s="400"/>
      <c r="J358" s="400"/>
      <c r="K358" s="401"/>
      <c r="L358" s="401"/>
      <c r="M358" s="208">
        <f t="shared" si="0"/>
        <v>0</v>
      </c>
      <c r="N358" s="400"/>
      <c r="O358" s="400"/>
      <c r="P358" s="402"/>
      <c r="Q358" s="402"/>
      <c r="R358" s="402"/>
      <c r="S358" s="402"/>
      <c r="T358" s="403">
        <f t="shared" si="1"/>
        <v>0</v>
      </c>
      <c r="U358" s="209"/>
      <c r="V358" s="400"/>
      <c r="W358" s="400"/>
      <c r="X358" s="203"/>
      <c r="Y358" s="203"/>
      <c r="Z358" s="203"/>
    </row>
    <row r="359" spans="1:26" ht="25.5" customHeight="1">
      <c r="A359" s="206"/>
      <c r="B359" s="207"/>
      <c r="C359" s="206"/>
      <c r="D359" s="207"/>
      <c r="E359" s="207"/>
      <c r="F359" s="207"/>
      <c r="G359" s="400"/>
      <c r="H359" s="400"/>
      <c r="I359" s="400"/>
      <c r="J359" s="400"/>
      <c r="K359" s="401"/>
      <c r="L359" s="401"/>
      <c r="M359" s="208">
        <f t="shared" si="0"/>
        <v>0</v>
      </c>
      <c r="N359" s="400"/>
      <c r="O359" s="400"/>
      <c r="P359" s="402"/>
      <c r="Q359" s="402"/>
      <c r="R359" s="402"/>
      <c r="S359" s="402"/>
      <c r="T359" s="403">
        <f t="shared" si="1"/>
        <v>0</v>
      </c>
      <c r="U359" s="209"/>
      <c r="V359" s="400"/>
      <c r="W359" s="400"/>
      <c r="X359" s="203"/>
      <c r="Y359" s="203"/>
      <c r="Z359" s="203"/>
    </row>
    <row r="360" spans="1:26" ht="25.5" customHeight="1">
      <c r="A360" s="206"/>
      <c r="B360" s="207"/>
      <c r="C360" s="206"/>
      <c r="D360" s="207"/>
      <c r="E360" s="207"/>
      <c r="F360" s="207"/>
      <c r="G360" s="400"/>
      <c r="H360" s="400"/>
      <c r="I360" s="400"/>
      <c r="J360" s="400"/>
      <c r="K360" s="401"/>
      <c r="L360" s="401"/>
      <c r="M360" s="208">
        <f t="shared" si="0"/>
        <v>0</v>
      </c>
      <c r="N360" s="400"/>
      <c r="O360" s="400"/>
      <c r="P360" s="402"/>
      <c r="Q360" s="402"/>
      <c r="R360" s="402"/>
      <c r="S360" s="402"/>
      <c r="T360" s="403">
        <f t="shared" si="1"/>
        <v>0</v>
      </c>
      <c r="U360" s="209"/>
      <c r="V360" s="400"/>
      <c r="W360" s="400"/>
      <c r="X360" s="203"/>
      <c r="Y360" s="203"/>
      <c r="Z360" s="203"/>
    </row>
    <row r="361" spans="1:26" ht="25.5" customHeight="1">
      <c r="A361" s="206"/>
      <c r="B361" s="207"/>
      <c r="C361" s="206"/>
      <c r="D361" s="207"/>
      <c r="E361" s="207"/>
      <c r="F361" s="207"/>
      <c r="G361" s="400"/>
      <c r="H361" s="400"/>
      <c r="I361" s="400"/>
      <c r="J361" s="400"/>
      <c r="K361" s="401"/>
      <c r="L361" s="401"/>
      <c r="M361" s="208">
        <f t="shared" si="0"/>
        <v>0</v>
      </c>
      <c r="N361" s="400"/>
      <c r="O361" s="400"/>
      <c r="P361" s="402"/>
      <c r="Q361" s="402"/>
      <c r="R361" s="402"/>
      <c r="S361" s="402"/>
      <c r="T361" s="403">
        <f t="shared" si="1"/>
        <v>0</v>
      </c>
      <c r="U361" s="209"/>
      <c r="V361" s="400"/>
      <c r="W361" s="400"/>
      <c r="X361" s="203"/>
      <c r="Y361" s="203"/>
      <c r="Z361" s="203"/>
    </row>
    <row r="362" spans="1:26" ht="25.5" customHeight="1">
      <c r="A362" s="206"/>
      <c r="B362" s="207"/>
      <c r="C362" s="206"/>
      <c r="D362" s="207"/>
      <c r="E362" s="207"/>
      <c r="F362" s="207"/>
      <c r="G362" s="400"/>
      <c r="H362" s="400"/>
      <c r="I362" s="400"/>
      <c r="J362" s="400"/>
      <c r="K362" s="401"/>
      <c r="L362" s="401"/>
      <c r="M362" s="208">
        <f t="shared" si="0"/>
        <v>0</v>
      </c>
      <c r="N362" s="400"/>
      <c r="O362" s="400"/>
      <c r="P362" s="402"/>
      <c r="Q362" s="402"/>
      <c r="R362" s="402"/>
      <c r="S362" s="402"/>
      <c r="T362" s="403">
        <f t="shared" si="1"/>
        <v>0</v>
      </c>
      <c r="U362" s="209"/>
      <c r="V362" s="400"/>
      <c r="W362" s="400"/>
      <c r="X362" s="203"/>
      <c r="Y362" s="203"/>
      <c r="Z362" s="203"/>
    </row>
    <row r="363" spans="1:26" ht="25.5" customHeight="1">
      <c r="A363" s="206"/>
      <c r="B363" s="207"/>
      <c r="C363" s="206"/>
      <c r="D363" s="207"/>
      <c r="E363" s="207"/>
      <c r="F363" s="207"/>
      <c r="G363" s="400"/>
      <c r="H363" s="400"/>
      <c r="I363" s="400"/>
      <c r="J363" s="400"/>
      <c r="K363" s="401"/>
      <c r="L363" s="401"/>
      <c r="M363" s="208">
        <f t="shared" si="0"/>
        <v>0</v>
      </c>
      <c r="N363" s="400"/>
      <c r="O363" s="400"/>
      <c r="P363" s="402"/>
      <c r="Q363" s="402"/>
      <c r="R363" s="402"/>
      <c r="S363" s="402"/>
      <c r="T363" s="403">
        <f t="shared" si="1"/>
        <v>0</v>
      </c>
      <c r="U363" s="209"/>
      <c r="V363" s="400"/>
      <c r="W363" s="400"/>
      <c r="X363" s="203"/>
      <c r="Y363" s="203"/>
      <c r="Z363" s="203"/>
    </row>
    <row r="364" spans="1:26" ht="25.5" customHeight="1">
      <c r="A364" s="206"/>
      <c r="B364" s="207"/>
      <c r="C364" s="206"/>
      <c r="D364" s="207"/>
      <c r="E364" s="207"/>
      <c r="F364" s="207"/>
      <c r="G364" s="400"/>
      <c r="H364" s="400"/>
      <c r="I364" s="400"/>
      <c r="J364" s="400"/>
      <c r="K364" s="401"/>
      <c r="L364" s="401"/>
      <c r="M364" s="208">
        <f t="shared" si="0"/>
        <v>0</v>
      </c>
      <c r="N364" s="400"/>
      <c r="O364" s="400"/>
      <c r="P364" s="402"/>
      <c r="Q364" s="402"/>
      <c r="R364" s="402"/>
      <c r="S364" s="402"/>
      <c r="T364" s="403">
        <f t="shared" si="1"/>
        <v>0</v>
      </c>
      <c r="U364" s="209"/>
      <c r="V364" s="400"/>
      <c r="W364" s="400"/>
      <c r="X364" s="203"/>
      <c r="Y364" s="203"/>
      <c r="Z364" s="203"/>
    </row>
    <row r="365" spans="1:26" ht="25.5" customHeight="1">
      <c r="A365" s="206"/>
      <c r="B365" s="207"/>
      <c r="C365" s="206"/>
      <c r="D365" s="207"/>
      <c r="E365" s="207"/>
      <c r="F365" s="207"/>
      <c r="G365" s="400"/>
      <c r="H365" s="400"/>
      <c r="I365" s="400"/>
      <c r="J365" s="400"/>
      <c r="K365" s="401"/>
      <c r="L365" s="401"/>
      <c r="M365" s="208">
        <f t="shared" si="0"/>
        <v>0</v>
      </c>
      <c r="N365" s="400"/>
      <c r="O365" s="400"/>
      <c r="P365" s="402"/>
      <c r="Q365" s="402"/>
      <c r="R365" s="402"/>
      <c r="S365" s="402"/>
      <c r="T365" s="403">
        <f t="shared" si="1"/>
        <v>0</v>
      </c>
      <c r="U365" s="209"/>
      <c r="V365" s="400"/>
      <c r="W365" s="400"/>
      <c r="X365" s="203"/>
      <c r="Y365" s="203"/>
      <c r="Z365" s="203"/>
    </row>
    <row r="366" spans="1:26" ht="25.5" customHeight="1">
      <c r="A366" s="206"/>
      <c r="B366" s="207"/>
      <c r="C366" s="206"/>
      <c r="D366" s="207"/>
      <c r="E366" s="207"/>
      <c r="F366" s="207"/>
      <c r="G366" s="400"/>
      <c r="H366" s="400"/>
      <c r="I366" s="400"/>
      <c r="J366" s="400"/>
      <c r="K366" s="401"/>
      <c r="L366" s="401"/>
      <c r="M366" s="208">
        <f t="shared" si="0"/>
        <v>0</v>
      </c>
      <c r="N366" s="400"/>
      <c r="O366" s="400"/>
      <c r="P366" s="402"/>
      <c r="Q366" s="402"/>
      <c r="R366" s="402"/>
      <c r="S366" s="402"/>
      <c r="T366" s="403">
        <f t="shared" si="1"/>
        <v>0</v>
      </c>
      <c r="U366" s="209"/>
      <c r="V366" s="400"/>
      <c r="W366" s="400"/>
      <c r="X366" s="203"/>
      <c r="Y366" s="203"/>
      <c r="Z366" s="203"/>
    </row>
    <row r="367" spans="1:26" ht="25.5" customHeight="1">
      <c r="A367" s="206"/>
      <c r="B367" s="207"/>
      <c r="C367" s="206"/>
      <c r="D367" s="207"/>
      <c r="E367" s="207"/>
      <c r="F367" s="207"/>
      <c r="G367" s="400"/>
      <c r="H367" s="400"/>
      <c r="I367" s="400"/>
      <c r="J367" s="400"/>
      <c r="K367" s="401"/>
      <c r="L367" s="401"/>
      <c r="M367" s="208">
        <f t="shared" si="0"/>
        <v>0</v>
      </c>
      <c r="N367" s="400"/>
      <c r="O367" s="400"/>
      <c r="P367" s="402"/>
      <c r="Q367" s="402"/>
      <c r="R367" s="402"/>
      <c r="S367" s="402"/>
      <c r="T367" s="403">
        <f t="shared" si="1"/>
        <v>0</v>
      </c>
      <c r="U367" s="209"/>
      <c r="V367" s="400"/>
      <c r="W367" s="400"/>
      <c r="X367" s="203"/>
      <c r="Y367" s="203"/>
      <c r="Z367" s="203"/>
    </row>
    <row r="368" spans="1:26" ht="25.5" customHeight="1">
      <c r="A368" s="206"/>
      <c r="B368" s="207"/>
      <c r="C368" s="206"/>
      <c r="D368" s="207"/>
      <c r="E368" s="207"/>
      <c r="F368" s="207"/>
      <c r="G368" s="400"/>
      <c r="H368" s="400"/>
      <c r="I368" s="400"/>
      <c r="J368" s="400"/>
      <c r="K368" s="401"/>
      <c r="L368" s="401"/>
      <c r="M368" s="208">
        <f t="shared" si="0"/>
        <v>0</v>
      </c>
      <c r="N368" s="400"/>
      <c r="O368" s="400"/>
      <c r="P368" s="402"/>
      <c r="Q368" s="402"/>
      <c r="R368" s="402"/>
      <c r="S368" s="402"/>
      <c r="T368" s="403">
        <f t="shared" si="1"/>
        <v>0</v>
      </c>
      <c r="U368" s="209"/>
      <c r="V368" s="400"/>
      <c r="W368" s="400"/>
      <c r="X368" s="203"/>
      <c r="Y368" s="203"/>
      <c r="Z368" s="203"/>
    </row>
    <row r="369" spans="1:26" ht="25.5" customHeight="1">
      <c r="A369" s="206"/>
      <c r="B369" s="207"/>
      <c r="C369" s="206"/>
      <c r="D369" s="207"/>
      <c r="E369" s="207"/>
      <c r="F369" s="207"/>
      <c r="G369" s="400"/>
      <c r="H369" s="400"/>
      <c r="I369" s="400"/>
      <c r="J369" s="400"/>
      <c r="K369" s="401"/>
      <c r="L369" s="401"/>
      <c r="M369" s="208">
        <f t="shared" si="0"/>
        <v>0</v>
      </c>
      <c r="N369" s="400"/>
      <c r="O369" s="400"/>
      <c r="P369" s="402"/>
      <c r="Q369" s="402"/>
      <c r="R369" s="402"/>
      <c r="S369" s="402"/>
      <c r="T369" s="403">
        <f t="shared" si="1"/>
        <v>0</v>
      </c>
      <c r="U369" s="209"/>
      <c r="V369" s="400"/>
      <c r="W369" s="400"/>
      <c r="X369" s="203"/>
      <c r="Y369" s="203"/>
      <c r="Z369" s="203"/>
    </row>
    <row r="370" spans="1:26" ht="25.5" customHeight="1">
      <c r="A370" s="206"/>
      <c r="B370" s="207"/>
      <c r="C370" s="206"/>
      <c r="D370" s="207"/>
      <c r="E370" s="207"/>
      <c r="F370" s="207"/>
      <c r="G370" s="400"/>
      <c r="H370" s="400"/>
      <c r="I370" s="400"/>
      <c r="J370" s="400"/>
      <c r="K370" s="401"/>
      <c r="L370" s="401"/>
      <c r="M370" s="208">
        <f t="shared" si="0"/>
        <v>0</v>
      </c>
      <c r="N370" s="400"/>
      <c r="O370" s="400"/>
      <c r="P370" s="402"/>
      <c r="Q370" s="402"/>
      <c r="R370" s="402"/>
      <c r="S370" s="402"/>
      <c r="T370" s="403">
        <f t="shared" si="1"/>
        <v>0</v>
      </c>
      <c r="U370" s="209"/>
      <c r="V370" s="400"/>
      <c r="W370" s="400"/>
      <c r="X370" s="203"/>
      <c r="Y370" s="203"/>
      <c r="Z370" s="203"/>
    </row>
    <row r="371" spans="1:26" ht="25.5" customHeight="1">
      <c r="A371" s="206"/>
      <c r="B371" s="207"/>
      <c r="C371" s="206"/>
      <c r="D371" s="207"/>
      <c r="E371" s="207"/>
      <c r="F371" s="207"/>
      <c r="G371" s="400"/>
      <c r="H371" s="400"/>
      <c r="I371" s="400"/>
      <c r="J371" s="400"/>
      <c r="K371" s="401"/>
      <c r="L371" s="401"/>
      <c r="M371" s="208">
        <f t="shared" si="0"/>
        <v>0</v>
      </c>
      <c r="N371" s="400"/>
      <c r="O371" s="400"/>
      <c r="P371" s="402"/>
      <c r="Q371" s="402"/>
      <c r="R371" s="402"/>
      <c r="S371" s="402"/>
      <c r="T371" s="403">
        <f t="shared" si="1"/>
        <v>0</v>
      </c>
      <c r="U371" s="209"/>
      <c r="V371" s="400"/>
      <c r="W371" s="400"/>
      <c r="X371" s="203"/>
      <c r="Y371" s="203"/>
      <c r="Z371" s="203"/>
    </row>
    <row r="372" spans="1:26" ht="25.5" customHeight="1">
      <c r="A372" s="206"/>
      <c r="B372" s="207"/>
      <c r="C372" s="206"/>
      <c r="D372" s="207"/>
      <c r="E372" s="207"/>
      <c r="F372" s="207"/>
      <c r="G372" s="400"/>
      <c r="H372" s="400"/>
      <c r="I372" s="400"/>
      <c r="J372" s="400"/>
      <c r="K372" s="401"/>
      <c r="L372" s="401"/>
      <c r="M372" s="208">
        <f t="shared" si="0"/>
        <v>0</v>
      </c>
      <c r="N372" s="400"/>
      <c r="O372" s="400"/>
      <c r="P372" s="402"/>
      <c r="Q372" s="402"/>
      <c r="R372" s="402"/>
      <c r="S372" s="402"/>
      <c r="T372" s="403">
        <f t="shared" si="1"/>
        <v>0</v>
      </c>
      <c r="U372" s="209"/>
      <c r="V372" s="400"/>
      <c r="W372" s="400"/>
      <c r="X372" s="203"/>
      <c r="Y372" s="203"/>
      <c r="Z372" s="203"/>
    </row>
    <row r="373" spans="1:26" ht="25.5" customHeight="1">
      <c r="A373" s="206"/>
      <c r="B373" s="207"/>
      <c r="C373" s="206"/>
      <c r="D373" s="207"/>
      <c r="E373" s="207"/>
      <c r="F373" s="207"/>
      <c r="G373" s="400"/>
      <c r="H373" s="400"/>
      <c r="I373" s="400"/>
      <c r="J373" s="400"/>
      <c r="K373" s="401"/>
      <c r="L373" s="401"/>
      <c r="M373" s="208">
        <f t="shared" si="0"/>
        <v>0</v>
      </c>
      <c r="N373" s="400"/>
      <c r="O373" s="400"/>
      <c r="P373" s="402"/>
      <c r="Q373" s="402"/>
      <c r="R373" s="402"/>
      <c r="S373" s="402"/>
      <c r="T373" s="403">
        <f t="shared" si="1"/>
        <v>0</v>
      </c>
      <c r="U373" s="209"/>
      <c r="V373" s="400"/>
      <c r="W373" s="400"/>
      <c r="X373" s="203"/>
      <c r="Y373" s="203"/>
      <c r="Z373" s="203"/>
    </row>
    <row r="374" spans="1:26" ht="25.5" customHeight="1">
      <c r="A374" s="206"/>
      <c r="B374" s="207"/>
      <c r="C374" s="206"/>
      <c r="D374" s="207"/>
      <c r="E374" s="207"/>
      <c r="F374" s="207"/>
      <c r="G374" s="400"/>
      <c r="H374" s="400"/>
      <c r="I374" s="400"/>
      <c r="J374" s="400"/>
      <c r="K374" s="401"/>
      <c r="L374" s="401"/>
      <c r="M374" s="208">
        <f t="shared" si="0"/>
        <v>0</v>
      </c>
      <c r="N374" s="400"/>
      <c r="O374" s="400"/>
      <c r="P374" s="402"/>
      <c r="Q374" s="402"/>
      <c r="R374" s="402"/>
      <c r="S374" s="402"/>
      <c r="T374" s="403">
        <f t="shared" si="1"/>
        <v>0</v>
      </c>
      <c r="U374" s="209"/>
      <c r="V374" s="400"/>
      <c r="W374" s="400"/>
      <c r="X374" s="203"/>
      <c r="Y374" s="203"/>
      <c r="Z374" s="203"/>
    </row>
    <row r="375" spans="1:26" ht="25.5" customHeight="1">
      <c r="A375" s="206"/>
      <c r="B375" s="207"/>
      <c r="C375" s="206"/>
      <c r="D375" s="207"/>
      <c r="E375" s="207"/>
      <c r="F375" s="207"/>
      <c r="G375" s="400"/>
      <c r="H375" s="400"/>
      <c r="I375" s="400"/>
      <c r="J375" s="400"/>
      <c r="K375" s="401"/>
      <c r="L375" s="401"/>
      <c r="M375" s="208">
        <f t="shared" si="0"/>
        <v>0</v>
      </c>
      <c r="N375" s="400"/>
      <c r="O375" s="400"/>
      <c r="P375" s="402"/>
      <c r="Q375" s="402"/>
      <c r="R375" s="402"/>
      <c r="S375" s="402"/>
      <c r="T375" s="403">
        <f t="shared" si="1"/>
        <v>0</v>
      </c>
      <c r="U375" s="209"/>
      <c r="V375" s="400"/>
      <c r="W375" s="400"/>
      <c r="X375" s="203"/>
      <c r="Y375" s="203"/>
      <c r="Z375" s="203"/>
    </row>
    <row r="376" spans="1:26" ht="25.5" customHeight="1">
      <c r="A376" s="206"/>
      <c r="B376" s="207"/>
      <c r="C376" s="206"/>
      <c r="D376" s="207"/>
      <c r="E376" s="207"/>
      <c r="F376" s="207"/>
      <c r="G376" s="400"/>
      <c r="H376" s="400"/>
      <c r="I376" s="400"/>
      <c r="J376" s="400"/>
      <c r="K376" s="401"/>
      <c r="L376" s="401"/>
      <c r="M376" s="208">
        <f t="shared" si="0"/>
        <v>0</v>
      </c>
      <c r="N376" s="400"/>
      <c r="O376" s="400"/>
      <c r="P376" s="402"/>
      <c r="Q376" s="402"/>
      <c r="R376" s="402"/>
      <c r="S376" s="402"/>
      <c r="T376" s="403">
        <f t="shared" si="1"/>
        <v>0</v>
      </c>
      <c r="U376" s="209"/>
      <c r="V376" s="400"/>
      <c r="W376" s="400"/>
      <c r="X376" s="203"/>
      <c r="Y376" s="203"/>
      <c r="Z376" s="203"/>
    </row>
    <row r="377" spans="1:26" ht="25.5" customHeight="1">
      <c r="A377" s="206"/>
      <c r="B377" s="207"/>
      <c r="C377" s="206"/>
      <c r="D377" s="207"/>
      <c r="E377" s="207"/>
      <c r="F377" s="207"/>
      <c r="G377" s="400"/>
      <c r="H377" s="400"/>
      <c r="I377" s="400"/>
      <c r="J377" s="400"/>
      <c r="K377" s="401"/>
      <c r="L377" s="401"/>
      <c r="M377" s="208">
        <f t="shared" si="0"/>
        <v>0</v>
      </c>
      <c r="N377" s="400"/>
      <c r="O377" s="400"/>
      <c r="P377" s="402"/>
      <c r="Q377" s="402"/>
      <c r="R377" s="402"/>
      <c r="S377" s="402"/>
      <c r="T377" s="403">
        <f t="shared" si="1"/>
        <v>0</v>
      </c>
      <c r="U377" s="209"/>
      <c r="V377" s="400"/>
      <c r="W377" s="400"/>
      <c r="X377" s="203"/>
      <c r="Y377" s="203"/>
      <c r="Z377" s="203"/>
    </row>
    <row r="378" spans="1:26" ht="25.5" customHeight="1">
      <c r="A378" s="206"/>
      <c r="B378" s="207"/>
      <c r="C378" s="206"/>
      <c r="D378" s="207"/>
      <c r="E378" s="207"/>
      <c r="F378" s="207"/>
      <c r="G378" s="400"/>
      <c r="H378" s="400"/>
      <c r="I378" s="400"/>
      <c r="J378" s="400"/>
      <c r="K378" s="401"/>
      <c r="L378" s="401"/>
      <c r="M378" s="208">
        <f t="shared" si="0"/>
        <v>0</v>
      </c>
      <c r="N378" s="400"/>
      <c r="O378" s="400"/>
      <c r="P378" s="402"/>
      <c r="Q378" s="402"/>
      <c r="R378" s="402"/>
      <c r="S378" s="402"/>
      <c r="T378" s="403">
        <f t="shared" si="1"/>
        <v>0</v>
      </c>
      <c r="U378" s="209"/>
      <c r="V378" s="400"/>
      <c r="W378" s="400"/>
      <c r="X378" s="203"/>
      <c r="Y378" s="203"/>
      <c r="Z378" s="203"/>
    </row>
    <row r="379" spans="1:26" ht="25.5" customHeight="1">
      <c r="A379" s="206"/>
      <c r="B379" s="207"/>
      <c r="C379" s="206"/>
      <c r="D379" s="207"/>
      <c r="E379" s="207"/>
      <c r="F379" s="207"/>
      <c r="G379" s="400"/>
      <c r="H379" s="400"/>
      <c r="I379" s="400"/>
      <c r="J379" s="400"/>
      <c r="K379" s="401"/>
      <c r="L379" s="401"/>
      <c r="M379" s="208">
        <f t="shared" si="0"/>
        <v>0</v>
      </c>
      <c r="N379" s="400"/>
      <c r="O379" s="400"/>
      <c r="P379" s="402"/>
      <c r="Q379" s="402"/>
      <c r="R379" s="402"/>
      <c r="S379" s="402"/>
      <c r="T379" s="403">
        <f t="shared" si="1"/>
        <v>0</v>
      </c>
      <c r="U379" s="209"/>
      <c r="V379" s="400"/>
      <c r="W379" s="400"/>
      <c r="X379" s="203"/>
      <c r="Y379" s="203"/>
      <c r="Z379" s="203"/>
    </row>
    <row r="380" spans="1:26" ht="25.5" customHeight="1">
      <c r="A380" s="206"/>
      <c r="B380" s="207"/>
      <c r="C380" s="206"/>
      <c r="D380" s="207"/>
      <c r="E380" s="207"/>
      <c r="F380" s="207"/>
      <c r="G380" s="400"/>
      <c r="H380" s="400"/>
      <c r="I380" s="400"/>
      <c r="J380" s="400"/>
      <c r="K380" s="401"/>
      <c r="L380" s="401"/>
      <c r="M380" s="208">
        <f t="shared" si="0"/>
        <v>0</v>
      </c>
      <c r="N380" s="400"/>
      <c r="O380" s="400"/>
      <c r="P380" s="402"/>
      <c r="Q380" s="402"/>
      <c r="R380" s="402"/>
      <c r="S380" s="402"/>
      <c r="T380" s="403">
        <f t="shared" si="1"/>
        <v>0</v>
      </c>
      <c r="U380" s="209"/>
      <c r="V380" s="400"/>
      <c r="W380" s="400"/>
      <c r="X380" s="203"/>
      <c r="Y380" s="203"/>
      <c r="Z380" s="203"/>
    </row>
    <row r="381" spans="1:26" ht="25.5" customHeight="1">
      <c r="A381" s="206"/>
      <c r="B381" s="207"/>
      <c r="C381" s="206"/>
      <c r="D381" s="207"/>
      <c r="E381" s="207"/>
      <c r="F381" s="207"/>
      <c r="G381" s="400"/>
      <c r="H381" s="400"/>
      <c r="I381" s="400"/>
      <c r="J381" s="400"/>
      <c r="K381" s="401"/>
      <c r="L381" s="401"/>
      <c r="M381" s="208">
        <f t="shared" si="0"/>
        <v>0</v>
      </c>
      <c r="N381" s="400"/>
      <c r="O381" s="400"/>
      <c r="P381" s="402"/>
      <c r="Q381" s="402"/>
      <c r="R381" s="402"/>
      <c r="S381" s="402"/>
      <c r="T381" s="403">
        <f t="shared" si="1"/>
        <v>0</v>
      </c>
      <c r="U381" s="209"/>
      <c r="V381" s="400"/>
      <c r="W381" s="400"/>
      <c r="X381" s="203"/>
      <c r="Y381" s="203"/>
      <c r="Z381" s="203"/>
    </row>
    <row r="382" spans="1:26" ht="25.5" customHeight="1">
      <c r="A382" s="206"/>
      <c r="B382" s="207"/>
      <c r="C382" s="206"/>
      <c r="D382" s="207"/>
      <c r="E382" s="207"/>
      <c r="F382" s="207"/>
      <c r="G382" s="400"/>
      <c r="H382" s="400"/>
      <c r="I382" s="400"/>
      <c r="J382" s="400"/>
      <c r="K382" s="401"/>
      <c r="L382" s="401"/>
      <c r="M382" s="208">
        <f t="shared" si="0"/>
        <v>0</v>
      </c>
      <c r="N382" s="400"/>
      <c r="O382" s="400"/>
      <c r="P382" s="402"/>
      <c r="Q382" s="402"/>
      <c r="R382" s="402"/>
      <c r="S382" s="402"/>
      <c r="T382" s="403">
        <f t="shared" si="1"/>
        <v>0</v>
      </c>
      <c r="U382" s="209"/>
      <c r="V382" s="400"/>
      <c r="W382" s="400"/>
      <c r="X382" s="203"/>
      <c r="Y382" s="203"/>
      <c r="Z382" s="203"/>
    </row>
    <row r="383" spans="1:26" ht="25.5" customHeight="1">
      <c r="A383" s="206"/>
      <c r="B383" s="207"/>
      <c r="C383" s="206"/>
      <c r="D383" s="207"/>
      <c r="E383" s="207"/>
      <c r="F383" s="207"/>
      <c r="G383" s="400"/>
      <c r="H383" s="400"/>
      <c r="I383" s="400"/>
      <c r="J383" s="400"/>
      <c r="K383" s="401"/>
      <c r="L383" s="401"/>
      <c r="M383" s="208">
        <f t="shared" si="0"/>
        <v>0</v>
      </c>
      <c r="N383" s="400"/>
      <c r="O383" s="400"/>
      <c r="P383" s="402"/>
      <c r="Q383" s="402"/>
      <c r="R383" s="402"/>
      <c r="S383" s="402"/>
      <c r="T383" s="403">
        <f t="shared" si="1"/>
        <v>0</v>
      </c>
      <c r="U383" s="209"/>
      <c r="V383" s="400"/>
      <c r="W383" s="400"/>
      <c r="X383" s="203"/>
      <c r="Y383" s="203"/>
      <c r="Z383" s="203"/>
    </row>
    <row r="384" spans="1:26" ht="25.5" customHeight="1">
      <c r="A384" s="206"/>
      <c r="B384" s="207"/>
      <c r="C384" s="206"/>
      <c r="D384" s="207"/>
      <c r="E384" s="207"/>
      <c r="F384" s="207"/>
      <c r="G384" s="400"/>
      <c r="H384" s="400"/>
      <c r="I384" s="400"/>
      <c r="J384" s="400"/>
      <c r="K384" s="401"/>
      <c r="L384" s="401"/>
      <c r="M384" s="208">
        <f t="shared" si="0"/>
        <v>0</v>
      </c>
      <c r="N384" s="400"/>
      <c r="O384" s="400"/>
      <c r="P384" s="402"/>
      <c r="Q384" s="402"/>
      <c r="R384" s="402"/>
      <c r="S384" s="402"/>
      <c r="T384" s="403">
        <f t="shared" si="1"/>
        <v>0</v>
      </c>
      <c r="U384" s="209"/>
      <c r="V384" s="400"/>
      <c r="W384" s="400"/>
      <c r="X384" s="203"/>
      <c r="Y384" s="203"/>
      <c r="Z384" s="203"/>
    </row>
    <row r="385" spans="1:26" ht="25.5" customHeight="1">
      <c r="A385" s="206"/>
      <c r="B385" s="207"/>
      <c r="C385" s="206"/>
      <c r="D385" s="207"/>
      <c r="E385" s="207"/>
      <c r="F385" s="207"/>
      <c r="G385" s="400"/>
      <c r="H385" s="400"/>
      <c r="I385" s="400"/>
      <c r="J385" s="400"/>
      <c r="K385" s="401"/>
      <c r="L385" s="401"/>
      <c r="M385" s="208">
        <f t="shared" si="0"/>
        <v>0</v>
      </c>
      <c r="N385" s="400"/>
      <c r="O385" s="400"/>
      <c r="P385" s="402"/>
      <c r="Q385" s="402"/>
      <c r="R385" s="402"/>
      <c r="S385" s="402"/>
      <c r="T385" s="403">
        <f t="shared" si="1"/>
        <v>0</v>
      </c>
      <c r="U385" s="209"/>
      <c r="V385" s="400"/>
      <c r="W385" s="400"/>
      <c r="X385" s="203"/>
      <c r="Y385" s="203"/>
      <c r="Z385" s="203"/>
    </row>
    <row r="386" spans="1:26" ht="25.5" customHeight="1">
      <c r="A386" s="206"/>
      <c r="B386" s="207"/>
      <c r="C386" s="206"/>
      <c r="D386" s="207"/>
      <c r="E386" s="207"/>
      <c r="F386" s="207"/>
      <c r="G386" s="400"/>
      <c r="H386" s="400"/>
      <c r="I386" s="400"/>
      <c r="J386" s="400"/>
      <c r="K386" s="401"/>
      <c r="L386" s="401"/>
      <c r="M386" s="208">
        <f t="shared" si="0"/>
        <v>0</v>
      </c>
      <c r="N386" s="400"/>
      <c r="O386" s="400"/>
      <c r="P386" s="402"/>
      <c r="Q386" s="402"/>
      <c r="R386" s="402"/>
      <c r="S386" s="402"/>
      <c r="T386" s="403">
        <f t="shared" si="1"/>
        <v>0</v>
      </c>
      <c r="U386" s="209"/>
      <c r="V386" s="400"/>
      <c r="W386" s="400"/>
      <c r="X386" s="203"/>
      <c r="Y386" s="203"/>
      <c r="Z386" s="203"/>
    </row>
    <row r="387" spans="1:26" ht="25.5" customHeight="1">
      <c r="A387" s="206"/>
      <c r="B387" s="207"/>
      <c r="C387" s="206"/>
      <c r="D387" s="207"/>
      <c r="E387" s="207"/>
      <c r="F387" s="207"/>
      <c r="G387" s="400"/>
      <c r="H387" s="400"/>
      <c r="I387" s="400"/>
      <c r="J387" s="400"/>
      <c r="K387" s="401"/>
      <c r="L387" s="401"/>
      <c r="M387" s="208">
        <f t="shared" si="0"/>
        <v>0</v>
      </c>
      <c r="N387" s="400"/>
      <c r="O387" s="400"/>
      <c r="P387" s="402"/>
      <c r="Q387" s="402"/>
      <c r="R387" s="402"/>
      <c r="S387" s="402"/>
      <c r="T387" s="403">
        <f t="shared" si="1"/>
        <v>0</v>
      </c>
      <c r="U387" s="209"/>
      <c r="V387" s="400"/>
      <c r="W387" s="400"/>
      <c r="X387" s="203"/>
      <c r="Y387" s="203"/>
      <c r="Z387" s="203"/>
    </row>
    <row r="388" spans="1:26" ht="25.5" customHeight="1">
      <c r="A388" s="206"/>
      <c r="B388" s="207"/>
      <c r="C388" s="206"/>
      <c r="D388" s="207"/>
      <c r="E388" s="207"/>
      <c r="F388" s="207"/>
      <c r="G388" s="400"/>
      <c r="H388" s="400"/>
      <c r="I388" s="400"/>
      <c r="J388" s="400"/>
      <c r="K388" s="401"/>
      <c r="L388" s="401"/>
      <c r="M388" s="208">
        <f t="shared" si="0"/>
        <v>0</v>
      </c>
      <c r="N388" s="400"/>
      <c r="O388" s="400"/>
      <c r="P388" s="402"/>
      <c r="Q388" s="402"/>
      <c r="R388" s="402"/>
      <c r="S388" s="402"/>
      <c r="T388" s="403">
        <f t="shared" si="1"/>
        <v>0</v>
      </c>
      <c r="U388" s="209"/>
      <c r="V388" s="400"/>
      <c r="W388" s="400"/>
      <c r="X388" s="203"/>
      <c r="Y388" s="203"/>
      <c r="Z388" s="203"/>
    </row>
    <row r="389" spans="1:26" ht="25.5" customHeight="1">
      <c r="A389" s="206"/>
      <c r="B389" s="207"/>
      <c r="C389" s="206"/>
      <c r="D389" s="207"/>
      <c r="E389" s="207"/>
      <c r="F389" s="207"/>
      <c r="G389" s="400"/>
      <c r="H389" s="400"/>
      <c r="I389" s="400"/>
      <c r="J389" s="400"/>
      <c r="K389" s="401"/>
      <c r="L389" s="401"/>
      <c r="M389" s="208">
        <f t="shared" si="0"/>
        <v>0</v>
      </c>
      <c r="N389" s="400"/>
      <c r="O389" s="400"/>
      <c r="P389" s="402"/>
      <c r="Q389" s="402"/>
      <c r="R389" s="402"/>
      <c r="S389" s="402"/>
      <c r="T389" s="403">
        <f t="shared" si="1"/>
        <v>0</v>
      </c>
      <c r="U389" s="209"/>
      <c r="V389" s="400"/>
      <c r="W389" s="400"/>
      <c r="X389" s="203"/>
      <c r="Y389" s="203"/>
      <c r="Z389" s="203"/>
    </row>
    <row r="390" spans="1:26" ht="25.5" customHeight="1">
      <c r="A390" s="206"/>
      <c r="B390" s="207"/>
      <c r="C390" s="206"/>
      <c r="D390" s="207"/>
      <c r="E390" s="207"/>
      <c r="F390" s="207"/>
      <c r="G390" s="400"/>
      <c r="H390" s="400"/>
      <c r="I390" s="400"/>
      <c r="J390" s="400"/>
      <c r="K390" s="401"/>
      <c r="L390" s="401"/>
      <c r="M390" s="208">
        <f t="shared" si="0"/>
        <v>0</v>
      </c>
      <c r="N390" s="400"/>
      <c r="O390" s="400"/>
      <c r="P390" s="402"/>
      <c r="Q390" s="402"/>
      <c r="R390" s="402"/>
      <c r="S390" s="402"/>
      <c r="T390" s="403">
        <f t="shared" si="1"/>
        <v>0</v>
      </c>
      <c r="U390" s="209"/>
      <c r="V390" s="400"/>
      <c r="W390" s="400"/>
      <c r="X390" s="203"/>
      <c r="Y390" s="203"/>
      <c r="Z390" s="203"/>
    </row>
    <row r="391" spans="1:26" ht="25.5" customHeight="1">
      <c r="A391" s="206"/>
      <c r="B391" s="207"/>
      <c r="C391" s="206"/>
      <c r="D391" s="207"/>
      <c r="E391" s="207"/>
      <c r="F391" s="207"/>
      <c r="G391" s="400"/>
      <c r="H391" s="400"/>
      <c r="I391" s="400"/>
      <c r="J391" s="400"/>
      <c r="K391" s="401"/>
      <c r="L391" s="401"/>
      <c r="M391" s="208">
        <f t="shared" si="0"/>
        <v>0</v>
      </c>
      <c r="N391" s="400"/>
      <c r="O391" s="400"/>
      <c r="P391" s="402"/>
      <c r="Q391" s="402"/>
      <c r="R391" s="402"/>
      <c r="S391" s="402"/>
      <c r="T391" s="403">
        <f t="shared" si="1"/>
        <v>0</v>
      </c>
      <c r="U391" s="209"/>
      <c r="V391" s="400"/>
      <c r="W391" s="400"/>
      <c r="X391" s="203"/>
      <c r="Y391" s="203"/>
      <c r="Z391" s="203"/>
    </row>
    <row r="392" spans="1:26" ht="25.5" customHeight="1">
      <c r="A392" s="206"/>
      <c r="B392" s="207"/>
      <c r="C392" s="206"/>
      <c r="D392" s="207"/>
      <c r="E392" s="207"/>
      <c r="F392" s="207"/>
      <c r="G392" s="400"/>
      <c r="H392" s="400"/>
      <c r="I392" s="400"/>
      <c r="J392" s="400"/>
      <c r="K392" s="401"/>
      <c r="L392" s="401"/>
      <c r="M392" s="208">
        <f t="shared" si="0"/>
        <v>0</v>
      </c>
      <c r="N392" s="400"/>
      <c r="O392" s="400"/>
      <c r="P392" s="402"/>
      <c r="Q392" s="402"/>
      <c r="R392" s="402"/>
      <c r="S392" s="402"/>
      <c r="T392" s="403">
        <f t="shared" si="1"/>
        <v>0</v>
      </c>
      <c r="U392" s="209"/>
      <c r="V392" s="400"/>
      <c r="W392" s="400"/>
      <c r="X392" s="203"/>
      <c r="Y392" s="203"/>
      <c r="Z392" s="203"/>
    </row>
    <row r="393" spans="1:26" ht="25.5" customHeight="1">
      <c r="A393" s="206"/>
      <c r="B393" s="207"/>
      <c r="C393" s="206"/>
      <c r="D393" s="207"/>
      <c r="E393" s="207"/>
      <c r="F393" s="207"/>
      <c r="G393" s="400"/>
      <c r="H393" s="400"/>
      <c r="I393" s="400"/>
      <c r="J393" s="400"/>
      <c r="K393" s="401"/>
      <c r="L393" s="401"/>
      <c r="M393" s="208">
        <f t="shared" si="0"/>
        <v>0</v>
      </c>
      <c r="N393" s="400"/>
      <c r="O393" s="400"/>
      <c r="P393" s="402"/>
      <c r="Q393" s="402"/>
      <c r="R393" s="402"/>
      <c r="S393" s="402"/>
      <c r="T393" s="403">
        <f t="shared" si="1"/>
        <v>0</v>
      </c>
      <c r="U393" s="209"/>
      <c r="V393" s="400"/>
      <c r="W393" s="400"/>
      <c r="X393" s="203"/>
      <c r="Y393" s="203"/>
      <c r="Z393" s="203"/>
    </row>
    <row r="394" spans="1:26" ht="25.5" customHeight="1">
      <c r="A394" s="206"/>
      <c r="B394" s="207"/>
      <c r="C394" s="206"/>
      <c r="D394" s="207"/>
      <c r="E394" s="207"/>
      <c r="F394" s="207"/>
      <c r="G394" s="400"/>
      <c r="H394" s="400"/>
      <c r="I394" s="400"/>
      <c r="J394" s="400"/>
      <c r="K394" s="401"/>
      <c r="L394" s="401"/>
      <c r="M394" s="208">
        <f t="shared" si="0"/>
        <v>0</v>
      </c>
      <c r="N394" s="400"/>
      <c r="O394" s="400"/>
      <c r="P394" s="402"/>
      <c r="Q394" s="402"/>
      <c r="R394" s="402"/>
      <c r="S394" s="402"/>
      <c r="T394" s="403">
        <f t="shared" si="1"/>
        <v>0</v>
      </c>
      <c r="U394" s="209"/>
      <c r="V394" s="400"/>
      <c r="W394" s="400"/>
      <c r="X394" s="203"/>
      <c r="Y394" s="203"/>
      <c r="Z394" s="203"/>
    </row>
    <row r="395" spans="1:26" ht="25.5" customHeight="1">
      <c r="A395" s="206"/>
      <c r="B395" s="207"/>
      <c r="C395" s="206"/>
      <c r="D395" s="207"/>
      <c r="E395" s="207"/>
      <c r="F395" s="207"/>
      <c r="G395" s="400"/>
      <c r="H395" s="400"/>
      <c r="I395" s="400"/>
      <c r="J395" s="400"/>
      <c r="K395" s="401"/>
      <c r="L395" s="401"/>
      <c r="M395" s="208">
        <f t="shared" si="0"/>
        <v>0</v>
      </c>
      <c r="N395" s="400"/>
      <c r="O395" s="400"/>
      <c r="P395" s="402"/>
      <c r="Q395" s="402"/>
      <c r="R395" s="402"/>
      <c r="S395" s="402"/>
      <c r="T395" s="403">
        <f t="shared" si="1"/>
        <v>0</v>
      </c>
      <c r="U395" s="209"/>
      <c r="V395" s="400"/>
      <c r="W395" s="400"/>
      <c r="X395" s="203"/>
      <c r="Y395" s="203"/>
      <c r="Z395" s="203"/>
    </row>
    <row r="396" spans="1:26" ht="25.5" customHeight="1">
      <c r="A396" s="206"/>
      <c r="B396" s="207"/>
      <c r="C396" s="206"/>
      <c r="D396" s="207"/>
      <c r="E396" s="207"/>
      <c r="F396" s="207"/>
      <c r="G396" s="400"/>
      <c r="H396" s="400"/>
      <c r="I396" s="400"/>
      <c r="J396" s="400"/>
      <c r="K396" s="401"/>
      <c r="L396" s="401"/>
      <c r="M396" s="208">
        <f t="shared" si="0"/>
        <v>0</v>
      </c>
      <c r="N396" s="400"/>
      <c r="O396" s="400"/>
      <c r="P396" s="402"/>
      <c r="Q396" s="402"/>
      <c r="R396" s="402"/>
      <c r="S396" s="402"/>
      <c r="T396" s="403">
        <f t="shared" si="1"/>
        <v>0</v>
      </c>
      <c r="U396" s="209"/>
      <c r="V396" s="400"/>
      <c r="W396" s="400"/>
      <c r="X396" s="203"/>
      <c r="Y396" s="203"/>
      <c r="Z396" s="203"/>
    </row>
    <row r="397" spans="1:26" ht="25.5" customHeight="1">
      <c r="A397" s="206"/>
      <c r="B397" s="207"/>
      <c r="C397" s="206"/>
      <c r="D397" s="207"/>
      <c r="E397" s="207"/>
      <c r="F397" s="207"/>
      <c r="G397" s="400"/>
      <c r="H397" s="400"/>
      <c r="I397" s="400"/>
      <c r="J397" s="400"/>
      <c r="K397" s="401"/>
      <c r="L397" s="401"/>
      <c r="M397" s="208">
        <f t="shared" si="0"/>
        <v>0</v>
      </c>
      <c r="N397" s="400"/>
      <c r="O397" s="400"/>
      <c r="P397" s="402"/>
      <c r="Q397" s="402"/>
      <c r="R397" s="402"/>
      <c r="S397" s="402"/>
      <c r="T397" s="403">
        <f t="shared" si="1"/>
        <v>0</v>
      </c>
      <c r="U397" s="209"/>
      <c r="V397" s="400"/>
      <c r="W397" s="400"/>
      <c r="X397" s="203"/>
      <c r="Y397" s="203"/>
      <c r="Z397" s="203"/>
    </row>
    <row r="398" spans="1:26" ht="25.5" customHeight="1">
      <c r="A398" s="206"/>
      <c r="B398" s="207"/>
      <c r="C398" s="206"/>
      <c r="D398" s="207"/>
      <c r="E398" s="207"/>
      <c r="F398" s="207"/>
      <c r="G398" s="400"/>
      <c r="H398" s="400"/>
      <c r="I398" s="400"/>
      <c r="J398" s="400"/>
      <c r="K398" s="401"/>
      <c r="L398" s="401"/>
      <c r="M398" s="208">
        <f t="shared" si="0"/>
        <v>0</v>
      </c>
      <c r="N398" s="400"/>
      <c r="O398" s="400"/>
      <c r="P398" s="402"/>
      <c r="Q398" s="402"/>
      <c r="R398" s="402"/>
      <c r="S398" s="402"/>
      <c r="T398" s="403">
        <f t="shared" si="1"/>
        <v>0</v>
      </c>
      <c r="U398" s="209"/>
      <c r="V398" s="400"/>
      <c r="W398" s="400"/>
      <c r="X398" s="203"/>
      <c r="Y398" s="203"/>
      <c r="Z398" s="203"/>
    </row>
    <row r="399" spans="1:26" ht="25.5" customHeight="1">
      <c r="A399" s="206"/>
      <c r="B399" s="207"/>
      <c r="C399" s="206"/>
      <c r="D399" s="207"/>
      <c r="E399" s="207"/>
      <c r="F399" s="207"/>
      <c r="G399" s="400"/>
      <c r="H399" s="400"/>
      <c r="I399" s="400"/>
      <c r="J399" s="400"/>
      <c r="K399" s="401"/>
      <c r="L399" s="401"/>
      <c r="M399" s="208">
        <f t="shared" si="0"/>
        <v>0</v>
      </c>
      <c r="N399" s="400"/>
      <c r="O399" s="400"/>
      <c r="P399" s="402"/>
      <c r="Q399" s="402"/>
      <c r="R399" s="402"/>
      <c r="S399" s="402"/>
      <c r="T399" s="403">
        <f t="shared" si="1"/>
        <v>0</v>
      </c>
      <c r="U399" s="209"/>
      <c r="V399" s="400"/>
      <c r="W399" s="400"/>
      <c r="X399" s="203"/>
      <c r="Y399" s="203"/>
      <c r="Z399" s="203"/>
    </row>
    <row r="400" spans="1:26" ht="25.5" customHeight="1">
      <c r="A400" s="206"/>
      <c r="B400" s="207"/>
      <c r="C400" s="206"/>
      <c r="D400" s="207"/>
      <c r="E400" s="207"/>
      <c r="F400" s="207"/>
      <c r="G400" s="400"/>
      <c r="H400" s="400"/>
      <c r="I400" s="400"/>
      <c r="J400" s="400"/>
      <c r="K400" s="401"/>
      <c r="L400" s="401"/>
      <c r="M400" s="208">
        <f t="shared" si="0"/>
        <v>0</v>
      </c>
      <c r="N400" s="400"/>
      <c r="O400" s="400"/>
      <c r="P400" s="402"/>
      <c r="Q400" s="402"/>
      <c r="R400" s="402"/>
      <c r="S400" s="402"/>
      <c r="T400" s="403">
        <f t="shared" si="1"/>
        <v>0</v>
      </c>
      <c r="U400" s="209"/>
      <c r="V400" s="400"/>
      <c r="W400" s="400"/>
      <c r="X400" s="203"/>
      <c r="Y400" s="203"/>
      <c r="Z400" s="203"/>
    </row>
    <row r="401" spans="1:26" ht="25.5" customHeight="1">
      <c r="A401" s="206"/>
      <c r="B401" s="207"/>
      <c r="C401" s="206"/>
      <c r="D401" s="207"/>
      <c r="E401" s="207"/>
      <c r="F401" s="207"/>
      <c r="G401" s="400"/>
      <c r="H401" s="400"/>
      <c r="I401" s="400"/>
      <c r="J401" s="400"/>
      <c r="K401" s="401"/>
      <c r="L401" s="401"/>
      <c r="M401" s="208">
        <f t="shared" si="0"/>
        <v>0</v>
      </c>
      <c r="N401" s="400"/>
      <c r="O401" s="400"/>
      <c r="P401" s="402"/>
      <c r="Q401" s="402"/>
      <c r="R401" s="402"/>
      <c r="S401" s="402"/>
      <c r="T401" s="403">
        <f t="shared" si="1"/>
        <v>0</v>
      </c>
      <c r="U401" s="209"/>
      <c r="V401" s="400"/>
      <c r="W401" s="400"/>
      <c r="X401" s="203"/>
      <c r="Y401" s="203"/>
      <c r="Z401" s="203"/>
    </row>
    <row r="402" spans="1:26" ht="25.5" customHeight="1">
      <c r="A402" s="206"/>
      <c r="B402" s="207"/>
      <c r="C402" s="206"/>
      <c r="D402" s="207"/>
      <c r="E402" s="207"/>
      <c r="F402" s="207"/>
      <c r="G402" s="400"/>
      <c r="H402" s="400"/>
      <c r="I402" s="400"/>
      <c r="J402" s="400"/>
      <c r="K402" s="401"/>
      <c r="L402" s="401"/>
      <c r="M402" s="208">
        <f t="shared" si="0"/>
        <v>0</v>
      </c>
      <c r="N402" s="400"/>
      <c r="O402" s="400"/>
      <c r="P402" s="402"/>
      <c r="Q402" s="402"/>
      <c r="R402" s="402"/>
      <c r="S402" s="402"/>
      <c r="T402" s="403">
        <f t="shared" si="1"/>
        <v>0</v>
      </c>
      <c r="U402" s="209"/>
      <c r="V402" s="400"/>
      <c r="W402" s="400"/>
      <c r="X402" s="203"/>
      <c r="Y402" s="203"/>
      <c r="Z402" s="203"/>
    </row>
    <row r="403" spans="1:26" ht="25.5" customHeight="1">
      <c r="A403" s="206"/>
      <c r="B403" s="207"/>
      <c r="C403" s="206"/>
      <c r="D403" s="207"/>
      <c r="E403" s="207"/>
      <c r="F403" s="207"/>
      <c r="G403" s="400"/>
      <c r="H403" s="400"/>
      <c r="I403" s="400"/>
      <c r="J403" s="400"/>
      <c r="K403" s="401"/>
      <c r="L403" s="401"/>
      <c r="M403" s="208">
        <f t="shared" si="0"/>
        <v>0</v>
      </c>
      <c r="N403" s="400"/>
      <c r="O403" s="400"/>
      <c r="P403" s="402"/>
      <c r="Q403" s="402"/>
      <c r="R403" s="402"/>
      <c r="S403" s="402"/>
      <c r="T403" s="403">
        <f t="shared" si="1"/>
        <v>0</v>
      </c>
      <c r="U403" s="209"/>
      <c r="V403" s="400"/>
      <c r="W403" s="400"/>
      <c r="X403" s="203"/>
      <c r="Y403" s="203"/>
      <c r="Z403" s="203"/>
    </row>
    <row r="404" spans="1:26" ht="25.5" customHeight="1">
      <c r="A404" s="206"/>
      <c r="B404" s="207"/>
      <c r="C404" s="206"/>
      <c r="D404" s="207"/>
      <c r="E404" s="207"/>
      <c r="F404" s="207"/>
      <c r="G404" s="400"/>
      <c r="H404" s="400"/>
      <c r="I404" s="400"/>
      <c r="J404" s="400"/>
      <c r="K404" s="401"/>
      <c r="L404" s="401"/>
      <c r="M404" s="208">
        <f t="shared" si="0"/>
        <v>0</v>
      </c>
      <c r="N404" s="400"/>
      <c r="O404" s="400"/>
      <c r="P404" s="402"/>
      <c r="Q404" s="402"/>
      <c r="R404" s="402"/>
      <c r="S404" s="402"/>
      <c r="T404" s="403">
        <f t="shared" si="1"/>
        <v>0</v>
      </c>
      <c r="U404" s="209"/>
      <c r="V404" s="400"/>
      <c r="W404" s="400"/>
      <c r="X404" s="203"/>
      <c r="Y404" s="203"/>
      <c r="Z404" s="203"/>
    </row>
    <row r="405" spans="1:26" ht="25.5" customHeight="1">
      <c r="A405" s="206"/>
      <c r="B405" s="207"/>
      <c r="C405" s="206"/>
      <c r="D405" s="207"/>
      <c r="E405" s="207"/>
      <c r="F405" s="207"/>
      <c r="G405" s="400"/>
      <c r="H405" s="400"/>
      <c r="I405" s="400"/>
      <c r="J405" s="400"/>
      <c r="K405" s="401"/>
      <c r="L405" s="401"/>
      <c r="M405" s="208">
        <f t="shared" si="0"/>
        <v>0</v>
      </c>
      <c r="N405" s="400"/>
      <c r="O405" s="400"/>
      <c r="P405" s="402"/>
      <c r="Q405" s="402"/>
      <c r="R405" s="402"/>
      <c r="S405" s="402"/>
      <c r="T405" s="403">
        <f t="shared" si="1"/>
        <v>0</v>
      </c>
      <c r="U405" s="209"/>
      <c r="V405" s="400"/>
      <c r="W405" s="400"/>
      <c r="X405" s="203"/>
      <c r="Y405" s="203"/>
      <c r="Z405" s="203"/>
    </row>
    <row r="406" spans="1:26" ht="25.5" customHeight="1">
      <c r="A406" s="206"/>
      <c r="B406" s="207"/>
      <c r="C406" s="206"/>
      <c r="D406" s="207"/>
      <c r="E406" s="207"/>
      <c r="F406" s="207"/>
      <c r="G406" s="400"/>
      <c r="H406" s="400"/>
      <c r="I406" s="400"/>
      <c r="J406" s="400"/>
      <c r="K406" s="401"/>
      <c r="L406" s="401"/>
      <c r="M406" s="208">
        <f t="shared" si="0"/>
        <v>0</v>
      </c>
      <c r="N406" s="400"/>
      <c r="O406" s="400"/>
      <c r="P406" s="402"/>
      <c r="Q406" s="402"/>
      <c r="R406" s="402"/>
      <c r="S406" s="402"/>
      <c r="T406" s="403">
        <f t="shared" si="1"/>
        <v>0</v>
      </c>
      <c r="U406" s="209"/>
      <c r="V406" s="400"/>
      <c r="W406" s="400"/>
      <c r="X406" s="203"/>
      <c r="Y406" s="203"/>
      <c r="Z406" s="203"/>
    </row>
    <row r="407" spans="1:26" ht="25.5" customHeight="1">
      <c r="A407" s="206"/>
      <c r="B407" s="207"/>
      <c r="C407" s="206"/>
      <c r="D407" s="207"/>
      <c r="E407" s="207"/>
      <c r="F407" s="207"/>
      <c r="G407" s="400"/>
      <c r="H407" s="400"/>
      <c r="I407" s="400"/>
      <c r="J407" s="400"/>
      <c r="K407" s="401"/>
      <c r="L407" s="401"/>
      <c r="M407" s="208">
        <f t="shared" si="0"/>
        <v>0</v>
      </c>
      <c r="N407" s="400"/>
      <c r="O407" s="400"/>
      <c r="P407" s="402"/>
      <c r="Q407" s="402"/>
      <c r="R407" s="402"/>
      <c r="S407" s="402"/>
      <c r="T407" s="403">
        <f t="shared" si="1"/>
        <v>0</v>
      </c>
      <c r="U407" s="209"/>
      <c r="V407" s="400"/>
      <c r="W407" s="400"/>
      <c r="X407" s="203"/>
      <c r="Y407" s="203"/>
      <c r="Z407" s="203"/>
    </row>
    <row r="408" spans="1:26" ht="25.5" customHeight="1">
      <c r="A408" s="206"/>
      <c r="B408" s="207"/>
      <c r="C408" s="206"/>
      <c r="D408" s="207"/>
      <c r="E408" s="207"/>
      <c r="F408" s="207"/>
      <c r="G408" s="400"/>
      <c r="H408" s="400"/>
      <c r="I408" s="400"/>
      <c r="J408" s="400"/>
      <c r="K408" s="401"/>
      <c r="L408" s="401"/>
      <c r="M408" s="208">
        <f t="shared" si="0"/>
        <v>0</v>
      </c>
      <c r="N408" s="400"/>
      <c r="O408" s="400"/>
      <c r="P408" s="402"/>
      <c r="Q408" s="402"/>
      <c r="R408" s="402"/>
      <c r="S408" s="402"/>
      <c r="T408" s="403">
        <f t="shared" si="1"/>
        <v>0</v>
      </c>
      <c r="U408" s="209"/>
      <c r="V408" s="400"/>
      <c r="W408" s="400"/>
      <c r="X408" s="203"/>
      <c r="Y408" s="203"/>
      <c r="Z408" s="203"/>
    </row>
    <row r="409" spans="1:26" ht="25.5" customHeight="1">
      <c r="A409" s="206"/>
      <c r="B409" s="207"/>
      <c r="C409" s="206"/>
      <c r="D409" s="207"/>
      <c r="E409" s="207"/>
      <c r="F409" s="207"/>
      <c r="G409" s="400"/>
      <c r="H409" s="400"/>
      <c r="I409" s="400"/>
      <c r="J409" s="400"/>
      <c r="K409" s="401"/>
      <c r="L409" s="401"/>
      <c r="M409" s="208">
        <f t="shared" si="0"/>
        <v>0</v>
      </c>
      <c r="N409" s="400"/>
      <c r="O409" s="400"/>
      <c r="P409" s="402"/>
      <c r="Q409" s="402"/>
      <c r="R409" s="402"/>
      <c r="S409" s="402"/>
      <c r="T409" s="403">
        <f t="shared" si="1"/>
        <v>0</v>
      </c>
      <c r="U409" s="209"/>
      <c r="V409" s="400"/>
      <c r="W409" s="400"/>
      <c r="X409" s="203"/>
      <c r="Y409" s="203"/>
      <c r="Z409" s="203"/>
    </row>
    <row r="410" spans="1:26" ht="25.5" customHeight="1">
      <c r="A410" s="206"/>
      <c r="B410" s="207"/>
      <c r="C410" s="206"/>
      <c r="D410" s="207"/>
      <c r="E410" s="207"/>
      <c r="F410" s="207"/>
      <c r="G410" s="400"/>
      <c r="H410" s="400"/>
      <c r="I410" s="400"/>
      <c r="J410" s="400"/>
      <c r="K410" s="401"/>
      <c r="L410" s="401"/>
      <c r="M410" s="208">
        <f t="shared" si="0"/>
        <v>0</v>
      </c>
      <c r="N410" s="400"/>
      <c r="O410" s="400"/>
      <c r="P410" s="402"/>
      <c r="Q410" s="402"/>
      <c r="R410" s="402"/>
      <c r="S410" s="402"/>
      <c r="T410" s="403">
        <f t="shared" si="1"/>
        <v>0</v>
      </c>
      <c r="U410" s="209"/>
      <c r="V410" s="400"/>
      <c r="W410" s="400"/>
      <c r="X410" s="203"/>
      <c r="Y410" s="203"/>
      <c r="Z410" s="203"/>
    </row>
    <row r="411" spans="1:26" ht="25.5" customHeight="1">
      <c r="A411" s="206"/>
      <c r="B411" s="207"/>
      <c r="C411" s="206"/>
      <c r="D411" s="207"/>
      <c r="E411" s="207"/>
      <c r="F411" s="207"/>
      <c r="G411" s="400"/>
      <c r="H411" s="400"/>
      <c r="I411" s="400"/>
      <c r="J411" s="400"/>
      <c r="K411" s="401"/>
      <c r="L411" s="401"/>
      <c r="M411" s="208">
        <f t="shared" si="0"/>
        <v>0</v>
      </c>
      <c r="N411" s="400"/>
      <c r="O411" s="400"/>
      <c r="P411" s="402"/>
      <c r="Q411" s="402"/>
      <c r="R411" s="402"/>
      <c r="S411" s="402"/>
      <c r="T411" s="403">
        <f t="shared" si="1"/>
        <v>0</v>
      </c>
      <c r="U411" s="209"/>
      <c r="V411" s="400"/>
      <c r="W411" s="400"/>
      <c r="X411" s="203"/>
      <c r="Y411" s="203"/>
      <c r="Z411" s="203"/>
    </row>
    <row r="412" spans="1:26" ht="25.5" customHeight="1">
      <c r="A412" s="206"/>
      <c r="B412" s="207"/>
      <c r="C412" s="206"/>
      <c r="D412" s="207"/>
      <c r="E412" s="207"/>
      <c r="F412" s="207"/>
      <c r="G412" s="400"/>
      <c r="H412" s="400"/>
      <c r="I412" s="400"/>
      <c r="J412" s="400"/>
      <c r="K412" s="401"/>
      <c r="L412" s="401"/>
      <c r="M412" s="208">
        <f t="shared" si="0"/>
        <v>0</v>
      </c>
      <c r="N412" s="400"/>
      <c r="O412" s="400"/>
      <c r="P412" s="402"/>
      <c r="Q412" s="402"/>
      <c r="R412" s="402"/>
      <c r="S412" s="402"/>
      <c r="T412" s="403">
        <f t="shared" si="1"/>
        <v>0</v>
      </c>
      <c r="U412" s="209"/>
      <c r="V412" s="400"/>
      <c r="W412" s="400"/>
      <c r="X412" s="203"/>
      <c r="Y412" s="203"/>
      <c r="Z412" s="203"/>
    </row>
    <row r="413" spans="1:26" ht="25.5" customHeight="1">
      <c r="A413" s="206"/>
      <c r="B413" s="207"/>
      <c r="C413" s="206"/>
      <c r="D413" s="207"/>
      <c r="E413" s="207"/>
      <c r="F413" s="207"/>
      <c r="G413" s="400"/>
      <c r="H413" s="400"/>
      <c r="I413" s="400"/>
      <c r="J413" s="400"/>
      <c r="K413" s="401"/>
      <c r="L413" s="401"/>
      <c r="M413" s="208">
        <f t="shared" si="0"/>
        <v>0</v>
      </c>
      <c r="N413" s="400"/>
      <c r="O413" s="400"/>
      <c r="P413" s="402"/>
      <c r="Q413" s="402"/>
      <c r="R413" s="402"/>
      <c r="S413" s="402"/>
      <c r="T413" s="403">
        <f t="shared" si="1"/>
        <v>0</v>
      </c>
      <c r="U413" s="209"/>
      <c r="V413" s="400"/>
      <c r="W413" s="400"/>
      <c r="X413" s="203"/>
      <c r="Y413" s="203"/>
      <c r="Z413" s="203"/>
    </row>
    <row r="414" spans="1:26" ht="25.5" customHeight="1">
      <c r="A414" s="206"/>
      <c r="B414" s="207"/>
      <c r="C414" s="206"/>
      <c r="D414" s="207"/>
      <c r="E414" s="207"/>
      <c r="F414" s="207"/>
      <c r="G414" s="400"/>
      <c r="H414" s="400"/>
      <c r="I414" s="400"/>
      <c r="J414" s="400"/>
      <c r="K414" s="401"/>
      <c r="L414" s="401"/>
      <c r="M414" s="208">
        <f t="shared" si="0"/>
        <v>0</v>
      </c>
      <c r="N414" s="400"/>
      <c r="O414" s="400"/>
      <c r="P414" s="402"/>
      <c r="Q414" s="402"/>
      <c r="R414" s="402"/>
      <c r="S414" s="402"/>
      <c r="T414" s="403">
        <f t="shared" si="1"/>
        <v>0</v>
      </c>
      <c r="U414" s="209"/>
      <c r="V414" s="400"/>
      <c r="W414" s="400"/>
      <c r="X414" s="203"/>
      <c r="Y414" s="203"/>
      <c r="Z414" s="203"/>
    </row>
    <row r="415" spans="1:26" ht="25.5" customHeight="1">
      <c r="A415" s="206"/>
      <c r="B415" s="207"/>
      <c r="C415" s="206"/>
      <c r="D415" s="207"/>
      <c r="E415" s="207"/>
      <c r="F415" s="207"/>
      <c r="G415" s="400"/>
      <c r="H415" s="400"/>
      <c r="I415" s="400"/>
      <c r="J415" s="400"/>
      <c r="K415" s="401"/>
      <c r="L415" s="401"/>
      <c r="M415" s="208">
        <f t="shared" si="0"/>
        <v>0</v>
      </c>
      <c r="N415" s="400"/>
      <c r="O415" s="400"/>
      <c r="P415" s="402"/>
      <c r="Q415" s="402"/>
      <c r="R415" s="402"/>
      <c r="S415" s="402"/>
      <c r="T415" s="403">
        <f t="shared" si="1"/>
        <v>0</v>
      </c>
      <c r="U415" s="209"/>
      <c r="V415" s="400"/>
      <c r="W415" s="400"/>
      <c r="X415" s="203"/>
      <c r="Y415" s="203"/>
      <c r="Z415" s="203"/>
    </row>
    <row r="416" spans="1:26" ht="25.5" customHeight="1">
      <c r="A416" s="206"/>
      <c r="B416" s="207"/>
      <c r="C416" s="206"/>
      <c r="D416" s="207"/>
      <c r="E416" s="207"/>
      <c r="F416" s="207"/>
      <c r="G416" s="400"/>
      <c r="H416" s="400"/>
      <c r="I416" s="400"/>
      <c r="J416" s="400"/>
      <c r="K416" s="401"/>
      <c r="L416" s="401"/>
      <c r="M416" s="208">
        <f t="shared" si="0"/>
        <v>0</v>
      </c>
      <c r="N416" s="400"/>
      <c r="O416" s="400"/>
      <c r="P416" s="402"/>
      <c r="Q416" s="402"/>
      <c r="R416" s="402"/>
      <c r="S416" s="402"/>
      <c r="T416" s="403">
        <f t="shared" si="1"/>
        <v>0</v>
      </c>
      <c r="U416" s="209"/>
      <c r="V416" s="400"/>
      <c r="W416" s="400"/>
      <c r="X416" s="203"/>
      <c r="Y416" s="203"/>
      <c r="Z416" s="203"/>
    </row>
    <row r="417" spans="1:26" ht="25.5" customHeight="1">
      <c r="A417" s="206"/>
      <c r="B417" s="207"/>
      <c r="C417" s="206"/>
      <c r="D417" s="207"/>
      <c r="E417" s="207"/>
      <c r="F417" s="207"/>
      <c r="G417" s="400"/>
      <c r="H417" s="400"/>
      <c r="I417" s="400"/>
      <c r="J417" s="400"/>
      <c r="K417" s="401"/>
      <c r="L417" s="401"/>
      <c r="M417" s="208">
        <f t="shared" si="0"/>
        <v>0</v>
      </c>
      <c r="N417" s="400"/>
      <c r="O417" s="400"/>
      <c r="P417" s="402"/>
      <c r="Q417" s="402"/>
      <c r="R417" s="402"/>
      <c r="S417" s="402"/>
      <c r="T417" s="403">
        <f t="shared" si="1"/>
        <v>0</v>
      </c>
      <c r="U417" s="209"/>
      <c r="V417" s="400"/>
      <c r="W417" s="400"/>
      <c r="X417" s="203"/>
      <c r="Y417" s="203"/>
      <c r="Z417" s="203"/>
    </row>
    <row r="418" spans="1:26" ht="25.5" customHeight="1">
      <c r="A418" s="206"/>
      <c r="B418" s="207"/>
      <c r="C418" s="206"/>
      <c r="D418" s="207"/>
      <c r="E418" s="207"/>
      <c r="F418" s="207"/>
      <c r="G418" s="400"/>
      <c r="H418" s="400"/>
      <c r="I418" s="400"/>
      <c r="J418" s="400"/>
      <c r="K418" s="401"/>
      <c r="L418" s="401"/>
      <c r="M418" s="208">
        <f t="shared" si="0"/>
        <v>0</v>
      </c>
      <c r="N418" s="400"/>
      <c r="O418" s="400"/>
      <c r="P418" s="402"/>
      <c r="Q418" s="402"/>
      <c r="R418" s="402"/>
      <c r="S418" s="402"/>
      <c r="T418" s="403">
        <f t="shared" si="1"/>
        <v>0</v>
      </c>
      <c r="U418" s="209"/>
      <c r="V418" s="400"/>
      <c r="W418" s="400"/>
      <c r="X418" s="203"/>
      <c r="Y418" s="203"/>
      <c r="Z418" s="203"/>
    </row>
    <row r="419" spans="1:26" ht="25.5" customHeight="1">
      <c r="A419" s="206"/>
      <c r="B419" s="207"/>
      <c r="C419" s="206"/>
      <c r="D419" s="207"/>
      <c r="E419" s="207"/>
      <c r="F419" s="207"/>
      <c r="G419" s="400"/>
      <c r="H419" s="400"/>
      <c r="I419" s="400"/>
      <c r="J419" s="400"/>
      <c r="K419" s="401"/>
      <c r="L419" s="401"/>
      <c r="M419" s="208">
        <f t="shared" si="0"/>
        <v>0</v>
      </c>
      <c r="N419" s="400"/>
      <c r="O419" s="400"/>
      <c r="P419" s="402"/>
      <c r="Q419" s="402"/>
      <c r="R419" s="402"/>
      <c r="S419" s="402"/>
      <c r="T419" s="403">
        <f t="shared" si="1"/>
        <v>0</v>
      </c>
      <c r="U419" s="209"/>
      <c r="V419" s="400"/>
      <c r="W419" s="400"/>
      <c r="X419" s="203"/>
      <c r="Y419" s="203"/>
      <c r="Z419" s="203"/>
    </row>
    <row r="420" spans="1:26" ht="25.5" customHeight="1">
      <c r="A420" s="206"/>
      <c r="B420" s="207"/>
      <c r="C420" s="206"/>
      <c r="D420" s="207"/>
      <c r="E420" s="207"/>
      <c r="F420" s="207"/>
      <c r="G420" s="400"/>
      <c r="H420" s="400"/>
      <c r="I420" s="400"/>
      <c r="J420" s="400"/>
      <c r="K420" s="401"/>
      <c r="L420" s="401"/>
      <c r="M420" s="208">
        <f t="shared" si="0"/>
        <v>0</v>
      </c>
      <c r="N420" s="400"/>
      <c r="O420" s="400"/>
      <c r="P420" s="402"/>
      <c r="Q420" s="402"/>
      <c r="R420" s="402"/>
      <c r="S420" s="402"/>
      <c r="T420" s="403">
        <f t="shared" si="1"/>
        <v>0</v>
      </c>
      <c r="U420" s="209"/>
      <c r="V420" s="400"/>
      <c r="W420" s="400"/>
      <c r="X420" s="203"/>
      <c r="Y420" s="203"/>
      <c r="Z420" s="203"/>
    </row>
    <row r="421" spans="1:26" ht="25.5" customHeight="1">
      <c r="A421" s="206"/>
      <c r="B421" s="207"/>
      <c r="C421" s="206"/>
      <c r="D421" s="207"/>
      <c r="E421" s="207"/>
      <c r="F421" s="207"/>
      <c r="G421" s="400"/>
      <c r="H421" s="400"/>
      <c r="I421" s="400"/>
      <c r="J421" s="400"/>
      <c r="K421" s="401"/>
      <c r="L421" s="401"/>
      <c r="M421" s="208">
        <f t="shared" si="0"/>
        <v>0</v>
      </c>
      <c r="N421" s="400"/>
      <c r="O421" s="400"/>
      <c r="P421" s="402"/>
      <c r="Q421" s="402"/>
      <c r="R421" s="402"/>
      <c r="S421" s="402"/>
      <c r="T421" s="403">
        <f t="shared" si="1"/>
        <v>0</v>
      </c>
      <c r="U421" s="209"/>
      <c r="V421" s="400"/>
      <c r="W421" s="400"/>
      <c r="X421" s="203"/>
      <c r="Y421" s="203"/>
      <c r="Z421" s="203"/>
    </row>
    <row r="422" spans="1:26" ht="25.5" customHeight="1">
      <c r="A422" s="206"/>
      <c r="B422" s="207"/>
      <c r="C422" s="206"/>
      <c r="D422" s="207"/>
      <c r="E422" s="207"/>
      <c r="F422" s="207"/>
      <c r="G422" s="400"/>
      <c r="H422" s="400"/>
      <c r="I422" s="400"/>
      <c r="J422" s="400"/>
      <c r="K422" s="401"/>
      <c r="L422" s="401"/>
      <c r="M422" s="208">
        <f t="shared" si="0"/>
        <v>0</v>
      </c>
      <c r="N422" s="400"/>
      <c r="O422" s="400"/>
      <c r="P422" s="402"/>
      <c r="Q422" s="402"/>
      <c r="R422" s="402"/>
      <c r="S422" s="402"/>
      <c r="T422" s="403">
        <f t="shared" si="1"/>
        <v>0</v>
      </c>
      <c r="U422" s="209"/>
      <c r="V422" s="400"/>
      <c r="W422" s="400"/>
      <c r="X422" s="203"/>
      <c r="Y422" s="203"/>
      <c r="Z422" s="203"/>
    </row>
    <row r="423" spans="1:26" ht="25.5" customHeight="1">
      <c r="A423" s="206"/>
      <c r="B423" s="207"/>
      <c r="C423" s="206"/>
      <c r="D423" s="207"/>
      <c r="E423" s="207"/>
      <c r="F423" s="207"/>
      <c r="G423" s="400"/>
      <c r="H423" s="400"/>
      <c r="I423" s="400"/>
      <c r="J423" s="400"/>
      <c r="K423" s="401"/>
      <c r="L423" s="401"/>
      <c r="M423" s="208">
        <f t="shared" si="0"/>
        <v>0</v>
      </c>
      <c r="N423" s="400"/>
      <c r="O423" s="400"/>
      <c r="P423" s="402"/>
      <c r="Q423" s="402"/>
      <c r="R423" s="402"/>
      <c r="S423" s="402"/>
      <c r="T423" s="403">
        <f t="shared" si="1"/>
        <v>0</v>
      </c>
      <c r="U423" s="209"/>
      <c r="V423" s="400"/>
      <c r="W423" s="400"/>
      <c r="X423" s="203"/>
      <c r="Y423" s="203"/>
      <c r="Z423" s="203"/>
    </row>
    <row r="424" spans="1:26" ht="25.5" customHeight="1">
      <c r="A424" s="206"/>
      <c r="B424" s="207"/>
      <c r="C424" s="206"/>
      <c r="D424" s="207"/>
      <c r="E424" s="207"/>
      <c r="F424" s="207"/>
      <c r="G424" s="400"/>
      <c r="H424" s="400"/>
      <c r="I424" s="400"/>
      <c r="J424" s="400"/>
      <c r="K424" s="401"/>
      <c r="L424" s="401"/>
      <c r="M424" s="208">
        <f t="shared" si="0"/>
        <v>0</v>
      </c>
      <c r="N424" s="400"/>
      <c r="O424" s="400"/>
      <c r="P424" s="402"/>
      <c r="Q424" s="402"/>
      <c r="R424" s="402"/>
      <c r="S424" s="402"/>
      <c r="T424" s="403">
        <f t="shared" si="1"/>
        <v>0</v>
      </c>
      <c r="U424" s="209"/>
      <c r="V424" s="400"/>
      <c r="W424" s="400"/>
      <c r="X424" s="203"/>
      <c r="Y424" s="203"/>
      <c r="Z424" s="203"/>
    </row>
    <row r="425" spans="1:26" ht="25.5" customHeight="1">
      <c r="A425" s="206"/>
      <c r="B425" s="207"/>
      <c r="C425" s="206"/>
      <c r="D425" s="207"/>
      <c r="E425" s="207"/>
      <c r="F425" s="207"/>
      <c r="G425" s="400"/>
      <c r="H425" s="400"/>
      <c r="I425" s="400"/>
      <c r="J425" s="400"/>
      <c r="K425" s="401"/>
      <c r="L425" s="401"/>
      <c r="M425" s="208">
        <f t="shared" si="0"/>
        <v>0</v>
      </c>
      <c r="N425" s="400"/>
      <c r="O425" s="400"/>
      <c r="P425" s="402"/>
      <c r="Q425" s="402"/>
      <c r="R425" s="402"/>
      <c r="S425" s="402"/>
      <c r="T425" s="403">
        <f t="shared" si="1"/>
        <v>0</v>
      </c>
      <c r="U425" s="209"/>
      <c r="V425" s="400"/>
      <c r="W425" s="400"/>
      <c r="X425" s="203"/>
      <c r="Y425" s="203"/>
      <c r="Z425" s="203"/>
    </row>
    <row r="426" spans="1:26" ht="25.5" customHeight="1">
      <c r="A426" s="206"/>
      <c r="B426" s="207"/>
      <c r="C426" s="206"/>
      <c r="D426" s="207"/>
      <c r="E426" s="207"/>
      <c r="F426" s="207"/>
      <c r="G426" s="400"/>
      <c r="H426" s="400"/>
      <c r="I426" s="400"/>
      <c r="J426" s="400"/>
      <c r="K426" s="401"/>
      <c r="L426" s="401"/>
      <c r="M426" s="208">
        <f t="shared" si="0"/>
        <v>0</v>
      </c>
      <c r="N426" s="400"/>
      <c r="O426" s="400"/>
      <c r="P426" s="402"/>
      <c r="Q426" s="402"/>
      <c r="R426" s="402"/>
      <c r="S426" s="402"/>
      <c r="T426" s="403">
        <f t="shared" si="1"/>
        <v>0</v>
      </c>
      <c r="U426" s="209"/>
      <c r="V426" s="400"/>
      <c r="W426" s="400"/>
      <c r="X426" s="203"/>
      <c r="Y426" s="203"/>
      <c r="Z426" s="203"/>
    </row>
    <row r="427" spans="1:26" ht="25.5" customHeight="1">
      <c r="A427" s="206"/>
      <c r="B427" s="207"/>
      <c r="C427" s="206"/>
      <c r="D427" s="207"/>
      <c r="E427" s="207"/>
      <c r="F427" s="207"/>
      <c r="G427" s="400"/>
      <c r="H427" s="400"/>
      <c r="I427" s="400"/>
      <c r="J427" s="400"/>
      <c r="K427" s="401"/>
      <c r="L427" s="401"/>
      <c r="M427" s="208">
        <f t="shared" si="0"/>
        <v>0</v>
      </c>
      <c r="N427" s="400"/>
      <c r="O427" s="400"/>
      <c r="P427" s="402"/>
      <c r="Q427" s="402"/>
      <c r="R427" s="402"/>
      <c r="S427" s="402"/>
      <c r="T427" s="403">
        <f t="shared" si="1"/>
        <v>0</v>
      </c>
      <c r="U427" s="209"/>
      <c r="V427" s="400"/>
      <c r="W427" s="400"/>
      <c r="X427" s="203"/>
      <c r="Y427" s="203"/>
      <c r="Z427" s="203"/>
    </row>
    <row r="428" spans="1:26" ht="25.5" customHeight="1">
      <c r="A428" s="206"/>
      <c r="B428" s="207"/>
      <c r="C428" s="206"/>
      <c r="D428" s="207"/>
      <c r="E428" s="207"/>
      <c r="F428" s="207"/>
      <c r="G428" s="400"/>
      <c r="H428" s="400"/>
      <c r="I428" s="400"/>
      <c r="J428" s="400"/>
      <c r="K428" s="401"/>
      <c r="L428" s="401"/>
      <c r="M428" s="208">
        <f t="shared" si="0"/>
        <v>0</v>
      </c>
      <c r="N428" s="400"/>
      <c r="O428" s="400"/>
      <c r="P428" s="402"/>
      <c r="Q428" s="402"/>
      <c r="R428" s="402"/>
      <c r="S428" s="402"/>
      <c r="T428" s="403">
        <f t="shared" si="1"/>
        <v>0</v>
      </c>
      <c r="U428" s="209"/>
      <c r="V428" s="400"/>
      <c r="W428" s="400"/>
      <c r="X428" s="203"/>
      <c r="Y428" s="203"/>
      <c r="Z428" s="203"/>
    </row>
    <row r="429" spans="1:26" ht="25.5" customHeight="1">
      <c r="A429" s="206"/>
      <c r="B429" s="207"/>
      <c r="C429" s="206"/>
      <c r="D429" s="207"/>
      <c r="E429" s="207"/>
      <c r="F429" s="207"/>
      <c r="G429" s="400"/>
      <c r="H429" s="400"/>
      <c r="I429" s="400"/>
      <c r="J429" s="400"/>
      <c r="K429" s="401"/>
      <c r="L429" s="401"/>
      <c r="M429" s="208">
        <f t="shared" si="0"/>
        <v>0</v>
      </c>
      <c r="N429" s="400"/>
      <c r="O429" s="400"/>
      <c r="P429" s="402"/>
      <c r="Q429" s="402"/>
      <c r="R429" s="402"/>
      <c r="S429" s="402"/>
      <c r="T429" s="403">
        <f t="shared" si="1"/>
        <v>0</v>
      </c>
      <c r="U429" s="209"/>
      <c r="V429" s="400"/>
      <c r="W429" s="400"/>
      <c r="X429" s="203"/>
      <c r="Y429" s="203"/>
      <c r="Z429" s="203"/>
    </row>
    <row r="430" spans="1:26" ht="25.5" customHeight="1">
      <c r="A430" s="206"/>
      <c r="B430" s="207"/>
      <c r="C430" s="206"/>
      <c r="D430" s="207"/>
      <c r="E430" s="207"/>
      <c r="F430" s="207"/>
      <c r="G430" s="400"/>
      <c r="H430" s="400"/>
      <c r="I430" s="400"/>
      <c r="J430" s="400"/>
      <c r="K430" s="401"/>
      <c r="L430" s="401"/>
      <c r="M430" s="208">
        <f t="shared" si="0"/>
        <v>0</v>
      </c>
      <c r="N430" s="400"/>
      <c r="O430" s="400"/>
      <c r="P430" s="402"/>
      <c r="Q430" s="402"/>
      <c r="R430" s="402"/>
      <c r="S430" s="402"/>
      <c r="T430" s="403">
        <f t="shared" si="1"/>
        <v>0</v>
      </c>
      <c r="U430" s="209"/>
      <c r="V430" s="400"/>
      <c r="W430" s="400"/>
      <c r="X430" s="203"/>
      <c r="Y430" s="203"/>
      <c r="Z430" s="203"/>
    </row>
    <row r="431" spans="1:26" ht="25.5" customHeight="1">
      <c r="A431" s="206"/>
      <c r="B431" s="207"/>
      <c r="C431" s="206"/>
      <c r="D431" s="207"/>
      <c r="E431" s="207"/>
      <c r="F431" s="207"/>
      <c r="G431" s="400"/>
      <c r="H431" s="400"/>
      <c r="I431" s="400"/>
      <c r="J431" s="400"/>
      <c r="K431" s="401"/>
      <c r="L431" s="401"/>
      <c r="M431" s="208">
        <f t="shared" si="0"/>
        <v>0</v>
      </c>
      <c r="N431" s="400"/>
      <c r="O431" s="400"/>
      <c r="P431" s="402"/>
      <c r="Q431" s="402"/>
      <c r="R431" s="402"/>
      <c r="S431" s="402"/>
      <c r="T431" s="403">
        <f t="shared" si="1"/>
        <v>0</v>
      </c>
      <c r="U431" s="209"/>
      <c r="V431" s="400"/>
      <c r="W431" s="400"/>
      <c r="X431" s="203"/>
      <c r="Y431" s="203"/>
      <c r="Z431" s="203"/>
    </row>
    <row r="432" spans="1:26" ht="25.5" customHeight="1">
      <c r="A432" s="206"/>
      <c r="B432" s="207"/>
      <c r="C432" s="206"/>
      <c r="D432" s="207"/>
      <c r="E432" s="207"/>
      <c r="F432" s="207"/>
      <c r="G432" s="400"/>
      <c r="H432" s="400"/>
      <c r="I432" s="400"/>
      <c r="J432" s="400"/>
      <c r="K432" s="401"/>
      <c r="L432" s="401"/>
      <c r="M432" s="208">
        <f t="shared" si="0"/>
        <v>0</v>
      </c>
      <c r="N432" s="400"/>
      <c r="O432" s="400"/>
      <c r="P432" s="402"/>
      <c r="Q432" s="402"/>
      <c r="R432" s="402"/>
      <c r="S432" s="402"/>
      <c r="T432" s="403">
        <f t="shared" si="1"/>
        <v>0</v>
      </c>
      <c r="U432" s="209"/>
      <c r="V432" s="400"/>
      <c r="W432" s="400"/>
      <c r="X432" s="203"/>
      <c r="Y432" s="203"/>
      <c r="Z432" s="203"/>
    </row>
    <row r="433" spans="1:26" ht="25.5" customHeight="1">
      <c r="A433" s="206"/>
      <c r="B433" s="207"/>
      <c r="C433" s="206"/>
      <c r="D433" s="207"/>
      <c r="E433" s="207"/>
      <c r="F433" s="207"/>
      <c r="G433" s="400"/>
      <c r="H433" s="400"/>
      <c r="I433" s="400"/>
      <c r="J433" s="400"/>
      <c r="K433" s="401"/>
      <c r="L433" s="401"/>
      <c r="M433" s="208">
        <f t="shared" si="0"/>
        <v>0</v>
      </c>
      <c r="N433" s="400"/>
      <c r="O433" s="400"/>
      <c r="P433" s="402"/>
      <c r="Q433" s="402"/>
      <c r="R433" s="402"/>
      <c r="S433" s="402"/>
      <c r="T433" s="403">
        <f t="shared" si="1"/>
        <v>0</v>
      </c>
      <c r="U433" s="209"/>
      <c r="V433" s="400"/>
      <c r="W433" s="400"/>
      <c r="X433" s="203"/>
      <c r="Y433" s="203"/>
      <c r="Z433" s="203"/>
    </row>
    <row r="434" spans="1:26" ht="25.5" customHeight="1">
      <c r="A434" s="206"/>
      <c r="B434" s="207"/>
      <c r="C434" s="206"/>
      <c r="D434" s="207"/>
      <c r="E434" s="207"/>
      <c r="F434" s="207"/>
      <c r="G434" s="400"/>
      <c r="H434" s="400"/>
      <c r="I434" s="400"/>
      <c r="J434" s="400"/>
      <c r="K434" s="401"/>
      <c r="L434" s="401"/>
      <c r="M434" s="208">
        <f t="shared" si="0"/>
        <v>0</v>
      </c>
      <c r="N434" s="400"/>
      <c r="O434" s="400"/>
      <c r="P434" s="402"/>
      <c r="Q434" s="402"/>
      <c r="R434" s="402"/>
      <c r="S434" s="402"/>
      <c r="T434" s="403">
        <f t="shared" si="1"/>
        <v>0</v>
      </c>
      <c r="U434" s="209"/>
      <c r="V434" s="400"/>
      <c r="W434" s="400"/>
      <c r="X434" s="203"/>
      <c r="Y434" s="203"/>
      <c r="Z434" s="203"/>
    </row>
    <row r="435" spans="1:26" ht="25.5" customHeight="1">
      <c r="A435" s="206"/>
      <c r="B435" s="207"/>
      <c r="C435" s="206"/>
      <c r="D435" s="207"/>
      <c r="E435" s="207"/>
      <c r="F435" s="207"/>
      <c r="G435" s="400"/>
      <c r="H435" s="400"/>
      <c r="I435" s="400"/>
      <c r="J435" s="400"/>
      <c r="K435" s="401"/>
      <c r="L435" s="401"/>
      <c r="M435" s="208">
        <f t="shared" si="0"/>
        <v>0</v>
      </c>
      <c r="N435" s="400"/>
      <c r="O435" s="400"/>
      <c r="P435" s="402"/>
      <c r="Q435" s="402"/>
      <c r="R435" s="402"/>
      <c r="S435" s="402"/>
      <c r="T435" s="403">
        <f t="shared" si="1"/>
        <v>0</v>
      </c>
      <c r="U435" s="209"/>
      <c r="V435" s="400"/>
      <c r="W435" s="400"/>
      <c r="X435" s="203"/>
      <c r="Y435" s="203"/>
      <c r="Z435" s="203"/>
    </row>
    <row r="436" spans="1:26" ht="25.5" customHeight="1">
      <c r="A436" s="206"/>
      <c r="B436" s="207"/>
      <c r="C436" s="206"/>
      <c r="D436" s="207"/>
      <c r="E436" s="207"/>
      <c r="F436" s="207"/>
      <c r="G436" s="400"/>
      <c r="H436" s="400"/>
      <c r="I436" s="400"/>
      <c r="J436" s="400"/>
      <c r="K436" s="401"/>
      <c r="L436" s="401"/>
      <c r="M436" s="208">
        <f t="shared" si="0"/>
        <v>0</v>
      </c>
      <c r="N436" s="400"/>
      <c r="O436" s="400"/>
      <c r="P436" s="402"/>
      <c r="Q436" s="402"/>
      <c r="R436" s="402"/>
      <c r="S436" s="402"/>
      <c r="T436" s="403">
        <f t="shared" si="1"/>
        <v>0</v>
      </c>
      <c r="U436" s="209"/>
      <c r="V436" s="400"/>
      <c r="W436" s="400"/>
      <c r="X436" s="203"/>
      <c r="Y436" s="203"/>
      <c r="Z436" s="203"/>
    </row>
    <row r="437" spans="1:26" ht="25.5" customHeight="1">
      <c r="A437" s="206"/>
      <c r="B437" s="207"/>
      <c r="C437" s="206"/>
      <c r="D437" s="207"/>
      <c r="E437" s="207"/>
      <c r="F437" s="207"/>
      <c r="G437" s="400"/>
      <c r="H437" s="400"/>
      <c r="I437" s="400"/>
      <c r="J437" s="400"/>
      <c r="K437" s="401"/>
      <c r="L437" s="401"/>
      <c r="M437" s="208">
        <f t="shared" si="0"/>
        <v>0</v>
      </c>
      <c r="N437" s="400"/>
      <c r="O437" s="400"/>
      <c r="P437" s="402"/>
      <c r="Q437" s="402"/>
      <c r="R437" s="402"/>
      <c r="S437" s="402"/>
      <c r="T437" s="403">
        <f t="shared" si="1"/>
        <v>0</v>
      </c>
      <c r="U437" s="209"/>
      <c r="V437" s="400"/>
      <c r="W437" s="400"/>
      <c r="X437" s="203"/>
      <c r="Y437" s="203"/>
      <c r="Z437" s="203"/>
    </row>
    <row r="438" spans="1:26" ht="25.5" customHeight="1">
      <c r="A438" s="206"/>
      <c r="B438" s="207"/>
      <c r="C438" s="206"/>
      <c r="D438" s="207"/>
      <c r="E438" s="207"/>
      <c r="F438" s="207"/>
      <c r="G438" s="400"/>
      <c r="H438" s="400"/>
      <c r="I438" s="400"/>
      <c r="J438" s="400"/>
      <c r="K438" s="401"/>
      <c r="L438" s="401"/>
      <c r="M438" s="208">
        <f t="shared" si="0"/>
        <v>0</v>
      </c>
      <c r="N438" s="400"/>
      <c r="O438" s="400"/>
      <c r="P438" s="402"/>
      <c r="Q438" s="402"/>
      <c r="R438" s="402"/>
      <c r="S438" s="402"/>
      <c r="T438" s="403">
        <f t="shared" si="1"/>
        <v>0</v>
      </c>
      <c r="U438" s="209"/>
      <c r="V438" s="400"/>
      <c r="W438" s="400"/>
      <c r="X438" s="203"/>
      <c r="Y438" s="203"/>
      <c r="Z438" s="203"/>
    </row>
    <row r="439" spans="1:26" ht="25.5" customHeight="1">
      <c r="A439" s="206"/>
      <c r="B439" s="207"/>
      <c r="C439" s="206"/>
      <c r="D439" s="207"/>
      <c r="E439" s="207"/>
      <c r="F439" s="207"/>
      <c r="G439" s="400"/>
      <c r="H439" s="400"/>
      <c r="I439" s="400"/>
      <c r="J439" s="400"/>
      <c r="K439" s="401"/>
      <c r="L439" s="401"/>
      <c r="M439" s="208">
        <f t="shared" si="0"/>
        <v>0</v>
      </c>
      <c r="N439" s="400"/>
      <c r="O439" s="400"/>
      <c r="P439" s="402"/>
      <c r="Q439" s="402"/>
      <c r="R439" s="402"/>
      <c r="S439" s="402"/>
      <c r="T439" s="403">
        <f t="shared" si="1"/>
        <v>0</v>
      </c>
      <c r="U439" s="209"/>
      <c r="V439" s="400"/>
      <c r="W439" s="400"/>
      <c r="X439" s="203"/>
      <c r="Y439" s="203"/>
      <c r="Z439" s="203"/>
    </row>
    <row r="440" spans="1:26" ht="25.5" customHeight="1">
      <c r="A440" s="206"/>
      <c r="B440" s="207"/>
      <c r="C440" s="206"/>
      <c r="D440" s="207"/>
      <c r="E440" s="207"/>
      <c r="F440" s="207"/>
      <c r="G440" s="400"/>
      <c r="H440" s="400"/>
      <c r="I440" s="400"/>
      <c r="J440" s="400"/>
      <c r="K440" s="401"/>
      <c r="L440" s="401"/>
      <c r="M440" s="208">
        <f t="shared" si="0"/>
        <v>0</v>
      </c>
      <c r="N440" s="400"/>
      <c r="O440" s="400"/>
      <c r="P440" s="402"/>
      <c r="Q440" s="402"/>
      <c r="R440" s="402"/>
      <c r="S440" s="402"/>
      <c r="T440" s="403">
        <f t="shared" si="1"/>
        <v>0</v>
      </c>
      <c r="U440" s="209"/>
      <c r="V440" s="400"/>
      <c r="W440" s="400"/>
      <c r="X440" s="203"/>
      <c r="Y440" s="203"/>
      <c r="Z440" s="203"/>
    </row>
    <row r="441" spans="1:26" ht="25.5" customHeight="1">
      <c r="A441" s="206"/>
      <c r="B441" s="207"/>
      <c r="C441" s="206"/>
      <c r="D441" s="207"/>
      <c r="E441" s="207"/>
      <c r="F441" s="207"/>
      <c r="G441" s="400"/>
      <c r="H441" s="400"/>
      <c r="I441" s="400"/>
      <c r="J441" s="400"/>
      <c r="K441" s="401"/>
      <c r="L441" s="401"/>
      <c r="M441" s="208">
        <f t="shared" si="0"/>
        <v>0</v>
      </c>
      <c r="N441" s="400"/>
      <c r="O441" s="400"/>
      <c r="P441" s="402"/>
      <c r="Q441" s="402"/>
      <c r="R441" s="402"/>
      <c r="S441" s="402"/>
      <c r="T441" s="403">
        <f t="shared" si="1"/>
        <v>0</v>
      </c>
      <c r="U441" s="209"/>
      <c r="V441" s="400"/>
      <c r="W441" s="400"/>
      <c r="X441" s="203"/>
      <c r="Y441" s="203"/>
      <c r="Z441" s="203"/>
    </row>
    <row r="442" spans="1:26" ht="25.5" customHeight="1">
      <c r="A442" s="206"/>
      <c r="B442" s="207"/>
      <c r="C442" s="206"/>
      <c r="D442" s="207"/>
      <c r="E442" s="207"/>
      <c r="F442" s="207"/>
      <c r="G442" s="400"/>
      <c r="H442" s="400"/>
      <c r="I442" s="400"/>
      <c r="J442" s="400"/>
      <c r="K442" s="401"/>
      <c r="L442" s="401"/>
      <c r="M442" s="208">
        <f t="shared" si="0"/>
        <v>0</v>
      </c>
      <c r="N442" s="400"/>
      <c r="O442" s="400"/>
      <c r="P442" s="402"/>
      <c r="Q442" s="402"/>
      <c r="R442" s="402"/>
      <c r="S442" s="402"/>
      <c r="T442" s="403">
        <f t="shared" si="1"/>
        <v>0</v>
      </c>
      <c r="U442" s="209"/>
      <c r="V442" s="400"/>
      <c r="W442" s="400"/>
      <c r="X442" s="203"/>
      <c r="Y442" s="203"/>
      <c r="Z442" s="203"/>
    </row>
    <row r="443" spans="1:26" ht="25.5" customHeight="1">
      <c r="A443" s="206"/>
      <c r="B443" s="207"/>
      <c r="C443" s="206"/>
      <c r="D443" s="207"/>
      <c r="E443" s="207"/>
      <c r="F443" s="207"/>
      <c r="G443" s="400"/>
      <c r="H443" s="400"/>
      <c r="I443" s="400"/>
      <c r="J443" s="400"/>
      <c r="K443" s="401"/>
      <c r="L443" s="401"/>
      <c r="M443" s="208">
        <f t="shared" si="0"/>
        <v>0</v>
      </c>
      <c r="N443" s="400"/>
      <c r="O443" s="400"/>
      <c r="P443" s="402"/>
      <c r="Q443" s="402"/>
      <c r="R443" s="402"/>
      <c r="S443" s="402"/>
      <c r="T443" s="403">
        <f t="shared" si="1"/>
        <v>0</v>
      </c>
      <c r="U443" s="209"/>
      <c r="V443" s="400"/>
      <c r="W443" s="400"/>
      <c r="X443" s="203"/>
      <c r="Y443" s="203"/>
      <c r="Z443" s="203"/>
    </row>
    <row r="444" spans="1:26" ht="25.5" customHeight="1">
      <c r="A444" s="206"/>
      <c r="B444" s="207"/>
      <c r="C444" s="206"/>
      <c r="D444" s="207"/>
      <c r="E444" s="207"/>
      <c r="F444" s="207"/>
      <c r="G444" s="400"/>
      <c r="H444" s="400"/>
      <c r="I444" s="400"/>
      <c r="J444" s="400"/>
      <c r="K444" s="401"/>
      <c r="L444" s="401"/>
      <c r="M444" s="208">
        <f t="shared" si="0"/>
        <v>0</v>
      </c>
      <c r="N444" s="400"/>
      <c r="O444" s="400"/>
      <c r="P444" s="402"/>
      <c r="Q444" s="402"/>
      <c r="R444" s="402"/>
      <c r="S444" s="402"/>
      <c r="T444" s="403">
        <f t="shared" si="1"/>
        <v>0</v>
      </c>
      <c r="U444" s="209"/>
      <c r="V444" s="400"/>
      <c r="W444" s="400"/>
      <c r="X444" s="203"/>
      <c r="Y444" s="203"/>
      <c r="Z444" s="203"/>
    </row>
    <row r="445" spans="1:26" ht="25.5" customHeight="1">
      <c r="A445" s="206"/>
      <c r="B445" s="207"/>
      <c r="C445" s="206"/>
      <c r="D445" s="207"/>
      <c r="E445" s="207"/>
      <c r="F445" s="207"/>
      <c r="G445" s="400"/>
      <c r="H445" s="400"/>
      <c r="I445" s="400"/>
      <c r="J445" s="400"/>
      <c r="K445" s="401"/>
      <c r="L445" s="401"/>
      <c r="M445" s="208">
        <f t="shared" si="0"/>
        <v>0</v>
      </c>
      <c r="N445" s="400"/>
      <c r="O445" s="400"/>
      <c r="P445" s="402"/>
      <c r="Q445" s="402"/>
      <c r="R445" s="402"/>
      <c r="S445" s="402"/>
      <c r="T445" s="403">
        <f t="shared" si="1"/>
        <v>0</v>
      </c>
      <c r="U445" s="209"/>
      <c r="V445" s="400"/>
      <c r="W445" s="400"/>
      <c r="X445" s="203"/>
      <c r="Y445" s="203"/>
      <c r="Z445" s="203"/>
    </row>
    <row r="446" spans="1:26" ht="25.5" customHeight="1">
      <c r="A446" s="206"/>
      <c r="B446" s="207"/>
      <c r="C446" s="206"/>
      <c r="D446" s="207"/>
      <c r="E446" s="207"/>
      <c r="F446" s="207"/>
      <c r="G446" s="400"/>
      <c r="H446" s="400"/>
      <c r="I446" s="400"/>
      <c r="J446" s="400"/>
      <c r="K446" s="401"/>
      <c r="L446" s="401"/>
      <c r="M446" s="208">
        <f t="shared" si="0"/>
        <v>0</v>
      </c>
      <c r="N446" s="400"/>
      <c r="O446" s="400"/>
      <c r="P446" s="402"/>
      <c r="Q446" s="402"/>
      <c r="R446" s="402"/>
      <c r="S446" s="402"/>
      <c r="T446" s="403">
        <f t="shared" si="1"/>
        <v>0</v>
      </c>
      <c r="U446" s="209"/>
      <c r="V446" s="400"/>
      <c r="W446" s="400"/>
      <c r="X446" s="203"/>
      <c r="Y446" s="203"/>
      <c r="Z446" s="203"/>
    </row>
    <row r="447" spans="1:26" ht="25.5" customHeight="1">
      <c r="A447" s="206"/>
      <c r="B447" s="207"/>
      <c r="C447" s="206"/>
      <c r="D447" s="207"/>
      <c r="E447" s="207"/>
      <c r="F447" s="207"/>
      <c r="G447" s="400"/>
      <c r="H447" s="400"/>
      <c r="I447" s="400"/>
      <c r="J447" s="400"/>
      <c r="K447" s="401"/>
      <c r="L447" s="401"/>
      <c r="M447" s="208">
        <f t="shared" si="0"/>
        <v>0</v>
      </c>
      <c r="N447" s="400"/>
      <c r="O447" s="400"/>
      <c r="P447" s="402"/>
      <c r="Q447" s="402"/>
      <c r="R447" s="402"/>
      <c r="S447" s="402"/>
      <c r="T447" s="403">
        <f t="shared" si="1"/>
        <v>0</v>
      </c>
      <c r="U447" s="209"/>
      <c r="V447" s="400"/>
      <c r="W447" s="400"/>
      <c r="X447" s="203"/>
      <c r="Y447" s="203"/>
      <c r="Z447" s="203"/>
    </row>
    <row r="448" spans="1:26" ht="25.5" customHeight="1">
      <c r="A448" s="206"/>
      <c r="B448" s="207"/>
      <c r="C448" s="206"/>
      <c r="D448" s="207"/>
      <c r="E448" s="207"/>
      <c r="F448" s="207"/>
      <c r="G448" s="400"/>
      <c r="H448" s="400"/>
      <c r="I448" s="400"/>
      <c r="J448" s="400"/>
      <c r="K448" s="401"/>
      <c r="L448" s="401"/>
      <c r="M448" s="208">
        <f t="shared" si="0"/>
        <v>0</v>
      </c>
      <c r="N448" s="400"/>
      <c r="O448" s="400"/>
      <c r="P448" s="402"/>
      <c r="Q448" s="402"/>
      <c r="R448" s="402"/>
      <c r="S448" s="402"/>
      <c r="T448" s="403">
        <f t="shared" si="1"/>
        <v>0</v>
      </c>
      <c r="U448" s="209"/>
      <c r="V448" s="400"/>
      <c r="W448" s="400"/>
      <c r="X448" s="203"/>
      <c r="Y448" s="203"/>
      <c r="Z448" s="203"/>
    </row>
    <row r="449" spans="1:26" ht="25.5" customHeight="1">
      <c r="A449" s="206"/>
      <c r="B449" s="207"/>
      <c r="C449" s="206"/>
      <c r="D449" s="207"/>
      <c r="E449" s="207"/>
      <c r="F449" s="207"/>
      <c r="G449" s="400"/>
      <c r="H449" s="400"/>
      <c r="I449" s="400"/>
      <c r="J449" s="400"/>
      <c r="K449" s="401"/>
      <c r="L449" s="401"/>
      <c r="M449" s="208">
        <f t="shared" si="0"/>
        <v>0</v>
      </c>
      <c r="N449" s="400"/>
      <c r="O449" s="400"/>
      <c r="P449" s="402"/>
      <c r="Q449" s="402"/>
      <c r="R449" s="402"/>
      <c r="S449" s="402"/>
      <c r="T449" s="403">
        <f t="shared" si="1"/>
        <v>0</v>
      </c>
      <c r="U449" s="209"/>
      <c r="V449" s="400"/>
      <c r="W449" s="400"/>
      <c r="X449" s="203"/>
      <c r="Y449" s="203"/>
      <c r="Z449" s="203"/>
    </row>
    <row r="450" spans="1:26" ht="25.5" customHeight="1">
      <c r="A450" s="206"/>
      <c r="B450" s="207"/>
      <c r="C450" s="206"/>
      <c r="D450" s="207"/>
      <c r="E450" s="207"/>
      <c r="F450" s="207"/>
      <c r="G450" s="400"/>
      <c r="H450" s="400"/>
      <c r="I450" s="400"/>
      <c r="J450" s="400"/>
      <c r="K450" s="401"/>
      <c r="L450" s="401"/>
      <c r="M450" s="208">
        <f t="shared" si="0"/>
        <v>0</v>
      </c>
      <c r="N450" s="400"/>
      <c r="O450" s="400"/>
      <c r="P450" s="402"/>
      <c r="Q450" s="402"/>
      <c r="R450" s="402"/>
      <c r="S450" s="402"/>
      <c r="T450" s="403">
        <f t="shared" si="1"/>
        <v>0</v>
      </c>
      <c r="U450" s="209"/>
      <c r="V450" s="400"/>
      <c r="W450" s="400"/>
      <c r="X450" s="203"/>
      <c r="Y450" s="203"/>
      <c r="Z450" s="203"/>
    </row>
    <row r="451" spans="1:26" ht="25.5" customHeight="1">
      <c r="A451" s="206"/>
      <c r="B451" s="207"/>
      <c r="C451" s="206"/>
      <c r="D451" s="207"/>
      <c r="E451" s="207"/>
      <c r="F451" s="207"/>
      <c r="G451" s="400"/>
      <c r="H451" s="400"/>
      <c r="I451" s="400"/>
      <c r="J451" s="400"/>
      <c r="K451" s="401"/>
      <c r="L451" s="401"/>
      <c r="M451" s="208">
        <f t="shared" si="0"/>
        <v>0</v>
      </c>
      <c r="N451" s="400"/>
      <c r="O451" s="400"/>
      <c r="P451" s="402"/>
      <c r="Q451" s="402"/>
      <c r="R451" s="402"/>
      <c r="S451" s="402"/>
      <c r="T451" s="403">
        <f t="shared" si="1"/>
        <v>0</v>
      </c>
      <c r="U451" s="209"/>
      <c r="V451" s="400"/>
      <c r="W451" s="400"/>
      <c r="X451" s="203"/>
      <c r="Y451" s="203"/>
      <c r="Z451" s="203"/>
    </row>
    <row r="452" spans="1:26" ht="25.5" customHeight="1">
      <c r="A452" s="206"/>
      <c r="B452" s="207"/>
      <c r="C452" s="206"/>
      <c r="D452" s="207"/>
      <c r="E452" s="207"/>
      <c r="F452" s="207"/>
      <c r="G452" s="400"/>
      <c r="H452" s="400"/>
      <c r="I452" s="400"/>
      <c r="J452" s="400"/>
      <c r="K452" s="401"/>
      <c r="L452" s="401"/>
      <c r="M452" s="208">
        <f t="shared" si="0"/>
        <v>0</v>
      </c>
      <c r="N452" s="400"/>
      <c r="O452" s="400"/>
      <c r="P452" s="402"/>
      <c r="Q452" s="402"/>
      <c r="R452" s="402"/>
      <c r="S452" s="402"/>
      <c r="T452" s="403">
        <f t="shared" si="1"/>
        <v>0</v>
      </c>
      <c r="U452" s="209"/>
      <c r="V452" s="400"/>
      <c r="W452" s="400"/>
      <c r="X452" s="203"/>
      <c r="Y452" s="203"/>
      <c r="Z452" s="203"/>
    </row>
    <row r="453" spans="1:26" ht="25.5" customHeight="1">
      <c r="A453" s="206"/>
      <c r="B453" s="207"/>
      <c r="C453" s="206"/>
      <c r="D453" s="207"/>
      <c r="E453" s="207"/>
      <c r="F453" s="207"/>
      <c r="G453" s="400"/>
      <c r="H453" s="400"/>
      <c r="I453" s="400"/>
      <c r="J453" s="400"/>
      <c r="K453" s="401"/>
      <c r="L453" s="401"/>
      <c r="M453" s="208">
        <f t="shared" si="0"/>
        <v>0</v>
      </c>
      <c r="N453" s="400"/>
      <c r="O453" s="400"/>
      <c r="P453" s="402"/>
      <c r="Q453" s="402"/>
      <c r="R453" s="402"/>
      <c r="S453" s="402"/>
      <c r="T453" s="403">
        <f t="shared" si="1"/>
        <v>0</v>
      </c>
      <c r="U453" s="209"/>
      <c r="V453" s="400"/>
      <c r="W453" s="400"/>
      <c r="X453" s="203"/>
      <c r="Y453" s="203"/>
      <c r="Z453" s="203"/>
    </row>
    <row r="454" spans="1:26" ht="25.5" customHeight="1">
      <c r="A454" s="206"/>
      <c r="B454" s="207"/>
      <c r="C454" s="206"/>
      <c r="D454" s="207"/>
      <c r="E454" s="207"/>
      <c r="F454" s="207"/>
      <c r="G454" s="400"/>
      <c r="H454" s="400"/>
      <c r="I454" s="400"/>
      <c r="J454" s="400"/>
      <c r="K454" s="401"/>
      <c r="L454" s="401"/>
      <c r="M454" s="208">
        <f t="shared" si="0"/>
        <v>0</v>
      </c>
      <c r="N454" s="400"/>
      <c r="O454" s="400"/>
      <c r="P454" s="402"/>
      <c r="Q454" s="402"/>
      <c r="R454" s="402"/>
      <c r="S454" s="402"/>
      <c r="T454" s="403">
        <f t="shared" si="1"/>
        <v>0</v>
      </c>
      <c r="U454" s="209"/>
      <c r="V454" s="400"/>
      <c r="W454" s="400"/>
      <c r="X454" s="203"/>
      <c r="Y454" s="203"/>
      <c r="Z454" s="203"/>
    </row>
    <row r="455" spans="1:26" ht="25.5" customHeight="1">
      <c r="A455" s="206"/>
      <c r="B455" s="207"/>
      <c r="C455" s="206"/>
      <c r="D455" s="207"/>
      <c r="E455" s="207"/>
      <c r="F455" s="207"/>
      <c r="G455" s="400"/>
      <c r="H455" s="400"/>
      <c r="I455" s="400"/>
      <c r="J455" s="400"/>
      <c r="K455" s="401"/>
      <c r="L455" s="401"/>
      <c r="M455" s="208">
        <f t="shared" si="0"/>
        <v>0</v>
      </c>
      <c r="N455" s="400"/>
      <c r="O455" s="400"/>
      <c r="P455" s="402"/>
      <c r="Q455" s="402"/>
      <c r="R455" s="402"/>
      <c r="S455" s="402"/>
      <c r="T455" s="403">
        <f t="shared" si="1"/>
        <v>0</v>
      </c>
      <c r="U455" s="209"/>
      <c r="V455" s="400"/>
      <c r="W455" s="400"/>
      <c r="X455" s="203"/>
      <c r="Y455" s="203"/>
      <c r="Z455" s="203"/>
    </row>
    <row r="456" spans="1:26" ht="25.5" customHeight="1">
      <c r="A456" s="206"/>
      <c r="B456" s="207"/>
      <c r="C456" s="206"/>
      <c r="D456" s="207"/>
      <c r="E456" s="207"/>
      <c r="F456" s="207"/>
      <c r="G456" s="400"/>
      <c r="H456" s="400"/>
      <c r="I456" s="400"/>
      <c r="J456" s="400"/>
      <c r="K456" s="401"/>
      <c r="L456" s="401"/>
      <c r="M456" s="208">
        <f t="shared" si="0"/>
        <v>0</v>
      </c>
      <c r="N456" s="400"/>
      <c r="O456" s="400"/>
      <c r="P456" s="402"/>
      <c r="Q456" s="402"/>
      <c r="R456" s="402"/>
      <c r="S456" s="402"/>
      <c r="T456" s="403">
        <f t="shared" si="1"/>
        <v>0</v>
      </c>
      <c r="U456" s="209"/>
      <c r="V456" s="400"/>
      <c r="W456" s="400"/>
      <c r="X456" s="203"/>
      <c r="Y456" s="203"/>
      <c r="Z456" s="203"/>
    </row>
    <row r="457" spans="1:26" ht="25.5" customHeight="1">
      <c r="A457" s="206"/>
      <c r="B457" s="207"/>
      <c r="C457" s="206"/>
      <c r="D457" s="207"/>
      <c r="E457" s="207"/>
      <c r="F457" s="207"/>
      <c r="G457" s="400"/>
      <c r="H457" s="400"/>
      <c r="I457" s="400"/>
      <c r="J457" s="400"/>
      <c r="K457" s="401"/>
      <c r="L457" s="401"/>
      <c r="M457" s="208">
        <f t="shared" si="0"/>
        <v>0</v>
      </c>
      <c r="N457" s="400"/>
      <c r="O457" s="400"/>
      <c r="P457" s="402"/>
      <c r="Q457" s="402"/>
      <c r="R457" s="402"/>
      <c r="S457" s="402"/>
      <c r="T457" s="403">
        <f t="shared" si="1"/>
        <v>0</v>
      </c>
      <c r="U457" s="209"/>
      <c r="V457" s="400"/>
      <c r="W457" s="400"/>
      <c r="X457" s="203"/>
      <c r="Y457" s="203"/>
      <c r="Z457" s="203"/>
    </row>
    <row r="458" spans="1:26" ht="25.5" customHeight="1">
      <c r="A458" s="206"/>
      <c r="B458" s="207"/>
      <c r="C458" s="206"/>
      <c r="D458" s="207"/>
      <c r="E458" s="207"/>
      <c r="F458" s="207"/>
      <c r="G458" s="400"/>
      <c r="H458" s="400"/>
      <c r="I458" s="400"/>
      <c r="J458" s="400"/>
      <c r="K458" s="401"/>
      <c r="L458" s="401"/>
      <c r="M458" s="208">
        <f t="shared" si="0"/>
        <v>0</v>
      </c>
      <c r="N458" s="400"/>
      <c r="O458" s="400"/>
      <c r="P458" s="402"/>
      <c r="Q458" s="402"/>
      <c r="R458" s="402"/>
      <c r="S458" s="402"/>
      <c r="T458" s="403">
        <f t="shared" si="1"/>
        <v>0</v>
      </c>
      <c r="U458" s="209"/>
      <c r="V458" s="400"/>
      <c r="W458" s="400"/>
      <c r="X458" s="203"/>
      <c r="Y458" s="203"/>
      <c r="Z458" s="203"/>
    </row>
    <row r="459" spans="1:26" ht="25.5" customHeight="1">
      <c r="A459" s="206"/>
      <c r="B459" s="207"/>
      <c r="C459" s="206"/>
      <c r="D459" s="207"/>
      <c r="E459" s="207"/>
      <c r="F459" s="207"/>
      <c r="G459" s="400"/>
      <c r="H459" s="400"/>
      <c r="I459" s="400"/>
      <c r="J459" s="400"/>
      <c r="K459" s="401"/>
      <c r="L459" s="401"/>
      <c r="M459" s="208">
        <f t="shared" si="0"/>
        <v>0</v>
      </c>
      <c r="N459" s="400"/>
      <c r="O459" s="400"/>
      <c r="P459" s="402"/>
      <c r="Q459" s="402"/>
      <c r="R459" s="402"/>
      <c r="S459" s="402"/>
      <c r="T459" s="403">
        <f t="shared" si="1"/>
        <v>0</v>
      </c>
      <c r="U459" s="209"/>
      <c r="V459" s="400"/>
      <c r="W459" s="400"/>
      <c r="X459" s="203"/>
      <c r="Y459" s="203"/>
      <c r="Z459" s="203"/>
    </row>
    <row r="460" spans="1:26" ht="25.5" customHeight="1">
      <c r="A460" s="206"/>
      <c r="B460" s="207"/>
      <c r="C460" s="206"/>
      <c r="D460" s="207"/>
      <c r="E460" s="207"/>
      <c r="F460" s="207"/>
      <c r="G460" s="400"/>
      <c r="H460" s="400"/>
      <c r="I460" s="400"/>
      <c r="J460" s="400"/>
      <c r="K460" s="401"/>
      <c r="L460" s="401"/>
      <c r="M460" s="208">
        <f t="shared" si="0"/>
        <v>0</v>
      </c>
      <c r="N460" s="400"/>
      <c r="O460" s="400"/>
      <c r="P460" s="402"/>
      <c r="Q460" s="402"/>
      <c r="R460" s="402"/>
      <c r="S460" s="402"/>
      <c r="T460" s="403">
        <f t="shared" si="1"/>
        <v>0</v>
      </c>
      <c r="U460" s="209"/>
      <c r="V460" s="400"/>
      <c r="W460" s="400"/>
      <c r="X460" s="203"/>
      <c r="Y460" s="203"/>
      <c r="Z460" s="203"/>
    </row>
    <row r="461" spans="1:26" ht="25.5" customHeight="1">
      <c r="A461" s="206"/>
      <c r="B461" s="207"/>
      <c r="C461" s="206"/>
      <c r="D461" s="207"/>
      <c r="E461" s="207"/>
      <c r="F461" s="207"/>
      <c r="G461" s="400"/>
      <c r="H461" s="400"/>
      <c r="I461" s="400"/>
      <c r="J461" s="400"/>
      <c r="K461" s="401"/>
      <c r="L461" s="401"/>
      <c r="M461" s="208">
        <f t="shared" si="0"/>
        <v>0</v>
      </c>
      <c r="N461" s="400"/>
      <c r="O461" s="400"/>
      <c r="P461" s="402"/>
      <c r="Q461" s="402"/>
      <c r="R461" s="402"/>
      <c r="S461" s="402"/>
      <c r="T461" s="403">
        <f t="shared" si="1"/>
        <v>0</v>
      </c>
      <c r="U461" s="209"/>
      <c r="V461" s="400"/>
      <c r="W461" s="400"/>
      <c r="X461" s="203"/>
      <c r="Y461" s="203"/>
      <c r="Z461" s="203"/>
    </row>
    <row r="462" spans="1:26" ht="25.5" customHeight="1">
      <c r="A462" s="206"/>
      <c r="B462" s="207"/>
      <c r="C462" s="206"/>
      <c r="D462" s="207"/>
      <c r="E462" s="207"/>
      <c r="F462" s="207"/>
      <c r="G462" s="400"/>
      <c r="H462" s="400"/>
      <c r="I462" s="400"/>
      <c r="J462" s="400"/>
      <c r="K462" s="401"/>
      <c r="L462" s="401"/>
      <c r="M462" s="208">
        <f t="shared" si="0"/>
        <v>0</v>
      </c>
      <c r="N462" s="400"/>
      <c r="O462" s="400"/>
      <c r="P462" s="402"/>
      <c r="Q462" s="402"/>
      <c r="R462" s="402"/>
      <c r="S462" s="402"/>
      <c r="T462" s="403">
        <f t="shared" si="1"/>
        <v>0</v>
      </c>
      <c r="U462" s="209"/>
      <c r="V462" s="400"/>
      <c r="W462" s="400"/>
      <c r="X462" s="203"/>
      <c r="Y462" s="203"/>
      <c r="Z462" s="203"/>
    </row>
    <row r="463" spans="1:26" ht="25.5" customHeight="1">
      <c r="A463" s="206"/>
      <c r="B463" s="207"/>
      <c r="C463" s="206"/>
      <c r="D463" s="207"/>
      <c r="E463" s="207"/>
      <c r="F463" s="207"/>
      <c r="G463" s="400"/>
      <c r="H463" s="400"/>
      <c r="I463" s="400"/>
      <c r="J463" s="400"/>
      <c r="K463" s="401"/>
      <c r="L463" s="401"/>
      <c r="M463" s="208">
        <f t="shared" si="0"/>
        <v>0</v>
      </c>
      <c r="N463" s="400"/>
      <c r="O463" s="400"/>
      <c r="P463" s="402"/>
      <c r="Q463" s="402"/>
      <c r="R463" s="402"/>
      <c r="S463" s="402"/>
      <c r="T463" s="403">
        <f t="shared" si="1"/>
        <v>0</v>
      </c>
      <c r="U463" s="209"/>
      <c r="V463" s="400"/>
      <c r="W463" s="400"/>
      <c r="X463" s="203"/>
      <c r="Y463" s="203"/>
      <c r="Z463" s="203"/>
    </row>
    <row r="464" spans="1:26" ht="25.5" customHeight="1">
      <c r="A464" s="206"/>
      <c r="B464" s="207"/>
      <c r="C464" s="206"/>
      <c r="D464" s="207"/>
      <c r="E464" s="207"/>
      <c r="F464" s="207"/>
      <c r="G464" s="400"/>
      <c r="H464" s="400"/>
      <c r="I464" s="400"/>
      <c r="J464" s="400"/>
      <c r="K464" s="401"/>
      <c r="L464" s="401"/>
      <c r="M464" s="208">
        <f t="shared" si="0"/>
        <v>0</v>
      </c>
      <c r="N464" s="400"/>
      <c r="O464" s="400"/>
      <c r="P464" s="402"/>
      <c r="Q464" s="402"/>
      <c r="R464" s="402"/>
      <c r="S464" s="402"/>
      <c r="T464" s="403">
        <f t="shared" si="1"/>
        <v>0</v>
      </c>
      <c r="U464" s="209"/>
      <c r="V464" s="400"/>
      <c r="W464" s="400"/>
      <c r="X464" s="203"/>
      <c r="Y464" s="203"/>
      <c r="Z464" s="203"/>
    </row>
    <row r="465" spans="1:26" ht="25.5" customHeight="1">
      <c r="A465" s="206"/>
      <c r="B465" s="207"/>
      <c r="C465" s="206"/>
      <c r="D465" s="207"/>
      <c r="E465" s="207"/>
      <c r="F465" s="207"/>
      <c r="G465" s="400"/>
      <c r="H465" s="400"/>
      <c r="I465" s="400"/>
      <c r="J465" s="400"/>
      <c r="K465" s="401"/>
      <c r="L465" s="401"/>
      <c r="M465" s="208">
        <f t="shared" si="0"/>
        <v>0</v>
      </c>
      <c r="N465" s="400"/>
      <c r="O465" s="400"/>
      <c r="P465" s="402"/>
      <c r="Q465" s="402"/>
      <c r="R465" s="402"/>
      <c r="S465" s="402"/>
      <c r="T465" s="403">
        <f t="shared" si="1"/>
        <v>0</v>
      </c>
      <c r="U465" s="209"/>
      <c r="V465" s="400"/>
      <c r="W465" s="400"/>
      <c r="X465" s="203"/>
      <c r="Y465" s="203"/>
      <c r="Z465" s="203"/>
    </row>
    <row r="466" spans="1:26" ht="25.5" customHeight="1">
      <c r="A466" s="206"/>
      <c r="B466" s="207"/>
      <c r="C466" s="206"/>
      <c r="D466" s="207"/>
      <c r="E466" s="207"/>
      <c r="F466" s="207"/>
      <c r="G466" s="400"/>
      <c r="H466" s="400"/>
      <c r="I466" s="400"/>
      <c r="J466" s="400"/>
      <c r="K466" s="401"/>
      <c r="L466" s="401"/>
      <c r="M466" s="208">
        <f t="shared" si="0"/>
        <v>0</v>
      </c>
      <c r="N466" s="400"/>
      <c r="O466" s="400"/>
      <c r="P466" s="402"/>
      <c r="Q466" s="402"/>
      <c r="R466" s="402"/>
      <c r="S466" s="402"/>
      <c r="T466" s="403">
        <f t="shared" si="1"/>
        <v>0</v>
      </c>
      <c r="U466" s="209"/>
      <c r="V466" s="400"/>
      <c r="W466" s="400"/>
      <c r="X466" s="203"/>
      <c r="Y466" s="203"/>
      <c r="Z466" s="203"/>
    </row>
    <row r="467" spans="1:26" ht="25.5" customHeight="1">
      <c r="A467" s="206"/>
      <c r="B467" s="207"/>
      <c r="C467" s="206"/>
      <c r="D467" s="207"/>
      <c r="E467" s="207"/>
      <c r="F467" s="207"/>
      <c r="G467" s="400"/>
      <c r="H467" s="400"/>
      <c r="I467" s="400"/>
      <c r="J467" s="400"/>
      <c r="K467" s="401"/>
      <c r="L467" s="401"/>
      <c r="M467" s="208">
        <f t="shared" si="0"/>
        <v>0</v>
      </c>
      <c r="N467" s="400"/>
      <c r="O467" s="400"/>
      <c r="P467" s="402"/>
      <c r="Q467" s="402"/>
      <c r="R467" s="402"/>
      <c r="S467" s="402"/>
      <c r="T467" s="403">
        <f t="shared" si="1"/>
        <v>0</v>
      </c>
      <c r="U467" s="209"/>
      <c r="V467" s="400"/>
      <c r="W467" s="400"/>
      <c r="X467" s="203"/>
      <c r="Y467" s="203"/>
      <c r="Z467" s="203"/>
    </row>
    <row r="468" spans="1:26" ht="25.5" customHeight="1">
      <c r="A468" s="206"/>
      <c r="B468" s="207"/>
      <c r="C468" s="206"/>
      <c r="D468" s="207"/>
      <c r="E468" s="207"/>
      <c r="F468" s="207"/>
      <c r="G468" s="400"/>
      <c r="H468" s="400"/>
      <c r="I468" s="400"/>
      <c r="J468" s="400"/>
      <c r="K468" s="401"/>
      <c r="L468" s="401"/>
      <c r="M468" s="208">
        <f t="shared" si="0"/>
        <v>0</v>
      </c>
      <c r="N468" s="400"/>
      <c r="O468" s="400"/>
      <c r="P468" s="402"/>
      <c r="Q468" s="402"/>
      <c r="R468" s="402"/>
      <c r="S468" s="402"/>
      <c r="T468" s="403">
        <f t="shared" si="1"/>
        <v>0</v>
      </c>
      <c r="U468" s="209"/>
      <c r="V468" s="400"/>
      <c r="W468" s="400"/>
      <c r="X468" s="203"/>
      <c r="Y468" s="203"/>
      <c r="Z468" s="203"/>
    </row>
    <row r="469" spans="1:26" ht="25.5" customHeight="1">
      <c r="A469" s="206"/>
      <c r="B469" s="207"/>
      <c r="C469" s="206"/>
      <c r="D469" s="207"/>
      <c r="E469" s="207"/>
      <c r="F469" s="207"/>
      <c r="G469" s="400"/>
      <c r="H469" s="400"/>
      <c r="I469" s="400"/>
      <c r="J469" s="400"/>
      <c r="K469" s="401"/>
      <c r="L469" s="401"/>
      <c r="M469" s="208">
        <f t="shared" si="0"/>
        <v>0</v>
      </c>
      <c r="N469" s="400"/>
      <c r="O469" s="400"/>
      <c r="P469" s="402"/>
      <c r="Q469" s="402"/>
      <c r="R469" s="402"/>
      <c r="S469" s="402"/>
      <c r="T469" s="403">
        <f t="shared" si="1"/>
        <v>0</v>
      </c>
      <c r="U469" s="209"/>
      <c r="V469" s="400"/>
      <c r="W469" s="400"/>
      <c r="X469" s="203"/>
      <c r="Y469" s="203"/>
      <c r="Z469" s="203"/>
    </row>
    <row r="470" spans="1:26" ht="25.5" customHeight="1">
      <c r="A470" s="206"/>
      <c r="B470" s="207"/>
      <c r="C470" s="206"/>
      <c r="D470" s="207"/>
      <c r="E470" s="207"/>
      <c r="F470" s="207"/>
      <c r="G470" s="400"/>
      <c r="H470" s="400"/>
      <c r="I470" s="400"/>
      <c r="J470" s="400"/>
      <c r="K470" s="401"/>
      <c r="L470" s="401"/>
      <c r="M470" s="208">
        <f t="shared" si="0"/>
        <v>0</v>
      </c>
      <c r="N470" s="400"/>
      <c r="O470" s="400"/>
      <c r="P470" s="402"/>
      <c r="Q470" s="402"/>
      <c r="R470" s="402"/>
      <c r="S470" s="402"/>
      <c r="T470" s="403">
        <f t="shared" si="1"/>
        <v>0</v>
      </c>
      <c r="U470" s="209"/>
      <c r="V470" s="400"/>
      <c r="W470" s="400"/>
      <c r="X470" s="203"/>
      <c r="Y470" s="203"/>
      <c r="Z470" s="203"/>
    </row>
    <row r="471" spans="1:26" ht="25.5" customHeight="1">
      <c r="A471" s="206"/>
      <c r="B471" s="207"/>
      <c r="C471" s="206"/>
      <c r="D471" s="207"/>
      <c r="E471" s="207"/>
      <c r="F471" s="207"/>
      <c r="G471" s="400"/>
      <c r="H471" s="400"/>
      <c r="I471" s="400"/>
      <c r="J471" s="400"/>
      <c r="K471" s="401"/>
      <c r="L471" s="401"/>
      <c r="M471" s="208">
        <f t="shared" si="0"/>
        <v>0</v>
      </c>
      <c r="N471" s="400"/>
      <c r="O471" s="400"/>
      <c r="P471" s="402"/>
      <c r="Q471" s="402"/>
      <c r="R471" s="402"/>
      <c r="S471" s="402"/>
      <c r="T471" s="403">
        <f t="shared" si="1"/>
        <v>0</v>
      </c>
      <c r="U471" s="209"/>
      <c r="V471" s="400"/>
      <c r="W471" s="400"/>
      <c r="X471" s="203"/>
      <c r="Y471" s="203"/>
      <c r="Z471" s="203"/>
    </row>
    <row r="472" spans="1:26" ht="25.5" customHeight="1">
      <c r="A472" s="206"/>
      <c r="B472" s="207"/>
      <c r="C472" s="206"/>
      <c r="D472" s="207"/>
      <c r="E472" s="207"/>
      <c r="F472" s="207"/>
      <c r="G472" s="400"/>
      <c r="H472" s="400"/>
      <c r="I472" s="400"/>
      <c r="J472" s="400"/>
      <c r="K472" s="401"/>
      <c r="L472" s="401"/>
      <c r="M472" s="208">
        <f t="shared" si="0"/>
        <v>0</v>
      </c>
      <c r="N472" s="400"/>
      <c r="O472" s="400"/>
      <c r="P472" s="402"/>
      <c r="Q472" s="402"/>
      <c r="R472" s="402"/>
      <c r="S472" s="402"/>
      <c r="T472" s="403">
        <f t="shared" si="1"/>
        <v>0</v>
      </c>
      <c r="U472" s="209"/>
      <c r="V472" s="400"/>
      <c r="W472" s="400"/>
      <c r="X472" s="203"/>
      <c r="Y472" s="203"/>
      <c r="Z472" s="203"/>
    </row>
    <row r="473" spans="1:26" ht="25.5" customHeight="1">
      <c r="A473" s="206"/>
      <c r="B473" s="207"/>
      <c r="C473" s="206"/>
      <c r="D473" s="207"/>
      <c r="E473" s="207"/>
      <c r="F473" s="207"/>
      <c r="G473" s="400"/>
      <c r="H473" s="400"/>
      <c r="I473" s="400"/>
      <c r="J473" s="400"/>
      <c r="K473" s="401"/>
      <c r="L473" s="401"/>
      <c r="M473" s="208">
        <f t="shared" si="0"/>
        <v>0</v>
      </c>
      <c r="N473" s="400"/>
      <c r="O473" s="400"/>
      <c r="P473" s="402"/>
      <c r="Q473" s="402"/>
      <c r="R473" s="402"/>
      <c r="S473" s="402"/>
      <c r="T473" s="403">
        <f t="shared" si="1"/>
        <v>0</v>
      </c>
      <c r="U473" s="209"/>
      <c r="V473" s="400"/>
      <c r="W473" s="400"/>
      <c r="X473" s="203"/>
      <c r="Y473" s="203"/>
      <c r="Z473" s="203"/>
    </row>
    <row r="474" spans="1:26" ht="25.5" customHeight="1">
      <c r="A474" s="206"/>
      <c r="B474" s="207"/>
      <c r="C474" s="206"/>
      <c r="D474" s="207"/>
      <c r="E474" s="207"/>
      <c r="F474" s="207"/>
      <c r="G474" s="400"/>
      <c r="H474" s="400"/>
      <c r="I474" s="400"/>
      <c r="J474" s="400"/>
      <c r="K474" s="401"/>
      <c r="L474" s="401"/>
      <c r="M474" s="208">
        <f t="shared" si="0"/>
        <v>0</v>
      </c>
      <c r="N474" s="400"/>
      <c r="O474" s="400"/>
      <c r="P474" s="402"/>
      <c r="Q474" s="402"/>
      <c r="R474" s="402"/>
      <c r="S474" s="402"/>
      <c r="T474" s="403">
        <f t="shared" si="1"/>
        <v>0</v>
      </c>
      <c r="U474" s="209"/>
      <c r="V474" s="400"/>
      <c r="W474" s="400"/>
      <c r="X474" s="203"/>
      <c r="Y474" s="203"/>
      <c r="Z474" s="203"/>
    </row>
    <row r="475" spans="1:26" ht="25.5" customHeight="1">
      <c r="A475" s="206"/>
      <c r="B475" s="207"/>
      <c r="C475" s="206"/>
      <c r="D475" s="207"/>
      <c r="E475" s="207"/>
      <c r="F475" s="207"/>
      <c r="G475" s="400"/>
      <c r="H475" s="400"/>
      <c r="I475" s="400"/>
      <c r="J475" s="400"/>
      <c r="K475" s="401"/>
      <c r="L475" s="401"/>
      <c r="M475" s="208">
        <f t="shared" si="0"/>
        <v>0</v>
      </c>
      <c r="N475" s="400"/>
      <c r="O475" s="400"/>
      <c r="P475" s="402"/>
      <c r="Q475" s="402"/>
      <c r="R475" s="402"/>
      <c r="S475" s="402"/>
      <c r="T475" s="403">
        <f t="shared" si="1"/>
        <v>0</v>
      </c>
      <c r="U475" s="209"/>
      <c r="V475" s="400"/>
      <c r="W475" s="400"/>
      <c r="X475" s="203"/>
      <c r="Y475" s="203"/>
      <c r="Z475" s="203"/>
    </row>
    <row r="476" spans="1:26" ht="25.5" customHeight="1">
      <c r="A476" s="206"/>
      <c r="B476" s="207"/>
      <c r="C476" s="206"/>
      <c r="D476" s="207"/>
      <c r="E476" s="207"/>
      <c r="F476" s="207"/>
      <c r="G476" s="400"/>
      <c r="H476" s="400"/>
      <c r="I476" s="400"/>
      <c r="J476" s="400"/>
      <c r="K476" s="401"/>
      <c r="L476" s="401"/>
      <c r="M476" s="208">
        <f t="shared" si="0"/>
        <v>0</v>
      </c>
      <c r="N476" s="400"/>
      <c r="O476" s="400"/>
      <c r="P476" s="402"/>
      <c r="Q476" s="402"/>
      <c r="R476" s="402"/>
      <c r="S476" s="402"/>
      <c r="T476" s="403">
        <f t="shared" si="1"/>
        <v>0</v>
      </c>
      <c r="U476" s="209"/>
      <c r="V476" s="400"/>
      <c r="W476" s="400"/>
      <c r="X476" s="203"/>
      <c r="Y476" s="203"/>
      <c r="Z476" s="203"/>
    </row>
    <row r="477" spans="1:26" ht="25.5" customHeight="1">
      <c r="A477" s="206"/>
      <c r="B477" s="207"/>
      <c r="C477" s="206"/>
      <c r="D477" s="207"/>
      <c r="E477" s="207"/>
      <c r="F477" s="207"/>
      <c r="G477" s="400"/>
      <c r="H477" s="400"/>
      <c r="I477" s="400"/>
      <c r="J477" s="400"/>
      <c r="K477" s="401"/>
      <c r="L477" s="401"/>
      <c r="M477" s="208">
        <f t="shared" si="0"/>
        <v>0</v>
      </c>
      <c r="N477" s="400"/>
      <c r="O477" s="400"/>
      <c r="P477" s="402"/>
      <c r="Q477" s="402"/>
      <c r="R477" s="402"/>
      <c r="S477" s="402"/>
      <c r="T477" s="403">
        <f t="shared" si="1"/>
        <v>0</v>
      </c>
      <c r="U477" s="209"/>
      <c r="V477" s="400"/>
      <c r="W477" s="400"/>
      <c r="X477" s="203"/>
      <c r="Y477" s="203"/>
      <c r="Z477" s="203"/>
    </row>
    <row r="478" spans="1:26" ht="25.5" customHeight="1">
      <c r="A478" s="206"/>
      <c r="B478" s="207"/>
      <c r="C478" s="206"/>
      <c r="D478" s="207"/>
      <c r="E478" s="207"/>
      <c r="F478" s="207"/>
      <c r="G478" s="400"/>
      <c r="H478" s="400"/>
      <c r="I478" s="400"/>
      <c r="J478" s="400"/>
      <c r="K478" s="401"/>
      <c r="L478" s="401"/>
      <c r="M478" s="208">
        <f t="shared" si="0"/>
        <v>0</v>
      </c>
      <c r="N478" s="400"/>
      <c r="O478" s="400"/>
      <c r="P478" s="402"/>
      <c r="Q478" s="402"/>
      <c r="R478" s="402"/>
      <c r="S478" s="402"/>
      <c r="T478" s="403">
        <f t="shared" si="1"/>
        <v>0</v>
      </c>
      <c r="U478" s="209"/>
      <c r="V478" s="400"/>
      <c r="W478" s="400"/>
      <c r="X478" s="203"/>
      <c r="Y478" s="203"/>
      <c r="Z478" s="203"/>
    </row>
    <row r="479" spans="1:26" ht="25.5" customHeight="1">
      <c r="A479" s="206"/>
      <c r="B479" s="207"/>
      <c r="C479" s="206"/>
      <c r="D479" s="207"/>
      <c r="E479" s="207"/>
      <c r="F479" s="207"/>
      <c r="G479" s="400"/>
      <c r="H479" s="400"/>
      <c r="I479" s="400"/>
      <c r="J479" s="400"/>
      <c r="K479" s="401"/>
      <c r="L479" s="401"/>
      <c r="M479" s="208">
        <f t="shared" si="0"/>
        <v>0</v>
      </c>
      <c r="N479" s="400"/>
      <c r="O479" s="400"/>
      <c r="P479" s="402"/>
      <c r="Q479" s="402"/>
      <c r="R479" s="402"/>
      <c r="S479" s="402"/>
      <c r="T479" s="403">
        <f t="shared" si="1"/>
        <v>0</v>
      </c>
      <c r="U479" s="209"/>
      <c r="V479" s="400"/>
      <c r="W479" s="400"/>
      <c r="X479" s="203"/>
      <c r="Y479" s="203"/>
      <c r="Z479" s="203"/>
    </row>
    <row r="480" spans="1:26" ht="25.5" customHeight="1">
      <c r="A480" s="206"/>
      <c r="B480" s="207"/>
      <c r="C480" s="206"/>
      <c r="D480" s="207"/>
      <c r="E480" s="207"/>
      <c r="F480" s="207"/>
      <c r="G480" s="400"/>
      <c r="H480" s="400"/>
      <c r="I480" s="400"/>
      <c r="J480" s="400"/>
      <c r="K480" s="401"/>
      <c r="L480" s="401"/>
      <c r="M480" s="208">
        <f t="shared" si="0"/>
        <v>0</v>
      </c>
      <c r="N480" s="400"/>
      <c r="O480" s="400"/>
      <c r="P480" s="402"/>
      <c r="Q480" s="402"/>
      <c r="R480" s="402"/>
      <c r="S480" s="402"/>
      <c r="T480" s="403">
        <f t="shared" si="1"/>
        <v>0</v>
      </c>
      <c r="U480" s="209"/>
      <c r="V480" s="400"/>
      <c r="W480" s="400"/>
      <c r="X480" s="203"/>
      <c r="Y480" s="203"/>
      <c r="Z480" s="203"/>
    </row>
    <row r="481" spans="1:26" ht="25.5" customHeight="1">
      <c r="A481" s="206"/>
      <c r="B481" s="207"/>
      <c r="C481" s="206"/>
      <c r="D481" s="207"/>
      <c r="E481" s="207"/>
      <c r="F481" s="207"/>
      <c r="G481" s="400"/>
      <c r="H481" s="400"/>
      <c r="I481" s="400"/>
      <c r="J481" s="400"/>
      <c r="K481" s="401"/>
      <c r="L481" s="401"/>
      <c r="M481" s="208">
        <f t="shared" si="0"/>
        <v>0</v>
      </c>
      <c r="N481" s="400"/>
      <c r="O481" s="400"/>
      <c r="P481" s="402"/>
      <c r="Q481" s="402"/>
      <c r="R481" s="402"/>
      <c r="S481" s="402"/>
      <c r="T481" s="403">
        <f t="shared" si="1"/>
        <v>0</v>
      </c>
      <c r="U481" s="209"/>
      <c r="V481" s="400"/>
      <c r="W481" s="400"/>
      <c r="X481" s="203"/>
      <c r="Y481" s="203"/>
      <c r="Z481" s="203"/>
    </row>
    <row r="482" spans="1:26" ht="25.5" customHeight="1">
      <c r="A482" s="206"/>
      <c r="B482" s="207"/>
      <c r="C482" s="206"/>
      <c r="D482" s="207"/>
      <c r="E482" s="207"/>
      <c r="F482" s="207"/>
      <c r="G482" s="400"/>
      <c r="H482" s="400"/>
      <c r="I482" s="400"/>
      <c r="J482" s="400"/>
      <c r="K482" s="401"/>
      <c r="L482" s="401"/>
      <c r="M482" s="208">
        <f t="shared" si="0"/>
        <v>0</v>
      </c>
      <c r="N482" s="400"/>
      <c r="O482" s="400"/>
      <c r="P482" s="402"/>
      <c r="Q482" s="402"/>
      <c r="R482" s="402"/>
      <c r="S482" s="402"/>
      <c r="T482" s="403">
        <f t="shared" si="1"/>
        <v>0</v>
      </c>
      <c r="U482" s="209"/>
      <c r="V482" s="400"/>
      <c r="W482" s="400"/>
      <c r="X482" s="203"/>
      <c r="Y482" s="203"/>
      <c r="Z482" s="203"/>
    </row>
    <row r="483" spans="1:26" ht="25.5" customHeight="1">
      <c r="A483" s="206"/>
      <c r="B483" s="207"/>
      <c r="C483" s="206"/>
      <c r="D483" s="207"/>
      <c r="E483" s="207"/>
      <c r="F483" s="207"/>
      <c r="G483" s="400"/>
      <c r="H483" s="400"/>
      <c r="I483" s="400"/>
      <c r="J483" s="400"/>
      <c r="K483" s="401"/>
      <c r="L483" s="401"/>
      <c r="M483" s="208">
        <f t="shared" si="0"/>
        <v>0</v>
      </c>
      <c r="N483" s="400"/>
      <c r="O483" s="400"/>
      <c r="P483" s="402"/>
      <c r="Q483" s="402"/>
      <c r="R483" s="402"/>
      <c r="S483" s="402"/>
      <c r="T483" s="403">
        <f t="shared" si="1"/>
        <v>0</v>
      </c>
      <c r="U483" s="209"/>
      <c r="V483" s="400"/>
      <c r="W483" s="400"/>
      <c r="X483" s="203"/>
      <c r="Y483" s="203"/>
      <c r="Z483" s="203"/>
    </row>
    <row r="484" spans="1:26" ht="25.5" customHeight="1">
      <c r="A484" s="206"/>
      <c r="B484" s="207"/>
      <c r="C484" s="206"/>
      <c r="D484" s="207"/>
      <c r="E484" s="207"/>
      <c r="F484" s="207"/>
      <c r="G484" s="400"/>
      <c r="H484" s="400"/>
      <c r="I484" s="400"/>
      <c r="J484" s="400"/>
      <c r="K484" s="401"/>
      <c r="L484" s="401"/>
      <c r="M484" s="208">
        <f t="shared" si="0"/>
        <v>0</v>
      </c>
      <c r="N484" s="400"/>
      <c r="O484" s="400"/>
      <c r="P484" s="402"/>
      <c r="Q484" s="402"/>
      <c r="R484" s="402"/>
      <c r="S484" s="402"/>
      <c r="T484" s="403">
        <f t="shared" si="1"/>
        <v>0</v>
      </c>
      <c r="U484" s="209"/>
      <c r="V484" s="400"/>
      <c r="W484" s="400"/>
      <c r="X484" s="203"/>
      <c r="Y484" s="203"/>
      <c r="Z484" s="203"/>
    </row>
    <row r="485" spans="1:26" ht="25.5" customHeight="1">
      <c r="A485" s="206"/>
      <c r="B485" s="207"/>
      <c r="C485" s="206"/>
      <c r="D485" s="207"/>
      <c r="E485" s="207"/>
      <c r="F485" s="207"/>
      <c r="G485" s="400"/>
      <c r="H485" s="400"/>
      <c r="I485" s="400"/>
      <c r="J485" s="400"/>
      <c r="K485" s="401"/>
      <c r="L485" s="401"/>
      <c r="M485" s="208">
        <f t="shared" si="0"/>
        <v>0</v>
      </c>
      <c r="N485" s="400"/>
      <c r="O485" s="400"/>
      <c r="P485" s="402"/>
      <c r="Q485" s="402"/>
      <c r="R485" s="402"/>
      <c r="S485" s="402"/>
      <c r="T485" s="403">
        <f t="shared" si="1"/>
        <v>0</v>
      </c>
      <c r="U485" s="209"/>
      <c r="V485" s="400"/>
      <c r="W485" s="400"/>
      <c r="X485" s="203"/>
      <c r="Y485" s="203"/>
      <c r="Z485" s="203"/>
    </row>
    <row r="486" spans="1:26" ht="25.5" customHeight="1">
      <c r="A486" s="206"/>
      <c r="B486" s="207"/>
      <c r="C486" s="206"/>
      <c r="D486" s="207"/>
      <c r="E486" s="207"/>
      <c r="F486" s="207"/>
      <c r="G486" s="400"/>
      <c r="H486" s="400"/>
      <c r="I486" s="400"/>
      <c r="J486" s="400"/>
      <c r="K486" s="401"/>
      <c r="L486" s="401"/>
      <c r="M486" s="208">
        <f t="shared" si="0"/>
        <v>0</v>
      </c>
      <c r="N486" s="400"/>
      <c r="O486" s="400"/>
      <c r="P486" s="402"/>
      <c r="Q486" s="402"/>
      <c r="R486" s="402"/>
      <c r="S486" s="402"/>
      <c r="T486" s="403">
        <f t="shared" si="1"/>
        <v>0</v>
      </c>
      <c r="U486" s="209"/>
      <c r="V486" s="400"/>
      <c r="W486" s="400"/>
      <c r="X486" s="203"/>
      <c r="Y486" s="203"/>
      <c r="Z486" s="203"/>
    </row>
    <row r="487" spans="1:26" ht="25.5" customHeight="1">
      <c r="A487" s="206"/>
      <c r="B487" s="207"/>
      <c r="C487" s="206"/>
      <c r="D487" s="207"/>
      <c r="E487" s="207"/>
      <c r="F487" s="207"/>
      <c r="G487" s="400"/>
      <c r="H487" s="400"/>
      <c r="I487" s="400"/>
      <c r="J487" s="400"/>
      <c r="K487" s="401"/>
      <c r="L487" s="401"/>
      <c r="M487" s="208">
        <f t="shared" si="0"/>
        <v>0</v>
      </c>
      <c r="N487" s="400"/>
      <c r="O487" s="400"/>
      <c r="P487" s="402"/>
      <c r="Q487" s="402"/>
      <c r="R487" s="402"/>
      <c r="S487" s="402"/>
      <c r="T487" s="403">
        <f t="shared" si="1"/>
        <v>0</v>
      </c>
      <c r="U487" s="209"/>
      <c r="V487" s="400"/>
      <c r="W487" s="400"/>
      <c r="X487" s="203"/>
      <c r="Y487" s="203"/>
      <c r="Z487" s="203"/>
    </row>
    <row r="488" spans="1:26" ht="25.5" customHeight="1">
      <c r="A488" s="206"/>
      <c r="B488" s="207"/>
      <c r="C488" s="206"/>
      <c r="D488" s="207"/>
      <c r="E488" s="207"/>
      <c r="F488" s="207"/>
      <c r="G488" s="400"/>
      <c r="H488" s="400"/>
      <c r="I488" s="400"/>
      <c r="J488" s="400"/>
      <c r="K488" s="401"/>
      <c r="L488" s="401"/>
      <c r="M488" s="208">
        <f t="shared" si="0"/>
        <v>0</v>
      </c>
      <c r="N488" s="400"/>
      <c r="O488" s="400"/>
      <c r="P488" s="402"/>
      <c r="Q488" s="402"/>
      <c r="R488" s="402"/>
      <c r="S488" s="402"/>
      <c r="T488" s="403">
        <f t="shared" si="1"/>
        <v>0</v>
      </c>
      <c r="U488" s="209"/>
      <c r="V488" s="400"/>
      <c r="W488" s="400"/>
      <c r="X488" s="203"/>
      <c r="Y488" s="203"/>
      <c r="Z488" s="203"/>
    </row>
    <row r="489" spans="1:26" ht="25.5" customHeight="1">
      <c r="A489" s="206"/>
      <c r="B489" s="207"/>
      <c r="C489" s="206"/>
      <c r="D489" s="207"/>
      <c r="E489" s="207"/>
      <c r="F489" s="207"/>
      <c r="G489" s="400"/>
      <c r="H489" s="400"/>
      <c r="I489" s="400"/>
      <c r="J489" s="400"/>
      <c r="K489" s="401"/>
      <c r="L489" s="401"/>
      <c r="M489" s="208">
        <f t="shared" si="0"/>
        <v>0</v>
      </c>
      <c r="N489" s="400"/>
      <c r="O489" s="400"/>
      <c r="P489" s="402"/>
      <c r="Q489" s="402"/>
      <c r="R489" s="402"/>
      <c r="S489" s="402"/>
      <c r="T489" s="403">
        <f t="shared" si="1"/>
        <v>0</v>
      </c>
      <c r="U489" s="209"/>
      <c r="V489" s="400"/>
      <c r="W489" s="400"/>
      <c r="X489" s="203"/>
      <c r="Y489" s="203"/>
      <c r="Z489" s="203"/>
    </row>
    <row r="490" spans="1:26" ht="25.5" customHeight="1">
      <c r="A490" s="206"/>
      <c r="B490" s="207"/>
      <c r="C490" s="206"/>
      <c r="D490" s="207"/>
      <c r="E490" s="207"/>
      <c r="F490" s="207"/>
      <c r="G490" s="400"/>
      <c r="H490" s="400"/>
      <c r="I490" s="400"/>
      <c r="J490" s="400"/>
      <c r="K490" s="401"/>
      <c r="L490" s="401"/>
      <c r="M490" s="208">
        <f t="shared" si="0"/>
        <v>0</v>
      </c>
      <c r="N490" s="400"/>
      <c r="O490" s="400"/>
      <c r="P490" s="402"/>
      <c r="Q490" s="402"/>
      <c r="R490" s="402"/>
      <c r="S490" s="402"/>
      <c r="T490" s="403">
        <f t="shared" si="1"/>
        <v>0</v>
      </c>
      <c r="U490" s="209"/>
      <c r="V490" s="400"/>
      <c r="W490" s="400"/>
      <c r="X490" s="203"/>
      <c r="Y490" s="203"/>
      <c r="Z490" s="203"/>
    </row>
    <row r="491" spans="1:26" ht="25.5" customHeight="1">
      <c r="A491" s="206"/>
      <c r="B491" s="207"/>
      <c r="C491" s="206"/>
      <c r="D491" s="207"/>
      <c r="E491" s="207"/>
      <c r="F491" s="207"/>
      <c r="G491" s="400"/>
      <c r="H491" s="400"/>
      <c r="I491" s="400"/>
      <c r="J491" s="400"/>
      <c r="K491" s="401"/>
      <c r="L491" s="401"/>
      <c r="M491" s="208">
        <f t="shared" si="0"/>
        <v>0</v>
      </c>
      <c r="N491" s="400"/>
      <c r="O491" s="400"/>
      <c r="P491" s="402"/>
      <c r="Q491" s="402"/>
      <c r="R491" s="402"/>
      <c r="S491" s="402"/>
      <c r="T491" s="403">
        <f t="shared" si="1"/>
        <v>0</v>
      </c>
      <c r="U491" s="209"/>
      <c r="V491" s="400"/>
      <c r="W491" s="400"/>
      <c r="X491" s="203"/>
      <c r="Y491" s="203"/>
      <c r="Z491" s="203"/>
    </row>
    <row r="492" spans="1:26" ht="25.5" customHeight="1">
      <c r="A492" s="206"/>
      <c r="B492" s="207"/>
      <c r="C492" s="206"/>
      <c r="D492" s="207"/>
      <c r="E492" s="207"/>
      <c r="F492" s="207"/>
      <c r="G492" s="400"/>
      <c r="H492" s="400"/>
      <c r="I492" s="400"/>
      <c r="J492" s="400"/>
      <c r="K492" s="401"/>
      <c r="L492" s="401"/>
      <c r="M492" s="208">
        <f t="shared" si="0"/>
        <v>0</v>
      </c>
      <c r="N492" s="400"/>
      <c r="O492" s="400"/>
      <c r="P492" s="402"/>
      <c r="Q492" s="402"/>
      <c r="R492" s="402"/>
      <c r="S492" s="402"/>
      <c r="T492" s="403">
        <f t="shared" si="1"/>
        <v>0</v>
      </c>
      <c r="U492" s="209"/>
      <c r="V492" s="400"/>
      <c r="W492" s="400"/>
      <c r="X492" s="203"/>
      <c r="Y492" s="203"/>
      <c r="Z492" s="203"/>
    </row>
    <row r="493" spans="1:26" ht="25.5" customHeight="1">
      <c r="A493" s="206"/>
      <c r="B493" s="207"/>
      <c r="C493" s="206"/>
      <c r="D493" s="207"/>
      <c r="E493" s="207"/>
      <c r="F493" s="207"/>
      <c r="G493" s="400"/>
      <c r="H493" s="400"/>
      <c r="I493" s="400"/>
      <c r="J493" s="400"/>
      <c r="K493" s="401"/>
      <c r="L493" s="401"/>
      <c r="M493" s="208">
        <f t="shared" si="0"/>
        <v>0</v>
      </c>
      <c r="N493" s="400"/>
      <c r="O493" s="400"/>
      <c r="P493" s="402"/>
      <c r="Q493" s="402"/>
      <c r="R493" s="402"/>
      <c r="S493" s="402"/>
      <c r="T493" s="403">
        <f t="shared" si="1"/>
        <v>0</v>
      </c>
      <c r="U493" s="209"/>
      <c r="V493" s="400"/>
      <c r="W493" s="400"/>
      <c r="X493" s="203"/>
      <c r="Y493" s="203"/>
      <c r="Z493" s="203"/>
    </row>
    <row r="494" spans="1:26" ht="25.5" customHeight="1">
      <c r="A494" s="206"/>
      <c r="B494" s="207"/>
      <c r="C494" s="206"/>
      <c r="D494" s="207"/>
      <c r="E494" s="207"/>
      <c r="F494" s="207"/>
      <c r="G494" s="400"/>
      <c r="H494" s="400"/>
      <c r="I494" s="400"/>
      <c r="J494" s="400"/>
      <c r="K494" s="401"/>
      <c r="L494" s="401"/>
      <c r="M494" s="208">
        <f t="shared" si="0"/>
        <v>0</v>
      </c>
      <c r="N494" s="400"/>
      <c r="O494" s="400"/>
      <c r="P494" s="402"/>
      <c r="Q494" s="402"/>
      <c r="R494" s="402"/>
      <c r="S494" s="402"/>
      <c r="T494" s="403">
        <f t="shared" si="1"/>
        <v>0</v>
      </c>
      <c r="U494" s="209"/>
      <c r="V494" s="400"/>
      <c r="W494" s="400"/>
      <c r="X494" s="203"/>
      <c r="Y494" s="203"/>
      <c r="Z494" s="203"/>
    </row>
    <row r="495" spans="1:26" ht="25.5" customHeight="1">
      <c r="A495" s="206"/>
      <c r="B495" s="207"/>
      <c r="C495" s="206"/>
      <c r="D495" s="207"/>
      <c r="E495" s="207"/>
      <c r="F495" s="207"/>
      <c r="G495" s="400"/>
      <c r="H495" s="400"/>
      <c r="I495" s="400"/>
      <c r="J495" s="400"/>
      <c r="K495" s="401"/>
      <c r="L495" s="401"/>
      <c r="M495" s="208">
        <f t="shared" si="0"/>
        <v>0</v>
      </c>
      <c r="N495" s="400"/>
      <c r="O495" s="400"/>
      <c r="P495" s="402"/>
      <c r="Q495" s="402"/>
      <c r="R495" s="402"/>
      <c r="S495" s="402"/>
      <c r="T495" s="403">
        <f t="shared" si="1"/>
        <v>0</v>
      </c>
      <c r="U495" s="209"/>
      <c r="V495" s="400"/>
      <c r="W495" s="400"/>
      <c r="X495" s="203"/>
      <c r="Y495" s="203"/>
      <c r="Z495" s="203"/>
    </row>
    <row r="496" spans="1:26" ht="25.5" customHeight="1">
      <c r="A496" s="206"/>
      <c r="B496" s="207"/>
      <c r="C496" s="206"/>
      <c r="D496" s="207"/>
      <c r="E496" s="207"/>
      <c r="F496" s="207"/>
      <c r="G496" s="400"/>
      <c r="H496" s="400"/>
      <c r="I496" s="400"/>
      <c r="J496" s="400"/>
      <c r="K496" s="401"/>
      <c r="L496" s="401"/>
      <c r="M496" s="208">
        <f t="shared" si="0"/>
        <v>0</v>
      </c>
      <c r="N496" s="400"/>
      <c r="O496" s="400"/>
      <c r="P496" s="402"/>
      <c r="Q496" s="402"/>
      <c r="R496" s="402"/>
      <c r="S496" s="402"/>
      <c r="T496" s="403">
        <f t="shared" si="1"/>
        <v>0</v>
      </c>
      <c r="U496" s="209"/>
      <c r="V496" s="400"/>
      <c r="W496" s="400"/>
      <c r="X496" s="203"/>
      <c r="Y496" s="203"/>
      <c r="Z496" s="203"/>
    </row>
    <row r="497" spans="1:26" ht="25.5" customHeight="1">
      <c r="A497" s="206"/>
      <c r="B497" s="207"/>
      <c r="C497" s="206"/>
      <c r="D497" s="207"/>
      <c r="E497" s="207"/>
      <c r="F497" s="207"/>
      <c r="G497" s="400"/>
      <c r="H497" s="400"/>
      <c r="I497" s="400"/>
      <c r="J497" s="400"/>
      <c r="K497" s="401"/>
      <c r="L497" s="401"/>
      <c r="M497" s="208">
        <f t="shared" si="0"/>
        <v>0</v>
      </c>
      <c r="N497" s="400"/>
      <c r="O497" s="400"/>
      <c r="P497" s="402"/>
      <c r="Q497" s="402"/>
      <c r="R497" s="402"/>
      <c r="S497" s="402"/>
      <c r="T497" s="403">
        <f t="shared" si="1"/>
        <v>0</v>
      </c>
      <c r="U497" s="209"/>
      <c r="V497" s="400"/>
      <c r="W497" s="400"/>
      <c r="X497" s="203"/>
      <c r="Y497" s="203"/>
      <c r="Z497" s="203"/>
    </row>
    <row r="498" spans="1:26" ht="25.5" customHeight="1">
      <c r="A498" s="206"/>
      <c r="B498" s="207"/>
      <c r="C498" s="206"/>
      <c r="D498" s="207"/>
      <c r="E498" s="207"/>
      <c r="F498" s="207"/>
      <c r="G498" s="400"/>
      <c r="H498" s="400"/>
      <c r="I498" s="400"/>
      <c r="J498" s="400"/>
      <c r="K498" s="401"/>
      <c r="L498" s="401"/>
      <c r="M498" s="208">
        <f t="shared" si="0"/>
        <v>0</v>
      </c>
      <c r="N498" s="400"/>
      <c r="O498" s="400"/>
      <c r="P498" s="402"/>
      <c r="Q498" s="402"/>
      <c r="R498" s="402"/>
      <c r="S498" s="402"/>
      <c r="T498" s="403">
        <f t="shared" si="1"/>
        <v>0</v>
      </c>
      <c r="U498" s="209"/>
      <c r="V498" s="400"/>
      <c r="W498" s="400"/>
      <c r="X498" s="203"/>
      <c r="Y498" s="203"/>
      <c r="Z498" s="203"/>
    </row>
    <row r="499" spans="1:26" ht="25.5" customHeight="1">
      <c r="A499" s="206"/>
      <c r="B499" s="207"/>
      <c r="C499" s="206"/>
      <c r="D499" s="207"/>
      <c r="E499" s="207"/>
      <c r="F499" s="207"/>
      <c r="G499" s="400"/>
      <c r="H499" s="400"/>
      <c r="I499" s="400"/>
      <c r="J499" s="400"/>
      <c r="K499" s="401"/>
      <c r="L499" s="401"/>
      <c r="M499" s="208">
        <f t="shared" si="0"/>
        <v>0</v>
      </c>
      <c r="N499" s="400"/>
      <c r="O499" s="400"/>
      <c r="P499" s="402"/>
      <c r="Q499" s="402"/>
      <c r="R499" s="402"/>
      <c r="S499" s="402"/>
      <c r="T499" s="403">
        <f t="shared" si="1"/>
        <v>0</v>
      </c>
      <c r="U499" s="209"/>
      <c r="V499" s="400"/>
      <c r="W499" s="400"/>
      <c r="X499" s="203"/>
      <c r="Y499" s="203"/>
      <c r="Z499" s="203"/>
    </row>
    <row r="500" spans="1:26" ht="25.5" customHeight="1">
      <c r="A500" s="206"/>
      <c r="B500" s="207"/>
      <c r="C500" s="206"/>
      <c r="D500" s="207"/>
      <c r="E500" s="207"/>
      <c r="F500" s="207"/>
      <c r="G500" s="400"/>
      <c r="H500" s="400"/>
      <c r="I500" s="400"/>
      <c r="J500" s="400"/>
      <c r="K500" s="401"/>
      <c r="L500" s="401"/>
      <c r="M500" s="208">
        <f t="shared" si="0"/>
        <v>0</v>
      </c>
      <c r="N500" s="400"/>
      <c r="O500" s="400"/>
      <c r="P500" s="402"/>
      <c r="Q500" s="402"/>
      <c r="R500" s="402"/>
      <c r="S500" s="402"/>
      <c r="T500" s="403">
        <f t="shared" si="1"/>
        <v>0</v>
      </c>
      <c r="U500" s="209"/>
      <c r="V500" s="400"/>
      <c r="W500" s="400"/>
      <c r="X500" s="203"/>
      <c r="Y500" s="203"/>
      <c r="Z500" s="203"/>
    </row>
    <row r="501" spans="1:26" ht="25.5" customHeight="1">
      <c r="A501" s="203"/>
      <c r="B501" s="203"/>
      <c r="C501" s="203"/>
      <c r="D501" s="203"/>
      <c r="E501" s="203"/>
      <c r="F501" s="203"/>
      <c r="G501" s="203"/>
      <c r="H501" s="203"/>
      <c r="I501" s="203"/>
      <c r="J501" s="203"/>
      <c r="K501" s="203"/>
      <c r="L501" s="203"/>
      <c r="M501" s="203"/>
      <c r="N501" s="203"/>
      <c r="O501" s="203"/>
      <c r="P501" s="211"/>
      <c r="Q501" s="212"/>
      <c r="R501" s="212"/>
      <c r="S501" s="212"/>
      <c r="T501" s="212"/>
      <c r="U501" s="212"/>
      <c r="V501" s="212"/>
      <c r="W501" s="213"/>
      <c r="X501" s="203"/>
      <c r="Y501" s="203"/>
      <c r="Z501" s="203"/>
    </row>
    <row r="502" spans="1:26" ht="25.5" customHeight="1">
      <c r="A502" s="203"/>
      <c r="B502" s="203"/>
      <c r="C502" s="203"/>
      <c r="D502" s="203"/>
      <c r="E502" s="203"/>
      <c r="F502" s="203"/>
      <c r="G502" s="203"/>
      <c r="H502" s="203"/>
      <c r="I502" s="203"/>
      <c r="J502" s="203"/>
      <c r="K502" s="203"/>
      <c r="L502" s="203"/>
      <c r="M502" s="203"/>
      <c r="N502" s="203"/>
      <c r="O502" s="203"/>
      <c r="P502" s="211"/>
      <c r="Q502" s="212"/>
      <c r="R502" s="212"/>
      <c r="S502" s="212"/>
      <c r="T502" s="212"/>
      <c r="U502" s="212"/>
      <c r="V502" s="212"/>
      <c r="W502" s="213"/>
      <c r="X502" s="203"/>
      <c r="Y502" s="203"/>
      <c r="Z502" s="203"/>
    </row>
    <row r="503" spans="1:26" ht="25.5" customHeight="1">
      <c r="A503" s="203"/>
      <c r="B503" s="203"/>
      <c r="C503" s="203"/>
      <c r="D503" s="203"/>
      <c r="E503" s="203"/>
      <c r="F503" s="203"/>
      <c r="G503" s="203"/>
      <c r="H503" s="203"/>
      <c r="I503" s="203"/>
      <c r="J503" s="203"/>
      <c r="K503" s="203"/>
      <c r="L503" s="203"/>
      <c r="M503" s="203"/>
      <c r="N503" s="203"/>
      <c r="O503" s="203"/>
      <c r="P503" s="211"/>
      <c r="Q503" s="212"/>
      <c r="R503" s="212"/>
      <c r="S503" s="212"/>
      <c r="T503" s="212"/>
      <c r="U503" s="212"/>
      <c r="V503" s="212"/>
      <c r="W503" s="213"/>
      <c r="X503" s="203"/>
      <c r="Y503" s="203"/>
      <c r="Z503" s="203"/>
    </row>
    <row r="504" spans="1:26" ht="25.5" customHeight="1">
      <c r="A504" s="203"/>
      <c r="B504" s="203"/>
      <c r="C504" s="203"/>
      <c r="D504" s="203"/>
      <c r="E504" s="203"/>
      <c r="F504" s="203"/>
      <c r="G504" s="203"/>
      <c r="H504" s="203"/>
      <c r="I504" s="203"/>
      <c r="J504" s="203"/>
      <c r="K504" s="203"/>
      <c r="L504" s="203"/>
      <c r="M504" s="203"/>
      <c r="N504" s="203"/>
      <c r="O504" s="203"/>
      <c r="P504" s="211"/>
      <c r="Q504" s="212"/>
      <c r="R504" s="212"/>
      <c r="S504" s="212"/>
      <c r="T504" s="212"/>
      <c r="U504" s="212"/>
      <c r="V504" s="212"/>
      <c r="W504" s="213"/>
      <c r="X504" s="203"/>
      <c r="Y504" s="203"/>
      <c r="Z504" s="203"/>
    </row>
    <row r="505" spans="1:26" ht="25.5" customHeight="1">
      <c r="A505" s="203"/>
      <c r="B505" s="203"/>
      <c r="C505" s="203"/>
      <c r="D505" s="203"/>
      <c r="E505" s="203"/>
      <c r="F505" s="203"/>
      <c r="G505" s="203"/>
      <c r="H505" s="203"/>
      <c r="I505" s="203"/>
      <c r="J505" s="203"/>
      <c r="K505" s="203"/>
      <c r="L505" s="203"/>
      <c r="M505" s="203"/>
      <c r="N505" s="203"/>
      <c r="O505" s="203"/>
      <c r="P505" s="211"/>
      <c r="Q505" s="212"/>
      <c r="R505" s="212"/>
      <c r="S505" s="212"/>
      <c r="T505" s="212"/>
      <c r="U505" s="212"/>
      <c r="V505" s="212"/>
      <c r="W505" s="213"/>
      <c r="X505" s="203"/>
      <c r="Y505" s="203"/>
      <c r="Z505" s="203"/>
    </row>
    <row r="506" spans="1:26" ht="25.5" customHeight="1">
      <c r="A506" s="203"/>
      <c r="B506" s="203"/>
      <c r="C506" s="203"/>
      <c r="D506" s="203"/>
      <c r="E506" s="203"/>
      <c r="F506" s="203"/>
      <c r="G506" s="203"/>
      <c r="H506" s="203"/>
      <c r="I506" s="203"/>
      <c r="J506" s="203"/>
      <c r="K506" s="203"/>
      <c r="L506" s="203"/>
      <c r="M506" s="203"/>
      <c r="N506" s="203"/>
      <c r="O506" s="203"/>
      <c r="P506" s="211"/>
      <c r="Q506" s="212"/>
      <c r="R506" s="212"/>
      <c r="S506" s="212"/>
      <c r="T506" s="212"/>
      <c r="U506" s="212"/>
      <c r="V506" s="212"/>
      <c r="W506" s="213"/>
      <c r="X506" s="203"/>
      <c r="Y506" s="203"/>
      <c r="Z506" s="203"/>
    </row>
    <row r="507" spans="1:26" ht="25.5" customHeight="1">
      <c r="A507" s="203"/>
      <c r="B507" s="203"/>
      <c r="C507" s="203"/>
      <c r="D507" s="203"/>
      <c r="E507" s="203"/>
      <c r="F507" s="203"/>
      <c r="G507" s="203"/>
      <c r="H507" s="203"/>
      <c r="I507" s="203"/>
      <c r="J507" s="203"/>
      <c r="K507" s="203"/>
      <c r="L507" s="203"/>
      <c r="M507" s="203"/>
      <c r="N507" s="203"/>
      <c r="O507" s="203"/>
      <c r="P507" s="211"/>
      <c r="Q507" s="212"/>
      <c r="R507" s="212"/>
      <c r="S507" s="212"/>
      <c r="T507" s="212"/>
      <c r="U507" s="212"/>
      <c r="V507" s="212"/>
      <c r="W507" s="213"/>
      <c r="X507" s="203"/>
      <c r="Y507" s="203"/>
      <c r="Z507" s="203"/>
    </row>
    <row r="508" spans="1:26" ht="25.5" customHeight="1">
      <c r="A508" s="203"/>
      <c r="B508" s="203"/>
      <c r="C508" s="203"/>
      <c r="D508" s="203"/>
      <c r="E508" s="203"/>
      <c r="F508" s="203"/>
      <c r="G508" s="203"/>
      <c r="H508" s="203"/>
      <c r="I508" s="203"/>
      <c r="J508" s="203"/>
      <c r="K508" s="203"/>
      <c r="L508" s="203"/>
      <c r="M508" s="203"/>
      <c r="N508" s="203"/>
      <c r="O508" s="203"/>
      <c r="P508" s="211"/>
      <c r="Q508" s="212"/>
      <c r="R508" s="212"/>
      <c r="S508" s="212"/>
      <c r="T508" s="212"/>
      <c r="U508" s="212"/>
      <c r="V508" s="212"/>
      <c r="W508" s="213"/>
      <c r="X508" s="203"/>
      <c r="Y508" s="203"/>
      <c r="Z508" s="203"/>
    </row>
    <row r="509" spans="1:26" ht="25.5" customHeight="1">
      <c r="A509" s="203"/>
      <c r="B509" s="203"/>
      <c r="C509" s="203"/>
      <c r="D509" s="203"/>
      <c r="E509" s="203"/>
      <c r="F509" s="203"/>
      <c r="G509" s="203"/>
      <c r="H509" s="203"/>
      <c r="I509" s="203"/>
      <c r="J509" s="203"/>
      <c r="K509" s="203"/>
      <c r="L509" s="203"/>
      <c r="M509" s="203"/>
      <c r="N509" s="203"/>
      <c r="O509" s="203"/>
      <c r="P509" s="211"/>
      <c r="Q509" s="212"/>
      <c r="R509" s="212"/>
      <c r="S509" s="212"/>
      <c r="T509" s="212"/>
      <c r="U509" s="212"/>
      <c r="V509" s="212"/>
      <c r="W509" s="213"/>
      <c r="X509" s="203"/>
      <c r="Y509" s="203"/>
      <c r="Z509" s="203"/>
    </row>
    <row r="510" spans="1:26" ht="25.5" customHeight="1">
      <c r="A510" s="203"/>
      <c r="B510" s="203"/>
      <c r="C510" s="203"/>
      <c r="D510" s="203"/>
      <c r="E510" s="203"/>
      <c r="F510" s="203"/>
      <c r="G510" s="203"/>
      <c r="H510" s="203"/>
      <c r="I510" s="203"/>
      <c r="J510" s="203"/>
      <c r="K510" s="203"/>
      <c r="L510" s="203"/>
      <c r="M510" s="203"/>
      <c r="N510" s="203"/>
      <c r="O510" s="203"/>
      <c r="P510" s="211"/>
      <c r="Q510" s="212"/>
      <c r="R510" s="212"/>
      <c r="S510" s="212"/>
      <c r="T510" s="212"/>
      <c r="U510" s="212"/>
      <c r="V510" s="212"/>
      <c r="W510" s="213"/>
      <c r="X510" s="203"/>
      <c r="Y510" s="203"/>
      <c r="Z510" s="203"/>
    </row>
    <row r="511" spans="1:26" ht="25.5" customHeight="1">
      <c r="A511" s="203"/>
      <c r="B511" s="203"/>
      <c r="C511" s="203"/>
      <c r="D511" s="203"/>
      <c r="E511" s="203"/>
      <c r="F511" s="203"/>
      <c r="G511" s="203"/>
      <c r="H511" s="203"/>
      <c r="I511" s="203"/>
      <c r="J511" s="203"/>
      <c r="K511" s="203"/>
      <c r="L511" s="203"/>
      <c r="M511" s="203"/>
      <c r="N511" s="203"/>
      <c r="O511" s="203"/>
      <c r="P511" s="211"/>
      <c r="Q511" s="212"/>
      <c r="R511" s="212"/>
      <c r="S511" s="212"/>
      <c r="T511" s="212"/>
      <c r="U511" s="212"/>
      <c r="V511" s="212"/>
      <c r="W511" s="213"/>
      <c r="X511" s="203"/>
      <c r="Y511" s="203"/>
      <c r="Z511" s="203"/>
    </row>
    <row r="512" spans="1:26" ht="25.5" customHeight="1">
      <c r="A512" s="203"/>
      <c r="B512" s="203"/>
      <c r="C512" s="203"/>
      <c r="D512" s="203"/>
      <c r="E512" s="203"/>
      <c r="F512" s="203"/>
      <c r="G512" s="203"/>
      <c r="H512" s="203"/>
      <c r="I512" s="203"/>
      <c r="J512" s="203"/>
      <c r="K512" s="203"/>
      <c r="L512" s="203"/>
      <c r="M512" s="203"/>
      <c r="N512" s="203"/>
      <c r="O512" s="203"/>
      <c r="P512" s="211"/>
      <c r="Q512" s="212"/>
      <c r="R512" s="212"/>
      <c r="S512" s="212"/>
      <c r="T512" s="212"/>
      <c r="U512" s="212"/>
      <c r="V512" s="212"/>
      <c r="W512" s="213"/>
      <c r="X512" s="203"/>
      <c r="Y512" s="203"/>
      <c r="Z512" s="203"/>
    </row>
    <row r="513" spans="1:26" ht="25.5" customHeight="1">
      <c r="A513" s="203"/>
      <c r="B513" s="203"/>
      <c r="C513" s="203"/>
      <c r="D513" s="203"/>
      <c r="E513" s="203"/>
      <c r="F513" s="203"/>
      <c r="G513" s="203"/>
      <c r="H513" s="203"/>
      <c r="I513" s="203"/>
      <c r="J513" s="203"/>
      <c r="K513" s="203"/>
      <c r="L513" s="203"/>
      <c r="M513" s="203"/>
      <c r="N513" s="203"/>
      <c r="O513" s="203"/>
      <c r="P513" s="211"/>
      <c r="Q513" s="212"/>
      <c r="R513" s="212"/>
      <c r="S513" s="212"/>
      <c r="T513" s="212"/>
      <c r="U513" s="212"/>
      <c r="V513" s="212"/>
      <c r="W513" s="213"/>
      <c r="X513" s="203"/>
      <c r="Y513" s="203"/>
      <c r="Z513" s="203"/>
    </row>
    <row r="514" spans="1:26" ht="25.5" customHeight="1">
      <c r="A514" s="203"/>
      <c r="B514" s="203"/>
      <c r="C514" s="203"/>
      <c r="D514" s="203"/>
      <c r="E514" s="203"/>
      <c r="F514" s="203"/>
      <c r="G514" s="203"/>
      <c r="H514" s="203"/>
      <c r="I514" s="203"/>
      <c r="J514" s="203"/>
      <c r="K514" s="203"/>
      <c r="L514" s="203"/>
      <c r="M514" s="203"/>
      <c r="N514" s="203"/>
      <c r="O514" s="203"/>
      <c r="P514" s="211"/>
      <c r="Q514" s="212"/>
      <c r="R514" s="212"/>
      <c r="S514" s="212"/>
      <c r="T514" s="212"/>
      <c r="U514" s="212"/>
      <c r="V514" s="212"/>
      <c r="W514" s="213"/>
      <c r="X514" s="203"/>
      <c r="Y514" s="203"/>
      <c r="Z514" s="203"/>
    </row>
    <row r="515" spans="1:26" ht="25.5" customHeight="1">
      <c r="A515" s="203"/>
      <c r="B515" s="203"/>
      <c r="C515" s="203"/>
      <c r="D515" s="203"/>
      <c r="E515" s="203"/>
      <c r="F515" s="203"/>
      <c r="G515" s="203"/>
      <c r="H515" s="203"/>
      <c r="I515" s="203"/>
      <c r="J515" s="203"/>
      <c r="K515" s="203"/>
      <c r="L515" s="203"/>
      <c r="M515" s="203"/>
      <c r="N515" s="203"/>
      <c r="O515" s="203"/>
      <c r="P515" s="211"/>
      <c r="Q515" s="212"/>
      <c r="R515" s="212"/>
      <c r="S515" s="212"/>
      <c r="T515" s="212"/>
      <c r="U515" s="212"/>
      <c r="V515" s="212"/>
      <c r="W515" s="213"/>
      <c r="X515" s="203"/>
      <c r="Y515" s="203"/>
      <c r="Z515" s="203"/>
    </row>
    <row r="516" spans="1:26" ht="25.5" customHeight="1">
      <c r="A516" s="203"/>
      <c r="B516" s="203"/>
      <c r="C516" s="203"/>
      <c r="D516" s="203"/>
      <c r="E516" s="203"/>
      <c r="F516" s="203"/>
      <c r="G516" s="203"/>
      <c r="H516" s="203"/>
      <c r="I516" s="203"/>
      <c r="J516" s="203"/>
      <c r="K516" s="203"/>
      <c r="L516" s="203"/>
      <c r="M516" s="203"/>
      <c r="N516" s="203"/>
      <c r="O516" s="203"/>
      <c r="P516" s="211"/>
      <c r="Q516" s="212"/>
      <c r="R516" s="212"/>
      <c r="S516" s="212"/>
      <c r="T516" s="212"/>
      <c r="U516" s="212"/>
      <c r="V516" s="212"/>
      <c r="W516" s="213"/>
      <c r="X516" s="203"/>
      <c r="Y516" s="203"/>
      <c r="Z516" s="203"/>
    </row>
    <row r="517" spans="1:26" ht="25.5" customHeight="1">
      <c r="A517" s="203"/>
      <c r="B517" s="203"/>
      <c r="C517" s="203"/>
      <c r="D517" s="203"/>
      <c r="E517" s="203"/>
      <c r="F517" s="203"/>
      <c r="G517" s="203"/>
      <c r="H517" s="203"/>
      <c r="I517" s="203"/>
      <c r="J517" s="203"/>
      <c r="K517" s="203"/>
      <c r="L517" s="203"/>
      <c r="M517" s="203"/>
      <c r="N517" s="203"/>
      <c r="O517" s="203"/>
      <c r="P517" s="211"/>
      <c r="Q517" s="212"/>
      <c r="R517" s="212"/>
      <c r="S517" s="212"/>
      <c r="T517" s="212"/>
      <c r="U517" s="212"/>
      <c r="V517" s="212"/>
      <c r="W517" s="213"/>
      <c r="X517" s="203"/>
      <c r="Y517" s="203"/>
      <c r="Z517" s="203"/>
    </row>
    <row r="518" spans="1:26" ht="25.5" customHeight="1">
      <c r="A518" s="203"/>
      <c r="B518" s="203"/>
      <c r="C518" s="203"/>
      <c r="D518" s="203"/>
      <c r="E518" s="203"/>
      <c r="F518" s="203"/>
      <c r="G518" s="203"/>
      <c r="H518" s="203"/>
      <c r="I518" s="203"/>
      <c r="J518" s="203"/>
      <c r="K518" s="203"/>
      <c r="L518" s="203"/>
      <c r="M518" s="203"/>
      <c r="N518" s="203"/>
      <c r="O518" s="203"/>
      <c r="P518" s="211"/>
      <c r="Q518" s="212"/>
      <c r="R518" s="212"/>
      <c r="S518" s="212"/>
      <c r="T518" s="212"/>
      <c r="U518" s="212"/>
      <c r="V518" s="212"/>
      <c r="W518" s="213"/>
      <c r="X518" s="203"/>
      <c r="Y518" s="203"/>
      <c r="Z518" s="203"/>
    </row>
    <row r="519" spans="1:26" ht="25.5" customHeight="1">
      <c r="A519" s="203"/>
      <c r="B519" s="203"/>
      <c r="C519" s="203"/>
      <c r="D519" s="203"/>
      <c r="E519" s="203"/>
      <c r="F519" s="203"/>
      <c r="G519" s="203"/>
      <c r="H519" s="203"/>
      <c r="I519" s="203"/>
      <c r="J519" s="203"/>
      <c r="K519" s="203"/>
      <c r="L519" s="203"/>
      <c r="M519" s="203"/>
      <c r="N519" s="203"/>
      <c r="O519" s="203"/>
      <c r="P519" s="211"/>
      <c r="Q519" s="212"/>
      <c r="R519" s="212"/>
      <c r="S519" s="212"/>
      <c r="T519" s="212"/>
      <c r="U519" s="212"/>
      <c r="V519" s="212"/>
      <c r="W519" s="213"/>
      <c r="X519" s="203"/>
      <c r="Y519" s="203"/>
      <c r="Z519" s="203"/>
    </row>
    <row r="520" spans="1:26" ht="25.5" customHeight="1">
      <c r="A520" s="203"/>
      <c r="B520" s="203"/>
      <c r="C520" s="203"/>
      <c r="D520" s="203"/>
      <c r="E520" s="203"/>
      <c r="F520" s="203"/>
      <c r="G520" s="203"/>
      <c r="H520" s="203"/>
      <c r="I520" s="203"/>
      <c r="J520" s="203"/>
      <c r="K520" s="203"/>
      <c r="L520" s="203"/>
      <c r="M520" s="203"/>
      <c r="N520" s="203"/>
      <c r="O520" s="203"/>
      <c r="P520" s="211"/>
      <c r="Q520" s="212"/>
      <c r="R520" s="212"/>
      <c r="S520" s="212"/>
      <c r="T520" s="212"/>
      <c r="U520" s="212"/>
      <c r="V520" s="212"/>
      <c r="W520" s="213"/>
      <c r="X520" s="203"/>
      <c r="Y520" s="203"/>
      <c r="Z520" s="203"/>
    </row>
    <row r="521" spans="1:26" ht="25.5" customHeight="1">
      <c r="A521" s="203"/>
      <c r="B521" s="203"/>
      <c r="C521" s="203"/>
      <c r="D521" s="203"/>
      <c r="E521" s="203"/>
      <c r="F521" s="203"/>
      <c r="G521" s="203"/>
      <c r="H521" s="203"/>
      <c r="I521" s="203"/>
      <c r="J521" s="203"/>
      <c r="K521" s="203"/>
      <c r="L521" s="203"/>
      <c r="M521" s="203"/>
      <c r="N521" s="203"/>
      <c r="O521" s="203"/>
      <c r="P521" s="211"/>
      <c r="Q521" s="212"/>
      <c r="R521" s="212"/>
      <c r="S521" s="212"/>
      <c r="T521" s="212"/>
      <c r="U521" s="212"/>
      <c r="V521" s="212"/>
      <c r="W521" s="213"/>
      <c r="X521" s="203"/>
      <c r="Y521" s="203"/>
      <c r="Z521" s="203"/>
    </row>
    <row r="522" spans="1:26" ht="25.5" customHeight="1">
      <c r="A522" s="203"/>
      <c r="B522" s="203"/>
      <c r="C522" s="203"/>
      <c r="D522" s="203"/>
      <c r="E522" s="203"/>
      <c r="F522" s="203"/>
      <c r="G522" s="203"/>
      <c r="H522" s="203"/>
      <c r="I522" s="203"/>
      <c r="J522" s="203"/>
      <c r="K522" s="203"/>
      <c r="L522" s="203"/>
      <c r="M522" s="203"/>
      <c r="N522" s="203"/>
      <c r="O522" s="203"/>
      <c r="P522" s="211"/>
      <c r="Q522" s="212"/>
      <c r="R522" s="212"/>
      <c r="S522" s="212"/>
      <c r="T522" s="212"/>
      <c r="U522" s="212"/>
      <c r="V522" s="212"/>
      <c r="W522" s="213"/>
      <c r="X522" s="203"/>
      <c r="Y522" s="203"/>
      <c r="Z522" s="203"/>
    </row>
    <row r="523" spans="1:26" ht="25.5" customHeight="1">
      <c r="A523" s="203"/>
      <c r="B523" s="203"/>
      <c r="C523" s="203"/>
      <c r="D523" s="203"/>
      <c r="E523" s="203"/>
      <c r="F523" s="203"/>
      <c r="G523" s="203"/>
      <c r="H523" s="203"/>
      <c r="I523" s="203"/>
      <c r="J523" s="203"/>
      <c r="K523" s="203"/>
      <c r="L523" s="203"/>
      <c r="M523" s="203"/>
      <c r="N523" s="203"/>
      <c r="O523" s="203"/>
      <c r="P523" s="211"/>
      <c r="Q523" s="212"/>
      <c r="R523" s="212"/>
      <c r="S523" s="212"/>
      <c r="T523" s="212"/>
      <c r="U523" s="212"/>
      <c r="V523" s="212"/>
      <c r="W523" s="213"/>
      <c r="X523" s="203"/>
      <c r="Y523" s="203"/>
      <c r="Z523" s="203"/>
    </row>
    <row r="524" spans="1:26" ht="25.5" customHeight="1">
      <c r="A524" s="203"/>
      <c r="B524" s="203"/>
      <c r="C524" s="203"/>
      <c r="D524" s="203"/>
      <c r="E524" s="203"/>
      <c r="F524" s="203"/>
      <c r="G524" s="203"/>
      <c r="H524" s="203"/>
      <c r="I524" s="203"/>
      <c r="J524" s="203"/>
      <c r="K524" s="203"/>
      <c r="L524" s="203"/>
      <c r="M524" s="203"/>
      <c r="N524" s="203"/>
      <c r="O524" s="203"/>
      <c r="P524" s="211"/>
      <c r="Q524" s="212"/>
      <c r="R524" s="212"/>
      <c r="S524" s="212"/>
      <c r="T524" s="212"/>
      <c r="U524" s="212"/>
      <c r="V524" s="212"/>
      <c r="W524" s="213"/>
      <c r="X524" s="203"/>
      <c r="Y524" s="203"/>
      <c r="Z524" s="203"/>
    </row>
    <row r="525" spans="1:26" ht="25.5" customHeight="1">
      <c r="A525" s="203"/>
      <c r="B525" s="203"/>
      <c r="C525" s="203"/>
      <c r="D525" s="203"/>
      <c r="E525" s="203"/>
      <c r="F525" s="203"/>
      <c r="G525" s="203"/>
      <c r="H525" s="203"/>
      <c r="I525" s="203"/>
      <c r="J525" s="203"/>
      <c r="K525" s="203"/>
      <c r="L525" s="203"/>
      <c r="M525" s="203"/>
      <c r="N525" s="203"/>
      <c r="O525" s="203"/>
      <c r="P525" s="211"/>
      <c r="Q525" s="212"/>
      <c r="R525" s="212"/>
      <c r="S525" s="212"/>
      <c r="T525" s="212"/>
      <c r="U525" s="212"/>
      <c r="V525" s="212"/>
      <c r="W525" s="213"/>
      <c r="X525" s="203"/>
      <c r="Y525" s="203"/>
      <c r="Z525" s="203"/>
    </row>
    <row r="526" spans="1:26" ht="25.5" customHeight="1">
      <c r="A526" s="203"/>
      <c r="B526" s="203"/>
      <c r="C526" s="203"/>
      <c r="D526" s="203"/>
      <c r="E526" s="203"/>
      <c r="F526" s="203"/>
      <c r="G526" s="203"/>
      <c r="H526" s="203"/>
      <c r="I526" s="203"/>
      <c r="J526" s="203"/>
      <c r="K526" s="203"/>
      <c r="L526" s="203"/>
      <c r="M526" s="203"/>
      <c r="N526" s="203"/>
      <c r="O526" s="203"/>
      <c r="P526" s="211"/>
      <c r="Q526" s="212"/>
      <c r="R526" s="212"/>
      <c r="S526" s="212"/>
      <c r="T526" s="212"/>
      <c r="U526" s="212"/>
      <c r="V526" s="212"/>
      <c r="W526" s="213"/>
      <c r="X526" s="203"/>
      <c r="Y526" s="203"/>
      <c r="Z526" s="203"/>
    </row>
    <row r="527" spans="1:26" ht="25.5" customHeight="1">
      <c r="A527" s="203"/>
      <c r="B527" s="203"/>
      <c r="C527" s="203"/>
      <c r="D527" s="203"/>
      <c r="E527" s="203"/>
      <c r="F527" s="203"/>
      <c r="G527" s="203"/>
      <c r="H527" s="203"/>
      <c r="I527" s="203"/>
      <c r="J527" s="203"/>
      <c r="K527" s="203"/>
      <c r="L527" s="203"/>
      <c r="M527" s="203"/>
      <c r="N527" s="203"/>
      <c r="O527" s="203"/>
      <c r="P527" s="211"/>
      <c r="Q527" s="212"/>
      <c r="R527" s="212"/>
      <c r="S527" s="212"/>
      <c r="T527" s="212"/>
      <c r="U527" s="212"/>
      <c r="V527" s="212"/>
      <c r="W527" s="213"/>
      <c r="X527" s="203"/>
      <c r="Y527" s="203"/>
      <c r="Z527" s="203"/>
    </row>
    <row r="528" spans="1:26" ht="25.5" customHeight="1">
      <c r="A528" s="203"/>
      <c r="B528" s="203"/>
      <c r="C528" s="203"/>
      <c r="D528" s="203"/>
      <c r="E528" s="203"/>
      <c r="F528" s="203"/>
      <c r="G528" s="203"/>
      <c r="H528" s="203"/>
      <c r="I528" s="203"/>
      <c r="J528" s="203"/>
      <c r="K528" s="203"/>
      <c r="L528" s="203"/>
      <c r="M528" s="203"/>
      <c r="N528" s="203"/>
      <c r="O528" s="203"/>
      <c r="P528" s="211"/>
      <c r="Q528" s="212"/>
      <c r="R528" s="212"/>
      <c r="S528" s="212"/>
      <c r="T528" s="212"/>
      <c r="U528" s="212"/>
      <c r="V528" s="212"/>
      <c r="W528" s="213"/>
      <c r="X528" s="203"/>
      <c r="Y528" s="203"/>
      <c r="Z528" s="203"/>
    </row>
    <row r="529" spans="1:26" ht="25.5" customHeight="1">
      <c r="A529" s="203"/>
      <c r="B529" s="203"/>
      <c r="C529" s="203"/>
      <c r="D529" s="203"/>
      <c r="E529" s="203"/>
      <c r="F529" s="203"/>
      <c r="G529" s="203"/>
      <c r="H529" s="203"/>
      <c r="I529" s="203"/>
      <c r="J529" s="203"/>
      <c r="K529" s="203"/>
      <c r="L529" s="203"/>
      <c r="M529" s="203"/>
      <c r="N529" s="203"/>
      <c r="O529" s="203"/>
      <c r="P529" s="211"/>
      <c r="Q529" s="212"/>
      <c r="R529" s="212"/>
      <c r="S529" s="212"/>
      <c r="T529" s="212"/>
      <c r="U529" s="212"/>
      <c r="V529" s="212"/>
      <c r="W529" s="213"/>
      <c r="X529" s="203"/>
      <c r="Y529" s="203"/>
      <c r="Z529" s="203"/>
    </row>
    <row r="530" spans="1:26" ht="25.5" customHeight="1">
      <c r="A530" s="203"/>
      <c r="B530" s="203"/>
      <c r="C530" s="203"/>
      <c r="D530" s="203"/>
      <c r="E530" s="203"/>
      <c r="F530" s="203"/>
      <c r="G530" s="203"/>
      <c r="H530" s="203"/>
      <c r="I530" s="203"/>
      <c r="J530" s="203"/>
      <c r="K530" s="203"/>
      <c r="L530" s="203"/>
      <c r="M530" s="203"/>
      <c r="N530" s="203"/>
      <c r="O530" s="203"/>
      <c r="P530" s="211"/>
      <c r="Q530" s="212"/>
      <c r="R530" s="212"/>
      <c r="S530" s="212"/>
      <c r="T530" s="212"/>
      <c r="U530" s="212"/>
      <c r="V530" s="212"/>
      <c r="W530" s="213"/>
      <c r="X530" s="203"/>
      <c r="Y530" s="203"/>
      <c r="Z530" s="203"/>
    </row>
    <row r="531" spans="1:26" ht="25.5" customHeight="1">
      <c r="A531" s="203"/>
      <c r="B531" s="203"/>
      <c r="C531" s="203"/>
      <c r="D531" s="203"/>
      <c r="E531" s="203"/>
      <c r="F531" s="203"/>
      <c r="G531" s="203"/>
      <c r="H531" s="203"/>
      <c r="I531" s="203"/>
      <c r="J531" s="203"/>
      <c r="K531" s="203"/>
      <c r="L531" s="203"/>
      <c r="M531" s="203"/>
      <c r="N531" s="203"/>
      <c r="O531" s="203"/>
      <c r="P531" s="211"/>
      <c r="Q531" s="212"/>
      <c r="R531" s="212"/>
      <c r="S531" s="212"/>
      <c r="T531" s="212"/>
      <c r="U531" s="212"/>
      <c r="V531" s="212"/>
      <c r="W531" s="213"/>
      <c r="X531" s="203"/>
      <c r="Y531" s="203"/>
      <c r="Z531" s="203"/>
    </row>
    <row r="532" spans="1:26" ht="25.5" customHeight="1">
      <c r="A532" s="203"/>
      <c r="B532" s="203"/>
      <c r="C532" s="203"/>
      <c r="D532" s="203"/>
      <c r="E532" s="203"/>
      <c r="F532" s="203"/>
      <c r="G532" s="203"/>
      <c r="H532" s="203"/>
      <c r="I532" s="203"/>
      <c r="J532" s="203"/>
      <c r="K532" s="203"/>
      <c r="L532" s="203"/>
      <c r="M532" s="203"/>
      <c r="N532" s="203"/>
      <c r="O532" s="203"/>
      <c r="P532" s="211"/>
      <c r="Q532" s="212"/>
      <c r="R532" s="212"/>
      <c r="S532" s="212"/>
      <c r="T532" s="212"/>
      <c r="U532" s="212"/>
      <c r="V532" s="212"/>
      <c r="W532" s="213"/>
      <c r="X532" s="203"/>
      <c r="Y532" s="203"/>
      <c r="Z532" s="203"/>
    </row>
    <row r="533" spans="1:26" ht="25.5" customHeight="1">
      <c r="A533" s="203"/>
      <c r="B533" s="203"/>
      <c r="C533" s="203"/>
      <c r="D533" s="203"/>
      <c r="E533" s="203"/>
      <c r="F533" s="203"/>
      <c r="G533" s="203"/>
      <c r="H533" s="203"/>
      <c r="I533" s="203"/>
      <c r="J533" s="203"/>
      <c r="K533" s="203"/>
      <c r="L533" s="203"/>
      <c r="M533" s="203"/>
      <c r="N533" s="203"/>
      <c r="O533" s="203"/>
      <c r="P533" s="211"/>
      <c r="Q533" s="212"/>
      <c r="R533" s="212"/>
      <c r="S533" s="212"/>
      <c r="T533" s="212"/>
      <c r="U533" s="212"/>
      <c r="V533" s="212"/>
      <c r="W533" s="213"/>
      <c r="X533" s="203"/>
      <c r="Y533" s="203"/>
      <c r="Z533" s="203"/>
    </row>
    <row r="534" spans="1:26" ht="25.5" customHeight="1">
      <c r="A534" s="203"/>
      <c r="B534" s="203"/>
      <c r="C534" s="203"/>
      <c r="D534" s="203"/>
      <c r="E534" s="203"/>
      <c r="F534" s="203"/>
      <c r="G534" s="203"/>
      <c r="H534" s="203"/>
      <c r="I534" s="203"/>
      <c r="J534" s="203"/>
      <c r="K534" s="203"/>
      <c r="L534" s="203"/>
      <c r="M534" s="203"/>
      <c r="N534" s="203"/>
      <c r="O534" s="203"/>
      <c r="P534" s="211"/>
      <c r="Q534" s="212"/>
      <c r="R534" s="212"/>
      <c r="S534" s="212"/>
      <c r="T534" s="212"/>
      <c r="U534" s="212"/>
      <c r="V534" s="212"/>
      <c r="W534" s="213"/>
      <c r="X534" s="203"/>
      <c r="Y534" s="203"/>
      <c r="Z534" s="203"/>
    </row>
    <row r="535" spans="1:26" ht="25.5" customHeight="1">
      <c r="A535" s="203"/>
      <c r="B535" s="203"/>
      <c r="C535" s="203"/>
      <c r="D535" s="203"/>
      <c r="E535" s="203"/>
      <c r="F535" s="203"/>
      <c r="G535" s="203"/>
      <c r="H535" s="203"/>
      <c r="I535" s="203"/>
      <c r="J535" s="203"/>
      <c r="K535" s="203"/>
      <c r="L535" s="203"/>
      <c r="M535" s="203"/>
      <c r="N535" s="203"/>
      <c r="O535" s="203"/>
      <c r="P535" s="211"/>
      <c r="Q535" s="212"/>
      <c r="R535" s="212"/>
      <c r="S535" s="212"/>
      <c r="T535" s="212"/>
      <c r="U535" s="212"/>
      <c r="V535" s="212"/>
      <c r="W535" s="213"/>
      <c r="X535" s="203"/>
      <c r="Y535" s="203"/>
      <c r="Z535" s="203"/>
    </row>
    <row r="536" spans="1:26" ht="25.5" customHeight="1">
      <c r="A536" s="203"/>
      <c r="B536" s="203"/>
      <c r="C536" s="203"/>
      <c r="D536" s="203"/>
      <c r="E536" s="203"/>
      <c r="F536" s="203"/>
      <c r="G536" s="203"/>
      <c r="H536" s="203"/>
      <c r="I536" s="203"/>
      <c r="J536" s="203"/>
      <c r="K536" s="203"/>
      <c r="L536" s="203"/>
      <c r="M536" s="203"/>
      <c r="N536" s="203"/>
      <c r="O536" s="203"/>
      <c r="P536" s="211"/>
      <c r="Q536" s="212"/>
      <c r="R536" s="212"/>
      <c r="S536" s="212"/>
      <c r="T536" s="212"/>
      <c r="U536" s="212"/>
      <c r="V536" s="212"/>
      <c r="W536" s="213"/>
      <c r="X536" s="203"/>
      <c r="Y536" s="203"/>
      <c r="Z536" s="203"/>
    </row>
    <row r="537" spans="1:26" ht="25.5" customHeight="1">
      <c r="A537" s="203"/>
      <c r="B537" s="203"/>
      <c r="C537" s="203"/>
      <c r="D537" s="203"/>
      <c r="E537" s="203"/>
      <c r="F537" s="203"/>
      <c r="G537" s="203"/>
      <c r="H537" s="203"/>
      <c r="I537" s="203"/>
      <c r="J537" s="203"/>
      <c r="K537" s="203"/>
      <c r="L537" s="203"/>
      <c r="M537" s="203"/>
      <c r="N537" s="203"/>
      <c r="O537" s="203"/>
      <c r="P537" s="211"/>
      <c r="Q537" s="212"/>
      <c r="R537" s="212"/>
      <c r="S537" s="212"/>
      <c r="T537" s="212"/>
      <c r="U537" s="212"/>
      <c r="V537" s="212"/>
      <c r="W537" s="213"/>
      <c r="X537" s="203"/>
      <c r="Y537" s="203"/>
      <c r="Z537" s="203"/>
    </row>
    <row r="538" spans="1:26" ht="25.5" customHeight="1">
      <c r="A538" s="203"/>
      <c r="B538" s="203"/>
      <c r="C538" s="203"/>
      <c r="D538" s="203"/>
      <c r="E538" s="203"/>
      <c r="F538" s="203"/>
      <c r="G538" s="203"/>
      <c r="H538" s="203"/>
      <c r="I538" s="203"/>
      <c r="J538" s="203"/>
      <c r="K538" s="203"/>
      <c r="L538" s="203"/>
      <c r="M538" s="203"/>
      <c r="N538" s="203"/>
      <c r="O538" s="203"/>
      <c r="P538" s="211"/>
      <c r="Q538" s="212"/>
      <c r="R538" s="212"/>
      <c r="S538" s="212"/>
      <c r="T538" s="212"/>
      <c r="U538" s="212"/>
      <c r="V538" s="212"/>
      <c r="W538" s="213"/>
      <c r="X538" s="203"/>
      <c r="Y538" s="203"/>
      <c r="Z538" s="203"/>
    </row>
    <row r="539" spans="1:26" ht="25.5" customHeight="1">
      <c r="A539" s="203"/>
      <c r="B539" s="203"/>
      <c r="C539" s="203"/>
      <c r="D539" s="203"/>
      <c r="E539" s="203"/>
      <c r="F539" s="203"/>
      <c r="G539" s="203"/>
      <c r="H539" s="203"/>
      <c r="I539" s="203"/>
      <c r="J539" s="203"/>
      <c r="K539" s="203"/>
      <c r="L539" s="203"/>
      <c r="M539" s="203"/>
      <c r="N539" s="203"/>
      <c r="O539" s="203"/>
      <c r="P539" s="211"/>
      <c r="Q539" s="212"/>
      <c r="R539" s="212"/>
      <c r="S539" s="212"/>
      <c r="T539" s="212"/>
      <c r="U539" s="212"/>
      <c r="V539" s="212"/>
      <c r="W539" s="213"/>
      <c r="X539" s="203"/>
      <c r="Y539" s="203"/>
      <c r="Z539" s="203"/>
    </row>
    <row r="540" spans="1:26" ht="25.5" customHeight="1">
      <c r="A540" s="203"/>
      <c r="B540" s="203"/>
      <c r="C540" s="203"/>
      <c r="D540" s="203"/>
      <c r="E540" s="203"/>
      <c r="F540" s="203"/>
      <c r="G540" s="203"/>
      <c r="H540" s="203"/>
      <c r="I540" s="203"/>
      <c r="J540" s="203"/>
      <c r="K540" s="203"/>
      <c r="L540" s="203"/>
      <c r="M540" s="203"/>
      <c r="N540" s="203"/>
      <c r="O540" s="203"/>
      <c r="P540" s="211"/>
      <c r="Q540" s="212"/>
      <c r="R540" s="212"/>
      <c r="S540" s="212"/>
      <c r="T540" s="212"/>
      <c r="U540" s="212"/>
      <c r="V540" s="212"/>
      <c r="W540" s="213"/>
      <c r="X540" s="203"/>
      <c r="Y540" s="203"/>
      <c r="Z540" s="203"/>
    </row>
    <row r="541" spans="1:26" ht="25.5" customHeight="1">
      <c r="A541" s="203"/>
      <c r="B541" s="203"/>
      <c r="C541" s="203"/>
      <c r="D541" s="203"/>
      <c r="E541" s="203"/>
      <c r="F541" s="203"/>
      <c r="G541" s="203"/>
      <c r="H541" s="203"/>
      <c r="I541" s="203"/>
      <c r="J541" s="203"/>
      <c r="K541" s="203"/>
      <c r="L541" s="203"/>
      <c r="M541" s="203"/>
      <c r="N541" s="203"/>
      <c r="O541" s="203"/>
      <c r="P541" s="211"/>
      <c r="Q541" s="212"/>
      <c r="R541" s="212"/>
      <c r="S541" s="212"/>
      <c r="T541" s="212"/>
      <c r="U541" s="212"/>
      <c r="V541" s="212"/>
      <c r="W541" s="213"/>
      <c r="X541" s="203"/>
      <c r="Y541" s="203"/>
      <c r="Z541" s="203"/>
    </row>
    <row r="542" spans="1:26" ht="25.5" customHeight="1">
      <c r="A542" s="203"/>
      <c r="B542" s="203"/>
      <c r="C542" s="203"/>
      <c r="D542" s="203"/>
      <c r="E542" s="203"/>
      <c r="F542" s="203"/>
      <c r="G542" s="203"/>
      <c r="H542" s="203"/>
      <c r="I542" s="203"/>
      <c r="J542" s="203"/>
      <c r="K542" s="203"/>
      <c r="L542" s="203"/>
      <c r="M542" s="203"/>
      <c r="N542" s="203"/>
      <c r="O542" s="203"/>
      <c r="P542" s="211"/>
      <c r="Q542" s="212"/>
      <c r="R542" s="212"/>
      <c r="S542" s="212"/>
      <c r="T542" s="212"/>
      <c r="U542" s="212"/>
      <c r="V542" s="212"/>
      <c r="W542" s="213"/>
      <c r="X542" s="203"/>
      <c r="Y542" s="203"/>
      <c r="Z542" s="203"/>
    </row>
    <row r="543" spans="1:26" ht="25.5" customHeight="1">
      <c r="A543" s="203"/>
      <c r="B543" s="203"/>
      <c r="C543" s="203"/>
      <c r="D543" s="203"/>
      <c r="E543" s="203"/>
      <c r="F543" s="203"/>
      <c r="G543" s="203"/>
      <c r="H543" s="203"/>
      <c r="I543" s="203"/>
      <c r="J543" s="203"/>
      <c r="K543" s="203"/>
      <c r="L543" s="203"/>
      <c r="M543" s="203"/>
      <c r="N543" s="203"/>
      <c r="O543" s="203"/>
      <c r="P543" s="211"/>
      <c r="Q543" s="212"/>
      <c r="R543" s="212"/>
      <c r="S543" s="212"/>
      <c r="T543" s="212"/>
      <c r="U543" s="212"/>
      <c r="V543" s="212"/>
      <c r="W543" s="213"/>
      <c r="X543" s="203"/>
      <c r="Y543" s="203"/>
      <c r="Z543" s="203"/>
    </row>
    <row r="544" spans="1:26" ht="25.5" customHeight="1">
      <c r="A544" s="203"/>
      <c r="B544" s="203"/>
      <c r="C544" s="203"/>
      <c r="D544" s="203"/>
      <c r="E544" s="203"/>
      <c r="F544" s="203"/>
      <c r="G544" s="203"/>
      <c r="H544" s="203"/>
      <c r="I544" s="203"/>
      <c r="J544" s="203"/>
      <c r="K544" s="203"/>
      <c r="L544" s="203"/>
      <c r="M544" s="203"/>
      <c r="N544" s="203"/>
      <c r="O544" s="203"/>
      <c r="P544" s="211"/>
      <c r="Q544" s="212"/>
      <c r="R544" s="212"/>
      <c r="S544" s="212"/>
      <c r="T544" s="212"/>
      <c r="U544" s="212"/>
      <c r="V544" s="212"/>
      <c r="W544" s="213"/>
      <c r="X544" s="203"/>
      <c r="Y544" s="203"/>
      <c r="Z544" s="203"/>
    </row>
    <row r="545" spans="1:26" ht="25.5" customHeight="1">
      <c r="A545" s="203"/>
      <c r="B545" s="203"/>
      <c r="C545" s="203"/>
      <c r="D545" s="203"/>
      <c r="E545" s="203"/>
      <c r="F545" s="203"/>
      <c r="G545" s="203"/>
      <c r="H545" s="203"/>
      <c r="I545" s="203"/>
      <c r="J545" s="203"/>
      <c r="K545" s="203"/>
      <c r="L545" s="203"/>
      <c r="M545" s="203"/>
      <c r="N545" s="203"/>
      <c r="O545" s="203"/>
      <c r="P545" s="211"/>
      <c r="Q545" s="212"/>
      <c r="R545" s="212"/>
      <c r="S545" s="212"/>
      <c r="T545" s="212"/>
      <c r="U545" s="212"/>
      <c r="V545" s="212"/>
      <c r="W545" s="213"/>
      <c r="X545" s="203"/>
      <c r="Y545" s="203"/>
      <c r="Z545" s="203"/>
    </row>
    <row r="546" spans="1:26" ht="25.5" customHeight="1">
      <c r="A546" s="203"/>
      <c r="B546" s="203"/>
      <c r="C546" s="203"/>
      <c r="D546" s="203"/>
      <c r="E546" s="203"/>
      <c r="F546" s="203"/>
      <c r="G546" s="203"/>
      <c r="H546" s="203"/>
      <c r="I546" s="203"/>
      <c r="J546" s="203"/>
      <c r="K546" s="203"/>
      <c r="L546" s="203"/>
      <c r="M546" s="203"/>
      <c r="N546" s="203"/>
      <c r="O546" s="203"/>
      <c r="P546" s="211"/>
      <c r="Q546" s="212"/>
      <c r="R546" s="212"/>
      <c r="S546" s="212"/>
      <c r="T546" s="212"/>
      <c r="U546" s="212"/>
      <c r="V546" s="212"/>
      <c r="W546" s="213"/>
      <c r="X546" s="203"/>
      <c r="Y546" s="203"/>
      <c r="Z546" s="203"/>
    </row>
    <row r="547" spans="1:26" ht="25.5" customHeight="1">
      <c r="A547" s="203"/>
      <c r="B547" s="203"/>
      <c r="C547" s="203"/>
      <c r="D547" s="203"/>
      <c r="E547" s="203"/>
      <c r="F547" s="203"/>
      <c r="G547" s="203"/>
      <c r="H547" s="203"/>
      <c r="I547" s="203"/>
      <c r="J547" s="203"/>
      <c r="K547" s="203"/>
      <c r="L547" s="203"/>
      <c r="M547" s="203"/>
      <c r="N547" s="203"/>
      <c r="O547" s="203"/>
      <c r="P547" s="211"/>
      <c r="Q547" s="212"/>
      <c r="R547" s="212"/>
      <c r="S547" s="212"/>
      <c r="T547" s="212"/>
      <c r="U547" s="212"/>
      <c r="V547" s="212"/>
      <c r="W547" s="213"/>
      <c r="X547" s="203"/>
      <c r="Y547" s="203"/>
      <c r="Z547" s="203"/>
    </row>
    <row r="548" spans="1:26" ht="25.5" customHeight="1">
      <c r="A548" s="203"/>
      <c r="B548" s="203"/>
      <c r="C548" s="203"/>
      <c r="D548" s="203"/>
      <c r="E548" s="203"/>
      <c r="F548" s="203"/>
      <c r="G548" s="203"/>
      <c r="H548" s="203"/>
      <c r="I548" s="203"/>
      <c r="J548" s="203"/>
      <c r="K548" s="203"/>
      <c r="L548" s="203"/>
      <c r="M548" s="203"/>
      <c r="N548" s="203"/>
      <c r="O548" s="203"/>
      <c r="P548" s="211"/>
      <c r="Q548" s="212"/>
      <c r="R548" s="212"/>
      <c r="S548" s="212"/>
      <c r="T548" s="212"/>
      <c r="U548" s="212"/>
      <c r="V548" s="212"/>
      <c r="W548" s="213"/>
      <c r="X548" s="203"/>
      <c r="Y548" s="203"/>
      <c r="Z548" s="203"/>
    </row>
    <row r="549" spans="1:26" ht="25.5" customHeight="1">
      <c r="A549" s="203"/>
      <c r="B549" s="203"/>
      <c r="C549" s="203"/>
      <c r="D549" s="203"/>
      <c r="E549" s="203"/>
      <c r="F549" s="203"/>
      <c r="G549" s="203"/>
      <c r="H549" s="203"/>
      <c r="I549" s="203"/>
      <c r="J549" s="203"/>
      <c r="K549" s="203"/>
      <c r="L549" s="203"/>
      <c r="M549" s="203"/>
      <c r="N549" s="203"/>
      <c r="O549" s="203"/>
      <c r="P549" s="211"/>
      <c r="Q549" s="212"/>
      <c r="R549" s="212"/>
      <c r="S549" s="212"/>
      <c r="T549" s="212"/>
      <c r="U549" s="212"/>
      <c r="V549" s="212"/>
      <c r="W549" s="213"/>
      <c r="X549" s="203"/>
      <c r="Y549" s="203"/>
      <c r="Z549" s="203"/>
    </row>
    <row r="550" spans="1:26" ht="25.5" customHeight="1">
      <c r="A550" s="203"/>
      <c r="B550" s="203"/>
      <c r="C550" s="203"/>
      <c r="D550" s="203"/>
      <c r="E550" s="203"/>
      <c r="F550" s="203"/>
      <c r="G550" s="203"/>
      <c r="H550" s="203"/>
      <c r="I550" s="203"/>
      <c r="J550" s="203"/>
      <c r="K550" s="203"/>
      <c r="L550" s="203"/>
      <c r="M550" s="203"/>
      <c r="N550" s="203"/>
      <c r="O550" s="203"/>
      <c r="P550" s="211"/>
      <c r="Q550" s="212"/>
      <c r="R550" s="212"/>
      <c r="S550" s="212"/>
      <c r="T550" s="212"/>
      <c r="U550" s="212"/>
      <c r="V550" s="212"/>
      <c r="W550" s="213"/>
      <c r="X550" s="203"/>
      <c r="Y550" s="203"/>
      <c r="Z550" s="203"/>
    </row>
    <row r="551" spans="1:26" ht="25.5" customHeight="1">
      <c r="A551" s="203"/>
      <c r="B551" s="203"/>
      <c r="C551" s="203"/>
      <c r="D551" s="203"/>
      <c r="E551" s="203"/>
      <c r="F551" s="203"/>
      <c r="G551" s="203"/>
      <c r="H551" s="203"/>
      <c r="I551" s="203"/>
      <c r="J551" s="203"/>
      <c r="K551" s="203"/>
      <c r="L551" s="203"/>
      <c r="M551" s="203"/>
      <c r="N551" s="203"/>
      <c r="O551" s="203"/>
      <c r="P551" s="211"/>
      <c r="Q551" s="212"/>
      <c r="R551" s="212"/>
      <c r="S551" s="212"/>
      <c r="T551" s="212"/>
      <c r="U551" s="212"/>
      <c r="V551" s="212"/>
      <c r="W551" s="213"/>
      <c r="X551" s="203"/>
      <c r="Y551" s="203"/>
      <c r="Z551" s="203"/>
    </row>
    <row r="552" spans="1:26" ht="25.5" customHeight="1">
      <c r="A552" s="203"/>
      <c r="B552" s="203"/>
      <c r="C552" s="203"/>
      <c r="D552" s="203"/>
      <c r="E552" s="203"/>
      <c r="F552" s="203"/>
      <c r="G552" s="203"/>
      <c r="H552" s="203"/>
      <c r="I552" s="203"/>
      <c r="J552" s="203"/>
      <c r="K552" s="203"/>
      <c r="L552" s="203"/>
      <c r="M552" s="203"/>
      <c r="N552" s="203"/>
      <c r="O552" s="203"/>
      <c r="P552" s="211"/>
      <c r="Q552" s="212"/>
      <c r="R552" s="212"/>
      <c r="S552" s="212"/>
      <c r="T552" s="212"/>
      <c r="U552" s="212"/>
      <c r="V552" s="212"/>
      <c r="W552" s="213"/>
      <c r="X552" s="203"/>
      <c r="Y552" s="203"/>
      <c r="Z552" s="203"/>
    </row>
    <row r="553" spans="1:26" ht="25.5" customHeight="1">
      <c r="A553" s="203"/>
      <c r="B553" s="203"/>
      <c r="C553" s="203"/>
      <c r="D553" s="203"/>
      <c r="E553" s="203"/>
      <c r="F553" s="203"/>
      <c r="G553" s="203"/>
      <c r="H553" s="203"/>
      <c r="I553" s="203"/>
      <c r="J553" s="203"/>
      <c r="K553" s="203"/>
      <c r="L553" s="203"/>
      <c r="M553" s="203"/>
      <c r="N553" s="203"/>
      <c r="O553" s="203"/>
      <c r="P553" s="211"/>
      <c r="Q553" s="212"/>
      <c r="R553" s="212"/>
      <c r="S553" s="212"/>
      <c r="T553" s="212"/>
      <c r="U553" s="212"/>
      <c r="V553" s="212"/>
      <c r="W553" s="213"/>
      <c r="X553" s="203"/>
      <c r="Y553" s="203"/>
      <c r="Z553" s="203"/>
    </row>
    <row r="554" spans="1:26" ht="25.5" customHeight="1">
      <c r="A554" s="203"/>
      <c r="B554" s="203"/>
      <c r="C554" s="203"/>
      <c r="D554" s="203"/>
      <c r="E554" s="203"/>
      <c r="F554" s="203"/>
      <c r="G554" s="203"/>
      <c r="H554" s="203"/>
      <c r="I554" s="203"/>
      <c r="J554" s="203"/>
      <c r="K554" s="203"/>
      <c r="L554" s="203"/>
      <c r="M554" s="203"/>
      <c r="N554" s="203"/>
      <c r="O554" s="203"/>
      <c r="P554" s="211"/>
      <c r="Q554" s="212"/>
      <c r="R554" s="212"/>
      <c r="S554" s="212"/>
      <c r="T554" s="212"/>
      <c r="U554" s="212"/>
      <c r="V554" s="212"/>
      <c r="W554" s="213"/>
      <c r="X554" s="203"/>
      <c r="Y554" s="203"/>
      <c r="Z554" s="203"/>
    </row>
    <row r="555" spans="1:26" ht="25.5" customHeight="1">
      <c r="A555" s="203"/>
      <c r="B555" s="203"/>
      <c r="C555" s="203"/>
      <c r="D555" s="203"/>
      <c r="E555" s="203"/>
      <c r="F555" s="203"/>
      <c r="G555" s="203"/>
      <c r="H555" s="203"/>
      <c r="I555" s="203"/>
      <c r="J555" s="203"/>
      <c r="K555" s="203"/>
      <c r="L555" s="203"/>
      <c r="M555" s="203"/>
      <c r="N555" s="203"/>
      <c r="O555" s="203"/>
      <c r="P555" s="211"/>
      <c r="Q555" s="212"/>
      <c r="R555" s="212"/>
      <c r="S555" s="212"/>
      <c r="T555" s="212"/>
      <c r="U555" s="212"/>
      <c r="V555" s="212"/>
      <c r="W555" s="213"/>
      <c r="X555" s="203"/>
      <c r="Y555" s="203"/>
      <c r="Z555" s="203"/>
    </row>
    <row r="556" spans="1:26" ht="25.5" customHeight="1">
      <c r="A556" s="203"/>
      <c r="B556" s="203"/>
      <c r="C556" s="203"/>
      <c r="D556" s="203"/>
      <c r="E556" s="203"/>
      <c r="F556" s="203"/>
      <c r="G556" s="203"/>
      <c r="H556" s="203"/>
      <c r="I556" s="203"/>
      <c r="J556" s="203"/>
      <c r="K556" s="203"/>
      <c r="L556" s="203"/>
      <c r="M556" s="203"/>
      <c r="N556" s="203"/>
      <c r="O556" s="203"/>
      <c r="P556" s="211"/>
      <c r="Q556" s="212"/>
      <c r="R556" s="212"/>
      <c r="S556" s="212"/>
      <c r="T556" s="212"/>
      <c r="U556" s="212"/>
      <c r="V556" s="212"/>
      <c r="W556" s="213"/>
      <c r="X556" s="203"/>
      <c r="Y556" s="203"/>
      <c r="Z556" s="203"/>
    </row>
    <row r="557" spans="1:26" ht="25.5" customHeight="1">
      <c r="A557" s="203"/>
      <c r="B557" s="203"/>
      <c r="C557" s="203"/>
      <c r="D557" s="203"/>
      <c r="E557" s="203"/>
      <c r="F557" s="203"/>
      <c r="G557" s="203"/>
      <c r="H557" s="203"/>
      <c r="I557" s="203"/>
      <c r="J557" s="203"/>
      <c r="K557" s="203"/>
      <c r="L557" s="203"/>
      <c r="M557" s="203"/>
      <c r="N557" s="203"/>
      <c r="O557" s="203"/>
      <c r="P557" s="211"/>
      <c r="Q557" s="212"/>
      <c r="R557" s="212"/>
      <c r="S557" s="212"/>
      <c r="T557" s="212"/>
      <c r="U557" s="212"/>
      <c r="V557" s="212"/>
      <c r="W557" s="213"/>
      <c r="X557" s="203"/>
      <c r="Y557" s="203"/>
      <c r="Z557" s="203"/>
    </row>
    <row r="558" spans="1:26" ht="25.5" customHeight="1">
      <c r="A558" s="203"/>
      <c r="B558" s="203"/>
      <c r="C558" s="203"/>
      <c r="D558" s="203"/>
      <c r="E558" s="203"/>
      <c r="F558" s="203"/>
      <c r="G558" s="203"/>
      <c r="H558" s="203"/>
      <c r="I558" s="203"/>
      <c r="J558" s="203"/>
      <c r="K558" s="203"/>
      <c r="L558" s="203"/>
      <c r="M558" s="203"/>
      <c r="N558" s="203"/>
      <c r="O558" s="203"/>
      <c r="P558" s="211"/>
      <c r="Q558" s="212"/>
      <c r="R558" s="212"/>
      <c r="S558" s="212"/>
      <c r="T558" s="212"/>
      <c r="U558" s="212"/>
      <c r="V558" s="212"/>
      <c r="W558" s="213"/>
      <c r="X558" s="203"/>
      <c r="Y558" s="203"/>
      <c r="Z558" s="203"/>
    </row>
    <row r="559" spans="1:26" ht="25.5" customHeight="1">
      <c r="A559" s="203"/>
      <c r="B559" s="203"/>
      <c r="C559" s="203"/>
      <c r="D559" s="203"/>
      <c r="E559" s="203"/>
      <c r="F559" s="203"/>
      <c r="G559" s="203"/>
      <c r="H559" s="203"/>
      <c r="I559" s="203"/>
      <c r="J559" s="203"/>
      <c r="K559" s="203"/>
      <c r="L559" s="203"/>
      <c r="M559" s="203"/>
      <c r="N559" s="203"/>
      <c r="O559" s="203"/>
      <c r="P559" s="211"/>
      <c r="Q559" s="212"/>
      <c r="R559" s="212"/>
      <c r="S559" s="212"/>
      <c r="T559" s="212"/>
      <c r="U559" s="212"/>
      <c r="V559" s="212"/>
      <c r="W559" s="213"/>
      <c r="X559" s="203"/>
      <c r="Y559" s="203"/>
      <c r="Z559" s="203"/>
    </row>
    <row r="560" spans="1:26" ht="25.5" customHeight="1">
      <c r="A560" s="203"/>
      <c r="B560" s="203"/>
      <c r="C560" s="203"/>
      <c r="D560" s="203"/>
      <c r="E560" s="203"/>
      <c r="F560" s="203"/>
      <c r="G560" s="203"/>
      <c r="H560" s="203"/>
      <c r="I560" s="203"/>
      <c r="J560" s="203"/>
      <c r="K560" s="203"/>
      <c r="L560" s="203"/>
      <c r="M560" s="203"/>
      <c r="N560" s="203"/>
      <c r="O560" s="203"/>
      <c r="P560" s="211"/>
      <c r="Q560" s="212"/>
      <c r="R560" s="212"/>
      <c r="S560" s="212"/>
      <c r="T560" s="212"/>
      <c r="U560" s="212"/>
      <c r="V560" s="212"/>
      <c r="W560" s="213"/>
      <c r="X560" s="203"/>
      <c r="Y560" s="203"/>
      <c r="Z560" s="203"/>
    </row>
    <row r="561" spans="1:26" ht="25.5" customHeight="1">
      <c r="A561" s="203"/>
      <c r="B561" s="203"/>
      <c r="C561" s="203"/>
      <c r="D561" s="203"/>
      <c r="E561" s="203"/>
      <c r="F561" s="203"/>
      <c r="G561" s="203"/>
      <c r="H561" s="203"/>
      <c r="I561" s="203"/>
      <c r="J561" s="203"/>
      <c r="K561" s="203"/>
      <c r="L561" s="203"/>
      <c r="M561" s="203"/>
      <c r="N561" s="203"/>
      <c r="O561" s="203"/>
      <c r="P561" s="211"/>
      <c r="Q561" s="212"/>
      <c r="R561" s="212"/>
      <c r="S561" s="212"/>
      <c r="T561" s="212"/>
      <c r="U561" s="212"/>
      <c r="V561" s="212"/>
      <c r="W561" s="213"/>
      <c r="X561" s="203"/>
      <c r="Y561" s="203"/>
      <c r="Z561" s="203"/>
    </row>
    <row r="562" spans="1:26" ht="25.5" customHeight="1">
      <c r="A562" s="203"/>
      <c r="B562" s="203"/>
      <c r="C562" s="203"/>
      <c r="D562" s="203"/>
      <c r="E562" s="203"/>
      <c r="F562" s="203"/>
      <c r="G562" s="203"/>
      <c r="H562" s="203"/>
      <c r="I562" s="203"/>
      <c r="J562" s="203"/>
      <c r="K562" s="203"/>
      <c r="L562" s="203"/>
      <c r="M562" s="203"/>
      <c r="N562" s="203"/>
      <c r="O562" s="203"/>
      <c r="P562" s="211"/>
      <c r="Q562" s="212"/>
      <c r="R562" s="212"/>
      <c r="S562" s="212"/>
      <c r="T562" s="212"/>
      <c r="U562" s="212"/>
      <c r="V562" s="212"/>
      <c r="W562" s="213"/>
      <c r="X562" s="203"/>
      <c r="Y562" s="203"/>
      <c r="Z562" s="203"/>
    </row>
    <row r="563" spans="1:26" ht="25.5" customHeight="1">
      <c r="A563" s="203"/>
      <c r="B563" s="203"/>
      <c r="C563" s="203"/>
      <c r="D563" s="203"/>
      <c r="E563" s="203"/>
      <c r="F563" s="203"/>
      <c r="G563" s="203"/>
      <c r="H563" s="203"/>
      <c r="I563" s="203"/>
      <c r="J563" s="203"/>
      <c r="K563" s="203"/>
      <c r="L563" s="203"/>
      <c r="M563" s="203"/>
      <c r="N563" s="203"/>
      <c r="O563" s="203"/>
      <c r="P563" s="211"/>
      <c r="Q563" s="212"/>
      <c r="R563" s="212"/>
      <c r="S563" s="212"/>
      <c r="T563" s="212"/>
      <c r="U563" s="212"/>
      <c r="V563" s="212"/>
      <c r="W563" s="213"/>
      <c r="X563" s="203"/>
      <c r="Y563" s="203"/>
      <c r="Z563" s="203"/>
    </row>
    <row r="564" spans="1:26" ht="25.5" customHeight="1">
      <c r="A564" s="203"/>
      <c r="B564" s="203"/>
      <c r="C564" s="203"/>
      <c r="D564" s="203"/>
      <c r="E564" s="203"/>
      <c r="F564" s="203"/>
      <c r="G564" s="203"/>
      <c r="H564" s="203"/>
      <c r="I564" s="203"/>
      <c r="J564" s="203"/>
      <c r="K564" s="203"/>
      <c r="L564" s="203"/>
      <c r="M564" s="203"/>
      <c r="N564" s="203"/>
      <c r="O564" s="203"/>
      <c r="P564" s="211"/>
      <c r="Q564" s="212"/>
      <c r="R564" s="212"/>
      <c r="S564" s="212"/>
      <c r="T564" s="212"/>
      <c r="U564" s="212"/>
      <c r="V564" s="212"/>
      <c r="W564" s="213"/>
      <c r="X564" s="203"/>
      <c r="Y564" s="203"/>
      <c r="Z564" s="203"/>
    </row>
    <row r="565" spans="1:26" ht="25.5" customHeight="1">
      <c r="A565" s="203"/>
      <c r="B565" s="203"/>
      <c r="C565" s="203"/>
      <c r="D565" s="203"/>
      <c r="E565" s="203"/>
      <c r="F565" s="203"/>
      <c r="G565" s="203"/>
      <c r="H565" s="203"/>
      <c r="I565" s="203"/>
      <c r="J565" s="203"/>
      <c r="K565" s="203"/>
      <c r="L565" s="203"/>
      <c r="M565" s="203"/>
      <c r="N565" s="203"/>
      <c r="O565" s="203"/>
      <c r="P565" s="211"/>
      <c r="Q565" s="212"/>
      <c r="R565" s="212"/>
      <c r="S565" s="212"/>
      <c r="T565" s="212"/>
      <c r="U565" s="212"/>
      <c r="V565" s="212"/>
      <c r="W565" s="213"/>
      <c r="X565" s="203"/>
      <c r="Y565" s="203"/>
      <c r="Z565" s="203"/>
    </row>
    <row r="566" spans="1:26" ht="25.5" customHeight="1">
      <c r="A566" s="203"/>
      <c r="B566" s="203"/>
      <c r="C566" s="203"/>
      <c r="D566" s="203"/>
      <c r="E566" s="203"/>
      <c r="F566" s="203"/>
      <c r="G566" s="203"/>
      <c r="H566" s="203"/>
      <c r="I566" s="203"/>
      <c r="J566" s="203"/>
      <c r="K566" s="203"/>
      <c r="L566" s="203"/>
      <c r="M566" s="203"/>
      <c r="N566" s="203"/>
      <c r="O566" s="203"/>
      <c r="P566" s="211"/>
      <c r="Q566" s="212"/>
      <c r="R566" s="212"/>
      <c r="S566" s="212"/>
      <c r="T566" s="212"/>
      <c r="U566" s="212"/>
      <c r="V566" s="212"/>
      <c r="W566" s="213"/>
      <c r="X566" s="203"/>
      <c r="Y566" s="203"/>
      <c r="Z566" s="203"/>
    </row>
    <row r="567" spans="1:26" ht="25.5" customHeight="1">
      <c r="A567" s="203"/>
      <c r="B567" s="203"/>
      <c r="C567" s="203"/>
      <c r="D567" s="203"/>
      <c r="E567" s="203"/>
      <c r="F567" s="203"/>
      <c r="G567" s="203"/>
      <c r="H567" s="203"/>
      <c r="I567" s="203"/>
      <c r="J567" s="203"/>
      <c r="K567" s="203"/>
      <c r="L567" s="203"/>
      <c r="M567" s="203"/>
      <c r="N567" s="203"/>
      <c r="O567" s="203"/>
      <c r="P567" s="211"/>
      <c r="Q567" s="212"/>
      <c r="R567" s="212"/>
      <c r="S567" s="212"/>
      <c r="T567" s="212"/>
      <c r="U567" s="212"/>
      <c r="V567" s="212"/>
      <c r="W567" s="213"/>
      <c r="X567" s="203"/>
      <c r="Y567" s="203"/>
      <c r="Z567" s="203"/>
    </row>
    <row r="568" spans="1:26" ht="25.5" customHeight="1">
      <c r="A568" s="203"/>
      <c r="B568" s="203"/>
      <c r="C568" s="203"/>
      <c r="D568" s="203"/>
      <c r="E568" s="203"/>
      <c r="F568" s="203"/>
      <c r="G568" s="203"/>
      <c r="H568" s="203"/>
      <c r="I568" s="203"/>
      <c r="J568" s="203"/>
      <c r="K568" s="203"/>
      <c r="L568" s="203"/>
      <c r="M568" s="203"/>
      <c r="N568" s="203"/>
      <c r="O568" s="203"/>
      <c r="P568" s="211"/>
      <c r="Q568" s="212"/>
      <c r="R568" s="212"/>
      <c r="S568" s="212"/>
      <c r="T568" s="212"/>
      <c r="U568" s="212"/>
      <c r="V568" s="212"/>
      <c r="W568" s="213"/>
      <c r="X568" s="203"/>
      <c r="Y568" s="203"/>
      <c r="Z568" s="203"/>
    </row>
    <row r="569" spans="1:26" ht="25.5" customHeight="1">
      <c r="A569" s="203"/>
      <c r="B569" s="203"/>
      <c r="C569" s="203"/>
      <c r="D569" s="203"/>
      <c r="E569" s="203"/>
      <c r="F569" s="203"/>
      <c r="G569" s="203"/>
      <c r="H569" s="203"/>
      <c r="I569" s="203"/>
      <c r="J569" s="203"/>
      <c r="K569" s="203"/>
      <c r="L569" s="203"/>
      <c r="M569" s="203"/>
      <c r="N569" s="203"/>
      <c r="O569" s="203"/>
      <c r="P569" s="211"/>
      <c r="Q569" s="212"/>
      <c r="R569" s="212"/>
      <c r="S569" s="212"/>
      <c r="T569" s="212"/>
      <c r="U569" s="212"/>
      <c r="V569" s="212"/>
      <c r="W569" s="213"/>
      <c r="X569" s="203"/>
      <c r="Y569" s="203"/>
      <c r="Z569" s="203"/>
    </row>
    <row r="570" spans="1:26" ht="25.5" customHeight="1">
      <c r="A570" s="203"/>
      <c r="B570" s="203"/>
      <c r="C570" s="203"/>
      <c r="D570" s="203"/>
      <c r="E570" s="203"/>
      <c r="F570" s="203"/>
      <c r="G570" s="203"/>
      <c r="H570" s="203"/>
      <c r="I570" s="203"/>
      <c r="J570" s="203"/>
      <c r="K570" s="203"/>
      <c r="L570" s="203"/>
      <c r="M570" s="203"/>
      <c r="N570" s="203"/>
      <c r="O570" s="203"/>
      <c r="P570" s="211"/>
      <c r="Q570" s="212"/>
      <c r="R570" s="212"/>
      <c r="S570" s="212"/>
      <c r="T570" s="212"/>
      <c r="U570" s="212"/>
      <c r="V570" s="212"/>
      <c r="W570" s="213"/>
      <c r="X570" s="203"/>
      <c r="Y570" s="203"/>
      <c r="Z570" s="203"/>
    </row>
    <row r="571" spans="1:26" ht="25.5" customHeight="1">
      <c r="A571" s="203"/>
      <c r="B571" s="203"/>
      <c r="C571" s="203"/>
      <c r="D571" s="203"/>
      <c r="E571" s="203"/>
      <c r="F571" s="203"/>
      <c r="G571" s="203"/>
      <c r="H571" s="203"/>
      <c r="I571" s="203"/>
      <c r="J571" s="203"/>
      <c r="K571" s="203"/>
      <c r="L571" s="203"/>
      <c r="M571" s="203"/>
      <c r="N571" s="203"/>
      <c r="O571" s="203"/>
      <c r="P571" s="211"/>
      <c r="Q571" s="212"/>
      <c r="R571" s="212"/>
      <c r="S571" s="212"/>
      <c r="T571" s="212"/>
      <c r="U571" s="212"/>
      <c r="V571" s="212"/>
      <c r="W571" s="213"/>
      <c r="X571" s="203"/>
      <c r="Y571" s="203"/>
      <c r="Z571" s="203"/>
    </row>
    <row r="572" spans="1:26" ht="25.5" customHeight="1">
      <c r="A572" s="203"/>
      <c r="B572" s="203"/>
      <c r="C572" s="203"/>
      <c r="D572" s="203"/>
      <c r="E572" s="203"/>
      <c r="F572" s="203"/>
      <c r="G572" s="203"/>
      <c r="H572" s="203"/>
      <c r="I572" s="203"/>
      <c r="J572" s="203"/>
      <c r="K572" s="203"/>
      <c r="L572" s="203"/>
      <c r="M572" s="203"/>
      <c r="N572" s="203"/>
      <c r="O572" s="203"/>
      <c r="P572" s="211"/>
      <c r="Q572" s="212"/>
      <c r="R572" s="212"/>
      <c r="S572" s="212"/>
      <c r="T572" s="212"/>
      <c r="U572" s="212"/>
      <c r="V572" s="212"/>
      <c r="W572" s="213"/>
      <c r="X572" s="203"/>
      <c r="Y572" s="203"/>
      <c r="Z572" s="203"/>
    </row>
    <row r="573" spans="1:26" ht="25.5" customHeight="1">
      <c r="A573" s="203"/>
      <c r="B573" s="203"/>
      <c r="C573" s="203"/>
      <c r="D573" s="203"/>
      <c r="E573" s="203"/>
      <c r="F573" s="203"/>
      <c r="G573" s="203"/>
      <c r="H573" s="203"/>
      <c r="I573" s="203"/>
      <c r="J573" s="203"/>
      <c r="K573" s="203"/>
      <c r="L573" s="203"/>
      <c r="M573" s="203"/>
      <c r="N573" s="203"/>
      <c r="O573" s="203"/>
      <c r="P573" s="211"/>
      <c r="Q573" s="212"/>
      <c r="R573" s="212"/>
      <c r="S573" s="212"/>
      <c r="T573" s="212"/>
      <c r="U573" s="212"/>
      <c r="V573" s="212"/>
      <c r="W573" s="213"/>
      <c r="X573" s="203"/>
      <c r="Y573" s="203"/>
      <c r="Z573" s="203"/>
    </row>
    <row r="574" spans="1:26" ht="25.5" customHeight="1">
      <c r="A574" s="203"/>
      <c r="B574" s="203"/>
      <c r="C574" s="203"/>
      <c r="D574" s="203"/>
      <c r="E574" s="203"/>
      <c r="F574" s="203"/>
      <c r="G574" s="203"/>
      <c r="H574" s="203"/>
      <c r="I574" s="203"/>
      <c r="J574" s="203"/>
      <c r="K574" s="203"/>
      <c r="L574" s="203"/>
      <c r="M574" s="203"/>
      <c r="N574" s="203"/>
      <c r="O574" s="203"/>
      <c r="P574" s="211"/>
      <c r="Q574" s="212"/>
      <c r="R574" s="212"/>
      <c r="S574" s="212"/>
      <c r="T574" s="212"/>
      <c r="U574" s="212"/>
      <c r="V574" s="212"/>
      <c r="W574" s="213"/>
      <c r="X574" s="203"/>
      <c r="Y574" s="203"/>
      <c r="Z574" s="203"/>
    </row>
    <row r="575" spans="1:26" ht="25.5" customHeight="1">
      <c r="A575" s="203"/>
      <c r="B575" s="203"/>
      <c r="C575" s="203"/>
      <c r="D575" s="203"/>
      <c r="E575" s="203"/>
      <c r="F575" s="203"/>
      <c r="G575" s="203"/>
      <c r="H575" s="203"/>
      <c r="I575" s="203"/>
      <c r="J575" s="203"/>
      <c r="K575" s="203"/>
      <c r="L575" s="203"/>
      <c r="M575" s="203"/>
      <c r="N575" s="203"/>
      <c r="O575" s="203"/>
      <c r="P575" s="211"/>
      <c r="Q575" s="212"/>
      <c r="R575" s="212"/>
      <c r="S575" s="212"/>
      <c r="T575" s="212"/>
      <c r="U575" s="212"/>
      <c r="V575" s="212"/>
      <c r="W575" s="213"/>
      <c r="X575" s="203"/>
      <c r="Y575" s="203"/>
      <c r="Z575" s="203"/>
    </row>
    <row r="576" spans="1:26" ht="25.5" customHeight="1">
      <c r="A576" s="203"/>
      <c r="B576" s="203"/>
      <c r="C576" s="203"/>
      <c r="D576" s="203"/>
      <c r="E576" s="203"/>
      <c r="F576" s="203"/>
      <c r="G576" s="203"/>
      <c r="H576" s="203"/>
      <c r="I576" s="203"/>
      <c r="J576" s="203"/>
      <c r="K576" s="203"/>
      <c r="L576" s="203"/>
      <c r="M576" s="203"/>
      <c r="N576" s="203"/>
      <c r="O576" s="203"/>
      <c r="P576" s="211"/>
      <c r="Q576" s="212"/>
      <c r="R576" s="212"/>
      <c r="S576" s="212"/>
      <c r="T576" s="212"/>
      <c r="U576" s="212"/>
      <c r="V576" s="212"/>
      <c r="W576" s="213"/>
      <c r="X576" s="203"/>
      <c r="Y576" s="203"/>
      <c r="Z576" s="203"/>
    </row>
    <row r="577" spans="1:26" ht="25.5" customHeight="1">
      <c r="A577" s="203"/>
      <c r="B577" s="203"/>
      <c r="C577" s="203"/>
      <c r="D577" s="203"/>
      <c r="E577" s="203"/>
      <c r="F577" s="203"/>
      <c r="G577" s="203"/>
      <c r="H577" s="203"/>
      <c r="I577" s="203"/>
      <c r="J577" s="203"/>
      <c r="K577" s="203"/>
      <c r="L577" s="203"/>
      <c r="M577" s="203"/>
      <c r="N577" s="203"/>
      <c r="O577" s="203"/>
      <c r="P577" s="211"/>
      <c r="Q577" s="212"/>
      <c r="R577" s="212"/>
      <c r="S577" s="212"/>
      <c r="T577" s="212"/>
      <c r="U577" s="212"/>
      <c r="V577" s="212"/>
      <c r="W577" s="213"/>
      <c r="X577" s="203"/>
      <c r="Y577" s="203"/>
      <c r="Z577" s="203"/>
    </row>
    <row r="578" spans="1:26" ht="25.5" customHeight="1">
      <c r="A578" s="203"/>
      <c r="B578" s="203"/>
      <c r="C578" s="203"/>
      <c r="D578" s="203"/>
      <c r="E578" s="203"/>
      <c r="F578" s="203"/>
      <c r="G578" s="203"/>
      <c r="H578" s="203"/>
      <c r="I578" s="203"/>
      <c r="J578" s="203"/>
      <c r="K578" s="203"/>
      <c r="L578" s="203"/>
      <c r="M578" s="203"/>
      <c r="N578" s="203"/>
      <c r="O578" s="203"/>
      <c r="P578" s="211"/>
      <c r="Q578" s="212"/>
      <c r="R578" s="212"/>
      <c r="S578" s="212"/>
      <c r="T578" s="212"/>
      <c r="U578" s="212"/>
      <c r="V578" s="212"/>
      <c r="W578" s="213"/>
      <c r="X578" s="203"/>
      <c r="Y578" s="203"/>
      <c r="Z578" s="203"/>
    </row>
    <row r="579" spans="1:26" ht="25.5" customHeight="1">
      <c r="A579" s="203"/>
      <c r="B579" s="203"/>
      <c r="C579" s="203"/>
      <c r="D579" s="203"/>
      <c r="E579" s="203"/>
      <c r="F579" s="203"/>
      <c r="G579" s="203"/>
      <c r="H579" s="203"/>
      <c r="I579" s="203"/>
      <c r="J579" s="203"/>
      <c r="K579" s="203"/>
      <c r="L579" s="203"/>
      <c r="M579" s="203"/>
      <c r="N579" s="203"/>
      <c r="O579" s="203"/>
      <c r="P579" s="211"/>
      <c r="Q579" s="212"/>
      <c r="R579" s="212"/>
      <c r="S579" s="212"/>
      <c r="T579" s="212"/>
      <c r="U579" s="212"/>
      <c r="V579" s="212"/>
      <c r="W579" s="213"/>
      <c r="X579" s="203"/>
      <c r="Y579" s="203"/>
      <c r="Z579" s="203"/>
    </row>
    <row r="580" spans="1:26" ht="25.5" customHeight="1">
      <c r="A580" s="203"/>
      <c r="B580" s="203"/>
      <c r="C580" s="203"/>
      <c r="D580" s="203"/>
      <c r="E580" s="203"/>
      <c r="F580" s="203"/>
      <c r="G580" s="203"/>
      <c r="H580" s="203"/>
      <c r="I580" s="203"/>
      <c r="J580" s="203"/>
      <c r="K580" s="203"/>
      <c r="L580" s="203"/>
      <c r="M580" s="203"/>
      <c r="N580" s="203"/>
      <c r="O580" s="203"/>
      <c r="P580" s="211"/>
      <c r="Q580" s="212"/>
      <c r="R580" s="212"/>
      <c r="S580" s="212"/>
      <c r="T580" s="212"/>
      <c r="U580" s="212"/>
      <c r="V580" s="212"/>
      <c r="W580" s="213"/>
      <c r="X580" s="203"/>
      <c r="Y580" s="203"/>
      <c r="Z580" s="203"/>
    </row>
    <row r="581" spans="1:26" ht="25.5" customHeight="1">
      <c r="A581" s="203"/>
      <c r="B581" s="203"/>
      <c r="C581" s="203"/>
      <c r="D581" s="203"/>
      <c r="E581" s="203"/>
      <c r="F581" s="203"/>
      <c r="G581" s="203"/>
      <c r="H581" s="203"/>
      <c r="I581" s="203"/>
      <c r="J581" s="203"/>
      <c r="K581" s="203"/>
      <c r="L581" s="203"/>
      <c r="M581" s="203"/>
      <c r="N581" s="203"/>
      <c r="O581" s="203"/>
      <c r="P581" s="211"/>
      <c r="Q581" s="212"/>
      <c r="R581" s="212"/>
      <c r="S581" s="212"/>
      <c r="T581" s="212"/>
      <c r="U581" s="212"/>
      <c r="V581" s="212"/>
      <c r="W581" s="213"/>
      <c r="X581" s="203"/>
      <c r="Y581" s="203"/>
      <c r="Z581" s="203"/>
    </row>
    <row r="582" spans="1:26" ht="25.5" customHeight="1">
      <c r="A582" s="203"/>
      <c r="B582" s="203"/>
      <c r="C582" s="203"/>
      <c r="D582" s="203"/>
      <c r="E582" s="203"/>
      <c r="F582" s="203"/>
      <c r="G582" s="203"/>
      <c r="H582" s="203"/>
      <c r="I582" s="203"/>
      <c r="J582" s="203"/>
      <c r="K582" s="203"/>
      <c r="L582" s="203"/>
      <c r="M582" s="203"/>
      <c r="N582" s="203"/>
      <c r="O582" s="203"/>
      <c r="P582" s="211"/>
      <c r="Q582" s="212"/>
      <c r="R582" s="212"/>
      <c r="S582" s="212"/>
      <c r="T582" s="212"/>
      <c r="U582" s="212"/>
      <c r="V582" s="212"/>
      <c r="W582" s="213"/>
      <c r="X582" s="203"/>
      <c r="Y582" s="203"/>
      <c r="Z582" s="203"/>
    </row>
    <row r="583" spans="1:26" ht="25.5" customHeight="1">
      <c r="A583" s="203"/>
      <c r="B583" s="203"/>
      <c r="C583" s="203"/>
      <c r="D583" s="203"/>
      <c r="E583" s="203"/>
      <c r="F583" s="203"/>
      <c r="G583" s="203"/>
      <c r="H583" s="203"/>
      <c r="I583" s="203"/>
      <c r="J583" s="203"/>
      <c r="K583" s="203"/>
      <c r="L583" s="203"/>
      <c r="M583" s="203"/>
      <c r="N583" s="203"/>
      <c r="O583" s="203"/>
      <c r="P583" s="211"/>
      <c r="Q583" s="212"/>
      <c r="R583" s="212"/>
      <c r="S583" s="212"/>
      <c r="T583" s="212"/>
      <c r="U583" s="212"/>
      <c r="V583" s="212"/>
      <c r="W583" s="213"/>
      <c r="X583" s="203"/>
      <c r="Y583" s="203"/>
      <c r="Z583" s="203"/>
    </row>
    <row r="584" spans="1:26" ht="25.5" customHeight="1">
      <c r="A584" s="203"/>
      <c r="B584" s="203"/>
      <c r="C584" s="203"/>
      <c r="D584" s="203"/>
      <c r="E584" s="203"/>
      <c r="F584" s="203"/>
      <c r="G584" s="203"/>
      <c r="H584" s="203"/>
      <c r="I584" s="203"/>
      <c r="J584" s="203"/>
      <c r="K584" s="203"/>
      <c r="L584" s="203"/>
      <c r="M584" s="203"/>
      <c r="N584" s="203"/>
      <c r="O584" s="203"/>
      <c r="P584" s="211"/>
      <c r="Q584" s="212"/>
      <c r="R584" s="212"/>
      <c r="S584" s="212"/>
      <c r="T584" s="212"/>
      <c r="U584" s="212"/>
      <c r="V584" s="212"/>
      <c r="W584" s="213"/>
      <c r="X584" s="203"/>
      <c r="Y584" s="203"/>
      <c r="Z584" s="203"/>
    </row>
    <row r="585" spans="1:26" ht="25.5" customHeight="1">
      <c r="A585" s="203"/>
      <c r="B585" s="203"/>
      <c r="C585" s="203"/>
      <c r="D585" s="203"/>
      <c r="E585" s="203"/>
      <c r="F585" s="203"/>
      <c r="G585" s="203"/>
      <c r="H585" s="203"/>
      <c r="I585" s="203"/>
      <c r="J585" s="203"/>
      <c r="K585" s="203"/>
      <c r="L585" s="203"/>
      <c r="M585" s="203"/>
      <c r="N585" s="203"/>
      <c r="O585" s="203"/>
      <c r="P585" s="211"/>
      <c r="Q585" s="212"/>
      <c r="R585" s="212"/>
      <c r="S585" s="212"/>
      <c r="T585" s="212"/>
      <c r="U585" s="212"/>
      <c r="V585" s="212"/>
      <c r="W585" s="213"/>
      <c r="X585" s="203"/>
      <c r="Y585" s="203"/>
      <c r="Z585" s="203"/>
    </row>
    <row r="586" spans="1:26" ht="25.5" customHeight="1">
      <c r="A586" s="203"/>
      <c r="B586" s="203"/>
      <c r="C586" s="203"/>
      <c r="D586" s="203"/>
      <c r="E586" s="203"/>
      <c r="F586" s="203"/>
      <c r="G586" s="203"/>
      <c r="H586" s="203"/>
      <c r="I586" s="203"/>
      <c r="J586" s="203"/>
      <c r="K586" s="203"/>
      <c r="L586" s="203"/>
      <c r="M586" s="203"/>
      <c r="N586" s="203"/>
      <c r="O586" s="203"/>
      <c r="P586" s="211"/>
      <c r="Q586" s="212"/>
      <c r="R586" s="212"/>
      <c r="S586" s="212"/>
      <c r="T586" s="212"/>
      <c r="U586" s="212"/>
      <c r="V586" s="212"/>
      <c r="W586" s="213"/>
      <c r="X586" s="203"/>
      <c r="Y586" s="203"/>
      <c r="Z586" s="203"/>
    </row>
    <row r="587" spans="1:26" ht="25.5" customHeight="1">
      <c r="A587" s="203"/>
      <c r="B587" s="203"/>
      <c r="C587" s="203"/>
      <c r="D587" s="203"/>
      <c r="E587" s="203"/>
      <c r="F587" s="203"/>
      <c r="G587" s="203"/>
      <c r="H587" s="203"/>
      <c r="I587" s="203"/>
      <c r="J587" s="203"/>
      <c r="K587" s="203"/>
      <c r="L587" s="203"/>
      <c r="M587" s="203"/>
      <c r="N587" s="203"/>
      <c r="O587" s="203"/>
      <c r="P587" s="211"/>
      <c r="Q587" s="212"/>
      <c r="R587" s="212"/>
      <c r="S587" s="212"/>
      <c r="T587" s="212"/>
      <c r="U587" s="212"/>
      <c r="V587" s="212"/>
      <c r="W587" s="213"/>
      <c r="X587" s="203"/>
      <c r="Y587" s="203"/>
      <c r="Z587" s="203"/>
    </row>
    <row r="588" spans="1:26" ht="25.5" customHeight="1">
      <c r="A588" s="203"/>
      <c r="B588" s="203"/>
      <c r="C588" s="203"/>
      <c r="D588" s="203"/>
      <c r="E588" s="203"/>
      <c r="F588" s="203"/>
      <c r="G588" s="203"/>
      <c r="H588" s="203"/>
      <c r="I588" s="203"/>
      <c r="J588" s="203"/>
      <c r="K588" s="203"/>
      <c r="L588" s="203"/>
      <c r="M588" s="203"/>
      <c r="N588" s="203"/>
      <c r="O588" s="203"/>
      <c r="P588" s="211"/>
      <c r="Q588" s="212"/>
      <c r="R588" s="212"/>
      <c r="S588" s="212"/>
      <c r="T588" s="212"/>
      <c r="U588" s="212"/>
      <c r="V588" s="212"/>
      <c r="W588" s="213"/>
      <c r="X588" s="203"/>
      <c r="Y588" s="203"/>
      <c r="Z588" s="203"/>
    </row>
    <row r="589" spans="1:26" ht="25.5" customHeight="1">
      <c r="A589" s="203"/>
      <c r="B589" s="203"/>
      <c r="C589" s="203"/>
      <c r="D589" s="203"/>
      <c r="E589" s="203"/>
      <c r="F589" s="203"/>
      <c r="G589" s="203"/>
      <c r="H589" s="203"/>
      <c r="I589" s="203"/>
      <c r="J589" s="203"/>
      <c r="K589" s="203"/>
      <c r="L589" s="203"/>
      <c r="M589" s="203"/>
      <c r="N589" s="203"/>
      <c r="O589" s="203"/>
      <c r="P589" s="211"/>
      <c r="Q589" s="212"/>
      <c r="R589" s="212"/>
      <c r="S589" s="212"/>
      <c r="T589" s="212"/>
      <c r="U589" s="212"/>
      <c r="V589" s="212"/>
      <c r="W589" s="213"/>
      <c r="X589" s="203"/>
      <c r="Y589" s="203"/>
      <c r="Z589" s="203"/>
    </row>
    <row r="590" spans="1:26" ht="25.5" customHeight="1">
      <c r="A590" s="203"/>
      <c r="B590" s="203"/>
      <c r="C590" s="203"/>
      <c r="D590" s="203"/>
      <c r="E590" s="203"/>
      <c r="F590" s="203"/>
      <c r="G590" s="203"/>
      <c r="H590" s="203"/>
      <c r="I590" s="203"/>
      <c r="J590" s="203"/>
      <c r="K590" s="203"/>
      <c r="L590" s="203"/>
      <c r="M590" s="203"/>
      <c r="N590" s="203"/>
      <c r="O590" s="203"/>
      <c r="P590" s="211"/>
      <c r="Q590" s="212"/>
      <c r="R590" s="212"/>
      <c r="S590" s="212"/>
      <c r="T590" s="212"/>
      <c r="U590" s="212"/>
      <c r="V590" s="212"/>
      <c r="W590" s="213"/>
      <c r="X590" s="203"/>
      <c r="Y590" s="203"/>
      <c r="Z590" s="203"/>
    </row>
    <row r="591" spans="1:26" ht="25.5" customHeight="1">
      <c r="A591" s="203"/>
      <c r="B591" s="203"/>
      <c r="C591" s="203"/>
      <c r="D591" s="203"/>
      <c r="E591" s="203"/>
      <c r="F591" s="203"/>
      <c r="G591" s="203"/>
      <c r="H591" s="203"/>
      <c r="I591" s="203"/>
      <c r="J591" s="203"/>
      <c r="K591" s="203"/>
      <c r="L591" s="203"/>
      <c r="M591" s="203"/>
      <c r="N591" s="203"/>
      <c r="O591" s="203"/>
      <c r="P591" s="211"/>
      <c r="Q591" s="212"/>
      <c r="R591" s="212"/>
      <c r="S591" s="212"/>
      <c r="T591" s="212"/>
      <c r="U591" s="212"/>
      <c r="V591" s="212"/>
      <c r="W591" s="213"/>
      <c r="X591" s="203"/>
      <c r="Y591" s="203"/>
      <c r="Z591" s="203"/>
    </row>
    <row r="592" spans="1:26" ht="25.5" customHeight="1">
      <c r="A592" s="203"/>
      <c r="B592" s="203"/>
      <c r="C592" s="203"/>
      <c r="D592" s="203"/>
      <c r="E592" s="203"/>
      <c r="F592" s="203"/>
      <c r="G592" s="203"/>
      <c r="H592" s="203"/>
      <c r="I592" s="203"/>
      <c r="J592" s="203"/>
      <c r="K592" s="203"/>
      <c r="L592" s="203"/>
      <c r="M592" s="203"/>
      <c r="N592" s="203"/>
      <c r="O592" s="203"/>
      <c r="P592" s="211"/>
      <c r="Q592" s="212"/>
      <c r="R592" s="212"/>
      <c r="S592" s="212"/>
      <c r="T592" s="212"/>
      <c r="U592" s="212"/>
      <c r="V592" s="212"/>
      <c r="W592" s="213"/>
      <c r="X592" s="203"/>
      <c r="Y592" s="203"/>
      <c r="Z592" s="203"/>
    </row>
    <row r="593" spans="1:26" ht="25.5" customHeight="1">
      <c r="A593" s="203"/>
      <c r="B593" s="203"/>
      <c r="C593" s="203"/>
      <c r="D593" s="203"/>
      <c r="E593" s="203"/>
      <c r="F593" s="203"/>
      <c r="G593" s="203"/>
      <c r="H593" s="203"/>
      <c r="I593" s="203"/>
      <c r="J593" s="203"/>
      <c r="K593" s="203"/>
      <c r="L593" s="203"/>
      <c r="M593" s="203"/>
      <c r="N593" s="203"/>
      <c r="O593" s="203"/>
      <c r="P593" s="211"/>
      <c r="Q593" s="212"/>
      <c r="R593" s="212"/>
      <c r="S593" s="212"/>
      <c r="T593" s="212"/>
      <c r="U593" s="212"/>
      <c r="V593" s="212"/>
      <c r="W593" s="213"/>
      <c r="X593" s="203"/>
      <c r="Y593" s="203"/>
      <c r="Z593" s="203"/>
    </row>
    <row r="594" spans="1:26" ht="25.5" customHeight="1">
      <c r="A594" s="203"/>
      <c r="B594" s="203"/>
      <c r="C594" s="203"/>
      <c r="D594" s="203"/>
      <c r="E594" s="203"/>
      <c r="F594" s="203"/>
      <c r="G594" s="203"/>
      <c r="H594" s="203"/>
      <c r="I594" s="203"/>
      <c r="J594" s="203"/>
      <c r="K594" s="203"/>
      <c r="L594" s="203"/>
      <c r="M594" s="203"/>
      <c r="N594" s="203"/>
      <c r="O594" s="203"/>
      <c r="P594" s="211"/>
      <c r="Q594" s="212"/>
      <c r="R594" s="212"/>
      <c r="S594" s="212"/>
      <c r="T594" s="212"/>
      <c r="U594" s="212"/>
      <c r="V594" s="212"/>
      <c r="W594" s="213"/>
      <c r="X594" s="203"/>
      <c r="Y594" s="203"/>
      <c r="Z594" s="203"/>
    </row>
    <row r="595" spans="1:26" ht="25.5" customHeight="1">
      <c r="A595" s="203"/>
      <c r="B595" s="203"/>
      <c r="C595" s="203"/>
      <c r="D595" s="203"/>
      <c r="E595" s="203"/>
      <c r="F595" s="203"/>
      <c r="G595" s="203"/>
      <c r="H595" s="203"/>
      <c r="I595" s="203"/>
      <c r="J595" s="203"/>
      <c r="K595" s="203"/>
      <c r="L595" s="203"/>
      <c r="M595" s="203"/>
      <c r="N595" s="203"/>
      <c r="O595" s="203"/>
      <c r="P595" s="211"/>
      <c r="Q595" s="212"/>
      <c r="R595" s="212"/>
      <c r="S595" s="212"/>
      <c r="T595" s="212"/>
      <c r="U595" s="212"/>
      <c r="V595" s="212"/>
      <c r="W595" s="213"/>
      <c r="X595" s="203"/>
      <c r="Y595" s="203"/>
      <c r="Z595" s="203"/>
    </row>
    <row r="596" spans="1:26" ht="25.5" customHeight="1">
      <c r="A596" s="203"/>
      <c r="B596" s="203"/>
      <c r="C596" s="203"/>
      <c r="D596" s="203"/>
      <c r="E596" s="203"/>
      <c r="F596" s="203"/>
      <c r="G596" s="203"/>
      <c r="H596" s="203"/>
      <c r="I596" s="203"/>
      <c r="J596" s="203"/>
      <c r="K596" s="203"/>
      <c r="L596" s="203"/>
      <c r="M596" s="203"/>
      <c r="N596" s="203"/>
      <c r="O596" s="203"/>
      <c r="P596" s="211"/>
      <c r="Q596" s="212"/>
      <c r="R596" s="212"/>
      <c r="S596" s="212"/>
      <c r="T596" s="212"/>
      <c r="U596" s="212"/>
      <c r="V596" s="212"/>
      <c r="W596" s="213"/>
      <c r="X596" s="203"/>
      <c r="Y596" s="203"/>
      <c r="Z596" s="203"/>
    </row>
    <row r="597" spans="1:26" ht="25.5" customHeight="1">
      <c r="A597" s="203"/>
      <c r="B597" s="203"/>
      <c r="C597" s="203"/>
      <c r="D597" s="203"/>
      <c r="E597" s="203"/>
      <c r="F597" s="203"/>
      <c r="G597" s="203"/>
      <c r="H597" s="203"/>
      <c r="I597" s="203"/>
      <c r="J597" s="203"/>
      <c r="K597" s="203"/>
      <c r="L597" s="203"/>
      <c r="M597" s="203"/>
      <c r="N597" s="203"/>
      <c r="O597" s="203"/>
      <c r="P597" s="211"/>
      <c r="Q597" s="212"/>
      <c r="R597" s="212"/>
      <c r="S597" s="212"/>
      <c r="T597" s="212"/>
      <c r="U597" s="212"/>
      <c r="V597" s="212"/>
      <c r="W597" s="213"/>
      <c r="X597" s="203"/>
      <c r="Y597" s="203"/>
      <c r="Z597" s="203"/>
    </row>
    <row r="598" spans="1:26" ht="25.5" customHeight="1">
      <c r="A598" s="203"/>
      <c r="B598" s="203"/>
      <c r="C598" s="203"/>
      <c r="D598" s="203"/>
      <c r="E598" s="203"/>
      <c r="F598" s="203"/>
      <c r="G598" s="203"/>
      <c r="H598" s="203"/>
      <c r="I598" s="203"/>
      <c r="J598" s="203"/>
      <c r="K598" s="203"/>
      <c r="L598" s="203"/>
      <c r="M598" s="203"/>
      <c r="N598" s="203"/>
      <c r="O598" s="203"/>
      <c r="P598" s="211"/>
      <c r="Q598" s="212"/>
      <c r="R598" s="212"/>
      <c r="S598" s="212"/>
      <c r="T598" s="212"/>
      <c r="U598" s="212"/>
      <c r="V598" s="212"/>
      <c r="W598" s="213"/>
      <c r="X598" s="203"/>
      <c r="Y598" s="203"/>
      <c r="Z598" s="203"/>
    </row>
    <row r="599" spans="1:26" ht="25.5" customHeight="1">
      <c r="A599" s="203"/>
      <c r="B599" s="203"/>
      <c r="C599" s="203"/>
      <c r="D599" s="203"/>
      <c r="E599" s="203"/>
      <c r="F599" s="203"/>
      <c r="G599" s="203"/>
      <c r="H599" s="203"/>
      <c r="I599" s="203"/>
      <c r="J599" s="203"/>
      <c r="K599" s="203"/>
      <c r="L599" s="203"/>
      <c r="M599" s="203"/>
      <c r="N599" s="203"/>
      <c r="O599" s="203"/>
      <c r="P599" s="211"/>
      <c r="Q599" s="212"/>
      <c r="R599" s="212"/>
      <c r="S599" s="212"/>
      <c r="T599" s="212"/>
      <c r="U599" s="212"/>
      <c r="V599" s="212"/>
      <c r="W599" s="213"/>
      <c r="X599" s="203"/>
      <c r="Y599" s="203"/>
      <c r="Z599" s="203"/>
    </row>
    <row r="600" spans="1:26" ht="25.5" customHeight="1">
      <c r="A600" s="203"/>
      <c r="B600" s="203"/>
      <c r="C600" s="203"/>
      <c r="D600" s="203"/>
      <c r="E600" s="203"/>
      <c r="F600" s="203"/>
      <c r="G600" s="203"/>
      <c r="H600" s="203"/>
      <c r="I600" s="203"/>
      <c r="J600" s="203"/>
      <c r="K600" s="203"/>
      <c r="L600" s="203"/>
      <c r="M600" s="203"/>
      <c r="N600" s="203"/>
      <c r="O600" s="203"/>
      <c r="P600" s="211"/>
      <c r="Q600" s="212"/>
      <c r="R600" s="212"/>
      <c r="S600" s="212"/>
      <c r="T600" s="212"/>
      <c r="U600" s="212"/>
      <c r="V600" s="212"/>
      <c r="W600" s="213"/>
      <c r="X600" s="203"/>
      <c r="Y600" s="203"/>
      <c r="Z600" s="203"/>
    </row>
    <row r="601" spans="1:26" ht="25.5" customHeight="1">
      <c r="A601" s="203"/>
      <c r="B601" s="203"/>
      <c r="C601" s="203"/>
      <c r="D601" s="203"/>
      <c r="E601" s="203"/>
      <c r="F601" s="203"/>
      <c r="G601" s="203"/>
      <c r="H601" s="203"/>
      <c r="I601" s="203"/>
      <c r="J601" s="203"/>
      <c r="K601" s="203"/>
      <c r="L601" s="203"/>
      <c r="M601" s="203"/>
      <c r="N601" s="203"/>
      <c r="O601" s="203"/>
      <c r="P601" s="211"/>
      <c r="Q601" s="212"/>
      <c r="R601" s="212"/>
      <c r="S601" s="212"/>
      <c r="T601" s="212"/>
      <c r="U601" s="212"/>
      <c r="V601" s="212"/>
      <c r="W601" s="213"/>
      <c r="X601" s="203"/>
      <c r="Y601" s="203"/>
      <c r="Z601" s="203"/>
    </row>
    <row r="602" spans="1:26" ht="25.5" customHeight="1">
      <c r="A602" s="203"/>
      <c r="B602" s="203"/>
      <c r="C602" s="203"/>
      <c r="D602" s="203"/>
      <c r="E602" s="203"/>
      <c r="F602" s="203"/>
      <c r="G602" s="203"/>
      <c r="H602" s="203"/>
      <c r="I602" s="203"/>
      <c r="J602" s="203"/>
      <c r="K602" s="203"/>
      <c r="L602" s="203"/>
      <c r="M602" s="203"/>
      <c r="N602" s="203"/>
      <c r="O602" s="203"/>
      <c r="P602" s="211"/>
      <c r="Q602" s="212"/>
      <c r="R602" s="212"/>
      <c r="S602" s="212"/>
      <c r="T602" s="212"/>
      <c r="U602" s="212"/>
      <c r="V602" s="212"/>
      <c r="W602" s="213"/>
      <c r="X602" s="203"/>
      <c r="Y602" s="203"/>
      <c r="Z602" s="203"/>
    </row>
    <row r="603" spans="1:26" ht="25.5" customHeight="1">
      <c r="A603" s="203"/>
      <c r="B603" s="203"/>
      <c r="C603" s="203"/>
      <c r="D603" s="203"/>
      <c r="E603" s="203"/>
      <c r="F603" s="203"/>
      <c r="G603" s="203"/>
      <c r="H603" s="203"/>
      <c r="I603" s="203"/>
      <c r="J603" s="203"/>
      <c r="K603" s="203"/>
      <c r="L603" s="203"/>
      <c r="M603" s="203"/>
      <c r="N603" s="203"/>
      <c r="O603" s="203"/>
      <c r="P603" s="211"/>
      <c r="Q603" s="212"/>
      <c r="R603" s="212"/>
      <c r="S603" s="212"/>
      <c r="T603" s="212"/>
      <c r="U603" s="212"/>
      <c r="V603" s="212"/>
      <c r="W603" s="213"/>
      <c r="X603" s="203"/>
      <c r="Y603" s="203"/>
      <c r="Z603" s="203"/>
    </row>
    <row r="604" spans="1:26" ht="25.5" customHeight="1">
      <c r="A604" s="203"/>
      <c r="B604" s="203"/>
      <c r="C604" s="203"/>
      <c r="D604" s="203"/>
      <c r="E604" s="203"/>
      <c r="F604" s="203"/>
      <c r="G604" s="203"/>
      <c r="H604" s="203"/>
      <c r="I604" s="203"/>
      <c r="J604" s="203"/>
      <c r="K604" s="203"/>
      <c r="L604" s="203"/>
      <c r="M604" s="203"/>
      <c r="N604" s="203"/>
      <c r="O604" s="203"/>
      <c r="P604" s="211"/>
      <c r="Q604" s="212"/>
      <c r="R604" s="212"/>
      <c r="S604" s="212"/>
      <c r="T604" s="212"/>
      <c r="U604" s="212"/>
      <c r="V604" s="212"/>
      <c r="W604" s="213"/>
      <c r="X604" s="203"/>
      <c r="Y604" s="203"/>
      <c r="Z604" s="203"/>
    </row>
    <row r="605" spans="1:26" ht="25.5" customHeight="1">
      <c r="A605" s="203"/>
      <c r="B605" s="203"/>
      <c r="C605" s="203"/>
      <c r="D605" s="203"/>
      <c r="E605" s="203"/>
      <c r="F605" s="203"/>
      <c r="G605" s="203"/>
      <c r="H605" s="203"/>
      <c r="I605" s="203"/>
      <c r="J605" s="203"/>
      <c r="K605" s="203"/>
      <c r="L605" s="203"/>
      <c r="M605" s="203"/>
      <c r="N605" s="203"/>
      <c r="O605" s="203"/>
      <c r="P605" s="211"/>
      <c r="Q605" s="212"/>
      <c r="R605" s="212"/>
      <c r="S605" s="212"/>
      <c r="T605" s="212"/>
      <c r="U605" s="212"/>
      <c r="V605" s="212"/>
      <c r="W605" s="213"/>
      <c r="X605" s="203"/>
      <c r="Y605" s="203"/>
      <c r="Z605" s="203"/>
    </row>
    <row r="606" spans="1:26" ht="25.5" customHeight="1">
      <c r="A606" s="203"/>
      <c r="B606" s="203"/>
      <c r="C606" s="203"/>
      <c r="D606" s="203"/>
      <c r="E606" s="203"/>
      <c r="F606" s="203"/>
      <c r="G606" s="203"/>
      <c r="H606" s="203"/>
      <c r="I606" s="203"/>
      <c r="J606" s="203"/>
      <c r="K606" s="203"/>
      <c r="L606" s="203"/>
      <c r="M606" s="203"/>
      <c r="N606" s="203"/>
      <c r="O606" s="203"/>
      <c r="P606" s="211"/>
      <c r="Q606" s="212"/>
      <c r="R606" s="212"/>
      <c r="S606" s="212"/>
      <c r="T606" s="212"/>
      <c r="U606" s="212"/>
      <c r="V606" s="212"/>
      <c r="W606" s="213"/>
      <c r="X606" s="203"/>
      <c r="Y606" s="203"/>
      <c r="Z606" s="203"/>
    </row>
    <row r="607" spans="1:26" ht="25.5" customHeight="1">
      <c r="A607" s="203"/>
      <c r="B607" s="203"/>
      <c r="C607" s="203"/>
      <c r="D607" s="203"/>
      <c r="E607" s="203"/>
      <c r="F607" s="203"/>
      <c r="G607" s="203"/>
      <c r="H607" s="203"/>
      <c r="I607" s="203"/>
      <c r="J607" s="203"/>
      <c r="K607" s="203"/>
      <c r="L607" s="203"/>
      <c r="M607" s="203"/>
      <c r="N607" s="203"/>
      <c r="O607" s="203"/>
      <c r="P607" s="211"/>
      <c r="Q607" s="212"/>
      <c r="R607" s="212"/>
      <c r="S607" s="212"/>
      <c r="T607" s="212"/>
      <c r="U607" s="212"/>
      <c r="V607" s="212"/>
      <c r="W607" s="213"/>
      <c r="X607" s="203"/>
      <c r="Y607" s="203"/>
      <c r="Z607" s="203"/>
    </row>
    <row r="608" spans="1:26" ht="25.5" customHeight="1">
      <c r="A608" s="203"/>
      <c r="B608" s="203"/>
      <c r="C608" s="203"/>
      <c r="D608" s="203"/>
      <c r="E608" s="203"/>
      <c r="F608" s="203"/>
      <c r="G608" s="203"/>
      <c r="H608" s="203"/>
      <c r="I608" s="203"/>
      <c r="J608" s="203"/>
      <c r="K608" s="203"/>
      <c r="L608" s="203"/>
      <c r="M608" s="203"/>
      <c r="N608" s="203"/>
      <c r="O608" s="203"/>
      <c r="P608" s="211"/>
      <c r="Q608" s="212"/>
      <c r="R608" s="212"/>
      <c r="S608" s="212"/>
      <c r="T608" s="212"/>
      <c r="U608" s="212"/>
      <c r="V608" s="212"/>
      <c r="W608" s="213"/>
      <c r="X608" s="203"/>
      <c r="Y608" s="203"/>
      <c r="Z608" s="203"/>
    </row>
    <row r="609" spans="1:26" ht="25.5" customHeight="1">
      <c r="A609" s="203"/>
      <c r="B609" s="203"/>
      <c r="C609" s="203"/>
      <c r="D609" s="203"/>
      <c r="E609" s="203"/>
      <c r="F609" s="203"/>
      <c r="G609" s="203"/>
      <c r="H609" s="203"/>
      <c r="I609" s="203"/>
      <c r="J609" s="203"/>
      <c r="K609" s="203"/>
      <c r="L609" s="203"/>
      <c r="M609" s="203"/>
      <c r="N609" s="203"/>
      <c r="O609" s="203"/>
      <c r="P609" s="211"/>
      <c r="Q609" s="212"/>
      <c r="R609" s="212"/>
      <c r="S609" s="212"/>
      <c r="T609" s="212"/>
      <c r="U609" s="212"/>
      <c r="V609" s="212"/>
      <c r="W609" s="213"/>
      <c r="X609" s="203"/>
      <c r="Y609" s="203"/>
      <c r="Z609" s="203"/>
    </row>
    <row r="610" spans="1:26" ht="25.5" customHeight="1">
      <c r="A610" s="203"/>
      <c r="B610" s="203"/>
      <c r="C610" s="203"/>
      <c r="D610" s="203"/>
      <c r="E610" s="203"/>
      <c r="F610" s="203"/>
      <c r="G610" s="203"/>
      <c r="H610" s="203"/>
      <c r="I610" s="203"/>
      <c r="J610" s="203"/>
      <c r="K610" s="203"/>
      <c r="L610" s="203"/>
      <c r="M610" s="203"/>
      <c r="N610" s="203"/>
      <c r="O610" s="203"/>
      <c r="P610" s="211"/>
      <c r="Q610" s="212"/>
      <c r="R610" s="212"/>
      <c r="S610" s="212"/>
      <c r="T610" s="212"/>
      <c r="U610" s="212"/>
      <c r="V610" s="212"/>
      <c r="W610" s="213"/>
      <c r="X610" s="203"/>
      <c r="Y610" s="203"/>
      <c r="Z610" s="203"/>
    </row>
    <row r="611" spans="1:26" ht="25.5" customHeight="1">
      <c r="A611" s="203"/>
      <c r="B611" s="203"/>
      <c r="C611" s="203"/>
      <c r="D611" s="203"/>
      <c r="E611" s="203"/>
      <c r="F611" s="203"/>
      <c r="G611" s="203"/>
      <c r="H611" s="203"/>
      <c r="I611" s="203"/>
      <c r="J611" s="203"/>
      <c r="K611" s="203"/>
      <c r="L611" s="203"/>
      <c r="M611" s="203"/>
      <c r="N611" s="203"/>
      <c r="O611" s="203"/>
      <c r="P611" s="211"/>
      <c r="Q611" s="212"/>
      <c r="R611" s="212"/>
      <c r="S611" s="212"/>
      <c r="T611" s="212"/>
      <c r="U611" s="212"/>
      <c r="V611" s="212"/>
      <c r="W611" s="213"/>
      <c r="X611" s="203"/>
      <c r="Y611" s="203"/>
      <c r="Z611" s="203"/>
    </row>
    <row r="612" spans="1:26" ht="25.5" customHeight="1">
      <c r="A612" s="203"/>
      <c r="B612" s="203"/>
      <c r="C612" s="203"/>
      <c r="D612" s="203"/>
      <c r="E612" s="203"/>
      <c r="F612" s="203"/>
      <c r="G612" s="203"/>
      <c r="H612" s="203"/>
      <c r="I612" s="203"/>
      <c r="J612" s="203"/>
      <c r="K612" s="203"/>
      <c r="L612" s="203"/>
      <c r="M612" s="203"/>
      <c r="N612" s="203"/>
      <c r="O612" s="203"/>
      <c r="P612" s="211"/>
      <c r="Q612" s="212"/>
      <c r="R612" s="212"/>
      <c r="S612" s="212"/>
      <c r="T612" s="212"/>
      <c r="U612" s="212"/>
      <c r="V612" s="212"/>
      <c r="W612" s="213"/>
      <c r="X612" s="203"/>
      <c r="Y612" s="203"/>
      <c r="Z612" s="203"/>
    </row>
    <row r="613" spans="1:26" ht="25.5" customHeight="1">
      <c r="A613" s="203"/>
      <c r="B613" s="203"/>
      <c r="C613" s="203"/>
      <c r="D613" s="203"/>
      <c r="E613" s="203"/>
      <c r="F613" s="203"/>
      <c r="G613" s="203"/>
      <c r="H613" s="203"/>
      <c r="I613" s="203"/>
      <c r="J613" s="203"/>
      <c r="K613" s="203"/>
      <c r="L613" s="203"/>
      <c r="M613" s="203"/>
      <c r="N613" s="203"/>
      <c r="O613" s="203"/>
      <c r="P613" s="211"/>
      <c r="Q613" s="212"/>
      <c r="R613" s="212"/>
      <c r="S613" s="212"/>
      <c r="T613" s="212"/>
      <c r="U613" s="212"/>
      <c r="V613" s="212"/>
      <c r="W613" s="213"/>
      <c r="X613" s="203"/>
      <c r="Y613" s="203"/>
      <c r="Z613" s="203"/>
    </row>
    <row r="614" spans="1:26" ht="25.5" customHeight="1">
      <c r="A614" s="203"/>
      <c r="B614" s="203"/>
      <c r="C614" s="203"/>
      <c r="D614" s="203"/>
      <c r="E614" s="203"/>
      <c r="F614" s="203"/>
      <c r="G614" s="203"/>
      <c r="H614" s="203"/>
      <c r="I614" s="203"/>
      <c r="J614" s="203"/>
      <c r="K614" s="203"/>
      <c r="L614" s="203"/>
      <c r="M614" s="203"/>
      <c r="N614" s="203"/>
      <c r="O614" s="203"/>
      <c r="P614" s="211"/>
      <c r="Q614" s="212"/>
      <c r="R614" s="212"/>
      <c r="S614" s="212"/>
      <c r="T614" s="212"/>
      <c r="U614" s="212"/>
      <c r="V614" s="212"/>
      <c r="W614" s="213"/>
      <c r="X614" s="203"/>
      <c r="Y614" s="203"/>
      <c r="Z614" s="203"/>
    </row>
    <row r="615" spans="1:26" ht="25.5" customHeight="1">
      <c r="A615" s="203"/>
      <c r="B615" s="203"/>
      <c r="C615" s="203"/>
      <c r="D615" s="203"/>
      <c r="E615" s="203"/>
      <c r="F615" s="203"/>
      <c r="G615" s="203"/>
      <c r="H615" s="203"/>
      <c r="I615" s="203"/>
      <c r="J615" s="203"/>
      <c r="K615" s="203"/>
      <c r="L615" s="203"/>
      <c r="M615" s="203"/>
      <c r="N615" s="203"/>
      <c r="O615" s="203"/>
      <c r="P615" s="211"/>
      <c r="Q615" s="212"/>
      <c r="R615" s="212"/>
      <c r="S615" s="212"/>
      <c r="T615" s="212"/>
      <c r="U615" s="212"/>
      <c r="V615" s="212"/>
      <c r="W615" s="213"/>
      <c r="X615" s="203"/>
      <c r="Y615" s="203"/>
      <c r="Z615" s="203"/>
    </row>
    <row r="616" spans="1:26" ht="25.5" customHeight="1">
      <c r="A616" s="203"/>
      <c r="B616" s="203"/>
      <c r="C616" s="203"/>
      <c r="D616" s="203"/>
      <c r="E616" s="203"/>
      <c r="F616" s="203"/>
      <c r="G616" s="203"/>
      <c r="H616" s="203"/>
      <c r="I616" s="203"/>
      <c r="J616" s="203"/>
      <c r="K616" s="203"/>
      <c r="L616" s="203"/>
      <c r="M616" s="203"/>
      <c r="N616" s="203"/>
      <c r="O616" s="203"/>
      <c r="P616" s="211"/>
      <c r="Q616" s="212"/>
      <c r="R616" s="212"/>
      <c r="S616" s="212"/>
      <c r="T616" s="212"/>
      <c r="U616" s="212"/>
      <c r="V616" s="212"/>
      <c r="W616" s="213"/>
      <c r="X616" s="203"/>
      <c r="Y616" s="203"/>
      <c r="Z616" s="203"/>
    </row>
    <row r="617" spans="1:26" ht="25.5" customHeight="1">
      <c r="A617" s="203"/>
      <c r="B617" s="203"/>
      <c r="C617" s="203"/>
      <c r="D617" s="203"/>
      <c r="E617" s="203"/>
      <c r="F617" s="203"/>
      <c r="G617" s="203"/>
      <c r="H617" s="203"/>
      <c r="I617" s="203"/>
      <c r="J617" s="203"/>
      <c r="K617" s="203"/>
      <c r="L617" s="203"/>
      <c r="M617" s="203"/>
      <c r="N617" s="203"/>
      <c r="O617" s="203"/>
      <c r="P617" s="211"/>
      <c r="Q617" s="212"/>
      <c r="R617" s="212"/>
      <c r="S617" s="212"/>
      <c r="T617" s="212"/>
      <c r="U617" s="212"/>
      <c r="V617" s="212"/>
      <c r="W617" s="213"/>
      <c r="X617" s="203"/>
      <c r="Y617" s="203"/>
      <c r="Z617" s="203"/>
    </row>
    <row r="618" spans="1:26" ht="25.5" customHeight="1">
      <c r="A618" s="203"/>
      <c r="B618" s="203"/>
      <c r="C618" s="203"/>
      <c r="D618" s="203"/>
      <c r="E618" s="203"/>
      <c r="F618" s="203"/>
      <c r="G618" s="203"/>
      <c r="H618" s="203"/>
      <c r="I618" s="203"/>
      <c r="J618" s="203"/>
      <c r="K618" s="203"/>
      <c r="L618" s="203"/>
      <c r="M618" s="203"/>
      <c r="N618" s="203"/>
      <c r="O618" s="203"/>
      <c r="P618" s="211"/>
      <c r="Q618" s="212"/>
      <c r="R618" s="212"/>
      <c r="S618" s="212"/>
      <c r="T618" s="212"/>
      <c r="U618" s="212"/>
      <c r="V618" s="212"/>
      <c r="W618" s="213"/>
      <c r="X618" s="203"/>
      <c r="Y618" s="203"/>
      <c r="Z618" s="203"/>
    </row>
    <row r="619" spans="1:26" ht="25.5" customHeight="1">
      <c r="A619" s="203"/>
      <c r="B619" s="203"/>
      <c r="C619" s="203"/>
      <c r="D619" s="203"/>
      <c r="E619" s="203"/>
      <c r="F619" s="203"/>
      <c r="G619" s="203"/>
      <c r="H619" s="203"/>
      <c r="I619" s="203"/>
      <c r="J619" s="203"/>
      <c r="K619" s="203"/>
      <c r="L619" s="203"/>
      <c r="M619" s="203"/>
      <c r="N619" s="203"/>
      <c r="O619" s="203"/>
      <c r="P619" s="211"/>
      <c r="Q619" s="212"/>
      <c r="R619" s="212"/>
      <c r="S619" s="212"/>
      <c r="T619" s="212"/>
      <c r="U619" s="212"/>
      <c r="V619" s="212"/>
      <c r="W619" s="213"/>
      <c r="X619" s="203"/>
      <c r="Y619" s="203"/>
      <c r="Z619" s="203"/>
    </row>
    <row r="620" spans="1:26" ht="25.5" customHeight="1">
      <c r="A620" s="203"/>
      <c r="B620" s="203"/>
      <c r="C620" s="203"/>
      <c r="D620" s="203"/>
      <c r="E620" s="203"/>
      <c r="F620" s="203"/>
      <c r="G620" s="203"/>
      <c r="H620" s="203"/>
      <c r="I620" s="203"/>
      <c r="J620" s="203"/>
      <c r="K620" s="203"/>
      <c r="L620" s="203"/>
      <c r="M620" s="203"/>
      <c r="N620" s="203"/>
      <c r="O620" s="203"/>
      <c r="P620" s="211"/>
      <c r="Q620" s="212"/>
      <c r="R620" s="212"/>
      <c r="S620" s="212"/>
      <c r="T620" s="212"/>
      <c r="U620" s="212"/>
      <c r="V620" s="212"/>
      <c r="W620" s="213"/>
      <c r="X620" s="203"/>
      <c r="Y620" s="203"/>
      <c r="Z620" s="203"/>
    </row>
    <row r="621" spans="1:26" ht="25.5" customHeight="1">
      <c r="A621" s="203"/>
      <c r="B621" s="203"/>
      <c r="C621" s="203"/>
      <c r="D621" s="203"/>
      <c r="E621" s="203"/>
      <c r="F621" s="203"/>
      <c r="G621" s="203"/>
      <c r="H621" s="203"/>
      <c r="I621" s="203"/>
      <c r="J621" s="203"/>
      <c r="K621" s="203"/>
      <c r="L621" s="203"/>
      <c r="M621" s="203"/>
      <c r="N621" s="203"/>
      <c r="O621" s="203"/>
      <c r="P621" s="211"/>
      <c r="Q621" s="212"/>
      <c r="R621" s="212"/>
      <c r="S621" s="212"/>
      <c r="T621" s="212"/>
      <c r="U621" s="212"/>
      <c r="V621" s="212"/>
      <c r="W621" s="213"/>
      <c r="X621" s="203"/>
      <c r="Y621" s="203"/>
      <c r="Z621" s="203"/>
    </row>
    <row r="622" spans="1:26" ht="25.5" customHeight="1">
      <c r="A622" s="203"/>
      <c r="B622" s="203"/>
      <c r="C622" s="203"/>
      <c r="D622" s="203"/>
      <c r="E622" s="203"/>
      <c r="F622" s="203"/>
      <c r="G622" s="203"/>
      <c r="H622" s="203"/>
      <c r="I622" s="203"/>
      <c r="J622" s="203"/>
      <c r="K622" s="203"/>
      <c r="L622" s="203"/>
      <c r="M622" s="203"/>
      <c r="N622" s="203"/>
      <c r="O622" s="203"/>
      <c r="P622" s="211"/>
      <c r="Q622" s="212"/>
      <c r="R622" s="212"/>
      <c r="S622" s="212"/>
      <c r="T622" s="212"/>
      <c r="U622" s="212"/>
      <c r="V622" s="212"/>
      <c r="W622" s="213"/>
      <c r="X622" s="203"/>
      <c r="Y622" s="203"/>
      <c r="Z622" s="203"/>
    </row>
    <row r="623" spans="1:26" ht="25.5" customHeight="1">
      <c r="A623" s="203"/>
      <c r="B623" s="203"/>
      <c r="C623" s="203"/>
      <c r="D623" s="203"/>
      <c r="E623" s="203"/>
      <c r="F623" s="203"/>
      <c r="G623" s="203"/>
      <c r="H623" s="203"/>
      <c r="I623" s="203"/>
      <c r="J623" s="203"/>
      <c r="K623" s="203"/>
      <c r="L623" s="203"/>
      <c r="M623" s="203"/>
      <c r="N623" s="203"/>
      <c r="O623" s="203"/>
      <c r="P623" s="211"/>
      <c r="Q623" s="212"/>
      <c r="R623" s="212"/>
      <c r="S623" s="212"/>
      <c r="T623" s="212"/>
      <c r="U623" s="212"/>
      <c r="V623" s="212"/>
      <c r="W623" s="213"/>
      <c r="X623" s="203"/>
      <c r="Y623" s="203"/>
      <c r="Z623" s="203"/>
    </row>
    <row r="624" spans="1:26" ht="25.5" customHeight="1">
      <c r="A624" s="203"/>
      <c r="B624" s="203"/>
      <c r="C624" s="203"/>
      <c r="D624" s="203"/>
      <c r="E624" s="203"/>
      <c r="F624" s="203"/>
      <c r="G624" s="203"/>
      <c r="H624" s="203"/>
      <c r="I624" s="203"/>
      <c r="J624" s="203"/>
      <c r="K624" s="203"/>
      <c r="L624" s="203"/>
      <c r="M624" s="203"/>
      <c r="N624" s="203"/>
      <c r="O624" s="203"/>
      <c r="P624" s="211"/>
      <c r="Q624" s="212"/>
      <c r="R624" s="212"/>
      <c r="S624" s="212"/>
      <c r="T624" s="212"/>
      <c r="U624" s="212"/>
      <c r="V624" s="212"/>
      <c r="W624" s="213"/>
      <c r="X624" s="203"/>
      <c r="Y624" s="203"/>
      <c r="Z624" s="203"/>
    </row>
    <row r="625" spans="1:26" ht="25.5" customHeight="1">
      <c r="A625" s="203"/>
      <c r="B625" s="203"/>
      <c r="C625" s="203"/>
      <c r="D625" s="203"/>
      <c r="E625" s="203"/>
      <c r="F625" s="203"/>
      <c r="G625" s="203"/>
      <c r="H625" s="203"/>
      <c r="I625" s="203"/>
      <c r="J625" s="203"/>
      <c r="K625" s="203"/>
      <c r="L625" s="203"/>
      <c r="M625" s="203"/>
      <c r="N625" s="203"/>
      <c r="O625" s="203"/>
      <c r="P625" s="211"/>
      <c r="Q625" s="212"/>
      <c r="R625" s="212"/>
      <c r="S625" s="212"/>
      <c r="T625" s="212"/>
      <c r="U625" s="212"/>
      <c r="V625" s="212"/>
      <c r="W625" s="213"/>
      <c r="X625" s="203"/>
      <c r="Y625" s="203"/>
      <c r="Z625" s="203"/>
    </row>
    <row r="626" spans="1:26" ht="25.5" customHeight="1">
      <c r="A626" s="203"/>
      <c r="B626" s="203"/>
      <c r="C626" s="203"/>
      <c r="D626" s="203"/>
      <c r="E626" s="203"/>
      <c r="F626" s="203"/>
      <c r="G626" s="203"/>
      <c r="H626" s="203"/>
      <c r="I626" s="203"/>
      <c r="J626" s="203"/>
      <c r="K626" s="203"/>
      <c r="L626" s="203"/>
      <c r="M626" s="203"/>
      <c r="N626" s="203"/>
      <c r="O626" s="203"/>
      <c r="P626" s="211"/>
      <c r="Q626" s="212"/>
      <c r="R626" s="212"/>
      <c r="S626" s="212"/>
      <c r="T626" s="212"/>
      <c r="U626" s="212"/>
      <c r="V626" s="212"/>
      <c r="W626" s="213"/>
      <c r="X626" s="203"/>
      <c r="Y626" s="203"/>
      <c r="Z626" s="203"/>
    </row>
    <row r="627" spans="1:26" ht="25.5" customHeight="1">
      <c r="A627" s="203"/>
      <c r="B627" s="203"/>
      <c r="C627" s="203"/>
      <c r="D627" s="203"/>
      <c r="E627" s="203"/>
      <c r="F627" s="203"/>
      <c r="G627" s="203"/>
      <c r="H627" s="203"/>
      <c r="I627" s="203"/>
      <c r="J627" s="203"/>
      <c r="K627" s="203"/>
      <c r="L627" s="203"/>
      <c r="M627" s="203"/>
      <c r="N627" s="203"/>
      <c r="O627" s="203"/>
      <c r="P627" s="211"/>
      <c r="Q627" s="212"/>
      <c r="R627" s="212"/>
      <c r="S627" s="212"/>
      <c r="T627" s="212"/>
      <c r="U627" s="212"/>
      <c r="V627" s="212"/>
      <c r="W627" s="213"/>
      <c r="X627" s="203"/>
      <c r="Y627" s="203"/>
      <c r="Z627" s="203"/>
    </row>
    <row r="628" spans="1:26" ht="25.5" customHeight="1">
      <c r="A628" s="203"/>
      <c r="B628" s="203"/>
      <c r="C628" s="203"/>
      <c r="D628" s="203"/>
      <c r="E628" s="203"/>
      <c r="F628" s="203"/>
      <c r="G628" s="203"/>
      <c r="H628" s="203"/>
      <c r="I628" s="203"/>
      <c r="J628" s="203"/>
      <c r="K628" s="203"/>
      <c r="L628" s="203"/>
      <c r="M628" s="203"/>
      <c r="N628" s="203"/>
      <c r="O628" s="203"/>
      <c r="P628" s="211"/>
      <c r="Q628" s="212"/>
      <c r="R628" s="212"/>
      <c r="S628" s="212"/>
      <c r="T628" s="212"/>
      <c r="U628" s="212"/>
      <c r="V628" s="212"/>
      <c r="W628" s="213"/>
      <c r="X628" s="203"/>
      <c r="Y628" s="203"/>
      <c r="Z628" s="203"/>
    </row>
    <row r="629" spans="1:26" ht="25.5" customHeight="1">
      <c r="A629" s="203"/>
      <c r="B629" s="203"/>
      <c r="C629" s="203"/>
      <c r="D629" s="203"/>
      <c r="E629" s="203"/>
      <c r="F629" s="203"/>
      <c r="G629" s="203"/>
      <c r="H629" s="203"/>
      <c r="I629" s="203"/>
      <c r="J629" s="203"/>
      <c r="K629" s="203"/>
      <c r="L629" s="203"/>
      <c r="M629" s="203"/>
      <c r="N629" s="203"/>
      <c r="O629" s="203"/>
      <c r="P629" s="211"/>
      <c r="Q629" s="212"/>
      <c r="R629" s="212"/>
      <c r="S629" s="212"/>
      <c r="T629" s="212"/>
      <c r="U629" s="212"/>
      <c r="V629" s="212"/>
      <c r="W629" s="213"/>
      <c r="X629" s="203"/>
      <c r="Y629" s="203"/>
      <c r="Z629" s="203"/>
    </row>
    <row r="630" spans="1:26" ht="25.5" customHeight="1">
      <c r="A630" s="203"/>
      <c r="B630" s="203"/>
      <c r="C630" s="203"/>
      <c r="D630" s="203"/>
      <c r="E630" s="203"/>
      <c r="F630" s="203"/>
      <c r="G630" s="203"/>
      <c r="H630" s="203"/>
      <c r="I630" s="203"/>
      <c r="J630" s="203"/>
      <c r="K630" s="203"/>
      <c r="L630" s="203"/>
      <c r="M630" s="203"/>
      <c r="N630" s="203"/>
      <c r="O630" s="203"/>
      <c r="P630" s="211"/>
      <c r="Q630" s="212"/>
      <c r="R630" s="212"/>
      <c r="S630" s="212"/>
      <c r="T630" s="212"/>
      <c r="U630" s="212"/>
      <c r="V630" s="212"/>
      <c r="W630" s="213"/>
      <c r="X630" s="203"/>
      <c r="Y630" s="203"/>
      <c r="Z630" s="203"/>
    </row>
    <row r="631" spans="1:26" ht="25.5" customHeight="1">
      <c r="A631" s="203"/>
      <c r="B631" s="203"/>
      <c r="C631" s="203"/>
      <c r="D631" s="203"/>
      <c r="E631" s="203"/>
      <c r="F631" s="203"/>
      <c r="G631" s="203"/>
      <c r="H631" s="203"/>
      <c r="I631" s="203"/>
      <c r="J631" s="203"/>
      <c r="K631" s="203"/>
      <c r="L631" s="203"/>
      <c r="M631" s="203"/>
      <c r="N631" s="203"/>
      <c r="O631" s="203"/>
      <c r="P631" s="211"/>
      <c r="Q631" s="212"/>
      <c r="R631" s="212"/>
      <c r="S631" s="212"/>
      <c r="T631" s="212"/>
      <c r="U631" s="212"/>
      <c r="V631" s="212"/>
      <c r="W631" s="213"/>
      <c r="X631" s="203"/>
      <c r="Y631" s="203"/>
      <c r="Z631" s="203"/>
    </row>
    <row r="632" spans="1:26" ht="25.5" customHeight="1">
      <c r="A632" s="203"/>
      <c r="B632" s="203"/>
      <c r="C632" s="203"/>
      <c r="D632" s="203"/>
      <c r="E632" s="203"/>
      <c r="F632" s="203"/>
      <c r="G632" s="203"/>
      <c r="H632" s="203"/>
      <c r="I632" s="203"/>
      <c r="J632" s="203"/>
      <c r="K632" s="203"/>
      <c r="L632" s="203"/>
      <c r="M632" s="203"/>
      <c r="N632" s="203"/>
      <c r="O632" s="203"/>
      <c r="P632" s="211"/>
      <c r="Q632" s="212"/>
      <c r="R632" s="212"/>
      <c r="S632" s="212"/>
      <c r="T632" s="212"/>
      <c r="U632" s="212"/>
      <c r="V632" s="212"/>
      <c r="W632" s="213"/>
      <c r="X632" s="203"/>
      <c r="Y632" s="203"/>
      <c r="Z632" s="203"/>
    </row>
    <row r="633" spans="1:26" ht="25.5" customHeight="1">
      <c r="A633" s="203"/>
      <c r="B633" s="203"/>
      <c r="C633" s="203"/>
      <c r="D633" s="203"/>
      <c r="E633" s="203"/>
      <c r="F633" s="203"/>
      <c r="G633" s="203"/>
      <c r="H633" s="203"/>
      <c r="I633" s="203"/>
      <c r="J633" s="203"/>
      <c r="K633" s="203"/>
      <c r="L633" s="203"/>
      <c r="M633" s="203"/>
      <c r="N633" s="203"/>
      <c r="O633" s="203"/>
      <c r="P633" s="211"/>
      <c r="Q633" s="212"/>
      <c r="R633" s="212"/>
      <c r="S633" s="212"/>
      <c r="T633" s="212"/>
      <c r="U633" s="212"/>
      <c r="V633" s="212"/>
      <c r="W633" s="213"/>
      <c r="X633" s="203"/>
      <c r="Y633" s="203"/>
      <c r="Z633" s="203"/>
    </row>
    <row r="634" spans="1:26" ht="25.5" customHeight="1">
      <c r="A634" s="203"/>
      <c r="B634" s="203"/>
      <c r="C634" s="203"/>
      <c r="D634" s="203"/>
      <c r="E634" s="203"/>
      <c r="F634" s="203"/>
      <c r="G634" s="203"/>
      <c r="H634" s="203"/>
      <c r="I634" s="203"/>
      <c r="J634" s="203"/>
      <c r="K634" s="203"/>
      <c r="L634" s="203"/>
      <c r="M634" s="203"/>
      <c r="N634" s="203"/>
      <c r="O634" s="203"/>
      <c r="P634" s="211"/>
      <c r="Q634" s="212"/>
      <c r="R634" s="212"/>
      <c r="S634" s="212"/>
      <c r="T634" s="212"/>
      <c r="U634" s="212"/>
      <c r="V634" s="212"/>
      <c r="W634" s="213"/>
      <c r="X634" s="203"/>
      <c r="Y634" s="203"/>
      <c r="Z634" s="203"/>
    </row>
    <row r="635" spans="1:26" ht="25.5" customHeight="1">
      <c r="A635" s="203"/>
      <c r="B635" s="203"/>
      <c r="C635" s="203"/>
      <c r="D635" s="203"/>
      <c r="E635" s="203"/>
      <c r="F635" s="203"/>
      <c r="G635" s="203"/>
      <c r="H635" s="203"/>
      <c r="I635" s="203"/>
      <c r="J635" s="203"/>
      <c r="K635" s="203"/>
      <c r="L635" s="203"/>
      <c r="M635" s="203"/>
      <c r="N635" s="203"/>
      <c r="O635" s="203"/>
      <c r="P635" s="211"/>
      <c r="Q635" s="212"/>
      <c r="R635" s="212"/>
      <c r="S635" s="212"/>
      <c r="T635" s="212"/>
      <c r="U635" s="212"/>
      <c r="V635" s="212"/>
      <c r="W635" s="213"/>
      <c r="X635" s="203"/>
      <c r="Y635" s="203"/>
      <c r="Z635" s="203"/>
    </row>
    <row r="636" spans="1:26" ht="25.5" customHeight="1">
      <c r="A636" s="203"/>
      <c r="B636" s="203"/>
      <c r="C636" s="203"/>
      <c r="D636" s="203"/>
      <c r="E636" s="203"/>
      <c r="F636" s="203"/>
      <c r="G636" s="203"/>
      <c r="H636" s="203"/>
      <c r="I636" s="203"/>
      <c r="J636" s="203"/>
      <c r="K636" s="203"/>
      <c r="L636" s="203"/>
      <c r="M636" s="203"/>
      <c r="N636" s="203"/>
      <c r="O636" s="203"/>
      <c r="P636" s="211"/>
      <c r="Q636" s="212"/>
      <c r="R636" s="212"/>
      <c r="S636" s="212"/>
      <c r="T636" s="212"/>
      <c r="U636" s="212"/>
      <c r="V636" s="212"/>
      <c r="W636" s="213"/>
      <c r="X636" s="203"/>
      <c r="Y636" s="203"/>
      <c r="Z636" s="203"/>
    </row>
    <row r="637" spans="1:26" ht="25.5" customHeight="1">
      <c r="A637" s="203"/>
      <c r="B637" s="203"/>
      <c r="C637" s="203"/>
      <c r="D637" s="203"/>
      <c r="E637" s="203"/>
      <c r="F637" s="203"/>
      <c r="G637" s="203"/>
      <c r="H637" s="203"/>
      <c r="I637" s="203"/>
      <c r="J637" s="203"/>
      <c r="K637" s="203"/>
      <c r="L637" s="203"/>
      <c r="M637" s="203"/>
      <c r="N637" s="203"/>
      <c r="O637" s="203"/>
      <c r="P637" s="211"/>
      <c r="Q637" s="212"/>
      <c r="R637" s="212"/>
      <c r="S637" s="212"/>
      <c r="T637" s="212"/>
      <c r="U637" s="212"/>
      <c r="V637" s="212"/>
      <c r="W637" s="213"/>
      <c r="X637" s="203"/>
      <c r="Y637" s="203"/>
      <c r="Z637" s="203"/>
    </row>
    <row r="638" spans="1:26" ht="25.5" customHeight="1">
      <c r="A638" s="203"/>
      <c r="B638" s="203"/>
      <c r="C638" s="203"/>
      <c r="D638" s="203"/>
      <c r="E638" s="203"/>
      <c r="F638" s="203"/>
      <c r="G638" s="203"/>
      <c r="H638" s="203"/>
      <c r="I638" s="203"/>
      <c r="J638" s="203"/>
      <c r="K638" s="203"/>
      <c r="L638" s="203"/>
      <c r="M638" s="203"/>
      <c r="N638" s="203"/>
      <c r="O638" s="203"/>
      <c r="P638" s="211"/>
      <c r="Q638" s="212"/>
      <c r="R638" s="212"/>
      <c r="S638" s="212"/>
      <c r="T638" s="212"/>
      <c r="U638" s="212"/>
      <c r="V638" s="212"/>
      <c r="W638" s="213"/>
      <c r="X638" s="203"/>
      <c r="Y638" s="203"/>
      <c r="Z638" s="203"/>
    </row>
    <row r="639" spans="1:26" ht="25.5" customHeight="1">
      <c r="A639" s="203"/>
      <c r="B639" s="203"/>
      <c r="C639" s="203"/>
      <c r="D639" s="203"/>
      <c r="E639" s="203"/>
      <c r="F639" s="203"/>
      <c r="G639" s="203"/>
      <c r="H639" s="203"/>
      <c r="I639" s="203"/>
      <c r="J639" s="203"/>
      <c r="K639" s="203"/>
      <c r="L639" s="203"/>
      <c r="M639" s="203"/>
      <c r="N639" s="203"/>
      <c r="O639" s="203"/>
      <c r="P639" s="211"/>
      <c r="Q639" s="212"/>
      <c r="R639" s="212"/>
      <c r="S639" s="212"/>
      <c r="T639" s="212"/>
      <c r="U639" s="212"/>
      <c r="V639" s="212"/>
      <c r="W639" s="213"/>
      <c r="X639" s="203"/>
      <c r="Y639" s="203"/>
      <c r="Z639" s="203"/>
    </row>
    <row r="640" spans="1:26" ht="25.5" customHeight="1">
      <c r="A640" s="203"/>
      <c r="B640" s="203"/>
      <c r="C640" s="203"/>
      <c r="D640" s="203"/>
      <c r="E640" s="203"/>
      <c r="F640" s="203"/>
      <c r="G640" s="203"/>
      <c r="H640" s="203"/>
      <c r="I640" s="203"/>
      <c r="J640" s="203"/>
      <c r="K640" s="203"/>
      <c r="L640" s="203"/>
      <c r="M640" s="203"/>
      <c r="N640" s="203"/>
      <c r="O640" s="203"/>
      <c r="P640" s="211"/>
      <c r="Q640" s="212"/>
      <c r="R640" s="212"/>
      <c r="S640" s="212"/>
      <c r="T640" s="212"/>
      <c r="U640" s="212"/>
      <c r="V640" s="212"/>
      <c r="W640" s="213"/>
      <c r="X640" s="203"/>
      <c r="Y640" s="203"/>
      <c r="Z640" s="203"/>
    </row>
    <row r="641" spans="1:26" ht="25.5" customHeight="1">
      <c r="A641" s="203"/>
      <c r="B641" s="203"/>
      <c r="C641" s="203"/>
      <c r="D641" s="203"/>
      <c r="E641" s="203"/>
      <c r="F641" s="203"/>
      <c r="G641" s="203"/>
      <c r="H641" s="203"/>
      <c r="I641" s="203"/>
      <c r="J641" s="203"/>
      <c r="K641" s="203"/>
      <c r="L641" s="203"/>
      <c r="M641" s="203"/>
      <c r="N641" s="203"/>
      <c r="O641" s="203"/>
      <c r="P641" s="211"/>
      <c r="Q641" s="212"/>
      <c r="R641" s="212"/>
      <c r="S641" s="212"/>
      <c r="T641" s="212"/>
      <c r="U641" s="212"/>
      <c r="V641" s="212"/>
      <c r="W641" s="213"/>
      <c r="X641" s="203"/>
      <c r="Y641" s="203"/>
      <c r="Z641" s="203"/>
    </row>
    <row r="642" spans="1:26" ht="25.5" customHeight="1">
      <c r="A642" s="203"/>
      <c r="B642" s="203"/>
      <c r="C642" s="203"/>
      <c r="D642" s="203"/>
      <c r="E642" s="203"/>
      <c r="F642" s="203"/>
      <c r="G642" s="203"/>
      <c r="H642" s="203"/>
      <c r="I642" s="203"/>
      <c r="J642" s="203"/>
      <c r="K642" s="203"/>
      <c r="L642" s="203"/>
      <c r="M642" s="203"/>
      <c r="N642" s="203"/>
      <c r="O642" s="203"/>
      <c r="P642" s="211"/>
      <c r="Q642" s="212"/>
      <c r="R642" s="212"/>
      <c r="S642" s="212"/>
      <c r="T642" s="212"/>
      <c r="U642" s="212"/>
      <c r="V642" s="212"/>
      <c r="W642" s="213"/>
      <c r="X642" s="203"/>
      <c r="Y642" s="203"/>
      <c r="Z642" s="203"/>
    </row>
    <row r="643" spans="1:26" ht="25.5" customHeight="1">
      <c r="A643" s="203"/>
      <c r="B643" s="203"/>
      <c r="C643" s="203"/>
      <c r="D643" s="203"/>
      <c r="E643" s="203"/>
      <c r="F643" s="203"/>
      <c r="G643" s="203"/>
      <c r="H643" s="203"/>
      <c r="I643" s="203"/>
      <c r="J643" s="203"/>
      <c r="K643" s="203"/>
      <c r="L643" s="203"/>
      <c r="M643" s="203"/>
      <c r="N643" s="203"/>
      <c r="O643" s="203"/>
      <c r="P643" s="211"/>
      <c r="Q643" s="212"/>
      <c r="R643" s="212"/>
      <c r="S643" s="212"/>
      <c r="T643" s="212"/>
      <c r="U643" s="212"/>
      <c r="V643" s="212"/>
      <c r="W643" s="213"/>
      <c r="X643" s="203"/>
      <c r="Y643" s="203"/>
      <c r="Z643" s="203"/>
    </row>
    <row r="644" spans="1:26" ht="25.5" customHeight="1">
      <c r="A644" s="203"/>
      <c r="B644" s="203"/>
      <c r="C644" s="203"/>
      <c r="D644" s="203"/>
      <c r="E644" s="203"/>
      <c r="F644" s="203"/>
      <c r="G644" s="203"/>
      <c r="H644" s="203"/>
      <c r="I644" s="203"/>
      <c r="J644" s="203"/>
      <c r="K644" s="203"/>
      <c r="L644" s="203"/>
      <c r="M644" s="203"/>
      <c r="N644" s="203"/>
      <c r="O644" s="203"/>
      <c r="P644" s="211"/>
      <c r="Q644" s="212"/>
      <c r="R644" s="212"/>
      <c r="S644" s="212"/>
      <c r="T644" s="212"/>
      <c r="U644" s="212"/>
      <c r="V644" s="212"/>
      <c r="W644" s="213"/>
      <c r="X644" s="203"/>
      <c r="Y644" s="203"/>
      <c r="Z644" s="203"/>
    </row>
    <row r="645" spans="1:26" ht="25.5" customHeight="1">
      <c r="A645" s="203"/>
      <c r="B645" s="203"/>
      <c r="C645" s="203"/>
      <c r="D645" s="203"/>
      <c r="E645" s="203"/>
      <c r="F645" s="203"/>
      <c r="G645" s="203"/>
      <c r="H645" s="203"/>
      <c r="I645" s="203"/>
      <c r="J645" s="203"/>
      <c r="K645" s="203"/>
      <c r="L645" s="203"/>
      <c r="M645" s="203"/>
      <c r="N645" s="203"/>
      <c r="O645" s="203"/>
      <c r="P645" s="211"/>
      <c r="Q645" s="212"/>
      <c r="R645" s="212"/>
      <c r="S645" s="212"/>
      <c r="T645" s="212"/>
      <c r="U645" s="212"/>
      <c r="V645" s="212"/>
      <c r="W645" s="213"/>
      <c r="X645" s="203"/>
      <c r="Y645" s="203"/>
      <c r="Z645" s="203"/>
    </row>
    <row r="646" spans="1:26" ht="25.5" customHeight="1">
      <c r="A646" s="203"/>
      <c r="B646" s="203"/>
      <c r="C646" s="203"/>
      <c r="D646" s="203"/>
      <c r="E646" s="203"/>
      <c r="F646" s="203"/>
      <c r="G646" s="203"/>
      <c r="H646" s="203"/>
      <c r="I646" s="203"/>
      <c r="J646" s="203"/>
      <c r="K646" s="203"/>
      <c r="L646" s="203"/>
      <c r="M646" s="203"/>
      <c r="N646" s="203"/>
      <c r="O646" s="203"/>
      <c r="P646" s="211"/>
      <c r="Q646" s="212"/>
      <c r="R646" s="212"/>
      <c r="S646" s="212"/>
      <c r="T646" s="212"/>
      <c r="U646" s="212"/>
      <c r="V646" s="212"/>
      <c r="W646" s="213"/>
      <c r="X646" s="203"/>
      <c r="Y646" s="203"/>
      <c r="Z646" s="203"/>
    </row>
    <row r="647" spans="1:26" ht="25.5" customHeight="1">
      <c r="A647" s="203"/>
      <c r="B647" s="203"/>
      <c r="C647" s="203"/>
      <c r="D647" s="203"/>
      <c r="E647" s="203"/>
      <c r="F647" s="203"/>
      <c r="G647" s="203"/>
      <c r="H647" s="203"/>
      <c r="I647" s="203"/>
      <c r="J647" s="203"/>
      <c r="K647" s="203"/>
      <c r="L647" s="203"/>
      <c r="M647" s="203"/>
      <c r="N647" s="203"/>
      <c r="O647" s="203"/>
      <c r="P647" s="211"/>
      <c r="Q647" s="212"/>
      <c r="R647" s="212"/>
      <c r="S647" s="212"/>
      <c r="T647" s="212"/>
      <c r="U647" s="212"/>
      <c r="V647" s="212"/>
      <c r="W647" s="213"/>
      <c r="X647" s="203"/>
      <c r="Y647" s="203"/>
      <c r="Z647" s="203"/>
    </row>
    <row r="648" spans="1:26" ht="25.5" customHeight="1">
      <c r="A648" s="203"/>
      <c r="B648" s="203"/>
      <c r="C648" s="203"/>
      <c r="D648" s="203"/>
      <c r="E648" s="203"/>
      <c r="F648" s="203"/>
      <c r="G648" s="203"/>
      <c r="H648" s="203"/>
      <c r="I648" s="203"/>
      <c r="J648" s="203"/>
      <c r="K648" s="203"/>
      <c r="L648" s="203"/>
      <c r="M648" s="203"/>
      <c r="N648" s="203"/>
      <c r="O648" s="203"/>
      <c r="P648" s="211"/>
      <c r="Q648" s="212"/>
      <c r="R648" s="212"/>
      <c r="S648" s="212"/>
      <c r="T648" s="212"/>
      <c r="U648" s="212"/>
      <c r="V648" s="212"/>
      <c r="W648" s="213"/>
      <c r="X648" s="203"/>
      <c r="Y648" s="203"/>
      <c r="Z648" s="203"/>
    </row>
    <row r="649" spans="1:26" ht="25.5" customHeight="1">
      <c r="A649" s="203"/>
      <c r="B649" s="203"/>
      <c r="C649" s="203"/>
      <c r="D649" s="203"/>
      <c r="E649" s="203"/>
      <c r="F649" s="203"/>
      <c r="G649" s="203"/>
      <c r="H649" s="203"/>
      <c r="I649" s="203"/>
      <c r="J649" s="203"/>
      <c r="K649" s="203"/>
      <c r="L649" s="203"/>
      <c r="M649" s="203"/>
      <c r="N649" s="203"/>
      <c r="O649" s="203"/>
      <c r="P649" s="211"/>
      <c r="Q649" s="212"/>
      <c r="R649" s="212"/>
      <c r="S649" s="212"/>
      <c r="T649" s="212"/>
      <c r="U649" s="212"/>
      <c r="V649" s="212"/>
      <c r="W649" s="213"/>
      <c r="X649" s="203"/>
      <c r="Y649" s="203"/>
      <c r="Z649" s="203"/>
    </row>
    <row r="650" spans="1:26" ht="25.5" customHeight="1">
      <c r="A650" s="203"/>
      <c r="B650" s="203"/>
      <c r="C650" s="203"/>
      <c r="D650" s="203"/>
      <c r="E650" s="203"/>
      <c r="F650" s="203"/>
      <c r="G650" s="203"/>
      <c r="H650" s="203"/>
      <c r="I650" s="203"/>
      <c r="J650" s="203"/>
      <c r="K650" s="203"/>
      <c r="L650" s="203"/>
      <c r="M650" s="203"/>
      <c r="N650" s="203"/>
      <c r="O650" s="203"/>
      <c r="P650" s="211"/>
      <c r="Q650" s="212"/>
      <c r="R650" s="212"/>
      <c r="S650" s="212"/>
      <c r="T650" s="212"/>
      <c r="U650" s="212"/>
      <c r="V650" s="212"/>
      <c r="W650" s="213"/>
      <c r="X650" s="203"/>
      <c r="Y650" s="203"/>
      <c r="Z650" s="203"/>
    </row>
    <row r="651" spans="1:26" ht="25.5" customHeight="1">
      <c r="A651" s="203"/>
      <c r="B651" s="203"/>
      <c r="C651" s="203"/>
      <c r="D651" s="203"/>
      <c r="E651" s="203"/>
      <c r="F651" s="203"/>
      <c r="G651" s="203"/>
      <c r="H651" s="203"/>
      <c r="I651" s="203"/>
      <c r="J651" s="203"/>
      <c r="K651" s="203"/>
      <c r="L651" s="203"/>
      <c r="M651" s="203"/>
      <c r="N651" s="203"/>
      <c r="O651" s="203"/>
      <c r="P651" s="211"/>
      <c r="Q651" s="212"/>
      <c r="R651" s="212"/>
      <c r="S651" s="212"/>
      <c r="T651" s="212"/>
      <c r="U651" s="212"/>
      <c r="V651" s="212"/>
      <c r="W651" s="213"/>
      <c r="X651" s="203"/>
      <c r="Y651" s="203"/>
      <c r="Z651" s="203"/>
    </row>
    <row r="652" spans="1:26" ht="25.5" customHeight="1">
      <c r="A652" s="203"/>
      <c r="B652" s="203"/>
      <c r="C652" s="203"/>
      <c r="D652" s="203"/>
      <c r="E652" s="203"/>
      <c r="F652" s="203"/>
      <c r="G652" s="203"/>
      <c r="H652" s="203"/>
      <c r="I652" s="203"/>
      <c r="J652" s="203"/>
      <c r="K652" s="203"/>
      <c r="L652" s="203"/>
      <c r="M652" s="203"/>
      <c r="N652" s="203"/>
      <c r="O652" s="203"/>
      <c r="P652" s="211"/>
      <c r="Q652" s="212"/>
      <c r="R652" s="212"/>
      <c r="S652" s="212"/>
      <c r="T652" s="212"/>
      <c r="U652" s="212"/>
      <c r="V652" s="212"/>
      <c r="W652" s="213"/>
      <c r="X652" s="203"/>
      <c r="Y652" s="203"/>
      <c r="Z652" s="203"/>
    </row>
    <row r="653" spans="1:26" ht="25.5" customHeight="1">
      <c r="A653" s="203"/>
      <c r="B653" s="203"/>
      <c r="C653" s="203"/>
      <c r="D653" s="203"/>
      <c r="E653" s="203"/>
      <c r="F653" s="203"/>
      <c r="G653" s="203"/>
      <c r="H653" s="203"/>
      <c r="I653" s="203"/>
      <c r="J653" s="203"/>
      <c r="K653" s="203"/>
      <c r="L653" s="203"/>
      <c r="M653" s="203"/>
      <c r="N653" s="203"/>
      <c r="O653" s="203"/>
      <c r="P653" s="211"/>
      <c r="Q653" s="212"/>
      <c r="R653" s="212"/>
      <c r="S653" s="212"/>
      <c r="T653" s="212"/>
      <c r="U653" s="212"/>
      <c r="V653" s="212"/>
      <c r="W653" s="213"/>
      <c r="X653" s="203"/>
      <c r="Y653" s="203"/>
      <c r="Z653" s="203"/>
    </row>
    <row r="654" spans="1:26" ht="25.5" customHeight="1">
      <c r="A654" s="203"/>
      <c r="B654" s="203"/>
      <c r="C654" s="203"/>
      <c r="D654" s="203"/>
      <c r="E654" s="203"/>
      <c r="F654" s="203"/>
      <c r="G654" s="203"/>
      <c r="H654" s="203"/>
      <c r="I654" s="203"/>
      <c r="J654" s="203"/>
      <c r="K654" s="203"/>
      <c r="L654" s="203"/>
      <c r="M654" s="203"/>
      <c r="N654" s="203"/>
      <c r="O654" s="203"/>
      <c r="P654" s="211"/>
      <c r="Q654" s="212"/>
      <c r="R654" s="212"/>
      <c r="S654" s="212"/>
      <c r="T654" s="212"/>
      <c r="U654" s="212"/>
      <c r="V654" s="212"/>
      <c r="W654" s="213"/>
      <c r="X654" s="203"/>
      <c r="Y654" s="203"/>
      <c r="Z654" s="203"/>
    </row>
    <row r="655" spans="1:26" ht="25.5" customHeight="1">
      <c r="A655" s="203"/>
      <c r="B655" s="203"/>
      <c r="C655" s="203"/>
      <c r="D655" s="203"/>
      <c r="E655" s="203"/>
      <c r="F655" s="203"/>
      <c r="G655" s="203"/>
      <c r="H655" s="203"/>
      <c r="I655" s="203"/>
      <c r="J655" s="203"/>
      <c r="K655" s="203"/>
      <c r="L655" s="203"/>
      <c r="M655" s="203"/>
      <c r="N655" s="203"/>
      <c r="O655" s="203"/>
      <c r="P655" s="211"/>
      <c r="Q655" s="212"/>
      <c r="R655" s="212"/>
      <c r="S655" s="212"/>
      <c r="T655" s="212"/>
      <c r="U655" s="212"/>
      <c r="V655" s="212"/>
      <c r="W655" s="213"/>
      <c r="X655" s="203"/>
      <c r="Y655" s="203"/>
      <c r="Z655" s="203"/>
    </row>
    <row r="656" spans="1:26" ht="25.5" customHeight="1">
      <c r="A656" s="203"/>
      <c r="B656" s="203"/>
      <c r="C656" s="203"/>
      <c r="D656" s="203"/>
      <c r="E656" s="203"/>
      <c r="F656" s="203"/>
      <c r="G656" s="203"/>
      <c r="H656" s="203"/>
      <c r="I656" s="203"/>
      <c r="J656" s="203"/>
      <c r="K656" s="203"/>
      <c r="L656" s="203"/>
      <c r="M656" s="203"/>
      <c r="N656" s="203"/>
      <c r="O656" s="203"/>
      <c r="P656" s="211"/>
      <c r="Q656" s="212"/>
      <c r="R656" s="212"/>
      <c r="S656" s="212"/>
      <c r="T656" s="212"/>
      <c r="U656" s="212"/>
      <c r="V656" s="212"/>
      <c r="W656" s="213"/>
      <c r="X656" s="203"/>
      <c r="Y656" s="203"/>
      <c r="Z656" s="203"/>
    </row>
    <row r="657" spans="1:26" ht="25.5" customHeight="1">
      <c r="A657" s="203"/>
      <c r="B657" s="203"/>
      <c r="C657" s="203"/>
      <c r="D657" s="203"/>
      <c r="E657" s="203"/>
      <c r="F657" s="203"/>
      <c r="G657" s="203"/>
      <c r="H657" s="203"/>
      <c r="I657" s="203"/>
      <c r="J657" s="203"/>
      <c r="K657" s="203"/>
      <c r="L657" s="203"/>
      <c r="M657" s="203"/>
      <c r="N657" s="203"/>
      <c r="O657" s="203"/>
      <c r="P657" s="211"/>
      <c r="Q657" s="212"/>
      <c r="R657" s="212"/>
      <c r="S657" s="212"/>
      <c r="T657" s="212"/>
      <c r="U657" s="212"/>
      <c r="V657" s="212"/>
      <c r="W657" s="213"/>
      <c r="X657" s="203"/>
      <c r="Y657" s="203"/>
      <c r="Z657" s="203"/>
    </row>
    <row r="658" spans="1:26" ht="25.5" customHeight="1">
      <c r="A658" s="203"/>
      <c r="B658" s="203"/>
      <c r="C658" s="203"/>
      <c r="D658" s="203"/>
      <c r="E658" s="203"/>
      <c r="F658" s="203"/>
      <c r="G658" s="203"/>
      <c r="H658" s="203"/>
      <c r="I658" s="203"/>
      <c r="J658" s="203"/>
      <c r="K658" s="203"/>
      <c r="L658" s="203"/>
      <c r="M658" s="203"/>
      <c r="N658" s="203"/>
      <c r="O658" s="203"/>
      <c r="P658" s="211"/>
      <c r="Q658" s="212"/>
      <c r="R658" s="212"/>
      <c r="S658" s="212"/>
      <c r="T658" s="212"/>
      <c r="U658" s="212"/>
      <c r="V658" s="212"/>
      <c r="W658" s="213"/>
      <c r="X658" s="203"/>
      <c r="Y658" s="203"/>
      <c r="Z658" s="203"/>
    </row>
    <row r="659" spans="1:26" ht="25.5" customHeight="1">
      <c r="A659" s="203"/>
      <c r="B659" s="203"/>
      <c r="C659" s="203"/>
      <c r="D659" s="203"/>
      <c r="E659" s="203"/>
      <c r="F659" s="203"/>
      <c r="G659" s="203"/>
      <c r="H659" s="203"/>
      <c r="I659" s="203"/>
      <c r="J659" s="203"/>
      <c r="K659" s="203"/>
      <c r="L659" s="203"/>
      <c r="M659" s="203"/>
      <c r="N659" s="203"/>
      <c r="O659" s="203"/>
      <c r="P659" s="211"/>
      <c r="Q659" s="212"/>
      <c r="R659" s="212"/>
      <c r="S659" s="212"/>
      <c r="T659" s="212"/>
      <c r="U659" s="212"/>
      <c r="V659" s="212"/>
      <c r="W659" s="213"/>
      <c r="X659" s="203"/>
      <c r="Y659" s="203"/>
      <c r="Z659" s="203"/>
    </row>
    <row r="660" spans="1:26" ht="25.5" customHeight="1">
      <c r="A660" s="203"/>
      <c r="B660" s="203"/>
      <c r="C660" s="203"/>
      <c r="D660" s="203"/>
      <c r="E660" s="203"/>
      <c r="F660" s="203"/>
      <c r="G660" s="203"/>
      <c r="H660" s="203"/>
      <c r="I660" s="203"/>
      <c r="J660" s="203"/>
      <c r="K660" s="203"/>
      <c r="L660" s="203"/>
      <c r="M660" s="203"/>
      <c r="N660" s="203"/>
      <c r="O660" s="203"/>
      <c r="P660" s="211"/>
      <c r="Q660" s="212"/>
      <c r="R660" s="212"/>
      <c r="S660" s="212"/>
      <c r="T660" s="212"/>
      <c r="U660" s="212"/>
      <c r="V660" s="212"/>
      <c r="W660" s="213"/>
      <c r="X660" s="203"/>
      <c r="Y660" s="203"/>
      <c r="Z660" s="203"/>
    </row>
    <row r="661" spans="1:26" ht="25.5" customHeight="1">
      <c r="A661" s="203"/>
      <c r="B661" s="203"/>
      <c r="C661" s="203"/>
      <c r="D661" s="203"/>
      <c r="E661" s="203"/>
      <c r="F661" s="203"/>
      <c r="G661" s="203"/>
      <c r="H661" s="203"/>
      <c r="I661" s="203"/>
      <c r="J661" s="203"/>
      <c r="K661" s="203"/>
      <c r="L661" s="203"/>
      <c r="M661" s="203"/>
      <c r="N661" s="203"/>
      <c r="O661" s="203"/>
      <c r="P661" s="211"/>
      <c r="Q661" s="212"/>
      <c r="R661" s="212"/>
      <c r="S661" s="212"/>
      <c r="T661" s="212"/>
      <c r="U661" s="212"/>
      <c r="V661" s="212"/>
      <c r="W661" s="213"/>
      <c r="X661" s="203"/>
      <c r="Y661" s="203"/>
      <c r="Z661" s="203"/>
    </row>
    <row r="662" spans="1:26" ht="25.5" customHeight="1">
      <c r="A662" s="203"/>
      <c r="B662" s="203"/>
      <c r="C662" s="203"/>
      <c r="D662" s="203"/>
      <c r="E662" s="203"/>
      <c r="F662" s="203"/>
      <c r="G662" s="203"/>
      <c r="H662" s="203"/>
      <c r="I662" s="203"/>
      <c r="J662" s="203"/>
      <c r="K662" s="203"/>
      <c r="L662" s="203"/>
      <c r="M662" s="203"/>
      <c r="N662" s="203"/>
      <c r="O662" s="203"/>
      <c r="P662" s="211"/>
      <c r="Q662" s="212"/>
      <c r="R662" s="212"/>
      <c r="S662" s="212"/>
      <c r="T662" s="212"/>
      <c r="U662" s="212"/>
      <c r="V662" s="212"/>
      <c r="W662" s="213"/>
      <c r="X662" s="203"/>
      <c r="Y662" s="203"/>
      <c r="Z662" s="203"/>
    </row>
    <row r="663" spans="1:26" ht="25.5" customHeight="1">
      <c r="A663" s="203"/>
      <c r="B663" s="203"/>
      <c r="C663" s="203"/>
      <c r="D663" s="203"/>
      <c r="E663" s="203"/>
      <c r="F663" s="203"/>
      <c r="G663" s="203"/>
      <c r="H663" s="203"/>
      <c r="I663" s="203"/>
      <c r="J663" s="203"/>
      <c r="K663" s="203"/>
      <c r="L663" s="203"/>
      <c r="M663" s="203"/>
      <c r="N663" s="203"/>
      <c r="O663" s="203"/>
      <c r="P663" s="211"/>
      <c r="Q663" s="212"/>
      <c r="R663" s="212"/>
      <c r="S663" s="212"/>
      <c r="T663" s="212"/>
      <c r="U663" s="212"/>
      <c r="V663" s="212"/>
      <c r="W663" s="213"/>
      <c r="X663" s="203"/>
      <c r="Y663" s="203"/>
      <c r="Z663" s="203"/>
    </row>
    <row r="664" spans="1:26" ht="25.5" customHeight="1">
      <c r="A664" s="203"/>
      <c r="B664" s="203"/>
      <c r="C664" s="203"/>
      <c r="D664" s="203"/>
      <c r="E664" s="203"/>
      <c r="F664" s="203"/>
      <c r="G664" s="203"/>
      <c r="H664" s="203"/>
      <c r="I664" s="203"/>
      <c r="J664" s="203"/>
      <c r="K664" s="203"/>
      <c r="L664" s="203"/>
      <c r="M664" s="203"/>
      <c r="N664" s="203"/>
      <c r="O664" s="203"/>
      <c r="P664" s="211"/>
      <c r="Q664" s="212"/>
      <c r="R664" s="212"/>
      <c r="S664" s="212"/>
      <c r="T664" s="212"/>
      <c r="U664" s="212"/>
      <c r="V664" s="212"/>
      <c r="W664" s="213"/>
      <c r="X664" s="203"/>
      <c r="Y664" s="203"/>
      <c r="Z664" s="203"/>
    </row>
    <row r="665" spans="1:26" ht="25.5" customHeight="1">
      <c r="A665" s="203"/>
      <c r="B665" s="203"/>
      <c r="C665" s="203"/>
      <c r="D665" s="203"/>
      <c r="E665" s="203"/>
      <c r="F665" s="203"/>
      <c r="G665" s="203"/>
      <c r="H665" s="203"/>
      <c r="I665" s="203"/>
      <c r="J665" s="203"/>
      <c r="K665" s="203"/>
      <c r="L665" s="203"/>
      <c r="M665" s="203"/>
      <c r="N665" s="203"/>
      <c r="O665" s="203"/>
      <c r="P665" s="211"/>
      <c r="Q665" s="212"/>
      <c r="R665" s="212"/>
      <c r="S665" s="212"/>
      <c r="T665" s="212"/>
      <c r="U665" s="212"/>
      <c r="V665" s="212"/>
      <c r="W665" s="213"/>
      <c r="X665" s="203"/>
      <c r="Y665" s="203"/>
      <c r="Z665" s="203"/>
    </row>
    <row r="666" spans="1:26" ht="25.5" customHeight="1">
      <c r="A666" s="203"/>
      <c r="B666" s="203"/>
      <c r="C666" s="203"/>
      <c r="D666" s="203"/>
      <c r="E666" s="203"/>
      <c r="F666" s="203"/>
      <c r="G666" s="203"/>
      <c r="H666" s="203"/>
      <c r="I666" s="203"/>
      <c r="J666" s="203"/>
      <c r="K666" s="203"/>
      <c r="L666" s="203"/>
      <c r="M666" s="203"/>
      <c r="N666" s="203"/>
      <c r="O666" s="203"/>
      <c r="P666" s="211"/>
      <c r="Q666" s="212"/>
      <c r="R666" s="212"/>
      <c r="S666" s="212"/>
      <c r="T666" s="212"/>
      <c r="U666" s="212"/>
      <c r="V666" s="212"/>
      <c r="W666" s="213"/>
      <c r="X666" s="203"/>
      <c r="Y666" s="203"/>
      <c r="Z666" s="203"/>
    </row>
    <row r="667" spans="1:26" ht="25.5" customHeight="1">
      <c r="A667" s="203"/>
      <c r="B667" s="203"/>
      <c r="C667" s="203"/>
      <c r="D667" s="203"/>
      <c r="E667" s="203"/>
      <c r="F667" s="203"/>
      <c r="G667" s="203"/>
      <c r="H667" s="203"/>
      <c r="I667" s="203"/>
      <c r="J667" s="203"/>
      <c r="K667" s="203"/>
      <c r="L667" s="203"/>
      <c r="M667" s="203"/>
      <c r="N667" s="203"/>
      <c r="O667" s="203"/>
      <c r="P667" s="211"/>
      <c r="Q667" s="212"/>
      <c r="R667" s="212"/>
      <c r="S667" s="212"/>
      <c r="T667" s="212"/>
      <c r="U667" s="212"/>
      <c r="V667" s="212"/>
      <c r="W667" s="213"/>
      <c r="X667" s="203"/>
      <c r="Y667" s="203"/>
      <c r="Z667" s="203"/>
    </row>
    <row r="668" spans="1:26" ht="25.5" customHeight="1">
      <c r="A668" s="203"/>
      <c r="B668" s="203"/>
      <c r="C668" s="203"/>
      <c r="D668" s="203"/>
      <c r="E668" s="203"/>
      <c r="F668" s="203"/>
      <c r="G668" s="203"/>
      <c r="H668" s="203"/>
      <c r="I668" s="203"/>
      <c r="J668" s="203"/>
      <c r="K668" s="203"/>
      <c r="L668" s="203"/>
      <c r="M668" s="203"/>
      <c r="N668" s="203"/>
      <c r="O668" s="203"/>
      <c r="P668" s="211"/>
      <c r="Q668" s="212"/>
      <c r="R668" s="212"/>
      <c r="S668" s="212"/>
      <c r="T668" s="212"/>
      <c r="U668" s="212"/>
      <c r="V668" s="212"/>
      <c r="W668" s="213"/>
      <c r="X668" s="203"/>
      <c r="Y668" s="203"/>
      <c r="Z668" s="203"/>
    </row>
    <row r="669" spans="1:26" ht="25.5" customHeight="1">
      <c r="A669" s="203"/>
      <c r="B669" s="203"/>
      <c r="C669" s="203"/>
      <c r="D669" s="203"/>
      <c r="E669" s="203"/>
      <c r="F669" s="203"/>
      <c r="G669" s="203"/>
      <c r="H669" s="203"/>
      <c r="I669" s="203"/>
      <c r="J669" s="203"/>
      <c r="K669" s="203"/>
      <c r="L669" s="203"/>
      <c r="M669" s="203"/>
      <c r="N669" s="203"/>
      <c r="O669" s="203"/>
      <c r="P669" s="211"/>
      <c r="Q669" s="212"/>
      <c r="R669" s="212"/>
      <c r="S669" s="212"/>
      <c r="T669" s="212"/>
      <c r="U669" s="212"/>
      <c r="V669" s="212"/>
      <c r="W669" s="213"/>
      <c r="X669" s="203"/>
      <c r="Y669" s="203"/>
      <c r="Z669" s="203"/>
    </row>
    <row r="670" spans="1:26" ht="25.5" customHeight="1">
      <c r="A670" s="203"/>
      <c r="B670" s="203"/>
      <c r="C670" s="203"/>
      <c r="D670" s="203"/>
      <c r="E670" s="203"/>
      <c r="F670" s="203"/>
      <c r="G670" s="203"/>
      <c r="H670" s="203"/>
      <c r="I670" s="203"/>
      <c r="J670" s="203"/>
      <c r="K670" s="203"/>
      <c r="L670" s="203"/>
      <c r="M670" s="203"/>
      <c r="N670" s="203"/>
      <c r="O670" s="203"/>
      <c r="P670" s="211"/>
      <c r="Q670" s="212"/>
      <c r="R670" s="212"/>
      <c r="S670" s="212"/>
      <c r="T670" s="212"/>
      <c r="U670" s="212"/>
      <c r="V670" s="212"/>
      <c r="W670" s="213"/>
      <c r="X670" s="203"/>
      <c r="Y670" s="203"/>
      <c r="Z670" s="203"/>
    </row>
    <row r="671" spans="1:26" ht="25.5" customHeight="1">
      <c r="A671" s="203"/>
      <c r="B671" s="203"/>
      <c r="C671" s="203"/>
      <c r="D671" s="203"/>
      <c r="E671" s="203"/>
      <c r="F671" s="203"/>
      <c r="G671" s="203"/>
      <c r="H671" s="203"/>
      <c r="I671" s="203"/>
      <c r="J671" s="203"/>
      <c r="K671" s="203"/>
      <c r="L671" s="203"/>
      <c r="M671" s="203"/>
      <c r="N671" s="203"/>
      <c r="O671" s="203"/>
      <c r="P671" s="211"/>
      <c r="Q671" s="212"/>
      <c r="R671" s="212"/>
      <c r="S671" s="212"/>
      <c r="T671" s="212"/>
      <c r="U671" s="212"/>
      <c r="V671" s="212"/>
      <c r="W671" s="213"/>
      <c r="X671" s="203"/>
      <c r="Y671" s="203"/>
      <c r="Z671" s="203"/>
    </row>
    <row r="672" spans="1:26" ht="25.5" customHeight="1">
      <c r="A672" s="203"/>
      <c r="B672" s="203"/>
      <c r="C672" s="203"/>
      <c r="D672" s="203"/>
      <c r="E672" s="203"/>
      <c r="F672" s="203"/>
      <c r="G672" s="203"/>
      <c r="H672" s="203"/>
      <c r="I672" s="203"/>
      <c r="J672" s="203"/>
      <c r="K672" s="203"/>
      <c r="L672" s="203"/>
      <c r="M672" s="203"/>
      <c r="N672" s="203"/>
      <c r="O672" s="203"/>
      <c r="P672" s="211"/>
      <c r="Q672" s="212"/>
      <c r="R672" s="212"/>
      <c r="S672" s="212"/>
      <c r="T672" s="212"/>
      <c r="U672" s="212"/>
      <c r="V672" s="212"/>
      <c r="W672" s="213"/>
      <c r="X672" s="203"/>
      <c r="Y672" s="203"/>
      <c r="Z672" s="203"/>
    </row>
    <row r="673" spans="1:26" ht="25.5" customHeight="1">
      <c r="A673" s="203"/>
      <c r="B673" s="203"/>
      <c r="C673" s="203"/>
      <c r="D673" s="203"/>
      <c r="E673" s="203"/>
      <c r="F673" s="203"/>
      <c r="G673" s="203"/>
      <c r="H673" s="203"/>
      <c r="I673" s="203"/>
      <c r="J673" s="203"/>
      <c r="K673" s="203"/>
      <c r="L673" s="203"/>
      <c r="M673" s="203"/>
      <c r="N673" s="203"/>
      <c r="O673" s="203"/>
      <c r="P673" s="211"/>
      <c r="Q673" s="212"/>
      <c r="R673" s="212"/>
      <c r="S673" s="212"/>
      <c r="T673" s="212"/>
      <c r="U673" s="212"/>
      <c r="V673" s="212"/>
      <c r="W673" s="213"/>
      <c r="X673" s="203"/>
      <c r="Y673" s="203"/>
      <c r="Z673" s="203"/>
    </row>
    <row r="674" spans="1:26" ht="25.5" customHeight="1">
      <c r="A674" s="203"/>
      <c r="B674" s="203"/>
      <c r="C674" s="203"/>
      <c r="D674" s="203"/>
      <c r="E674" s="203"/>
      <c r="F674" s="203"/>
      <c r="G674" s="203"/>
      <c r="H674" s="203"/>
      <c r="I674" s="203"/>
      <c r="J674" s="203"/>
      <c r="K674" s="203"/>
      <c r="L674" s="203"/>
      <c r="M674" s="203"/>
      <c r="N674" s="203"/>
      <c r="O674" s="203"/>
      <c r="P674" s="211"/>
      <c r="Q674" s="212"/>
      <c r="R674" s="212"/>
      <c r="S674" s="212"/>
      <c r="T674" s="212"/>
      <c r="U674" s="212"/>
      <c r="V674" s="212"/>
      <c r="W674" s="213"/>
      <c r="X674" s="203"/>
      <c r="Y674" s="203"/>
      <c r="Z674" s="203"/>
    </row>
    <row r="675" spans="1:26" ht="25.5" customHeight="1">
      <c r="A675" s="203"/>
      <c r="B675" s="203"/>
      <c r="C675" s="203"/>
      <c r="D675" s="203"/>
      <c r="E675" s="203"/>
      <c r="F675" s="203"/>
      <c r="G675" s="203"/>
      <c r="H675" s="203"/>
      <c r="I675" s="203"/>
      <c r="J675" s="203"/>
      <c r="K675" s="203"/>
      <c r="L675" s="203"/>
      <c r="M675" s="203"/>
      <c r="N675" s="203"/>
      <c r="O675" s="203"/>
      <c r="P675" s="211"/>
      <c r="Q675" s="212"/>
      <c r="R675" s="212"/>
      <c r="S675" s="212"/>
      <c r="T675" s="212"/>
      <c r="U675" s="212"/>
      <c r="V675" s="212"/>
      <c r="W675" s="213"/>
      <c r="X675" s="203"/>
      <c r="Y675" s="203"/>
      <c r="Z675" s="203"/>
    </row>
    <row r="676" spans="1:26" ht="25.5" customHeight="1">
      <c r="A676" s="203"/>
      <c r="B676" s="203"/>
      <c r="C676" s="203"/>
      <c r="D676" s="203"/>
      <c r="E676" s="203"/>
      <c r="F676" s="203"/>
      <c r="G676" s="203"/>
      <c r="H676" s="203"/>
      <c r="I676" s="203"/>
      <c r="J676" s="203"/>
      <c r="K676" s="203"/>
      <c r="L676" s="203"/>
      <c r="M676" s="203"/>
      <c r="N676" s="203"/>
      <c r="O676" s="203"/>
      <c r="P676" s="211"/>
      <c r="Q676" s="212"/>
      <c r="R676" s="212"/>
      <c r="S676" s="212"/>
      <c r="T676" s="212"/>
      <c r="U676" s="212"/>
      <c r="V676" s="212"/>
      <c r="W676" s="213"/>
      <c r="X676" s="203"/>
      <c r="Y676" s="203"/>
      <c r="Z676" s="203"/>
    </row>
    <row r="677" spans="1:26" ht="25.5" customHeight="1">
      <c r="A677" s="203"/>
      <c r="B677" s="203"/>
      <c r="C677" s="203"/>
      <c r="D677" s="203"/>
      <c r="E677" s="203"/>
      <c r="F677" s="203"/>
      <c r="G677" s="203"/>
      <c r="H677" s="203"/>
      <c r="I677" s="203"/>
      <c r="J677" s="203"/>
      <c r="K677" s="203"/>
      <c r="L677" s="203"/>
      <c r="M677" s="203"/>
      <c r="N677" s="203"/>
      <c r="O677" s="203"/>
      <c r="P677" s="211"/>
      <c r="Q677" s="212"/>
      <c r="R677" s="212"/>
      <c r="S677" s="212"/>
      <c r="T677" s="212"/>
      <c r="U677" s="212"/>
      <c r="V677" s="212"/>
      <c r="W677" s="213"/>
      <c r="X677" s="203"/>
      <c r="Y677" s="203"/>
      <c r="Z677" s="203"/>
    </row>
    <row r="678" spans="1:26" ht="25.5" customHeight="1">
      <c r="A678" s="203"/>
      <c r="B678" s="203"/>
      <c r="C678" s="203"/>
      <c r="D678" s="203"/>
      <c r="E678" s="203"/>
      <c r="F678" s="203"/>
      <c r="G678" s="203"/>
      <c r="H678" s="203"/>
      <c r="I678" s="203"/>
      <c r="J678" s="203"/>
      <c r="K678" s="203"/>
      <c r="L678" s="203"/>
      <c r="M678" s="203"/>
      <c r="N678" s="203"/>
      <c r="O678" s="203"/>
      <c r="P678" s="211"/>
      <c r="Q678" s="212"/>
      <c r="R678" s="212"/>
      <c r="S678" s="212"/>
      <c r="T678" s="212"/>
      <c r="U678" s="212"/>
      <c r="V678" s="212"/>
      <c r="W678" s="213"/>
      <c r="X678" s="203"/>
      <c r="Y678" s="203"/>
      <c r="Z678" s="203"/>
    </row>
    <row r="679" spans="1:26" ht="25.5" customHeight="1">
      <c r="A679" s="203"/>
      <c r="B679" s="203"/>
      <c r="C679" s="203"/>
      <c r="D679" s="203"/>
      <c r="E679" s="203"/>
      <c r="F679" s="203"/>
      <c r="G679" s="203"/>
      <c r="H679" s="203"/>
      <c r="I679" s="203"/>
      <c r="J679" s="203"/>
      <c r="K679" s="203"/>
      <c r="L679" s="203"/>
      <c r="M679" s="203"/>
      <c r="N679" s="203"/>
      <c r="O679" s="203"/>
      <c r="P679" s="211"/>
      <c r="Q679" s="212"/>
      <c r="R679" s="212"/>
      <c r="S679" s="212"/>
      <c r="T679" s="212"/>
      <c r="U679" s="212"/>
      <c r="V679" s="212"/>
      <c r="W679" s="213"/>
      <c r="X679" s="203"/>
      <c r="Y679" s="203"/>
      <c r="Z679" s="203"/>
    </row>
    <row r="680" spans="1:26" ht="25.5" customHeight="1">
      <c r="A680" s="203"/>
      <c r="B680" s="203"/>
      <c r="C680" s="203"/>
      <c r="D680" s="203"/>
      <c r="E680" s="203"/>
      <c r="F680" s="203"/>
      <c r="G680" s="203"/>
      <c r="H680" s="203"/>
      <c r="I680" s="203"/>
      <c r="J680" s="203"/>
      <c r="K680" s="203"/>
      <c r="L680" s="203"/>
      <c r="M680" s="203"/>
      <c r="N680" s="203"/>
      <c r="O680" s="203"/>
      <c r="P680" s="211"/>
      <c r="Q680" s="212"/>
      <c r="R680" s="212"/>
      <c r="S680" s="212"/>
      <c r="T680" s="212"/>
      <c r="U680" s="212"/>
      <c r="V680" s="212"/>
      <c r="W680" s="213"/>
      <c r="X680" s="203"/>
      <c r="Y680" s="203"/>
      <c r="Z680" s="203"/>
    </row>
    <row r="681" spans="1:26" ht="25.5" customHeight="1">
      <c r="A681" s="203"/>
      <c r="B681" s="203"/>
      <c r="C681" s="203"/>
      <c r="D681" s="203"/>
      <c r="E681" s="203"/>
      <c r="F681" s="203"/>
      <c r="G681" s="203"/>
      <c r="H681" s="203"/>
      <c r="I681" s="203"/>
      <c r="J681" s="203"/>
      <c r="K681" s="203"/>
      <c r="L681" s="203"/>
      <c r="M681" s="203"/>
      <c r="N681" s="203"/>
      <c r="O681" s="203"/>
      <c r="P681" s="211"/>
      <c r="Q681" s="212"/>
      <c r="R681" s="212"/>
      <c r="S681" s="212"/>
      <c r="T681" s="212"/>
      <c r="U681" s="212"/>
      <c r="V681" s="212"/>
      <c r="W681" s="213"/>
      <c r="X681" s="203"/>
      <c r="Y681" s="203"/>
      <c r="Z681" s="203"/>
    </row>
    <row r="682" spans="1:26" ht="25.5" customHeight="1">
      <c r="A682" s="203"/>
      <c r="B682" s="203"/>
      <c r="C682" s="203"/>
      <c r="D682" s="203"/>
      <c r="E682" s="203"/>
      <c r="F682" s="203"/>
      <c r="G682" s="203"/>
      <c r="H682" s="203"/>
      <c r="I682" s="203"/>
      <c r="J682" s="203"/>
      <c r="K682" s="203"/>
      <c r="L682" s="203"/>
      <c r="M682" s="203"/>
      <c r="N682" s="203"/>
      <c r="O682" s="203"/>
      <c r="P682" s="211"/>
      <c r="Q682" s="212"/>
      <c r="R682" s="212"/>
      <c r="S682" s="212"/>
      <c r="T682" s="212"/>
      <c r="U682" s="212"/>
      <c r="V682" s="212"/>
      <c r="W682" s="213"/>
      <c r="X682" s="203"/>
      <c r="Y682" s="203"/>
      <c r="Z682" s="203"/>
    </row>
    <row r="683" spans="1:26" ht="25.5" customHeight="1">
      <c r="A683" s="203"/>
      <c r="B683" s="203"/>
      <c r="C683" s="203"/>
      <c r="D683" s="203"/>
      <c r="E683" s="203"/>
      <c r="F683" s="203"/>
      <c r="G683" s="203"/>
      <c r="H683" s="203"/>
      <c r="I683" s="203"/>
      <c r="J683" s="203"/>
      <c r="K683" s="203"/>
      <c r="L683" s="203"/>
      <c r="M683" s="203"/>
      <c r="N683" s="203"/>
      <c r="O683" s="203"/>
      <c r="P683" s="211"/>
      <c r="Q683" s="212"/>
      <c r="R683" s="212"/>
      <c r="S683" s="212"/>
      <c r="T683" s="212"/>
      <c r="U683" s="212"/>
      <c r="V683" s="212"/>
      <c r="W683" s="213"/>
      <c r="X683" s="203"/>
      <c r="Y683" s="203"/>
      <c r="Z683" s="203"/>
    </row>
    <row r="684" spans="1:26" ht="25.5" customHeight="1">
      <c r="A684" s="203"/>
      <c r="B684" s="203"/>
      <c r="C684" s="203"/>
      <c r="D684" s="203"/>
      <c r="E684" s="203"/>
      <c r="F684" s="203"/>
      <c r="G684" s="203"/>
      <c r="H684" s="203"/>
      <c r="I684" s="203"/>
      <c r="J684" s="203"/>
      <c r="K684" s="203"/>
      <c r="L684" s="203"/>
      <c r="M684" s="203"/>
      <c r="N684" s="203"/>
      <c r="O684" s="203"/>
      <c r="P684" s="211"/>
      <c r="Q684" s="212"/>
      <c r="R684" s="212"/>
      <c r="S684" s="212"/>
      <c r="T684" s="212"/>
      <c r="U684" s="212"/>
      <c r="V684" s="212"/>
      <c r="W684" s="213"/>
      <c r="X684" s="203"/>
      <c r="Y684" s="203"/>
      <c r="Z684" s="203"/>
    </row>
    <row r="685" spans="1:26" ht="25.5" customHeight="1">
      <c r="A685" s="203"/>
      <c r="B685" s="203"/>
      <c r="C685" s="203"/>
      <c r="D685" s="203"/>
      <c r="E685" s="203"/>
      <c r="F685" s="203"/>
      <c r="G685" s="203"/>
      <c r="H685" s="203"/>
      <c r="I685" s="203"/>
      <c r="J685" s="203"/>
      <c r="K685" s="203"/>
      <c r="L685" s="203"/>
      <c r="M685" s="203"/>
      <c r="N685" s="203"/>
      <c r="O685" s="203"/>
      <c r="P685" s="211"/>
      <c r="Q685" s="212"/>
      <c r="R685" s="212"/>
      <c r="S685" s="212"/>
      <c r="T685" s="212"/>
      <c r="U685" s="212"/>
      <c r="V685" s="212"/>
      <c r="W685" s="213"/>
      <c r="X685" s="203"/>
      <c r="Y685" s="203"/>
      <c r="Z685" s="203"/>
    </row>
    <row r="686" spans="1:26" ht="25.5" customHeight="1">
      <c r="A686" s="203"/>
      <c r="B686" s="203"/>
      <c r="C686" s="203"/>
      <c r="D686" s="203"/>
      <c r="E686" s="203"/>
      <c r="F686" s="203"/>
      <c r="G686" s="203"/>
      <c r="H686" s="203"/>
      <c r="I686" s="203"/>
      <c r="J686" s="203"/>
      <c r="K686" s="203"/>
      <c r="L686" s="203"/>
      <c r="M686" s="203"/>
      <c r="N686" s="203"/>
      <c r="O686" s="203"/>
      <c r="P686" s="211"/>
      <c r="Q686" s="212"/>
      <c r="R686" s="212"/>
      <c r="S686" s="212"/>
      <c r="T686" s="212"/>
      <c r="U686" s="212"/>
      <c r="V686" s="212"/>
      <c r="W686" s="213"/>
      <c r="X686" s="203"/>
      <c r="Y686" s="203"/>
      <c r="Z686" s="203"/>
    </row>
    <row r="687" spans="1:26" ht="25.5" customHeight="1">
      <c r="A687" s="203"/>
      <c r="B687" s="203"/>
      <c r="C687" s="203"/>
      <c r="D687" s="203"/>
      <c r="E687" s="203"/>
      <c r="F687" s="203"/>
      <c r="G687" s="203"/>
      <c r="H687" s="203"/>
      <c r="I687" s="203"/>
      <c r="J687" s="203"/>
      <c r="K687" s="203"/>
      <c r="L687" s="203"/>
      <c r="M687" s="203"/>
      <c r="N687" s="203"/>
      <c r="O687" s="203"/>
      <c r="P687" s="211"/>
      <c r="Q687" s="212"/>
      <c r="R687" s="212"/>
      <c r="S687" s="212"/>
      <c r="T687" s="212"/>
      <c r="U687" s="212"/>
      <c r="V687" s="212"/>
      <c r="W687" s="213"/>
      <c r="X687" s="203"/>
      <c r="Y687" s="203"/>
      <c r="Z687" s="203"/>
    </row>
    <row r="688" spans="1:26" ht="25.5" customHeight="1">
      <c r="A688" s="203"/>
      <c r="B688" s="203"/>
      <c r="C688" s="203"/>
      <c r="D688" s="203"/>
      <c r="E688" s="203"/>
      <c r="F688" s="203"/>
      <c r="G688" s="203"/>
      <c r="H688" s="203"/>
      <c r="I688" s="203"/>
      <c r="J688" s="203"/>
      <c r="K688" s="203"/>
      <c r="L688" s="203"/>
      <c r="M688" s="203"/>
      <c r="N688" s="203"/>
      <c r="O688" s="203"/>
      <c r="P688" s="211"/>
      <c r="Q688" s="212"/>
      <c r="R688" s="212"/>
      <c r="S688" s="212"/>
      <c r="T688" s="212"/>
      <c r="U688" s="212"/>
      <c r="V688" s="212"/>
      <c r="W688" s="213"/>
      <c r="X688" s="203"/>
      <c r="Y688" s="203"/>
      <c r="Z688" s="203"/>
    </row>
    <row r="689" spans="1:26" ht="25.5" customHeight="1">
      <c r="A689" s="203"/>
      <c r="B689" s="203"/>
      <c r="C689" s="203"/>
      <c r="D689" s="203"/>
      <c r="E689" s="203"/>
      <c r="F689" s="203"/>
      <c r="G689" s="203"/>
      <c r="H689" s="203"/>
      <c r="I689" s="203"/>
      <c r="J689" s="203"/>
      <c r="K689" s="203"/>
      <c r="L689" s="203"/>
      <c r="M689" s="203"/>
      <c r="N689" s="203"/>
      <c r="O689" s="203"/>
      <c r="P689" s="211"/>
      <c r="Q689" s="212"/>
      <c r="R689" s="212"/>
      <c r="S689" s="212"/>
      <c r="T689" s="212"/>
      <c r="U689" s="212"/>
      <c r="V689" s="212"/>
      <c r="W689" s="213"/>
      <c r="X689" s="203"/>
      <c r="Y689" s="203"/>
      <c r="Z689" s="203"/>
    </row>
    <row r="690" spans="1:26" ht="25.5" customHeight="1">
      <c r="A690" s="203"/>
      <c r="B690" s="203"/>
      <c r="C690" s="203"/>
      <c r="D690" s="203"/>
      <c r="E690" s="203"/>
      <c r="F690" s="203"/>
      <c r="G690" s="203"/>
      <c r="H690" s="203"/>
      <c r="I690" s="203"/>
      <c r="J690" s="203"/>
      <c r="K690" s="203"/>
      <c r="L690" s="203"/>
      <c r="M690" s="203"/>
      <c r="N690" s="203"/>
      <c r="O690" s="203"/>
      <c r="P690" s="211"/>
      <c r="Q690" s="212"/>
      <c r="R690" s="212"/>
      <c r="S690" s="212"/>
      <c r="T690" s="212"/>
      <c r="U690" s="212"/>
      <c r="V690" s="212"/>
      <c r="W690" s="213"/>
      <c r="X690" s="203"/>
      <c r="Y690" s="203"/>
      <c r="Z690" s="203"/>
    </row>
    <row r="691" spans="1:26" ht="25.5" customHeight="1">
      <c r="A691" s="203"/>
      <c r="B691" s="203"/>
      <c r="C691" s="203"/>
      <c r="D691" s="203"/>
      <c r="E691" s="203"/>
      <c r="F691" s="203"/>
      <c r="G691" s="203"/>
      <c r="H691" s="203"/>
      <c r="I691" s="203"/>
      <c r="J691" s="203"/>
      <c r="K691" s="203"/>
      <c r="L691" s="203"/>
      <c r="M691" s="203"/>
      <c r="N691" s="203"/>
      <c r="O691" s="203"/>
      <c r="P691" s="211"/>
      <c r="Q691" s="212"/>
      <c r="R691" s="212"/>
      <c r="S691" s="212"/>
      <c r="T691" s="212"/>
      <c r="U691" s="212"/>
      <c r="V691" s="212"/>
      <c r="W691" s="213"/>
      <c r="X691" s="203"/>
      <c r="Y691" s="203"/>
      <c r="Z691" s="203"/>
    </row>
    <row r="692" spans="1:26" ht="25.5" customHeight="1">
      <c r="A692" s="203"/>
      <c r="B692" s="203"/>
      <c r="C692" s="203"/>
      <c r="D692" s="203"/>
      <c r="E692" s="203"/>
      <c r="F692" s="203"/>
      <c r="G692" s="203"/>
      <c r="H692" s="203"/>
      <c r="I692" s="203"/>
      <c r="J692" s="203"/>
      <c r="K692" s="203"/>
      <c r="L692" s="203"/>
      <c r="M692" s="203"/>
      <c r="N692" s="203"/>
      <c r="O692" s="203"/>
      <c r="P692" s="211"/>
      <c r="Q692" s="212"/>
      <c r="R692" s="212"/>
      <c r="S692" s="212"/>
      <c r="T692" s="212"/>
      <c r="U692" s="212"/>
      <c r="V692" s="212"/>
      <c r="W692" s="213"/>
      <c r="X692" s="203"/>
      <c r="Y692" s="203"/>
      <c r="Z692" s="203"/>
    </row>
    <row r="693" spans="1:26" ht="25.5" customHeight="1">
      <c r="A693" s="203"/>
      <c r="B693" s="203"/>
      <c r="C693" s="203"/>
      <c r="D693" s="203"/>
      <c r="E693" s="203"/>
      <c r="F693" s="203"/>
      <c r="G693" s="203"/>
      <c r="H693" s="203"/>
      <c r="I693" s="203"/>
      <c r="J693" s="203"/>
      <c r="K693" s="203"/>
      <c r="L693" s="203"/>
      <c r="M693" s="203"/>
      <c r="N693" s="203"/>
      <c r="O693" s="203"/>
      <c r="P693" s="211"/>
      <c r="Q693" s="212"/>
      <c r="R693" s="212"/>
      <c r="S693" s="212"/>
      <c r="T693" s="212"/>
      <c r="U693" s="212"/>
      <c r="V693" s="212"/>
      <c r="W693" s="213"/>
      <c r="X693" s="203"/>
      <c r="Y693" s="203"/>
      <c r="Z693" s="203"/>
    </row>
    <row r="694" spans="1:26" ht="25.5" customHeight="1">
      <c r="A694" s="203"/>
      <c r="B694" s="203"/>
      <c r="C694" s="203"/>
      <c r="D694" s="203"/>
      <c r="E694" s="203"/>
      <c r="F694" s="203"/>
      <c r="G694" s="203"/>
      <c r="H694" s="203"/>
      <c r="I694" s="203"/>
      <c r="J694" s="203"/>
      <c r="K694" s="203"/>
      <c r="L694" s="203"/>
      <c r="M694" s="203"/>
      <c r="N694" s="203"/>
      <c r="O694" s="203"/>
      <c r="P694" s="211"/>
      <c r="Q694" s="212"/>
      <c r="R694" s="212"/>
      <c r="S694" s="212"/>
      <c r="T694" s="212"/>
      <c r="U694" s="212"/>
      <c r="V694" s="212"/>
      <c r="W694" s="213"/>
      <c r="X694" s="203"/>
      <c r="Y694" s="203"/>
      <c r="Z694" s="203"/>
    </row>
    <row r="695" spans="1:26" ht="25.5" customHeight="1">
      <c r="A695" s="203"/>
      <c r="B695" s="203"/>
      <c r="C695" s="203"/>
      <c r="D695" s="203"/>
      <c r="E695" s="203"/>
      <c r="F695" s="203"/>
      <c r="G695" s="203"/>
      <c r="H695" s="203"/>
      <c r="I695" s="203"/>
      <c r="J695" s="203"/>
      <c r="K695" s="203"/>
      <c r="L695" s="203"/>
      <c r="M695" s="203"/>
      <c r="N695" s="203"/>
      <c r="O695" s="203"/>
      <c r="P695" s="211"/>
      <c r="Q695" s="212"/>
      <c r="R695" s="212"/>
      <c r="S695" s="212"/>
      <c r="T695" s="212"/>
      <c r="U695" s="212"/>
      <c r="V695" s="212"/>
      <c r="W695" s="213"/>
      <c r="X695" s="203"/>
      <c r="Y695" s="203"/>
      <c r="Z695" s="203"/>
    </row>
    <row r="696" spans="1:26" ht="25.5" customHeight="1">
      <c r="A696" s="203"/>
      <c r="B696" s="203"/>
      <c r="C696" s="203"/>
      <c r="D696" s="203"/>
      <c r="E696" s="203"/>
      <c r="F696" s="203"/>
      <c r="G696" s="203"/>
      <c r="H696" s="203"/>
      <c r="I696" s="203"/>
      <c r="J696" s="203"/>
      <c r="K696" s="203"/>
      <c r="L696" s="203"/>
      <c r="M696" s="203"/>
      <c r="N696" s="203"/>
      <c r="O696" s="203"/>
      <c r="P696" s="211"/>
      <c r="Q696" s="212"/>
      <c r="R696" s="212"/>
      <c r="S696" s="212"/>
      <c r="T696" s="212"/>
      <c r="U696" s="212"/>
      <c r="V696" s="212"/>
      <c r="W696" s="213"/>
      <c r="X696" s="203"/>
      <c r="Y696" s="203"/>
      <c r="Z696" s="203"/>
    </row>
    <row r="697" spans="1:26" ht="25.5" customHeight="1">
      <c r="A697" s="203"/>
      <c r="B697" s="203"/>
      <c r="C697" s="203"/>
      <c r="D697" s="203"/>
      <c r="E697" s="203"/>
      <c r="F697" s="203"/>
      <c r="G697" s="203"/>
      <c r="H697" s="203"/>
      <c r="I697" s="203"/>
      <c r="J697" s="203"/>
      <c r="K697" s="203"/>
      <c r="L697" s="203"/>
      <c r="M697" s="203"/>
      <c r="N697" s="203"/>
      <c r="O697" s="203"/>
      <c r="P697" s="211"/>
      <c r="Q697" s="212"/>
      <c r="R697" s="212"/>
      <c r="S697" s="212"/>
      <c r="T697" s="212"/>
      <c r="U697" s="212"/>
      <c r="V697" s="212"/>
      <c r="W697" s="213"/>
      <c r="X697" s="203"/>
      <c r="Y697" s="203"/>
      <c r="Z697" s="203"/>
    </row>
    <row r="698" spans="1:26" ht="25.5" customHeight="1">
      <c r="A698" s="203"/>
      <c r="B698" s="203"/>
      <c r="C698" s="203"/>
      <c r="D698" s="203"/>
      <c r="E698" s="203"/>
      <c r="F698" s="203"/>
      <c r="G698" s="203"/>
      <c r="H698" s="203"/>
      <c r="I698" s="203"/>
      <c r="J698" s="203"/>
      <c r="K698" s="203"/>
      <c r="L698" s="203"/>
      <c r="M698" s="203"/>
      <c r="N698" s="203"/>
      <c r="O698" s="203"/>
      <c r="P698" s="211"/>
      <c r="Q698" s="212"/>
      <c r="R698" s="212"/>
      <c r="S698" s="212"/>
      <c r="T698" s="212"/>
      <c r="U698" s="212"/>
      <c r="V698" s="212"/>
      <c r="W698" s="213"/>
      <c r="X698" s="203"/>
      <c r="Y698" s="203"/>
      <c r="Z698" s="203"/>
    </row>
    <row r="699" spans="1:26" ht="25.5" customHeight="1">
      <c r="A699" s="203"/>
      <c r="B699" s="203"/>
      <c r="C699" s="203"/>
      <c r="D699" s="203"/>
      <c r="E699" s="203"/>
      <c r="F699" s="203"/>
      <c r="G699" s="203"/>
      <c r="H699" s="203"/>
      <c r="I699" s="203"/>
      <c r="J699" s="203"/>
      <c r="K699" s="203"/>
      <c r="L699" s="203"/>
      <c r="M699" s="203"/>
      <c r="N699" s="203"/>
      <c r="O699" s="203"/>
      <c r="P699" s="211"/>
      <c r="Q699" s="212"/>
      <c r="R699" s="212"/>
      <c r="S699" s="212"/>
      <c r="T699" s="212"/>
      <c r="U699" s="212"/>
      <c r="V699" s="212"/>
      <c r="W699" s="213"/>
      <c r="X699" s="203"/>
      <c r="Y699" s="203"/>
      <c r="Z699" s="203"/>
    </row>
    <row r="700" spans="1:26" ht="25.5" customHeight="1">
      <c r="A700" s="203"/>
      <c r="B700" s="203"/>
      <c r="C700" s="203"/>
      <c r="D700" s="203"/>
      <c r="E700" s="203"/>
      <c r="F700" s="203"/>
      <c r="G700" s="203"/>
      <c r="H700" s="203"/>
      <c r="I700" s="203"/>
      <c r="J700" s="203"/>
      <c r="K700" s="203"/>
      <c r="L700" s="203"/>
      <c r="M700" s="203"/>
      <c r="N700" s="203"/>
      <c r="O700" s="203"/>
      <c r="P700" s="211"/>
      <c r="Q700" s="212"/>
      <c r="R700" s="212"/>
      <c r="S700" s="212"/>
      <c r="T700" s="212"/>
      <c r="U700" s="212"/>
      <c r="V700" s="212"/>
      <c r="W700" s="213"/>
      <c r="X700" s="203"/>
      <c r="Y700" s="203"/>
      <c r="Z700" s="203"/>
    </row>
    <row r="701" spans="1:26" ht="25.5" customHeight="1">
      <c r="A701" s="203"/>
      <c r="B701" s="203"/>
      <c r="C701" s="203"/>
      <c r="D701" s="203"/>
      <c r="E701" s="203"/>
      <c r="F701" s="203"/>
      <c r="G701" s="203"/>
      <c r="H701" s="203"/>
      <c r="I701" s="203"/>
      <c r="J701" s="203"/>
      <c r="K701" s="203"/>
      <c r="L701" s="203"/>
      <c r="M701" s="203"/>
      <c r="N701" s="203"/>
      <c r="O701" s="203"/>
      <c r="P701" s="211"/>
      <c r="Q701" s="212"/>
      <c r="R701" s="212"/>
      <c r="S701" s="212"/>
      <c r="T701" s="212"/>
      <c r="U701" s="212"/>
      <c r="V701" s="212"/>
      <c r="W701" s="213"/>
      <c r="X701" s="203"/>
      <c r="Y701" s="203"/>
      <c r="Z701" s="203"/>
    </row>
    <row r="702" spans="1:26" ht="25.5" customHeight="1">
      <c r="A702" s="203"/>
      <c r="B702" s="203"/>
      <c r="C702" s="203"/>
      <c r="D702" s="203"/>
      <c r="E702" s="203"/>
      <c r="F702" s="203"/>
      <c r="G702" s="203"/>
      <c r="H702" s="203"/>
      <c r="I702" s="203"/>
      <c r="J702" s="203"/>
      <c r="K702" s="203"/>
      <c r="L702" s="203"/>
      <c r="M702" s="203"/>
      <c r="N702" s="203"/>
      <c r="O702" s="203"/>
      <c r="P702" s="211"/>
      <c r="Q702" s="212"/>
      <c r="R702" s="212"/>
      <c r="S702" s="212"/>
      <c r="T702" s="212"/>
      <c r="U702" s="212"/>
      <c r="V702" s="212"/>
      <c r="W702" s="213"/>
      <c r="X702" s="203"/>
      <c r="Y702" s="203"/>
      <c r="Z702" s="203"/>
    </row>
    <row r="703" spans="1:26" ht="25.5" customHeight="1">
      <c r="A703" s="203"/>
      <c r="B703" s="203"/>
      <c r="C703" s="203"/>
      <c r="D703" s="203"/>
      <c r="E703" s="203"/>
      <c r="F703" s="203"/>
      <c r="G703" s="203"/>
      <c r="H703" s="203"/>
      <c r="I703" s="203"/>
      <c r="J703" s="203"/>
      <c r="K703" s="203"/>
      <c r="L703" s="203"/>
      <c r="M703" s="203"/>
      <c r="N703" s="203"/>
      <c r="O703" s="203"/>
      <c r="P703" s="211"/>
      <c r="Q703" s="212"/>
      <c r="R703" s="212"/>
      <c r="S703" s="212"/>
      <c r="T703" s="212"/>
      <c r="U703" s="212"/>
      <c r="V703" s="212"/>
      <c r="W703" s="213"/>
      <c r="X703" s="203"/>
      <c r="Y703" s="203"/>
      <c r="Z703" s="203"/>
    </row>
    <row r="704" spans="1:26" ht="25.5" customHeight="1">
      <c r="A704" s="203"/>
      <c r="B704" s="203"/>
      <c r="C704" s="203"/>
      <c r="D704" s="203"/>
      <c r="E704" s="203"/>
      <c r="F704" s="203"/>
      <c r="G704" s="203"/>
      <c r="H704" s="203"/>
      <c r="I704" s="203"/>
      <c r="J704" s="203"/>
      <c r="K704" s="203"/>
      <c r="L704" s="203"/>
      <c r="M704" s="203"/>
      <c r="N704" s="203"/>
      <c r="O704" s="203"/>
      <c r="P704" s="211"/>
      <c r="Q704" s="212"/>
      <c r="R704" s="212"/>
      <c r="S704" s="212"/>
      <c r="T704" s="212"/>
      <c r="U704" s="212"/>
      <c r="V704" s="212"/>
      <c r="W704" s="213"/>
      <c r="X704" s="203"/>
      <c r="Y704" s="203"/>
      <c r="Z704" s="203"/>
    </row>
    <row r="705" spans="1:26" ht="25.5" customHeight="1">
      <c r="A705" s="203"/>
      <c r="B705" s="203"/>
      <c r="C705" s="203"/>
      <c r="D705" s="203"/>
      <c r="E705" s="203"/>
      <c r="F705" s="203"/>
      <c r="G705" s="203"/>
      <c r="H705" s="203"/>
      <c r="I705" s="203"/>
      <c r="J705" s="203"/>
      <c r="K705" s="203"/>
      <c r="L705" s="203"/>
      <c r="M705" s="203"/>
      <c r="N705" s="203"/>
      <c r="O705" s="203"/>
      <c r="P705" s="211"/>
      <c r="Q705" s="212"/>
      <c r="R705" s="212"/>
      <c r="S705" s="212"/>
      <c r="T705" s="212"/>
      <c r="U705" s="212"/>
      <c r="V705" s="212"/>
      <c r="W705" s="213"/>
      <c r="X705" s="203"/>
      <c r="Y705" s="203"/>
      <c r="Z705" s="203"/>
    </row>
    <row r="706" spans="1:26" ht="25.5" customHeight="1">
      <c r="A706" s="203"/>
      <c r="B706" s="203"/>
      <c r="C706" s="203"/>
      <c r="D706" s="203"/>
      <c r="E706" s="203"/>
      <c r="F706" s="203"/>
      <c r="G706" s="203"/>
      <c r="H706" s="203"/>
      <c r="I706" s="203"/>
      <c r="J706" s="203"/>
      <c r="K706" s="203"/>
      <c r="L706" s="203"/>
      <c r="M706" s="203"/>
      <c r="N706" s="203"/>
      <c r="O706" s="203"/>
      <c r="P706" s="211"/>
      <c r="Q706" s="212"/>
      <c r="R706" s="212"/>
      <c r="S706" s="212"/>
      <c r="T706" s="212"/>
      <c r="U706" s="212"/>
      <c r="V706" s="212"/>
      <c r="W706" s="213"/>
      <c r="X706" s="203"/>
      <c r="Y706" s="203"/>
      <c r="Z706" s="203"/>
    </row>
    <row r="707" spans="1:26" ht="25.5" customHeight="1">
      <c r="A707" s="203"/>
      <c r="B707" s="203"/>
      <c r="C707" s="203"/>
      <c r="D707" s="203"/>
      <c r="E707" s="203"/>
      <c r="F707" s="203"/>
      <c r="G707" s="203"/>
      <c r="H707" s="203"/>
      <c r="I707" s="203"/>
      <c r="J707" s="203"/>
      <c r="K707" s="203"/>
      <c r="L707" s="203"/>
      <c r="M707" s="203"/>
      <c r="N707" s="203"/>
      <c r="O707" s="203"/>
      <c r="P707" s="211"/>
      <c r="Q707" s="212"/>
      <c r="R707" s="212"/>
      <c r="S707" s="212"/>
      <c r="T707" s="212"/>
      <c r="U707" s="212"/>
      <c r="V707" s="212"/>
      <c r="W707" s="213"/>
      <c r="X707" s="203"/>
      <c r="Y707" s="203"/>
      <c r="Z707" s="203"/>
    </row>
    <row r="708" spans="1:26" ht="25.5" customHeight="1">
      <c r="A708" s="203"/>
      <c r="B708" s="203"/>
      <c r="C708" s="203"/>
      <c r="D708" s="203"/>
      <c r="E708" s="203"/>
      <c r="F708" s="203"/>
      <c r="G708" s="203"/>
      <c r="H708" s="203"/>
      <c r="I708" s="203"/>
      <c r="J708" s="203"/>
      <c r="K708" s="203"/>
      <c r="L708" s="203"/>
      <c r="M708" s="203"/>
      <c r="N708" s="203"/>
      <c r="O708" s="203"/>
      <c r="P708" s="211"/>
      <c r="Q708" s="212"/>
      <c r="R708" s="212"/>
      <c r="S708" s="212"/>
      <c r="T708" s="212"/>
      <c r="U708" s="212"/>
      <c r="V708" s="212"/>
      <c r="W708" s="213"/>
      <c r="X708" s="203"/>
      <c r="Y708" s="203"/>
      <c r="Z708" s="203"/>
    </row>
    <row r="709" spans="1:26" ht="25.5" customHeight="1">
      <c r="A709" s="203"/>
      <c r="B709" s="203"/>
      <c r="C709" s="203"/>
      <c r="D709" s="203"/>
      <c r="E709" s="203"/>
      <c r="F709" s="203"/>
      <c r="G709" s="203"/>
      <c r="H709" s="203"/>
      <c r="I709" s="203"/>
      <c r="J709" s="203"/>
      <c r="K709" s="203"/>
      <c r="L709" s="203"/>
      <c r="M709" s="203"/>
      <c r="N709" s="203"/>
      <c r="O709" s="203"/>
      <c r="P709" s="211"/>
      <c r="Q709" s="212"/>
      <c r="R709" s="212"/>
      <c r="S709" s="212"/>
      <c r="T709" s="212"/>
      <c r="U709" s="212"/>
      <c r="V709" s="212"/>
      <c r="W709" s="213"/>
      <c r="X709" s="203"/>
      <c r="Y709" s="203"/>
      <c r="Z709" s="203"/>
    </row>
    <row r="710" spans="1:26" ht="25.5" customHeight="1">
      <c r="A710" s="203"/>
      <c r="B710" s="203"/>
      <c r="C710" s="203"/>
      <c r="D710" s="203"/>
      <c r="E710" s="203"/>
      <c r="F710" s="203"/>
      <c r="G710" s="203"/>
      <c r="H710" s="203"/>
      <c r="I710" s="203"/>
      <c r="J710" s="203"/>
      <c r="K710" s="203"/>
      <c r="L710" s="203"/>
      <c r="M710" s="203"/>
      <c r="N710" s="203"/>
      <c r="O710" s="203"/>
      <c r="P710" s="211"/>
      <c r="Q710" s="212"/>
      <c r="R710" s="212"/>
      <c r="S710" s="212"/>
      <c r="T710" s="212"/>
      <c r="U710" s="212"/>
      <c r="V710" s="212"/>
      <c r="W710" s="213"/>
      <c r="X710" s="203"/>
      <c r="Y710" s="203"/>
      <c r="Z710" s="203"/>
    </row>
    <row r="711" spans="1:26" ht="25.5" customHeight="1">
      <c r="A711" s="203"/>
      <c r="B711" s="203"/>
      <c r="C711" s="203"/>
      <c r="D711" s="203"/>
      <c r="E711" s="203"/>
      <c r="F711" s="203"/>
      <c r="G711" s="203"/>
      <c r="H711" s="203"/>
      <c r="I711" s="203"/>
      <c r="J711" s="203"/>
      <c r="K711" s="203"/>
      <c r="L711" s="203"/>
      <c r="M711" s="203"/>
      <c r="N711" s="203"/>
      <c r="O711" s="203"/>
      <c r="P711" s="211"/>
      <c r="Q711" s="212"/>
      <c r="R711" s="212"/>
      <c r="S711" s="212"/>
      <c r="T711" s="212"/>
      <c r="U711" s="212"/>
      <c r="V711" s="212"/>
      <c r="W711" s="213"/>
      <c r="X711" s="203"/>
      <c r="Y711" s="203"/>
      <c r="Z711" s="203"/>
    </row>
    <row r="712" spans="1:26" ht="25.5" customHeight="1">
      <c r="A712" s="203"/>
      <c r="B712" s="203"/>
      <c r="C712" s="203"/>
      <c r="D712" s="203"/>
      <c r="E712" s="203"/>
      <c r="F712" s="203"/>
      <c r="G712" s="203"/>
      <c r="H712" s="203"/>
      <c r="I712" s="203"/>
      <c r="J712" s="203"/>
      <c r="K712" s="203"/>
      <c r="L712" s="203"/>
      <c r="M712" s="203"/>
      <c r="N712" s="203"/>
      <c r="O712" s="203"/>
      <c r="P712" s="211"/>
      <c r="Q712" s="212"/>
      <c r="R712" s="212"/>
      <c r="S712" s="212"/>
      <c r="T712" s="212"/>
      <c r="U712" s="212"/>
      <c r="V712" s="212"/>
      <c r="W712" s="213"/>
      <c r="X712" s="203"/>
      <c r="Y712" s="203"/>
      <c r="Z712" s="203"/>
    </row>
    <row r="713" spans="1:26" ht="25.5" customHeight="1">
      <c r="A713" s="203"/>
      <c r="B713" s="203"/>
      <c r="C713" s="203"/>
      <c r="D713" s="203"/>
      <c r="E713" s="203"/>
      <c r="F713" s="203"/>
      <c r="G713" s="203"/>
      <c r="H713" s="203"/>
      <c r="I713" s="203"/>
      <c r="J713" s="203"/>
      <c r="K713" s="203"/>
      <c r="L713" s="203"/>
      <c r="M713" s="203"/>
      <c r="N713" s="203"/>
      <c r="O713" s="203"/>
      <c r="P713" s="211"/>
      <c r="Q713" s="212"/>
      <c r="R713" s="212"/>
      <c r="S713" s="212"/>
      <c r="T713" s="212"/>
      <c r="U713" s="212"/>
      <c r="V713" s="212"/>
      <c r="W713" s="213"/>
      <c r="X713" s="203"/>
      <c r="Y713" s="203"/>
      <c r="Z713" s="203"/>
    </row>
    <row r="714" spans="1:26" ht="25.5" customHeight="1">
      <c r="A714" s="203"/>
      <c r="B714" s="203"/>
      <c r="C714" s="203"/>
      <c r="D714" s="203"/>
      <c r="E714" s="203"/>
      <c r="F714" s="203"/>
      <c r="G714" s="203"/>
      <c r="H714" s="203"/>
      <c r="I714" s="203"/>
      <c r="J714" s="203"/>
      <c r="K714" s="203"/>
      <c r="L714" s="203"/>
      <c r="M714" s="203"/>
      <c r="N714" s="203"/>
      <c r="O714" s="203"/>
      <c r="P714" s="211"/>
      <c r="Q714" s="212"/>
      <c r="R714" s="212"/>
      <c r="S714" s="212"/>
      <c r="T714" s="212"/>
      <c r="U714" s="212"/>
      <c r="V714" s="212"/>
      <c r="W714" s="213"/>
      <c r="X714" s="203"/>
      <c r="Y714" s="203"/>
      <c r="Z714" s="203"/>
    </row>
    <row r="715" spans="1:26" ht="25.5" customHeight="1">
      <c r="A715" s="203"/>
      <c r="B715" s="203"/>
      <c r="C715" s="203"/>
      <c r="D715" s="203"/>
      <c r="E715" s="203"/>
      <c r="F715" s="203"/>
      <c r="G715" s="203"/>
      <c r="H715" s="203"/>
      <c r="I715" s="203"/>
      <c r="J715" s="203"/>
      <c r="K715" s="203"/>
      <c r="L715" s="203"/>
      <c r="M715" s="203"/>
      <c r="N715" s="203"/>
      <c r="O715" s="203"/>
      <c r="P715" s="211"/>
      <c r="Q715" s="212"/>
      <c r="R715" s="212"/>
      <c r="S715" s="212"/>
      <c r="T715" s="212"/>
      <c r="U715" s="212"/>
      <c r="V715" s="212"/>
      <c r="W715" s="213"/>
      <c r="X715" s="203"/>
      <c r="Y715" s="203"/>
      <c r="Z715" s="203"/>
    </row>
    <row r="716" spans="1:26" ht="25.5" customHeight="1">
      <c r="A716" s="203"/>
      <c r="B716" s="203"/>
      <c r="C716" s="203"/>
      <c r="D716" s="203"/>
      <c r="E716" s="203"/>
      <c r="F716" s="203"/>
      <c r="G716" s="203"/>
      <c r="H716" s="203"/>
      <c r="I716" s="203"/>
      <c r="J716" s="203"/>
      <c r="K716" s="203"/>
      <c r="L716" s="203"/>
      <c r="M716" s="203"/>
      <c r="N716" s="203"/>
      <c r="O716" s="203"/>
      <c r="P716" s="211"/>
      <c r="Q716" s="212"/>
      <c r="R716" s="212"/>
      <c r="S716" s="212"/>
      <c r="T716" s="212"/>
      <c r="U716" s="212"/>
      <c r="V716" s="212"/>
      <c r="W716" s="213"/>
      <c r="X716" s="203"/>
      <c r="Y716" s="203"/>
      <c r="Z716" s="203"/>
    </row>
    <row r="717" spans="1:26" ht="25.5" customHeight="1">
      <c r="A717" s="203"/>
      <c r="B717" s="203"/>
      <c r="C717" s="203"/>
      <c r="D717" s="203"/>
      <c r="E717" s="203"/>
      <c r="F717" s="203"/>
      <c r="G717" s="203"/>
      <c r="H717" s="203"/>
      <c r="I717" s="203"/>
      <c r="J717" s="203"/>
      <c r="K717" s="203"/>
      <c r="L717" s="203"/>
      <c r="M717" s="203"/>
      <c r="N717" s="203"/>
      <c r="O717" s="203"/>
      <c r="P717" s="211"/>
      <c r="Q717" s="212"/>
      <c r="R717" s="212"/>
      <c r="S717" s="212"/>
      <c r="T717" s="212"/>
      <c r="U717" s="212"/>
      <c r="V717" s="212"/>
      <c r="W717" s="213"/>
      <c r="X717" s="203"/>
      <c r="Y717" s="203"/>
      <c r="Z717" s="203"/>
    </row>
    <row r="718" spans="1:26" ht="25.5" customHeight="1">
      <c r="A718" s="203"/>
      <c r="B718" s="203"/>
      <c r="C718" s="203"/>
      <c r="D718" s="203"/>
      <c r="E718" s="203"/>
      <c r="F718" s="203"/>
      <c r="G718" s="203"/>
      <c r="H718" s="203"/>
      <c r="I718" s="203"/>
      <c r="J718" s="203"/>
      <c r="K718" s="203"/>
      <c r="L718" s="203"/>
      <c r="M718" s="203"/>
      <c r="N718" s="203"/>
      <c r="O718" s="203"/>
      <c r="P718" s="211"/>
      <c r="Q718" s="212"/>
      <c r="R718" s="212"/>
      <c r="S718" s="212"/>
      <c r="T718" s="212"/>
      <c r="U718" s="212"/>
      <c r="V718" s="212"/>
      <c r="W718" s="213"/>
      <c r="X718" s="203"/>
      <c r="Y718" s="203"/>
      <c r="Z718" s="203"/>
    </row>
    <row r="719" spans="1:26" ht="25.5" customHeight="1">
      <c r="A719" s="203"/>
      <c r="B719" s="203"/>
      <c r="C719" s="203"/>
      <c r="D719" s="203"/>
      <c r="E719" s="203"/>
      <c r="F719" s="203"/>
      <c r="G719" s="203"/>
      <c r="H719" s="203"/>
      <c r="I719" s="203"/>
      <c r="J719" s="203"/>
      <c r="K719" s="203"/>
      <c r="L719" s="203"/>
      <c r="M719" s="203"/>
      <c r="N719" s="203"/>
      <c r="O719" s="203"/>
      <c r="P719" s="211"/>
      <c r="Q719" s="212"/>
      <c r="R719" s="212"/>
      <c r="S719" s="212"/>
      <c r="T719" s="212"/>
      <c r="U719" s="212"/>
      <c r="V719" s="212"/>
      <c r="W719" s="213"/>
      <c r="X719" s="203"/>
      <c r="Y719" s="203"/>
      <c r="Z719" s="203"/>
    </row>
    <row r="720" spans="1:26" ht="25.5" customHeight="1">
      <c r="A720" s="203"/>
      <c r="B720" s="203"/>
      <c r="C720" s="203"/>
      <c r="D720" s="203"/>
      <c r="E720" s="203"/>
      <c r="F720" s="203"/>
      <c r="G720" s="203"/>
      <c r="H720" s="203"/>
      <c r="I720" s="203"/>
      <c r="J720" s="203"/>
      <c r="K720" s="203"/>
      <c r="L720" s="203"/>
      <c r="M720" s="203"/>
      <c r="N720" s="203"/>
      <c r="O720" s="203"/>
      <c r="P720" s="211"/>
      <c r="Q720" s="212"/>
      <c r="R720" s="212"/>
      <c r="S720" s="212"/>
      <c r="T720" s="212"/>
      <c r="U720" s="212"/>
      <c r="V720" s="212"/>
      <c r="W720" s="213"/>
      <c r="X720" s="203"/>
      <c r="Y720" s="203"/>
      <c r="Z720" s="203"/>
    </row>
    <row r="721" spans="1:26" ht="25.5" customHeight="1">
      <c r="A721" s="203"/>
      <c r="B721" s="203"/>
      <c r="C721" s="203"/>
      <c r="D721" s="203"/>
      <c r="E721" s="203"/>
      <c r="F721" s="203"/>
      <c r="G721" s="203"/>
      <c r="H721" s="203"/>
      <c r="I721" s="203"/>
      <c r="J721" s="203"/>
      <c r="K721" s="203"/>
      <c r="L721" s="203"/>
      <c r="M721" s="203"/>
      <c r="N721" s="203"/>
      <c r="O721" s="203"/>
      <c r="P721" s="211"/>
      <c r="Q721" s="212"/>
      <c r="R721" s="212"/>
      <c r="S721" s="212"/>
      <c r="T721" s="212"/>
      <c r="U721" s="212"/>
      <c r="V721" s="212"/>
      <c r="W721" s="213"/>
      <c r="X721" s="203"/>
      <c r="Y721" s="203"/>
      <c r="Z721" s="203"/>
    </row>
    <row r="722" spans="1:26" ht="25.5" customHeight="1">
      <c r="A722" s="203"/>
      <c r="B722" s="203"/>
      <c r="C722" s="203"/>
      <c r="D722" s="203"/>
      <c r="E722" s="203"/>
      <c r="F722" s="203"/>
      <c r="G722" s="203"/>
      <c r="H722" s="203"/>
      <c r="I722" s="203"/>
      <c r="J722" s="203"/>
      <c r="K722" s="203"/>
      <c r="L722" s="203"/>
      <c r="M722" s="203"/>
      <c r="N722" s="203"/>
      <c r="O722" s="203"/>
      <c r="P722" s="211"/>
      <c r="Q722" s="212"/>
      <c r="R722" s="212"/>
      <c r="S722" s="212"/>
      <c r="T722" s="212"/>
      <c r="U722" s="212"/>
      <c r="V722" s="212"/>
      <c r="W722" s="213"/>
      <c r="X722" s="203"/>
      <c r="Y722" s="203"/>
      <c r="Z722" s="203"/>
    </row>
    <row r="723" spans="1:26" ht="25.5" customHeight="1">
      <c r="A723" s="203"/>
      <c r="B723" s="203"/>
      <c r="C723" s="203"/>
      <c r="D723" s="203"/>
      <c r="E723" s="203"/>
      <c r="F723" s="203"/>
      <c r="G723" s="203"/>
      <c r="H723" s="203"/>
      <c r="I723" s="203"/>
      <c r="J723" s="203"/>
      <c r="K723" s="203"/>
      <c r="L723" s="203"/>
      <c r="M723" s="203"/>
      <c r="N723" s="203"/>
      <c r="O723" s="203"/>
      <c r="P723" s="211"/>
      <c r="Q723" s="212"/>
      <c r="R723" s="212"/>
      <c r="S723" s="212"/>
      <c r="T723" s="212"/>
      <c r="U723" s="212"/>
      <c r="V723" s="212"/>
      <c r="W723" s="213"/>
      <c r="X723" s="203"/>
      <c r="Y723" s="203"/>
      <c r="Z723" s="203"/>
    </row>
    <row r="724" spans="1:26" ht="25.5" customHeight="1">
      <c r="A724" s="203"/>
      <c r="B724" s="203"/>
      <c r="C724" s="203"/>
      <c r="D724" s="203"/>
      <c r="E724" s="203"/>
      <c r="F724" s="203"/>
      <c r="G724" s="203"/>
      <c r="H724" s="203"/>
      <c r="I724" s="203"/>
      <c r="J724" s="203"/>
      <c r="K724" s="203"/>
      <c r="L724" s="203"/>
      <c r="M724" s="203"/>
      <c r="N724" s="203"/>
      <c r="O724" s="203"/>
      <c r="P724" s="211"/>
      <c r="Q724" s="212"/>
      <c r="R724" s="212"/>
      <c r="S724" s="212"/>
      <c r="T724" s="212"/>
      <c r="U724" s="212"/>
      <c r="V724" s="212"/>
      <c r="W724" s="213"/>
      <c r="X724" s="203"/>
      <c r="Y724" s="203"/>
      <c r="Z724" s="203"/>
    </row>
    <row r="725" spans="1:26" ht="25.5" customHeight="1">
      <c r="A725" s="203"/>
      <c r="B725" s="203"/>
      <c r="C725" s="203"/>
      <c r="D725" s="203"/>
      <c r="E725" s="203"/>
      <c r="F725" s="203"/>
      <c r="G725" s="203"/>
      <c r="H725" s="203"/>
      <c r="I725" s="203"/>
      <c r="J725" s="203"/>
      <c r="K725" s="203"/>
      <c r="L725" s="203"/>
      <c r="M725" s="203"/>
      <c r="N725" s="203"/>
      <c r="O725" s="203"/>
      <c r="P725" s="211"/>
      <c r="Q725" s="212"/>
      <c r="R725" s="212"/>
      <c r="S725" s="212"/>
      <c r="T725" s="212"/>
      <c r="U725" s="212"/>
      <c r="V725" s="212"/>
      <c r="W725" s="213"/>
      <c r="X725" s="203"/>
      <c r="Y725" s="203"/>
      <c r="Z725" s="203"/>
    </row>
    <row r="726" spans="1:26" ht="25.5" customHeight="1">
      <c r="A726" s="203"/>
      <c r="B726" s="203"/>
      <c r="C726" s="203"/>
      <c r="D726" s="203"/>
      <c r="E726" s="203"/>
      <c r="F726" s="203"/>
      <c r="G726" s="203"/>
      <c r="H726" s="203"/>
      <c r="I726" s="203"/>
      <c r="J726" s="203"/>
      <c r="K726" s="203"/>
      <c r="L726" s="203"/>
      <c r="M726" s="203"/>
      <c r="N726" s="203"/>
      <c r="O726" s="203"/>
      <c r="P726" s="211"/>
      <c r="Q726" s="212"/>
      <c r="R726" s="212"/>
      <c r="S726" s="212"/>
      <c r="T726" s="212"/>
      <c r="U726" s="212"/>
      <c r="V726" s="212"/>
      <c r="W726" s="213"/>
      <c r="X726" s="203"/>
      <c r="Y726" s="203"/>
      <c r="Z726" s="203"/>
    </row>
    <row r="727" spans="1:26" ht="25.5" customHeight="1">
      <c r="A727" s="203"/>
      <c r="B727" s="203"/>
      <c r="C727" s="203"/>
      <c r="D727" s="203"/>
      <c r="E727" s="203"/>
      <c r="F727" s="203"/>
      <c r="G727" s="203"/>
      <c r="H727" s="203"/>
      <c r="I727" s="203"/>
      <c r="J727" s="203"/>
      <c r="K727" s="203"/>
      <c r="L727" s="203"/>
      <c r="M727" s="203"/>
      <c r="N727" s="203"/>
      <c r="O727" s="203"/>
      <c r="P727" s="211"/>
      <c r="Q727" s="212"/>
      <c r="R727" s="212"/>
      <c r="S727" s="212"/>
      <c r="T727" s="212"/>
      <c r="U727" s="212"/>
      <c r="V727" s="212"/>
      <c r="W727" s="213"/>
      <c r="X727" s="203"/>
      <c r="Y727" s="203"/>
      <c r="Z727" s="203"/>
    </row>
    <row r="728" spans="1:26" ht="25.5" customHeight="1">
      <c r="A728" s="203"/>
      <c r="B728" s="203"/>
      <c r="C728" s="203"/>
      <c r="D728" s="203"/>
      <c r="E728" s="203"/>
      <c r="F728" s="203"/>
      <c r="G728" s="203"/>
      <c r="H728" s="203"/>
      <c r="I728" s="203"/>
      <c r="J728" s="203"/>
      <c r="K728" s="203"/>
      <c r="L728" s="203"/>
      <c r="M728" s="203"/>
      <c r="N728" s="203"/>
      <c r="O728" s="203"/>
      <c r="P728" s="211"/>
      <c r="Q728" s="212"/>
      <c r="R728" s="212"/>
      <c r="S728" s="212"/>
      <c r="T728" s="212"/>
      <c r="U728" s="212"/>
      <c r="V728" s="212"/>
      <c r="W728" s="213"/>
      <c r="X728" s="203"/>
      <c r="Y728" s="203"/>
      <c r="Z728" s="203"/>
    </row>
    <row r="729" spans="1:26" ht="25.5" customHeight="1">
      <c r="A729" s="203"/>
      <c r="B729" s="203"/>
      <c r="C729" s="203"/>
      <c r="D729" s="203"/>
      <c r="E729" s="203"/>
      <c r="F729" s="203"/>
      <c r="G729" s="203"/>
      <c r="H729" s="203"/>
      <c r="I729" s="203"/>
      <c r="J729" s="203"/>
      <c r="K729" s="203"/>
      <c r="L729" s="203"/>
      <c r="M729" s="203"/>
      <c r="N729" s="203"/>
      <c r="O729" s="203"/>
      <c r="P729" s="211"/>
      <c r="Q729" s="212"/>
      <c r="R729" s="212"/>
      <c r="S729" s="212"/>
      <c r="T729" s="212"/>
      <c r="U729" s="212"/>
      <c r="V729" s="212"/>
      <c r="W729" s="213"/>
      <c r="X729" s="203"/>
      <c r="Y729" s="203"/>
      <c r="Z729" s="203"/>
    </row>
    <row r="730" spans="1:26" ht="25.5" customHeight="1">
      <c r="A730" s="203"/>
      <c r="B730" s="203"/>
      <c r="C730" s="203"/>
      <c r="D730" s="203"/>
      <c r="E730" s="203"/>
      <c r="F730" s="203"/>
      <c r="G730" s="203"/>
      <c r="H730" s="203"/>
      <c r="I730" s="203"/>
      <c r="J730" s="203"/>
      <c r="K730" s="203"/>
      <c r="L730" s="203"/>
      <c r="M730" s="203"/>
      <c r="N730" s="203"/>
      <c r="O730" s="203"/>
      <c r="P730" s="211"/>
      <c r="Q730" s="212"/>
      <c r="R730" s="212"/>
      <c r="S730" s="212"/>
      <c r="T730" s="212"/>
      <c r="U730" s="212"/>
      <c r="V730" s="212"/>
      <c r="W730" s="213"/>
      <c r="X730" s="203"/>
      <c r="Y730" s="203"/>
      <c r="Z730" s="203"/>
    </row>
    <row r="731" spans="1:26" ht="25.5" customHeight="1">
      <c r="A731" s="203"/>
      <c r="B731" s="203"/>
      <c r="C731" s="203"/>
      <c r="D731" s="203"/>
      <c r="E731" s="203"/>
      <c r="F731" s="203"/>
      <c r="G731" s="203"/>
      <c r="H731" s="203"/>
      <c r="I731" s="203"/>
      <c r="J731" s="203"/>
      <c r="K731" s="203"/>
      <c r="L731" s="203"/>
      <c r="M731" s="203"/>
      <c r="N731" s="203"/>
      <c r="O731" s="203"/>
      <c r="P731" s="211"/>
      <c r="Q731" s="212"/>
      <c r="R731" s="212"/>
      <c r="S731" s="212"/>
      <c r="T731" s="212"/>
      <c r="U731" s="212"/>
      <c r="V731" s="212"/>
      <c r="W731" s="213"/>
      <c r="X731" s="203"/>
      <c r="Y731" s="203"/>
      <c r="Z731" s="203"/>
    </row>
    <row r="732" spans="1:26" ht="25.5" customHeight="1">
      <c r="A732" s="203"/>
      <c r="B732" s="203"/>
      <c r="C732" s="203"/>
      <c r="D732" s="203"/>
      <c r="E732" s="203"/>
      <c r="F732" s="203"/>
      <c r="G732" s="203"/>
      <c r="H732" s="203"/>
      <c r="I732" s="203"/>
      <c r="J732" s="203"/>
      <c r="K732" s="203"/>
      <c r="L732" s="203"/>
      <c r="M732" s="203"/>
      <c r="N732" s="203"/>
      <c r="O732" s="203"/>
      <c r="P732" s="211"/>
      <c r="Q732" s="212"/>
      <c r="R732" s="212"/>
      <c r="S732" s="212"/>
      <c r="T732" s="212"/>
      <c r="U732" s="212"/>
      <c r="V732" s="212"/>
      <c r="W732" s="213"/>
      <c r="X732" s="203"/>
      <c r="Y732" s="203"/>
      <c r="Z732" s="203"/>
    </row>
    <row r="733" spans="1:26" ht="25.5" customHeight="1">
      <c r="A733" s="203"/>
      <c r="B733" s="203"/>
      <c r="C733" s="203"/>
      <c r="D733" s="203"/>
      <c r="E733" s="203"/>
      <c r="F733" s="203"/>
      <c r="G733" s="203"/>
      <c r="H733" s="203"/>
      <c r="I733" s="203"/>
      <c r="J733" s="203"/>
      <c r="K733" s="203"/>
      <c r="L733" s="203"/>
      <c r="M733" s="203"/>
      <c r="N733" s="203"/>
      <c r="O733" s="203"/>
      <c r="P733" s="211"/>
      <c r="Q733" s="212"/>
      <c r="R733" s="212"/>
      <c r="S733" s="212"/>
      <c r="T733" s="212"/>
      <c r="U733" s="212"/>
      <c r="V733" s="212"/>
      <c r="W733" s="213"/>
      <c r="X733" s="203"/>
      <c r="Y733" s="203"/>
      <c r="Z733" s="203"/>
    </row>
    <row r="734" spans="1:26" ht="25.5" customHeight="1">
      <c r="A734" s="203"/>
      <c r="B734" s="203"/>
      <c r="C734" s="203"/>
      <c r="D734" s="203"/>
      <c r="E734" s="203"/>
      <c r="F734" s="203"/>
      <c r="G734" s="203"/>
      <c r="H734" s="203"/>
      <c r="I734" s="203"/>
      <c r="J734" s="203"/>
      <c r="K734" s="203"/>
      <c r="L734" s="203"/>
      <c r="M734" s="203"/>
      <c r="N734" s="203"/>
      <c r="O734" s="203"/>
      <c r="P734" s="211"/>
      <c r="Q734" s="212"/>
      <c r="R734" s="212"/>
      <c r="S734" s="212"/>
      <c r="T734" s="212"/>
      <c r="U734" s="212"/>
      <c r="V734" s="212"/>
      <c r="W734" s="213"/>
      <c r="X734" s="203"/>
      <c r="Y734" s="203"/>
      <c r="Z734" s="203"/>
    </row>
    <row r="735" spans="1:26" ht="25.5" customHeight="1">
      <c r="A735" s="203"/>
      <c r="B735" s="203"/>
      <c r="C735" s="203"/>
      <c r="D735" s="203"/>
      <c r="E735" s="203"/>
      <c r="F735" s="203"/>
      <c r="G735" s="203"/>
      <c r="H735" s="203"/>
      <c r="I735" s="203"/>
      <c r="J735" s="203"/>
      <c r="K735" s="203"/>
      <c r="L735" s="203"/>
      <c r="M735" s="203"/>
      <c r="N735" s="203"/>
      <c r="O735" s="203"/>
      <c r="P735" s="211"/>
      <c r="Q735" s="212"/>
      <c r="R735" s="212"/>
      <c r="S735" s="212"/>
      <c r="T735" s="212"/>
      <c r="U735" s="212"/>
      <c r="V735" s="212"/>
      <c r="W735" s="213"/>
      <c r="X735" s="203"/>
      <c r="Y735" s="203"/>
      <c r="Z735" s="203"/>
    </row>
    <row r="736" spans="1:26" ht="25.5" customHeight="1">
      <c r="A736" s="203"/>
      <c r="B736" s="203"/>
      <c r="C736" s="203"/>
      <c r="D736" s="203"/>
      <c r="E736" s="203"/>
      <c r="F736" s="203"/>
      <c r="G736" s="203"/>
      <c r="H736" s="203"/>
      <c r="I736" s="203"/>
      <c r="J736" s="203"/>
      <c r="K736" s="203"/>
      <c r="L736" s="203"/>
      <c r="M736" s="203"/>
      <c r="N736" s="203"/>
      <c r="O736" s="203"/>
      <c r="P736" s="211"/>
      <c r="Q736" s="212"/>
      <c r="R736" s="212"/>
      <c r="S736" s="212"/>
      <c r="T736" s="212"/>
      <c r="U736" s="212"/>
      <c r="V736" s="212"/>
      <c r="W736" s="213"/>
      <c r="X736" s="203"/>
      <c r="Y736" s="203"/>
      <c r="Z736" s="203"/>
    </row>
    <row r="737" spans="1:26" ht="25.5" customHeight="1">
      <c r="A737" s="203"/>
      <c r="B737" s="203"/>
      <c r="C737" s="203"/>
      <c r="D737" s="203"/>
      <c r="E737" s="203"/>
      <c r="F737" s="203"/>
      <c r="G737" s="203"/>
      <c r="H737" s="203"/>
      <c r="I737" s="203"/>
      <c r="J737" s="203"/>
      <c r="K737" s="203"/>
      <c r="L737" s="203"/>
      <c r="M737" s="203"/>
      <c r="N737" s="203"/>
      <c r="O737" s="203"/>
      <c r="P737" s="211"/>
      <c r="Q737" s="212"/>
      <c r="R737" s="212"/>
      <c r="S737" s="212"/>
      <c r="T737" s="212"/>
      <c r="U737" s="212"/>
      <c r="V737" s="212"/>
      <c r="W737" s="213"/>
      <c r="X737" s="203"/>
      <c r="Y737" s="203"/>
      <c r="Z737" s="203"/>
    </row>
    <row r="738" spans="1:26" ht="25.5" customHeight="1">
      <c r="A738" s="203"/>
      <c r="B738" s="203"/>
      <c r="C738" s="203"/>
      <c r="D738" s="203"/>
      <c r="E738" s="203"/>
      <c r="F738" s="203"/>
      <c r="G738" s="203"/>
      <c r="H738" s="203"/>
      <c r="I738" s="203"/>
      <c r="J738" s="203"/>
      <c r="K738" s="203"/>
      <c r="L738" s="203"/>
      <c r="M738" s="203"/>
      <c r="N738" s="203"/>
      <c r="O738" s="203"/>
      <c r="P738" s="211"/>
      <c r="Q738" s="212"/>
      <c r="R738" s="212"/>
      <c r="S738" s="212"/>
      <c r="T738" s="212"/>
      <c r="U738" s="212"/>
      <c r="V738" s="212"/>
      <c r="W738" s="213"/>
      <c r="X738" s="203"/>
      <c r="Y738" s="203"/>
      <c r="Z738" s="203"/>
    </row>
    <row r="739" spans="1:26" ht="25.5" customHeight="1">
      <c r="A739" s="203"/>
      <c r="B739" s="203"/>
      <c r="C739" s="203"/>
      <c r="D739" s="203"/>
      <c r="E739" s="203"/>
      <c r="F739" s="203"/>
      <c r="G739" s="203"/>
      <c r="H739" s="203"/>
      <c r="I739" s="203"/>
      <c r="J739" s="203"/>
      <c r="K739" s="203"/>
      <c r="L739" s="203"/>
      <c r="M739" s="203"/>
      <c r="N739" s="203"/>
      <c r="O739" s="203"/>
      <c r="P739" s="211"/>
      <c r="Q739" s="212"/>
      <c r="R739" s="212"/>
      <c r="S739" s="212"/>
      <c r="T739" s="212"/>
      <c r="U739" s="212"/>
      <c r="V739" s="212"/>
      <c r="W739" s="213"/>
      <c r="X739" s="203"/>
      <c r="Y739" s="203"/>
      <c r="Z739" s="203"/>
    </row>
    <row r="740" spans="1:26" ht="25.5" customHeight="1">
      <c r="A740" s="203"/>
      <c r="B740" s="203"/>
      <c r="C740" s="203"/>
      <c r="D740" s="203"/>
      <c r="E740" s="203"/>
      <c r="F740" s="203"/>
      <c r="G740" s="203"/>
      <c r="H740" s="203"/>
      <c r="I740" s="203"/>
      <c r="J740" s="203"/>
      <c r="K740" s="203"/>
      <c r="L740" s="203"/>
      <c r="M740" s="203"/>
      <c r="N740" s="203"/>
      <c r="O740" s="203"/>
      <c r="P740" s="211"/>
      <c r="Q740" s="212"/>
      <c r="R740" s="212"/>
      <c r="S740" s="212"/>
      <c r="T740" s="212"/>
      <c r="U740" s="212"/>
      <c r="V740" s="212"/>
      <c r="W740" s="213"/>
      <c r="X740" s="203"/>
      <c r="Y740" s="203"/>
      <c r="Z740" s="203"/>
    </row>
    <row r="741" spans="1:26" ht="25.5" customHeight="1">
      <c r="A741" s="203"/>
      <c r="B741" s="203"/>
      <c r="C741" s="203"/>
      <c r="D741" s="203"/>
      <c r="E741" s="203"/>
      <c r="F741" s="203"/>
      <c r="G741" s="203"/>
      <c r="H741" s="203"/>
      <c r="I741" s="203"/>
      <c r="J741" s="203"/>
      <c r="K741" s="203"/>
      <c r="L741" s="203"/>
      <c r="M741" s="203"/>
      <c r="N741" s="203"/>
      <c r="O741" s="203"/>
      <c r="P741" s="211"/>
      <c r="Q741" s="212"/>
      <c r="R741" s="212"/>
      <c r="S741" s="212"/>
      <c r="T741" s="212"/>
      <c r="U741" s="212"/>
      <c r="V741" s="212"/>
      <c r="W741" s="213"/>
      <c r="X741" s="203"/>
      <c r="Y741" s="203"/>
      <c r="Z741" s="203"/>
    </row>
    <row r="742" spans="1:26" ht="25.5" customHeight="1">
      <c r="A742" s="203"/>
      <c r="B742" s="203"/>
      <c r="C742" s="203"/>
      <c r="D742" s="203"/>
      <c r="E742" s="203"/>
      <c r="F742" s="203"/>
      <c r="G742" s="203"/>
      <c r="H742" s="203"/>
      <c r="I742" s="203"/>
      <c r="J742" s="203"/>
      <c r="K742" s="203"/>
      <c r="L742" s="203"/>
      <c r="M742" s="203"/>
      <c r="N742" s="203"/>
      <c r="O742" s="203"/>
      <c r="P742" s="211"/>
      <c r="Q742" s="212"/>
      <c r="R742" s="212"/>
      <c r="S742" s="212"/>
      <c r="T742" s="212"/>
      <c r="U742" s="212"/>
      <c r="V742" s="212"/>
      <c r="W742" s="213"/>
      <c r="X742" s="203"/>
      <c r="Y742" s="203"/>
      <c r="Z742" s="203"/>
    </row>
    <row r="743" spans="1:26" ht="25.5" customHeight="1">
      <c r="A743" s="203"/>
      <c r="B743" s="203"/>
      <c r="C743" s="203"/>
      <c r="D743" s="203"/>
      <c r="E743" s="203"/>
      <c r="F743" s="203"/>
      <c r="G743" s="203"/>
      <c r="H743" s="203"/>
      <c r="I743" s="203"/>
      <c r="J743" s="203"/>
      <c r="K743" s="203"/>
      <c r="L743" s="203"/>
      <c r="M743" s="203"/>
      <c r="N743" s="203"/>
      <c r="O743" s="203"/>
      <c r="P743" s="211"/>
      <c r="Q743" s="212"/>
      <c r="R743" s="212"/>
      <c r="S743" s="212"/>
      <c r="T743" s="212"/>
      <c r="U743" s="212"/>
      <c r="V743" s="212"/>
      <c r="W743" s="213"/>
      <c r="X743" s="203"/>
      <c r="Y743" s="203"/>
      <c r="Z743" s="203"/>
    </row>
    <row r="744" spans="1:26" ht="25.5" customHeight="1">
      <c r="A744" s="203"/>
      <c r="B744" s="203"/>
      <c r="C744" s="203"/>
      <c r="D744" s="203"/>
      <c r="E744" s="203"/>
      <c r="F744" s="203"/>
      <c r="G744" s="203"/>
      <c r="H744" s="203"/>
      <c r="I744" s="203"/>
      <c r="J744" s="203"/>
      <c r="K744" s="203"/>
      <c r="L744" s="203"/>
      <c r="M744" s="203"/>
      <c r="N744" s="203"/>
      <c r="O744" s="203"/>
      <c r="P744" s="211"/>
      <c r="Q744" s="212"/>
      <c r="R744" s="212"/>
      <c r="S744" s="212"/>
      <c r="T744" s="212"/>
      <c r="U744" s="212"/>
      <c r="V744" s="212"/>
      <c r="W744" s="213"/>
      <c r="X744" s="203"/>
      <c r="Y744" s="203"/>
      <c r="Z744" s="203"/>
    </row>
    <row r="745" spans="1:26" ht="25.5" customHeight="1">
      <c r="A745" s="203"/>
      <c r="B745" s="203"/>
      <c r="C745" s="203"/>
      <c r="D745" s="203"/>
      <c r="E745" s="203"/>
      <c r="F745" s="203"/>
      <c r="G745" s="203"/>
      <c r="H745" s="203"/>
      <c r="I745" s="203"/>
      <c r="J745" s="203"/>
      <c r="K745" s="203"/>
      <c r="L745" s="203"/>
      <c r="M745" s="203"/>
      <c r="N745" s="203"/>
      <c r="O745" s="203"/>
      <c r="P745" s="211"/>
      <c r="Q745" s="212"/>
      <c r="R745" s="212"/>
      <c r="S745" s="212"/>
      <c r="T745" s="212"/>
      <c r="U745" s="212"/>
      <c r="V745" s="212"/>
      <c r="W745" s="213"/>
      <c r="X745" s="203"/>
      <c r="Y745" s="203"/>
      <c r="Z745" s="203"/>
    </row>
    <row r="746" spans="1:26" ht="25.5" customHeight="1">
      <c r="A746" s="203"/>
      <c r="B746" s="203"/>
      <c r="C746" s="203"/>
      <c r="D746" s="203"/>
      <c r="E746" s="203"/>
      <c r="F746" s="203"/>
      <c r="G746" s="203"/>
      <c r="H746" s="203"/>
      <c r="I746" s="203"/>
      <c r="J746" s="203"/>
      <c r="K746" s="203"/>
      <c r="L746" s="203"/>
      <c r="M746" s="203"/>
      <c r="N746" s="203"/>
      <c r="O746" s="203"/>
      <c r="P746" s="211"/>
      <c r="Q746" s="212"/>
      <c r="R746" s="212"/>
      <c r="S746" s="212"/>
      <c r="T746" s="212"/>
      <c r="U746" s="212"/>
      <c r="V746" s="212"/>
      <c r="W746" s="213"/>
      <c r="X746" s="203"/>
      <c r="Y746" s="203"/>
      <c r="Z746" s="203"/>
    </row>
    <row r="747" spans="1:26" ht="25.5" customHeight="1">
      <c r="A747" s="203"/>
      <c r="B747" s="203"/>
      <c r="C747" s="203"/>
      <c r="D747" s="203"/>
      <c r="E747" s="203"/>
      <c r="F747" s="203"/>
      <c r="G747" s="203"/>
      <c r="H747" s="203"/>
      <c r="I747" s="203"/>
      <c r="J747" s="203"/>
      <c r="K747" s="203"/>
      <c r="L747" s="203"/>
      <c r="M747" s="203"/>
      <c r="N747" s="203"/>
      <c r="O747" s="203"/>
      <c r="P747" s="211"/>
      <c r="Q747" s="212"/>
      <c r="R747" s="212"/>
      <c r="S747" s="212"/>
      <c r="T747" s="212"/>
      <c r="U747" s="212"/>
      <c r="V747" s="212"/>
      <c r="W747" s="213"/>
      <c r="X747" s="203"/>
      <c r="Y747" s="203"/>
      <c r="Z747" s="203"/>
    </row>
    <row r="748" spans="1:26" ht="25.5" customHeight="1">
      <c r="A748" s="203"/>
      <c r="B748" s="203"/>
      <c r="C748" s="203"/>
      <c r="D748" s="203"/>
      <c r="E748" s="203"/>
      <c r="F748" s="203"/>
      <c r="G748" s="203"/>
      <c r="H748" s="203"/>
      <c r="I748" s="203"/>
      <c r="J748" s="203"/>
      <c r="K748" s="203"/>
      <c r="L748" s="203"/>
      <c r="M748" s="203"/>
      <c r="N748" s="203"/>
      <c r="O748" s="203"/>
      <c r="P748" s="211"/>
      <c r="Q748" s="212"/>
      <c r="R748" s="212"/>
      <c r="S748" s="212"/>
      <c r="T748" s="212"/>
      <c r="U748" s="212"/>
      <c r="V748" s="212"/>
      <c r="W748" s="213"/>
      <c r="X748" s="203"/>
      <c r="Y748" s="203"/>
      <c r="Z748" s="203"/>
    </row>
    <row r="749" spans="1:26" ht="25.5" customHeight="1">
      <c r="A749" s="203"/>
      <c r="B749" s="203"/>
      <c r="C749" s="203"/>
      <c r="D749" s="203"/>
      <c r="E749" s="203"/>
      <c r="F749" s="203"/>
      <c r="G749" s="203"/>
      <c r="H749" s="203"/>
      <c r="I749" s="203"/>
      <c r="J749" s="203"/>
      <c r="K749" s="203"/>
      <c r="L749" s="203"/>
      <c r="M749" s="203"/>
      <c r="N749" s="203"/>
      <c r="O749" s="203"/>
      <c r="P749" s="211"/>
      <c r="Q749" s="212"/>
      <c r="R749" s="212"/>
      <c r="S749" s="212"/>
      <c r="T749" s="212"/>
      <c r="U749" s="212"/>
      <c r="V749" s="212"/>
      <c r="W749" s="213"/>
      <c r="X749" s="203"/>
      <c r="Y749" s="203"/>
      <c r="Z749" s="203"/>
    </row>
    <row r="750" spans="1:26" ht="25.5" customHeight="1">
      <c r="A750" s="203"/>
      <c r="B750" s="203"/>
      <c r="C750" s="203"/>
      <c r="D750" s="203"/>
      <c r="E750" s="203"/>
      <c r="F750" s="203"/>
      <c r="G750" s="203"/>
      <c r="H750" s="203"/>
      <c r="I750" s="203"/>
      <c r="J750" s="203"/>
      <c r="K750" s="203"/>
      <c r="L750" s="203"/>
      <c r="M750" s="203"/>
      <c r="N750" s="203"/>
      <c r="O750" s="203"/>
      <c r="P750" s="211"/>
      <c r="Q750" s="212"/>
      <c r="R750" s="212"/>
      <c r="S750" s="212"/>
      <c r="T750" s="212"/>
      <c r="U750" s="212"/>
      <c r="V750" s="212"/>
      <c r="W750" s="213"/>
      <c r="X750" s="203"/>
      <c r="Y750" s="203"/>
      <c r="Z750" s="203"/>
    </row>
    <row r="751" spans="1:26" ht="25.5" customHeight="1">
      <c r="A751" s="203"/>
      <c r="B751" s="203"/>
      <c r="C751" s="203"/>
      <c r="D751" s="203"/>
      <c r="E751" s="203"/>
      <c r="F751" s="203"/>
      <c r="G751" s="203"/>
      <c r="H751" s="203"/>
      <c r="I751" s="203"/>
      <c r="J751" s="203"/>
      <c r="K751" s="203"/>
      <c r="L751" s="203"/>
      <c r="M751" s="203"/>
      <c r="N751" s="203"/>
      <c r="O751" s="203"/>
      <c r="P751" s="211"/>
      <c r="Q751" s="212"/>
      <c r="R751" s="212"/>
      <c r="S751" s="212"/>
      <c r="T751" s="212"/>
      <c r="U751" s="212"/>
      <c r="V751" s="212"/>
      <c r="W751" s="213"/>
      <c r="X751" s="203"/>
      <c r="Y751" s="203"/>
      <c r="Z751" s="203"/>
    </row>
    <row r="752" spans="1:26" ht="25.5" customHeight="1">
      <c r="A752" s="203"/>
      <c r="B752" s="203"/>
      <c r="C752" s="203"/>
      <c r="D752" s="203"/>
      <c r="E752" s="203"/>
      <c r="F752" s="203"/>
      <c r="G752" s="203"/>
      <c r="H752" s="203"/>
      <c r="I752" s="203"/>
      <c r="J752" s="203"/>
      <c r="K752" s="203"/>
      <c r="L752" s="203"/>
      <c r="M752" s="203"/>
      <c r="N752" s="203"/>
      <c r="O752" s="203"/>
      <c r="P752" s="211"/>
      <c r="Q752" s="212"/>
      <c r="R752" s="212"/>
      <c r="S752" s="212"/>
      <c r="T752" s="212"/>
      <c r="U752" s="212"/>
      <c r="V752" s="212"/>
      <c r="W752" s="213"/>
      <c r="X752" s="203"/>
      <c r="Y752" s="203"/>
      <c r="Z752" s="203"/>
    </row>
    <row r="753" spans="1:26" ht="25.5" customHeight="1">
      <c r="A753" s="203"/>
      <c r="B753" s="203"/>
      <c r="C753" s="203"/>
      <c r="D753" s="203"/>
      <c r="E753" s="203"/>
      <c r="F753" s="203"/>
      <c r="G753" s="203"/>
      <c r="H753" s="203"/>
      <c r="I753" s="203"/>
      <c r="J753" s="203"/>
      <c r="K753" s="203"/>
      <c r="L753" s="203"/>
      <c r="M753" s="203"/>
      <c r="N753" s="203"/>
      <c r="O753" s="203"/>
      <c r="P753" s="211"/>
      <c r="Q753" s="212"/>
      <c r="R753" s="212"/>
      <c r="S753" s="212"/>
      <c r="T753" s="212"/>
      <c r="U753" s="212"/>
      <c r="V753" s="212"/>
      <c r="W753" s="213"/>
      <c r="X753" s="203"/>
      <c r="Y753" s="203"/>
      <c r="Z753" s="203"/>
    </row>
    <row r="754" spans="1:26" ht="25.5" customHeight="1">
      <c r="A754" s="203"/>
      <c r="B754" s="203"/>
      <c r="C754" s="203"/>
      <c r="D754" s="203"/>
      <c r="E754" s="203"/>
      <c r="F754" s="203"/>
      <c r="G754" s="203"/>
      <c r="H754" s="203"/>
      <c r="I754" s="203"/>
      <c r="J754" s="203"/>
      <c r="K754" s="203"/>
      <c r="L754" s="203"/>
      <c r="M754" s="203"/>
      <c r="N754" s="203"/>
      <c r="O754" s="203"/>
      <c r="P754" s="211"/>
      <c r="Q754" s="212"/>
      <c r="R754" s="212"/>
      <c r="S754" s="212"/>
      <c r="T754" s="212"/>
      <c r="U754" s="212"/>
      <c r="V754" s="212"/>
      <c r="W754" s="213"/>
      <c r="X754" s="203"/>
      <c r="Y754" s="203"/>
      <c r="Z754" s="203"/>
    </row>
    <row r="755" spans="1:26" ht="25.5" customHeight="1">
      <c r="A755" s="203"/>
      <c r="B755" s="203"/>
      <c r="C755" s="203"/>
      <c r="D755" s="203"/>
      <c r="E755" s="203"/>
      <c r="F755" s="203"/>
      <c r="G755" s="203"/>
      <c r="H755" s="203"/>
      <c r="I755" s="203"/>
      <c r="J755" s="203"/>
      <c r="K755" s="203"/>
      <c r="L755" s="203"/>
      <c r="M755" s="203"/>
      <c r="N755" s="203"/>
      <c r="O755" s="203"/>
      <c r="P755" s="211"/>
      <c r="Q755" s="212"/>
      <c r="R755" s="212"/>
      <c r="S755" s="212"/>
      <c r="T755" s="212"/>
      <c r="U755" s="212"/>
      <c r="V755" s="212"/>
      <c r="W755" s="213"/>
      <c r="X755" s="203"/>
      <c r="Y755" s="203"/>
      <c r="Z755" s="203"/>
    </row>
    <row r="756" spans="1:26" ht="25.5" customHeight="1">
      <c r="A756" s="203"/>
      <c r="B756" s="203"/>
      <c r="C756" s="203"/>
      <c r="D756" s="203"/>
      <c r="E756" s="203"/>
      <c r="F756" s="203"/>
      <c r="G756" s="203"/>
      <c r="H756" s="203"/>
      <c r="I756" s="203"/>
      <c r="J756" s="203"/>
      <c r="K756" s="203"/>
      <c r="L756" s="203"/>
      <c r="M756" s="203"/>
      <c r="N756" s="203"/>
      <c r="O756" s="203"/>
      <c r="P756" s="211"/>
      <c r="Q756" s="212"/>
      <c r="R756" s="212"/>
      <c r="S756" s="212"/>
      <c r="T756" s="212"/>
      <c r="U756" s="212"/>
      <c r="V756" s="212"/>
      <c r="W756" s="213"/>
      <c r="X756" s="203"/>
      <c r="Y756" s="203"/>
      <c r="Z756" s="203"/>
    </row>
    <row r="757" spans="1:26" ht="25.5" customHeight="1">
      <c r="A757" s="203"/>
      <c r="B757" s="203"/>
      <c r="C757" s="203"/>
      <c r="D757" s="203"/>
      <c r="E757" s="203"/>
      <c r="F757" s="203"/>
      <c r="G757" s="203"/>
      <c r="H757" s="203"/>
      <c r="I757" s="203"/>
      <c r="J757" s="203"/>
      <c r="K757" s="203"/>
      <c r="L757" s="203"/>
      <c r="M757" s="203"/>
      <c r="N757" s="203"/>
      <c r="O757" s="203"/>
      <c r="P757" s="211"/>
      <c r="Q757" s="212"/>
      <c r="R757" s="212"/>
      <c r="S757" s="212"/>
      <c r="T757" s="212"/>
      <c r="U757" s="212"/>
      <c r="V757" s="212"/>
      <c r="W757" s="213"/>
      <c r="X757" s="203"/>
      <c r="Y757" s="203"/>
      <c r="Z757" s="203"/>
    </row>
    <row r="758" spans="1:26" ht="25.5" customHeight="1">
      <c r="A758" s="203"/>
      <c r="B758" s="203"/>
      <c r="C758" s="203"/>
      <c r="D758" s="203"/>
      <c r="E758" s="203"/>
      <c r="F758" s="203"/>
      <c r="G758" s="203"/>
      <c r="H758" s="203"/>
      <c r="I758" s="203"/>
      <c r="J758" s="203"/>
      <c r="K758" s="203"/>
      <c r="L758" s="203"/>
      <c r="M758" s="203"/>
      <c r="N758" s="203"/>
      <c r="O758" s="203"/>
      <c r="P758" s="211"/>
      <c r="Q758" s="212"/>
      <c r="R758" s="212"/>
      <c r="S758" s="212"/>
      <c r="T758" s="212"/>
      <c r="U758" s="212"/>
      <c r="V758" s="212"/>
      <c r="W758" s="213"/>
      <c r="X758" s="203"/>
      <c r="Y758" s="203"/>
      <c r="Z758" s="203"/>
    </row>
    <row r="759" spans="1:26" ht="25.5" customHeight="1">
      <c r="A759" s="203"/>
      <c r="B759" s="203"/>
      <c r="C759" s="203"/>
      <c r="D759" s="203"/>
      <c r="E759" s="203"/>
      <c r="F759" s="203"/>
      <c r="G759" s="203"/>
      <c r="H759" s="203"/>
      <c r="I759" s="203"/>
      <c r="J759" s="203"/>
      <c r="K759" s="203"/>
      <c r="L759" s="203"/>
      <c r="M759" s="203"/>
      <c r="N759" s="203"/>
      <c r="O759" s="203"/>
      <c r="P759" s="211"/>
      <c r="Q759" s="212"/>
      <c r="R759" s="212"/>
      <c r="S759" s="212"/>
      <c r="T759" s="212"/>
      <c r="U759" s="212"/>
      <c r="V759" s="212"/>
      <c r="W759" s="213"/>
      <c r="X759" s="203"/>
      <c r="Y759" s="203"/>
      <c r="Z759" s="203"/>
    </row>
    <row r="760" spans="1:26" ht="25.5" customHeight="1">
      <c r="A760" s="203"/>
      <c r="B760" s="203"/>
      <c r="C760" s="203"/>
      <c r="D760" s="203"/>
      <c r="E760" s="203"/>
      <c r="F760" s="203"/>
      <c r="G760" s="203"/>
      <c r="H760" s="203"/>
      <c r="I760" s="203"/>
      <c r="J760" s="203"/>
      <c r="K760" s="203"/>
      <c r="L760" s="203"/>
      <c r="M760" s="203"/>
      <c r="N760" s="203"/>
      <c r="O760" s="203"/>
      <c r="P760" s="211"/>
      <c r="Q760" s="212"/>
      <c r="R760" s="212"/>
      <c r="S760" s="212"/>
      <c r="T760" s="212"/>
      <c r="U760" s="212"/>
      <c r="V760" s="212"/>
      <c r="W760" s="213"/>
      <c r="X760" s="203"/>
      <c r="Y760" s="203"/>
      <c r="Z760" s="203"/>
    </row>
    <row r="761" spans="1:26" ht="25.5" customHeight="1">
      <c r="A761" s="203"/>
      <c r="B761" s="203"/>
      <c r="C761" s="203"/>
      <c r="D761" s="203"/>
      <c r="E761" s="203"/>
      <c r="F761" s="203"/>
      <c r="G761" s="203"/>
      <c r="H761" s="203"/>
      <c r="I761" s="203"/>
      <c r="J761" s="203"/>
      <c r="K761" s="203"/>
      <c r="L761" s="203"/>
      <c r="M761" s="203"/>
      <c r="N761" s="203"/>
      <c r="O761" s="203"/>
      <c r="P761" s="211"/>
      <c r="Q761" s="212"/>
      <c r="R761" s="212"/>
      <c r="S761" s="212"/>
      <c r="T761" s="212"/>
      <c r="U761" s="212"/>
      <c r="V761" s="212"/>
      <c r="W761" s="213"/>
      <c r="X761" s="203"/>
      <c r="Y761" s="203"/>
      <c r="Z761" s="203"/>
    </row>
    <row r="762" spans="1:26" ht="25.5" customHeight="1">
      <c r="A762" s="203"/>
      <c r="B762" s="203"/>
      <c r="C762" s="203"/>
      <c r="D762" s="203"/>
      <c r="E762" s="203"/>
      <c r="F762" s="203"/>
      <c r="G762" s="203"/>
      <c r="H762" s="203"/>
      <c r="I762" s="203"/>
      <c r="J762" s="203"/>
      <c r="K762" s="203"/>
      <c r="L762" s="203"/>
      <c r="M762" s="203"/>
      <c r="N762" s="203"/>
      <c r="O762" s="203"/>
      <c r="P762" s="211"/>
      <c r="Q762" s="212"/>
      <c r="R762" s="212"/>
      <c r="S762" s="212"/>
      <c r="T762" s="212"/>
      <c r="U762" s="212"/>
      <c r="V762" s="212"/>
      <c r="W762" s="213"/>
      <c r="X762" s="203"/>
      <c r="Y762" s="203"/>
      <c r="Z762" s="203"/>
    </row>
    <row r="763" spans="1:26" ht="25.5" customHeight="1">
      <c r="A763" s="203"/>
      <c r="B763" s="203"/>
      <c r="C763" s="203"/>
      <c r="D763" s="203"/>
      <c r="E763" s="203"/>
      <c r="F763" s="203"/>
      <c r="G763" s="203"/>
      <c r="H763" s="203"/>
      <c r="I763" s="203"/>
      <c r="J763" s="203"/>
      <c r="K763" s="203"/>
      <c r="L763" s="203"/>
      <c r="M763" s="203"/>
      <c r="N763" s="203"/>
      <c r="O763" s="203"/>
      <c r="P763" s="211"/>
      <c r="Q763" s="212"/>
      <c r="R763" s="212"/>
      <c r="S763" s="212"/>
      <c r="T763" s="212"/>
      <c r="U763" s="212"/>
      <c r="V763" s="212"/>
      <c r="W763" s="213"/>
      <c r="X763" s="203"/>
      <c r="Y763" s="203"/>
      <c r="Z763" s="203"/>
    </row>
    <row r="764" spans="1:26" ht="25.5" customHeight="1">
      <c r="A764" s="203"/>
      <c r="B764" s="203"/>
      <c r="C764" s="203"/>
      <c r="D764" s="203"/>
      <c r="E764" s="203"/>
      <c r="F764" s="203"/>
      <c r="G764" s="203"/>
      <c r="H764" s="203"/>
      <c r="I764" s="203"/>
      <c r="J764" s="203"/>
      <c r="K764" s="203"/>
      <c r="L764" s="203"/>
      <c r="M764" s="203"/>
      <c r="N764" s="203"/>
      <c r="O764" s="203"/>
      <c r="P764" s="211"/>
      <c r="Q764" s="212"/>
      <c r="R764" s="212"/>
      <c r="S764" s="212"/>
      <c r="T764" s="212"/>
      <c r="U764" s="212"/>
      <c r="V764" s="212"/>
      <c r="W764" s="213"/>
      <c r="X764" s="203"/>
      <c r="Y764" s="203"/>
      <c r="Z764" s="203"/>
    </row>
    <row r="765" spans="1:26" ht="25.5" customHeight="1">
      <c r="A765" s="203"/>
      <c r="B765" s="203"/>
      <c r="C765" s="203"/>
      <c r="D765" s="203"/>
      <c r="E765" s="203"/>
      <c r="F765" s="203"/>
      <c r="G765" s="203"/>
      <c r="H765" s="203"/>
      <c r="I765" s="203"/>
      <c r="J765" s="203"/>
      <c r="K765" s="203"/>
      <c r="L765" s="203"/>
      <c r="M765" s="203"/>
      <c r="N765" s="203"/>
      <c r="O765" s="203"/>
      <c r="P765" s="211"/>
      <c r="Q765" s="212"/>
      <c r="R765" s="212"/>
      <c r="S765" s="212"/>
      <c r="T765" s="212"/>
      <c r="U765" s="212"/>
      <c r="V765" s="212"/>
      <c r="W765" s="213"/>
      <c r="X765" s="203"/>
      <c r="Y765" s="203"/>
      <c r="Z765" s="203"/>
    </row>
    <row r="766" spans="1:26" ht="25.5" customHeight="1">
      <c r="A766" s="203"/>
      <c r="B766" s="203"/>
      <c r="C766" s="203"/>
      <c r="D766" s="203"/>
      <c r="E766" s="203"/>
      <c r="F766" s="203"/>
      <c r="G766" s="203"/>
      <c r="H766" s="203"/>
      <c r="I766" s="203"/>
      <c r="J766" s="203"/>
      <c r="K766" s="203"/>
      <c r="L766" s="203"/>
      <c r="M766" s="203"/>
      <c r="N766" s="203"/>
      <c r="O766" s="203"/>
      <c r="P766" s="211"/>
      <c r="Q766" s="212"/>
      <c r="R766" s="212"/>
      <c r="S766" s="212"/>
      <c r="T766" s="212"/>
      <c r="U766" s="212"/>
      <c r="V766" s="212"/>
      <c r="W766" s="213"/>
      <c r="X766" s="203"/>
      <c r="Y766" s="203"/>
      <c r="Z766" s="203"/>
    </row>
    <row r="767" spans="1:26" ht="25.5" customHeight="1">
      <c r="A767" s="203"/>
      <c r="B767" s="203"/>
      <c r="C767" s="203"/>
      <c r="D767" s="203"/>
      <c r="E767" s="203"/>
      <c r="F767" s="203"/>
      <c r="G767" s="203"/>
      <c r="H767" s="203"/>
      <c r="I767" s="203"/>
      <c r="J767" s="203"/>
      <c r="K767" s="203"/>
      <c r="L767" s="203"/>
      <c r="M767" s="203"/>
      <c r="N767" s="203"/>
      <c r="O767" s="203"/>
      <c r="P767" s="211"/>
      <c r="Q767" s="212"/>
      <c r="R767" s="212"/>
      <c r="S767" s="212"/>
      <c r="T767" s="212"/>
      <c r="U767" s="212"/>
      <c r="V767" s="212"/>
      <c r="W767" s="213"/>
      <c r="X767" s="203"/>
      <c r="Y767" s="203"/>
      <c r="Z767" s="203"/>
    </row>
    <row r="768" spans="1:26" ht="25.5" customHeight="1">
      <c r="A768" s="203"/>
      <c r="B768" s="203"/>
      <c r="C768" s="203"/>
      <c r="D768" s="203"/>
      <c r="E768" s="203"/>
      <c r="F768" s="203"/>
      <c r="G768" s="203"/>
      <c r="H768" s="203"/>
      <c r="I768" s="203"/>
      <c r="J768" s="203"/>
      <c r="K768" s="203"/>
      <c r="L768" s="203"/>
      <c r="M768" s="203"/>
      <c r="N768" s="203"/>
      <c r="O768" s="203"/>
      <c r="P768" s="211"/>
      <c r="Q768" s="212"/>
      <c r="R768" s="212"/>
      <c r="S768" s="212"/>
      <c r="T768" s="212"/>
      <c r="U768" s="212"/>
      <c r="V768" s="212"/>
      <c r="W768" s="213"/>
      <c r="X768" s="203"/>
      <c r="Y768" s="203"/>
      <c r="Z768" s="203"/>
    </row>
    <row r="769" spans="1:26" ht="25.5" customHeight="1">
      <c r="A769" s="203"/>
      <c r="B769" s="203"/>
      <c r="C769" s="203"/>
      <c r="D769" s="203"/>
      <c r="E769" s="203"/>
      <c r="F769" s="203"/>
      <c r="G769" s="203"/>
      <c r="H769" s="203"/>
      <c r="I769" s="203"/>
      <c r="J769" s="203"/>
      <c r="K769" s="203"/>
      <c r="L769" s="203"/>
      <c r="M769" s="203"/>
      <c r="N769" s="203"/>
      <c r="O769" s="203"/>
      <c r="P769" s="211"/>
      <c r="Q769" s="212"/>
      <c r="R769" s="212"/>
      <c r="S769" s="212"/>
      <c r="T769" s="212"/>
      <c r="U769" s="212"/>
      <c r="V769" s="212"/>
      <c r="W769" s="213"/>
      <c r="X769" s="203"/>
      <c r="Y769" s="203"/>
      <c r="Z769" s="203"/>
    </row>
    <row r="770" spans="1:26" ht="25.5" customHeight="1">
      <c r="A770" s="203"/>
      <c r="B770" s="203"/>
      <c r="C770" s="203"/>
      <c r="D770" s="203"/>
      <c r="E770" s="203"/>
      <c r="F770" s="203"/>
      <c r="G770" s="203"/>
      <c r="H770" s="203"/>
      <c r="I770" s="203"/>
      <c r="J770" s="203"/>
      <c r="K770" s="203"/>
      <c r="L770" s="203"/>
      <c r="M770" s="203"/>
      <c r="N770" s="203"/>
      <c r="O770" s="203"/>
      <c r="P770" s="211"/>
      <c r="Q770" s="212"/>
      <c r="R770" s="212"/>
      <c r="S770" s="212"/>
      <c r="T770" s="212"/>
      <c r="U770" s="212"/>
      <c r="V770" s="212"/>
      <c r="W770" s="213"/>
      <c r="X770" s="203"/>
      <c r="Y770" s="203"/>
      <c r="Z770" s="203"/>
    </row>
    <row r="771" spans="1:26" ht="25.5" customHeight="1">
      <c r="A771" s="203"/>
      <c r="B771" s="203"/>
      <c r="C771" s="203"/>
      <c r="D771" s="203"/>
      <c r="E771" s="203"/>
      <c r="F771" s="203"/>
      <c r="G771" s="203"/>
      <c r="H771" s="203"/>
      <c r="I771" s="203"/>
      <c r="J771" s="203"/>
      <c r="K771" s="203"/>
      <c r="L771" s="203"/>
      <c r="M771" s="203"/>
      <c r="N771" s="203"/>
      <c r="O771" s="203"/>
      <c r="P771" s="211"/>
      <c r="Q771" s="212"/>
      <c r="R771" s="212"/>
      <c r="S771" s="212"/>
      <c r="T771" s="212"/>
      <c r="U771" s="212"/>
      <c r="V771" s="212"/>
      <c r="W771" s="213"/>
      <c r="X771" s="203"/>
      <c r="Y771" s="203"/>
      <c r="Z771" s="203"/>
    </row>
    <row r="772" spans="1:26" ht="25.5" customHeight="1">
      <c r="A772" s="203"/>
      <c r="B772" s="203"/>
      <c r="C772" s="203"/>
      <c r="D772" s="203"/>
      <c r="E772" s="203"/>
      <c r="F772" s="203"/>
      <c r="G772" s="203"/>
      <c r="H772" s="203"/>
      <c r="I772" s="203"/>
      <c r="J772" s="203"/>
      <c r="K772" s="203"/>
      <c r="L772" s="203"/>
      <c r="M772" s="203"/>
      <c r="N772" s="203"/>
      <c r="O772" s="203"/>
      <c r="P772" s="211"/>
      <c r="Q772" s="212"/>
      <c r="R772" s="212"/>
      <c r="S772" s="212"/>
      <c r="T772" s="212"/>
      <c r="U772" s="212"/>
      <c r="V772" s="212"/>
      <c r="W772" s="213"/>
      <c r="X772" s="203"/>
      <c r="Y772" s="203"/>
      <c r="Z772" s="203"/>
    </row>
    <row r="773" spans="1:26" ht="25.5" customHeight="1">
      <c r="A773" s="203"/>
      <c r="B773" s="203"/>
      <c r="C773" s="203"/>
      <c r="D773" s="203"/>
      <c r="E773" s="203"/>
      <c r="F773" s="203"/>
      <c r="G773" s="203"/>
      <c r="H773" s="203"/>
      <c r="I773" s="203"/>
      <c r="J773" s="203"/>
      <c r="K773" s="203"/>
      <c r="L773" s="203"/>
      <c r="M773" s="203"/>
      <c r="N773" s="203"/>
      <c r="O773" s="203"/>
      <c r="P773" s="211"/>
      <c r="Q773" s="212"/>
      <c r="R773" s="212"/>
      <c r="S773" s="212"/>
      <c r="T773" s="212"/>
      <c r="U773" s="212"/>
      <c r="V773" s="212"/>
      <c r="W773" s="213"/>
      <c r="X773" s="203"/>
      <c r="Y773" s="203"/>
      <c r="Z773" s="203"/>
    </row>
    <row r="774" spans="1:26" ht="25.5" customHeight="1">
      <c r="A774" s="203"/>
      <c r="B774" s="203"/>
      <c r="C774" s="203"/>
      <c r="D774" s="203"/>
      <c r="E774" s="203"/>
      <c r="F774" s="203"/>
      <c r="G774" s="203"/>
      <c r="H774" s="203"/>
      <c r="I774" s="203"/>
      <c r="J774" s="203"/>
      <c r="K774" s="203"/>
      <c r="L774" s="203"/>
      <c r="M774" s="203"/>
      <c r="N774" s="203"/>
      <c r="O774" s="203"/>
      <c r="P774" s="211"/>
      <c r="Q774" s="212"/>
      <c r="R774" s="212"/>
      <c r="S774" s="212"/>
      <c r="T774" s="212"/>
      <c r="U774" s="212"/>
      <c r="V774" s="212"/>
      <c r="W774" s="213"/>
      <c r="X774" s="203"/>
      <c r="Y774" s="203"/>
      <c r="Z774" s="203"/>
    </row>
    <row r="775" spans="1:26" ht="25.5" customHeight="1">
      <c r="A775" s="203"/>
      <c r="B775" s="203"/>
      <c r="C775" s="203"/>
      <c r="D775" s="203"/>
      <c r="E775" s="203"/>
      <c r="F775" s="203"/>
      <c r="G775" s="203"/>
      <c r="H775" s="203"/>
      <c r="I775" s="203"/>
      <c r="J775" s="203"/>
      <c r="K775" s="203"/>
      <c r="L775" s="203"/>
      <c r="M775" s="203"/>
      <c r="N775" s="203"/>
      <c r="O775" s="203"/>
      <c r="P775" s="211"/>
      <c r="Q775" s="212"/>
      <c r="R775" s="212"/>
      <c r="S775" s="212"/>
      <c r="T775" s="212"/>
      <c r="U775" s="212"/>
      <c r="V775" s="212"/>
      <c r="W775" s="213"/>
      <c r="X775" s="203"/>
      <c r="Y775" s="203"/>
      <c r="Z775" s="203"/>
    </row>
    <row r="776" spans="1:26" ht="25.5" customHeight="1">
      <c r="A776" s="203"/>
      <c r="B776" s="203"/>
      <c r="C776" s="203"/>
      <c r="D776" s="203"/>
      <c r="E776" s="203"/>
      <c r="F776" s="203"/>
      <c r="G776" s="203"/>
      <c r="H776" s="203"/>
      <c r="I776" s="203"/>
      <c r="J776" s="203"/>
      <c r="K776" s="203"/>
      <c r="L776" s="203"/>
      <c r="M776" s="203"/>
      <c r="N776" s="203"/>
      <c r="O776" s="203"/>
      <c r="P776" s="211"/>
      <c r="Q776" s="212"/>
      <c r="R776" s="212"/>
      <c r="S776" s="212"/>
      <c r="T776" s="212"/>
      <c r="U776" s="212"/>
      <c r="V776" s="212"/>
      <c r="W776" s="213"/>
      <c r="X776" s="203"/>
      <c r="Y776" s="203"/>
      <c r="Z776" s="203"/>
    </row>
    <row r="777" spans="1:26" ht="25.5" customHeight="1">
      <c r="A777" s="203"/>
      <c r="B777" s="203"/>
      <c r="C777" s="203"/>
      <c r="D777" s="203"/>
      <c r="E777" s="203"/>
      <c r="F777" s="203"/>
      <c r="G777" s="203"/>
      <c r="H777" s="203"/>
      <c r="I777" s="203"/>
      <c r="J777" s="203"/>
      <c r="K777" s="203"/>
      <c r="L777" s="203"/>
      <c r="M777" s="203"/>
      <c r="N777" s="203"/>
      <c r="O777" s="203"/>
      <c r="P777" s="211"/>
      <c r="Q777" s="212"/>
      <c r="R777" s="212"/>
      <c r="S777" s="212"/>
      <c r="T777" s="212"/>
      <c r="U777" s="212"/>
      <c r="V777" s="212"/>
      <c r="W777" s="213"/>
      <c r="X777" s="203"/>
      <c r="Y777" s="203"/>
      <c r="Z777" s="203"/>
    </row>
    <row r="778" spans="1:26" ht="25.5" customHeight="1">
      <c r="A778" s="203"/>
      <c r="B778" s="203"/>
      <c r="C778" s="203"/>
      <c r="D778" s="203"/>
      <c r="E778" s="203"/>
      <c r="F778" s="203"/>
      <c r="G778" s="203"/>
      <c r="H778" s="203"/>
      <c r="I778" s="203"/>
      <c r="J778" s="203"/>
      <c r="K778" s="203"/>
      <c r="L778" s="203"/>
      <c r="M778" s="203"/>
      <c r="N778" s="203"/>
      <c r="O778" s="203"/>
      <c r="P778" s="211"/>
      <c r="Q778" s="212"/>
      <c r="R778" s="212"/>
      <c r="S778" s="212"/>
      <c r="T778" s="212"/>
      <c r="U778" s="212"/>
      <c r="V778" s="212"/>
      <c r="W778" s="213"/>
      <c r="X778" s="203"/>
      <c r="Y778" s="203"/>
      <c r="Z778" s="203"/>
    </row>
    <row r="779" spans="1:26" ht="25.5" customHeight="1">
      <c r="A779" s="203"/>
      <c r="B779" s="203"/>
      <c r="C779" s="203"/>
      <c r="D779" s="203"/>
      <c r="E779" s="203"/>
      <c r="F779" s="203"/>
      <c r="G779" s="203"/>
      <c r="H779" s="203"/>
      <c r="I779" s="203"/>
      <c r="J779" s="203"/>
      <c r="K779" s="203"/>
      <c r="L779" s="203"/>
      <c r="M779" s="203"/>
      <c r="N779" s="203"/>
      <c r="O779" s="203"/>
      <c r="P779" s="211"/>
      <c r="Q779" s="212"/>
      <c r="R779" s="212"/>
      <c r="S779" s="212"/>
      <c r="T779" s="212"/>
      <c r="U779" s="212"/>
      <c r="V779" s="212"/>
      <c r="W779" s="213"/>
      <c r="X779" s="203"/>
      <c r="Y779" s="203"/>
      <c r="Z779" s="203"/>
    </row>
    <row r="780" spans="1:26" ht="25.5" customHeight="1">
      <c r="A780" s="203"/>
      <c r="B780" s="203"/>
      <c r="C780" s="203"/>
      <c r="D780" s="203"/>
      <c r="E780" s="203"/>
      <c r="F780" s="203"/>
      <c r="G780" s="203"/>
      <c r="H780" s="203"/>
      <c r="I780" s="203"/>
      <c r="J780" s="203"/>
      <c r="K780" s="203"/>
      <c r="L780" s="203"/>
      <c r="M780" s="203"/>
      <c r="N780" s="203"/>
      <c r="O780" s="203"/>
      <c r="P780" s="211"/>
      <c r="Q780" s="212"/>
      <c r="R780" s="212"/>
      <c r="S780" s="212"/>
      <c r="T780" s="212"/>
      <c r="U780" s="212"/>
      <c r="V780" s="212"/>
      <c r="W780" s="213"/>
      <c r="X780" s="203"/>
      <c r="Y780" s="203"/>
      <c r="Z780" s="203"/>
    </row>
    <row r="781" spans="1:26" ht="25.5" customHeight="1">
      <c r="A781" s="203"/>
      <c r="B781" s="203"/>
      <c r="C781" s="203"/>
      <c r="D781" s="203"/>
      <c r="E781" s="203"/>
      <c r="F781" s="203"/>
      <c r="G781" s="203"/>
      <c r="H781" s="203"/>
      <c r="I781" s="203"/>
      <c r="J781" s="203"/>
      <c r="K781" s="203"/>
      <c r="L781" s="203"/>
      <c r="M781" s="203"/>
      <c r="N781" s="203"/>
      <c r="O781" s="203"/>
      <c r="P781" s="211"/>
      <c r="Q781" s="212"/>
      <c r="R781" s="212"/>
      <c r="S781" s="212"/>
      <c r="T781" s="212"/>
      <c r="U781" s="212"/>
      <c r="V781" s="212"/>
      <c r="W781" s="213"/>
      <c r="X781" s="203"/>
      <c r="Y781" s="203"/>
      <c r="Z781" s="203"/>
    </row>
    <row r="782" spans="1:26" ht="25.5" customHeight="1">
      <c r="A782" s="203"/>
      <c r="B782" s="203"/>
      <c r="C782" s="203"/>
      <c r="D782" s="203"/>
      <c r="E782" s="203"/>
      <c r="F782" s="203"/>
      <c r="G782" s="203"/>
      <c r="H782" s="203"/>
      <c r="I782" s="203"/>
      <c r="J782" s="203"/>
      <c r="K782" s="203"/>
      <c r="L782" s="203"/>
      <c r="M782" s="203"/>
      <c r="N782" s="203"/>
      <c r="O782" s="203"/>
      <c r="P782" s="211"/>
      <c r="Q782" s="212"/>
      <c r="R782" s="212"/>
      <c r="S782" s="212"/>
      <c r="T782" s="212"/>
      <c r="U782" s="212"/>
      <c r="V782" s="212"/>
      <c r="W782" s="213"/>
      <c r="X782" s="203"/>
      <c r="Y782" s="203"/>
      <c r="Z782" s="203"/>
    </row>
    <row r="783" spans="1:26" ht="25.5" customHeight="1">
      <c r="A783" s="203"/>
      <c r="B783" s="203"/>
      <c r="C783" s="203"/>
      <c r="D783" s="203"/>
      <c r="E783" s="203"/>
      <c r="F783" s="203"/>
      <c r="G783" s="203"/>
      <c r="H783" s="203"/>
      <c r="I783" s="203"/>
      <c r="J783" s="203"/>
      <c r="K783" s="203"/>
      <c r="L783" s="203"/>
      <c r="M783" s="203"/>
      <c r="N783" s="203"/>
      <c r="O783" s="203"/>
      <c r="P783" s="211"/>
      <c r="Q783" s="212"/>
      <c r="R783" s="212"/>
      <c r="S783" s="212"/>
      <c r="T783" s="212"/>
      <c r="U783" s="212"/>
      <c r="V783" s="212"/>
      <c r="W783" s="213"/>
      <c r="X783" s="203"/>
      <c r="Y783" s="203"/>
      <c r="Z783" s="203"/>
    </row>
    <row r="784" spans="1:26" ht="25.5" customHeight="1">
      <c r="A784" s="203"/>
      <c r="B784" s="203"/>
      <c r="C784" s="203"/>
      <c r="D784" s="203"/>
      <c r="E784" s="203"/>
      <c r="F784" s="203"/>
      <c r="G784" s="203"/>
      <c r="H784" s="203"/>
      <c r="I784" s="203"/>
      <c r="J784" s="203"/>
      <c r="K784" s="203"/>
      <c r="L784" s="203"/>
      <c r="M784" s="203"/>
      <c r="N784" s="203"/>
      <c r="O784" s="203"/>
      <c r="P784" s="211"/>
      <c r="Q784" s="212"/>
      <c r="R784" s="212"/>
      <c r="S784" s="212"/>
      <c r="T784" s="212"/>
      <c r="U784" s="212"/>
      <c r="V784" s="212"/>
      <c r="W784" s="213"/>
      <c r="X784" s="203"/>
      <c r="Y784" s="203"/>
      <c r="Z784" s="203"/>
    </row>
    <row r="785" spans="1:26" ht="25.5" customHeight="1">
      <c r="A785" s="203"/>
      <c r="B785" s="203"/>
      <c r="C785" s="203"/>
      <c r="D785" s="203"/>
      <c r="E785" s="203"/>
      <c r="F785" s="203"/>
      <c r="G785" s="203"/>
      <c r="H785" s="203"/>
      <c r="I785" s="203"/>
      <c r="J785" s="203"/>
      <c r="K785" s="203"/>
      <c r="L785" s="203"/>
      <c r="M785" s="203"/>
      <c r="N785" s="203"/>
      <c r="O785" s="203"/>
      <c r="P785" s="211"/>
      <c r="Q785" s="212"/>
      <c r="R785" s="212"/>
      <c r="S785" s="212"/>
      <c r="T785" s="212"/>
      <c r="U785" s="212"/>
      <c r="V785" s="212"/>
      <c r="W785" s="213"/>
      <c r="X785" s="203"/>
      <c r="Y785" s="203"/>
      <c r="Z785" s="203"/>
    </row>
    <row r="786" spans="1:26" ht="25.5" customHeight="1">
      <c r="A786" s="203"/>
      <c r="B786" s="203"/>
      <c r="C786" s="203"/>
      <c r="D786" s="203"/>
      <c r="E786" s="203"/>
      <c r="F786" s="203"/>
      <c r="G786" s="203"/>
      <c r="H786" s="203"/>
      <c r="I786" s="203"/>
      <c r="J786" s="203"/>
      <c r="K786" s="203"/>
      <c r="L786" s="203"/>
      <c r="M786" s="203"/>
      <c r="N786" s="203"/>
      <c r="O786" s="203"/>
      <c r="P786" s="211"/>
      <c r="Q786" s="212"/>
      <c r="R786" s="212"/>
      <c r="S786" s="212"/>
      <c r="T786" s="212"/>
      <c r="U786" s="212"/>
      <c r="V786" s="212"/>
      <c r="W786" s="213"/>
      <c r="X786" s="203"/>
      <c r="Y786" s="203"/>
      <c r="Z786" s="203"/>
    </row>
    <row r="787" spans="1:26" ht="25.5" customHeight="1">
      <c r="A787" s="203"/>
      <c r="B787" s="203"/>
      <c r="C787" s="203"/>
      <c r="D787" s="203"/>
      <c r="E787" s="203"/>
      <c r="F787" s="203"/>
      <c r="G787" s="203"/>
      <c r="H787" s="203"/>
      <c r="I787" s="203"/>
      <c r="J787" s="203"/>
      <c r="K787" s="203"/>
      <c r="L787" s="203"/>
      <c r="M787" s="203"/>
      <c r="N787" s="203"/>
      <c r="O787" s="203"/>
      <c r="P787" s="211"/>
      <c r="Q787" s="212"/>
      <c r="R787" s="212"/>
      <c r="S787" s="212"/>
      <c r="T787" s="212"/>
      <c r="U787" s="212"/>
      <c r="V787" s="212"/>
      <c r="W787" s="213"/>
      <c r="X787" s="203"/>
      <c r="Y787" s="203"/>
      <c r="Z787" s="203"/>
    </row>
    <row r="788" spans="1:26" ht="25.5" customHeight="1">
      <c r="A788" s="203"/>
      <c r="B788" s="203"/>
      <c r="C788" s="203"/>
      <c r="D788" s="203"/>
      <c r="E788" s="203"/>
      <c r="F788" s="203"/>
      <c r="G788" s="203"/>
      <c r="H788" s="203"/>
      <c r="I788" s="203"/>
      <c r="J788" s="203"/>
      <c r="K788" s="203"/>
      <c r="L788" s="203"/>
      <c r="M788" s="203"/>
      <c r="N788" s="203"/>
      <c r="O788" s="203"/>
      <c r="P788" s="211"/>
      <c r="Q788" s="212"/>
      <c r="R788" s="212"/>
      <c r="S788" s="212"/>
      <c r="T788" s="212"/>
      <c r="U788" s="212"/>
      <c r="V788" s="212"/>
      <c r="W788" s="213"/>
      <c r="X788" s="203"/>
      <c r="Y788" s="203"/>
      <c r="Z788" s="203"/>
    </row>
    <row r="789" spans="1:26" ht="25.5" customHeight="1">
      <c r="A789" s="203"/>
      <c r="B789" s="203"/>
      <c r="C789" s="203"/>
      <c r="D789" s="203"/>
      <c r="E789" s="203"/>
      <c r="F789" s="203"/>
      <c r="G789" s="203"/>
      <c r="H789" s="203"/>
      <c r="I789" s="203"/>
      <c r="J789" s="203"/>
      <c r="K789" s="203"/>
      <c r="L789" s="203"/>
      <c r="M789" s="203"/>
      <c r="N789" s="203"/>
      <c r="O789" s="203"/>
      <c r="P789" s="211"/>
      <c r="Q789" s="212"/>
      <c r="R789" s="212"/>
      <c r="S789" s="212"/>
      <c r="T789" s="212"/>
      <c r="U789" s="212"/>
      <c r="V789" s="212"/>
      <c r="W789" s="213"/>
      <c r="X789" s="203"/>
      <c r="Y789" s="203"/>
      <c r="Z789" s="203"/>
    </row>
    <row r="790" spans="1:26" ht="25.5" customHeight="1">
      <c r="A790" s="203"/>
      <c r="B790" s="203"/>
      <c r="C790" s="203"/>
      <c r="D790" s="203"/>
      <c r="E790" s="203"/>
      <c r="F790" s="203"/>
      <c r="G790" s="203"/>
      <c r="H790" s="203"/>
      <c r="I790" s="203"/>
      <c r="J790" s="203"/>
      <c r="K790" s="203"/>
      <c r="L790" s="203"/>
      <c r="M790" s="203"/>
      <c r="N790" s="203"/>
      <c r="O790" s="203"/>
      <c r="P790" s="211"/>
      <c r="Q790" s="212"/>
      <c r="R790" s="212"/>
      <c r="S790" s="212"/>
      <c r="T790" s="212"/>
      <c r="U790" s="212"/>
      <c r="V790" s="212"/>
      <c r="W790" s="213"/>
      <c r="X790" s="203"/>
      <c r="Y790" s="203"/>
      <c r="Z790" s="203"/>
    </row>
    <row r="791" spans="1:26" ht="25.5" customHeight="1">
      <c r="A791" s="203"/>
      <c r="B791" s="203"/>
      <c r="C791" s="203"/>
      <c r="D791" s="203"/>
      <c r="E791" s="203"/>
      <c r="F791" s="203"/>
      <c r="G791" s="203"/>
      <c r="H791" s="203"/>
      <c r="I791" s="203"/>
      <c r="J791" s="203"/>
      <c r="K791" s="203"/>
      <c r="L791" s="203"/>
      <c r="M791" s="203"/>
      <c r="N791" s="203"/>
      <c r="O791" s="203"/>
      <c r="P791" s="211"/>
      <c r="Q791" s="212"/>
      <c r="R791" s="212"/>
      <c r="S791" s="212"/>
      <c r="T791" s="212"/>
      <c r="U791" s="212"/>
      <c r="V791" s="212"/>
      <c r="W791" s="213"/>
      <c r="X791" s="203"/>
      <c r="Y791" s="203"/>
      <c r="Z791" s="203"/>
    </row>
    <row r="792" spans="1:26" ht="25.5" customHeight="1">
      <c r="A792" s="203"/>
      <c r="B792" s="203"/>
      <c r="C792" s="203"/>
      <c r="D792" s="203"/>
      <c r="E792" s="203"/>
      <c r="F792" s="203"/>
      <c r="G792" s="203"/>
      <c r="H792" s="203"/>
      <c r="I792" s="203"/>
      <c r="J792" s="203"/>
      <c r="K792" s="203"/>
      <c r="L792" s="203"/>
      <c r="M792" s="203"/>
      <c r="N792" s="203"/>
      <c r="O792" s="203"/>
      <c r="P792" s="211"/>
      <c r="Q792" s="212"/>
      <c r="R792" s="212"/>
      <c r="S792" s="212"/>
      <c r="T792" s="212"/>
      <c r="U792" s="212"/>
      <c r="V792" s="212"/>
      <c r="W792" s="213"/>
      <c r="X792" s="203"/>
      <c r="Y792" s="203"/>
      <c r="Z792" s="203"/>
    </row>
    <row r="793" spans="1:26" ht="25.5" customHeight="1">
      <c r="A793" s="203"/>
      <c r="B793" s="203"/>
      <c r="C793" s="203"/>
      <c r="D793" s="203"/>
      <c r="E793" s="203"/>
      <c r="F793" s="203"/>
      <c r="G793" s="203"/>
      <c r="H793" s="203"/>
      <c r="I793" s="203"/>
      <c r="J793" s="203"/>
      <c r="K793" s="203"/>
      <c r="L793" s="203"/>
      <c r="M793" s="203"/>
      <c r="N793" s="203"/>
      <c r="O793" s="203"/>
      <c r="P793" s="211"/>
      <c r="Q793" s="212"/>
      <c r="R793" s="212"/>
      <c r="S793" s="212"/>
      <c r="T793" s="212"/>
      <c r="U793" s="212"/>
      <c r="V793" s="212"/>
      <c r="W793" s="213"/>
      <c r="X793" s="203"/>
      <c r="Y793" s="203"/>
      <c r="Z793" s="203"/>
    </row>
    <row r="794" spans="1:26" ht="25.5" customHeight="1">
      <c r="A794" s="203"/>
      <c r="B794" s="203"/>
      <c r="C794" s="203"/>
      <c r="D794" s="203"/>
      <c r="E794" s="203"/>
      <c r="F794" s="203"/>
      <c r="G794" s="203"/>
      <c r="H794" s="203"/>
      <c r="I794" s="203"/>
      <c r="J794" s="203"/>
      <c r="K794" s="203"/>
      <c r="L794" s="203"/>
      <c r="M794" s="203"/>
      <c r="N794" s="203"/>
      <c r="O794" s="203"/>
      <c r="P794" s="211"/>
      <c r="Q794" s="212"/>
      <c r="R794" s="212"/>
      <c r="S794" s="212"/>
      <c r="T794" s="212"/>
      <c r="U794" s="212"/>
      <c r="V794" s="212"/>
      <c r="W794" s="213"/>
      <c r="X794" s="203"/>
      <c r="Y794" s="203"/>
      <c r="Z794" s="203"/>
    </row>
    <row r="795" spans="1:26" ht="25.5" customHeight="1">
      <c r="A795" s="203"/>
      <c r="B795" s="203"/>
      <c r="C795" s="203"/>
      <c r="D795" s="203"/>
      <c r="E795" s="203"/>
      <c r="F795" s="203"/>
      <c r="G795" s="203"/>
      <c r="H795" s="203"/>
      <c r="I795" s="203"/>
      <c r="J795" s="203"/>
      <c r="K795" s="203"/>
      <c r="L795" s="203"/>
      <c r="M795" s="203"/>
      <c r="N795" s="203"/>
      <c r="O795" s="203"/>
      <c r="P795" s="211"/>
      <c r="Q795" s="212"/>
      <c r="R795" s="212"/>
      <c r="S795" s="212"/>
      <c r="T795" s="212"/>
      <c r="U795" s="212"/>
      <c r="V795" s="212"/>
      <c r="W795" s="213"/>
      <c r="X795" s="203"/>
      <c r="Y795" s="203"/>
      <c r="Z795" s="203"/>
    </row>
    <row r="796" spans="1:26" ht="25.5" customHeight="1">
      <c r="A796" s="203"/>
      <c r="B796" s="203"/>
      <c r="C796" s="203"/>
      <c r="D796" s="203"/>
      <c r="E796" s="203"/>
      <c r="F796" s="203"/>
      <c r="G796" s="203"/>
      <c r="H796" s="203"/>
      <c r="I796" s="203"/>
      <c r="J796" s="203"/>
      <c r="K796" s="203"/>
      <c r="L796" s="203"/>
      <c r="M796" s="203"/>
      <c r="N796" s="203"/>
      <c r="O796" s="203"/>
      <c r="P796" s="211"/>
      <c r="Q796" s="212"/>
      <c r="R796" s="212"/>
      <c r="S796" s="212"/>
      <c r="T796" s="212"/>
      <c r="U796" s="212"/>
      <c r="V796" s="212"/>
      <c r="W796" s="213"/>
      <c r="X796" s="203"/>
      <c r="Y796" s="203"/>
      <c r="Z796" s="203"/>
    </row>
    <row r="797" spans="1:26" ht="25.5" customHeight="1">
      <c r="A797" s="203"/>
      <c r="B797" s="203"/>
      <c r="C797" s="203"/>
      <c r="D797" s="203"/>
      <c r="E797" s="203"/>
      <c r="F797" s="203"/>
      <c r="G797" s="203"/>
      <c r="H797" s="203"/>
      <c r="I797" s="203"/>
      <c r="J797" s="203"/>
      <c r="K797" s="203"/>
      <c r="L797" s="203"/>
      <c r="M797" s="203"/>
      <c r="N797" s="203"/>
      <c r="O797" s="203"/>
      <c r="P797" s="211"/>
      <c r="Q797" s="212"/>
      <c r="R797" s="212"/>
      <c r="S797" s="212"/>
      <c r="T797" s="212"/>
      <c r="U797" s="212"/>
      <c r="V797" s="212"/>
      <c r="W797" s="213"/>
      <c r="X797" s="203"/>
      <c r="Y797" s="203"/>
      <c r="Z797" s="203"/>
    </row>
    <row r="798" spans="1:26" ht="25.5" customHeight="1">
      <c r="A798" s="203"/>
      <c r="B798" s="203"/>
      <c r="C798" s="203"/>
      <c r="D798" s="203"/>
      <c r="E798" s="203"/>
      <c r="F798" s="203"/>
      <c r="G798" s="203"/>
      <c r="H798" s="203"/>
      <c r="I798" s="203"/>
      <c r="J798" s="203"/>
      <c r="K798" s="203"/>
      <c r="L798" s="203"/>
      <c r="M798" s="203"/>
      <c r="N798" s="203"/>
      <c r="O798" s="203"/>
      <c r="P798" s="211"/>
      <c r="Q798" s="212"/>
      <c r="R798" s="212"/>
      <c r="S798" s="212"/>
      <c r="T798" s="212"/>
      <c r="U798" s="212"/>
      <c r="V798" s="212"/>
      <c r="W798" s="213"/>
      <c r="X798" s="203"/>
      <c r="Y798" s="203"/>
      <c r="Z798" s="203"/>
    </row>
    <row r="799" spans="1:26" ht="25.5" customHeight="1">
      <c r="A799" s="203"/>
      <c r="B799" s="203"/>
      <c r="C799" s="203"/>
      <c r="D799" s="203"/>
      <c r="E799" s="203"/>
      <c r="F799" s="203"/>
      <c r="G799" s="203"/>
      <c r="H799" s="203"/>
      <c r="I799" s="203"/>
      <c r="J799" s="203"/>
      <c r="K799" s="203"/>
      <c r="L799" s="203"/>
      <c r="M799" s="203"/>
      <c r="N799" s="203"/>
      <c r="O799" s="203"/>
      <c r="P799" s="211"/>
      <c r="Q799" s="212"/>
      <c r="R799" s="212"/>
      <c r="S799" s="212"/>
      <c r="T799" s="212"/>
      <c r="U799" s="212"/>
      <c r="V799" s="212"/>
      <c r="W799" s="213"/>
      <c r="X799" s="203"/>
      <c r="Y799" s="203"/>
      <c r="Z799" s="203"/>
    </row>
    <row r="800" spans="1:26" ht="25.5" customHeight="1">
      <c r="A800" s="203"/>
      <c r="B800" s="203"/>
      <c r="C800" s="203"/>
      <c r="D800" s="203"/>
      <c r="E800" s="203"/>
      <c r="F800" s="203"/>
      <c r="G800" s="203"/>
      <c r="H800" s="203"/>
      <c r="I800" s="203"/>
      <c r="J800" s="203"/>
      <c r="K800" s="203"/>
      <c r="L800" s="203"/>
      <c r="M800" s="203"/>
      <c r="N800" s="203"/>
      <c r="O800" s="203"/>
      <c r="P800" s="211"/>
      <c r="Q800" s="212"/>
      <c r="R800" s="212"/>
      <c r="S800" s="212"/>
      <c r="T800" s="212"/>
      <c r="U800" s="212"/>
      <c r="V800" s="212"/>
      <c r="W800" s="213"/>
      <c r="X800" s="203"/>
      <c r="Y800" s="203"/>
      <c r="Z800" s="203"/>
    </row>
    <row r="801" spans="1:26" ht="25.5" customHeight="1">
      <c r="A801" s="203"/>
      <c r="B801" s="203"/>
      <c r="C801" s="203"/>
      <c r="D801" s="203"/>
      <c r="E801" s="203"/>
      <c r="F801" s="203"/>
      <c r="G801" s="203"/>
      <c r="H801" s="203"/>
      <c r="I801" s="203"/>
      <c r="J801" s="203"/>
      <c r="K801" s="203"/>
      <c r="L801" s="203"/>
      <c r="M801" s="203"/>
      <c r="N801" s="203"/>
      <c r="O801" s="203"/>
      <c r="P801" s="211"/>
      <c r="Q801" s="212"/>
      <c r="R801" s="212"/>
      <c r="S801" s="212"/>
      <c r="T801" s="212"/>
      <c r="U801" s="212"/>
      <c r="V801" s="212"/>
      <c r="W801" s="213"/>
      <c r="X801" s="203"/>
      <c r="Y801" s="203"/>
      <c r="Z801" s="203"/>
    </row>
    <row r="802" spans="1:26" ht="25.5" customHeight="1">
      <c r="A802" s="203"/>
      <c r="B802" s="203"/>
      <c r="C802" s="203"/>
      <c r="D802" s="203"/>
      <c r="E802" s="203"/>
      <c r="F802" s="203"/>
      <c r="G802" s="203"/>
      <c r="H802" s="203"/>
      <c r="I802" s="203"/>
      <c r="J802" s="203"/>
      <c r="K802" s="203"/>
      <c r="L802" s="203"/>
      <c r="M802" s="203"/>
      <c r="N802" s="203"/>
      <c r="O802" s="203"/>
      <c r="P802" s="211"/>
      <c r="Q802" s="212"/>
      <c r="R802" s="212"/>
      <c r="S802" s="212"/>
      <c r="T802" s="212"/>
      <c r="U802" s="212"/>
      <c r="V802" s="212"/>
      <c r="W802" s="213"/>
      <c r="X802" s="203"/>
      <c r="Y802" s="203"/>
      <c r="Z802" s="203"/>
    </row>
    <row r="803" spans="1:26" ht="25.5" customHeight="1">
      <c r="A803" s="203"/>
      <c r="B803" s="203"/>
      <c r="C803" s="203"/>
      <c r="D803" s="203"/>
      <c r="E803" s="203"/>
      <c r="F803" s="203"/>
      <c r="G803" s="203"/>
      <c r="H803" s="203"/>
      <c r="I803" s="203"/>
      <c r="J803" s="203"/>
      <c r="K803" s="203"/>
      <c r="L803" s="203"/>
      <c r="M803" s="203"/>
      <c r="N803" s="203"/>
      <c r="O803" s="203"/>
      <c r="P803" s="211"/>
      <c r="Q803" s="212"/>
      <c r="R803" s="212"/>
      <c r="S803" s="212"/>
      <c r="T803" s="212"/>
      <c r="U803" s="212"/>
      <c r="V803" s="212"/>
      <c r="W803" s="213"/>
      <c r="X803" s="203"/>
      <c r="Y803" s="203"/>
      <c r="Z803" s="203"/>
    </row>
    <row r="804" spans="1:26" ht="25.5" customHeight="1">
      <c r="A804" s="203"/>
      <c r="B804" s="203"/>
      <c r="C804" s="203"/>
      <c r="D804" s="203"/>
      <c r="E804" s="203"/>
      <c r="F804" s="203"/>
      <c r="G804" s="203"/>
      <c r="H804" s="203"/>
      <c r="I804" s="203"/>
      <c r="J804" s="203"/>
      <c r="K804" s="203"/>
      <c r="L804" s="203"/>
      <c r="M804" s="203"/>
      <c r="N804" s="203"/>
      <c r="O804" s="203"/>
      <c r="P804" s="211"/>
      <c r="Q804" s="212"/>
      <c r="R804" s="212"/>
      <c r="S804" s="212"/>
      <c r="T804" s="212"/>
      <c r="U804" s="212"/>
      <c r="V804" s="212"/>
      <c r="W804" s="213"/>
      <c r="X804" s="203"/>
      <c r="Y804" s="203"/>
      <c r="Z804" s="203"/>
    </row>
    <row r="805" spans="1:26" ht="25.5" customHeight="1">
      <c r="A805" s="203"/>
      <c r="B805" s="203"/>
      <c r="C805" s="203"/>
      <c r="D805" s="203"/>
      <c r="E805" s="203"/>
      <c r="F805" s="203"/>
      <c r="G805" s="203"/>
      <c r="H805" s="203"/>
      <c r="I805" s="203"/>
      <c r="J805" s="203"/>
      <c r="K805" s="203"/>
      <c r="L805" s="203"/>
      <c r="M805" s="203"/>
      <c r="N805" s="203"/>
      <c r="O805" s="203"/>
      <c r="P805" s="211"/>
      <c r="Q805" s="212"/>
      <c r="R805" s="212"/>
      <c r="S805" s="212"/>
      <c r="T805" s="212"/>
      <c r="U805" s="212"/>
      <c r="V805" s="212"/>
      <c r="W805" s="213"/>
      <c r="X805" s="203"/>
      <c r="Y805" s="203"/>
      <c r="Z805" s="203"/>
    </row>
    <row r="806" spans="1:26" ht="25.5" customHeight="1">
      <c r="A806" s="203"/>
      <c r="B806" s="203"/>
      <c r="C806" s="203"/>
      <c r="D806" s="203"/>
      <c r="E806" s="203"/>
      <c r="F806" s="203"/>
      <c r="G806" s="203"/>
      <c r="H806" s="203"/>
      <c r="I806" s="203"/>
      <c r="J806" s="203"/>
      <c r="K806" s="203"/>
      <c r="L806" s="203"/>
      <c r="M806" s="203"/>
      <c r="N806" s="203"/>
      <c r="O806" s="203"/>
      <c r="P806" s="211"/>
      <c r="Q806" s="212"/>
      <c r="R806" s="212"/>
      <c r="S806" s="212"/>
      <c r="T806" s="212"/>
      <c r="U806" s="212"/>
      <c r="V806" s="212"/>
      <c r="W806" s="213"/>
      <c r="X806" s="203"/>
      <c r="Y806" s="203"/>
      <c r="Z806" s="203"/>
    </row>
    <row r="807" spans="1:26" ht="25.5" customHeight="1">
      <c r="A807" s="203"/>
      <c r="B807" s="203"/>
      <c r="C807" s="203"/>
      <c r="D807" s="203"/>
      <c r="E807" s="203"/>
      <c r="F807" s="203"/>
      <c r="G807" s="203"/>
      <c r="H807" s="203"/>
      <c r="I807" s="203"/>
      <c r="J807" s="203"/>
      <c r="K807" s="203"/>
      <c r="L807" s="203"/>
      <c r="M807" s="203"/>
      <c r="N807" s="203"/>
      <c r="O807" s="203"/>
      <c r="P807" s="211"/>
      <c r="Q807" s="212"/>
      <c r="R807" s="212"/>
      <c r="S807" s="212"/>
      <c r="T807" s="212"/>
      <c r="U807" s="212"/>
      <c r="V807" s="212"/>
      <c r="W807" s="213"/>
      <c r="X807" s="203"/>
      <c r="Y807" s="203"/>
      <c r="Z807" s="203"/>
    </row>
    <row r="808" spans="1:26" ht="25.5" customHeight="1">
      <c r="A808" s="203"/>
      <c r="B808" s="203"/>
      <c r="C808" s="203"/>
      <c r="D808" s="203"/>
      <c r="E808" s="203"/>
      <c r="F808" s="203"/>
      <c r="G808" s="203"/>
      <c r="H808" s="203"/>
      <c r="I808" s="203"/>
      <c r="J808" s="203"/>
      <c r="K808" s="203"/>
      <c r="L808" s="203"/>
      <c r="M808" s="203"/>
      <c r="N808" s="203"/>
      <c r="O808" s="203"/>
      <c r="P808" s="211"/>
      <c r="Q808" s="212"/>
      <c r="R808" s="212"/>
      <c r="S808" s="212"/>
      <c r="T808" s="212"/>
      <c r="U808" s="212"/>
      <c r="V808" s="212"/>
      <c r="W808" s="213"/>
      <c r="X808" s="203"/>
      <c r="Y808" s="203"/>
      <c r="Z808" s="203"/>
    </row>
    <row r="809" spans="1:26" ht="25.5" customHeight="1">
      <c r="A809" s="203"/>
      <c r="B809" s="203"/>
      <c r="C809" s="203"/>
      <c r="D809" s="203"/>
      <c r="E809" s="203"/>
      <c r="F809" s="203"/>
      <c r="G809" s="203"/>
      <c r="H809" s="203"/>
      <c r="I809" s="203"/>
      <c r="J809" s="203"/>
      <c r="K809" s="203"/>
      <c r="L809" s="203"/>
      <c r="M809" s="203"/>
      <c r="N809" s="203"/>
      <c r="O809" s="203"/>
      <c r="P809" s="211"/>
      <c r="Q809" s="212"/>
      <c r="R809" s="212"/>
      <c r="S809" s="212"/>
      <c r="T809" s="212"/>
      <c r="U809" s="212"/>
      <c r="V809" s="212"/>
      <c r="W809" s="213"/>
      <c r="X809" s="203"/>
      <c r="Y809" s="203"/>
      <c r="Z809" s="203"/>
    </row>
    <row r="810" spans="1:26" ht="25.5" customHeight="1">
      <c r="A810" s="203"/>
      <c r="B810" s="203"/>
      <c r="C810" s="203"/>
      <c r="D810" s="203"/>
      <c r="E810" s="203"/>
      <c r="F810" s="203"/>
      <c r="G810" s="203"/>
      <c r="H810" s="203"/>
      <c r="I810" s="203"/>
      <c r="J810" s="203"/>
      <c r="K810" s="203"/>
      <c r="L810" s="203"/>
      <c r="M810" s="203"/>
      <c r="N810" s="203"/>
      <c r="O810" s="203"/>
      <c r="P810" s="211"/>
      <c r="Q810" s="212"/>
      <c r="R810" s="212"/>
      <c r="S810" s="212"/>
      <c r="T810" s="212"/>
      <c r="U810" s="212"/>
      <c r="V810" s="212"/>
      <c r="W810" s="213"/>
      <c r="X810" s="203"/>
      <c r="Y810" s="203"/>
      <c r="Z810" s="203"/>
    </row>
    <row r="811" spans="1:26" ht="25.5" customHeight="1">
      <c r="A811" s="203"/>
      <c r="B811" s="203"/>
      <c r="C811" s="203"/>
      <c r="D811" s="203"/>
      <c r="E811" s="203"/>
      <c r="F811" s="203"/>
      <c r="G811" s="203"/>
      <c r="H811" s="203"/>
      <c r="I811" s="203"/>
      <c r="J811" s="203"/>
      <c r="K811" s="203"/>
      <c r="L811" s="203"/>
      <c r="M811" s="203"/>
      <c r="N811" s="203"/>
      <c r="O811" s="203"/>
      <c r="P811" s="211"/>
      <c r="Q811" s="212"/>
      <c r="R811" s="212"/>
      <c r="S811" s="212"/>
      <c r="T811" s="212"/>
      <c r="U811" s="212"/>
      <c r="V811" s="212"/>
      <c r="W811" s="213"/>
      <c r="X811" s="203"/>
      <c r="Y811" s="203"/>
      <c r="Z811" s="203"/>
    </row>
    <row r="812" spans="1:26" ht="25.5" customHeight="1">
      <c r="A812" s="203"/>
      <c r="B812" s="203"/>
      <c r="C812" s="203"/>
      <c r="D812" s="203"/>
      <c r="E812" s="203"/>
      <c r="F812" s="203"/>
      <c r="G812" s="203"/>
      <c r="H812" s="203"/>
      <c r="I812" s="203"/>
      <c r="J812" s="203"/>
      <c r="K812" s="203"/>
      <c r="L812" s="203"/>
      <c r="M812" s="203"/>
      <c r="N812" s="203"/>
      <c r="O812" s="203"/>
      <c r="P812" s="211"/>
      <c r="Q812" s="212"/>
      <c r="R812" s="212"/>
      <c r="S812" s="212"/>
      <c r="T812" s="212"/>
      <c r="U812" s="212"/>
      <c r="V812" s="212"/>
      <c r="W812" s="213"/>
      <c r="X812" s="203"/>
      <c r="Y812" s="203"/>
      <c r="Z812" s="203"/>
    </row>
    <row r="813" spans="1:26" ht="25.5" customHeight="1">
      <c r="A813" s="203"/>
      <c r="B813" s="203"/>
      <c r="C813" s="203"/>
      <c r="D813" s="203"/>
      <c r="E813" s="203"/>
      <c r="F813" s="203"/>
      <c r="G813" s="203"/>
      <c r="H813" s="203"/>
      <c r="I813" s="203"/>
      <c r="J813" s="203"/>
      <c r="K813" s="203"/>
      <c r="L813" s="203"/>
      <c r="M813" s="203"/>
      <c r="N813" s="203"/>
      <c r="O813" s="203"/>
      <c r="P813" s="211"/>
      <c r="Q813" s="212"/>
      <c r="R813" s="212"/>
      <c r="S813" s="212"/>
      <c r="T813" s="212"/>
      <c r="U813" s="212"/>
      <c r="V813" s="212"/>
      <c r="W813" s="213"/>
      <c r="X813" s="203"/>
      <c r="Y813" s="203"/>
      <c r="Z813" s="203"/>
    </row>
    <row r="814" spans="1:26" ht="25.5" customHeight="1">
      <c r="A814" s="203"/>
      <c r="B814" s="203"/>
      <c r="C814" s="203"/>
      <c r="D814" s="203"/>
      <c r="E814" s="203"/>
      <c r="F814" s="203"/>
      <c r="G814" s="203"/>
      <c r="H814" s="203"/>
      <c r="I814" s="203"/>
      <c r="J814" s="203"/>
      <c r="K814" s="203"/>
      <c r="L814" s="203"/>
      <c r="M814" s="203"/>
      <c r="N814" s="203"/>
      <c r="O814" s="203"/>
      <c r="P814" s="211"/>
      <c r="Q814" s="212"/>
      <c r="R814" s="212"/>
      <c r="S814" s="212"/>
      <c r="T814" s="212"/>
      <c r="U814" s="212"/>
      <c r="V814" s="212"/>
      <c r="W814" s="213"/>
      <c r="X814" s="203"/>
      <c r="Y814" s="203"/>
      <c r="Z814" s="203"/>
    </row>
    <row r="815" spans="1:26" ht="25.5" customHeight="1">
      <c r="A815" s="203"/>
      <c r="B815" s="203"/>
      <c r="C815" s="203"/>
      <c r="D815" s="203"/>
      <c r="E815" s="203"/>
      <c r="F815" s="203"/>
      <c r="G815" s="203"/>
      <c r="H815" s="203"/>
      <c r="I815" s="203"/>
      <c r="J815" s="203"/>
      <c r="K815" s="203"/>
      <c r="L815" s="203"/>
      <c r="M815" s="203"/>
      <c r="N815" s="203"/>
      <c r="O815" s="203"/>
      <c r="P815" s="211"/>
      <c r="Q815" s="212"/>
      <c r="R815" s="212"/>
      <c r="S815" s="212"/>
      <c r="T815" s="212"/>
      <c r="U815" s="212"/>
      <c r="V815" s="212"/>
      <c r="W815" s="213"/>
      <c r="X815" s="203"/>
      <c r="Y815" s="203"/>
      <c r="Z815" s="203"/>
    </row>
    <row r="816" spans="1:26" ht="25.5" customHeight="1">
      <c r="A816" s="203"/>
      <c r="B816" s="203"/>
      <c r="C816" s="203"/>
      <c r="D816" s="203"/>
      <c r="E816" s="203"/>
      <c r="F816" s="203"/>
      <c r="G816" s="203"/>
      <c r="H816" s="203"/>
      <c r="I816" s="203"/>
      <c r="J816" s="203"/>
      <c r="K816" s="203"/>
      <c r="L816" s="203"/>
      <c r="M816" s="203"/>
      <c r="N816" s="203"/>
      <c r="O816" s="203"/>
      <c r="P816" s="211"/>
      <c r="Q816" s="212"/>
      <c r="R816" s="212"/>
      <c r="S816" s="212"/>
      <c r="T816" s="212"/>
      <c r="U816" s="212"/>
      <c r="V816" s="212"/>
      <c r="W816" s="213"/>
      <c r="X816" s="203"/>
      <c r="Y816" s="203"/>
      <c r="Z816" s="203"/>
    </row>
    <row r="817" spans="1:26" ht="25.5" customHeight="1">
      <c r="A817" s="203"/>
      <c r="B817" s="203"/>
      <c r="C817" s="203"/>
      <c r="D817" s="203"/>
      <c r="E817" s="203"/>
      <c r="F817" s="203"/>
      <c r="G817" s="203"/>
      <c r="H817" s="203"/>
      <c r="I817" s="203"/>
      <c r="J817" s="203"/>
      <c r="K817" s="203"/>
      <c r="L817" s="203"/>
      <c r="M817" s="203"/>
      <c r="N817" s="203"/>
      <c r="O817" s="203"/>
      <c r="P817" s="211"/>
      <c r="Q817" s="212"/>
      <c r="R817" s="212"/>
      <c r="S817" s="212"/>
      <c r="T817" s="212"/>
      <c r="U817" s="212"/>
      <c r="V817" s="212"/>
      <c r="W817" s="213"/>
      <c r="X817" s="203"/>
      <c r="Y817" s="203"/>
      <c r="Z817" s="203"/>
    </row>
    <row r="818" spans="1:26" ht="25.5" customHeight="1">
      <c r="A818" s="203"/>
      <c r="B818" s="203"/>
      <c r="C818" s="203"/>
      <c r="D818" s="203"/>
      <c r="E818" s="203"/>
      <c r="F818" s="203"/>
      <c r="G818" s="203"/>
      <c r="H818" s="203"/>
      <c r="I818" s="203"/>
      <c r="J818" s="203"/>
      <c r="K818" s="203"/>
      <c r="L818" s="203"/>
      <c r="M818" s="203"/>
      <c r="N818" s="203"/>
      <c r="O818" s="203"/>
      <c r="P818" s="211"/>
      <c r="Q818" s="212"/>
      <c r="R818" s="212"/>
      <c r="S818" s="212"/>
      <c r="T818" s="212"/>
      <c r="U818" s="212"/>
      <c r="V818" s="212"/>
      <c r="W818" s="213"/>
      <c r="X818" s="203"/>
      <c r="Y818" s="203"/>
      <c r="Z818" s="203"/>
    </row>
    <row r="819" spans="1:26" ht="25.5" customHeight="1">
      <c r="A819" s="203"/>
      <c r="B819" s="203"/>
      <c r="C819" s="203"/>
      <c r="D819" s="203"/>
      <c r="E819" s="203"/>
      <c r="F819" s="203"/>
      <c r="G819" s="203"/>
      <c r="H819" s="203"/>
      <c r="I819" s="203"/>
      <c r="J819" s="203"/>
      <c r="K819" s="203"/>
      <c r="L819" s="203"/>
      <c r="M819" s="203"/>
      <c r="N819" s="203"/>
      <c r="O819" s="203"/>
      <c r="P819" s="211"/>
      <c r="Q819" s="212"/>
      <c r="R819" s="212"/>
      <c r="S819" s="212"/>
      <c r="T819" s="212"/>
      <c r="U819" s="212"/>
      <c r="V819" s="212"/>
      <c r="W819" s="213"/>
      <c r="X819" s="203"/>
      <c r="Y819" s="203"/>
      <c r="Z819" s="203"/>
    </row>
    <row r="820" spans="1:26" ht="25.5" customHeight="1">
      <c r="A820" s="203"/>
      <c r="B820" s="203"/>
      <c r="C820" s="203"/>
      <c r="D820" s="203"/>
      <c r="E820" s="203"/>
      <c r="F820" s="203"/>
      <c r="G820" s="203"/>
      <c r="H820" s="203"/>
      <c r="I820" s="203"/>
      <c r="J820" s="203"/>
      <c r="K820" s="203"/>
      <c r="L820" s="203"/>
      <c r="M820" s="203"/>
      <c r="N820" s="203"/>
      <c r="O820" s="203"/>
      <c r="P820" s="211"/>
      <c r="Q820" s="212"/>
      <c r="R820" s="212"/>
      <c r="S820" s="212"/>
      <c r="T820" s="212"/>
      <c r="U820" s="212"/>
      <c r="V820" s="212"/>
      <c r="W820" s="213"/>
      <c r="X820" s="203"/>
      <c r="Y820" s="203"/>
      <c r="Z820" s="203"/>
    </row>
    <row r="821" spans="1:26" ht="25.5" customHeight="1">
      <c r="A821" s="203"/>
      <c r="B821" s="203"/>
      <c r="C821" s="203"/>
      <c r="D821" s="203"/>
      <c r="E821" s="203"/>
      <c r="F821" s="203"/>
      <c r="G821" s="203"/>
      <c r="H821" s="203"/>
      <c r="I821" s="203"/>
      <c r="J821" s="203"/>
      <c r="K821" s="203"/>
      <c r="L821" s="203"/>
      <c r="M821" s="203"/>
      <c r="N821" s="203"/>
      <c r="O821" s="203"/>
      <c r="P821" s="211"/>
      <c r="Q821" s="212"/>
      <c r="R821" s="212"/>
      <c r="S821" s="212"/>
      <c r="T821" s="212"/>
      <c r="U821" s="212"/>
      <c r="V821" s="212"/>
      <c r="W821" s="213"/>
      <c r="X821" s="203"/>
      <c r="Y821" s="203"/>
      <c r="Z821" s="203"/>
    </row>
    <row r="822" spans="1:26" ht="25.5" customHeight="1">
      <c r="A822" s="203"/>
      <c r="B822" s="203"/>
      <c r="C822" s="203"/>
      <c r="D822" s="203"/>
      <c r="E822" s="203"/>
      <c r="F822" s="203"/>
      <c r="G822" s="203"/>
      <c r="H822" s="203"/>
      <c r="I822" s="203"/>
      <c r="J822" s="203"/>
      <c r="K822" s="203"/>
      <c r="L822" s="203"/>
      <c r="M822" s="203"/>
      <c r="N822" s="203"/>
      <c r="O822" s="203"/>
      <c r="P822" s="211"/>
      <c r="Q822" s="212"/>
      <c r="R822" s="212"/>
      <c r="S822" s="212"/>
      <c r="T822" s="212"/>
      <c r="U822" s="212"/>
      <c r="V822" s="212"/>
      <c r="W822" s="213"/>
      <c r="X822" s="203"/>
      <c r="Y822" s="203"/>
      <c r="Z822" s="203"/>
    </row>
    <row r="823" spans="1:26" ht="25.5" customHeight="1">
      <c r="A823" s="203"/>
      <c r="B823" s="203"/>
      <c r="C823" s="203"/>
      <c r="D823" s="203"/>
      <c r="E823" s="203"/>
      <c r="F823" s="203"/>
      <c r="G823" s="203"/>
      <c r="H823" s="203"/>
      <c r="I823" s="203"/>
      <c r="J823" s="203"/>
      <c r="K823" s="203"/>
      <c r="L823" s="203"/>
      <c r="M823" s="203"/>
      <c r="N823" s="203"/>
      <c r="O823" s="203"/>
      <c r="P823" s="211"/>
      <c r="Q823" s="212"/>
      <c r="R823" s="212"/>
      <c r="S823" s="212"/>
      <c r="T823" s="212"/>
      <c r="U823" s="212"/>
      <c r="V823" s="212"/>
      <c r="W823" s="213"/>
      <c r="X823" s="203"/>
      <c r="Y823" s="203"/>
      <c r="Z823" s="203"/>
    </row>
    <row r="824" spans="1:26" ht="25.5" customHeight="1">
      <c r="A824" s="203"/>
      <c r="B824" s="203"/>
      <c r="C824" s="203"/>
      <c r="D824" s="203"/>
      <c r="E824" s="203"/>
      <c r="F824" s="203"/>
      <c r="G824" s="203"/>
      <c r="H824" s="203"/>
      <c r="I824" s="203"/>
      <c r="J824" s="203"/>
      <c r="K824" s="203"/>
      <c r="L824" s="203"/>
      <c r="M824" s="203"/>
      <c r="N824" s="203"/>
      <c r="O824" s="203"/>
      <c r="P824" s="211"/>
      <c r="Q824" s="212"/>
      <c r="R824" s="212"/>
      <c r="S824" s="212"/>
      <c r="T824" s="212"/>
      <c r="U824" s="212"/>
      <c r="V824" s="212"/>
      <c r="W824" s="213"/>
      <c r="X824" s="203"/>
      <c r="Y824" s="203"/>
      <c r="Z824" s="203"/>
    </row>
    <row r="825" spans="1:26" ht="25.5" customHeight="1">
      <c r="A825" s="203"/>
      <c r="B825" s="203"/>
      <c r="C825" s="203"/>
      <c r="D825" s="203"/>
      <c r="E825" s="203"/>
      <c r="F825" s="203"/>
      <c r="G825" s="203"/>
      <c r="H825" s="203"/>
      <c r="I825" s="203"/>
      <c r="J825" s="203"/>
      <c r="K825" s="203"/>
      <c r="L825" s="203"/>
      <c r="M825" s="203"/>
      <c r="N825" s="203"/>
      <c r="O825" s="203"/>
      <c r="P825" s="211"/>
      <c r="Q825" s="212"/>
      <c r="R825" s="212"/>
      <c r="S825" s="212"/>
      <c r="T825" s="212"/>
      <c r="U825" s="212"/>
      <c r="V825" s="212"/>
      <c r="W825" s="213"/>
      <c r="X825" s="203"/>
      <c r="Y825" s="203"/>
      <c r="Z825" s="203"/>
    </row>
    <row r="826" spans="1:26" ht="25.5" customHeight="1">
      <c r="A826" s="203"/>
      <c r="B826" s="203"/>
      <c r="C826" s="203"/>
      <c r="D826" s="203"/>
      <c r="E826" s="203"/>
      <c r="F826" s="203"/>
      <c r="G826" s="203"/>
      <c r="H826" s="203"/>
      <c r="I826" s="203"/>
      <c r="J826" s="203"/>
      <c r="K826" s="203"/>
      <c r="L826" s="203"/>
      <c r="M826" s="203"/>
      <c r="N826" s="203"/>
      <c r="O826" s="203"/>
      <c r="P826" s="211"/>
      <c r="Q826" s="212"/>
      <c r="R826" s="212"/>
      <c r="S826" s="212"/>
      <c r="T826" s="212"/>
      <c r="U826" s="212"/>
      <c r="V826" s="212"/>
      <c r="W826" s="213"/>
      <c r="X826" s="203"/>
      <c r="Y826" s="203"/>
      <c r="Z826" s="203"/>
    </row>
    <row r="827" spans="1:26" ht="25.5" customHeight="1">
      <c r="A827" s="203"/>
      <c r="B827" s="203"/>
      <c r="C827" s="203"/>
      <c r="D827" s="203"/>
      <c r="E827" s="203"/>
      <c r="F827" s="203"/>
      <c r="G827" s="203"/>
      <c r="H827" s="203"/>
      <c r="I827" s="203"/>
      <c r="J827" s="203"/>
      <c r="K827" s="203"/>
      <c r="L827" s="203"/>
      <c r="M827" s="203"/>
      <c r="N827" s="203"/>
      <c r="O827" s="203"/>
      <c r="P827" s="211"/>
      <c r="Q827" s="212"/>
      <c r="R827" s="212"/>
      <c r="S827" s="212"/>
      <c r="T827" s="212"/>
      <c r="U827" s="212"/>
      <c r="V827" s="212"/>
      <c r="W827" s="213"/>
      <c r="X827" s="203"/>
      <c r="Y827" s="203"/>
      <c r="Z827" s="203"/>
    </row>
    <row r="828" spans="1:26" ht="25.5" customHeight="1">
      <c r="A828" s="203"/>
      <c r="B828" s="203"/>
      <c r="C828" s="203"/>
      <c r="D828" s="203"/>
      <c r="E828" s="203"/>
      <c r="F828" s="203"/>
      <c r="G828" s="203"/>
      <c r="H828" s="203"/>
      <c r="I828" s="203"/>
      <c r="J828" s="203"/>
      <c r="K828" s="203"/>
      <c r="L828" s="203"/>
      <c r="M828" s="203"/>
      <c r="N828" s="203"/>
      <c r="O828" s="203"/>
      <c r="P828" s="211"/>
      <c r="Q828" s="212"/>
      <c r="R828" s="212"/>
      <c r="S828" s="212"/>
      <c r="T828" s="212"/>
      <c r="U828" s="212"/>
      <c r="V828" s="212"/>
      <c r="W828" s="213"/>
      <c r="X828" s="203"/>
      <c r="Y828" s="203"/>
      <c r="Z828" s="203"/>
    </row>
    <row r="829" spans="1:26" ht="25.5" customHeight="1">
      <c r="A829" s="203"/>
      <c r="B829" s="203"/>
      <c r="C829" s="203"/>
      <c r="D829" s="203"/>
      <c r="E829" s="203"/>
      <c r="F829" s="203"/>
      <c r="G829" s="203"/>
      <c r="H829" s="203"/>
      <c r="I829" s="203"/>
      <c r="J829" s="203"/>
      <c r="K829" s="203"/>
      <c r="L829" s="203"/>
      <c r="M829" s="203"/>
      <c r="N829" s="203"/>
      <c r="O829" s="203"/>
      <c r="P829" s="211"/>
      <c r="Q829" s="212"/>
      <c r="R829" s="212"/>
      <c r="S829" s="212"/>
      <c r="T829" s="212"/>
      <c r="U829" s="212"/>
      <c r="V829" s="212"/>
      <c r="W829" s="213"/>
      <c r="X829" s="203"/>
      <c r="Y829" s="203"/>
      <c r="Z829" s="203"/>
    </row>
    <row r="830" spans="1:26" ht="25.5" customHeight="1">
      <c r="A830" s="203"/>
      <c r="B830" s="203"/>
      <c r="C830" s="203"/>
      <c r="D830" s="203"/>
      <c r="E830" s="203"/>
      <c r="F830" s="203"/>
      <c r="G830" s="203"/>
      <c r="H830" s="203"/>
      <c r="I830" s="203"/>
      <c r="J830" s="203"/>
      <c r="K830" s="203"/>
      <c r="L830" s="203"/>
      <c r="M830" s="203"/>
      <c r="N830" s="203"/>
      <c r="O830" s="203"/>
      <c r="P830" s="211"/>
      <c r="Q830" s="212"/>
      <c r="R830" s="212"/>
      <c r="S830" s="212"/>
      <c r="T830" s="212"/>
      <c r="U830" s="212"/>
      <c r="V830" s="212"/>
      <c r="W830" s="213"/>
      <c r="X830" s="203"/>
      <c r="Y830" s="203"/>
      <c r="Z830" s="203"/>
    </row>
    <row r="831" spans="1:26" ht="25.5" customHeight="1">
      <c r="A831" s="203"/>
      <c r="B831" s="203"/>
      <c r="C831" s="203"/>
      <c r="D831" s="203"/>
      <c r="E831" s="203"/>
      <c r="F831" s="203"/>
      <c r="G831" s="203"/>
      <c r="H831" s="203"/>
      <c r="I831" s="203"/>
      <c r="J831" s="203"/>
      <c r="K831" s="203"/>
      <c r="L831" s="203"/>
      <c r="M831" s="203"/>
      <c r="N831" s="203"/>
      <c r="O831" s="203"/>
      <c r="P831" s="211"/>
      <c r="Q831" s="212"/>
      <c r="R831" s="212"/>
      <c r="S831" s="212"/>
      <c r="T831" s="212"/>
      <c r="U831" s="212"/>
      <c r="V831" s="212"/>
      <c r="W831" s="213"/>
      <c r="X831" s="203"/>
      <c r="Y831" s="203"/>
      <c r="Z831" s="203"/>
    </row>
    <row r="832" spans="1:26" ht="25.5" customHeight="1">
      <c r="A832" s="203"/>
      <c r="B832" s="203"/>
      <c r="C832" s="203"/>
      <c r="D832" s="203"/>
      <c r="E832" s="203"/>
      <c r="F832" s="203"/>
      <c r="G832" s="203"/>
      <c r="H832" s="203"/>
      <c r="I832" s="203"/>
      <c r="J832" s="203"/>
      <c r="K832" s="203"/>
      <c r="L832" s="203"/>
      <c r="M832" s="203"/>
      <c r="N832" s="203"/>
      <c r="O832" s="203"/>
      <c r="P832" s="211"/>
      <c r="Q832" s="212"/>
      <c r="R832" s="212"/>
      <c r="S832" s="212"/>
      <c r="T832" s="212"/>
      <c r="U832" s="212"/>
      <c r="V832" s="212"/>
      <c r="W832" s="213"/>
      <c r="X832" s="203"/>
      <c r="Y832" s="203"/>
      <c r="Z832" s="203"/>
    </row>
    <row r="833" spans="1:26" ht="25.5" customHeight="1">
      <c r="A833" s="203"/>
      <c r="B833" s="203"/>
      <c r="C833" s="203"/>
      <c r="D833" s="203"/>
      <c r="E833" s="203"/>
      <c r="F833" s="203"/>
      <c r="G833" s="203"/>
      <c r="H833" s="203"/>
      <c r="I833" s="203"/>
      <c r="J833" s="203"/>
      <c r="K833" s="203"/>
      <c r="L833" s="203"/>
      <c r="M833" s="203"/>
      <c r="N833" s="203"/>
      <c r="O833" s="203"/>
      <c r="P833" s="211"/>
      <c r="Q833" s="212"/>
      <c r="R833" s="212"/>
      <c r="S833" s="212"/>
      <c r="T833" s="212"/>
      <c r="U833" s="212"/>
      <c r="V833" s="212"/>
      <c r="W833" s="213"/>
      <c r="X833" s="203"/>
      <c r="Y833" s="203"/>
      <c r="Z833" s="203"/>
    </row>
    <row r="834" spans="1:26" ht="25.5" customHeight="1">
      <c r="A834" s="203"/>
      <c r="B834" s="203"/>
      <c r="C834" s="203"/>
      <c r="D834" s="203"/>
      <c r="E834" s="203"/>
      <c r="F834" s="203"/>
      <c r="G834" s="203"/>
      <c r="H834" s="203"/>
      <c r="I834" s="203"/>
      <c r="J834" s="203"/>
      <c r="K834" s="203"/>
      <c r="L834" s="203"/>
      <c r="M834" s="203"/>
      <c r="N834" s="203"/>
      <c r="O834" s="203"/>
      <c r="P834" s="211"/>
      <c r="Q834" s="212"/>
      <c r="R834" s="212"/>
      <c r="S834" s="212"/>
      <c r="T834" s="212"/>
      <c r="U834" s="212"/>
      <c r="V834" s="212"/>
      <c r="W834" s="213"/>
      <c r="X834" s="203"/>
      <c r="Y834" s="203"/>
      <c r="Z834" s="203"/>
    </row>
    <row r="835" spans="1:26" ht="25.5" customHeight="1">
      <c r="A835" s="203"/>
      <c r="B835" s="203"/>
      <c r="C835" s="203"/>
      <c r="D835" s="203"/>
      <c r="E835" s="203"/>
      <c r="F835" s="203"/>
      <c r="G835" s="203"/>
      <c r="H835" s="203"/>
      <c r="I835" s="203"/>
      <c r="J835" s="203"/>
      <c r="K835" s="203"/>
      <c r="L835" s="203"/>
      <c r="M835" s="203"/>
      <c r="N835" s="203"/>
      <c r="O835" s="203"/>
      <c r="P835" s="211"/>
      <c r="Q835" s="212"/>
      <c r="R835" s="212"/>
      <c r="S835" s="212"/>
      <c r="T835" s="212"/>
      <c r="U835" s="212"/>
      <c r="V835" s="212"/>
      <c r="W835" s="213"/>
      <c r="X835" s="203"/>
      <c r="Y835" s="203"/>
      <c r="Z835" s="203"/>
    </row>
    <row r="836" spans="1:26" ht="25.5" customHeight="1">
      <c r="A836" s="203"/>
      <c r="B836" s="203"/>
      <c r="C836" s="203"/>
      <c r="D836" s="203"/>
      <c r="E836" s="203"/>
      <c r="F836" s="203"/>
      <c r="G836" s="203"/>
      <c r="H836" s="203"/>
      <c r="I836" s="203"/>
      <c r="J836" s="203"/>
      <c r="K836" s="203"/>
      <c r="L836" s="203"/>
      <c r="M836" s="203"/>
      <c r="N836" s="203"/>
      <c r="O836" s="203"/>
      <c r="P836" s="211"/>
      <c r="Q836" s="212"/>
      <c r="R836" s="212"/>
      <c r="S836" s="212"/>
      <c r="T836" s="212"/>
      <c r="U836" s="212"/>
      <c r="V836" s="212"/>
      <c r="W836" s="213"/>
      <c r="X836" s="203"/>
      <c r="Y836" s="203"/>
      <c r="Z836" s="203"/>
    </row>
    <row r="837" spans="1:26" ht="25.5" customHeight="1">
      <c r="A837" s="203"/>
      <c r="B837" s="203"/>
      <c r="C837" s="203"/>
      <c r="D837" s="203"/>
      <c r="E837" s="203"/>
      <c r="F837" s="203"/>
      <c r="G837" s="203"/>
      <c r="H837" s="203"/>
      <c r="I837" s="203"/>
      <c r="J837" s="203"/>
      <c r="K837" s="203"/>
      <c r="L837" s="203"/>
      <c r="M837" s="203"/>
      <c r="N837" s="203"/>
      <c r="O837" s="203"/>
      <c r="P837" s="211"/>
      <c r="Q837" s="212"/>
      <c r="R837" s="212"/>
      <c r="S837" s="212"/>
      <c r="T837" s="212"/>
      <c r="U837" s="212"/>
      <c r="V837" s="212"/>
      <c r="W837" s="213"/>
      <c r="X837" s="203"/>
      <c r="Y837" s="203"/>
      <c r="Z837" s="203"/>
    </row>
    <row r="838" spans="1:26" ht="25.5" customHeight="1">
      <c r="A838" s="203"/>
      <c r="B838" s="203"/>
      <c r="C838" s="203"/>
      <c r="D838" s="203"/>
      <c r="E838" s="203"/>
      <c r="F838" s="203"/>
      <c r="G838" s="203"/>
      <c r="H838" s="203"/>
      <c r="I838" s="203"/>
      <c r="J838" s="203"/>
      <c r="K838" s="203"/>
      <c r="L838" s="203"/>
      <c r="M838" s="203"/>
      <c r="N838" s="203"/>
      <c r="O838" s="203"/>
      <c r="P838" s="211"/>
      <c r="Q838" s="212"/>
      <c r="R838" s="212"/>
      <c r="S838" s="212"/>
      <c r="T838" s="212"/>
      <c r="U838" s="212"/>
      <c r="V838" s="212"/>
      <c r="W838" s="213"/>
      <c r="X838" s="203"/>
      <c r="Y838" s="203"/>
      <c r="Z838" s="203"/>
    </row>
    <row r="839" spans="1:26" ht="25.5" customHeight="1">
      <c r="A839" s="203"/>
      <c r="B839" s="203"/>
      <c r="C839" s="203"/>
      <c r="D839" s="203"/>
      <c r="E839" s="203"/>
      <c r="F839" s="203"/>
      <c r="G839" s="203"/>
      <c r="H839" s="203"/>
      <c r="I839" s="203"/>
      <c r="J839" s="203"/>
      <c r="K839" s="203"/>
      <c r="L839" s="203"/>
      <c r="M839" s="203"/>
      <c r="N839" s="203"/>
      <c r="O839" s="203"/>
      <c r="P839" s="211"/>
      <c r="Q839" s="212"/>
      <c r="R839" s="212"/>
      <c r="S839" s="212"/>
      <c r="T839" s="212"/>
      <c r="U839" s="212"/>
      <c r="V839" s="212"/>
      <c r="W839" s="213"/>
      <c r="X839" s="203"/>
      <c r="Y839" s="203"/>
      <c r="Z839" s="203"/>
    </row>
    <row r="840" spans="1:26" ht="25.5" customHeight="1">
      <c r="A840" s="203"/>
      <c r="B840" s="203"/>
      <c r="C840" s="203"/>
      <c r="D840" s="203"/>
      <c r="E840" s="203"/>
      <c r="F840" s="203"/>
      <c r="G840" s="203"/>
      <c r="H840" s="203"/>
      <c r="I840" s="203"/>
      <c r="J840" s="203"/>
      <c r="K840" s="203"/>
      <c r="L840" s="203"/>
      <c r="M840" s="203"/>
      <c r="N840" s="203"/>
      <c r="O840" s="203"/>
      <c r="P840" s="211"/>
      <c r="Q840" s="212"/>
      <c r="R840" s="212"/>
      <c r="S840" s="212"/>
      <c r="T840" s="212"/>
      <c r="U840" s="212"/>
      <c r="V840" s="212"/>
      <c r="W840" s="213"/>
      <c r="X840" s="203"/>
      <c r="Y840" s="203"/>
      <c r="Z840" s="203"/>
    </row>
    <row r="841" spans="1:26" ht="25.5" customHeight="1">
      <c r="A841" s="203"/>
      <c r="B841" s="203"/>
      <c r="C841" s="203"/>
      <c r="D841" s="203"/>
      <c r="E841" s="203"/>
      <c r="F841" s="203"/>
      <c r="G841" s="203"/>
      <c r="H841" s="203"/>
      <c r="I841" s="203"/>
      <c r="J841" s="203"/>
      <c r="K841" s="203"/>
      <c r="L841" s="203"/>
      <c r="M841" s="203"/>
      <c r="N841" s="203"/>
      <c r="O841" s="203"/>
      <c r="P841" s="211"/>
      <c r="Q841" s="212"/>
      <c r="R841" s="212"/>
      <c r="S841" s="212"/>
      <c r="T841" s="212"/>
      <c r="U841" s="212"/>
      <c r="V841" s="212"/>
      <c r="W841" s="213"/>
      <c r="X841" s="203"/>
      <c r="Y841" s="203"/>
      <c r="Z841" s="203"/>
    </row>
    <row r="842" spans="1:26" ht="25.5" customHeight="1">
      <c r="A842" s="203"/>
      <c r="B842" s="203"/>
      <c r="C842" s="203"/>
      <c r="D842" s="203"/>
      <c r="E842" s="203"/>
      <c r="F842" s="203"/>
      <c r="G842" s="203"/>
      <c r="H842" s="203"/>
      <c r="I842" s="203"/>
      <c r="J842" s="203"/>
      <c r="K842" s="203"/>
      <c r="L842" s="203"/>
      <c r="M842" s="203"/>
      <c r="N842" s="203"/>
      <c r="O842" s="203"/>
      <c r="P842" s="211"/>
      <c r="Q842" s="212"/>
      <c r="R842" s="212"/>
      <c r="S842" s="212"/>
      <c r="T842" s="212"/>
      <c r="U842" s="212"/>
      <c r="V842" s="212"/>
      <c r="W842" s="213"/>
      <c r="X842" s="203"/>
      <c r="Y842" s="203"/>
      <c r="Z842" s="203"/>
    </row>
    <row r="843" spans="1:26" ht="25.5" customHeight="1">
      <c r="A843" s="203"/>
      <c r="B843" s="203"/>
      <c r="C843" s="203"/>
      <c r="D843" s="203"/>
      <c r="E843" s="203"/>
      <c r="F843" s="203"/>
      <c r="G843" s="203"/>
      <c r="H843" s="203"/>
      <c r="I843" s="203"/>
      <c r="J843" s="203"/>
      <c r="K843" s="203"/>
      <c r="L843" s="203"/>
      <c r="M843" s="203"/>
      <c r="N843" s="203"/>
      <c r="O843" s="203"/>
      <c r="P843" s="211"/>
      <c r="Q843" s="212"/>
      <c r="R843" s="212"/>
      <c r="S843" s="212"/>
      <c r="T843" s="212"/>
      <c r="U843" s="212"/>
      <c r="V843" s="212"/>
      <c r="W843" s="213"/>
      <c r="X843" s="203"/>
      <c r="Y843" s="203"/>
      <c r="Z843" s="203"/>
    </row>
    <row r="844" spans="1:26" ht="25.5" customHeight="1">
      <c r="A844" s="203"/>
      <c r="B844" s="203"/>
      <c r="C844" s="203"/>
      <c r="D844" s="203"/>
      <c r="E844" s="203"/>
      <c r="F844" s="203"/>
      <c r="G844" s="203"/>
      <c r="H844" s="203"/>
      <c r="I844" s="203"/>
      <c r="J844" s="203"/>
      <c r="K844" s="203"/>
      <c r="L844" s="203"/>
      <c r="M844" s="203"/>
      <c r="N844" s="203"/>
      <c r="O844" s="203"/>
      <c r="P844" s="211"/>
      <c r="Q844" s="212"/>
      <c r="R844" s="212"/>
      <c r="S844" s="212"/>
      <c r="T844" s="212"/>
      <c r="U844" s="212"/>
      <c r="V844" s="212"/>
      <c r="W844" s="213"/>
      <c r="X844" s="203"/>
      <c r="Y844" s="203"/>
      <c r="Z844" s="203"/>
    </row>
    <row r="845" spans="1:26" ht="25.5" customHeight="1">
      <c r="A845" s="203"/>
      <c r="B845" s="203"/>
      <c r="C845" s="203"/>
      <c r="D845" s="203"/>
      <c r="E845" s="203"/>
      <c r="F845" s="203"/>
      <c r="G845" s="203"/>
      <c r="H845" s="203"/>
      <c r="I845" s="203"/>
      <c r="J845" s="203"/>
      <c r="K845" s="203"/>
      <c r="L845" s="203"/>
      <c r="M845" s="203"/>
      <c r="N845" s="203"/>
      <c r="O845" s="203"/>
      <c r="P845" s="211"/>
      <c r="Q845" s="212"/>
      <c r="R845" s="212"/>
      <c r="S845" s="212"/>
      <c r="T845" s="212"/>
      <c r="U845" s="212"/>
      <c r="V845" s="212"/>
      <c r="W845" s="213"/>
      <c r="X845" s="203"/>
      <c r="Y845" s="203"/>
      <c r="Z845" s="203"/>
    </row>
    <row r="846" spans="1:26" ht="25.5" customHeight="1">
      <c r="A846" s="203"/>
      <c r="B846" s="203"/>
      <c r="C846" s="203"/>
      <c r="D846" s="203"/>
      <c r="E846" s="203"/>
      <c r="F846" s="203"/>
      <c r="G846" s="203"/>
      <c r="H846" s="203"/>
      <c r="I846" s="203"/>
      <c r="J846" s="203"/>
      <c r="K846" s="203"/>
      <c r="L846" s="203"/>
      <c r="M846" s="203"/>
      <c r="N846" s="203"/>
      <c r="O846" s="203"/>
      <c r="P846" s="211"/>
      <c r="Q846" s="212"/>
      <c r="R846" s="212"/>
      <c r="S846" s="212"/>
      <c r="T846" s="212"/>
      <c r="U846" s="212"/>
      <c r="V846" s="212"/>
      <c r="W846" s="213"/>
      <c r="X846" s="203"/>
      <c r="Y846" s="203"/>
      <c r="Z846" s="203"/>
    </row>
    <row r="847" spans="1:26" ht="25.5" customHeight="1">
      <c r="A847" s="203"/>
      <c r="B847" s="203"/>
      <c r="C847" s="203"/>
      <c r="D847" s="203"/>
      <c r="E847" s="203"/>
      <c r="F847" s="203"/>
      <c r="G847" s="203"/>
      <c r="H847" s="203"/>
      <c r="I847" s="203"/>
      <c r="J847" s="203"/>
      <c r="K847" s="203"/>
      <c r="L847" s="203"/>
      <c r="M847" s="203"/>
      <c r="N847" s="203"/>
      <c r="O847" s="203"/>
      <c r="P847" s="211"/>
      <c r="Q847" s="212"/>
      <c r="R847" s="212"/>
      <c r="S847" s="212"/>
      <c r="T847" s="212"/>
      <c r="U847" s="212"/>
      <c r="V847" s="212"/>
      <c r="W847" s="213"/>
      <c r="X847" s="203"/>
      <c r="Y847" s="203"/>
      <c r="Z847" s="203"/>
    </row>
    <row r="848" spans="1:26" ht="25.5" customHeight="1">
      <c r="A848" s="203"/>
      <c r="B848" s="203"/>
      <c r="C848" s="203"/>
      <c r="D848" s="203"/>
      <c r="E848" s="203"/>
      <c r="F848" s="203"/>
      <c r="G848" s="203"/>
      <c r="H848" s="203"/>
      <c r="I848" s="203"/>
      <c r="J848" s="203"/>
      <c r="K848" s="203"/>
      <c r="L848" s="203"/>
      <c r="M848" s="203"/>
      <c r="N848" s="203"/>
      <c r="O848" s="203"/>
      <c r="P848" s="211"/>
      <c r="Q848" s="212"/>
      <c r="R848" s="212"/>
      <c r="S848" s="212"/>
      <c r="T848" s="212"/>
      <c r="U848" s="212"/>
      <c r="V848" s="212"/>
      <c r="W848" s="213"/>
      <c r="X848" s="203"/>
      <c r="Y848" s="203"/>
      <c r="Z848" s="203"/>
    </row>
    <row r="849" spans="1:26" ht="25.5" customHeight="1">
      <c r="A849" s="203"/>
      <c r="B849" s="203"/>
      <c r="C849" s="203"/>
      <c r="D849" s="203"/>
      <c r="E849" s="203"/>
      <c r="F849" s="203"/>
      <c r="G849" s="203"/>
      <c r="H849" s="203"/>
      <c r="I849" s="203"/>
      <c r="J849" s="203"/>
      <c r="K849" s="203"/>
      <c r="L849" s="203"/>
      <c r="M849" s="203"/>
      <c r="N849" s="203"/>
      <c r="O849" s="203"/>
      <c r="P849" s="211"/>
      <c r="Q849" s="212"/>
      <c r="R849" s="212"/>
      <c r="S849" s="212"/>
      <c r="T849" s="212"/>
      <c r="U849" s="212"/>
      <c r="V849" s="212"/>
      <c r="W849" s="213"/>
      <c r="X849" s="203"/>
      <c r="Y849" s="203"/>
      <c r="Z849" s="203"/>
    </row>
    <row r="850" spans="1:26" ht="25.5" customHeight="1">
      <c r="A850" s="203"/>
      <c r="B850" s="203"/>
      <c r="C850" s="203"/>
      <c r="D850" s="203"/>
      <c r="E850" s="203"/>
      <c r="F850" s="203"/>
      <c r="G850" s="203"/>
      <c r="H850" s="203"/>
      <c r="I850" s="203"/>
      <c r="J850" s="203"/>
      <c r="K850" s="203"/>
      <c r="L850" s="203"/>
      <c r="M850" s="203"/>
      <c r="N850" s="203"/>
      <c r="O850" s="203"/>
      <c r="P850" s="211"/>
      <c r="Q850" s="212"/>
      <c r="R850" s="212"/>
      <c r="S850" s="212"/>
      <c r="T850" s="212"/>
      <c r="U850" s="212"/>
      <c r="V850" s="212"/>
      <c r="W850" s="213"/>
      <c r="X850" s="203"/>
      <c r="Y850" s="203"/>
      <c r="Z850" s="203"/>
    </row>
    <row r="851" spans="1:26" ht="25.5" customHeight="1">
      <c r="A851" s="203"/>
      <c r="B851" s="203"/>
      <c r="C851" s="203"/>
      <c r="D851" s="203"/>
      <c r="E851" s="203"/>
      <c r="F851" s="203"/>
      <c r="G851" s="203"/>
      <c r="H851" s="203"/>
      <c r="I851" s="203"/>
      <c r="J851" s="203"/>
      <c r="K851" s="203"/>
      <c r="L851" s="203"/>
      <c r="M851" s="203"/>
      <c r="N851" s="203"/>
      <c r="O851" s="203"/>
      <c r="P851" s="211"/>
      <c r="Q851" s="212"/>
      <c r="R851" s="212"/>
      <c r="S851" s="212"/>
      <c r="T851" s="212"/>
      <c r="U851" s="212"/>
      <c r="V851" s="212"/>
      <c r="W851" s="213"/>
      <c r="X851" s="203"/>
      <c r="Y851" s="203"/>
      <c r="Z851" s="203"/>
    </row>
    <row r="852" spans="1:26" ht="25.5" customHeight="1">
      <c r="A852" s="203"/>
      <c r="B852" s="203"/>
      <c r="C852" s="203"/>
      <c r="D852" s="203"/>
      <c r="E852" s="203"/>
      <c r="F852" s="203"/>
      <c r="G852" s="203"/>
      <c r="H852" s="203"/>
      <c r="I852" s="203"/>
      <c r="J852" s="203"/>
      <c r="K852" s="203"/>
      <c r="L852" s="203"/>
      <c r="M852" s="203"/>
      <c r="N852" s="203"/>
      <c r="O852" s="203"/>
      <c r="P852" s="211"/>
      <c r="Q852" s="212"/>
      <c r="R852" s="212"/>
      <c r="S852" s="212"/>
      <c r="T852" s="212"/>
      <c r="U852" s="212"/>
      <c r="V852" s="212"/>
      <c r="W852" s="213"/>
      <c r="X852" s="203"/>
      <c r="Y852" s="203"/>
      <c r="Z852" s="203"/>
    </row>
    <row r="853" spans="1:26" ht="25.5" customHeight="1">
      <c r="A853" s="203"/>
      <c r="B853" s="203"/>
      <c r="C853" s="203"/>
      <c r="D853" s="203"/>
      <c r="E853" s="203"/>
      <c r="F853" s="203"/>
      <c r="G853" s="203"/>
      <c r="H853" s="203"/>
      <c r="I853" s="203"/>
      <c r="J853" s="203"/>
      <c r="K853" s="203"/>
      <c r="L853" s="203"/>
      <c r="M853" s="203"/>
      <c r="N853" s="203"/>
      <c r="O853" s="203"/>
      <c r="P853" s="211"/>
      <c r="Q853" s="212"/>
      <c r="R853" s="212"/>
      <c r="S853" s="212"/>
      <c r="T853" s="212"/>
      <c r="U853" s="212"/>
      <c r="V853" s="212"/>
      <c r="W853" s="213"/>
      <c r="X853" s="203"/>
      <c r="Y853" s="203"/>
      <c r="Z853" s="203"/>
    </row>
    <row r="854" spans="1:26" ht="25.5" customHeight="1">
      <c r="A854" s="203"/>
      <c r="B854" s="203"/>
      <c r="C854" s="203"/>
      <c r="D854" s="203"/>
      <c r="E854" s="203"/>
      <c r="F854" s="203"/>
      <c r="G854" s="203"/>
      <c r="H854" s="203"/>
      <c r="I854" s="203"/>
      <c r="J854" s="203"/>
      <c r="K854" s="203"/>
      <c r="L854" s="203"/>
      <c r="M854" s="203"/>
      <c r="N854" s="203"/>
      <c r="O854" s="203"/>
      <c r="P854" s="211"/>
      <c r="Q854" s="212"/>
      <c r="R854" s="212"/>
      <c r="S854" s="212"/>
      <c r="T854" s="212"/>
      <c r="U854" s="212"/>
      <c r="V854" s="212"/>
      <c r="W854" s="213"/>
      <c r="X854" s="203"/>
      <c r="Y854" s="203"/>
      <c r="Z854" s="203"/>
    </row>
    <row r="855" spans="1:26" ht="25.5" customHeight="1">
      <c r="A855" s="203"/>
      <c r="B855" s="203"/>
      <c r="C855" s="203"/>
      <c r="D855" s="203"/>
      <c r="E855" s="203"/>
      <c r="F855" s="203"/>
      <c r="G855" s="203"/>
      <c r="H855" s="203"/>
      <c r="I855" s="203"/>
      <c r="J855" s="203"/>
      <c r="K855" s="203"/>
      <c r="L855" s="203"/>
      <c r="M855" s="203"/>
      <c r="N855" s="203"/>
      <c r="O855" s="203"/>
      <c r="P855" s="211"/>
      <c r="Q855" s="212"/>
      <c r="R855" s="212"/>
      <c r="S855" s="212"/>
      <c r="T855" s="212"/>
      <c r="U855" s="212"/>
      <c r="V855" s="212"/>
      <c r="W855" s="213"/>
      <c r="X855" s="203"/>
      <c r="Y855" s="203"/>
      <c r="Z855" s="203"/>
    </row>
    <row r="856" spans="1:26" ht="25.5" customHeight="1">
      <c r="A856" s="203"/>
      <c r="B856" s="203"/>
      <c r="C856" s="203"/>
      <c r="D856" s="203"/>
      <c r="E856" s="203"/>
      <c r="F856" s="203"/>
      <c r="G856" s="203"/>
      <c r="H856" s="203"/>
      <c r="I856" s="203"/>
      <c r="J856" s="203"/>
      <c r="K856" s="203"/>
      <c r="L856" s="203"/>
      <c r="M856" s="203"/>
      <c r="N856" s="203"/>
      <c r="O856" s="203"/>
      <c r="P856" s="211"/>
      <c r="Q856" s="212"/>
      <c r="R856" s="212"/>
      <c r="S856" s="212"/>
      <c r="T856" s="212"/>
      <c r="U856" s="212"/>
      <c r="V856" s="212"/>
      <c r="W856" s="213"/>
      <c r="X856" s="203"/>
      <c r="Y856" s="203"/>
      <c r="Z856" s="203"/>
    </row>
    <row r="857" spans="1:26" ht="25.5" customHeight="1">
      <c r="A857" s="203"/>
      <c r="B857" s="203"/>
      <c r="C857" s="203"/>
      <c r="D857" s="203"/>
      <c r="E857" s="203"/>
      <c r="F857" s="203"/>
      <c r="G857" s="203"/>
      <c r="H857" s="203"/>
      <c r="I857" s="203"/>
      <c r="J857" s="203"/>
      <c r="K857" s="203"/>
      <c r="L857" s="203"/>
      <c r="M857" s="203"/>
      <c r="N857" s="203"/>
      <c r="O857" s="203"/>
      <c r="P857" s="211"/>
      <c r="Q857" s="212"/>
      <c r="R857" s="212"/>
      <c r="S857" s="212"/>
      <c r="T857" s="212"/>
      <c r="U857" s="212"/>
      <c r="V857" s="212"/>
      <c r="W857" s="213"/>
      <c r="X857" s="203"/>
      <c r="Y857" s="203"/>
      <c r="Z857" s="203"/>
    </row>
    <row r="858" spans="1:26" ht="25.5" customHeight="1">
      <c r="A858" s="203"/>
      <c r="B858" s="203"/>
      <c r="C858" s="203"/>
      <c r="D858" s="203"/>
      <c r="E858" s="203"/>
      <c r="F858" s="203"/>
      <c r="G858" s="203"/>
      <c r="H858" s="203"/>
      <c r="I858" s="203"/>
      <c r="J858" s="203"/>
      <c r="K858" s="203"/>
      <c r="L858" s="203"/>
      <c r="M858" s="203"/>
      <c r="N858" s="203"/>
      <c r="O858" s="203"/>
      <c r="P858" s="211"/>
      <c r="Q858" s="212"/>
      <c r="R858" s="212"/>
      <c r="S858" s="212"/>
      <c r="T858" s="212"/>
      <c r="U858" s="212"/>
      <c r="V858" s="212"/>
      <c r="W858" s="213"/>
      <c r="X858" s="203"/>
      <c r="Y858" s="203"/>
      <c r="Z858" s="203"/>
    </row>
    <row r="859" spans="1:26" ht="25.5" customHeight="1">
      <c r="A859" s="203"/>
      <c r="B859" s="203"/>
      <c r="C859" s="203"/>
      <c r="D859" s="203"/>
      <c r="E859" s="203"/>
      <c r="F859" s="203"/>
      <c r="G859" s="203"/>
      <c r="H859" s="203"/>
      <c r="I859" s="203"/>
      <c r="J859" s="203"/>
      <c r="K859" s="203"/>
      <c r="L859" s="203"/>
      <c r="M859" s="203"/>
      <c r="N859" s="203"/>
      <c r="O859" s="203"/>
      <c r="P859" s="211"/>
      <c r="Q859" s="212"/>
      <c r="R859" s="212"/>
      <c r="S859" s="212"/>
      <c r="T859" s="212"/>
      <c r="U859" s="212"/>
      <c r="V859" s="212"/>
      <c r="W859" s="213"/>
      <c r="X859" s="203"/>
      <c r="Y859" s="203"/>
      <c r="Z859" s="203"/>
    </row>
    <row r="860" spans="1:26" ht="25.5" customHeight="1">
      <c r="A860" s="203"/>
      <c r="B860" s="203"/>
      <c r="C860" s="203"/>
      <c r="D860" s="203"/>
      <c r="E860" s="203"/>
      <c r="F860" s="203"/>
      <c r="G860" s="203"/>
      <c r="H860" s="203"/>
      <c r="I860" s="203"/>
      <c r="J860" s="203"/>
      <c r="K860" s="203"/>
      <c r="L860" s="203"/>
      <c r="M860" s="203"/>
      <c r="N860" s="203"/>
      <c r="O860" s="203"/>
      <c r="P860" s="211"/>
      <c r="Q860" s="212"/>
      <c r="R860" s="212"/>
      <c r="S860" s="212"/>
      <c r="T860" s="212"/>
      <c r="U860" s="212"/>
      <c r="V860" s="212"/>
      <c r="W860" s="213"/>
      <c r="X860" s="203"/>
      <c r="Y860" s="203"/>
      <c r="Z860" s="203"/>
    </row>
    <row r="861" spans="1:26" ht="25.5" customHeight="1">
      <c r="A861" s="203"/>
      <c r="B861" s="203"/>
      <c r="C861" s="203"/>
      <c r="D861" s="203"/>
      <c r="E861" s="203"/>
      <c r="F861" s="203"/>
      <c r="G861" s="203"/>
      <c r="H861" s="203"/>
      <c r="I861" s="203"/>
      <c r="J861" s="203"/>
      <c r="K861" s="203"/>
      <c r="L861" s="203"/>
      <c r="M861" s="203"/>
      <c r="N861" s="203"/>
      <c r="O861" s="203"/>
      <c r="P861" s="211"/>
      <c r="Q861" s="212"/>
      <c r="R861" s="212"/>
      <c r="S861" s="212"/>
      <c r="T861" s="212"/>
      <c r="U861" s="212"/>
      <c r="V861" s="212"/>
      <c r="W861" s="213"/>
      <c r="X861" s="203"/>
      <c r="Y861" s="203"/>
      <c r="Z861" s="203"/>
    </row>
    <row r="862" spans="1:26" ht="25.5" customHeight="1">
      <c r="A862" s="203"/>
      <c r="B862" s="203"/>
      <c r="C862" s="203"/>
      <c r="D862" s="203"/>
      <c r="E862" s="203"/>
      <c r="F862" s="203"/>
      <c r="G862" s="203"/>
      <c r="H862" s="203"/>
      <c r="I862" s="203"/>
      <c r="J862" s="203"/>
      <c r="K862" s="203"/>
      <c r="L862" s="203"/>
      <c r="M862" s="203"/>
      <c r="N862" s="203"/>
      <c r="O862" s="203"/>
      <c r="P862" s="211"/>
      <c r="Q862" s="212"/>
      <c r="R862" s="212"/>
      <c r="S862" s="212"/>
      <c r="T862" s="212"/>
      <c r="U862" s="212"/>
      <c r="V862" s="212"/>
      <c r="W862" s="213"/>
      <c r="X862" s="203"/>
      <c r="Y862" s="203"/>
      <c r="Z862" s="203"/>
    </row>
    <row r="863" spans="1:26" ht="25.5" customHeight="1">
      <c r="A863" s="203"/>
      <c r="B863" s="203"/>
      <c r="C863" s="203"/>
      <c r="D863" s="203"/>
      <c r="E863" s="203"/>
      <c r="F863" s="203"/>
      <c r="G863" s="203"/>
      <c r="H863" s="203"/>
      <c r="I863" s="203"/>
      <c r="J863" s="203"/>
      <c r="K863" s="203"/>
      <c r="L863" s="203"/>
      <c r="M863" s="203"/>
      <c r="N863" s="203"/>
      <c r="O863" s="203"/>
      <c r="P863" s="211"/>
      <c r="Q863" s="212"/>
      <c r="R863" s="212"/>
      <c r="S863" s="212"/>
      <c r="T863" s="212"/>
      <c r="U863" s="212"/>
      <c r="V863" s="212"/>
      <c r="W863" s="213"/>
      <c r="X863" s="203"/>
      <c r="Y863" s="203"/>
      <c r="Z863" s="203"/>
    </row>
    <row r="864" spans="1:26" ht="25.5" customHeight="1">
      <c r="A864" s="203"/>
      <c r="B864" s="203"/>
      <c r="C864" s="203"/>
      <c r="D864" s="203"/>
      <c r="E864" s="203"/>
      <c r="F864" s="203"/>
      <c r="G864" s="203"/>
      <c r="H864" s="203"/>
      <c r="I864" s="203"/>
      <c r="J864" s="203"/>
      <c r="K864" s="203"/>
      <c r="L864" s="203"/>
      <c r="M864" s="203"/>
      <c r="N864" s="203"/>
      <c r="O864" s="203"/>
      <c r="P864" s="211"/>
      <c r="Q864" s="212"/>
      <c r="R864" s="212"/>
      <c r="S864" s="212"/>
      <c r="T864" s="212"/>
      <c r="U864" s="212"/>
      <c r="V864" s="212"/>
      <c r="W864" s="213"/>
      <c r="X864" s="203"/>
      <c r="Y864" s="203"/>
      <c r="Z864" s="203"/>
    </row>
    <row r="865" spans="1:26" ht="25.5" customHeight="1">
      <c r="A865" s="203"/>
      <c r="B865" s="203"/>
      <c r="C865" s="203"/>
      <c r="D865" s="203"/>
      <c r="E865" s="203"/>
      <c r="F865" s="203"/>
      <c r="G865" s="203"/>
      <c r="H865" s="203"/>
      <c r="I865" s="203"/>
      <c r="J865" s="203"/>
      <c r="K865" s="203"/>
      <c r="L865" s="203"/>
      <c r="M865" s="203"/>
      <c r="N865" s="203"/>
      <c r="O865" s="203"/>
      <c r="P865" s="211"/>
      <c r="Q865" s="212"/>
      <c r="R865" s="212"/>
      <c r="S865" s="212"/>
      <c r="T865" s="212"/>
      <c r="U865" s="212"/>
      <c r="V865" s="212"/>
      <c r="W865" s="213"/>
      <c r="X865" s="203"/>
      <c r="Y865" s="203"/>
      <c r="Z865" s="203"/>
    </row>
    <row r="866" spans="1:26" ht="25.5" customHeight="1">
      <c r="A866" s="203"/>
      <c r="B866" s="203"/>
      <c r="C866" s="203"/>
      <c r="D866" s="203"/>
      <c r="E866" s="203"/>
      <c r="F866" s="203"/>
      <c r="G866" s="203"/>
      <c r="H866" s="203"/>
      <c r="I866" s="203"/>
      <c r="J866" s="203"/>
      <c r="K866" s="203"/>
      <c r="L866" s="203"/>
      <c r="M866" s="203"/>
      <c r="N866" s="203"/>
      <c r="O866" s="203"/>
      <c r="P866" s="211"/>
      <c r="Q866" s="212"/>
      <c r="R866" s="212"/>
      <c r="S866" s="212"/>
      <c r="T866" s="212"/>
      <c r="U866" s="212"/>
      <c r="V866" s="212"/>
      <c r="W866" s="213"/>
      <c r="X866" s="203"/>
      <c r="Y866" s="203"/>
      <c r="Z866" s="203"/>
    </row>
    <row r="867" spans="1:26" ht="25.5" customHeight="1">
      <c r="A867" s="203"/>
      <c r="B867" s="203"/>
      <c r="C867" s="203"/>
      <c r="D867" s="203"/>
      <c r="E867" s="203"/>
      <c r="F867" s="203"/>
      <c r="G867" s="203"/>
      <c r="H867" s="203"/>
      <c r="I867" s="203"/>
      <c r="J867" s="203"/>
      <c r="K867" s="203"/>
      <c r="L867" s="203"/>
      <c r="M867" s="203"/>
      <c r="N867" s="203"/>
      <c r="O867" s="203"/>
      <c r="P867" s="211"/>
      <c r="Q867" s="212"/>
      <c r="R867" s="212"/>
      <c r="S867" s="212"/>
      <c r="T867" s="212"/>
      <c r="U867" s="212"/>
      <c r="V867" s="212"/>
      <c r="W867" s="213"/>
      <c r="X867" s="203"/>
      <c r="Y867" s="203"/>
      <c r="Z867" s="203"/>
    </row>
    <row r="868" spans="1:26" ht="25.5" customHeight="1">
      <c r="A868" s="203"/>
      <c r="B868" s="203"/>
      <c r="C868" s="203"/>
      <c r="D868" s="203"/>
      <c r="E868" s="203"/>
      <c r="F868" s="203"/>
      <c r="G868" s="203"/>
      <c r="H868" s="203"/>
      <c r="I868" s="203"/>
      <c r="J868" s="203"/>
      <c r="K868" s="203"/>
      <c r="L868" s="203"/>
      <c r="M868" s="203"/>
      <c r="N868" s="203"/>
      <c r="O868" s="203"/>
      <c r="P868" s="211"/>
      <c r="Q868" s="212"/>
      <c r="R868" s="212"/>
      <c r="S868" s="212"/>
      <c r="T868" s="212"/>
      <c r="U868" s="212"/>
      <c r="V868" s="212"/>
      <c r="W868" s="213"/>
      <c r="X868" s="203"/>
      <c r="Y868" s="203"/>
      <c r="Z868" s="203"/>
    </row>
    <row r="869" spans="1:26" ht="25.5" customHeight="1">
      <c r="A869" s="203"/>
      <c r="B869" s="203"/>
      <c r="C869" s="203"/>
      <c r="D869" s="203"/>
      <c r="E869" s="203"/>
      <c r="F869" s="203"/>
      <c r="G869" s="203"/>
      <c r="H869" s="203"/>
      <c r="I869" s="203"/>
      <c r="J869" s="203"/>
      <c r="K869" s="203"/>
      <c r="L869" s="203"/>
      <c r="M869" s="203"/>
      <c r="N869" s="203"/>
      <c r="O869" s="203"/>
      <c r="P869" s="211"/>
      <c r="Q869" s="212"/>
      <c r="R869" s="212"/>
      <c r="S869" s="212"/>
      <c r="T869" s="212"/>
      <c r="U869" s="212"/>
      <c r="V869" s="212"/>
      <c r="W869" s="213"/>
      <c r="X869" s="203"/>
      <c r="Y869" s="203"/>
      <c r="Z869" s="203"/>
    </row>
    <row r="870" spans="1:26" ht="25.5" customHeight="1">
      <c r="A870" s="203"/>
      <c r="B870" s="203"/>
      <c r="C870" s="203"/>
      <c r="D870" s="203"/>
      <c r="E870" s="203"/>
      <c r="F870" s="203"/>
      <c r="G870" s="203"/>
      <c r="H870" s="203"/>
      <c r="I870" s="203"/>
      <c r="J870" s="203"/>
      <c r="K870" s="203"/>
      <c r="L870" s="203"/>
      <c r="M870" s="203"/>
      <c r="N870" s="203"/>
      <c r="O870" s="203"/>
      <c r="P870" s="211"/>
      <c r="Q870" s="212"/>
      <c r="R870" s="212"/>
      <c r="S870" s="212"/>
      <c r="T870" s="212"/>
      <c r="U870" s="212"/>
      <c r="V870" s="212"/>
      <c r="W870" s="213"/>
      <c r="X870" s="203"/>
      <c r="Y870" s="203"/>
      <c r="Z870" s="203"/>
    </row>
    <row r="871" spans="1:26" ht="25.5" customHeight="1">
      <c r="A871" s="203"/>
      <c r="B871" s="203"/>
      <c r="C871" s="203"/>
      <c r="D871" s="203"/>
      <c r="E871" s="203"/>
      <c r="F871" s="203"/>
      <c r="G871" s="203"/>
      <c r="H871" s="203"/>
      <c r="I871" s="203"/>
      <c r="J871" s="203"/>
      <c r="K871" s="203"/>
      <c r="L871" s="203"/>
      <c r="M871" s="203"/>
      <c r="N871" s="203"/>
      <c r="O871" s="203"/>
      <c r="P871" s="211"/>
      <c r="Q871" s="212"/>
      <c r="R871" s="212"/>
      <c r="S871" s="212"/>
      <c r="T871" s="212"/>
      <c r="U871" s="212"/>
      <c r="V871" s="212"/>
      <c r="W871" s="213"/>
      <c r="X871" s="203"/>
      <c r="Y871" s="203"/>
      <c r="Z871" s="203"/>
    </row>
    <row r="872" spans="1:26" ht="25.5" customHeight="1">
      <c r="A872" s="203"/>
      <c r="B872" s="203"/>
      <c r="C872" s="203"/>
      <c r="D872" s="203"/>
      <c r="E872" s="203"/>
      <c r="F872" s="203"/>
      <c r="G872" s="203"/>
      <c r="H872" s="203"/>
      <c r="I872" s="203"/>
      <c r="J872" s="203"/>
      <c r="K872" s="203"/>
      <c r="L872" s="203"/>
      <c r="M872" s="203"/>
      <c r="N872" s="203"/>
      <c r="O872" s="203"/>
      <c r="P872" s="211"/>
      <c r="Q872" s="212"/>
      <c r="R872" s="212"/>
      <c r="S872" s="212"/>
      <c r="T872" s="212"/>
      <c r="U872" s="212"/>
      <c r="V872" s="212"/>
      <c r="W872" s="213"/>
      <c r="X872" s="203"/>
      <c r="Y872" s="203"/>
      <c r="Z872" s="203"/>
    </row>
    <row r="873" spans="1:26" ht="25.5" customHeight="1">
      <c r="A873" s="203"/>
      <c r="B873" s="203"/>
      <c r="C873" s="203"/>
      <c r="D873" s="203"/>
      <c r="E873" s="203"/>
      <c r="F873" s="203"/>
      <c r="G873" s="203"/>
      <c r="H873" s="203"/>
      <c r="I873" s="203"/>
      <c r="J873" s="203"/>
      <c r="K873" s="203"/>
      <c r="L873" s="203"/>
      <c r="M873" s="203"/>
      <c r="N873" s="203"/>
      <c r="O873" s="203"/>
      <c r="P873" s="211"/>
      <c r="Q873" s="212"/>
      <c r="R873" s="212"/>
      <c r="S873" s="212"/>
      <c r="T873" s="212"/>
      <c r="U873" s="212"/>
      <c r="V873" s="212"/>
      <c r="W873" s="213"/>
      <c r="X873" s="203"/>
      <c r="Y873" s="203"/>
      <c r="Z873" s="203"/>
    </row>
    <row r="874" spans="1:26" ht="25.5" customHeight="1">
      <c r="A874" s="203"/>
      <c r="B874" s="203"/>
      <c r="C874" s="203"/>
      <c r="D874" s="203"/>
      <c r="E874" s="203"/>
      <c r="F874" s="203"/>
      <c r="G874" s="203"/>
      <c r="H874" s="203"/>
      <c r="I874" s="203"/>
      <c r="J874" s="203"/>
      <c r="K874" s="203"/>
      <c r="L874" s="203"/>
      <c r="M874" s="203"/>
      <c r="N874" s="203"/>
      <c r="O874" s="203"/>
      <c r="P874" s="211"/>
      <c r="Q874" s="212"/>
      <c r="R874" s="212"/>
      <c r="S874" s="212"/>
      <c r="T874" s="212"/>
      <c r="U874" s="212"/>
      <c r="V874" s="212"/>
      <c r="W874" s="213"/>
      <c r="X874" s="203"/>
      <c r="Y874" s="203"/>
      <c r="Z874" s="203"/>
    </row>
    <row r="875" spans="1:26" ht="25.5" customHeight="1">
      <c r="A875" s="203"/>
      <c r="B875" s="203"/>
      <c r="C875" s="203"/>
      <c r="D875" s="203"/>
      <c r="E875" s="203"/>
      <c r="F875" s="203"/>
      <c r="G875" s="203"/>
      <c r="H875" s="203"/>
      <c r="I875" s="203"/>
      <c r="J875" s="203"/>
      <c r="K875" s="203"/>
      <c r="L875" s="203"/>
      <c r="M875" s="203"/>
      <c r="N875" s="203"/>
      <c r="O875" s="203"/>
      <c r="P875" s="211"/>
      <c r="Q875" s="212"/>
      <c r="R875" s="212"/>
      <c r="S875" s="212"/>
      <c r="T875" s="212"/>
      <c r="U875" s="212"/>
      <c r="V875" s="212"/>
      <c r="W875" s="213"/>
      <c r="X875" s="203"/>
      <c r="Y875" s="203"/>
      <c r="Z875" s="203"/>
    </row>
    <row r="876" spans="1:26" ht="25.5" customHeight="1">
      <c r="A876" s="203"/>
      <c r="B876" s="203"/>
      <c r="C876" s="203"/>
      <c r="D876" s="203"/>
      <c r="E876" s="203"/>
      <c r="F876" s="203"/>
      <c r="G876" s="203"/>
      <c r="H876" s="203"/>
      <c r="I876" s="203"/>
      <c r="J876" s="203"/>
      <c r="K876" s="203"/>
      <c r="L876" s="203"/>
      <c r="M876" s="203"/>
      <c r="N876" s="203"/>
      <c r="O876" s="203"/>
      <c r="P876" s="211"/>
      <c r="Q876" s="212"/>
      <c r="R876" s="212"/>
      <c r="S876" s="212"/>
      <c r="T876" s="212"/>
      <c r="U876" s="212"/>
      <c r="V876" s="212"/>
      <c r="W876" s="213"/>
      <c r="X876" s="203"/>
      <c r="Y876" s="203"/>
      <c r="Z876" s="203"/>
    </row>
    <row r="877" spans="1:26" ht="25.5" customHeight="1">
      <c r="A877" s="203"/>
      <c r="B877" s="203"/>
      <c r="C877" s="203"/>
      <c r="D877" s="203"/>
      <c r="E877" s="203"/>
      <c r="F877" s="203"/>
      <c r="G877" s="203"/>
      <c r="H877" s="203"/>
      <c r="I877" s="203"/>
      <c r="J877" s="203"/>
      <c r="K877" s="203"/>
      <c r="L877" s="203"/>
      <c r="M877" s="203"/>
      <c r="N877" s="203"/>
      <c r="O877" s="203"/>
      <c r="P877" s="211"/>
      <c r="Q877" s="212"/>
      <c r="R877" s="212"/>
      <c r="S877" s="212"/>
      <c r="T877" s="212"/>
      <c r="U877" s="212"/>
      <c r="V877" s="212"/>
      <c r="W877" s="213"/>
      <c r="X877" s="203"/>
      <c r="Y877" s="203"/>
      <c r="Z877" s="203"/>
    </row>
    <row r="878" spans="1:26" ht="25.5" customHeight="1">
      <c r="A878" s="203"/>
      <c r="B878" s="203"/>
      <c r="C878" s="203"/>
      <c r="D878" s="203"/>
      <c r="E878" s="203"/>
      <c r="F878" s="203"/>
      <c r="G878" s="203"/>
      <c r="H878" s="203"/>
      <c r="I878" s="203"/>
      <c r="J878" s="203"/>
      <c r="K878" s="203"/>
      <c r="L878" s="203"/>
      <c r="M878" s="203"/>
      <c r="N878" s="203"/>
      <c r="O878" s="203"/>
      <c r="P878" s="211"/>
      <c r="Q878" s="212"/>
      <c r="R878" s="212"/>
      <c r="S878" s="212"/>
      <c r="T878" s="212"/>
      <c r="U878" s="212"/>
      <c r="V878" s="212"/>
      <c r="W878" s="213"/>
      <c r="X878" s="203"/>
      <c r="Y878" s="203"/>
      <c r="Z878" s="203"/>
    </row>
    <row r="879" spans="1:26" ht="25.5" customHeight="1">
      <c r="A879" s="203"/>
      <c r="B879" s="203"/>
      <c r="C879" s="203"/>
      <c r="D879" s="203"/>
      <c r="E879" s="203"/>
      <c r="F879" s="203"/>
      <c r="G879" s="203"/>
      <c r="H879" s="203"/>
      <c r="I879" s="203"/>
      <c r="J879" s="203"/>
      <c r="K879" s="203"/>
      <c r="L879" s="203"/>
      <c r="M879" s="203"/>
      <c r="N879" s="203"/>
      <c r="O879" s="203"/>
      <c r="P879" s="211"/>
      <c r="Q879" s="212"/>
      <c r="R879" s="212"/>
      <c r="S879" s="212"/>
      <c r="T879" s="212"/>
      <c r="U879" s="212"/>
      <c r="V879" s="212"/>
      <c r="W879" s="213"/>
      <c r="X879" s="203"/>
      <c r="Y879" s="203"/>
      <c r="Z879" s="203"/>
    </row>
    <row r="880" spans="1:26" ht="25.5" customHeight="1">
      <c r="A880" s="203"/>
      <c r="B880" s="203"/>
      <c r="C880" s="203"/>
      <c r="D880" s="203"/>
      <c r="E880" s="203"/>
      <c r="F880" s="203"/>
      <c r="G880" s="203"/>
      <c r="H880" s="203"/>
      <c r="I880" s="203"/>
      <c r="J880" s="203"/>
      <c r="K880" s="203"/>
      <c r="L880" s="203"/>
      <c r="M880" s="203"/>
      <c r="N880" s="203"/>
      <c r="O880" s="203"/>
      <c r="P880" s="211"/>
      <c r="Q880" s="212"/>
      <c r="R880" s="212"/>
      <c r="S880" s="212"/>
      <c r="T880" s="212"/>
      <c r="U880" s="212"/>
      <c r="V880" s="212"/>
      <c r="W880" s="213"/>
      <c r="X880" s="203"/>
      <c r="Y880" s="203"/>
      <c r="Z880" s="203"/>
    </row>
    <row r="881" spans="1:26" ht="25.5" customHeight="1">
      <c r="A881" s="203"/>
      <c r="B881" s="203"/>
      <c r="C881" s="203"/>
      <c r="D881" s="203"/>
      <c r="E881" s="203"/>
      <c r="F881" s="203"/>
      <c r="G881" s="203"/>
      <c r="H881" s="203"/>
      <c r="I881" s="203"/>
      <c r="J881" s="203"/>
      <c r="K881" s="203"/>
      <c r="L881" s="203"/>
      <c r="M881" s="203"/>
      <c r="N881" s="203"/>
      <c r="O881" s="203"/>
      <c r="P881" s="211"/>
      <c r="Q881" s="212"/>
      <c r="R881" s="212"/>
      <c r="S881" s="212"/>
      <c r="T881" s="212"/>
      <c r="U881" s="212"/>
      <c r="V881" s="212"/>
      <c r="W881" s="213"/>
      <c r="X881" s="203"/>
      <c r="Y881" s="203"/>
      <c r="Z881" s="203"/>
    </row>
    <row r="882" spans="1:26" ht="25.5" customHeight="1">
      <c r="A882" s="203"/>
      <c r="B882" s="203"/>
      <c r="C882" s="203"/>
      <c r="D882" s="203"/>
      <c r="E882" s="203"/>
      <c r="F882" s="203"/>
      <c r="G882" s="203"/>
      <c r="H882" s="203"/>
      <c r="I882" s="203"/>
      <c r="J882" s="203"/>
      <c r="K882" s="203"/>
      <c r="L882" s="203"/>
      <c r="M882" s="203"/>
      <c r="N882" s="203"/>
      <c r="O882" s="203"/>
      <c r="P882" s="211"/>
      <c r="Q882" s="212"/>
      <c r="R882" s="212"/>
      <c r="S882" s="212"/>
      <c r="T882" s="212"/>
      <c r="U882" s="212"/>
      <c r="V882" s="212"/>
      <c r="W882" s="213"/>
      <c r="X882" s="203"/>
      <c r="Y882" s="203"/>
      <c r="Z882" s="203"/>
    </row>
    <row r="883" spans="1:26" ht="25.5" customHeight="1">
      <c r="A883" s="203"/>
      <c r="B883" s="203"/>
      <c r="C883" s="203"/>
      <c r="D883" s="203"/>
      <c r="E883" s="203"/>
      <c r="F883" s="203"/>
      <c r="G883" s="203"/>
      <c r="H883" s="203"/>
      <c r="I883" s="203"/>
      <c r="J883" s="203"/>
      <c r="K883" s="203"/>
      <c r="L883" s="203"/>
      <c r="M883" s="203"/>
      <c r="N883" s="203"/>
      <c r="O883" s="203"/>
      <c r="P883" s="211"/>
      <c r="Q883" s="212"/>
      <c r="R883" s="212"/>
      <c r="S883" s="212"/>
      <c r="T883" s="212"/>
      <c r="U883" s="212"/>
      <c r="V883" s="212"/>
      <c r="W883" s="213"/>
      <c r="X883" s="203"/>
      <c r="Y883" s="203"/>
      <c r="Z883" s="203"/>
    </row>
    <row r="884" spans="1:26" ht="25.5" customHeight="1">
      <c r="A884" s="203"/>
      <c r="B884" s="203"/>
      <c r="C884" s="203"/>
      <c r="D884" s="203"/>
      <c r="E884" s="203"/>
      <c r="F884" s="203"/>
      <c r="G884" s="203"/>
      <c r="H884" s="203"/>
      <c r="I884" s="203"/>
      <c r="J884" s="203"/>
      <c r="K884" s="203"/>
      <c r="L884" s="203"/>
      <c r="M884" s="203"/>
      <c r="N884" s="203"/>
      <c r="O884" s="203"/>
      <c r="P884" s="211"/>
      <c r="Q884" s="212"/>
      <c r="R884" s="212"/>
      <c r="S884" s="212"/>
      <c r="T884" s="212"/>
      <c r="U884" s="212"/>
      <c r="V884" s="212"/>
      <c r="W884" s="213"/>
      <c r="X884" s="203"/>
      <c r="Y884" s="203"/>
      <c r="Z884" s="203"/>
    </row>
    <row r="885" spans="1:26" ht="25.5" customHeight="1">
      <c r="A885" s="203"/>
      <c r="B885" s="203"/>
      <c r="C885" s="203"/>
      <c r="D885" s="203"/>
      <c r="E885" s="203"/>
      <c r="F885" s="203"/>
      <c r="G885" s="203"/>
      <c r="H885" s="203"/>
      <c r="I885" s="203"/>
      <c r="J885" s="203"/>
      <c r="K885" s="203"/>
      <c r="L885" s="203"/>
      <c r="M885" s="203"/>
      <c r="N885" s="203"/>
      <c r="O885" s="203"/>
      <c r="P885" s="211"/>
      <c r="Q885" s="212"/>
      <c r="R885" s="212"/>
      <c r="S885" s="212"/>
      <c r="T885" s="212"/>
      <c r="U885" s="212"/>
      <c r="V885" s="212"/>
      <c r="W885" s="213"/>
      <c r="X885" s="203"/>
      <c r="Y885" s="203"/>
      <c r="Z885" s="203"/>
    </row>
    <row r="886" spans="1:26" ht="25.5" customHeight="1">
      <c r="A886" s="203"/>
      <c r="B886" s="203"/>
      <c r="C886" s="203"/>
      <c r="D886" s="203"/>
      <c r="E886" s="203"/>
      <c r="F886" s="203"/>
      <c r="G886" s="203"/>
      <c r="H886" s="203"/>
      <c r="I886" s="203"/>
      <c r="J886" s="203"/>
      <c r="K886" s="203"/>
      <c r="L886" s="203"/>
      <c r="M886" s="203"/>
      <c r="N886" s="203"/>
      <c r="O886" s="203"/>
      <c r="P886" s="211"/>
      <c r="Q886" s="212"/>
      <c r="R886" s="212"/>
      <c r="S886" s="212"/>
      <c r="T886" s="212"/>
      <c r="U886" s="212"/>
      <c r="V886" s="212"/>
      <c r="W886" s="213"/>
      <c r="X886" s="203"/>
      <c r="Y886" s="203"/>
      <c r="Z886" s="203"/>
    </row>
    <row r="887" spans="1:26" ht="25.5" customHeight="1">
      <c r="A887" s="203"/>
      <c r="B887" s="203"/>
      <c r="C887" s="203"/>
      <c r="D887" s="203"/>
      <c r="E887" s="203"/>
      <c r="F887" s="203"/>
      <c r="G887" s="203"/>
      <c r="H887" s="203"/>
      <c r="I887" s="203"/>
      <c r="J887" s="203"/>
      <c r="K887" s="203"/>
      <c r="L887" s="203"/>
      <c r="M887" s="203"/>
      <c r="N887" s="203"/>
      <c r="O887" s="203"/>
      <c r="P887" s="211"/>
      <c r="Q887" s="212"/>
      <c r="R887" s="212"/>
      <c r="S887" s="212"/>
      <c r="T887" s="212"/>
      <c r="U887" s="212"/>
      <c r="V887" s="212"/>
      <c r="W887" s="213"/>
      <c r="X887" s="203"/>
      <c r="Y887" s="203"/>
      <c r="Z887" s="203"/>
    </row>
    <row r="888" spans="1:26" ht="25.5" customHeight="1">
      <c r="A888" s="203"/>
      <c r="B888" s="203"/>
      <c r="C888" s="203"/>
      <c r="D888" s="203"/>
      <c r="E888" s="203"/>
      <c r="F888" s="203"/>
      <c r="G888" s="203"/>
      <c r="H888" s="203"/>
      <c r="I888" s="203"/>
      <c r="J888" s="203"/>
      <c r="K888" s="203"/>
      <c r="L888" s="203"/>
      <c r="M888" s="203"/>
      <c r="N888" s="203"/>
      <c r="O888" s="203"/>
      <c r="P888" s="211"/>
      <c r="Q888" s="212"/>
      <c r="R888" s="212"/>
      <c r="S888" s="212"/>
      <c r="T888" s="212"/>
      <c r="U888" s="212"/>
      <c r="V888" s="212"/>
      <c r="W888" s="213"/>
      <c r="X888" s="203"/>
      <c r="Y888" s="203"/>
      <c r="Z888" s="203"/>
    </row>
    <row r="889" spans="1:26" ht="25.5" customHeight="1">
      <c r="A889" s="203"/>
      <c r="B889" s="203"/>
      <c r="C889" s="203"/>
      <c r="D889" s="203"/>
      <c r="E889" s="203"/>
      <c r="F889" s="203"/>
      <c r="G889" s="203"/>
      <c r="H889" s="203"/>
      <c r="I889" s="203"/>
      <c r="J889" s="203"/>
      <c r="K889" s="203"/>
      <c r="L889" s="203"/>
      <c r="M889" s="203"/>
      <c r="N889" s="203"/>
      <c r="O889" s="203"/>
      <c r="P889" s="211"/>
      <c r="Q889" s="212"/>
      <c r="R889" s="212"/>
      <c r="S889" s="212"/>
      <c r="T889" s="212"/>
      <c r="U889" s="212"/>
      <c r="V889" s="212"/>
      <c r="W889" s="213"/>
      <c r="X889" s="203"/>
      <c r="Y889" s="203"/>
      <c r="Z889" s="203"/>
    </row>
    <row r="890" spans="1:26" ht="25.5" customHeight="1">
      <c r="A890" s="203"/>
      <c r="B890" s="203"/>
      <c r="C890" s="203"/>
      <c r="D890" s="203"/>
      <c r="E890" s="203"/>
      <c r="F890" s="203"/>
      <c r="G890" s="203"/>
      <c r="H890" s="203"/>
      <c r="I890" s="203"/>
      <c r="J890" s="203"/>
      <c r="K890" s="203"/>
      <c r="L890" s="203"/>
      <c r="M890" s="203"/>
      <c r="N890" s="203"/>
      <c r="O890" s="203"/>
      <c r="P890" s="211"/>
      <c r="Q890" s="212"/>
      <c r="R890" s="212"/>
      <c r="S890" s="212"/>
      <c r="T890" s="212"/>
      <c r="U890" s="212"/>
      <c r="V890" s="212"/>
      <c r="W890" s="213"/>
      <c r="X890" s="203"/>
      <c r="Y890" s="203"/>
      <c r="Z890" s="203"/>
    </row>
    <row r="891" spans="1:26" ht="25.5" customHeight="1">
      <c r="A891" s="203"/>
      <c r="B891" s="203"/>
      <c r="C891" s="203"/>
      <c r="D891" s="203"/>
      <c r="E891" s="203"/>
      <c r="F891" s="203"/>
      <c r="G891" s="203"/>
      <c r="H891" s="203"/>
      <c r="I891" s="203"/>
      <c r="J891" s="203"/>
      <c r="K891" s="203"/>
      <c r="L891" s="203"/>
      <c r="M891" s="203"/>
      <c r="N891" s="203"/>
      <c r="O891" s="203"/>
      <c r="P891" s="211"/>
      <c r="Q891" s="212"/>
      <c r="R891" s="212"/>
      <c r="S891" s="212"/>
      <c r="T891" s="212"/>
      <c r="U891" s="212"/>
      <c r="V891" s="212"/>
      <c r="W891" s="213"/>
      <c r="X891" s="203"/>
      <c r="Y891" s="203"/>
      <c r="Z891" s="203"/>
    </row>
    <row r="892" spans="1:26" ht="25.5" customHeight="1">
      <c r="A892" s="203"/>
      <c r="B892" s="203"/>
      <c r="C892" s="203"/>
      <c r="D892" s="203"/>
      <c r="E892" s="203"/>
      <c r="F892" s="203"/>
      <c r="G892" s="203"/>
      <c r="H892" s="203"/>
      <c r="I892" s="203"/>
      <c r="J892" s="203"/>
      <c r="K892" s="203"/>
      <c r="L892" s="203"/>
      <c r="M892" s="203"/>
      <c r="N892" s="203"/>
      <c r="O892" s="203"/>
      <c r="P892" s="211"/>
      <c r="Q892" s="212"/>
      <c r="R892" s="212"/>
      <c r="S892" s="212"/>
      <c r="T892" s="212"/>
      <c r="U892" s="212"/>
      <c r="V892" s="212"/>
      <c r="W892" s="213"/>
      <c r="X892" s="203"/>
      <c r="Y892" s="203"/>
      <c r="Z892" s="203"/>
    </row>
    <row r="893" spans="1:26" ht="25.5" customHeight="1">
      <c r="A893" s="203"/>
      <c r="B893" s="203"/>
      <c r="C893" s="203"/>
      <c r="D893" s="203"/>
      <c r="E893" s="203"/>
      <c r="F893" s="203"/>
      <c r="G893" s="203"/>
      <c r="H893" s="203"/>
      <c r="I893" s="203"/>
      <c r="J893" s="203"/>
      <c r="K893" s="203"/>
      <c r="L893" s="203"/>
      <c r="M893" s="203"/>
      <c r="N893" s="203"/>
      <c r="O893" s="203"/>
      <c r="P893" s="211"/>
      <c r="Q893" s="212"/>
      <c r="R893" s="212"/>
      <c r="S893" s="212"/>
      <c r="T893" s="212"/>
      <c r="U893" s="212"/>
      <c r="V893" s="212"/>
      <c r="W893" s="213"/>
      <c r="X893" s="203"/>
      <c r="Y893" s="203"/>
      <c r="Z893" s="203"/>
    </row>
    <row r="894" spans="1:26" ht="25.5" customHeight="1">
      <c r="A894" s="203"/>
      <c r="B894" s="203"/>
      <c r="C894" s="203"/>
      <c r="D894" s="203"/>
      <c r="E894" s="203"/>
      <c r="F894" s="203"/>
      <c r="G894" s="203"/>
      <c r="H894" s="203"/>
      <c r="I894" s="203"/>
      <c r="J894" s="203"/>
      <c r="K894" s="203"/>
      <c r="L894" s="203"/>
      <c r="M894" s="203"/>
      <c r="N894" s="203"/>
      <c r="O894" s="203"/>
      <c r="P894" s="211"/>
      <c r="Q894" s="212"/>
      <c r="R894" s="212"/>
      <c r="S894" s="212"/>
      <c r="T894" s="212"/>
      <c r="U894" s="212"/>
      <c r="V894" s="212"/>
      <c r="W894" s="213"/>
      <c r="X894" s="203"/>
      <c r="Y894" s="203"/>
      <c r="Z894" s="203"/>
    </row>
    <row r="895" spans="1:26" ht="25.5" customHeight="1">
      <c r="A895" s="203"/>
      <c r="B895" s="203"/>
      <c r="C895" s="203"/>
      <c r="D895" s="203"/>
      <c r="E895" s="203"/>
      <c r="F895" s="203"/>
      <c r="G895" s="203"/>
      <c r="H895" s="203"/>
      <c r="I895" s="203"/>
      <c r="J895" s="203"/>
      <c r="K895" s="203"/>
      <c r="L895" s="203"/>
      <c r="M895" s="203"/>
      <c r="N895" s="203"/>
      <c r="O895" s="203"/>
      <c r="P895" s="211"/>
      <c r="Q895" s="212"/>
      <c r="R895" s="212"/>
      <c r="S895" s="212"/>
      <c r="T895" s="212"/>
      <c r="U895" s="212"/>
      <c r="V895" s="212"/>
      <c r="W895" s="213"/>
      <c r="X895" s="203"/>
      <c r="Y895" s="203"/>
      <c r="Z895" s="203"/>
    </row>
    <row r="896" spans="1:26" ht="25.5" customHeight="1">
      <c r="A896" s="203"/>
      <c r="B896" s="203"/>
      <c r="C896" s="203"/>
      <c r="D896" s="203"/>
      <c r="E896" s="203"/>
      <c r="F896" s="203"/>
      <c r="G896" s="203"/>
      <c r="H896" s="203"/>
      <c r="I896" s="203"/>
      <c r="J896" s="203"/>
      <c r="K896" s="203"/>
      <c r="L896" s="203"/>
      <c r="M896" s="203"/>
      <c r="N896" s="203"/>
      <c r="O896" s="203"/>
      <c r="P896" s="211"/>
      <c r="Q896" s="212"/>
      <c r="R896" s="212"/>
      <c r="S896" s="212"/>
      <c r="T896" s="212"/>
      <c r="U896" s="212"/>
      <c r="V896" s="212"/>
      <c r="W896" s="213"/>
      <c r="X896" s="203"/>
      <c r="Y896" s="203"/>
      <c r="Z896" s="203"/>
    </row>
    <row r="897" spans="1:26" ht="25.5" customHeight="1">
      <c r="A897" s="203"/>
      <c r="B897" s="203"/>
      <c r="C897" s="203"/>
      <c r="D897" s="203"/>
      <c r="E897" s="203"/>
      <c r="F897" s="203"/>
      <c r="G897" s="203"/>
      <c r="H897" s="203"/>
      <c r="I897" s="203"/>
      <c r="J897" s="203"/>
      <c r="K897" s="203"/>
      <c r="L897" s="203"/>
      <c r="M897" s="203"/>
      <c r="N897" s="203"/>
      <c r="O897" s="203"/>
      <c r="P897" s="211"/>
      <c r="Q897" s="212"/>
      <c r="R897" s="212"/>
      <c r="S897" s="212"/>
      <c r="T897" s="212"/>
      <c r="U897" s="212"/>
      <c r="V897" s="212"/>
      <c r="W897" s="213"/>
      <c r="X897" s="203"/>
      <c r="Y897" s="203"/>
      <c r="Z897" s="203"/>
    </row>
    <row r="898" spans="1:26" ht="25.5" customHeight="1">
      <c r="A898" s="203"/>
      <c r="B898" s="203"/>
      <c r="C898" s="203"/>
      <c r="D898" s="203"/>
      <c r="E898" s="203"/>
      <c r="F898" s="203"/>
      <c r="G898" s="203"/>
      <c r="H898" s="203"/>
      <c r="I898" s="203"/>
      <c r="J898" s="203"/>
      <c r="K898" s="203"/>
      <c r="L898" s="203"/>
      <c r="M898" s="203"/>
      <c r="N898" s="203"/>
      <c r="O898" s="203"/>
      <c r="P898" s="211"/>
      <c r="Q898" s="212"/>
      <c r="R898" s="212"/>
      <c r="S898" s="212"/>
      <c r="T898" s="212"/>
      <c r="U898" s="212"/>
      <c r="V898" s="212"/>
      <c r="W898" s="213"/>
      <c r="X898" s="203"/>
      <c r="Y898" s="203"/>
      <c r="Z898" s="203"/>
    </row>
    <row r="899" spans="1:26" ht="25.5" customHeight="1">
      <c r="A899" s="203"/>
      <c r="B899" s="203"/>
      <c r="C899" s="203"/>
      <c r="D899" s="203"/>
      <c r="E899" s="203"/>
      <c r="F899" s="203"/>
      <c r="G899" s="203"/>
      <c r="H899" s="203"/>
      <c r="I899" s="203"/>
      <c r="J899" s="203"/>
      <c r="K899" s="203"/>
      <c r="L899" s="203"/>
      <c r="M899" s="203"/>
      <c r="N899" s="203"/>
      <c r="O899" s="203"/>
      <c r="P899" s="211"/>
      <c r="Q899" s="212"/>
      <c r="R899" s="212"/>
      <c r="S899" s="212"/>
      <c r="T899" s="212"/>
      <c r="U899" s="212"/>
      <c r="V899" s="212"/>
      <c r="W899" s="213"/>
      <c r="X899" s="203"/>
      <c r="Y899" s="203"/>
      <c r="Z899" s="203"/>
    </row>
    <row r="900" spans="1:26" ht="25.5" customHeight="1">
      <c r="A900" s="203"/>
      <c r="B900" s="203"/>
      <c r="C900" s="203"/>
      <c r="D900" s="203"/>
      <c r="E900" s="203"/>
      <c r="F900" s="203"/>
      <c r="G900" s="203"/>
      <c r="H900" s="203"/>
      <c r="I900" s="203"/>
      <c r="J900" s="203"/>
      <c r="K900" s="203"/>
      <c r="L900" s="203"/>
      <c r="M900" s="203"/>
      <c r="N900" s="203"/>
      <c r="O900" s="203"/>
      <c r="P900" s="211"/>
      <c r="Q900" s="212"/>
      <c r="R900" s="212"/>
      <c r="S900" s="212"/>
      <c r="T900" s="212"/>
      <c r="U900" s="212"/>
      <c r="V900" s="212"/>
      <c r="W900" s="213"/>
      <c r="X900" s="203"/>
      <c r="Y900" s="203"/>
      <c r="Z900" s="203"/>
    </row>
    <row r="901" spans="1:26" ht="25.5" customHeight="1">
      <c r="A901" s="203"/>
      <c r="B901" s="203"/>
      <c r="C901" s="203"/>
      <c r="D901" s="203"/>
      <c r="E901" s="203"/>
      <c r="F901" s="203"/>
      <c r="G901" s="203"/>
      <c r="H901" s="203"/>
      <c r="I901" s="203"/>
      <c r="J901" s="203"/>
      <c r="K901" s="203"/>
      <c r="L901" s="203"/>
      <c r="M901" s="203"/>
      <c r="N901" s="203"/>
      <c r="O901" s="203"/>
      <c r="P901" s="211"/>
      <c r="Q901" s="212"/>
      <c r="R901" s="212"/>
      <c r="S901" s="212"/>
      <c r="T901" s="212"/>
      <c r="U901" s="212"/>
      <c r="V901" s="212"/>
      <c r="W901" s="213"/>
      <c r="X901" s="203"/>
      <c r="Y901" s="203"/>
      <c r="Z901" s="203"/>
    </row>
    <row r="902" spans="1:26" ht="25.5" customHeight="1">
      <c r="A902" s="203"/>
      <c r="B902" s="203"/>
      <c r="C902" s="203"/>
      <c r="D902" s="203"/>
      <c r="E902" s="203"/>
      <c r="F902" s="203"/>
      <c r="G902" s="203"/>
      <c r="H902" s="203"/>
      <c r="I902" s="203"/>
      <c r="J902" s="203"/>
      <c r="K902" s="203"/>
      <c r="L902" s="203"/>
      <c r="M902" s="203"/>
      <c r="N902" s="203"/>
      <c r="O902" s="203"/>
      <c r="P902" s="211"/>
      <c r="Q902" s="212"/>
      <c r="R902" s="212"/>
      <c r="S902" s="212"/>
      <c r="T902" s="212"/>
      <c r="U902" s="212"/>
      <c r="V902" s="212"/>
      <c r="W902" s="213"/>
      <c r="X902" s="203"/>
      <c r="Y902" s="203"/>
      <c r="Z902" s="203"/>
    </row>
    <row r="903" spans="1:26" ht="25.5" customHeight="1">
      <c r="A903" s="203"/>
      <c r="B903" s="203"/>
      <c r="C903" s="203"/>
      <c r="D903" s="203"/>
      <c r="E903" s="203"/>
      <c r="F903" s="203"/>
      <c r="G903" s="203"/>
      <c r="H903" s="203"/>
      <c r="I903" s="203"/>
      <c r="J903" s="203"/>
      <c r="K903" s="203"/>
      <c r="L903" s="203"/>
      <c r="M903" s="203"/>
      <c r="N903" s="203"/>
      <c r="O903" s="203"/>
      <c r="P903" s="211"/>
      <c r="Q903" s="212"/>
      <c r="R903" s="212"/>
      <c r="S903" s="212"/>
      <c r="T903" s="212"/>
      <c r="U903" s="212"/>
      <c r="V903" s="212"/>
      <c r="W903" s="213"/>
      <c r="X903" s="203"/>
      <c r="Y903" s="203"/>
      <c r="Z903" s="203"/>
    </row>
    <row r="904" spans="1:26" ht="25.5" customHeight="1">
      <c r="A904" s="203"/>
      <c r="B904" s="203"/>
      <c r="C904" s="203"/>
      <c r="D904" s="203"/>
      <c r="E904" s="203"/>
      <c r="F904" s="203"/>
      <c r="G904" s="203"/>
      <c r="H904" s="203"/>
      <c r="I904" s="203"/>
      <c r="J904" s="203"/>
      <c r="K904" s="203"/>
      <c r="L904" s="203"/>
      <c r="M904" s="203"/>
      <c r="N904" s="203"/>
      <c r="O904" s="203"/>
      <c r="P904" s="211"/>
      <c r="Q904" s="212"/>
      <c r="R904" s="212"/>
      <c r="S904" s="212"/>
      <c r="T904" s="212"/>
      <c r="U904" s="212"/>
      <c r="V904" s="212"/>
      <c r="W904" s="213"/>
      <c r="X904" s="203"/>
      <c r="Y904" s="203"/>
      <c r="Z904" s="203"/>
    </row>
    <row r="905" spans="1:26" ht="25.5" customHeight="1">
      <c r="A905" s="203"/>
      <c r="B905" s="203"/>
      <c r="C905" s="203"/>
      <c r="D905" s="203"/>
      <c r="E905" s="203"/>
      <c r="F905" s="203"/>
      <c r="G905" s="203"/>
      <c r="H905" s="203"/>
      <c r="I905" s="203"/>
      <c r="J905" s="203"/>
      <c r="K905" s="203"/>
      <c r="L905" s="203"/>
      <c r="M905" s="203"/>
      <c r="N905" s="203"/>
      <c r="O905" s="203"/>
      <c r="P905" s="211"/>
      <c r="Q905" s="212"/>
      <c r="R905" s="212"/>
      <c r="S905" s="212"/>
      <c r="T905" s="212"/>
      <c r="U905" s="212"/>
      <c r="V905" s="212"/>
      <c r="W905" s="213"/>
      <c r="X905" s="203"/>
      <c r="Y905" s="203"/>
      <c r="Z905" s="203"/>
    </row>
    <row r="906" spans="1:26" ht="25.5" customHeight="1">
      <c r="A906" s="203"/>
      <c r="B906" s="203"/>
      <c r="C906" s="203"/>
      <c r="D906" s="203"/>
      <c r="E906" s="203"/>
      <c r="F906" s="203"/>
      <c r="G906" s="203"/>
      <c r="H906" s="203"/>
      <c r="I906" s="203"/>
      <c r="J906" s="203"/>
      <c r="K906" s="203"/>
      <c r="L906" s="203"/>
      <c r="M906" s="203"/>
      <c r="N906" s="203"/>
      <c r="O906" s="203"/>
      <c r="P906" s="211"/>
      <c r="Q906" s="212"/>
      <c r="R906" s="212"/>
      <c r="S906" s="212"/>
      <c r="T906" s="212"/>
      <c r="U906" s="212"/>
      <c r="V906" s="212"/>
      <c r="W906" s="213"/>
      <c r="X906" s="203"/>
      <c r="Y906" s="203"/>
      <c r="Z906" s="203"/>
    </row>
    <row r="907" spans="1:26" ht="25.5" customHeight="1">
      <c r="A907" s="203"/>
      <c r="B907" s="203"/>
      <c r="C907" s="203"/>
      <c r="D907" s="203"/>
      <c r="E907" s="203"/>
      <c r="F907" s="203"/>
      <c r="G907" s="203"/>
      <c r="H907" s="203"/>
      <c r="I907" s="203"/>
      <c r="J907" s="203"/>
      <c r="K907" s="203"/>
      <c r="L907" s="203"/>
      <c r="M907" s="203"/>
      <c r="N907" s="203"/>
      <c r="O907" s="203"/>
      <c r="P907" s="211"/>
      <c r="Q907" s="212"/>
      <c r="R907" s="212"/>
      <c r="S907" s="212"/>
      <c r="T907" s="212"/>
      <c r="U907" s="212"/>
      <c r="V907" s="212"/>
      <c r="W907" s="213"/>
      <c r="X907" s="203"/>
      <c r="Y907" s="203"/>
      <c r="Z907" s="203"/>
    </row>
    <row r="908" spans="1:26" ht="25.5" customHeight="1">
      <c r="A908" s="203"/>
      <c r="B908" s="203"/>
      <c r="C908" s="203"/>
      <c r="D908" s="203"/>
      <c r="E908" s="203"/>
      <c r="F908" s="203"/>
      <c r="G908" s="203"/>
      <c r="H908" s="203"/>
      <c r="I908" s="203"/>
      <c r="J908" s="203"/>
      <c r="K908" s="203"/>
      <c r="L908" s="203"/>
      <c r="M908" s="203"/>
      <c r="N908" s="203"/>
      <c r="O908" s="203"/>
      <c r="P908" s="211"/>
      <c r="Q908" s="212"/>
      <c r="R908" s="212"/>
      <c r="S908" s="212"/>
      <c r="T908" s="212"/>
      <c r="U908" s="212"/>
      <c r="V908" s="212"/>
      <c r="W908" s="213"/>
      <c r="X908" s="203"/>
      <c r="Y908" s="203"/>
      <c r="Z908" s="203"/>
    </row>
    <row r="909" spans="1:26" ht="25.5" customHeight="1">
      <c r="A909" s="203"/>
      <c r="B909" s="203"/>
      <c r="C909" s="203"/>
      <c r="D909" s="203"/>
      <c r="E909" s="203"/>
      <c r="F909" s="203"/>
      <c r="G909" s="203"/>
      <c r="H909" s="203"/>
      <c r="I909" s="203"/>
      <c r="J909" s="203"/>
      <c r="K909" s="203"/>
      <c r="L909" s="203"/>
      <c r="M909" s="203"/>
      <c r="N909" s="203"/>
      <c r="O909" s="203"/>
      <c r="P909" s="211"/>
      <c r="Q909" s="212"/>
      <c r="R909" s="212"/>
      <c r="S909" s="212"/>
      <c r="T909" s="212"/>
      <c r="U909" s="212"/>
      <c r="V909" s="212"/>
      <c r="W909" s="213"/>
      <c r="X909" s="203"/>
      <c r="Y909" s="203"/>
      <c r="Z909" s="203"/>
    </row>
    <row r="910" spans="1:26" ht="25.5" customHeight="1">
      <c r="A910" s="203"/>
      <c r="B910" s="203"/>
      <c r="C910" s="203"/>
      <c r="D910" s="203"/>
      <c r="E910" s="203"/>
      <c r="F910" s="203"/>
      <c r="G910" s="203"/>
      <c r="H910" s="203"/>
      <c r="I910" s="203"/>
      <c r="J910" s="203"/>
      <c r="K910" s="203"/>
      <c r="L910" s="203"/>
      <c r="M910" s="203"/>
      <c r="N910" s="203"/>
      <c r="O910" s="203"/>
      <c r="P910" s="211"/>
      <c r="Q910" s="212"/>
      <c r="R910" s="212"/>
      <c r="S910" s="212"/>
      <c r="T910" s="212"/>
      <c r="U910" s="212"/>
      <c r="V910" s="212"/>
      <c r="W910" s="213"/>
      <c r="X910" s="203"/>
      <c r="Y910" s="203"/>
      <c r="Z910" s="203"/>
    </row>
    <row r="911" spans="1:26" ht="25.5" customHeight="1">
      <c r="A911" s="203"/>
      <c r="B911" s="203"/>
      <c r="C911" s="203"/>
      <c r="D911" s="203"/>
      <c r="E911" s="203"/>
      <c r="F911" s="203"/>
      <c r="G911" s="203"/>
      <c r="H911" s="203"/>
      <c r="I911" s="203"/>
      <c r="J911" s="203"/>
      <c r="K911" s="203"/>
      <c r="L911" s="203"/>
      <c r="M911" s="203"/>
      <c r="N911" s="203"/>
      <c r="O911" s="203"/>
      <c r="P911" s="211"/>
      <c r="Q911" s="212"/>
      <c r="R911" s="212"/>
      <c r="S911" s="212"/>
      <c r="T911" s="212"/>
      <c r="U911" s="212"/>
      <c r="V911" s="212"/>
      <c r="W911" s="213"/>
      <c r="X911" s="203"/>
      <c r="Y911" s="203"/>
      <c r="Z911" s="203"/>
    </row>
    <row r="912" spans="1:26" ht="25.5" customHeight="1">
      <c r="A912" s="203"/>
      <c r="B912" s="203"/>
      <c r="C912" s="203"/>
      <c r="D912" s="203"/>
      <c r="E912" s="203"/>
      <c r="F912" s="203"/>
      <c r="G912" s="203"/>
      <c r="H912" s="203"/>
      <c r="I912" s="203"/>
      <c r="J912" s="203"/>
      <c r="K912" s="203"/>
      <c r="L912" s="203"/>
      <c r="M912" s="203"/>
      <c r="N912" s="203"/>
      <c r="O912" s="203"/>
      <c r="P912" s="211"/>
      <c r="Q912" s="212"/>
      <c r="R912" s="212"/>
      <c r="S912" s="212"/>
      <c r="T912" s="212"/>
      <c r="U912" s="212"/>
      <c r="V912" s="212"/>
      <c r="W912" s="213"/>
      <c r="X912" s="203"/>
      <c r="Y912" s="203"/>
      <c r="Z912" s="203"/>
    </row>
    <row r="913" spans="1:26" ht="25.5" customHeight="1">
      <c r="A913" s="203"/>
      <c r="B913" s="203"/>
      <c r="C913" s="203"/>
      <c r="D913" s="203"/>
      <c r="E913" s="203"/>
      <c r="F913" s="203"/>
      <c r="G913" s="203"/>
      <c r="H913" s="203"/>
      <c r="I913" s="203"/>
      <c r="J913" s="203"/>
      <c r="K913" s="203"/>
      <c r="L913" s="203"/>
      <c r="M913" s="203"/>
      <c r="N913" s="203"/>
      <c r="O913" s="203"/>
      <c r="P913" s="211"/>
      <c r="Q913" s="212"/>
      <c r="R913" s="212"/>
      <c r="S913" s="212"/>
      <c r="T913" s="212"/>
      <c r="U913" s="212"/>
      <c r="V913" s="212"/>
      <c r="W913" s="213"/>
      <c r="X913" s="203"/>
      <c r="Y913" s="203"/>
      <c r="Z913" s="203"/>
    </row>
    <row r="914" spans="1:26" ht="25.5" customHeight="1">
      <c r="A914" s="203"/>
      <c r="B914" s="203"/>
      <c r="C914" s="203"/>
      <c r="D914" s="203"/>
      <c r="E914" s="203"/>
      <c r="F914" s="203"/>
      <c r="G914" s="203"/>
      <c r="H914" s="203"/>
      <c r="I914" s="203"/>
      <c r="J914" s="203"/>
      <c r="K914" s="203"/>
      <c r="L914" s="203"/>
      <c r="M914" s="203"/>
      <c r="N914" s="203"/>
      <c r="O914" s="203"/>
      <c r="P914" s="211"/>
      <c r="Q914" s="212"/>
      <c r="R914" s="212"/>
      <c r="S914" s="212"/>
      <c r="T914" s="212"/>
      <c r="U914" s="212"/>
      <c r="V914" s="212"/>
      <c r="W914" s="213"/>
      <c r="X914" s="203"/>
      <c r="Y914" s="203"/>
      <c r="Z914" s="203"/>
    </row>
    <row r="915" spans="1:26" ht="25.5" customHeight="1">
      <c r="A915" s="203"/>
      <c r="B915" s="203"/>
      <c r="C915" s="203"/>
      <c r="D915" s="203"/>
      <c r="E915" s="203"/>
      <c r="F915" s="203"/>
      <c r="G915" s="203"/>
      <c r="H915" s="203"/>
      <c r="I915" s="203"/>
      <c r="J915" s="203"/>
      <c r="K915" s="203"/>
      <c r="L915" s="203"/>
      <c r="M915" s="203"/>
      <c r="N915" s="203"/>
      <c r="O915" s="203"/>
      <c r="P915" s="211"/>
      <c r="Q915" s="212"/>
      <c r="R915" s="212"/>
      <c r="S915" s="212"/>
      <c r="T915" s="212"/>
      <c r="U915" s="212"/>
      <c r="V915" s="212"/>
      <c r="W915" s="213"/>
      <c r="X915" s="203"/>
      <c r="Y915" s="203"/>
      <c r="Z915" s="203"/>
    </row>
    <row r="916" spans="1:26" ht="25.5" customHeight="1">
      <c r="A916" s="203"/>
      <c r="B916" s="203"/>
      <c r="C916" s="203"/>
      <c r="D916" s="203"/>
      <c r="E916" s="203"/>
      <c r="F916" s="203"/>
      <c r="G916" s="203"/>
      <c r="H916" s="203"/>
      <c r="I916" s="203"/>
      <c r="J916" s="203"/>
      <c r="K916" s="203"/>
      <c r="L916" s="203"/>
      <c r="M916" s="203"/>
      <c r="N916" s="203"/>
      <c r="O916" s="203"/>
      <c r="P916" s="211"/>
      <c r="Q916" s="212"/>
      <c r="R916" s="212"/>
      <c r="S916" s="212"/>
      <c r="T916" s="212"/>
      <c r="U916" s="212"/>
      <c r="V916" s="212"/>
      <c r="W916" s="213"/>
      <c r="X916" s="203"/>
      <c r="Y916" s="203"/>
      <c r="Z916" s="203"/>
    </row>
    <row r="917" spans="1:26" ht="25.5" customHeight="1">
      <c r="A917" s="203"/>
      <c r="B917" s="203"/>
      <c r="C917" s="203"/>
      <c r="D917" s="203"/>
      <c r="E917" s="203"/>
      <c r="F917" s="203"/>
      <c r="G917" s="203"/>
      <c r="H917" s="203"/>
      <c r="I917" s="203"/>
      <c r="J917" s="203"/>
      <c r="K917" s="203"/>
      <c r="L917" s="203"/>
      <c r="M917" s="203"/>
      <c r="N917" s="203"/>
      <c r="O917" s="203"/>
      <c r="P917" s="211"/>
      <c r="Q917" s="212"/>
      <c r="R917" s="212"/>
      <c r="S917" s="212"/>
      <c r="T917" s="212"/>
      <c r="U917" s="212"/>
      <c r="V917" s="212"/>
      <c r="W917" s="213"/>
      <c r="X917" s="203"/>
      <c r="Y917" s="203"/>
      <c r="Z917" s="203"/>
    </row>
    <row r="918" spans="1:26" ht="25.5" customHeight="1">
      <c r="A918" s="203"/>
      <c r="B918" s="203"/>
      <c r="C918" s="203"/>
      <c r="D918" s="203"/>
      <c r="E918" s="203"/>
      <c r="F918" s="203"/>
      <c r="G918" s="203"/>
      <c r="H918" s="203"/>
      <c r="I918" s="203"/>
      <c r="J918" s="203"/>
      <c r="K918" s="203"/>
      <c r="L918" s="203"/>
      <c r="M918" s="203"/>
      <c r="N918" s="203"/>
      <c r="O918" s="203"/>
      <c r="P918" s="211"/>
      <c r="Q918" s="212"/>
      <c r="R918" s="212"/>
      <c r="S918" s="212"/>
      <c r="T918" s="212"/>
      <c r="U918" s="212"/>
      <c r="V918" s="212"/>
      <c r="W918" s="213"/>
      <c r="X918" s="203"/>
      <c r="Y918" s="203"/>
      <c r="Z918" s="203"/>
    </row>
    <row r="919" spans="1:26" ht="25.5" customHeight="1">
      <c r="A919" s="203"/>
      <c r="B919" s="203"/>
      <c r="C919" s="203"/>
      <c r="D919" s="203"/>
      <c r="E919" s="203"/>
      <c r="F919" s="203"/>
      <c r="G919" s="203"/>
      <c r="H919" s="203"/>
      <c r="I919" s="203"/>
      <c r="J919" s="203"/>
      <c r="K919" s="203"/>
      <c r="L919" s="203"/>
      <c r="M919" s="203"/>
      <c r="N919" s="203"/>
      <c r="O919" s="203"/>
      <c r="P919" s="211"/>
      <c r="Q919" s="212"/>
      <c r="R919" s="212"/>
      <c r="S919" s="212"/>
      <c r="T919" s="212"/>
      <c r="U919" s="212"/>
      <c r="V919" s="212"/>
      <c r="W919" s="213"/>
      <c r="X919" s="203"/>
      <c r="Y919" s="203"/>
      <c r="Z919" s="203"/>
    </row>
    <row r="920" spans="1:26" ht="25.5" customHeight="1">
      <c r="A920" s="203"/>
      <c r="B920" s="203"/>
      <c r="C920" s="203"/>
      <c r="D920" s="203"/>
      <c r="E920" s="203"/>
      <c r="F920" s="203"/>
      <c r="G920" s="203"/>
      <c r="H920" s="203"/>
      <c r="I920" s="203"/>
      <c r="J920" s="203"/>
      <c r="K920" s="203"/>
      <c r="L920" s="203"/>
      <c r="M920" s="203"/>
      <c r="N920" s="203"/>
      <c r="O920" s="203"/>
      <c r="P920" s="211"/>
      <c r="Q920" s="212"/>
      <c r="R920" s="212"/>
      <c r="S920" s="212"/>
      <c r="T920" s="212"/>
      <c r="U920" s="212"/>
      <c r="V920" s="212"/>
      <c r="W920" s="213"/>
      <c r="X920" s="203"/>
      <c r="Y920" s="203"/>
      <c r="Z920" s="203"/>
    </row>
    <row r="921" spans="1:26" ht="25.5" customHeight="1">
      <c r="A921" s="203"/>
      <c r="B921" s="203"/>
      <c r="C921" s="203"/>
      <c r="D921" s="203"/>
      <c r="E921" s="203"/>
      <c r="F921" s="203"/>
      <c r="G921" s="203"/>
      <c r="H921" s="203"/>
      <c r="I921" s="203"/>
      <c r="J921" s="203"/>
      <c r="K921" s="203"/>
      <c r="L921" s="203"/>
      <c r="M921" s="203"/>
      <c r="N921" s="203"/>
      <c r="O921" s="203"/>
      <c r="P921" s="211"/>
      <c r="Q921" s="212"/>
      <c r="R921" s="212"/>
      <c r="S921" s="212"/>
      <c r="T921" s="212"/>
      <c r="U921" s="212"/>
      <c r="V921" s="212"/>
      <c r="W921" s="213"/>
      <c r="X921" s="203"/>
      <c r="Y921" s="203"/>
      <c r="Z921" s="203"/>
    </row>
    <row r="922" spans="1:26" ht="25.5" customHeight="1">
      <c r="A922" s="203"/>
      <c r="B922" s="203"/>
      <c r="C922" s="203"/>
      <c r="D922" s="203"/>
      <c r="E922" s="203"/>
      <c r="F922" s="203"/>
      <c r="G922" s="203"/>
      <c r="H922" s="203"/>
      <c r="I922" s="203"/>
      <c r="J922" s="203"/>
      <c r="K922" s="203"/>
      <c r="L922" s="203"/>
      <c r="M922" s="203"/>
      <c r="N922" s="203"/>
      <c r="O922" s="203"/>
      <c r="P922" s="211"/>
      <c r="Q922" s="212"/>
      <c r="R922" s="212"/>
      <c r="S922" s="212"/>
      <c r="T922" s="212"/>
      <c r="U922" s="212"/>
      <c r="V922" s="212"/>
      <c r="W922" s="213"/>
      <c r="X922" s="203"/>
      <c r="Y922" s="203"/>
      <c r="Z922" s="203"/>
    </row>
    <row r="923" spans="1:26" ht="25.5" customHeight="1">
      <c r="A923" s="203"/>
      <c r="B923" s="203"/>
      <c r="C923" s="203"/>
      <c r="D923" s="203"/>
      <c r="E923" s="203"/>
      <c r="F923" s="203"/>
      <c r="G923" s="203"/>
      <c r="H923" s="203"/>
      <c r="I923" s="203"/>
      <c r="J923" s="203"/>
      <c r="K923" s="203"/>
      <c r="L923" s="203"/>
      <c r="M923" s="203"/>
      <c r="N923" s="203"/>
      <c r="O923" s="203"/>
      <c r="P923" s="211"/>
      <c r="Q923" s="212"/>
      <c r="R923" s="212"/>
      <c r="S923" s="212"/>
      <c r="T923" s="212"/>
      <c r="U923" s="212"/>
      <c r="V923" s="212"/>
      <c r="W923" s="213"/>
      <c r="X923" s="203"/>
      <c r="Y923" s="203"/>
      <c r="Z923" s="203"/>
    </row>
    <row r="924" spans="1:26" ht="25.5" customHeight="1">
      <c r="A924" s="203"/>
      <c r="B924" s="203"/>
      <c r="C924" s="203"/>
      <c r="D924" s="203"/>
      <c r="E924" s="203"/>
      <c r="F924" s="203"/>
      <c r="G924" s="203"/>
      <c r="H924" s="203"/>
      <c r="I924" s="203"/>
      <c r="J924" s="203"/>
      <c r="K924" s="203"/>
      <c r="L924" s="203"/>
      <c r="M924" s="203"/>
      <c r="N924" s="203"/>
      <c r="O924" s="203"/>
      <c r="P924" s="211"/>
      <c r="Q924" s="212"/>
      <c r="R924" s="212"/>
      <c r="S924" s="212"/>
      <c r="T924" s="212"/>
      <c r="U924" s="212"/>
      <c r="V924" s="212"/>
      <c r="W924" s="213"/>
      <c r="X924" s="203"/>
      <c r="Y924" s="203"/>
      <c r="Z924" s="203"/>
    </row>
    <row r="925" spans="1:26" ht="25.5" customHeight="1">
      <c r="A925" s="203"/>
      <c r="B925" s="203"/>
      <c r="C925" s="203"/>
      <c r="D925" s="203"/>
      <c r="E925" s="203"/>
      <c r="F925" s="203"/>
      <c r="G925" s="203"/>
      <c r="H925" s="203"/>
      <c r="I925" s="203"/>
      <c r="J925" s="203"/>
      <c r="K925" s="203"/>
      <c r="L925" s="203"/>
      <c r="M925" s="203"/>
      <c r="N925" s="203"/>
      <c r="O925" s="203"/>
      <c r="P925" s="211"/>
      <c r="Q925" s="212"/>
      <c r="R925" s="212"/>
      <c r="S925" s="212"/>
      <c r="T925" s="212"/>
      <c r="U925" s="212"/>
      <c r="V925" s="212"/>
      <c r="W925" s="213"/>
      <c r="X925" s="203"/>
      <c r="Y925" s="203"/>
      <c r="Z925" s="203"/>
    </row>
    <row r="926" spans="1:26" ht="25.5" customHeight="1">
      <c r="A926" s="203"/>
      <c r="B926" s="203"/>
      <c r="C926" s="203"/>
      <c r="D926" s="203"/>
      <c r="E926" s="203"/>
      <c r="F926" s="203"/>
      <c r="G926" s="203"/>
      <c r="H926" s="203"/>
      <c r="I926" s="203"/>
      <c r="J926" s="203"/>
      <c r="K926" s="203"/>
      <c r="L926" s="203"/>
      <c r="M926" s="203"/>
      <c r="N926" s="203"/>
      <c r="O926" s="203"/>
      <c r="P926" s="211"/>
      <c r="Q926" s="212"/>
      <c r="R926" s="212"/>
      <c r="S926" s="212"/>
      <c r="T926" s="212"/>
      <c r="U926" s="212"/>
      <c r="V926" s="212"/>
      <c r="W926" s="213"/>
      <c r="X926" s="203"/>
      <c r="Y926" s="203"/>
      <c r="Z926" s="203"/>
    </row>
    <row r="927" spans="1:26" ht="25.5" customHeight="1">
      <c r="A927" s="203"/>
      <c r="B927" s="203"/>
      <c r="C927" s="203"/>
      <c r="D927" s="203"/>
      <c r="E927" s="203"/>
      <c r="F927" s="203"/>
      <c r="G927" s="203"/>
      <c r="H927" s="203"/>
      <c r="I927" s="203"/>
      <c r="J927" s="203"/>
      <c r="K927" s="203"/>
      <c r="L927" s="203"/>
      <c r="M927" s="203"/>
      <c r="N927" s="203"/>
      <c r="O927" s="203"/>
      <c r="P927" s="211"/>
      <c r="Q927" s="212"/>
      <c r="R927" s="212"/>
      <c r="S927" s="212"/>
      <c r="T927" s="212"/>
      <c r="U927" s="212"/>
      <c r="V927" s="212"/>
      <c r="W927" s="213"/>
      <c r="X927" s="203"/>
      <c r="Y927" s="203"/>
      <c r="Z927" s="203"/>
    </row>
    <row r="928" spans="1:26" ht="25.5" customHeight="1">
      <c r="A928" s="203"/>
      <c r="B928" s="203"/>
      <c r="C928" s="203"/>
      <c r="D928" s="203"/>
      <c r="E928" s="203"/>
      <c r="F928" s="203"/>
      <c r="G928" s="203"/>
      <c r="H928" s="203"/>
      <c r="I928" s="203"/>
      <c r="J928" s="203"/>
      <c r="K928" s="203"/>
      <c r="L928" s="203"/>
      <c r="M928" s="203"/>
      <c r="N928" s="203"/>
      <c r="O928" s="203"/>
      <c r="P928" s="211"/>
      <c r="Q928" s="212"/>
      <c r="R928" s="212"/>
      <c r="S928" s="212"/>
      <c r="T928" s="212"/>
      <c r="U928" s="212"/>
      <c r="V928" s="212"/>
      <c r="W928" s="213"/>
      <c r="X928" s="203"/>
      <c r="Y928" s="203"/>
      <c r="Z928" s="203"/>
    </row>
    <row r="929" spans="1:26" ht="25.5" customHeight="1">
      <c r="A929" s="203"/>
      <c r="B929" s="203"/>
      <c r="C929" s="203"/>
      <c r="D929" s="203"/>
      <c r="E929" s="203"/>
      <c r="F929" s="203"/>
      <c r="G929" s="203"/>
      <c r="H929" s="203"/>
      <c r="I929" s="203"/>
      <c r="J929" s="203"/>
      <c r="K929" s="203"/>
      <c r="L929" s="203"/>
      <c r="M929" s="203"/>
      <c r="N929" s="203"/>
      <c r="O929" s="203"/>
      <c r="P929" s="211"/>
      <c r="Q929" s="212"/>
      <c r="R929" s="212"/>
      <c r="S929" s="212"/>
      <c r="T929" s="212"/>
      <c r="U929" s="212"/>
      <c r="V929" s="212"/>
      <c r="W929" s="213"/>
      <c r="X929" s="203"/>
      <c r="Y929" s="203"/>
      <c r="Z929" s="203"/>
    </row>
    <row r="930" spans="1:26" ht="25.5" customHeight="1">
      <c r="A930" s="203"/>
      <c r="B930" s="203"/>
      <c r="C930" s="203"/>
      <c r="D930" s="203"/>
      <c r="E930" s="203"/>
      <c r="F930" s="203"/>
      <c r="G930" s="203"/>
      <c r="H930" s="203"/>
      <c r="I930" s="203"/>
      <c r="J930" s="203"/>
      <c r="K930" s="203"/>
      <c r="L930" s="203"/>
      <c r="M930" s="203"/>
      <c r="N930" s="203"/>
      <c r="O930" s="203"/>
      <c r="P930" s="211"/>
      <c r="Q930" s="212"/>
      <c r="R930" s="212"/>
      <c r="S930" s="212"/>
      <c r="T930" s="212"/>
      <c r="U930" s="212"/>
      <c r="V930" s="212"/>
      <c r="W930" s="213"/>
      <c r="X930" s="203"/>
      <c r="Y930" s="203"/>
      <c r="Z930" s="203"/>
    </row>
    <row r="931" spans="1:26" ht="25.5" customHeight="1">
      <c r="A931" s="203"/>
      <c r="B931" s="203"/>
      <c r="C931" s="203"/>
      <c r="D931" s="203"/>
      <c r="E931" s="203"/>
      <c r="F931" s="203"/>
      <c r="G931" s="203"/>
      <c r="H931" s="203"/>
      <c r="I931" s="203"/>
      <c r="J931" s="203"/>
      <c r="K931" s="203"/>
      <c r="L931" s="203"/>
      <c r="M931" s="203"/>
      <c r="N931" s="203"/>
      <c r="O931" s="203"/>
      <c r="P931" s="211"/>
      <c r="Q931" s="212"/>
      <c r="R931" s="212"/>
      <c r="S931" s="212"/>
      <c r="T931" s="212"/>
      <c r="U931" s="212"/>
      <c r="V931" s="212"/>
      <c r="W931" s="213"/>
      <c r="X931" s="203"/>
      <c r="Y931" s="203"/>
      <c r="Z931" s="203"/>
    </row>
    <row r="932" spans="1:26" ht="25.5" customHeight="1">
      <c r="A932" s="203"/>
      <c r="B932" s="203"/>
      <c r="C932" s="203"/>
      <c r="D932" s="203"/>
      <c r="E932" s="203"/>
      <c r="F932" s="203"/>
      <c r="G932" s="203"/>
      <c r="H932" s="203"/>
      <c r="I932" s="203"/>
      <c r="J932" s="203"/>
      <c r="K932" s="203"/>
      <c r="L932" s="203"/>
      <c r="M932" s="203"/>
      <c r="N932" s="203"/>
      <c r="O932" s="203"/>
      <c r="P932" s="211"/>
      <c r="Q932" s="212"/>
      <c r="R932" s="212"/>
      <c r="S932" s="212"/>
      <c r="T932" s="212"/>
      <c r="U932" s="212"/>
      <c r="V932" s="212"/>
      <c r="W932" s="213"/>
      <c r="X932" s="203"/>
      <c r="Y932" s="203"/>
      <c r="Z932" s="203"/>
    </row>
    <row r="933" spans="1:26" ht="25.5" customHeight="1">
      <c r="A933" s="203"/>
      <c r="B933" s="203"/>
      <c r="C933" s="203"/>
      <c r="D933" s="203"/>
      <c r="E933" s="203"/>
      <c r="F933" s="203"/>
      <c r="G933" s="203"/>
      <c r="H933" s="203"/>
      <c r="I933" s="203"/>
      <c r="J933" s="203"/>
      <c r="K933" s="203"/>
      <c r="L933" s="203"/>
      <c r="M933" s="203"/>
      <c r="N933" s="203"/>
      <c r="O933" s="203"/>
      <c r="P933" s="211"/>
      <c r="Q933" s="212"/>
      <c r="R933" s="212"/>
      <c r="S933" s="212"/>
      <c r="T933" s="212"/>
      <c r="U933" s="212"/>
      <c r="V933" s="212"/>
      <c r="W933" s="213"/>
      <c r="X933" s="203"/>
      <c r="Y933" s="203"/>
      <c r="Z933" s="203"/>
    </row>
    <row r="934" spans="1:26" ht="25.5" customHeight="1">
      <c r="A934" s="203"/>
      <c r="B934" s="203"/>
      <c r="C934" s="203"/>
      <c r="D934" s="203"/>
      <c r="E934" s="203"/>
      <c r="F934" s="203"/>
      <c r="G934" s="203"/>
      <c r="H934" s="203"/>
      <c r="I934" s="203"/>
      <c r="J934" s="203"/>
      <c r="K934" s="203"/>
      <c r="L934" s="203"/>
      <c r="M934" s="203"/>
      <c r="N934" s="203"/>
      <c r="O934" s="203"/>
      <c r="P934" s="211"/>
      <c r="Q934" s="212"/>
      <c r="R934" s="212"/>
      <c r="S934" s="212"/>
      <c r="T934" s="212"/>
      <c r="U934" s="212"/>
      <c r="V934" s="212"/>
      <c r="W934" s="213"/>
      <c r="X934" s="203"/>
      <c r="Y934" s="203"/>
      <c r="Z934" s="203"/>
    </row>
    <row r="935" spans="1:26" ht="25.5" customHeight="1">
      <c r="A935" s="203"/>
      <c r="B935" s="203"/>
      <c r="C935" s="203"/>
      <c r="D935" s="203"/>
      <c r="E935" s="203"/>
      <c r="F935" s="203"/>
      <c r="G935" s="203"/>
      <c r="H935" s="203"/>
      <c r="I935" s="203"/>
      <c r="J935" s="203"/>
      <c r="K935" s="203"/>
      <c r="L935" s="203"/>
      <c r="M935" s="203"/>
      <c r="N935" s="203"/>
      <c r="O935" s="203"/>
      <c r="P935" s="211"/>
      <c r="Q935" s="212"/>
      <c r="R935" s="212"/>
      <c r="S935" s="212"/>
      <c r="T935" s="212"/>
      <c r="U935" s="212"/>
      <c r="V935" s="212"/>
      <c r="W935" s="213"/>
      <c r="X935" s="203"/>
      <c r="Y935" s="203"/>
      <c r="Z935" s="203"/>
    </row>
    <row r="936" spans="1:26" ht="25.5" customHeight="1">
      <c r="A936" s="203"/>
      <c r="B936" s="203"/>
      <c r="C936" s="203"/>
      <c r="D936" s="203"/>
      <c r="E936" s="203"/>
      <c r="F936" s="203"/>
      <c r="G936" s="203"/>
      <c r="H936" s="203"/>
      <c r="I936" s="203"/>
      <c r="J936" s="203"/>
      <c r="K936" s="203"/>
      <c r="L936" s="203"/>
      <c r="M936" s="203"/>
      <c r="N936" s="203"/>
      <c r="O936" s="203"/>
      <c r="P936" s="211"/>
      <c r="Q936" s="212"/>
      <c r="R936" s="212"/>
      <c r="S936" s="212"/>
      <c r="T936" s="212"/>
      <c r="U936" s="212"/>
      <c r="V936" s="212"/>
      <c r="W936" s="213"/>
      <c r="X936" s="203"/>
      <c r="Y936" s="203"/>
      <c r="Z936" s="203"/>
    </row>
    <row r="937" spans="1:26" ht="25.5" customHeight="1">
      <c r="A937" s="203"/>
      <c r="B937" s="203"/>
      <c r="C937" s="203"/>
      <c r="D937" s="203"/>
      <c r="E937" s="203"/>
      <c r="F937" s="203"/>
      <c r="G937" s="203"/>
      <c r="H937" s="203"/>
      <c r="I937" s="203"/>
      <c r="J937" s="203"/>
      <c r="K937" s="203"/>
      <c r="L937" s="203"/>
      <c r="M937" s="203"/>
      <c r="N937" s="203"/>
      <c r="O937" s="203"/>
      <c r="P937" s="211"/>
      <c r="Q937" s="212"/>
      <c r="R937" s="212"/>
      <c r="S937" s="212"/>
      <c r="T937" s="212"/>
      <c r="U937" s="212"/>
      <c r="V937" s="212"/>
      <c r="W937" s="213"/>
      <c r="X937" s="203"/>
      <c r="Y937" s="203"/>
      <c r="Z937" s="203"/>
    </row>
    <row r="938" spans="1:26" ht="25.5" customHeight="1">
      <c r="A938" s="203"/>
      <c r="B938" s="203"/>
      <c r="C938" s="203"/>
      <c r="D938" s="203"/>
      <c r="E938" s="203"/>
      <c r="F938" s="203"/>
      <c r="G938" s="203"/>
      <c r="H938" s="203"/>
      <c r="I938" s="203"/>
      <c r="J938" s="203"/>
      <c r="K938" s="203"/>
      <c r="L938" s="203"/>
      <c r="M938" s="203"/>
      <c r="N938" s="203"/>
      <c r="O938" s="203"/>
      <c r="P938" s="211"/>
      <c r="Q938" s="212"/>
      <c r="R938" s="212"/>
      <c r="S938" s="212"/>
      <c r="T938" s="212"/>
      <c r="U938" s="212"/>
      <c r="V938" s="212"/>
      <c r="W938" s="213"/>
      <c r="X938" s="203"/>
      <c r="Y938" s="203"/>
      <c r="Z938" s="203"/>
    </row>
    <row r="939" spans="1:26" ht="25.5" customHeight="1">
      <c r="A939" s="203"/>
      <c r="B939" s="203"/>
      <c r="C939" s="203"/>
      <c r="D939" s="203"/>
      <c r="E939" s="203"/>
      <c r="F939" s="203"/>
      <c r="G939" s="203"/>
      <c r="H939" s="203"/>
      <c r="I939" s="203"/>
      <c r="J939" s="203"/>
      <c r="K939" s="203"/>
      <c r="L939" s="203"/>
      <c r="M939" s="203"/>
      <c r="N939" s="203"/>
      <c r="O939" s="203"/>
      <c r="P939" s="211"/>
      <c r="Q939" s="212"/>
      <c r="R939" s="212"/>
      <c r="S939" s="212"/>
      <c r="T939" s="212"/>
      <c r="U939" s="212"/>
      <c r="V939" s="212"/>
      <c r="W939" s="213"/>
      <c r="X939" s="203"/>
      <c r="Y939" s="203"/>
      <c r="Z939" s="203"/>
    </row>
    <row r="940" spans="1:26" ht="25.5" customHeight="1">
      <c r="A940" s="203"/>
      <c r="B940" s="203"/>
      <c r="C940" s="203"/>
      <c r="D940" s="203"/>
      <c r="E940" s="203"/>
      <c r="F940" s="203"/>
      <c r="G940" s="203"/>
      <c r="H940" s="203"/>
      <c r="I940" s="203"/>
      <c r="J940" s="203"/>
      <c r="K940" s="203"/>
      <c r="L940" s="203"/>
      <c r="M940" s="203"/>
      <c r="N940" s="203"/>
      <c r="O940" s="203"/>
      <c r="P940" s="211"/>
      <c r="Q940" s="212"/>
      <c r="R940" s="212"/>
      <c r="S940" s="212"/>
      <c r="T940" s="212"/>
      <c r="U940" s="212"/>
      <c r="V940" s="212"/>
      <c r="W940" s="213"/>
      <c r="X940" s="203"/>
      <c r="Y940" s="203"/>
      <c r="Z940" s="203"/>
    </row>
    <row r="941" spans="1:26" ht="25.5" customHeight="1">
      <c r="A941" s="203"/>
      <c r="B941" s="203"/>
      <c r="C941" s="203"/>
      <c r="D941" s="203"/>
      <c r="E941" s="203"/>
      <c r="F941" s="203"/>
      <c r="G941" s="203"/>
      <c r="H941" s="203"/>
      <c r="I941" s="203"/>
      <c r="J941" s="203"/>
      <c r="K941" s="203"/>
      <c r="L941" s="203"/>
      <c r="M941" s="203"/>
      <c r="N941" s="203"/>
      <c r="O941" s="203"/>
      <c r="P941" s="211"/>
      <c r="Q941" s="212"/>
      <c r="R941" s="212"/>
      <c r="S941" s="212"/>
      <c r="T941" s="212"/>
      <c r="U941" s="212"/>
      <c r="V941" s="212"/>
      <c r="W941" s="213"/>
      <c r="X941" s="203"/>
      <c r="Y941" s="203"/>
      <c r="Z941" s="203"/>
    </row>
    <row r="942" spans="1:26" ht="25.5" customHeight="1">
      <c r="A942" s="203"/>
      <c r="B942" s="203"/>
      <c r="C942" s="203"/>
      <c r="D942" s="203"/>
      <c r="E942" s="203"/>
      <c r="F942" s="203"/>
      <c r="G942" s="203"/>
      <c r="H942" s="203"/>
      <c r="I942" s="203"/>
      <c r="J942" s="203"/>
      <c r="K942" s="203"/>
      <c r="L942" s="203"/>
      <c r="M942" s="203"/>
      <c r="N942" s="203"/>
      <c r="O942" s="203"/>
      <c r="P942" s="211"/>
      <c r="Q942" s="212"/>
      <c r="R942" s="212"/>
      <c r="S942" s="212"/>
      <c r="T942" s="212"/>
      <c r="U942" s="212"/>
      <c r="V942" s="212"/>
      <c r="W942" s="213"/>
      <c r="X942" s="203"/>
      <c r="Y942" s="203"/>
      <c r="Z942" s="203"/>
    </row>
    <row r="943" spans="1:26" ht="25.5" customHeight="1">
      <c r="A943" s="203"/>
      <c r="B943" s="203"/>
      <c r="C943" s="203"/>
      <c r="D943" s="203"/>
      <c r="E943" s="203"/>
      <c r="F943" s="203"/>
      <c r="G943" s="203"/>
      <c r="H943" s="203"/>
      <c r="I943" s="203"/>
      <c r="J943" s="203"/>
      <c r="K943" s="203"/>
      <c r="L943" s="203"/>
      <c r="M943" s="203"/>
      <c r="N943" s="203"/>
      <c r="O943" s="203"/>
      <c r="P943" s="211"/>
      <c r="Q943" s="212"/>
      <c r="R943" s="212"/>
      <c r="S943" s="212"/>
      <c r="T943" s="212"/>
      <c r="U943" s="212"/>
      <c r="V943" s="212"/>
      <c r="W943" s="213"/>
      <c r="X943" s="203"/>
      <c r="Y943" s="203"/>
      <c r="Z943" s="203"/>
    </row>
    <row r="944" spans="1:26" ht="25.5" customHeight="1">
      <c r="A944" s="203"/>
      <c r="B944" s="203"/>
      <c r="C944" s="203"/>
      <c r="D944" s="203"/>
      <c r="E944" s="203"/>
      <c r="F944" s="203"/>
      <c r="G944" s="203"/>
      <c r="H944" s="203"/>
      <c r="I944" s="203"/>
      <c r="J944" s="203"/>
      <c r="K944" s="203"/>
      <c r="L944" s="203"/>
      <c r="M944" s="203"/>
      <c r="N944" s="203"/>
      <c r="O944" s="203"/>
      <c r="P944" s="211"/>
      <c r="Q944" s="212"/>
      <c r="R944" s="212"/>
      <c r="S944" s="212"/>
      <c r="T944" s="212"/>
      <c r="U944" s="212"/>
      <c r="V944" s="212"/>
      <c r="W944" s="213"/>
      <c r="X944" s="203"/>
      <c r="Y944" s="203"/>
      <c r="Z944" s="203"/>
    </row>
    <row r="945" spans="1:26" ht="25.5" customHeight="1">
      <c r="A945" s="203"/>
      <c r="B945" s="203"/>
      <c r="C945" s="203"/>
      <c r="D945" s="203"/>
      <c r="E945" s="203"/>
      <c r="F945" s="203"/>
      <c r="G945" s="203"/>
      <c r="H945" s="203"/>
      <c r="I945" s="203"/>
      <c r="J945" s="203"/>
      <c r="K945" s="203"/>
      <c r="L945" s="203"/>
      <c r="M945" s="203"/>
      <c r="N945" s="203"/>
      <c r="O945" s="203"/>
      <c r="P945" s="211"/>
      <c r="Q945" s="212"/>
      <c r="R945" s="212"/>
      <c r="S945" s="212"/>
      <c r="T945" s="212"/>
      <c r="U945" s="212"/>
      <c r="V945" s="212"/>
      <c r="W945" s="213"/>
      <c r="X945" s="203"/>
      <c r="Y945" s="203"/>
      <c r="Z945" s="203"/>
    </row>
    <row r="946" spans="1:26" ht="25.5" customHeight="1">
      <c r="A946" s="203"/>
      <c r="B946" s="203"/>
      <c r="C946" s="203"/>
      <c r="D946" s="203"/>
      <c r="E946" s="203"/>
      <c r="F946" s="203"/>
      <c r="G946" s="203"/>
      <c r="H946" s="203"/>
      <c r="I946" s="203"/>
      <c r="J946" s="203"/>
      <c r="K946" s="203"/>
      <c r="L946" s="203"/>
      <c r="M946" s="203"/>
      <c r="N946" s="203"/>
      <c r="O946" s="203"/>
      <c r="P946" s="211"/>
      <c r="Q946" s="212"/>
      <c r="R946" s="212"/>
      <c r="S946" s="212"/>
      <c r="T946" s="212"/>
      <c r="U946" s="212"/>
      <c r="V946" s="212"/>
      <c r="W946" s="213"/>
      <c r="X946" s="203"/>
      <c r="Y946" s="203"/>
      <c r="Z946" s="203"/>
    </row>
    <row r="947" spans="1:26" ht="25.5" customHeight="1">
      <c r="A947" s="203"/>
      <c r="B947" s="203"/>
      <c r="C947" s="203"/>
      <c r="D947" s="203"/>
      <c r="E947" s="203"/>
      <c r="F947" s="203"/>
      <c r="G947" s="203"/>
      <c r="H947" s="203"/>
      <c r="I947" s="203"/>
      <c r="J947" s="203"/>
      <c r="K947" s="203"/>
      <c r="L947" s="203"/>
      <c r="M947" s="203"/>
      <c r="N947" s="203"/>
      <c r="O947" s="203"/>
      <c r="P947" s="211"/>
      <c r="Q947" s="212"/>
      <c r="R947" s="212"/>
      <c r="S947" s="212"/>
      <c r="T947" s="212"/>
      <c r="U947" s="212"/>
      <c r="V947" s="212"/>
      <c r="W947" s="213"/>
      <c r="X947" s="203"/>
      <c r="Y947" s="203"/>
      <c r="Z947" s="203"/>
    </row>
    <row r="948" spans="1:26" ht="25.5" customHeight="1">
      <c r="A948" s="203"/>
      <c r="B948" s="203"/>
      <c r="C948" s="203"/>
      <c r="D948" s="203"/>
      <c r="E948" s="203"/>
      <c r="F948" s="203"/>
      <c r="G948" s="203"/>
      <c r="H948" s="203"/>
      <c r="I948" s="203"/>
      <c r="J948" s="203"/>
      <c r="K948" s="203"/>
      <c r="L948" s="203"/>
      <c r="M948" s="203"/>
      <c r="N948" s="203"/>
      <c r="O948" s="203"/>
      <c r="P948" s="211"/>
      <c r="Q948" s="212"/>
      <c r="R948" s="212"/>
      <c r="S948" s="212"/>
      <c r="T948" s="212"/>
      <c r="U948" s="212"/>
      <c r="V948" s="212"/>
      <c r="W948" s="213"/>
      <c r="X948" s="203"/>
      <c r="Y948" s="203"/>
      <c r="Z948" s="203"/>
    </row>
    <row r="949" spans="1:26" ht="25.5" customHeight="1">
      <c r="A949" s="203"/>
      <c r="B949" s="203"/>
      <c r="C949" s="203"/>
      <c r="D949" s="203"/>
      <c r="E949" s="203"/>
      <c r="F949" s="203"/>
      <c r="G949" s="203"/>
      <c r="H949" s="203"/>
      <c r="I949" s="203"/>
      <c r="J949" s="203"/>
      <c r="K949" s="203"/>
      <c r="L949" s="203"/>
      <c r="M949" s="203"/>
      <c r="N949" s="203"/>
      <c r="O949" s="203"/>
      <c r="P949" s="211"/>
      <c r="Q949" s="212"/>
      <c r="R949" s="212"/>
      <c r="S949" s="212"/>
      <c r="T949" s="212"/>
      <c r="U949" s="212"/>
      <c r="V949" s="212"/>
      <c r="W949" s="213"/>
      <c r="X949" s="203"/>
      <c r="Y949" s="203"/>
      <c r="Z949" s="203"/>
    </row>
    <row r="950" spans="1:26" ht="25.5" customHeight="1">
      <c r="A950" s="203"/>
      <c r="B950" s="203"/>
      <c r="C950" s="203"/>
      <c r="D950" s="203"/>
      <c r="E950" s="203"/>
      <c r="F950" s="203"/>
      <c r="G950" s="203"/>
      <c r="H950" s="203"/>
      <c r="I950" s="203"/>
      <c r="J950" s="203"/>
      <c r="K950" s="203"/>
      <c r="L950" s="203"/>
      <c r="M950" s="203"/>
      <c r="N950" s="203"/>
      <c r="O950" s="203"/>
      <c r="P950" s="211"/>
      <c r="Q950" s="212"/>
      <c r="R950" s="212"/>
      <c r="S950" s="212"/>
      <c r="T950" s="212"/>
      <c r="U950" s="212"/>
      <c r="V950" s="212"/>
      <c r="W950" s="213"/>
      <c r="X950" s="203"/>
      <c r="Y950" s="203"/>
      <c r="Z950" s="203"/>
    </row>
    <row r="951" spans="1:26" ht="25.5" customHeight="1">
      <c r="A951" s="203"/>
      <c r="B951" s="203"/>
      <c r="C951" s="203"/>
      <c r="D951" s="203"/>
      <c r="E951" s="203"/>
      <c r="F951" s="203"/>
      <c r="G951" s="203"/>
      <c r="H951" s="203"/>
      <c r="I951" s="203"/>
      <c r="J951" s="203"/>
      <c r="K951" s="203"/>
      <c r="L951" s="203"/>
      <c r="M951" s="203"/>
      <c r="N951" s="203"/>
      <c r="O951" s="203"/>
      <c r="P951" s="211"/>
      <c r="Q951" s="212"/>
      <c r="R951" s="212"/>
      <c r="S951" s="212"/>
      <c r="T951" s="212"/>
      <c r="U951" s="212"/>
      <c r="V951" s="212"/>
      <c r="W951" s="213"/>
      <c r="X951" s="203"/>
      <c r="Y951" s="203"/>
      <c r="Z951" s="203"/>
    </row>
    <row r="952" spans="1:26" ht="25.5" customHeight="1">
      <c r="A952" s="203"/>
      <c r="B952" s="203"/>
      <c r="C952" s="203"/>
      <c r="D952" s="203"/>
      <c r="E952" s="203"/>
      <c r="F952" s="203"/>
      <c r="G952" s="203"/>
      <c r="H952" s="203"/>
      <c r="I952" s="203"/>
      <c r="J952" s="203"/>
      <c r="K952" s="203"/>
      <c r="L952" s="203"/>
      <c r="M952" s="203"/>
      <c r="N952" s="203"/>
      <c r="O952" s="203"/>
      <c r="P952" s="211"/>
      <c r="Q952" s="212"/>
      <c r="R952" s="212"/>
      <c r="S952" s="212"/>
      <c r="T952" s="212"/>
      <c r="U952" s="212"/>
      <c r="V952" s="212"/>
      <c r="W952" s="213"/>
      <c r="X952" s="203"/>
      <c r="Y952" s="203"/>
      <c r="Z952" s="203"/>
    </row>
    <row r="953" spans="1:26" ht="25.5" customHeight="1">
      <c r="A953" s="203"/>
      <c r="B953" s="203"/>
      <c r="C953" s="203"/>
      <c r="D953" s="203"/>
      <c r="E953" s="203"/>
      <c r="F953" s="203"/>
      <c r="G953" s="203"/>
      <c r="H953" s="203"/>
      <c r="I953" s="203"/>
      <c r="J953" s="203"/>
      <c r="K953" s="203"/>
      <c r="L953" s="203"/>
      <c r="M953" s="203"/>
      <c r="N953" s="203"/>
      <c r="O953" s="203"/>
      <c r="P953" s="211"/>
      <c r="Q953" s="212"/>
      <c r="R953" s="212"/>
      <c r="S953" s="212"/>
      <c r="T953" s="212"/>
      <c r="U953" s="212"/>
      <c r="V953" s="212"/>
      <c r="W953" s="213"/>
      <c r="X953" s="203"/>
      <c r="Y953" s="203"/>
      <c r="Z953" s="203"/>
    </row>
    <row r="954" spans="1:26" ht="25.5" customHeight="1">
      <c r="A954" s="203"/>
      <c r="B954" s="203"/>
      <c r="C954" s="203"/>
      <c r="D954" s="203"/>
      <c r="E954" s="203"/>
      <c r="F954" s="203"/>
      <c r="G954" s="203"/>
      <c r="H954" s="203"/>
      <c r="I954" s="203"/>
      <c r="J954" s="203"/>
      <c r="K954" s="203"/>
      <c r="L954" s="203"/>
      <c r="M954" s="203"/>
      <c r="N954" s="203"/>
      <c r="O954" s="203"/>
      <c r="P954" s="211"/>
      <c r="Q954" s="212"/>
      <c r="R954" s="212"/>
      <c r="S954" s="212"/>
      <c r="T954" s="212"/>
      <c r="U954" s="212"/>
      <c r="V954" s="212"/>
      <c r="W954" s="213"/>
      <c r="X954" s="203"/>
      <c r="Y954" s="203"/>
      <c r="Z954" s="203"/>
    </row>
    <row r="955" spans="1:26" ht="25.5" customHeight="1">
      <c r="A955" s="203"/>
      <c r="B955" s="203"/>
      <c r="C955" s="203"/>
      <c r="D955" s="203"/>
      <c r="E955" s="203"/>
      <c r="F955" s="203"/>
      <c r="G955" s="203"/>
      <c r="H955" s="203"/>
      <c r="I955" s="203"/>
      <c r="J955" s="203"/>
      <c r="K955" s="203"/>
      <c r="L955" s="203"/>
      <c r="M955" s="203"/>
      <c r="N955" s="203"/>
      <c r="O955" s="203"/>
      <c r="P955" s="211"/>
      <c r="Q955" s="212"/>
      <c r="R955" s="212"/>
      <c r="S955" s="212"/>
      <c r="T955" s="212"/>
      <c r="U955" s="212"/>
      <c r="V955" s="212"/>
      <c r="W955" s="213"/>
      <c r="X955" s="203"/>
      <c r="Y955" s="203"/>
      <c r="Z955" s="203"/>
    </row>
    <row r="956" spans="1:26" ht="25.5" customHeight="1">
      <c r="A956" s="203"/>
      <c r="B956" s="203"/>
      <c r="C956" s="203"/>
      <c r="D956" s="203"/>
      <c r="E956" s="203"/>
      <c r="F956" s="203"/>
      <c r="G956" s="203"/>
      <c r="H956" s="203"/>
      <c r="I956" s="203"/>
      <c r="J956" s="203"/>
      <c r="K956" s="203"/>
      <c r="L956" s="203"/>
      <c r="M956" s="203"/>
      <c r="N956" s="203"/>
      <c r="O956" s="203"/>
      <c r="P956" s="211"/>
      <c r="Q956" s="212"/>
      <c r="R956" s="212"/>
      <c r="S956" s="212"/>
      <c r="T956" s="212"/>
      <c r="U956" s="212"/>
      <c r="V956" s="212"/>
      <c r="W956" s="213"/>
      <c r="X956" s="203"/>
      <c r="Y956" s="203"/>
      <c r="Z956" s="203"/>
    </row>
    <row r="957" spans="1:26" ht="25.5" customHeight="1">
      <c r="A957" s="203"/>
      <c r="B957" s="203"/>
      <c r="C957" s="203"/>
      <c r="D957" s="203"/>
      <c r="E957" s="203"/>
      <c r="F957" s="203"/>
      <c r="G957" s="203"/>
      <c r="H957" s="203"/>
      <c r="I957" s="203"/>
      <c r="J957" s="203"/>
      <c r="K957" s="203"/>
      <c r="L957" s="203"/>
      <c r="M957" s="203"/>
      <c r="N957" s="203"/>
      <c r="O957" s="203"/>
      <c r="P957" s="211"/>
      <c r="Q957" s="212"/>
      <c r="R957" s="212"/>
      <c r="S957" s="212"/>
      <c r="T957" s="212"/>
      <c r="U957" s="212"/>
      <c r="V957" s="212"/>
      <c r="W957" s="213"/>
      <c r="X957" s="203"/>
      <c r="Y957" s="203"/>
      <c r="Z957" s="203"/>
    </row>
    <row r="958" spans="1:26" ht="25.5" customHeight="1">
      <c r="A958" s="203"/>
      <c r="B958" s="203"/>
      <c r="C958" s="203"/>
      <c r="D958" s="203"/>
      <c r="E958" s="203"/>
      <c r="F958" s="203"/>
      <c r="G958" s="203"/>
      <c r="H958" s="203"/>
      <c r="I958" s="203"/>
      <c r="J958" s="203"/>
      <c r="K958" s="203"/>
      <c r="L958" s="203"/>
      <c r="M958" s="203"/>
      <c r="N958" s="203"/>
      <c r="O958" s="203"/>
      <c r="P958" s="211"/>
      <c r="Q958" s="212"/>
      <c r="R958" s="212"/>
      <c r="S958" s="212"/>
      <c r="T958" s="212"/>
      <c r="U958" s="212"/>
      <c r="V958" s="212"/>
      <c r="W958" s="213"/>
      <c r="X958" s="203"/>
      <c r="Y958" s="203"/>
      <c r="Z958" s="203"/>
    </row>
    <row r="959" spans="1:26" ht="25.5" customHeight="1">
      <c r="A959" s="203"/>
      <c r="B959" s="203"/>
      <c r="C959" s="203"/>
      <c r="D959" s="203"/>
      <c r="E959" s="203"/>
      <c r="F959" s="203"/>
      <c r="G959" s="203"/>
      <c r="H959" s="203"/>
      <c r="I959" s="203"/>
      <c r="J959" s="203"/>
      <c r="K959" s="203"/>
      <c r="L959" s="203"/>
      <c r="M959" s="203"/>
      <c r="N959" s="203"/>
      <c r="O959" s="203"/>
      <c r="P959" s="211"/>
      <c r="Q959" s="212"/>
      <c r="R959" s="212"/>
      <c r="S959" s="212"/>
      <c r="T959" s="212"/>
      <c r="U959" s="212"/>
      <c r="V959" s="212"/>
      <c r="W959" s="213"/>
      <c r="X959" s="203"/>
      <c r="Y959" s="203"/>
      <c r="Z959" s="203"/>
    </row>
    <row r="960" spans="1:26" ht="25.5" customHeight="1">
      <c r="A960" s="203"/>
      <c r="B960" s="203"/>
      <c r="C960" s="203"/>
      <c r="D960" s="203"/>
      <c r="E960" s="203"/>
      <c r="F960" s="203"/>
      <c r="G960" s="203"/>
      <c r="H960" s="203"/>
      <c r="I960" s="203"/>
      <c r="J960" s="203"/>
      <c r="K960" s="203"/>
      <c r="L960" s="203"/>
      <c r="M960" s="203"/>
      <c r="N960" s="203"/>
      <c r="O960" s="203"/>
      <c r="P960" s="211"/>
      <c r="Q960" s="212"/>
      <c r="R960" s="212"/>
      <c r="S960" s="212"/>
      <c r="T960" s="212"/>
      <c r="U960" s="212"/>
      <c r="V960" s="212"/>
      <c r="W960" s="213"/>
      <c r="X960" s="203"/>
      <c r="Y960" s="203"/>
      <c r="Z960" s="203"/>
    </row>
    <row r="961" spans="1:26" ht="25.5" customHeight="1">
      <c r="A961" s="203"/>
      <c r="B961" s="203"/>
      <c r="C961" s="203"/>
      <c r="D961" s="203"/>
      <c r="E961" s="203"/>
      <c r="F961" s="203"/>
      <c r="G961" s="203"/>
      <c r="H961" s="203"/>
      <c r="I961" s="203"/>
      <c r="J961" s="203"/>
      <c r="K961" s="203"/>
      <c r="L961" s="203"/>
      <c r="M961" s="203"/>
      <c r="N961" s="203"/>
      <c r="O961" s="203"/>
      <c r="P961" s="211"/>
      <c r="Q961" s="212"/>
      <c r="R961" s="212"/>
      <c r="S961" s="212"/>
      <c r="T961" s="212"/>
      <c r="U961" s="212"/>
      <c r="V961" s="212"/>
      <c r="W961" s="213"/>
      <c r="X961" s="203"/>
      <c r="Y961" s="203"/>
      <c r="Z961" s="203"/>
    </row>
    <row r="962" spans="1:26" ht="25.5" customHeight="1">
      <c r="A962" s="203"/>
      <c r="B962" s="203"/>
      <c r="C962" s="203"/>
      <c r="D962" s="203"/>
      <c r="E962" s="203"/>
      <c r="F962" s="203"/>
      <c r="G962" s="203"/>
      <c r="H962" s="203"/>
      <c r="I962" s="203"/>
      <c r="J962" s="203"/>
      <c r="K962" s="203"/>
      <c r="L962" s="203"/>
      <c r="M962" s="203"/>
      <c r="N962" s="203"/>
      <c r="O962" s="203"/>
      <c r="P962" s="211"/>
      <c r="Q962" s="212"/>
      <c r="R962" s="212"/>
      <c r="S962" s="212"/>
      <c r="T962" s="212"/>
      <c r="U962" s="212"/>
      <c r="V962" s="212"/>
      <c r="W962" s="213"/>
      <c r="X962" s="203"/>
      <c r="Y962" s="203"/>
      <c r="Z962" s="203"/>
    </row>
    <row r="963" spans="1:26" ht="25.5" customHeight="1">
      <c r="A963" s="203"/>
      <c r="B963" s="203"/>
      <c r="C963" s="203"/>
      <c r="D963" s="203"/>
      <c r="E963" s="203"/>
      <c r="F963" s="203"/>
      <c r="G963" s="203"/>
      <c r="H963" s="203"/>
      <c r="I963" s="203"/>
      <c r="J963" s="203"/>
      <c r="K963" s="203"/>
      <c r="L963" s="203"/>
      <c r="M963" s="203"/>
      <c r="N963" s="203"/>
      <c r="O963" s="203"/>
      <c r="P963" s="211"/>
      <c r="Q963" s="212"/>
      <c r="R963" s="212"/>
      <c r="S963" s="212"/>
      <c r="T963" s="212"/>
      <c r="U963" s="212"/>
      <c r="V963" s="212"/>
      <c r="W963" s="213"/>
      <c r="X963" s="203"/>
      <c r="Y963" s="203"/>
      <c r="Z963" s="203"/>
    </row>
    <row r="964" spans="1:26" ht="25.5" customHeight="1">
      <c r="A964" s="203"/>
      <c r="B964" s="203"/>
      <c r="C964" s="203"/>
      <c r="D964" s="203"/>
      <c r="E964" s="203"/>
      <c r="F964" s="203"/>
      <c r="G964" s="203"/>
      <c r="H964" s="203"/>
      <c r="I964" s="203"/>
      <c r="J964" s="203"/>
      <c r="K964" s="203"/>
      <c r="L964" s="203"/>
      <c r="M964" s="203"/>
      <c r="N964" s="203"/>
      <c r="O964" s="203"/>
      <c r="P964" s="211"/>
      <c r="Q964" s="212"/>
      <c r="R964" s="212"/>
      <c r="S964" s="212"/>
      <c r="T964" s="212"/>
      <c r="U964" s="212"/>
      <c r="V964" s="212"/>
      <c r="W964" s="213"/>
      <c r="X964" s="203"/>
      <c r="Y964" s="203"/>
      <c r="Z964" s="203"/>
    </row>
    <row r="965" spans="1:26" ht="25.5" customHeight="1">
      <c r="A965" s="203"/>
      <c r="B965" s="203"/>
      <c r="C965" s="203"/>
      <c r="D965" s="203"/>
      <c r="E965" s="203"/>
      <c r="F965" s="203"/>
      <c r="G965" s="203"/>
      <c r="H965" s="203"/>
      <c r="I965" s="203"/>
      <c r="J965" s="203"/>
      <c r="K965" s="203"/>
      <c r="L965" s="203"/>
      <c r="M965" s="203"/>
      <c r="N965" s="203"/>
      <c r="O965" s="203"/>
      <c r="P965" s="211"/>
      <c r="Q965" s="212"/>
      <c r="R965" s="212"/>
      <c r="S965" s="212"/>
      <c r="T965" s="212"/>
      <c r="U965" s="212"/>
      <c r="V965" s="212"/>
      <c r="W965" s="213"/>
      <c r="X965" s="203"/>
      <c r="Y965" s="203"/>
      <c r="Z965" s="203"/>
    </row>
    <row r="966" spans="1:26" ht="25.5" customHeight="1">
      <c r="A966" s="203"/>
      <c r="B966" s="203"/>
      <c r="C966" s="203"/>
      <c r="D966" s="203"/>
      <c r="E966" s="203"/>
      <c r="F966" s="203"/>
      <c r="G966" s="203"/>
      <c r="H966" s="203"/>
      <c r="I966" s="203"/>
      <c r="J966" s="203"/>
      <c r="K966" s="203"/>
      <c r="L966" s="203"/>
      <c r="M966" s="203"/>
      <c r="N966" s="203"/>
      <c r="O966" s="203"/>
      <c r="P966" s="211"/>
      <c r="Q966" s="212"/>
      <c r="R966" s="212"/>
      <c r="S966" s="212"/>
      <c r="T966" s="212"/>
      <c r="U966" s="212"/>
      <c r="V966" s="212"/>
      <c r="W966" s="213"/>
      <c r="X966" s="203"/>
      <c r="Y966" s="203"/>
      <c r="Z966" s="203"/>
    </row>
    <row r="967" spans="1:26" ht="25.5" customHeight="1">
      <c r="A967" s="203"/>
      <c r="B967" s="203"/>
      <c r="C967" s="203"/>
      <c r="D967" s="203"/>
      <c r="E967" s="203"/>
      <c r="F967" s="203"/>
      <c r="G967" s="203"/>
      <c r="H967" s="203"/>
      <c r="I967" s="203"/>
      <c r="J967" s="203"/>
      <c r="K967" s="203"/>
      <c r="L967" s="203"/>
      <c r="M967" s="203"/>
      <c r="N967" s="203"/>
      <c r="O967" s="203"/>
      <c r="P967" s="211"/>
      <c r="Q967" s="212"/>
      <c r="R967" s="212"/>
      <c r="S967" s="212"/>
      <c r="T967" s="212"/>
      <c r="U967" s="212"/>
      <c r="V967" s="212"/>
      <c r="W967" s="213"/>
      <c r="X967" s="203"/>
      <c r="Y967" s="203"/>
      <c r="Z967" s="203"/>
    </row>
    <row r="968" spans="1:26" ht="25.5" customHeight="1">
      <c r="A968" s="203"/>
      <c r="B968" s="203"/>
      <c r="C968" s="203"/>
      <c r="D968" s="203"/>
      <c r="E968" s="203"/>
      <c r="F968" s="203"/>
      <c r="G968" s="203"/>
      <c r="H968" s="203"/>
      <c r="I968" s="203"/>
      <c r="J968" s="203"/>
      <c r="K968" s="203"/>
      <c r="L968" s="203"/>
      <c r="M968" s="203"/>
      <c r="N968" s="203"/>
      <c r="O968" s="203"/>
      <c r="P968" s="211"/>
      <c r="Q968" s="212"/>
      <c r="R968" s="212"/>
      <c r="S968" s="212"/>
      <c r="T968" s="212"/>
      <c r="U968" s="212"/>
      <c r="V968" s="212"/>
      <c r="W968" s="213"/>
      <c r="X968" s="203"/>
      <c r="Y968" s="203"/>
      <c r="Z968" s="203"/>
    </row>
    <row r="969" spans="1:26" ht="25.5" customHeight="1">
      <c r="A969" s="203"/>
      <c r="B969" s="203"/>
      <c r="C969" s="203"/>
      <c r="D969" s="203"/>
      <c r="E969" s="203"/>
      <c r="F969" s="203"/>
      <c r="G969" s="203"/>
      <c r="H969" s="203"/>
      <c r="I969" s="203"/>
      <c r="J969" s="203"/>
      <c r="K969" s="203"/>
      <c r="L969" s="203"/>
      <c r="M969" s="203"/>
      <c r="N969" s="203"/>
      <c r="O969" s="203"/>
      <c r="P969" s="211"/>
      <c r="Q969" s="212"/>
      <c r="R969" s="212"/>
      <c r="S969" s="212"/>
      <c r="T969" s="212"/>
      <c r="U969" s="212"/>
      <c r="V969" s="212"/>
      <c r="W969" s="213"/>
      <c r="X969" s="203"/>
      <c r="Y969" s="203"/>
      <c r="Z969" s="203"/>
    </row>
    <row r="970" spans="1:26" ht="25.5" customHeight="1">
      <c r="A970" s="203"/>
      <c r="B970" s="203"/>
      <c r="C970" s="203"/>
      <c r="D970" s="203"/>
      <c r="E970" s="203"/>
      <c r="F970" s="203"/>
      <c r="G970" s="203"/>
      <c r="H970" s="203"/>
      <c r="I970" s="203"/>
      <c r="J970" s="203"/>
      <c r="K970" s="203"/>
      <c r="L970" s="203"/>
      <c r="M970" s="203"/>
      <c r="N970" s="203"/>
      <c r="O970" s="203"/>
      <c r="P970" s="211"/>
      <c r="Q970" s="212"/>
      <c r="R970" s="212"/>
      <c r="S970" s="212"/>
      <c r="T970" s="212"/>
      <c r="U970" s="212"/>
      <c r="V970" s="212"/>
      <c r="W970" s="213"/>
      <c r="X970" s="203"/>
      <c r="Y970" s="203"/>
      <c r="Z970" s="203"/>
    </row>
    <row r="971" spans="1:26" ht="25.5" customHeight="1">
      <c r="A971" s="203"/>
      <c r="B971" s="203"/>
      <c r="C971" s="203"/>
      <c r="D971" s="203"/>
      <c r="E971" s="203"/>
      <c r="F971" s="203"/>
      <c r="G971" s="203"/>
      <c r="H971" s="203"/>
      <c r="I971" s="203"/>
      <c r="J971" s="203"/>
      <c r="K971" s="203"/>
      <c r="L971" s="203"/>
      <c r="M971" s="203"/>
      <c r="N971" s="203"/>
      <c r="O971" s="203"/>
      <c r="P971" s="211"/>
      <c r="Q971" s="212"/>
      <c r="R971" s="212"/>
      <c r="S971" s="212"/>
      <c r="T971" s="212"/>
      <c r="U971" s="212"/>
      <c r="V971" s="212"/>
      <c r="W971" s="213"/>
      <c r="X971" s="203"/>
      <c r="Y971" s="203"/>
      <c r="Z971" s="203"/>
    </row>
    <row r="972" spans="1:26" ht="25.5" customHeight="1">
      <c r="A972" s="203"/>
      <c r="B972" s="203"/>
      <c r="C972" s="203"/>
      <c r="D972" s="203"/>
      <c r="E972" s="203"/>
      <c r="F972" s="203"/>
      <c r="G972" s="203"/>
      <c r="H972" s="203"/>
      <c r="I972" s="203"/>
      <c r="J972" s="203"/>
      <c r="K972" s="203"/>
      <c r="L972" s="203"/>
      <c r="M972" s="203"/>
      <c r="N972" s="203"/>
      <c r="O972" s="203"/>
      <c r="P972" s="211"/>
      <c r="Q972" s="212"/>
      <c r="R972" s="212"/>
      <c r="S972" s="212"/>
      <c r="T972" s="212"/>
      <c r="U972" s="212"/>
      <c r="V972" s="212"/>
      <c r="W972" s="213"/>
      <c r="X972" s="203"/>
      <c r="Y972" s="203"/>
      <c r="Z972" s="203"/>
    </row>
    <row r="973" spans="1:26" ht="25.5" customHeight="1">
      <c r="A973" s="203"/>
      <c r="B973" s="203"/>
      <c r="C973" s="203"/>
      <c r="D973" s="203"/>
      <c r="E973" s="203"/>
      <c r="F973" s="203"/>
      <c r="G973" s="203"/>
      <c r="H973" s="203"/>
      <c r="I973" s="203"/>
      <c r="J973" s="203"/>
      <c r="K973" s="203"/>
      <c r="L973" s="203"/>
      <c r="M973" s="203"/>
      <c r="N973" s="203"/>
      <c r="O973" s="203"/>
      <c r="P973" s="211"/>
      <c r="Q973" s="212"/>
      <c r="R973" s="212"/>
      <c r="S973" s="212"/>
      <c r="T973" s="212"/>
      <c r="U973" s="212"/>
      <c r="V973" s="212"/>
      <c r="W973" s="213"/>
      <c r="X973" s="203"/>
      <c r="Y973" s="203"/>
      <c r="Z973" s="203"/>
    </row>
    <row r="974" spans="1:26" ht="25.5" customHeight="1">
      <c r="A974" s="203"/>
      <c r="B974" s="203"/>
      <c r="C974" s="203"/>
      <c r="D974" s="203"/>
      <c r="E974" s="203"/>
      <c r="F974" s="203"/>
      <c r="G974" s="203"/>
      <c r="H974" s="203"/>
      <c r="I974" s="203"/>
      <c r="J974" s="203"/>
      <c r="K974" s="203"/>
      <c r="L974" s="203"/>
      <c r="M974" s="203"/>
      <c r="N974" s="203"/>
      <c r="O974" s="203"/>
      <c r="P974" s="211"/>
      <c r="Q974" s="212"/>
      <c r="R974" s="212"/>
      <c r="S974" s="212"/>
      <c r="T974" s="212"/>
      <c r="U974" s="212"/>
      <c r="V974" s="212"/>
      <c r="W974" s="213"/>
      <c r="X974" s="203"/>
      <c r="Y974" s="203"/>
      <c r="Z974" s="203"/>
    </row>
    <row r="975" spans="1:26" ht="25.5" customHeight="1">
      <c r="A975" s="203"/>
      <c r="B975" s="203"/>
      <c r="C975" s="203"/>
      <c r="D975" s="203"/>
      <c r="E975" s="203"/>
      <c r="F975" s="203"/>
      <c r="G975" s="203"/>
      <c r="H975" s="203"/>
      <c r="I975" s="203"/>
      <c r="J975" s="203"/>
      <c r="K975" s="203"/>
      <c r="L975" s="203"/>
      <c r="M975" s="203"/>
      <c r="N975" s="203"/>
      <c r="O975" s="203"/>
      <c r="P975" s="211"/>
      <c r="Q975" s="212"/>
      <c r="R975" s="212"/>
      <c r="S975" s="212"/>
      <c r="T975" s="212"/>
      <c r="U975" s="212"/>
      <c r="V975" s="212"/>
      <c r="W975" s="213"/>
      <c r="X975" s="203"/>
      <c r="Y975" s="203"/>
      <c r="Z975" s="203"/>
    </row>
    <row r="976" spans="1:26" ht="25.5" customHeight="1">
      <c r="A976" s="203"/>
      <c r="B976" s="203"/>
      <c r="C976" s="203"/>
      <c r="D976" s="203"/>
      <c r="E976" s="203"/>
      <c r="F976" s="203"/>
      <c r="G976" s="203"/>
      <c r="H976" s="203"/>
      <c r="I976" s="203"/>
      <c r="J976" s="203"/>
      <c r="K976" s="203"/>
      <c r="L976" s="203"/>
      <c r="M976" s="203"/>
      <c r="N976" s="203"/>
      <c r="O976" s="203"/>
      <c r="P976" s="211"/>
      <c r="Q976" s="212"/>
      <c r="R976" s="212"/>
      <c r="S976" s="212"/>
      <c r="T976" s="212"/>
      <c r="U976" s="212"/>
      <c r="V976" s="212"/>
      <c r="W976" s="213"/>
      <c r="X976" s="203"/>
      <c r="Y976" s="203"/>
      <c r="Z976" s="203"/>
    </row>
    <row r="977" spans="1:26" ht="25.5" customHeight="1">
      <c r="A977" s="203"/>
      <c r="B977" s="203"/>
      <c r="C977" s="203"/>
      <c r="D977" s="203"/>
      <c r="E977" s="203"/>
      <c r="F977" s="203"/>
      <c r="G977" s="203"/>
      <c r="H977" s="203"/>
      <c r="I977" s="203"/>
      <c r="J977" s="203"/>
      <c r="K977" s="203"/>
      <c r="L977" s="203"/>
      <c r="M977" s="203"/>
      <c r="N977" s="203"/>
      <c r="O977" s="203"/>
      <c r="P977" s="211"/>
      <c r="Q977" s="212"/>
      <c r="R977" s="212"/>
      <c r="S977" s="212"/>
      <c r="T977" s="212"/>
      <c r="U977" s="212"/>
      <c r="V977" s="212"/>
      <c r="W977" s="213"/>
      <c r="X977" s="203"/>
      <c r="Y977" s="203"/>
      <c r="Z977" s="203"/>
    </row>
    <row r="978" spans="1:26" ht="25.5" customHeight="1">
      <c r="A978" s="203"/>
      <c r="B978" s="203"/>
      <c r="C978" s="203"/>
      <c r="D978" s="203"/>
      <c r="E978" s="203"/>
      <c r="F978" s="203"/>
      <c r="G978" s="203"/>
      <c r="H978" s="203"/>
      <c r="I978" s="203"/>
      <c r="J978" s="203"/>
      <c r="K978" s="203"/>
      <c r="L978" s="203"/>
      <c r="M978" s="203"/>
      <c r="N978" s="203"/>
      <c r="O978" s="203"/>
      <c r="P978" s="211"/>
      <c r="Q978" s="212"/>
      <c r="R978" s="212"/>
      <c r="S978" s="212"/>
      <c r="T978" s="212"/>
      <c r="U978" s="212"/>
      <c r="V978" s="212"/>
      <c r="W978" s="213"/>
      <c r="X978" s="203"/>
      <c r="Y978" s="203"/>
      <c r="Z978" s="203"/>
    </row>
    <row r="979" spans="1:26" ht="25.5" customHeight="1">
      <c r="A979" s="203"/>
      <c r="B979" s="203"/>
      <c r="C979" s="203"/>
      <c r="D979" s="203"/>
      <c r="E979" s="203"/>
      <c r="F979" s="203"/>
      <c r="G979" s="203"/>
      <c r="H979" s="203"/>
      <c r="I979" s="203"/>
      <c r="J979" s="203"/>
      <c r="K979" s="203"/>
      <c r="L979" s="203"/>
      <c r="M979" s="203"/>
      <c r="N979" s="203"/>
      <c r="O979" s="203"/>
      <c r="P979" s="211"/>
      <c r="Q979" s="212"/>
      <c r="R979" s="212"/>
      <c r="S979" s="212"/>
      <c r="T979" s="212"/>
      <c r="U979" s="212"/>
      <c r="V979" s="212"/>
      <c r="W979" s="213"/>
      <c r="X979" s="203"/>
      <c r="Y979" s="203"/>
      <c r="Z979" s="203"/>
    </row>
    <row r="980" spans="1:26" ht="25.5" customHeight="1">
      <c r="A980" s="203"/>
      <c r="B980" s="203"/>
      <c r="C980" s="203"/>
      <c r="D980" s="203"/>
      <c r="E980" s="203"/>
      <c r="F980" s="203"/>
      <c r="G980" s="203"/>
      <c r="H980" s="203"/>
      <c r="I980" s="203"/>
      <c r="J980" s="203"/>
      <c r="K980" s="203"/>
      <c r="L980" s="203"/>
      <c r="M980" s="203"/>
      <c r="N980" s="203"/>
      <c r="O980" s="203"/>
      <c r="P980" s="211"/>
      <c r="Q980" s="212"/>
      <c r="R980" s="212"/>
      <c r="S980" s="212"/>
      <c r="T980" s="212"/>
      <c r="U980" s="212"/>
      <c r="V980" s="212"/>
      <c r="W980" s="213"/>
      <c r="X980" s="203"/>
      <c r="Y980" s="203"/>
      <c r="Z980" s="203"/>
    </row>
    <row r="981" spans="1:26" ht="25.5" customHeight="1">
      <c r="A981" s="203"/>
      <c r="B981" s="203"/>
      <c r="C981" s="203"/>
      <c r="D981" s="203"/>
      <c r="E981" s="203"/>
      <c r="F981" s="203"/>
      <c r="G981" s="203"/>
      <c r="H981" s="203"/>
      <c r="I981" s="203"/>
      <c r="J981" s="203"/>
      <c r="K981" s="203"/>
      <c r="L981" s="203"/>
      <c r="M981" s="203"/>
      <c r="N981" s="203"/>
      <c r="O981" s="203"/>
      <c r="P981" s="211"/>
      <c r="Q981" s="212"/>
      <c r="R981" s="212"/>
      <c r="S981" s="212"/>
      <c r="T981" s="212"/>
      <c r="U981" s="212"/>
      <c r="V981" s="212"/>
      <c r="W981" s="213"/>
      <c r="X981" s="203"/>
      <c r="Y981" s="203"/>
      <c r="Z981" s="203"/>
    </row>
    <row r="982" spans="1:26" ht="25.5" customHeight="1">
      <c r="A982" s="203"/>
      <c r="B982" s="203"/>
      <c r="C982" s="203"/>
      <c r="D982" s="203"/>
      <c r="E982" s="203"/>
      <c r="F982" s="203"/>
      <c r="G982" s="203"/>
      <c r="H982" s="203"/>
      <c r="I982" s="203"/>
      <c r="J982" s="203"/>
      <c r="K982" s="203"/>
      <c r="L982" s="203"/>
      <c r="M982" s="203"/>
      <c r="N982" s="203"/>
      <c r="O982" s="203"/>
      <c r="P982" s="211"/>
      <c r="Q982" s="212"/>
      <c r="R982" s="212"/>
      <c r="S982" s="212"/>
      <c r="T982" s="212"/>
      <c r="U982" s="212"/>
      <c r="V982" s="212"/>
      <c r="W982" s="213"/>
      <c r="X982" s="203"/>
      <c r="Y982" s="203"/>
      <c r="Z982" s="203"/>
    </row>
    <row r="983" spans="1:26" ht="25.5" customHeight="1">
      <c r="A983" s="203"/>
      <c r="B983" s="203"/>
      <c r="C983" s="203"/>
      <c r="D983" s="203"/>
      <c r="E983" s="203"/>
      <c r="F983" s="203"/>
      <c r="G983" s="203"/>
      <c r="H983" s="203"/>
      <c r="I983" s="203"/>
      <c r="J983" s="203"/>
      <c r="K983" s="203"/>
      <c r="L983" s="203"/>
      <c r="M983" s="203"/>
      <c r="N983" s="203"/>
      <c r="O983" s="203"/>
      <c r="P983" s="211"/>
      <c r="Q983" s="212"/>
      <c r="R983" s="212"/>
      <c r="S983" s="212"/>
      <c r="T983" s="212"/>
      <c r="U983" s="212"/>
      <c r="V983" s="212"/>
      <c r="W983" s="213"/>
      <c r="X983" s="203"/>
      <c r="Y983" s="203"/>
      <c r="Z983" s="203"/>
    </row>
    <row r="984" spans="1:26" ht="25.5" customHeight="1">
      <c r="A984" s="203"/>
      <c r="B984" s="203"/>
      <c r="C984" s="203"/>
      <c r="D984" s="203"/>
      <c r="E984" s="203"/>
      <c r="F984" s="203"/>
      <c r="G984" s="203"/>
      <c r="H984" s="203"/>
      <c r="I984" s="203"/>
      <c r="J984" s="203"/>
      <c r="K984" s="203"/>
      <c r="L984" s="203"/>
      <c r="M984" s="203"/>
      <c r="N984" s="203"/>
      <c r="O984" s="203"/>
      <c r="P984" s="211"/>
      <c r="Q984" s="212"/>
      <c r="R984" s="212"/>
      <c r="S984" s="212"/>
      <c r="T984" s="212"/>
      <c r="U984" s="212"/>
      <c r="V984" s="212"/>
      <c r="W984" s="213"/>
      <c r="X984" s="203"/>
      <c r="Y984" s="203"/>
      <c r="Z984" s="203"/>
    </row>
    <row r="985" spans="1:26" ht="25.5" customHeight="1">
      <c r="A985" s="203"/>
      <c r="B985" s="203"/>
      <c r="C985" s="203"/>
      <c r="D985" s="203"/>
      <c r="E985" s="203"/>
      <c r="F985" s="203"/>
      <c r="G985" s="203"/>
      <c r="H985" s="203"/>
      <c r="I985" s="203"/>
      <c r="J985" s="203"/>
      <c r="K985" s="203"/>
      <c r="L985" s="203"/>
      <c r="M985" s="203"/>
      <c r="N985" s="203"/>
      <c r="O985" s="203"/>
      <c r="P985" s="211"/>
      <c r="Q985" s="212"/>
      <c r="R985" s="212"/>
      <c r="S985" s="212"/>
      <c r="T985" s="212"/>
      <c r="U985" s="212"/>
      <c r="V985" s="212"/>
      <c r="W985" s="213"/>
      <c r="X985" s="203"/>
      <c r="Y985" s="203"/>
      <c r="Z985" s="203"/>
    </row>
    <row r="986" spans="1:26" ht="25.5" customHeight="1">
      <c r="A986" s="203"/>
      <c r="B986" s="203"/>
      <c r="C986" s="203"/>
      <c r="D986" s="203"/>
      <c r="E986" s="203"/>
      <c r="F986" s="203"/>
      <c r="G986" s="203"/>
      <c r="H986" s="203"/>
      <c r="I986" s="203"/>
      <c r="J986" s="203"/>
      <c r="K986" s="203"/>
      <c r="L986" s="203"/>
      <c r="M986" s="203"/>
      <c r="N986" s="203"/>
      <c r="O986" s="203"/>
      <c r="P986" s="211"/>
      <c r="Q986" s="212"/>
      <c r="R986" s="212"/>
      <c r="S986" s="212"/>
      <c r="T986" s="212"/>
      <c r="U986" s="212"/>
      <c r="V986" s="212"/>
      <c r="W986" s="213"/>
      <c r="X986" s="203"/>
      <c r="Y986" s="203"/>
      <c r="Z986" s="203"/>
    </row>
    <row r="987" spans="1:26" ht="25.5" customHeight="1">
      <c r="A987" s="203"/>
      <c r="B987" s="203"/>
      <c r="C987" s="203"/>
      <c r="D987" s="203"/>
      <c r="E987" s="203"/>
      <c r="F987" s="203"/>
      <c r="G987" s="203"/>
      <c r="H987" s="203"/>
      <c r="I987" s="203"/>
      <c r="J987" s="203"/>
      <c r="K987" s="203"/>
      <c r="L987" s="203"/>
      <c r="M987" s="203"/>
      <c r="N987" s="203"/>
      <c r="O987" s="203"/>
      <c r="P987" s="211"/>
      <c r="Q987" s="212"/>
      <c r="R987" s="212"/>
      <c r="S987" s="212"/>
      <c r="T987" s="212"/>
      <c r="U987" s="212"/>
      <c r="V987" s="212"/>
      <c r="W987" s="213"/>
      <c r="X987" s="203"/>
      <c r="Y987" s="203"/>
      <c r="Z987" s="203"/>
    </row>
    <row r="988" spans="1:26" ht="25.5" customHeight="1">
      <c r="A988" s="203"/>
      <c r="B988" s="203"/>
      <c r="C988" s="203"/>
      <c r="D988" s="203"/>
      <c r="E988" s="203"/>
      <c r="F988" s="203"/>
      <c r="G988" s="203"/>
      <c r="H988" s="203"/>
      <c r="I988" s="203"/>
      <c r="J988" s="203"/>
      <c r="K988" s="203"/>
      <c r="L988" s="203"/>
      <c r="M988" s="203"/>
      <c r="N988" s="203"/>
      <c r="O988" s="203"/>
      <c r="P988" s="211"/>
      <c r="Q988" s="212"/>
      <c r="R988" s="212"/>
      <c r="S988" s="212"/>
      <c r="T988" s="212"/>
      <c r="U988" s="212"/>
      <c r="V988" s="212"/>
      <c r="W988" s="213"/>
      <c r="X988" s="203"/>
      <c r="Y988" s="203"/>
      <c r="Z988" s="203"/>
    </row>
    <row r="989" spans="1:26" ht="25.5" customHeight="1">
      <c r="A989" s="203"/>
      <c r="B989" s="203"/>
      <c r="C989" s="203"/>
      <c r="D989" s="203"/>
      <c r="E989" s="203"/>
      <c r="F989" s="203"/>
      <c r="G989" s="203"/>
      <c r="H989" s="203"/>
      <c r="I989" s="203"/>
      <c r="J989" s="203"/>
      <c r="K989" s="203"/>
      <c r="L989" s="203"/>
      <c r="M989" s="203"/>
      <c r="N989" s="203"/>
      <c r="O989" s="203"/>
      <c r="P989" s="211"/>
      <c r="Q989" s="212"/>
      <c r="R989" s="212"/>
      <c r="S989" s="212"/>
      <c r="T989" s="212"/>
      <c r="U989" s="212"/>
      <c r="V989" s="212"/>
      <c r="W989" s="213"/>
      <c r="X989" s="203"/>
      <c r="Y989" s="203"/>
      <c r="Z989" s="203"/>
    </row>
    <row r="990" spans="1:26" ht="25.5" customHeight="1">
      <c r="A990" s="203"/>
      <c r="B990" s="203"/>
      <c r="C990" s="203"/>
      <c r="D990" s="203"/>
      <c r="E990" s="203"/>
      <c r="F990" s="203"/>
      <c r="G990" s="203"/>
      <c r="H990" s="203"/>
      <c r="I990" s="203"/>
      <c r="J990" s="203"/>
      <c r="K990" s="203"/>
      <c r="L990" s="203"/>
      <c r="M990" s="203"/>
      <c r="N990" s="203"/>
      <c r="O990" s="203"/>
      <c r="P990" s="211"/>
      <c r="Q990" s="212"/>
      <c r="R990" s="212"/>
      <c r="S990" s="212"/>
      <c r="T990" s="212"/>
      <c r="U990" s="212"/>
      <c r="V990" s="212"/>
      <c r="W990" s="213"/>
      <c r="X990" s="203"/>
      <c r="Y990" s="203"/>
      <c r="Z990" s="203"/>
    </row>
    <row r="991" spans="1:26" ht="25.5" customHeight="1">
      <c r="A991" s="203"/>
      <c r="B991" s="203"/>
      <c r="C991" s="203"/>
      <c r="D991" s="203"/>
      <c r="E991" s="203"/>
      <c r="F991" s="203"/>
      <c r="G991" s="203"/>
      <c r="H991" s="203"/>
      <c r="I991" s="203"/>
      <c r="J991" s="203"/>
      <c r="K991" s="203"/>
      <c r="L991" s="203"/>
      <c r="M991" s="203"/>
      <c r="N991" s="203"/>
      <c r="O991" s="203"/>
      <c r="P991" s="211"/>
      <c r="Q991" s="212"/>
      <c r="R991" s="212"/>
      <c r="S991" s="212"/>
      <c r="T991" s="212"/>
      <c r="U991" s="212"/>
      <c r="V991" s="212"/>
      <c r="W991" s="213"/>
      <c r="X991" s="203"/>
      <c r="Y991" s="203"/>
      <c r="Z991" s="203"/>
    </row>
    <row r="992" spans="1:26" ht="25.5" customHeight="1">
      <c r="A992" s="203"/>
      <c r="B992" s="203"/>
      <c r="C992" s="203"/>
      <c r="D992" s="203"/>
      <c r="E992" s="203"/>
      <c r="F992" s="203"/>
      <c r="G992" s="203"/>
      <c r="H992" s="203"/>
      <c r="I992" s="203"/>
      <c r="J992" s="203"/>
      <c r="K992" s="203"/>
      <c r="L992" s="203"/>
      <c r="M992" s="203"/>
      <c r="N992" s="203"/>
      <c r="O992" s="203"/>
      <c r="P992" s="211"/>
      <c r="Q992" s="212"/>
      <c r="R992" s="212"/>
      <c r="S992" s="212"/>
      <c r="T992" s="212"/>
      <c r="U992" s="212"/>
      <c r="V992" s="212"/>
      <c r="W992" s="213"/>
      <c r="X992" s="203"/>
      <c r="Y992" s="203"/>
      <c r="Z992" s="203"/>
    </row>
    <row r="993" spans="1:26" ht="25.5" customHeight="1">
      <c r="A993" s="203"/>
      <c r="B993" s="203"/>
      <c r="C993" s="203"/>
      <c r="D993" s="203"/>
      <c r="E993" s="203"/>
      <c r="F993" s="203"/>
      <c r="G993" s="203"/>
      <c r="H993" s="203"/>
      <c r="I993" s="203"/>
      <c r="J993" s="203"/>
      <c r="K993" s="203"/>
      <c r="L993" s="203"/>
      <c r="M993" s="203"/>
      <c r="N993" s="203"/>
      <c r="O993" s="203"/>
      <c r="P993" s="211"/>
      <c r="Q993" s="212"/>
      <c r="R993" s="212"/>
      <c r="S993" s="212"/>
      <c r="T993" s="212"/>
      <c r="U993" s="212"/>
      <c r="V993" s="212"/>
      <c r="W993" s="213"/>
      <c r="X993" s="203"/>
      <c r="Y993" s="203"/>
      <c r="Z993" s="203"/>
    </row>
    <row r="994" spans="1:26" ht="25.5" customHeight="1">
      <c r="A994" s="203"/>
      <c r="B994" s="203"/>
      <c r="C994" s="203"/>
      <c r="D994" s="203"/>
      <c r="E994" s="203"/>
      <c r="F994" s="203"/>
      <c r="G994" s="203"/>
      <c r="H994" s="203"/>
      <c r="I994" s="203"/>
      <c r="J994" s="203"/>
      <c r="K994" s="203"/>
      <c r="L994" s="203"/>
      <c r="M994" s="203"/>
      <c r="N994" s="203"/>
      <c r="O994" s="203"/>
      <c r="P994" s="211"/>
      <c r="Q994" s="212"/>
      <c r="R994" s="212"/>
      <c r="S994" s="212"/>
      <c r="T994" s="212"/>
      <c r="U994" s="212"/>
      <c r="V994" s="212"/>
      <c r="W994" s="213"/>
      <c r="X994" s="203"/>
      <c r="Y994" s="203"/>
      <c r="Z994" s="203"/>
    </row>
    <row r="995" spans="1:26" ht="25.5" customHeight="1">
      <c r="A995" s="203"/>
      <c r="B995" s="203"/>
      <c r="C995" s="203"/>
      <c r="D995" s="203"/>
      <c r="E995" s="203"/>
      <c r="F995" s="203"/>
      <c r="G995" s="203"/>
      <c r="H995" s="203"/>
      <c r="I995" s="203"/>
      <c r="J995" s="203"/>
      <c r="K995" s="203"/>
      <c r="L995" s="203"/>
      <c r="M995" s="203"/>
      <c r="N995" s="203"/>
      <c r="O995" s="203"/>
      <c r="P995" s="211"/>
      <c r="Q995" s="212"/>
      <c r="R995" s="212"/>
      <c r="S995" s="212"/>
      <c r="T995" s="212"/>
      <c r="U995" s="212"/>
      <c r="V995" s="212"/>
      <c r="W995" s="213"/>
      <c r="X995" s="203"/>
      <c r="Y995" s="203"/>
      <c r="Z995" s="203"/>
    </row>
    <row r="996" spans="1:26" ht="25.5" customHeight="1">
      <c r="A996" s="203"/>
      <c r="B996" s="203"/>
      <c r="C996" s="203"/>
      <c r="D996" s="203"/>
      <c r="E996" s="203"/>
      <c r="F996" s="203"/>
      <c r="G996" s="203"/>
      <c r="H996" s="203"/>
      <c r="I996" s="203"/>
      <c r="J996" s="203"/>
      <c r="K996" s="203"/>
      <c r="L996" s="203"/>
      <c r="M996" s="203"/>
      <c r="N996" s="203"/>
      <c r="O996" s="203"/>
      <c r="P996" s="211"/>
      <c r="Q996" s="212"/>
      <c r="R996" s="212"/>
      <c r="S996" s="212"/>
      <c r="T996" s="212"/>
      <c r="U996" s="212"/>
      <c r="V996" s="212"/>
      <c r="W996" s="213"/>
      <c r="X996" s="203"/>
      <c r="Y996" s="203"/>
      <c r="Z996" s="203"/>
    </row>
    <row r="997" spans="1:26" ht="25.5" customHeight="1">
      <c r="A997" s="203"/>
      <c r="B997" s="203"/>
      <c r="C997" s="203"/>
      <c r="D997" s="203"/>
      <c r="E997" s="203"/>
      <c r="F997" s="203"/>
      <c r="G997" s="203"/>
      <c r="H997" s="203"/>
      <c r="I997" s="203"/>
      <c r="J997" s="203"/>
      <c r="K997" s="203"/>
      <c r="L997" s="203"/>
      <c r="M997" s="203"/>
      <c r="N997" s="203"/>
      <c r="O997" s="203"/>
      <c r="P997" s="211"/>
      <c r="Q997" s="212"/>
      <c r="R997" s="212"/>
      <c r="S997" s="212"/>
      <c r="T997" s="212"/>
      <c r="U997" s="212"/>
      <c r="V997" s="212"/>
      <c r="W997" s="213"/>
      <c r="X997" s="203"/>
      <c r="Y997" s="203"/>
      <c r="Z997" s="203"/>
    </row>
    <row r="998" spans="1:26" ht="25.5" customHeight="1">
      <c r="A998" s="203"/>
      <c r="B998" s="203"/>
      <c r="C998" s="203"/>
      <c r="D998" s="203"/>
      <c r="E998" s="203"/>
      <c r="F998" s="203"/>
      <c r="G998" s="203"/>
      <c r="H998" s="203"/>
      <c r="I998" s="203"/>
      <c r="J998" s="203"/>
      <c r="K998" s="203"/>
      <c r="L998" s="203"/>
      <c r="M998" s="203"/>
      <c r="N998" s="203"/>
      <c r="O998" s="203"/>
      <c r="P998" s="211"/>
      <c r="Q998" s="212"/>
      <c r="R998" s="212"/>
      <c r="S998" s="212"/>
      <c r="T998" s="212"/>
      <c r="U998" s="212"/>
      <c r="V998" s="212"/>
      <c r="W998" s="213"/>
      <c r="X998" s="203"/>
      <c r="Y998" s="203"/>
      <c r="Z998" s="203"/>
    </row>
    <row r="999" spans="1:26" ht="25.5" customHeight="1">
      <c r="A999" s="203"/>
      <c r="B999" s="203"/>
      <c r="C999" s="203"/>
      <c r="D999" s="203"/>
      <c r="E999" s="203"/>
      <c r="F999" s="203"/>
      <c r="G999" s="203"/>
      <c r="H999" s="203"/>
      <c r="I999" s="203"/>
      <c r="J999" s="203"/>
      <c r="K999" s="203"/>
      <c r="L999" s="203"/>
      <c r="M999" s="203"/>
      <c r="N999" s="203"/>
      <c r="O999" s="203"/>
      <c r="P999" s="211"/>
      <c r="Q999" s="212"/>
      <c r="R999" s="212"/>
      <c r="S999" s="212"/>
      <c r="T999" s="212"/>
      <c r="U999" s="212"/>
      <c r="V999" s="212"/>
      <c r="W999" s="213"/>
      <c r="X999" s="203"/>
      <c r="Y999" s="203"/>
      <c r="Z999" s="203"/>
    </row>
    <row r="1000" spans="1:26" ht="25.5" customHeight="1">
      <c r="A1000" s="203"/>
      <c r="B1000" s="203"/>
      <c r="C1000" s="203"/>
      <c r="D1000" s="203"/>
      <c r="E1000" s="203"/>
      <c r="F1000" s="203"/>
      <c r="G1000" s="203"/>
      <c r="H1000" s="203"/>
      <c r="I1000" s="203"/>
      <c r="J1000" s="203"/>
      <c r="K1000" s="203"/>
      <c r="L1000" s="203"/>
      <c r="M1000" s="203"/>
      <c r="N1000" s="203"/>
      <c r="O1000" s="203"/>
      <c r="P1000" s="211"/>
      <c r="Q1000" s="212"/>
      <c r="R1000" s="212"/>
      <c r="S1000" s="212"/>
      <c r="T1000" s="212"/>
      <c r="U1000" s="212"/>
      <c r="V1000" s="212"/>
      <c r="W1000" s="213"/>
      <c r="X1000" s="203"/>
      <c r="Y1000" s="203"/>
      <c r="Z1000" s="203"/>
    </row>
  </sheetData>
  <mergeCells count="18">
    <mergeCell ref="K5:M7"/>
    <mergeCell ref="H7:J7"/>
    <mergeCell ref="A1:W1"/>
    <mergeCell ref="A2:W2"/>
    <mergeCell ref="A3:W3"/>
    <mergeCell ref="A4:W4"/>
    <mergeCell ref="A5:A8"/>
    <mergeCell ref="B5:B8"/>
    <mergeCell ref="V5:W7"/>
    <mergeCell ref="N5:O7"/>
    <mergeCell ref="P5:S7"/>
    <mergeCell ref="T5:T8"/>
    <mergeCell ref="U5:U8"/>
    <mergeCell ref="C5:C8"/>
    <mergeCell ref="G7:G8"/>
    <mergeCell ref="D5:D8"/>
    <mergeCell ref="E5:F7"/>
    <mergeCell ref="G5:J6"/>
  </mergeCells>
  <conditionalFormatting sqref="A10:L500 N10:S500 U10:W500">
    <cfRule type="cellIs" dxfId="20" priority="1" operator="notEqual">
      <formula>0</formula>
    </cfRule>
  </conditionalFormatting>
  <conditionalFormatting sqref="A9:L500 N9:S500 U9:W500">
    <cfRule type="containsBlanks" dxfId="19" priority="2">
      <formula>LEN(TRIM(A9))=0</formula>
    </cfRule>
  </conditionalFormatting>
  <dataValidations count="2">
    <dataValidation type="list" allowBlank="1" showErrorMessage="1" sqref="G9:J500 N9:O500 V9:W500">
      <formula1>"X"</formula1>
    </dataValidation>
    <dataValidation type="list" allowBlank="1" showErrorMessage="1" sqref="U9:U500">
      <formula1>"Terminada,En proceso"</formula1>
    </dataValidation>
  </dataValidations>
  <printOptions horizontalCentered="1"/>
  <pageMargins left="0.55118110236220474" right="0.55118110236220474" top="0.59055118110236227" bottom="0.98425196850393704" header="0" footer="0"/>
  <pageSetup scale="44" orientation="landscape"/>
  <headerFooter>
    <oddFooter>&amp;RInformativa anual de obras Página &amp;P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D8D8D8"/>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404"/>
      <c r="B1" s="873" t="str">
        <f>"Nombre del Ente Público: "&amp;Validacion!A2</f>
        <v>Nombre del Ente Público: Guadalajara</v>
      </c>
      <c r="C1" s="746"/>
      <c r="D1" s="746"/>
      <c r="E1" s="746"/>
      <c r="F1" s="746"/>
      <c r="G1" s="746"/>
      <c r="H1" s="746"/>
      <c r="I1" s="746"/>
      <c r="J1" s="746"/>
      <c r="K1" s="746"/>
      <c r="L1" s="746"/>
      <c r="M1" s="746"/>
      <c r="N1" s="746"/>
      <c r="O1" s="746"/>
      <c r="P1" s="746"/>
      <c r="Q1" s="746"/>
      <c r="R1" s="746"/>
      <c r="S1" s="746"/>
      <c r="T1" s="746"/>
      <c r="U1" s="746"/>
      <c r="V1" s="746"/>
      <c r="W1" s="746"/>
      <c r="X1" s="746"/>
      <c r="Y1" s="746"/>
      <c r="Z1" s="746"/>
      <c r="AA1" s="746"/>
      <c r="AB1" s="746"/>
      <c r="AC1" s="746"/>
      <c r="AD1" s="746"/>
      <c r="AE1" s="746"/>
      <c r="AF1" s="746"/>
      <c r="AG1" s="746"/>
      <c r="AH1" s="746"/>
      <c r="AI1" s="746"/>
      <c r="AJ1" s="746"/>
      <c r="AK1" s="746"/>
      <c r="AL1" s="746"/>
      <c r="AM1" s="746"/>
      <c r="AN1" s="746"/>
      <c r="AO1" s="746"/>
      <c r="AP1" s="746"/>
      <c r="AQ1" s="746"/>
      <c r="AR1" s="746"/>
      <c r="AS1" s="746"/>
      <c r="AT1" s="746"/>
      <c r="AU1" s="746"/>
      <c r="AV1" s="746"/>
      <c r="AW1" s="746"/>
      <c r="AX1" s="746"/>
      <c r="AY1" s="746"/>
      <c r="AZ1" s="746"/>
      <c r="BA1" s="746"/>
      <c r="BB1" s="746"/>
      <c r="BC1" s="746"/>
      <c r="BD1" s="746"/>
      <c r="BE1" s="746"/>
      <c r="BF1" s="746"/>
      <c r="BG1" s="746"/>
      <c r="BH1" s="746"/>
      <c r="BI1" s="746"/>
      <c r="BJ1" s="746"/>
      <c r="BK1" s="746"/>
      <c r="BL1" s="746"/>
      <c r="BM1" s="746"/>
      <c r="BN1" s="747"/>
    </row>
    <row r="2" spans="1:66" ht="11.25" customHeight="1">
      <c r="A2" s="405"/>
      <c r="B2" s="874" t="s">
        <v>6397</v>
      </c>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c r="AT2" s="749"/>
      <c r="AU2" s="749"/>
      <c r="AV2" s="749"/>
      <c r="AW2" s="749"/>
      <c r="AX2" s="749"/>
      <c r="AY2" s="749"/>
      <c r="AZ2" s="749"/>
      <c r="BA2" s="749"/>
      <c r="BB2" s="749"/>
      <c r="BC2" s="749"/>
      <c r="BD2" s="749"/>
      <c r="BE2" s="749"/>
      <c r="BF2" s="749"/>
      <c r="BG2" s="749"/>
      <c r="BH2" s="749"/>
      <c r="BI2" s="749"/>
      <c r="BJ2" s="749"/>
      <c r="BK2" s="749"/>
      <c r="BL2" s="749"/>
      <c r="BM2" s="749"/>
      <c r="BN2" s="750"/>
    </row>
    <row r="3" spans="1:66" ht="11.25" customHeight="1">
      <c r="A3" s="405"/>
      <c r="B3" s="875" t="str">
        <f t="array" ref="B3">"Al "&amp;INDEX(Validacion!D185:D196,MATCH(Validacion!A11,Validacion!C185:C196,0))</f>
        <v>Al 31 de Agosto de 2025</v>
      </c>
      <c r="C3" s="749"/>
      <c r="D3" s="749"/>
      <c r="E3" s="749"/>
      <c r="F3" s="749"/>
      <c r="G3" s="749"/>
      <c r="H3" s="749"/>
      <c r="I3" s="749"/>
      <c r="J3" s="749"/>
      <c r="K3" s="749"/>
      <c r="L3" s="749"/>
      <c r="M3" s="749"/>
      <c r="N3" s="749"/>
      <c r="O3" s="749"/>
      <c r="P3" s="749"/>
      <c r="Q3" s="749"/>
      <c r="R3" s="749"/>
      <c r="S3" s="749"/>
      <c r="T3" s="749"/>
      <c r="U3" s="749"/>
      <c r="V3" s="749"/>
      <c r="W3" s="749"/>
      <c r="X3" s="749"/>
      <c r="Y3" s="749"/>
      <c r="Z3" s="749"/>
      <c r="AA3" s="749"/>
      <c r="AB3" s="749"/>
      <c r="AC3" s="749"/>
      <c r="AD3" s="749"/>
      <c r="AE3" s="749"/>
      <c r="AF3" s="749"/>
      <c r="AG3" s="749"/>
      <c r="AH3" s="749"/>
      <c r="AI3" s="749"/>
      <c r="AJ3" s="749"/>
      <c r="AK3" s="749"/>
      <c r="AL3" s="749"/>
      <c r="AM3" s="749"/>
      <c r="AN3" s="749"/>
      <c r="AO3" s="749"/>
      <c r="AP3" s="749"/>
      <c r="AQ3" s="749"/>
      <c r="AR3" s="749"/>
      <c r="AS3" s="749"/>
      <c r="AT3" s="749"/>
      <c r="AU3" s="749"/>
      <c r="AV3" s="749"/>
      <c r="AW3" s="749"/>
      <c r="AX3" s="749"/>
      <c r="AY3" s="749"/>
      <c r="AZ3" s="749"/>
      <c r="BA3" s="749"/>
      <c r="BB3" s="749"/>
      <c r="BC3" s="749"/>
      <c r="BD3" s="749"/>
      <c r="BE3" s="749"/>
      <c r="BF3" s="749"/>
      <c r="BG3" s="749"/>
      <c r="BH3" s="749"/>
      <c r="BI3" s="749"/>
      <c r="BJ3" s="749"/>
      <c r="BK3" s="749"/>
      <c r="BL3" s="749"/>
      <c r="BM3" s="749"/>
      <c r="BN3" s="750"/>
    </row>
    <row r="4" spans="1:66" ht="15" customHeight="1">
      <c r="A4" s="406"/>
      <c r="B4" s="876" t="s">
        <v>6368</v>
      </c>
      <c r="C4" s="753"/>
      <c r="D4" s="753"/>
      <c r="E4" s="753"/>
      <c r="F4" s="753"/>
      <c r="G4" s="753"/>
      <c r="H4" s="753"/>
      <c r="I4" s="753"/>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3"/>
      <c r="AZ4" s="753"/>
      <c r="BA4" s="753"/>
      <c r="BB4" s="753"/>
      <c r="BC4" s="753"/>
      <c r="BD4" s="753"/>
      <c r="BE4" s="753"/>
      <c r="BF4" s="753"/>
      <c r="BG4" s="753"/>
      <c r="BH4" s="753"/>
      <c r="BI4" s="753"/>
      <c r="BJ4" s="753"/>
      <c r="BK4" s="753"/>
      <c r="BL4" s="753"/>
      <c r="BM4" s="753"/>
      <c r="BN4" s="754"/>
    </row>
    <row r="5" spans="1:66" ht="11.25" customHeight="1">
      <c r="A5" s="407" t="s">
        <v>6398</v>
      </c>
      <c r="B5" s="877" t="s">
        <v>4379</v>
      </c>
      <c r="C5" s="756"/>
      <c r="D5" s="756"/>
      <c r="E5" s="756"/>
      <c r="F5" s="756"/>
      <c r="G5" s="756"/>
      <c r="H5" s="756"/>
      <c r="I5" s="756"/>
      <c r="J5" s="756"/>
      <c r="K5" s="756"/>
      <c r="L5" s="756"/>
      <c r="M5" s="756"/>
      <c r="N5" s="756"/>
      <c r="O5" s="756"/>
      <c r="P5" s="756"/>
      <c r="Q5" s="756"/>
      <c r="R5" s="756"/>
      <c r="S5" s="756"/>
      <c r="T5" s="756"/>
      <c r="U5" s="756"/>
      <c r="V5" s="756"/>
      <c r="W5" s="756"/>
      <c r="X5" s="756"/>
      <c r="Y5" s="756"/>
      <c r="Z5" s="756"/>
      <c r="AA5" s="756"/>
      <c r="AB5" s="756"/>
      <c r="AC5" s="756"/>
      <c r="AD5" s="756"/>
      <c r="AE5" s="733"/>
      <c r="AF5" s="408">
        <f>Validacion!F185</f>
        <v>2025</v>
      </c>
      <c r="AG5" s="214">
        <f>Validacion!F186</f>
        <v>2024</v>
      </c>
      <c r="AH5" s="409" t="s">
        <v>6398</v>
      </c>
      <c r="AI5" s="877" t="s">
        <v>4379</v>
      </c>
      <c r="AJ5" s="756"/>
      <c r="AK5" s="756"/>
      <c r="AL5" s="756"/>
      <c r="AM5" s="756"/>
      <c r="AN5" s="756"/>
      <c r="AO5" s="756"/>
      <c r="AP5" s="756"/>
      <c r="AQ5" s="756"/>
      <c r="AR5" s="756"/>
      <c r="AS5" s="756"/>
      <c r="AT5" s="756"/>
      <c r="AU5" s="756"/>
      <c r="AV5" s="756"/>
      <c r="AW5" s="756"/>
      <c r="AX5" s="756"/>
      <c r="AY5" s="756"/>
      <c r="AZ5" s="756"/>
      <c r="BA5" s="756"/>
      <c r="BB5" s="756"/>
      <c r="BC5" s="756"/>
      <c r="BD5" s="756"/>
      <c r="BE5" s="756"/>
      <c r="BF5" s="756"/>
      <c r="BG5" s="756"/>
      <c r="BH5" s="756"/>
      <c r="BI5" s="756"/>
      <c r="BJ5" s="756"/>
      <c r="BK5" s="756"/>
      <c r="BL5" s="733"/>
      <c r="BM5" s="214">
        <f>Validacion!F185</f>
        <v>2025</v>
      </c>
      <c r="BN5" s="214">
        <f>Validacion!F186</f>
        <v>2024</v>
      </c>
    </row>
    <row r="6" spans="1:66" ht="15" customHeight="1">
      <c r="A6" s="410">
        <v>10000</v>
      </c>
      <c r="B6" s="879" t="s">
        <v>6399</v>
      </c>
      <c r="C6" s="795"/>
      <c r="D6" s="795"/>
      <c r="E6" s="795"/>
      <c r="F6" s="795"/>
      <c r="G6" s="795"/>
      <c r="H6" s="795"/>
      <c r="I6" s="795"/>
      <c r="J6" s="795"/>
      <c r="K6" s="795"/>
      <c r="L6" s="795"/>
      <c r="M6" s="795"/>
      <c r="N6" s="795"/>
      <c r="O6" s="795"/>
      <c r="P6" s="795"/>
      <c r="Q6" s="795"/>
      <c r="R6" s="795"/>
      <c r="S6" s="795"/>
      <c r="T6" s="795"/>
      <c r="U6" s="795"/>
      <c r="V6" s="795"/>
      <c r="W6" s="795"/>
      <c r="X6" s="795"/>
      <c r="Y6" s="795"/>
      <c r="Z6" s="795"/>
      <c r="AA6" s="795"/>
      <c r="AB6" s="795"/>
      <c r="AC6" s="795"/>
      <c r="AD6" s="795"/>
      <c r="AE6" s="783"/>
      <c r="AF6" s="411"/>
      <c r="AG6" s="411"/>
      <c r="AH6" s="412" t="s">
        <v>702</v>
      </c>
      <c r="AI6" s="878" t="s">
        <v>703</v>
      </c>
      <c r="AJ6" s="803"/>
      <c r="AK6" s="803"/>
      <c r="AL6" s="803"/>
      <c r="AM6" s="803"/>
      <c r="AN6" s="803"/>
      <c r="AO6" s="803"/>
      <c r="AP6" s="803"/>
      <c r="AQ6" s="803"/>
      <c r="AR6" s="803"/>
      <c r="AS6" s="803"/>
      <c r="AT6" s="803"/>
      <c r="AU6" s="803"/>
      <c r="AV6" s="803"/>
      <c r="AW6" s="803"/>
      <c r="AX6" s="803"/>
      <c r="AY6" s="803"/>
      <c r="AZ6" s="803"/>
      <c r="BA6" s="803"/>
      <c r="BB6" s="803"/>
      <c r="BC6" s="803"/>
      <c r="BD6" s="803"/>
      <c r="BE6" s="803"/>
      <c r="BF6" s="803"/>
      <c r="BG6" s="803"/>
      <c r="BH6" s="803"/>
      <c r="BI6" s="803"/>
      <c r="BJ6" s="803"/>
      <c r="BK6" s="803"/>
      <c r="BL6" s="803"/>
      <c r="BM6" s="411"/>
      <c r="BN6" s="411"/>
    </row>
    <row r="7" spans="1:66" ht="15" customHeight="1">
      <c r="A7" s="413">
        <v>11000</v>
      </c>
      <c r="B7" s="866" t="s">
        <v>6400</v>
      </c>
      <c r="C7" s="794"/>
      <c r="D7" s="794"/>
      <c r="E7" s="794"/>
      <c r="F7" s="794"/>
      <c r="G7" s="794"/>
      <c r="H7" s="794"/>
      <c r="I7" s="794"/>
      <c r="J7" s="794"/>
      <c r="K7" s="794"/>
      <c r="L7" s="794"/>
      <c r="M7" s="794"/>
      <c r="N7" s="794"/>
      <c r="O7" s="794"/>
      <c r="P7" s="794"/>
      <c r="Q7" s="794"/>
      <c r="R7" s="794"/>
      <c r="S7" s="794"/>
      <c r="T7" s="794"/>
      <c r="U7" s="794"/>
      <c r="V7" s="794"/>
      <c r="W7" s="794"/>
      <c r="X7" s="794"/>
      <c r="Y7" s="794"/>
      <c r="Z7" s="794"/>
      <c r="AA7" s="794"/>
      <c r="AB7" s="794"/>
      <c r="AC7" s="794"/>
      <c r="AD7" s="794"/>
      <c r="AE7" s="796"/>
      <c r="AF7" s="414"/>
      <c r="AG7" s="414"/>
      <c r="AH7" s="201" t="s">
        <v>704</v>
      </c>
      <c r="AI7" s="866" t="s">
        <v>6401</v>
      </c>
      <c r="AJ7" s="794"/>
      <c r="AK7" s="794"/>
      <c r="AL7" s="794"/>
      <c r="AM7" s="794"/>
      <c r="AN7" s="794"/>
      <c r="AO7" s="794"/>
      <c r="AP7" s="794"/>
      <c r="AQ7" s="794"/>
      <c r="AR7" s="794"/>
      <c r="AS7" s="794"/>
      <c r="AT7" s="794"/>
      <c r="AU7" s="794"/>
      <c r="AV7" s="794"/>
      <c r="AW7" s="794"/>
      <c r="AX7" s="794"/>
      <c r="AY7" s="794"/>
      <c r="AZ7" s="794"/>
      <c r="BA7" s="794"/>
      <c r="BB7" s="794"/>
      <c r="BC7" s="794"/>
      <c r="BD7" s="794"/>
      <c r="BE7" s="794"/>
      <c r="BF7" s="794"/>
      <c r="BG7" s="794"/>
      <c r="BH7" s="794"/>
      <c r="BI7" s="794"/>
      <c r="BJ7" s="794"/>
      <c r="BK7" s="794"/>
      <c r="BL7" s="794"/>
      <c r="BM7" s="415"/>
      <c r="BN7" s="415"/>
    </row>
    <row r="8" spans="1:66" ht="15" customHeight="1">
      <c r="A8" s="413">
        <v>11100</v>
      </c>
      <c r="B8" s="857" t="s">
        <v>6402</v>
      </c>
      <c r="C8" s="794"/>
      <c r="D8" s="794"/>
      <c r="E8" s="794"/>
      <c r="F8" s="794"/>
      <c r="G8" s="794"/>
      <c r="H8" s="794"/>
      <c r="I8" s="794"/>
      <c r="J8" s="794"/>
      <c r="K8" s="794"/>
      <c r="L8" s="794"/>
      <c r="M8" s="794"/>
      <c r="N8" s="794"/>
      <c r="O8" s="794"/>
      <c r="P8" s="794"/>
      <c r="Q8" s="794"/>
      <c r="R8" s="794"/>
      <c r="S8" s="794"/>
      <c r="T8" s="794"/>
      <c r="U8" s="794"/>
      <c r="V8" s="794"/>
      <c r="W8" s="794"/>
      <c r="X8" s="794"/>
      <c r="Y8" s="794"/>
      <c r="Z8" s="794"/>
      <c r="AA8" s="794"/>
      <c r="AB8" s="794"/>
      <c r="AC8" s="794"/>
      <c r="AD8" s="794"/>
      <c r="AE8" s="796"/>
      <c r="AF8" s="416">
        <f t="shared" ref="AF8:AG8" si="0">SUM(AF9:AF15)</f>
        <v>2883896819.9600005</v>
      </c>
      <c r="AG8" s="416">
        <f t="shared" si="0"/>
        <v>203522811.58999997</v>
      </c>
      <c r="AH8" s="201" t="s">
        <v>706</v>
      </c>
      <c r="AI8" s="857" t="s">
        <v>6403</v>
      </c>
      <c r="AJ8" s="794"/>
      <c r="AK8" s="794"/>
      <c r="AL8" s="794"/>
      <c r="AM8" s="794"/>
      <c r="AN8" s="794"/>
      <c r="AO8" s="794"/>
      <c r="AP8" s="794"/>
      <c r="AQ8" s="794"/>
      <c r="AR8" s="794"/>
      <c r="AS8" s="794"/>
      <c r="AT8" s="794"/>
      <c r="AU8" s="794"/>
      <c r="AV8" s="794"/>
      <c r="AW8" s="794"/>
      <c r="AX8" s="794"/>
      <c r="AY8" s="794"/>
      <c r="AZ8" s="794"/>
      <c r="BA8" s="794"/>
      <c r="BB8" s="794"/>
      <c r="BC8" s="794"/>
      <c r="BD8" s="794"/>
      <c r="BE8" s="794"/>
      <c r="BF8" s="794"/>
      <c r="BG8" s="794"/>
      <c r="BH8" s="794"/>
      <c r="BI8" s="794"/>
      <c r="BJ8" s="794"/>
      <c r="BK8" s="794"/>
      <c r="BL8" s="794"/>
      <c r="BM8" s="416">
        <f t="shared" ref="BM8:BN8" si="1">SUM(BM9:BM17)</f>
        <v>206282258.27999997</v>
      </c>
      <c r="BN8" s="416">
        <f t="shared" si="1"/>
        <v>682026886.76999998</v>
      </c>
    </row>
    <row r="9" spans="1:66" ht="15" customHeight="1">
      <c r="A9" s="417">
        <v>11110</v>
      </c>
      <c r="B9" s="854" t="s">
        <v>6404</v>
      </c>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6"/>
      <c r="AF9" s="418">
        <f>Balanza!G6</f>
        <v>588426.31999999995</v>
      </c>
      <c r="AG9" s="418">
        <f>Balanza!C6</f>
        <v>557588.04</v>
      </c>
      <c r="AH9" s="194" t="s">
        <v>708</v>
      </c>
      <c r="AI9" s="854" t="s">
        <v>6405</v>
      </c>
      <c r="AJ9" s="794"/>
      <c r="AK9" s="794"/>
      <c r="AL9" s="794"/>
      <c r="AM9" s="794"/>
      <c r="AN9" s="794"/>
      <c r="AO9" s="794"/>
      <c r="AP9" s="794"/>
      <c r="AQ9" s="794"/>
      <c r="AR9" s="794"/>
      <c r="AS9" s="794"/>
      <c r="AT9" s="794"/>
      <c r="AU9" s="794"/>
      <c r="AV9" s="794"/>
      <c r="AW9" s="794"/>
      <c r="AX9" s="794"/>
      <c r="AY9" s="794"/>
      <c r="AZ9" s="794"/>
      <c r="BA9" s="794"/>
      <c r="BB9" s="794"/>
      <c r="BC9" s="794"/>
      <c r="BD9" s="794"/>
      <c r="BE9" s="794"/>
      <c r="BF9" s="794"/>
      <c r="BG9" s="794"/>
      <c r="BH9" s="794"/>
      <c r="BI9" s="794"/>
      <c r="BJ9" s="794"/>
      <c r="BK9" s="794"/>
      <c r="BL9" s="794"/>
      <c r="BM9" s="418">
        <f>Balanza!H104</f>
        <v>4222180.67</v>
      </c>
      <c r="BN9" s="418">
        <f>Balanza!D104</f>
        <v>33988076.560000002</v>
      </c>
    </row>
    <row r="10" spans="1:66" ht="15" customHeight="1">
      <c r="A10" s="417">
        <v>11120</v>
      </c>
      <c r="B10" s="854" t="s">
        <v>6406</v>
      </c>
      <c r="C10" s="794"/>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6"/>
      <c r="AF10" s="418">
        <f>Balanza!G7</f>
        <v>3176784111.9200001</v>
      </c>
      <c r="AG10" s="418">
        <f>Balanza!C7</f>
        <v>190527200.34999999</v>
      </c>
      <c r="AH10" s="194" t="s">
        <v>710</v>
      </c>
      <c r="AI10" s="854" t="s">
        <v>6407</v>
      </c>
      <c r="AJ10" s="794"/>
      <c r="AK10" s="794"/>
      <c r="AL10" s="794"/>
      <c r="AM10" s="794"/>
      <c r="AN10" s="794"/>
      <c r="AO10" s="794"/>
      <c r="AP10" s="794"/>
      <c r="AQ10" s="794"/>
      <c r="AR10" s="794"/>
      <c r="AS10" s="794"/>
      <c r="AT10" s="794"/>
      <c r="AU10" s="794"/>
      <c r="AV10" s="794"/>
      <c r="AW10" s="794"/>
      <c r="AX10" s="794"/>
      <c r="AY10" s="794"/>
      <c r="AZ10" s="794"/>
      <c r="BA10" s="794"/>
      <c r="BB10" s="794"/>
      <c r="BC10" s="794"/>
      <c r="BD10" s="794"/>
      <c r="BE10" s="794"/>
      <c r="BF10" s="794"/>
      <c r="BG10" s="794"/>
      <c r="BH10" s="794"/>
      <c r="BI10" s="794"/>
      <c r="BJ10" s="794"/>
      <c r="BK10" s="794"/>
      <c r="BL10" s="794"/>
      <c r="BM10" s="418">
        <f>Balanza!H105</f>
        <v>-14130140.32</v>
      </c>
      <c r="BN10" s="418">
        <f>Balanza!D105</f>
        <v>238919399.90000001</v>
      </c>
    </row>
    <row r="11" spans="1:66" ht="15" customHeight="1">
      <c r="A11" s="417">
        <v>11130</v>
      </c>
      <c r="B11" s="854" t="s">
        <v>6408</v>
      </c>
      <c r="C11" s="794"/>
      <c r="D11" s="794"/>
      <c r="E11" s="794"/>
      <c r="F11" s="794"/>
      <c r="G11" s="794"/>
      <c r="H11" s="794"/>
      <c r="I11" s="794"/>
      <c r="J11" s="794"/>
      <c r="K11" s="794"/>
      <c r="L11" s="794"/>
      <c r="M11" s="794"/>
      <c r="N11" s="794"/>
      <c r="O11" s="794"/>
      <c r="P11" s="794"/>
      <c r="Q11" s="794"/>
      <c r="R11" s="794"/>
      <c r="S11" s="794"/>
      <c r="T11" s="794"/>
      <c r="U11" s="794"/>
      <c r="V11" s="794"/>
      <c r="W11" s="794"/>
      <c r="X11" s="794"/>
      <c r="Y11" s="794"/>
      <c r="Z11" s="794"/>
      <c r="AA11" s="794"/>
      <c r="AB11" s="794"/>
      <c r="AC11" s="794"/>
      <c r="AD11" s="794"/>
      <c r="AE11" s="796"/>
      <c r="AF11" s="418">
        <f>Balanza!G8</f>
        <v>0</v>
      </c>
      <c r="AG11" s="418">
        <f>Balanza!C8</f>
        <v>0</v>
      </c>
      <c r="AH11" s="194" t="s">
        <v>712</v>
      </c>
      <c r="AI11" s="854" t="s">
        <v>6409</v>
      </c>
      <c r="AJ11" s="794"/>
      <c r="AK11" s="794"/>
      <c r="AL11" s="794"/>
      <c r="AM11" s="794"/>
      <c r="AN11" s="794"/>
      <c r="AO11" s="794"/>
      <c r="AP11" s="794"/>
      <c r="AQ11" s="794"/>
      <c r="AR11" s="794"/>
      <c r="AS11" s="794"/>
      <c r="AT11" s="794"/>
      <c r="AU11" s="794"/>
      <c r="AV11" s="794"/>
      <c r="AW11" s="794"/>
      <c r="AX11" s="794"/>
      <c r="AY11" s="794"/>
      <c r="AZ11" s="794"/>
      <c r="BA11" s="794"/>
      <c r="BB11" s="794"/>
      <c r="BC11" s="794"/>
      <c r="BD11" s="794"/>
      <c r="BE11" s="794"/>
      <c r="BF11" s="794"/>
      <c r="BG11" s="794"/>
      <c r="BH11" s="794"/>
      <c r="BI11" s="794"/>
      <c r="BJ11" s="794"/>
      <c r="BK11" s="794"/>
      <c r="BL11" s="794"/>
      <c r="BM11" s="418">
        <f>Balanza!H106</f>
        <v>-527131.16</v>
      </c>
      <c r="BN11" s="418">
        <f>Balanza!D106</f>
        <v>180699024.49000001</v>
      </c>
    </row>
    <row r="12" spans="1:66" ht="15" customHeight="1">
      <c r="A12" s="417">
        <v>11140</v>
      </c>
      <c r="B12" s="854" t="s">
        <v>6410</v>
      </c>
      <c r="C12" s="794"/>
      <c r="D12" s="794"/>
      <c r="E12" s="794"/>
      <c r="F12" s="794"/>
      <c r="G12" s="794"/>
      <c r="H12" s="794"/>
      <c r="I12" s="794"/>
      <c r="J12" s="794"/>
      <c r="K12" s="794"/>
      <c r="L12" s="794"/>
      <c r="M12" s="794"/>
      <c r="N12" s="794"/>
      <c r="O12" s="794"/>
      <c r="P12" s="794"/>
      <c r="Q12" s="794"/>
      <c r="R12" s="794"/>
      <c r="S12" s="794"/>
      <c r="T12" s="794"/>
      <c r="U12" s="794"/>
      <c r="V12" s="794"/>
      <c r="W12" s="794"/>
      <c r="X12" s="794"/>
      <c r="Y12" s="794"/>
      <c r="Z12" s="794"/>
      <c r="AA12" s="794"/>
      <c r="AB12" s="794"/>
      <c r="AC12" s="794"/>
      <c r="AD12" s="794"/>
      <c r="AE12" s="796"/>
      <c r="AF12" s="418">
        <f>Balanza!G9</f>
        <v>-312242357.91000003</v>
      </c>
      <c r="AG12" s="418">
        <f>Balanza!C9</f>
        <v>7996532.0999999996</v>
      </c>
      <c r="AH12" s="194" t="s">
        <v>714</v>
      </c>
      <c r="AI12" s="854" t="s">
        <v>6411</v>
      </c>
      <c r="AJ12" s="794"/>
      <c r="AK12" s="794"/>
      <c r="AL12" s="794"/>
      <c r="AM12" s="794"/>
      <c r="AN12" s="794"/>
      <c r="AO12" s="794"/>
      <c r="AP12" s="794"/>
      <c r="AQ12" s="794"/>
      <c r="AR12" s="794"/>
      <c r="AS12" s="794"/>
      <c r="AT12" s="794"/>
      <c r="AU12" s="794"/>
      <c r="AV12" s="794"/>
      <c r="AW12" s="794"/>
      <c r="AX12" s="794"/>
      <c r="AY12" s="794"/>
      <c r="AZ12" s="794"/>
      <c r="BA12" s="794"/>
      <c r="BB12" s="794"/>
      <c r="BC12" s="794"/>
      <c r="BD12" s="794"/>
      <c r="BE12" s="794"/>
      <c r="BF12" s="794"/>
      <c r="BG12" s="794"/>
      <c r="BH12" s="794"/>
      <c r="BI12" s="794"/>
      <c r="BJ12" s="794"/>
      <c r="BK12" s="794"/>
      <c r="BL12" s="794"/>
      <c r="BM12" s="418">
        <f>Balanza!H107</f>
        <v>0</v>
      </c>
      <c r="BN12" s="418">
        <f>Balanza!D107</f>
        <v>0</v>
      </c>
    </row>
    <row r="13" spans="1:66" ht="15" customHeight="1">
      <c r="A13" s="417">
        <v>11150</v>
      </c>
      <c r="B13" s="854" t="s">
        <v>6412</v>
      </c>
      <c r="C13" s="794"/>
      <c r="D13" s="794"/>
      <c r="E13" s="794"/>
      <c r="F13" s="794"/>
      <c r="G13" s="794"/>
      <c r="H13" s="794"/>
      <c r="I13" s="794"/>
      <c r="J13" s="794"/>
      <c r="K13" s="794"/>
      <c r="L13" s="794"/>
      <c r="M13" s="794"/>
      <c r="N13" s="794"/>
      <c r="O13" s="794"/>
      <c r="P13" s="794"/>
      <c r="Q13" s="794"/>
      <c r="R13" s="794"/>
      <c r="S13" s="794"/>
      <c r="T13" s="794"/>
      <c r="U13" s="794"/>
      <c r="V13" s="794"/>
      <c r="W13" s="794"/>
      <c r="X13" s="794"/>
      <c r="Y13" s="794"/>
      <c r="Z13" s="794"/>
      <c r="AA13" s="794"/>
      <c r="AB13" s="794"/>
      <c r="AC13" s="794"/>
      <c r="AD13" s="794"/>
      <c r="AE13" s="796"/>
      <c r="AF13" s="418">
        <f>Balanza!G10</f>
        <v>-17038137.600000001</v>
      </c>
      <c r="AG13" s="418">
        <f>Balanza!C10</f>
        <v>137939.59</v>
      </c>
      <c r="AH13" s="194" t="s">
        <v>716</v>
      </c>
      <c r="AI13" s="854" t="s">
        <v>6413</v>
      </c>
      <c r="AJ13" s="794"/>
      <c r="AK13" s="794"/>
      <c r="AL13" s="794"/>
      <c r="AM13" s="794"/>
      <c r="AN13" s="794"/>
      <c r="AO13" s="794"/>
      <c r="AP13" s="794"/>
      <c r="AQ13" s="794"/>
      <c r="AR13" s="794"/>
      <c r="AS13" s="794"/>
      <c r="AT13" s="794"/>
      <c r="AU13" s="794"/>
      <c r="AV13" s="794"/>
      <c r="AW13" s="794"/>
      <c r="AX13" s="794"/>
      <c r="AY13" s="794"/>
      <c r="AZ13" s="794"/>
      <c r="BA13" s="794"/>
      <c r="BB13" s="794"/>
      <c r="BC13" s="794"/>
      <c r="BD13" s="794"/>
      <c r="BE13" s="794"/>
      <c r="BF13" s="794"/>
      <c r="BG13" s="794"/>
      <c r="BH13" s="794"/>
      <c r="BI13" s="794"/>
      <c r="BJ13" s="794"/>
      <c r="BK13" s="794"/>
      <c r="BL13" s="794"/>
      <c r="BM13" s="418">
        <f>Balanza!H108</f>
        <v>60314550.049999997</v>
      </c>
      <c r="BN13" s="418">
        <f>Balanza!D108</f>
        <v>67648596.150000006</v>
      </c>
    </row>
    <row r="14" spans="1:66" ht="15" customHeight="1">
      <c r="A14" s="417">
        <v>11160</v>
      </c>
      <c r="B14" s="854" t="s">
        <v>6414</v>
      </c>
      <c r="C14" s="794"/>
      <c r="D14" s="794"/>
      <c r="E14" s="794"/>
      <c r="F14" s="794"/>
      <c r="G14" s="794"/>
      <c r="H14" s="794"/>
      <c r="I14" s="794"/>
      <c r="J14" s="794"/>
      <c r="K14" s="794"/>
      <c r="L14" s="794"/>
      <c r="M14" s="794"/>
      <c r="N14" s="794"/>
      <c r="O14" s="794"/>
      <c r="P14" s="794"/>
      <c r="Q14" s="794"/>
      <c r="R14" s="794"/>
      <c r="S14" s="794"/>
      <c r="T14" s="794"/>
      <c r="U14" s="794"/>
      <c r="V14" s="794"/>
      <c r="W14" s="794"/>
      <c r="X14" s="794"/>
      <c r="Y14" s="794"/>
      <c r="Z14" s="794"/>
      <c r="AA14" s="794"/>
      <c r="AB14" s="794"/>
      <c r="AC14" s="794"/>
      <c r="AD14" s="794"/>
      <c r="AE14" s="796"/>
      <c r="AF14" s="418">
        <f>Balanza!G11</f>
        <v>799113.45</v>
      </c>
      <c r="AG14" s="418">
        <f>Balanza!C11</f>
        <v>799113.45</v>
      </c>
      <c r="AH14" s="194" t="s">
        <v>718</v>
      </c>
      <c r="AI14" s="854" t="s">
        <v>6415</v>
      </c>
      <c r="AJ14" s="794"/>
      <c r="AK14" s="794"/>
      <c r="AL14" s="794"/>
      <c r="AM14" s="794"/>
      <c r="AN14" s="794"/>
      <c r="AO14" s="794"/>
      <c r="AP14" s="794"/>
      <c r="AQ14" s="794"/>
      <c r="AR14" s="794"/>
      <c r="AS14" s="794"/>
      <c r="AT14" s="794"/>
      <c r="AU14" s="794"/>
      <c r="AV14" s="794"/>
      <c r="AW14" s="794"/>
      <c r="AX14" s="794"/>
      <c r="AY14" s="794"/>
      <c r="AZ14" s="794"/>
      <c r="BA14" s="794"/>
      <c r="BB14" s="794"/>
      <c r="BC14" s="794"/>
      <c r="BD14" s="794"/>
      <c r="BE14" s="794"/>
      <c r="BF14" s="794"/>
      <c r="BG14" s="794"/>
      <c r="BH14" s="794"/>
      <c r="BI14" s="794"/>
      <c r="BJ14" s="794"/>
      <c r="BK14" s="794"/>
      <c r="BL14" s="794"/>
      <c r="BM14" s="418">
        <f>Balanza!H109</f>
        <v>0</v>
      </c>
      <c r="BN14" s="418">
        <f>Balanza!D109</f>
        <v>0</v>
      </c>
    </row>
    <row r="15" spans="1:66" ht="15" customHeight="1">
      <c r="A15" s="417">
        <v>11190</v>
      </c>
      <c r="B15" s="854" t="s">
        <v>6416</v>
      </c>
      <c r="C15" s="794"/>
      <c r="D15" s="794"/>
      <c r="E15" s="794"/>
      <c r="F15" s="794"/>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6"/>
      <c r="AF15" s="418">
        <f>Balanza!G12</f>
        <v>35005663.780000001</v>
      </c>
      <c r="AG15" s="418">
        <f>Balanza!C12</f>
        <v>3504438.06</v>
      </c>
      <c r="AH15" s="194" t="s">
        <v>720</v>
      </c>
      <c r="AI15" s="854" t="s">
        <v>6417</v>
      </c>
      <c r="AJ15" s="794"/>
      <c r="AK15" s="794"/>
      <c r="AL15" s="794"/>
      <c r="AM15" s="794"/>
      <c r="AN15" s="794"/>
      <c r="AO15" s="794"/>
      <c r="AP15" s="794"/>
      <c r="AQ15" s="794"/>
      <c r="AR15" s="794"/>
      <c r="AS15" s="794"/>
      <c r="AT15" s="794"/>
      <c r="AU15" s="794"/>
      <c r="AV15" s="794"/>
      <c r="AW15" s="794"/>
      <c r="AX15" s="794"/>
      <c r="AY15" s="794"/>
      <c r="AZ15" s="794"/>
      <c r="BA15" s="794"/>
      <c r="BB15" s="794"/>
      <c r="BC15" s="794"/>
      <c r="BD15" s="794"/>
      <c r="BE15" s="794"/>
      <c r="BF15" s="794"/>
      <c r="BG15" s="794"/>
      <c r="BH15" s="794"/>
      <c r="BI15" s="794"/>
      <c r="BJ15" s="794"/>
      <c r="BK15" s="794"/>
      <c r="BL15" s="794"/>
      <c r="BM15" s="418">
        <f>Balanza!H110</f>
        <v>91708797.349999994</v>
      </c>
      <c r="BN15" s="418">
        <f>Balanza!D110</f>
        <v>106707722.84</v>
      </c>
    </row>
    <row r="16" spans="1:66" ht="15" customHeight="1">
      <c r="A16" s="413">
        <v>11200</v>
      </c>
      <c r="B16" s="857" t="s">
        <v>6418</v>
      </c>
      <c r="C16" s="794"/>
      <c r="D16" s="794"/>
      <c r="E16" s="794"/>
      <c r="F16" s="794"/>
      <c r="G16" s="794"/>
      <c r="H16" s="794"/>
      <c r="I16" s="794"/>
      <c r="J16" s="794"/>
      <c r="K16" s="794"/>
      <c r="L16" s="794"/>
      <c r="M16" s="794"/>
      <c r="N16" s="794"/>
      <c r="O16" s="794"/>
      <c r="P16" s="794"/>
      <c r="Q16" s="794"/>
      <c r="R16" s="794"/>
      <c r="S16" s="794"/>
      <c r="T16" s="794"/>
      <c r="U16" s="794"/>
      <c r="V16" s="794"/>
      <c r="W16" s="794"/>
      <c r="X16" s="794"/>
      <c r="Y16" s="794"/>
      <c r="Z16" s="794"/>
      <c r="AA16" s="794"/>
      <c r="AB16" s="794"/>
      <c r="AC16" s="794"/>
      <c r="AD16" s="794"/>
      <c r="AE16" s="796"/>
      <c r="AF16" s="416">
        <f t="shared" ref="AF16:AG16" si="2">SUM(AF17:AF23)</f>
        <v>68809428.020000011</v>
      </c>
      <c r="AG16" s="416">
        <f t="shared" si="2"/>
        <v>51253093.140000001</v>
      </c>
      <c r="AH16" s="194" t="s">
        <v>722</v>
      </c>
      <c r="AI16" s="854" t="s">
        <v>6419</v>
      </c>
      <c r="AJ16" s="794"/>
      <c r="AK16" s="794"/>
      <c r="AL16" s="794"/>
      <c r="AM16" s="794"/>
      <c r="AN16" s="794"/>
      <c r="AO16" s="794"/>
      <c r="AP16" s="794"/>
      <c r="AQ16" s="794"/>
      <c r="AR16" s="794"/>
      <c r="AS16" s="794"/>
      <c r="AT16" s="794"/>
      <c r="AU16" s="794"/>
      <c r="AV16" s="794"/>
      <c r="AW16" s="794"/>
      <c r="AX16" s="794"/>
      <c r="AY16" s="794"/>
      <c r="AZ16" s="794"/>
      <c r="BA16" s="794"/>
      <c r="BB16" s="794"/>
      <c r="BC16" s="794"/>
      <c r="BD16" s="794"/>
      <c r="BE16" s="794"/>
      <c r="BF16" s="794"/>
      <c r="BG16" s="794"/>
      <c r="BH16" s="794"/>
      <c r="BI16" s="794"/>
      <c r="BJ16" s="794"/>
      <c r="BK16" s="794"/>
      <c r="BL16" s="794"/>
      <c r="BM16" s="418">
        <f>Balanza!H111</f>
        <v>64924538.890000001</v>
      </c>
      <c r="BN16" s="418">
        <f>Balanza!D111</f>
        <v>50127584.149999999</v>
      </c>
    </row>
    <row r="17" spans="1:66" ht="15" customHeight="1">
      <c r="A17" s="417">
        <v>11210</v>
      </c>
      <c r="B17" s="854" t="s">
        <v>6420</v>
      </c>
      <c r="C17" s="794"/>
      <c r="D17" s="794"/>
      <c r="E17" s="794"/>
      <c r="F17" s="794"/>
      <c r="G17" s="794"/>
      <c r="H17" s="794"/>
      <c r="I17" s="794"/>
      <c r="J17" s="794"/>
      <c r="K17" s="794"/>
      <c r="L17" s="794"/>
      <c r="M17" s="794"/>
      <c r="N17" s="794"/>
      <c r="O17" s="794"/>
      <c r="P17" s="794"/>
      <c r="Q17" s="794"/>
      <c r="R17" s="794"/>
      <c r="S17" s="794"/>
      <c r="T17" s="794"/>
      <c r="U17" s="794"/>
      <c r="V17" s="794"/>
      <c r="W17" s="794"/>
      <c r="X17" s="794"/>
      <c r="Y17" s="794"/>
      <c r="Z17" s="794"/>
      <c r="AA17" s="794"/>
      <c r="AB17" s="794"/>
      <c r="AC17" s="794"/>
      <c r="AD17" s="794"/>
      <c r="AE17" s="796"/>
      <c r="AF17" s="418">
        <f>Balanza!G14</f>
        <v>0</v>
      </c>
      <c r="AG17" s="418">
        <f>Balanza!C14</f>
        <v>0</v>
      </c>
      <c r="AH17" s="194" t="s">
        <v>724</v>
      </c>
      <c r="AI17" s="854" t="s">
        <v>6421</v>
      </c>
      <c r="AJ17" s="794"/>
      <c r="AK17" s="794"/>
      <c r="AL17" s="794"/>
      <c r="AM17" s="794"/>
      <c r="AN17" s="794"/>
      <c r="AO17" s="794"/>
      <c r="AP17" s="794"/>
      <c r="AQ17" s="794"/>
      <c r="AR17" s="794"/>
      <c r="AS17" s="794"/>
      <c r="AT17" s="794"/>
      <c r="AU17" s="794"/>
      <c r="AV17" s="794"/>
      <c r="AW17" s="794"/>
      <c r="AX17" s="794"/>
      <c r="AY17" s="794"/>
      <c r="AZ17" s="794"/>
      <c r="BA17" s="794"/>
      <c r="BB17" s="794"/>
      <c r="BC17" s="794"/>
      <c r="BD17" s="794"/>
      <c r="BE17" s="794"/>
      <c r="BF17" s="794"/>
      <c r="BG17" s="794"/>
      <c r="BH17" s="794"/>
      <c r="BI17" s="794"/>
      <c r="BJ17" s="794"/>
      <c r="BK17" s="794"/>
      <c r="BL17" s="794"/>
      <c r="BM17" s="418">
        <f>Balanza!H112</f>
        <v>-230537.2</v>
      </c>
      <c r="BN17" s="418">
        <f>Balanza!D112</f>
        <v>3936482.68</v>
      </c>
    </row>
    <row r="18" spans="1:66" ht="15" customHeight="1">
      <c r="A18" s="417">
        <v>11220</v>
      </c>
      <c r="B18" s="854" t="s">
        <v>6422</v>
      </c>
      <c r="C18" s="794"/>
      <c r="D18" s="794"/>
      <c r="E18" s="794"/>
      <c r="F18" s="794"/>
      <c r="G18" s="794"/>
      <c r="H18" s="794"/>
      <c r="I18" s="794"/>
      <c r="J18" s="794"/>
      <c r="K18" s="794"/>
      <c r="L18" s="794"/>
      <c r="M18" s="794"/>
      <c r="N18" s="794"/>
      <c r="O18" s="794"/>
      <c r="P18" s="794"/>
      <c r="Q18" s="794"/>
      <c r="R18" s="794"/>
      <c r="S18" s="794"/>
      <c r="T18" s="794"/>
      <c r="U18" s="794"/>
      <c r="V18" s="794"/>
      <c r="W18" s="794"/>
      <c r="X18" s="794"/>
      <c r="Y18" s="794"/>
      <c r="Z18" s="794"/>
      <c r="AA18" s="794"/>
      <c r="AB18" s="794"/>
      <c r="AC18" s="794"/>
      <c r="AD18" s="794"/>
      <c r="AE18" s="796"/>
      <c r="AF18" s="418">
        <f>Balanza!G15</f>
        <v>49047135.82</v>
      </c>
      <c r="AG18" s="418">
        <f>Balanza!C15</f>
        <v>33477622.41</v>
      </c>
      <c r="AH18" s="201" t="s">
        <v>726</v>
      </c>
      <c r="AI18" s="857" t="s">
        <v>6423</v>
      </c>
      <c r="AJ18" s="794"/>
      <c r="AK18" s="794"/>
      <c r="AL18" s="794"/>
      <c r="AM18" s="794"/>
      <c r="AN18" s="794"/>
      <c r="AO18" s="794"/>
      <c r="AP18" s="794"/>
      <c r="AQ18" s="794"/>
      <c r="AR18" s="794"/>
      <c r="AS18" s="794"/>
      <c r="AT18" s="794"/>
      <c r="AU18" s="794"/>
      <c r="AV18" s="794"/>
      <c r="AW18" s="794"/>
      <c r="AX18" s="794"/>
      <c r="AY18" s="794"/>
      <c r="AZ18" s="794"/>
      <c r="BA18" s="794"/>
      <c r="BB18" s="794"/>
      <c r="BC18" s="794"/>
      <c r="BD18" s="794"/>
      <c r="BE18" s="794"/>
      <c r="BF18" s="794"/>
      <c r="BG18" s="794"/>
      <c r="BH18" s="794"/>
      <c r="BI18" s="794"/>
      <c r="BJ18" s="794"/>
      <c r="BK18" s="794"/>
      <c r="BL18" s="794"/>
      <c r="BM18" s="416">
        <f t="shared" ref="BM18:BN18" si="3">SUM(BM19:BM21)</f>
        <v>0</v>
      </c>
      <c r="BN18" s="416">
        <f t="shared" si="3"/>
        <v>0</v>
      </c>
    </row>
    <row r="19" spans="1:66" ht="15" customHeight="1">
      <c r="A19" s="417" t="s">
        <v>532</v>
      </c>
      <c r="B19" s="854" t="s">
        <v>6424</v>
      </c>
      <c r="C19" s="794"/>
      <c r="D19" s="794"/>
      <c r="E19" s="794"/>
      <c r="F19" s="794"/>
      <c r="G19" s="794"/>
      <c r="H19" s="794"/>
      <c r="I19" s="794"/>
      <c r="J19" s="794"/>
      <c r="K19" s="794"/>
      <c r="L19" s="794"/>
      <c r="M19" s="794"/>
      <c r="N19" s="794"/>
      <c r="O19" s="794"/>
      <c r="P19" s="794"/>
      <c r="Q19" s="794"/>
      <c r="R19" s="794"/>
      <c r="S19" s="794"/>
      <c r="T19" s="794"/>
      <c r="U19" s="794"/>
      <c r="V19" s="794"/>
      <c r="W19" s="794"/>
      <c r="X19" s="794"/>
      <c r="Y19" s="794"/>
      <c r="Z19" s="794"/>
      <c r="AA19" s="794"/>
      <c r="AB19" s="794"/>
      <c r="AC19" s="794"/>
      <c r="AD19" s="794"/>
      <c r="AE19" s="796"/>
      <c r="AF19" s="418">
        <f>Balanza!G16</f>
        <v>13175695.4</v>
      </c>
      <c r="AG19" s="418">
        <f>Balanza!C16</f>
        <v>11886013.84</v>
      </c>
      <c r="AH19" s="194" t="s">
        <v>728</v>
      </c>
      <c r="AI19" s="854" t="s">
        <v>6425</v>
      </c>
      <c r="AJ19" s="794"/>
      <c r="AK19" s="794"/>
      <c r="AL19" s="794"/>
      <c r="AM19" s="794"/>
      <c r="AN19" s="794"/>
      <c r="AO19" s="794"/>
      <c r="AP19" s="794"/>
      <c r="AQ19" s="794"/>
      <c r="AR19" s="794"/>
      <c r="AS19" s="794"/>
      <c r="AT19" s="794"/>
      <c r="AU19" s="794"/>
      <c r="AV19" s="794"/>
      <c r="AW19" s="794"/>
      <c r="AX19" s="794"/>
      <c r="AY19" s="794"/>
      <c r="AZ19" s="794"/>
      <c r="BA19" s="794"/>
      <c r="BB19" s="794"/>
      <c r="BC19" s="794"/>
      <c r="BD19" s="794"/>
      <c r="BE19" s="794"/>
      <c r="BF19" s="794"/>
      <c r="BG19" s="794"/>
      <c r="BH19" s="794"/>
      <c r="BI19" s="794"/>
      <c r="BJ19" s="794"/>
      <c r="BK19" s="794"/>
      <c r="BL19" s="794"/>
      <c r="BM19" s="418">
        <f>Balanza!H114</f>
        <v>0</v>
      </c>
      <c r="BN19" s="418">
        <f>Balanza!D114</f>
        <v>0</v>
      </c>
    </row>
    <row r="20" spans="1:66" ht="15" customHeight="1">
      <c r="A20" s="417" t="s">
        <v>534</v>
      </c>
      <c r="B20" s="854" t="s">
        <v>6426</v>
      </c>
      <c r="C20" s="794"/>
      <c r="D20" s="794"/>
      <c r="E20" s="794"/>
      <c r="F20" s="794"/>
      <c r="G20" s="794"/>
      <c r="H20" s="794"/>
      <c r="I20" s="794"/>
      <c r="J20" s="794"/>
      <c r="K20" s="794"/>
      <c r="L20" s="794"/>
      <c r="M20" s="794"/>
      <c r="N20" s="794"/>
      <c r="O20" s="794"/>
      <c r="P20" s="794"/>
      <c r="Q20" s="794"/>
      <c r="R20" s="794"/>
      <c r="S20" s="794"/>
      <c r="T20" s="794"/>
      <c r="U20" s="794"/>
      <c r="V20" s="794"/>
      <c r="W20" s="794"/>
      <c r="X20" s="794"/>
      <c r="Y20" s="794"/>
      <c r="Z20" s="794"/>
      <c r="AA20" s="794"/>
      <c r="AB20" s="794"/>
      <c r="AC20" s="794"/>
      <c r="AD20" s="794"/>
      <c r="AE20" s="796"/>
      <c r="AF20" s="418">
        <f>Balanza!G17</f>
        <v>6388057.8700000001</v>
      </c>
      <c r="AG20" s="418">
        <f>Balanza!C17</f>
        <v>5690917.96</v>
      </c>
      <c r="AH20" s="194" t="s">
        <v>730</v>
      </c>
      <c r="AI20" s="854" t="s">
        <v>6427</v>
      </c>
      <c r="AJ20" s="794"/>
      <c r="AK20" s="794"/>
      <c r="AL20" s="794"/>
      <c r="AM20" s="794"/>
      <c r="AN20" s="794"/>
      <c r="AO20" s="794"/>
      <c r="AP20" s="794"/>
      <c r="AQ20" s="794"/>
      <c r="AR20" s="794"/>
      <c r="AS20" s="794"/>
      <c r="AT20" s="794"/>
      <c r="AU20" s="794"/>
      <c r="AV20" s="794"/>
      <c r="AW20" s="794"/>
      <c r="AX20" s="794"/>
      <c r="AY20" s="794"/>
      <c r="AZ20" s="794"/>
      <c r="BA20" s="794"/>
      <c r="BB20" s="794"/>
      <c r="BC20" s="794"/>
      <c r="BD20" s="794"/>
      <c r="BE20" s="794"/>
      <c r="BF20" s="794"/>
      <c r="BG20" s="794"/>
      <c r="BH20" s="794"/>
      <c r="BI20" s="794"/>
      <c r="BJ20" s="794"/>
      <c r="BK20" s="794"/>
      <c r="BL20" s="794"/>
      <c r="BM20" s="418">
        <f>Balanza!H115</f>
        <v>0</v>
      </c>
      <c r="BN20" s="418">
        <f>Balanza!D115</f>
        <v>0</v>
      </c>
    </row>
    <row r="21" spans="1:66" ht="15" customHeight="1">
      <c r="A21" s="417" t="s">
        <v>536</v>
      </c>
      <c r="B21" s="854" t="s">
        <v>6428</v>
      </c>
      <c r="C21" s="794"/>
      <c r="D21" s="794"/>
      <c r="E21" s="794"/>
      <c r="F21" s="794"/>
      <c r="G21" s="794"/>
      <c r="H21" s="794"/>
      <c r="I21" s="794"/>
      <c r="J21" s="794"/>
      <c r="K21" s="794"/>
      <c r="L21" s="794"/>
      <c r="M21" s="794"/>
      <c r="N21" s="794"/>
      <c r="O21" s="794"/>
      <c r="P21" s="794"/>
      <c r="Q21" s="794"/>
      <c r="R21" s="794"/>
      <c r="S21" s="794"/>
      <c r="T21" s="794"/>
      <c r="U21" s="794"/>
      <c r="V21" s="794"/>
      <c r="W21" s="794"/>
      <c r="X21" s="794"/>
      <c r="Y21" s="794"/>
      <c r="Z21" s="794"/>
      <c r="AA21" s="794"/>
      <c r="AB21" s="794"/>
      <c r="AC21" s="794"/>
      <c r="AD21" s="794"/>
      <c r="AE21" s="796"/>
      <c r="AF21" s="418">
        <f>Balanza!G18</f>
        <v>198538.93</v>
      </c>
      <c r="AG21" s="418">
        <f>Balanza!C18</f>
        <v>198538.93</v>
      </c>
      <c r="AH21" s="194" t="s">
        <v>732</v>
      </c>
      <c r="AI21" s="854" t="s">
        <v>6429</v>
      </c>
      <c r="AJ21" s="794"/>
      <c r="AK21" s="794"/>
      <c r="AL21" s="794"/>
      <c r="AM21" s="794"/>
      <c r="AN21" s="794"/>
      <c r="AO21" s="794"/>
      <c r="AP21" s="794"/>
      <c r="AQ21" s="794"/>
      <c r="AR21" s="794"/>
      <c r="AS21" s="794"/>
      <c r="AT21" s="794"/>
      <c r="AU21" s="794"/>
      <c r="AV21" s="794"/>
      <c r="AW21" s="794"/>
      <c r="AX21" s="794"/>
      <c r="AY21" s="794"/>
      <c r="AZ21" s="794"/>
      <c r="BA21" s="794"/>
      <c r="BB21" s="794"/>
      <c r="BC21" s="794"/>
      <c r="BD21" s="794"/>
      <c r="BE21" s="794"/>
      <c r="BF21" s="794"/>
      <c r="BG21" s="794"/>
      <c r="BH21" s="794"/>
      <c r="BI21" s="794"/>
      <c r="BJ21" s="794"/>
      <c r="BK21" s="794"/>
      <c r="BL21" s="794"/>
      <c r="BM21" s="418">
        <f>Balanza!H116</f>
        <v>0</v>
      </c>
      <c r="BN21" s="418">
        <f>Balanza!D116</f>
        <v>0</v>
      </c>
    </row>
    <row r="22" spans="1:66" ht="15" customHeight="1">
      <c r="A22" s="417" t="s">
        <v>538</v>
      </c>
      <c r="B22" s="854" t="s">
        <v>6430</v>
      </c>
      <c r="C22" s="794"/>
      <c r="D22" s="794"/>
      <c r="E22" s="794"/>
      <c r="F22" s="794"/>
      <c r="G22" s="794"/>
      <c r="H22" s="794"/>
      <c r="I22" s="794"/>
      <c r="J22" s="794"/>
      <c r="K22" s="794"/>
      <c r="L22" s="794"/>
      <c r="M22" s="794"/>
      <c r="N22" s="794"/>
      <c r="O22" s="794"/>
      <c r="P22" s="794"/>
      <c r="Q22" s="794"/>
      <c r="R22" s="794"/>
      <c r="S22" s="794"/>
      <c r="T22" s="794"/>
      <c r="U22" s="794"/>
      <c r="V22" s="794"/>
      <c r="W22" s="794"/>
      <c r="X22" s="794"/>
      <c r="Y22" s="794"/>
      <c r="Z22" s="794"/>
      <c r="AA22" s="794"/>
      <c r="AB22" s="794"/>
      <c r="AC22" s="794"/>
      <c r="AD22" s="794"/>
      <c r="AE22" s="796"/>
      <c r="AF22" s="418">
        <f>Balanza!G19</f>
        <v>0</v>
      </c>
      <c r="AG22" s="418">
        <f>Balanza!C19</f>
        <v>0</v>
      </c>
      <c r="AH22" s="201" t="s">
        <v>734</v>
      </c>
      <c r="AI22" s="857" t="s">
        <v>6431</v>
      </c>
      <c r="AJ22" s="794"/>
      <c r="AK22" s="794"/>
      <c r="AL22" s="794"/>
      <c r="AM22" s="794"/>
      <c r="AN22" s="794"/>
      <c r="AO22" s="794"/>
      <c r="AP22" s="794"/>
      <c r="AQ22" s="794"/>
      <c r="AR22" s="794"/>
      <c r="AS22" s="794"/>
      <c r="AT22" s="794"/>
      <c r="AU22" s="794"/>
      <c r="AV22" s="794"/>
      <c r="AW22" s="794"/>
      <c r="AX22" s="794"/>
      <c r="AY22" s="794"/>
      <c r="AZ22" s="794"/>
      <c r="BA22" s="794"/>
      <c r="BB22" s="794"/>
      <c r="BC22" s="794"/>
      <c r="BD22" s="794"/>
      <c r="BE22" s="794"/>
      <c r="BF22" s="794"/>
      <c r="BG22" s="794"/>
      <c r="BH22" s="794"/>
      <c r="BI22" s="794"/>
      <c r="BJ22" s="794"/>
      <c r="BK22" s="794"/>
      <c r="BL22" s="794"/>
      <c r="BM22" s="416">
        <f t="shared" ref="BM22:BN22" si="4">SUM(BM23:BM25)</f>
        <v>43903019.170000002</v>
      </c>
      <c r="BN22" s="416">
        <f t="shared" si="4"/>
        <v>0</v>
      </c>
    </row>
    <row r="23" spans="1:66" ht="15" customHeight="1">
      <c r="A23" s="417" t="s">
        <v>540</v>
      </c>
      <c r="B23" s="854" t="s">
        <v>6432</v>
      </c>
      <c r="C23" s="794"/>
      <c r="D23" s="794"/>
      <c r="E23" s="794"/>
      <c r="F23" s="794"/>
      <c r="G23" s="794"/>
      <c r="H23" s="794"/>
      <c r="I23" s="794"/>
      <c r="J23" s="794"/>
      <c r="K23" s="794"/>
      <c r="L23" s="794"/>
      <c r="M23" s="794"/>
      <c r="N23" s="794"/>
      <c r="O23" s="794"/>
      <c r="P23" s="794"/>
      <c r="Q23" s="794"/>
      <c r="R23" s="794"/>
      <c r="S23" s="794"/>
      <c r="T23" s="794"/>
      <c r="U23" s="794"/>
      <c r="V23" s="794"/>
      <c r="W23" s="794"/>
      <c r="X23" s="794"/>
      <c r="Y23" s="794"/>
      <c r="Z23" s="794"/>
      <c r="AA23" s="794"/>
      <c r="AB23" s="794"/>
      <c r="AC23" s="794"/>
      <c r="AD23" s="794"/>
      <c r="AE23" s="796"/>
      <c r="AF23" s="418">
        <f>Balanza!G20</f>
        <v>0</v>
      </c>
      <c r="AG23" s="418">
        <f>Balanza!C20</f>
        <v>0</v>
      </c>
      <c r="AH23" s="194" t="s">
        <v>736</v>
      </c>
      <c r="AI23" s="854" t="s">
        <v>6433</v>
      </c>
      <c r="AJ23" s="794"/>
      <c r="AK23" s="794"/>
      <c r="AL23" s="794"/>
      <c r="AM23" s="794"/>
      <c r="AN23" s="794"/>
      <c r="AO23" s="794"/>
      <c r="AP23" s="794"/>
      <c r="AQ23" s="794"/>
      <c r="AR23" s="794"/>
      <c r="AS23" s="794"/>
      <c r="AT23" s="794"/>
      <c r="AU23" s="794"/>
      <c r="AV23" s="794"/>
      <c r="AW23" s="794"/>
      <c r="AX23" s="794"/>
      <c r="AY23" s="794"/>
      <c r="AZ23" s="794"/>
      <c r="BA23" s="794"/>
      <c r="BB23" s="794"/>
      <c r="BC23" s="794"/>
      <c r="BD23" s="794"/>
      <c r="BE23" s="794"/>
      <c r="BF23" s="794"/>
      <c r="BG23" s="794"/>
      <c r="BH23" s="794"/>
      <c r="BI23" s="794"/>
      <c r="BJ23" s="794"/>
      <c r="BK23" s="794"/>
      <c r="BL23" s="794"/>
      <c r="BM23" s="418">
        <f>Balanza!H118</f>
        <v>43903019.170000002</v>
      </c>
      <c r="BN23" s="418">
        <f>Balanza!D118</f>
        <v>0</v>
      </c>
    </row>
    <row r="24" spans="1:66" ht="15" customHeight="1">
      <c r="A24" s="413" t="s">
        <v>542</v>
      </c>
      <c r="B24" s="857" t="s">
        <v>6434</v>
      </c>
      <c r="C24" s="794"/>
      <c r="D24" s="794"/>
      <c r="E24" s="794"/>
      <c r="F24" s="794"/>
      <c r="G24" s="794"/>
      <c r="H24" s="794"/>
      <c r="I24" s="794"/>
      <c r="J24" s="794"/>
      <c r="K24" s="794"/>
      <c r="L24" s="794"/>
      <c r="M24" s="794"/>
      <c r="N24" s="794"/>
      <c r="O24" s="794"/>
      <c r="P24" s="794"/>
      <c r="Q24" s="794"/>
      <c r="R24" s="794"/>
      <c r="S24" s="794"/>
      <c r="T24" s="794"/>
      <c r="U24" s="794"/>
      <c r="V24" s="794"/>
      <c r="W24" s="794"/>
      <c r="X24" s="794"/>
      <c r="Y24" s="794"/>
      <c r="Z24" s="794"/>
      <c r="AA24" s="794"/>
      <c r="AB24" s="794"/>
      <c r="AC24" s="794"/>
      <c r="AD24" s="794"/>
      <c r="AE24" s="796"/>
      <c r="AF24" s="416">
        <f t="shared" ref="AF24:AG24" si="5">SUM(AF25:AF29)</f>
        <v>77545975.379999995</v>
      </c>
      <c r="AG24" s="416">
        <f t="shared" si="5"/>
        <v>3142048.85</v>
      </c>
      <c r="AH24" s="194" t="s">
        <v>738</v>
      </c>
      <c r="AI24" s="854" t="s">
        <v>6435</v>
      </c>
      <c r="AJ24" s="794"/>
      <c r="AK24" s="794"/>
      <c r="AL24" s="794"/>
      <c r="AM24" s="794"/>
      <c r="AN24" s="794"/>
      <c r="AO24" s="794"/>
      <c r="AP24" s="794"/>
      <c r="AQ24" s="794"/>
      <c r="AR24" s="794"/>
      <c r="AS24" s="794"/>
      <c r="AT24" s="794"/>
      <c r="AU24" s="794"/>
      <c r="AV24" s="794"/>
      <c r="AW24" s="794"/>
      <c r="AX24" s="794"/>
      <c r="AY24" s="794"/>
      <c r="AZ24" s="794"/>
      <c r="BA24" s="794"/>
      <c r="BB24" s="794"/>
      <c r="BC24" s="794"/>
      <c r="BD24" s="794"/>
      <c r="BE24" s="794"/>
      <c r="BF24" s="794"/>
      <c r="BG24" s="794"/>
      <c r="BH24" s="794"/>
      <c r="BI24" s="794"/>
      <c r="BJ24" s="794"/>
      <c r="BK24" s="794"/>
      <c r="BL24" s="794"/>
      <c r="BM24" s="418">
        <f>Balanza!H119</f>
        <v>0</v>
      </c>
      <c r="BN24" s="418">
        <f>Balanza!D119</f>
        <v>0</v>
      </c>
    </row>
    <row r="25" spans="1:66" ht="15" customHeight="1">
      <c r="A25" s="417" t="s">
        <v>544</v>
      </c>
      <c r="B25" s="854" t="s">
        <v>6436</v>
      </c>
      <c r="C25" s="794"/>
      <c r="D25" s="794"/>
      <c r="E25" s="794"/>
      <c r="F25" s="794"/>
      <c r="G25" s="794"/>
      <c r="H25" s="794"/>
      <c r="I25" s="794"/>
      <c r="J25" s="794"/>
      <c r="K25" s="794"/>
      <c r="L25" s="794"/>
      <c r="M25" s="794"/>
      <c r="N25" s="794"/>
      <c r="O25" s="794"/>
      <c r="P25" s="794"/>
      <c r="Q25" s="794"/>
      <c r="R25" s="794"/>
      <c r="S25" s="794"/>
      <c r="T25" s="794"/>
      <c r="U25" s="794"/>
      <c r="V25" s="794"/>
      <c r="W25" s="794"/>
      <c r="X25" s="794"/>
      <c r="Y25" s="794"/>
      <c r="Z25" s="794"/>
      <c r="AA25" s="794"/>
      <c r="AB25" s="794"/>
      <c r="AC25" s="794"/>
      <c r="AD25" s="794"/>
      <c r="AE25" s="796"/>
      <c r="AF25" s="418">
        <f>Balanza!G22</f>
        <v>77545975.379999995</v>
      </c>
      <c r="AG25" s="418">
        <f>Balanza!C22</f>
        <v>3142048.85</v>
      </c>
      <c r="AH25" s="194" t="s">
        <v>740</v>
      </c>
      <c r="AI25" s="854" t="s">
        <v>6437</v>
      </c>
      <c r="AJ25" s="794"/>
      <c r="AK25" s="794"/>
      <c r="AL25" s="794"/>
      <c r="AM25" s="794"/>
      <c r="AN25" s="794"/>
      <c r="AO25" s="794"/>
      <c r="AP25" s="794"/>
      <c r="AQ25" s="794"/>
      <c r="AR25" s="794"/>
      <c r="AS25" s="794"/>
      <c r="AT25" s="794"/>
      <c r="AU25" s="794"/>
      <c r="AV25" s="794"/>
      <c r="AW25" s="794"/>
      <c r="AX25" s="794"/>
      <c r="AY25" s="794"/>
      <c r="AZ25" s="794"/>
      <c r="BA25" s="794"/>
      <c r="BB25" s="794"/>
      <c r="BC25" s="794"/>
      <c r="BD25" s="794"/>
      <c r="BE25" s="794"/>
      <c r="BF25" s="794"/>
      <c r="BG25" s="794"/>
      <c r="BH25" s="794"/>
      <c r="BI25" s="794"/>
      <c r="BJ25" s="794"/>
      <c r="BK25" s="794"/>
      <c r="BL25" s="794"/>
      <c r="BM25" s="418">
        <f>Balanza!H120</f>
        <v>0</v>
      </c>
      <c r="BN25" s="418">
        <f>Balanza!D120</f>
        <v>0</v>
      </c>
    </row>
    <row r="26" spans="1:66" ht="15" customHeight="1">
      <c r="A26" s="417" t="s">
        <v>546</v>
      </c>
      <c r="B26" s="854" t="s">
        <v>6438</v>
      </c>
      <c r="C26" s="794"/>
      <c r="D26" s="794"/>
      <c r="E26" s="794"/>
      <c r="F26" s="794"/>
      <c r="G26" s="794"/>
      <c r="H26" s="794"/>
      <c r="I26" s="794"/>
      <c r="J26" s="794"/>
      <c r="K26" s="794"/>
      <c r="L26" s="794"/>
      <c r="M26" s="794"/>
      <c r="N26" s="794"/>
      <c r="O26" s="794"/>
      <c r="P26" s="794"/>
      <c r="Q26" s="794"/>
      <c r="R26" s="794"/>
      <c r="S26" s="794"/>
      <c r="T26" s="794"/>
      <c r="U26" s="794"/>
      <c r="V26" s="794"/>
      <c r="W26" s="794"/>
      <c r="X26" s="794"/>
      <c r="Y26" s="794"/>
      <c r="Z26" s="794"/>
      <c r="AA26" s="794"/>
      <c r="AB26" s="794"/>
      <c r="AC26" s="794"/>
      <c r="AD26" s="794"/>
      <c r="AE26" s="796"/>
      <c r="AF26" s="418">
        <f>Balanza!G23</f>
        <v>0</v>
      </c>
      <c r="AG26" s="418">
        <f>Balanza!C23</f>
        <v>0</v>
      </c>
      <c r="AH26" s="201" t="s">
        <v>742</v>
      </c>
      <c r="AI26" s="857" t="s">
        <v>6439</v>
      </c>
      <c r="AJ26" s="794"/>
      <c r="AK26" s="794"/>
      <c r="AL26" s="794"/>
      <c r="AM26" s="794"/>
      <c r="AN26" s="794"/>
      <c r="AO26" s="794"/>
      <c r="AP26" s="794"/>
      <c r="AQ26" s="794"/>
      <c r="AR26" s="794"/>
      <c r="AS26" s="794"/>
      <c r="AT26" s="794"/>
      <c r="AU26" s="794"/>
      <c r="AV26" s="794"/>
      <c r="AW26" s="794"/>
      <c r="AX26" s="794"/>
      <c r="AY26" s="794"/>
      <c r="AZ26" s="794"/>
      <c r="BA26" s="794"/>
      <c r="BB26" s="794"/>
      <c r="BC26" s="794"/>
      <c r="BD26" s="794"/>
      <c r="BE26" s="794"/>
      <c r="BF26" s="794"/>
      <c r="BG26" s="794"/>
      <c r="BH26" s="794"/>
      <c r="BI26" s="794"/>
      <c r="BJ26" s="794"/>
      <c r="BK26" s="794"/>
      <c r="BL26" s="794"/>
      <c r="BM26" s="416">
        <f t="shared" ref="BM26:BN26" si="6">SUM(BM27:BM28)</f>
        <v>100000000</v>
      </c>
      <c r="BN26" s="416">
        <f t="shared" si="6"/>
        <v>300000000</v>
      </c>
    </row>
    <row r="27" spans="1:66" ht="15" customHeight="1">
      <c r="A27" s="417" t="s">
        <v>548</v>
      </c>
      <c r="B27" s="854" t="s">
        <v>6440</v>
      </c>
      <c r="C27" s="794"/>
      <c r="D27" s="794"/>
      <c r="E27" s="794"/>
      <c r="F27" s="794"/>
      <c r="G27" s="794"/>
      <c r="H27" s="794"/>
      <c r="I27" s="794"/>
      <c r="J27" s="794"/>
      <c r="K27" s="794"/>
      <c r="L27" s="794"/>
      <c r="M27" s="794"/>
      <c r="N27" s="794"/>
      <c r="O27" s="794"/>
      <c r="P27" s="794"/>
      <c r="Q27" s="794"/>
      <c r="R27" s="794"/>
      <c r="S27" s="794"/>
      <c r="T27" s="794"/>
      <c r="U27" s="794"/>
      <c r="V27" s="794"/>
      <c r="W27" s="794"/>
      <c r="X27" s="794"/>
      <c r="Y27" s="794"/>
      <c r="Z27" s="794"/>
      <c r="AA27" s="794"/>
      <c r="AB27" s="794"/>
      <c r="AC27" s="794"/>
      <c r="AD27" s="794"/>
      <c r="AE27" s="796"/>
      <c r="AF27" s="418">
        <f>Balanza!G24</f>
        <v>0</v>
      </c>
      <c r="AG27" s="418">
        <f>Balanza!C24</f>
        <v>0</v>
      </c>
      <c r="AH27" s="194" t="s">
        <v>744</v>
      </c>
      <c r="AI27" s="854" t="s">
        <v>6441</v>
      </c>
      <c r="AJ27" s="794"/>
      <c r="AK27" s="794"/>
      <c r="AL27" s="794"/>
      <c r="AM27" s="794"/>
      <c r="AN27" s="794"/>
      <c r="AO27" s="794"/>
      <c r="AP27" s="794"/>
      <c r="AQ27" s="794"/>
      <c r="AR27" s="794"/>
      <c r="AS27" s="794"/>
      <c r="AT27" s="794"/>
      <c r="AU27" s="794"/>
      <c r="AV27" s="794"/>
      <c r="AW27" s="794"/>
      <c r="AX27" s="794"/>
      <c r="AY27" s="794"/>
      <c r="AZ27" s="794"/>
      <c r="BA27" s="794"/>
      <c r="BB27" s="794"/>
      <c r="BC27" s="794"/>
      <c r="BD27" s="794"/>
      <c r="BE27" s="794"/>
      <c r="BF27" s="794"/>
      <c r="BG27" s="794"/>
      <c r="BH27" s="794"/>
      <c r="BI27" s="794"/>
      <c r="BJ27" s="794"/>
      <c r="BK27" s="794"/>
      <c r="BL27" s="794"/>
      <c r="BM27" s="418">
        <f>Balanza!H122</f>
        <v>100000000</v>
      </c>
      <c r="BN27" s="418">
        <f>Balanza!D122</f>
        <v>300000000</v>
      </c>
    </row>
    <row r="28" spans="1:66" ht="15" customHeight="1">
      <c r="A28" s="417" t="s">
        <v>550</v>
      </c>
      <c r="B28" s="854" t="s">
        <v>6442</v>
      </c>
      <c r="C28" s="794"/>
      <c r="D28" s="794"/>
      <c r="E28" s="794"/>
      <c r="F28" s="794"/>
      <c r="G28" s="794"/>
      <c r="H28" s="794"/>
      <c r="I28" s="794"/>
      <c r="J28" s="794"/>
      <c r="K28" s="794"/>
      <c r="L28" s="794"/>
      <c r="M28" s="794"/>
      <c r="N28" s="794"/>
      <c r="O28" s="794"/>
      <c r="P28" s="794"/>
      <c r="Q28" s="794"/>
      <c r="R28" s="794"/>
      <c r="S28" s="794"/>
      <c r="T28" s="794"/>
      <c r="U28" s="794"/>
      <c r="V28" s="794"/>
      <c r="W28" s="794"/>
      <c r="X28" s="794"/>
      <c r="Y28" s="794"/>
      <c r="Z28" s="794"/>
      <c r="AA28" s="794"/>
      <c r="AB28" s="794"/>
      <c r="AC28" s="794"/>
      <c r="AD28" s="794"/>
      <c r="AE28" s="796"/>
      <c r="AF28" s="418">
        <f>Balanza!G25</f>
        <v>0</v>
      </c>
      <c r="AG28" s="418">
        <f>Balanza!C25</f>
        <v>0</v>
      </c>
      <c r="AH28" s="194" t="s">
        <v>746</v>
      </c>
      <c r="AI28" s="854" t="s">
        <v>6443</v>
      </c>
      <c r="AJ28" s="794"/>
      <c r="AK28" s="794"/>
      <c r="AL28" s="794"/>
      <c r="AM28" s="794"/>
      <c r="AN28" s="794"/>
      <c r="AO28" s="794"/>
      <c r="AP28" s="794"/>
      <c r="AQ28" s="794"/>
      <c r="AR28" s="794"/>
      <c r="AS28" s="794"/>
      <c r="AT28" s="794"/>
      <c r="AU28" s="794"/>
      <c r="AV28" s="794"/>
      <c r="AW28" s="794"/>
      <c r="AX28" s="794"/>
      <c r="AY28" s="794"/>
      <c r="AZ28" s="794"/>
      <c r="BA28" s="794"/>
      <c r="BB28" s="794"/>
      <c r="BC28" s="794"/>
      <c r="BD28" s="794"/>
      <c r="BE28" s="794"/>
      <c r="BF28" s="794"/>
      <c r="BG28" s="794"/>
      <c r="BH28" s="794"/>
      <c r="BI28" s="794"/>
      <c r="BJ28" s="794"/>
      <c r="BK28" s="794"/>
      <c r="BL28" s="794"/>
      <c r="BM28" s="418">
        <f>Balanza!H123</f>
        <v>0</v>
      </c>
      <c r="BN28" s="418">
        <f>Balanza!D123</f>
        <v>0</v>
      </c>
    </row>
    <row r="29" spans="1:66" ht="15" customHeight="1">
      <c r="A29" s="417" t="s">
        <v>552</v>
      </c>
      <c r="B29" s="854" t="s">
        <v>6444</v>
      </c>
      <c r="C29" s="794"/>
      <c r="D29" s="794"/>
      <c r="E29" s="794"/>
      <c r="F29" s="794"/>
      <c r="G29" s="794"/>
      <c r="H29" s="794"/>
      <c r="I29" s="794"/>
      <c r="J29" s="794"/>
      <c r="K29" s="794"/>
      <c r="L29" s="794"/>
      <c r="M29" s="794"/>
      <c r="N29" s="794"/>
      <c r="O29" s="794"/>
      <c r="P29" s="794"/>
      <c r="Q29" s="794"/>
      <c r="R29" s="794"/>
      <c r="S29" s="794"/>
      <c r="T29" s="794"/>
      <c r="U29" s="794"/>
      <c r="V29" s="794"/>
      <c r="W29" s="794"/>
      <c r="X29" s="794"/>
      <c r="Y29" s="794"/>
      <c r="Z29" s="794"/>
      <c r="AA29" s="794"/>
      <c r="AB29" s="794"/>
      <c r="AC29" s="794"/>
      <c r="AD29" s="794"/>
      <c r="AE29" s="796"/>
      <c r="AF29" s="418">
        <f>Balanza!G26</f>
        <v>0</v>
      </c>
      <c r="AG29" s="418">
        <f>Balanza!C26</f>
        <v>0</v>
      </c>
      <c r="AH29" s="201" t="s">
        <v>748</v>
      </c>
      <c r="AI29" s="857" t="s">
        <v>6445</v>
      </c>
      <c r="AJ29" s="794"/>
      <c r="AK29" s="794"/>
      <c r="AL29" s="794"/>
      <c r="AM29" s="794"/>
      <c r="AN29" s="794"/>
      <c r="AO29" s="794"/>
      <c r="AP29" s="794"/>
      <c r="AQ29" s="794"/>
      <c r="AR29" s="794"/>
      <c r="AS29" s="794"/>
      <c r="AT29" s="794"/>
      <c r="AU29" s="794"/>
      <c r="AV29" s="794"/>
      <c r="AW29" s="794"/>
      <c r="AX29" s="794"/>
      <c r="AY29" s="794"/>
      <c r="AZ29" s="794"/>
      <c r="BA29" s="794"/>
      <c r="BB29" s="794"/>
      <c r="BC29" s="794"/>
      <c r="BD29" s="794"/>
      <c r="BE29" s="794"/>
      <c r="BF29" s="794"/>
      <c r="BG29" s="794"/>
      <c r="BH29" s="794"/>
      <c r="BI29" s="794"/>
      <c r="BJ29" s="794"/>
      <c r="BK29" s="794"/>
      <c r="BL29" s="794"/>
      <c r="BM29" s="416">
        <f t="shared" ref="BM29:BN29" si="7">SUM(BM30:BM32)</f>
        <v>0</v>
      </c>
      <c r="BN29" s="416">
        <f t="shared" si="7"/>
        <v>0</v>
      </c>
    </row>
    <row r="30" spans="1:66" ht="15" customHeight="1">
      <c r="A30" s="413" t="s">
        <v>554</v>
      </c>
      <c r="B30" s="857" t="s">
        <v>6446</v>
      </c>
      <c r="C30" s="794"/>
      <c r="D30" s="794"/>
      <c r="E30" s="794"/>
      <c r="F30" s="794"/>
      <c r="G30" s="794"/>
      <c r="H30" s="794"/>
      <c r="I30" s="794"/>
      <c r="J30" s="794"/>
      <c r="K30" s="794"/>
      <c r="L30" s="794"/>
      <c r="M30" s="794"/>
      <c r="N30" s="794"/>
      <c r="O30" s="794"/>
      <c r="P30" s="794"/>
      <c r="Q30" s="794"/>
      <c r="R30" s="794"/>
      <c r="S30" s="794"/>
      <c r="T30" s="794"/>
      <c r="U30" s="794"/>
      <c r="V30" s="794"/>
      <c r="W30" s="794"/>
      <c r="X30" s="794"/>
      <c r="Y30" s="794"/>
      <c r="Z30" s="794"/>
      <c r="AA30" s="794"/>
      <c r="AB30" s="794"/>
      <c r="AC30" s="794"/>
      <c r="AD30" s="794"/>
      <c r="AE30" s="796"/>
      <c r="AF30" s="416">
        <f t="shared" ref="AF30:AG30" si="8">SUM(AF31:AF35)</f>
        <v>0</v>
      </c>
      <c r="AG30" s="416">
        <f t="shared" si="8"/>
        <v>0</v>
      </c>
      <c r="AH30" s="194" t="s">
        <v>750</v>
      </c>
      <c r="AI30" s="854" t="s">
        <v>6447</v>
      </c>
      <c r="AJ30" s="794"/>
      <c r="AK30" s="794"/>
      <c r="AL30" s="794"/>
      <c r="AM30" s="794"/>
      <c r="AN30" s="794"/>
      <c r="AO30" s="794"/>
      <c r="AP30" s="794"/>
      <c r="AQ30" s="794"/>
      <c r="AR30" s="794"/>
      <c r="AS30" s="794"/>
      <c r="AT30" s="794"/>
      <c r="AU30" s="794"/>
      <c r="AV30" s="794"/>
      <c r="AW30" s="794"/>
      <c r="AX30" s="794"/>
      <c r="AY30" s="794"/>
      <c r="AZ30" s="794"/>
      <c r="BA30" s="794"/>
      <c r="BB30" s="794"/>
      <c r="BC30" s="794"/>
      <c r="BD30" s="794"/>
      <c r="BE30" s="794"/>
      <c r="BF30" s="794"/>
      <c r="BG30" s="794"/>
      <c r="BH30" s="794"/>
      <c r="BI30" s="794"/>
      <c r="BJ30" s="794"/>
      <c r="BK30" s="794"/>
      <c r="BL30" s="794"/>
      <c r="BM30" s="418">
        <f>Balanza!H125</f>
        <v>0</v>
      </c>
      <c r="BN30" s="418">
        <f>Balanza!D125</f>
        <v>0</v>
      </c>
    </row>
    <row r="31" spans="1:66" ht="15" customHeight="1">
      <c r="A31" s="417" t="s">
        <v>556</v>
      </c>
      <c r="B31" s="854" t="s">
        <v>6448</v>
      </c>
      <c r="C31" s="794"/>
      <c r="D31" s="794"/>
      <c r="E31" s="794"/>
      <c r="F31" s="794"/>
      <c r="G31" s="794"/>
      <c r="H31" s="794"/>
      <c r="I31" s="794"/>
      <c r="J31" s="794"/>
      <c r="K31" s="794"/>
      <c r="L31" s="794"/>
      <c r="M31" s="794"/>
      <c r="N31" s="794"/>
      <c r="O31" s="794"/>
      <c r="P31" s="794"/>
      <c r="Q31" s="794"/>
      <c r="R31" s="794"/>
      <c r="S31" s="794"/>
      <c r="T31" s="794"/>
      <c r="U31" s="794"/>
      <c r="V31" s="794"/>
      <c r="W31" s="794"/>
      <c r="X31" s="794"/>
      <c r="Y31" s="794"/>
      <c r="Z31" s="794"/>
      <c r="AA31" s="794"/>
      <c r="AB31" s="794"/>
      <c r="AC31" s="794"/>
      <c r="AD31" s="794"/>
      <c r="AE31" s="796"/>
      <c r="AF31" s="418">
        <f>Balanza!G28</f>
        <v>0</v>
      </c>
      <c r="AG31" s="418">
        <f>Balanza!C28</f>
        <v>0</v>
      </c>
      <c r="AH31" s="194" t="s">
        <v>752</v>
      </c>
      <c r="AI31" s="854" t="s">
        <v>6449</v>
      </c>
      <c r="AJ31" s="794"/>
      <c r="AK31" s="794"/>
      <c r="AL31" s="794"/>
      <c r="AM31" s="794"/>
      <c r="AN31" s="794"/>
      <c r="AO31" s="794"/>
      <c r="AP31" s="794"/>
      <c r="AQ31" s="794"/>
      <c r="AR31" s="794"/>
      <c r="AS31" s="794"/>
      <c r="AT31" s="794"/>
      <c r="AU31" s="794"/>
      <c r="AV31" s="794"/>
      <c r="AW31" s="794"/>
      <c r="AX31" s="794"/>
      <c r="AY31" s="794"/>
      <c r="AZ31" s="794"/>
      <c r="BA31" s="794"/>
      <c r="BB31" s="794"/>
      <c r="BC31" s="794"/>
      <c r="BD31" s="794"/>
      <c r="BE31" s="794"/>
      <c r="BF31" s="794"/>
      <c r="BG31" s="794"/>
      <c r="BH31" s="794"/>
      <c r="BI31" s="794"/>
      <c r="BJ31" s="794"/>
      <c r="BK31" s="794"/>
      <c r="BL31" s="794"/>
      <c r="BM31" s="418">
        <f>Balanza!H126</f>
        <v>0</v>
      </c>
      <c r="BN31" s="418">
        <f>Balanza!D126</f>
        <v>0</v>
      </c>
    </row>
    <row r="32" spans="1:66" ht="15" customHeight="1">
      <c r="A32" s="417" t="s">
        <v>558</v>
      </c>
      <c r="B32" s="854" t="s">
        <v>6450</v>
      </c>
      <c r="C32" s="794"/>
      <c r="D32" s="794"/>
      <c r="E32" s="794"/>
      <c r="F32" s="794"/>
      <c r="G32" s="794"/>
      <c r="H32" s="794"/>
      <c r="I32" s="794"/>
      <c r="J32" s="794"/>
      <c r="K32" s="794"/>
      <c r="L32" s="794"/>
      <c r="M32" s="794"/>
      <c r="N32" s="794"/>
      <c r="O32" s="794"/>
      <c r="P32" s="794"/>
      <c r="Q32" s="794"/>
      <c r="R32" s="794"/>
      <c r="S32" s="794"/>
      <c r="T32" s="794"/>
      <c r="U32" s="794"/>
      <c r="V32" s="794"/>
      <c r="W32" s="794"/>
      <c r="X32" s="794"/>
      <c r="Y32" s="794"/>
      <c r="Z32" s="794"/>
      <c r="AA32" s="794"/>
      <c r="AB32" s="794"/>
      <c r="AC32" s="794"/>
      <c r="AD32" s="794"/>
      <c r="AE32" s="796"/>
      <c r="AF32" s="418">
        <f>Balanza!G29</f>
        <v>0</v>
      </c>
      <c r="AG32" s="418">
        <f>Balanza!C29</f>
        <v>0</v>
      </c>
      <c r="AH32" s="194" t="s">
        <v>754</v>
      </c>
      <c r="AI32" s="854" t="s">
        <v>6451</v>
      </c>
      <c r="AJ32" s="794"/>
      <c r="AK32" s="794"/>
      <c r="AL32" s="794"/>
      <c r="AM32" s="794"/>
      <c r="AN32" s="794"/>
      <c r="AO32" s="794"/>
      <c r="AP32" s="794"/>
      <c r="AQ32" s="794"/>
      <c r="AR32" s="794"/>
      <c r="AS32" s="794"/>
      <c r="AT32" s="794"/>
      <c r="AU32" s="794"/>
      <c r="AV32" s="794"/>
      <c r="AW32" s="794"/>
      <c r="AX32" s="794"/>
      <c r="AY32" s="794"/>
      <c r="AZ32" s="794"/>
      <c r="BA32" s="794"/>
      <c r="BB32" s="794"/>
      <c r="BC32" s="794"/>
      <c r="BD32" s="794"/>
      <c r="BE32" s="794"/>
      <c r="BF32" s="794"/>
      <c r="BG32" s="794"/>
      <c r="BH32" s="794"/>
      <c r="BI32" s="794"/>
      <c r="BJ32" s="794"/>
      <c r="BK32" s="794"/>
      <c r="BL32" s="794"/>
      <c r="BM32" s="418">
        <f>Balanza!H127</f>
        <v>0</v>
      </c>
      <c r="BN32" s="418">
        <f>Balanza!D127</f>
        <v>0</v>
      </c>
    </row>
    <row r="33" spans="1:66" ht="15" customHeight="1">
      <c r="A33" s="417" t="s">
        <v>560</v>
      </c>
      <c r="B33" s="854" t="s">
        <v>6452</v>
      </c>
      <c r="C33" s="794"/>
      <c r="D33" s="794"/>
      <c r="E33" s="794"/>
      <c r="F33" s="794"/>
      <c r="G33" s="794"/>
      <c r="H33" s="794"/>
      <c r="I33" s="794"/>
      <c r="J33" s="794"/>
      <c r="K33" s="794"/>
      <c r="L33" s="794"/>
      <c r="M33" s="794"/>
      <c r="N33" s="794"/>
      <c r="O33" s="794"/>
      <c r="P33" s="794"/>
      <c r="Q33" s="794"/>
      <c r="R33" s="794"/>
      <c r="S33" s="794"/>
      <c r="T33" s="794"/>
      <c r="U33" s="794"/>
      <c r="V33" s="794"/>
      <c r="W33" s="794"/>
      <c r="X33" s="794"/>
      <c r="Y33" s="794"/>
      <c r="Z33" s="794"/>
      <c r="AA33" s="794"/>
      <c r="AB33" s="794"/>
      <c r="AC33" s="794"/>
      <c r="AD33" s="794"/>
      <c r="AE33" s="796"/>
      <c r="AF33" s="418">
        <f>Balanza!G30</f>
        <v>0</v>
      </c>
      <c r="AG33" s="418">
        <f>Balanza!C30</f>
        <v>0</v>
      </c>
      <c r="AH33" s="201" t="s">
        <v>756</v>
      </c>
      <c r="AI33" s="857" t="s">
        <v>6453</v>
      </c>
      <c r="AJ33" s="794"/>
      <c r="AK33" s="794"/>
      <c r="AL33" s="794"/>
      <c r="AM33" s="794"/>
      <c r="AN33" s="794"/>
      <c r="AO33" s="794"/>
      <c r="AP33" s="794"/>
      <c r="AQ33" s="794"/>
      <c r="AR33" s="794"/>
      <c r="AS33" s="794"/>
      <c r="AT33" s="794"/>
      <c r="AU33" s="794"/>
      <c r="AV33" s="794"/>
      <c r="AW33" s="794"/>
      <c r="AX33" s="794"/>
      <c r="AY33" s="794"/>
      <c r="AZ33" s="794"/>
      <c r="BA33" s="794"/>
      <c r="BB33" s="794"/>
      <c r="BC33" s="794"/>
      <c r="BD33" s="794"/>
      <c r="BE33" s="794"/>
      <c r="BF33" s="794"/>
      <c r="BG33" s="794"/>
      <c r="BH33" s="794"/>
      <c r="BI33" s="794"/>
      <c r="BJ33" s="794"/>
      <c r="BK33" s="794"/>
      <c r="BL33" s="794"/>
      <c r="BM33" s="416">
        <f t="shared" ref="BM33:BN33" si="9">SUM(BM34:BM39)</f>
        <v>690684.62</v>
      </c>
      <c r="BN33" s="416">
        <f t="shared" si="9"/>
        <v>779633.11</v>
      </c>
    </row>
    <row r="34" spans="1:66" ht="15" customHeight="1">
      <c r="A34" s="417" t="s">
        <v>562</v>
      </c>
      <c r="B34" s="854" t="s">
        <v>6454</v>
      </c>
      <c r="C34" s="794"/>
      <c r="D34" s="794"/>
      <c r="E34" s="794"/>
      <c r="F34" s="794"/>
      <c r="G34" s="794"/>
      <c r="H34" s="794"/>
      <c r="I34" s="794"/>
      <c r="J34" s="794"/>
      <c r="K34" s="794"/>
      <c r="L34" s="794"/>
      <c r="M34" s="794"/>
      <c r="N34" s="794"/>
      <c r="O34" s="794"/>
      <c r="P34" s="794"/>
      <c r="Q34" s="794"/>
      <c r="R34" s="794"/>
      <c r="S34" s="794"/>
      <c r="T34" s="794"/>
      <c r="U34" s="794"/>
      <c r="V34" s="794"/>
      <c r="W34" s="794"/>
      <c r="X34" s="794"/>
      <c r="Y34" s="794"/>
      <c r="Z34" s="794"/>
      <c r="AA34" s="794"/>
      <c r="AB34" s="794"/>
      <c r="AC34" s="794"/>
      <c r="AD34" s="794"/>
      <c r="AE34" s="796"/>
      <c r="AF34" s="418">
        <f>Balanza!G31</f>
        <v>0</v>
      </c>
      <c r="AG34" s="418">
        <f>Balanza!C31</f>
        <v>0</v>
      </c>
      <c r="AH34" s="194" t="s">
        <v>758</v>
      </c>
      <c r="AI34" s="854" t="s">
        <v>6455</v>
      </c>
      <c r="AJ34" s="794"/>
      <c r="AK34" s="794"/>
      <c r="AL34" s="794"/>
      <c r="AM34" s="794"/>
      <c r="AN34" s="794"/>
      <c r="AO34" s="794"/>
      <c r="AP34" s="794"/>
      <c r="AQ34" s="794"/>
      <c r="AR34" s="794"/>
      <c r="AS34" s="794"/>
      <c r="AT34" s="794"/>
      <c r="AU34" s="794"/>
      <c r="AV34" s="794"/>
      <c r="AW34" s="794"/>
      <c r="AX34" s="794"/>
      <c r="AY34" s="794"/>
      <c r="AZ34" s="794"/>
      <c r="BA34" s="794"/>
      <c r="BB34" s="794"/>
      <c r="BC34" s="794"/>
      <c r="BD34" s="794"/>
      <c r="BE34" s="794"/>
      <c r="BF34" s="794"/>
      <c r="BG34" s="794"/>
      <c r="BH34" s="794"/>
      <c r="BI34" s="794"/>
      <c r="BJ34" s="794"/>
      <c r="BK34" s="794"/>
      <c r="BL34" s="794"/>
      <c r="BM34" s="418">
        <f>Balanza!H129</f>
        <v>693567.77</v>
      </c>
      <c r="BN34" s="418">
        <f>Balanza!D129</f>
        <v>782517.26</v>
      </c>
    </row>
    <row r="35" spans="1:66" ht="15" customHeight="1">
      <c r="A35" s="417" t="s">
        <v>564</v>
      </c>
      <c r="B35" s="854" t="s">
        <v>6456</v>
      </c>
      <c r="C35" s="794"/>
      <c r="D35" s="794"/>
      <c r="E35" s="794"/>
      <c r="F35" s="794"/>
      <c r="G35" s="794"/>
      <c r="H35" s="794"/>
      <c r="I35" s="794"/>
      <c r="J35" s="794"/>
      <c r="K35" s="794"/>
      <c r="L35" s="794"/>
      <c r="M35" s="794"/>
      <c r="N35" s="794"/>
      <c r="O35" s="794"/>
      <c r="P35" s="794"/>
      <c r="Q35" s="794"/>
      <c r="R35" s="794"/>
      <c r="S35" s="794"/>
      <c r="T35" s="794"/>
      <c r="U35" s="794"/>
      <c r="V35" s="794"/>
      <c r="W35" s="794"/>
      <c r="X35" s="794"/>
      <c r="Y35" s="794"/>
      <c r="Z35" s="794"/>
      <c r="AA35" s="794"/>
      <c r="AB35" s="794"/>
      <c r="AC35" s="794"/>
      <c r="AD35" s="794"/>
      <c r="AE35" s="796"/>
      <c r="AF35" s="418">
        <f>Balanza!G32</f>
        <v>0</v>
      </c>
      <c r="AG35" s="418">
        <f>Balanza!C32</f>
        <v>0</v>
      </c>
      <c r="AH35" s="194" t="s">
        <v>760</v>
      </c>
      <c r="AI35" s="854" t="s">
        <v>6457</v>
      </c>
      <c r="AJ35" s="794"/>
      <c r="AK35" s="794"/>
      <c r="AL35" s="794"/>
      <c r="AM35" s="794"/>
      <c r="AN35" s="794"/>
      <c r="AO35" s="794"/>
      <c r="AP35" s="794"/>
      <c r="AQ35" s="794"/>
      <c r="AR35" s="794"/>
      <c r="AS35" s="794"/>
      <c r="AT35" s="794"/>
      <c r="AU35" s="794"/>
      <c r="AV35" s="794"/>
      <c r="AW35" s="794"/>
      <c r="AX35" s="794"/>
      <c r="AY35" s="794"/>
      <c r="AZ35" s="794"/>
      <c r="BA35" s="794"/>
      <c r="BB35" s="794"/>
      <c r="BC35" s="794"/>
      <c r="BD35" s="794"/>
      <c r="BE35" s="794"/>
      <c r="BF35" s="794"/>
      <c r="BG35" s="794"/>
      <c r="BH35" s="794"/>
      <c r="BI35" s="794"/>
      <c r="BJ35" s="794"/>
      <c r="BK35" s="794"/>
      <c r="BL35" s="794"/>
      <c r="BM35" s="418">
        <f>Balanza!H130</f>
        <v>-2883.15</v>
      </c>
      <c r="BN35" s="418">
        <f>Balanza!D130</f>
        <v>-2884.15</v>
      </c>
    </row>
    <row r="36" spans="1:66" ht="15" customHeight="1">
      <c r="A36" s="413" t="s">
        <v>566</v>
      </c>
      <c r="B36" s="857" t="s">
        <v>6458</v>
      </c>
      <c r="C36" s="794"/>
      <c r="D36" s="794"/>
      <c r="E36" s="794"/>
      <c r="F36" s="794"/>
      <c r="G36" s="794"/>
      <c r="H36" s="794"/>
      <c r="I36" s="794"/>
      <c r="J36" s="794"/>
      <c r="K36" s="794"/>
      <c r="L36" s="794"/>
      <c r="M36" s="794"/>
      <c r="N36" s="794"/>
      <c r="O36" s="794"/>
      <c r="P36" s="794"/>
      <c r="Q36" s="794"/>
      <c r="R36" s="794"/>
      <c r="S36" s="794"/>
      <c r="T36" s="794"/>
      <c r="U36" s="794"/>
      <c r="V36" s="794"/>
      <c r="W36" s="794"/>
      <c r="X36" s="794"/>
      <c r="Y36" s="794"/>
      <c r="Z36" s="794"/>
      <c r="AA36" s="794"/>
      <c r="AB36" s="794"/>
      <c r="AC36" s="794"/>
      <c r="AD36" s="794"/>
      <c r="AE36" s="796"/>
      <c r="AF36" s="416">
        <f t="shared" ref="AF36:AG36" si="10">AF37</f>
        <v>0</v>
      </c>
      <c r="AG36" s="416">
        <f t="shared" si="10"/>
        <v>0</v>
      </c>
      <c r="AH36" s="194" t="s">
        <v>762</v>
      </c>
      <c r="AI36" s="854" t="s">
        <v>6459</v>
      </c>
      <c r="AJ36" s="794"/>
      <c r="AK36" s="794"/>
      <c r="AL36" s="794"/>
      <c r="AM36" s="794"/>
      <c r="AN36" s="794"/>
      <c r="AO36" s="794"/>
      <c r="AP36" s="794"/>
      <c r="AQ36" s="794"/>
      <c r="AR36" s="794"/>
      <c r="AS36" s="794"/>
      <c r="AT36" s="794"/>
      <c r="AU36" s="794"/>
      <c r="AV36" s="794"/>
      <c r="AW36" s="794"/>
      <c r="AX36" s="794"/>
      <c r="AY36" s="794"/>
      <c r="AZ36" s="794"/>
      <c r="BA36" s="794"/>
      <c r="BB36" s="794"/>
      <c r="BC36" s="794"/>
      <c r="BD36" s="794"/>
      <c r="BE36" s="794"/>
      <c r="BF36" s="794"/>
      <c r="BG36" s="794"/>
      <c r="BH36" s="794"/>
      <c r="BI36" s="794"/>
      <c r="BJ36" s="794"/>
      <c r="BK36" s="794"/>
      <c r="BL36" s="794"/>
      <c r="BM36" s="418">
        <f>Balanza!H131</f>
        <v>0</v>
      </c>
      <c r="BN36" s="418">
        <f>Balanza!D131</f>
        <v>0</v>
      </c>
    </row>
    <row r="37" spans="1:66" ht="15" customHeight="1">
      <c r="A37" s="417" t="s">
        <v>568</v>
      </c>
      <c r="B37" s="854" t="s">
        <v>6460</v>
      </c>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794"/>
      <c r="AA37" s="794"/>
      <c r="AB37" s="794"/>
      <c r="AC37" s="794"/>
      <c r="AD37" s="794"/>
      <c r="AE37" s="796"/>
      <c r="AF37" s="418">
        <f>Balanza!G34</f>
        <v>0</v>
      </c>
      <c r="AG37" s="418">
        <f>Balanza!C34</f>
        <v>0</v>
      </c>
      <c r="AH37" s="194" t="s">
        <v>764</v>
      </c>
      <c r="AI37" s="854" t="s">
        <v>6461</v>
      </c>
      <c r="AJ37" s="794"/>
      <c r="AK37" s="794"/>
      <c r="AL37" s="794"/>
      <c r="AM37" s="794"/>
      <c r="AN37" s="794"/>
      <c r="AO37" s="794"/>
      <c r="AP37" s="794"/>
      <c r="AQ37" s="794"/>
      <c r="AR37" s="794"/>
      <c r="AS37" s="794"/>
      <c r="AT37" s="794"/>
      <c r="AU37" s="794"/>
      <c r="AV37" s="794"/>
      <c r="AW37" s="794"/>
      <c r="AX37" s="794"/>
      <c r="AY37" s="794"/>
      <c r="AZ37" s="794"/>
      <c r="BA37" s="794"/>
      <c r="BB37" s="794"/>
      <c r="BC37" s="794"/>
      <c r="BD37" s="794"/>
      <c r="BE37" s="794"/>
      <c r="BF37" s="794"/>
      <c r="BG37" s="794"/>
      <c r="BH37" s="794"/>
      <c r="BI37" s="794"/>
      <c r="BJ37" s="794"/>
      <c r="BK37" s="794"/>
      <c r="BL37" s="794"/>
      <c r="BM37" s="418">
        <f>Balanza!H132</f>
        <v>0</v>
      </c>
      <c r="BN37" s="418">
        <f>Balanza!D132</f>
        <v>0</v>
      </c>
    </row>
    <row r="38" spans="1:66" ht="15" customHeight="1">
      <c r="A38" s="413" t="s">
        <v>570</v>
      </c>
      <c r="B38" s="857" t="s">
        <v>6462</v>
      </c>
      <c r="C38" s="794"/>
      <c r="D38" s="794"/>
      <c r="E38" s="794"/>
      <c r="F38" s="794"/>
      <c r="G38" s="794"/>
      <c r="H38" s="794"/>
      <c r="I38" s="794"/>
      <c r="J38" s="794"/>
      <c r="K38" s="794"/>
      <c r="L38" s="794"/>
      <c r="M38" s="794"/>
      <c r="N38" s="794"/>
      <c r="O38" s="794"/>
      <c r="P38" s="794"/>
      <c r="Q38" s="794"/>
      <c r="R38" s="794"/>
      <c r="S38" s="794"/>
      <c r="T38" s="794"/>
      <c r="U38" s="794"/>
      <c r="V38" s="794"/>
      <c r="W38" s="794"/>
      <c r="X38" s="794"/>
      <c r="Y38" s="794"/>
      <c r="Z38" s="794"/>
      <c r="AA38" s="794"/>
      <c r="AB38" s="794"/>
      <c r="AC38" s="794"/>
      <c r="AD38" s="794"/>
      <c r="AE38" s="796"/>
      <c r="AF38" s="416">
        <f t="shared" ref="AF38:AG38" si="11">SUM(AF39:AF40)</f>
        <v>0</v>
      </c>
      <c r="AG38" s="416">
        <f t="shared" si="11"/>
        <v>0</v>
      </c>
      <c r="AH38" s="194" t="s">
        <v>766</v>
      </c>
      <c r="AI38" s="854" t="s">
        <v>6463</v>
      </c>
      <c r="AJ38" s="794"/>
      <c r="AK38" s="794"/>
      <c r="AL38" s="794"/>
      <c r="AM38" s="794"/>
      <c r="AN38" s="794"/>
      <c r="AO38" s="794"/>
      <c r="AP38" s="794"/>
      <c r="AQ38" s="794"/>
      <c r="AR38" s="794"/>
      <c r="AS38" s="794"/>
      <c r="AT38" s="794"/>
      <c r="AU38" s="794"/>
      <c r="AV38" s="794"/>
      <c r="AW38" s="794"/>
      <c r="AX38" s="794"/>
      <c r="AY38" s="794"/>
      <c r="AZ38" s="794"/>
      <c r="BA38" s="794"/>
      <c r="BB38" s="794"/>
      <c r="BC38" s="794"/>
      <c r="BD38" s="794"/>
      <c r="BE38" s="794"/>
      <c r="BF38" s="794"/>
      <c r="BG38" s="794"/>
      <c r="BH38" s="794"/>
      <c r="BI38" s="794"/>
      <c r="BJ38" s="794"/>
      <c r="BK38" s="794"/>
      <c r="BL38" s="794"/>
      <c r="BM38" s="418">
        <f>Balanza!H133</f>
        <v>0</v>
      </c>
      <c r="BN38" s="418">
        <f>Balanza!D133</f>
        <v>0</v>
      </c>
    </row>
    <row r="39" spans="1:66" ht="15" customHeight="1">
      <c r="A39" s="417" t="s">
        <v>572</v>
      </c>
      <c r="B39" s="854" t="s">
        <v>6464</v>
      </c>
      <c r="C39" s="794"/>
      <c r="D39" s="794"/>
      <c r="E39" s="794"/>
      <c r="F39" s="794"/>
      <c r="G39" s="794"/>
      <c r="H39" s="794"/>
      <c r="I39" s="794"/>
      <c r="J39" s="794"/>
      <c r="K39" s="794"/>
      <c r="L39" s="794"/>
      <c r="M39" s="794"/>
      <c r="N39" s="794"/>
      <c r="O39" s="794"/>
      <c r="P39" s="794"/>
      <c r="Q39" s="794"/>
      <c r="R39" s="794"/>
      <c r="S39" s="794"/>
      <c r="T39" s="794"/>
      <c r="U39" s="794"/>
      <c r="V39" s="794"/>
      <c r="W39" s="794"/>
      <c r="X39" s="794"/>
      <c r="Y39" s="794"/>
      <c r="Z39" s="794"/>
      <c r="AA39" s="794"/>
      <c r="AB39" s="794"/>
      <c r="AC39" s="794"/>
      <c r="AD39" s="794"/>
      <c r="AE39" s="796"/>
      <c r="AF39" s="418">
        <f>Balanza!G36</f>
        <v>0</v>
      </c>
      <c r="AG39" s="418">
        <f>Balanza!C36</f>
        <v>0</v>
      </c>
      <c r="AH39" s="194" t="s">
        <v>768</v>
      </c>
      <c r="AI39" s="854" t="s">
        <v>6465</v>
      </c>
      <c r="AJ39" s="794"/>
      <c r="AK39" s="794"/>
      <c r="AL39" s="794"/>
      <c r="AM39" s="794"/>
      <c r="AN39" s="794"/>
      <c r="AO39" s="794"/>
      <c r="AP39" s="794"/>
      <c r="AQ39" s="794"/>
      <c r="AR39" s="794"/>
      <c r="AS39" s="794"/>
      <c r="AT39" s="794"/>
      <c r="AU39" s="794"/>
      <c r="AV39" s="794"/>
      <c r="AW39" s="794"/>
      <c r="AX39" s="794"/>
      <c r="AY39" s="794"/>
      <c r="AZ39" s="794"/>
      <c r="BA39" s="794"/>
      <c r="BB39" s="794"/>
      <c r="BC39" s="794"/>
      <c r="BD39" s="794"/>
      <c r="BE39" s="794"/>
      <c r="BF39" s="794"/>
      <c r="BG39" s="794"/>
      <c r="BH39" s="794"/>
      <c r="BI39" s="794"/>
      <c r="BJ39" s="794"/>
      <c r="BK39" s="794"/>
      <c r="BL39" s="794"/>
      <c r="BM39" s="418">
        <f>Balanza!H134</f>
        <v>0</v>
      </c>
      <c r="BN39" s="418">
        <f>Balanza!D134</f>
        <v>0</v>
      </c>
    </row>
    <row r="40" spans="1:66" ht="15" customHeight="1">
      <c r="A40" s="417" t="s">
        <v>574</v>
      </c>
      <c r="B40" s="854" t="s">
        <v>6466</v>
      </c>
      <c r="C40" s="794"/>
      <c r="D40" s="794"/>
      <c r="E40" s="794"/>
      <c r="F40" s="794"/>
      <c r="G40" s="794"/>
      <c r="H40" s="794"/>
      <c r="I40" s="794"/>
      <c r="J40" s="794"/>
      <c r="K40" s="794"/>
      <c r="L40" s="794"/>
      <c r="M40" s="794"/>
      <c r="N40" s="794"/>
      <c r="O40" s="794"/>
      <c r="P40" s="794"/>
      <c r="Q40" s="794"/>
      <c r="R40" s="794"/>
      <c r="S40" s="794"/>
      <c r="T40" s="794"/>
      <c r="U40" s="794"/>
      <c r="V40" s="794"/>
      <c r="W40" s="794"/>
      <c r="X40" s="794"/>
      <c r="Y40" s="794"/>
      <c r="Z40" s="794"/>
      <c r="AA40" s="794"/>
      <c r="AB40" s="794"/>
      <c r="AC40" s="794"/>
      <c r="AD40" s="794"/>
      <c r="AE40" s="796"/>
      <c r="AF40" s="418">
        <f>Balanza!G37</f>
        <v>0</v>
      </c>
      <c r="AG40" s="418">
        <f>Balanza!C37</f>
        <v>0</v>
      </c>
      <c r="AH40" s="201" t="s">
        <v>770</v>
      </c>
      <c r="AI40" s="857" t="s">
        <v>6467</v>
      </c>
      <c r="AJ40" s="794"/>
      <c r="AK40" s="794"/>
      <c r="AL40" s="794"/>
      <c r="AM40" s="794"/>
      <c r="AN40" s="794"/>
      <c r="AO40" s="794"/>
      <c r="AP40" s="794"/>
      <c r="AQ40" s="794"/>
      <c r="AR40" s="794"/>
      <c r="AS40" s="794"/>
      <c r="AT40" s="794"/>
      <c r="AU40" s="794"/>
      <c r="AV40" s="794"/>
      <c r="AW40" s="794"/>
      <c r="AX40" s="794"/>
      <c r="AY40" s="794"/>
      <c r="AZ40" s="794"/>
      <c r="BA40" s="794"/>
      <c r="BB40" s="794"/>
      <c r="BC40" s="794"/>
      <c r="BD40" s="794"/>
      <c r="BE40" s="794"/>
      <c r="BF40" s="794"/>
      <c r="BG40" s="794"/>
      <c r="BH40" s="794"/>
      <c r="BI40" s="794"/>
      <c r="BJ40" s="794"/>
      <c r="BK40" s="794"/>
      <c r="BL40" s="794"/>
      <c r="BM40" s="416">
        <f t="shared" ref="BM40:BN40" si="12">SUM(BM41:BM43)</f>
        <v>109800</v>
      </c>
      <c r="BN40" s="416">
        <f t="shared" si="12"/>
        <v>109800</v>
      </c>
    </row>
    <row r="41" spans="1:66" ht="15" customHeight="1">
      <c r="A41" s="413" t="s">
        <v>576</v>
      </c>
      <c r="B41" s="857" t="s">
        <v>6468</v>
      </c>
      <c r="C41" s="794"/>
      <c r="D41" s="794"/>
      <c r="E41" s="794"/>
      <c r="F41" s="794"/>
      <c r="G41" s="794"/>
      <c r="H41" s="794"/>
      <c r="I41" s="794"/>
      <c r="J41" s="794"/>
      <c r="K41" s="794"/>
      <c r="L41" s="794"/>
      <c r="M41" s="794"/>
      <c r="N41" s="794"/>
      <c r="O41" s="794"/>
      <c r="P41" s="794"/>
      <c r="Q41" s="794"/>
      <c r="R41" s="794"/>
      <c r="S41" s="794"/>
      <c r="T41" s="794"/>
      <c r="U41" s="794"/>
      <c r="V41" s="794"/>
      <c r="W41" s="794"/>
      <c r="X41" s="794"/>
      <c r="Y41" s="794"/>
      <c r="Z41" s="794"/>
      <c r="AA41" s="794"/>
      <c r="AB41" s="794"/>
      <c r="AC41" s="794"/>
      <c r="AD41" s="794"/>
      <c r="AE41" s="796"/>
      <c r="AF41" s="416">
        <f t="shared" ref="AF41:AG41" si="13">SUM(AF42:AF45)</f>
        <v>0</v>
      </c>
      <c r="AG41" s="416">
        <f t="shared" si="13"/>
        <v>0</v>
      </c>
      <c r="AH41" s="194" t="s">
        <v>772</v>
      </c>
      <c r="AI41" s="854" t="s">
        <v>6469</v>
      </c>
      <c r="AJ41" s="794"/>
      <c r="AK41" s="794"/>
      <c r="AL41" s="794"/>
      <c r="AM41" s="794"/>
      <c r="AN41" s="794"/>
      <c r="AO41" s="794"/>
      <c r="AP41" s="794"/>
      <c r="AQ41" s="794"/>
      <c r="AR41" s="794"/>
      <c r="AS41" s="794"/>
      <c r="AT41" s="794"/>
      <c r="AU41" s="794"/>
      <c r="AV41" s="794"/>
      <c r="AW41" s="794"/>
      <c r="AX41" s="794"/>
      <c r="AY41" s="794"/>
      <c r="AZ41" s="794"/>
      <c r="BA41" s="794"/>
      <c r="BB41" s="794"/>
      <c r="BC41" s="794"/>
      <c r="BD41" s="794"/>
      <c r="BE41" s="794"/>
      <c r="BF41" s="794"/>
      <c r="BG41" s="794"/>
      <c r="BH41" s="794"/>
      <c r="BI41" s="794"/>
      <c r="BJ41" s="794"/>
      <c r="BK41" s="794"/>
      <c r="BL41" s="794"/>
      <c r="BM41" s="418">
        <f>Balanza!H136</f>
        <v>0</v>
      </c>
      <c r="BN41" s="418">
        <f>Balanza!D136</f>
        <v>0</v>
      </c>
    </row>
    <row r="42" spans="1:66" ht="15" customHeight="1">
      <c r="A42" s="417" t="s">
        <v>578</v>
      </c>
      <c r="B42" s="854" t="s">
        <v>6470</v>
      </c>
      <c r="C42" s="794"/>
      <c r="D42" s="794"/>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4"/>
      <c r="AE42" s="796"/>
      <c r="AF42" s="418">
        <f>Balanza!G39</f>
        <v>0</v>
      </c>
      <c r="AG42" s="418">
        <f>Balanza!C39</f>
        <v>0</v>
      </c>
      <c r="AH42" s="194" t="s">
        <v>774</v>
      </c>
      <c r="AI42" s="854" t="s">
        <v>6471</v>
      </c>
      <c r="AJ42" s="794"/>
      <c r="AK42" s="794"/>
      <c r="AL42" s="794"/>
      <c r="AM42" s="794"/>
      <c r="AN42" s="794"/>
      <c r="AO42" s="794"/>
      <c r="AP42" s="794"/>
      <c r="AQ42" s="794"/>
      <c r="AR42" s="794"/>
      <c r="AS42" s="794"/>
      <c r="AT42" s="794"/>
      <c r="AU42" s="794"/>
      <c r="AV42" s="794"/>
      <c r="AW42" s="794"/>
      <c r="AX42" s="794"/>
      <c r="AY42" s="794"/>
      <c r="AZ42" s="794"/>
      <c r="BA42" s="794"/>
      <c r="BB42" s="794"/>
      <c r="BC42" s="794"/>
      <c r="BD42" s="794"/>
      <c r="BE42" s="794"/>
      <c r="BF42" s="794"/>
      <c r="BG42" s="794"/>
      <c r="BH42" s="794"/>
      <c r="BI42" s="794"/>
      <c r="BJ42" s="794"/>
      <c r="BK42" s="794"/>
      <c r="BL42" s="794"/>
      <c r="BM42" s="418">
        <f>Balanza!H137</f>
        <v>109800</v>
      </c>
      <c r="BN42" s="418">
        <f>Balanza!D137</f>
        <v>109800</v>
      </c>
    </row>
    <row r="43" spans="1:66" ht="15" customHeight="1">
      <c r="A43" s="417" t="s">
        <v>580</v>
      </c>
      <c r="B43" s="854" t="s">
        <v>6472</v>
      </c>
      <c r="C43" s="794"/>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794"/>
      <c r="AE43" s="796"/>
      <c r="AF43" s="418">
        <f>Balanza!G40</f>
        <v>0</v>
      </c>
      <c r="AG43" s="418">
        <f>Balanza!C40</f>
        <v>0</v>
      </c>
      <c r="AH43" s="194" t="s">
        <v>776</v>
      </c>
      <c r="AI43" s="854" t="s">
        <v>6473</v>
      </c>
      <c r="AJ43" s="794"/>
      <c r="AK43" s="794"/>
      <c r="AL43" s="794"/>
      <c r="AM43" s="794"/>
      <c r="AN43" s="794"/>
      <c r="AO43" s="794"/>
      <c r="AP43" s="794"/>
      <c r="AQ43" s="794"/>
      <c r="AR43" s="794"/>
      <c r="AS43" s="794"/>
      <c r="AT43" s="794"/>
      <c r="AU43" s="794"/>
      <c r="AV43" s="794"/>
      <c r="AW43" s="794"/>
      <c r="AX43" s="794"/>
      <c r="AY43" s="794"/>
      <c r="AZ43" s="794"/>
      <c r="BA43" s="794"/>
      <c r="BB43" s="794"/>
      <c r="BC43" s="794"/>
      <c r="BD43" s="794"/>
      <c r="BE43" s="794"/>
      <c r="BF43" s="794"/>
      <c r="BG43" s="794"/>
      <c r="BH43" s="794"/>
      <c r="BI43" s="794"/>
      <c r="BJ43" s="794"/>
      <c r="BK43" s="794"/>
      <c r="BL43" s="794"/>
      <c r="BM43" s="418">
        <f>Balanza!H138</f>
        <v>0</v>
      </c>
      <c r="BN43" s="418">
        <f>Balanza!D138</f>
        <v>0</v>
      </c>
    </row>
    <row r="44" spans="1:66" ht="15" customHeight="1">
      <c r="A44" s="417" t="s">
        <v>582</v>
      </c>
      <c r="B44" s="854" t="s">
        <v>6474</v>
      </c>
      <c r="C44" s="794"/>
      <c r="D44" s="794"/>
      <c r="E44" s="794"/>
      <c r="F44" s="794"/>
      <c r="G44" s="794"/>
      <c r="H44" s="794"/>
      <c r="I44" s="794"/>
      <c r="J44" s="794"/>
      <c r="K44" s="794"/>
      <c r="L44" s="794"/>
      <c r="M44" s="794"/>
      <c r="N44" s="794"/>
      <c r="O44" s="794"/>
      <c r="P44" s="794"/>
      <c r="Q44" s="794"/>
      <c r="R44" s="794"/>
      <c r="S44" s="794"/>
      <c r="T44" s="794"/>
      <c r="U44" s="794"/>
      <c r="V44" s="794"/>
      <c r="W44" s="794"/>
      <c r="X44" s="794"/>
      <c r="Y44" s="794"/>
      <c r="Z44" s="794"/>
      <c r="AA44" s="794"/>
      <c r="AB44" s="794"/>
      <c r="AC44" s="794"/>
      <c r="AD44" s="794"/>
      <c r="AE44" s="796"/>
      <c r="AF44" s="418">
        <f>Balanza!G41</f>
        <v>0</v>
      </c>
      <c r="AG44" s="418">
        <f>Balanza!C41</f>
        <v>0</v>
      </c>
      <c r="AH44" s="201" t="s">
        <v>778</v>
      </c>
      <c r="AI44" s="857" t="s">
        <v>6475</v>
      </c>
      <c r="AJ44" s="794"/>
      <c r="AK44" s="794"/>
      <c r="AL44" s="794"/>
      <c r="AM44" s="794"/>
      <c r="AN44" s="794"/>
      <c r="AO44" s="794"/>
      <c r="AP44" s="794"/>
      <c r="AQ44" s="794"/>
      <c r="AR44" s="794"/>
      <c r="AS44" s="794"/>
      <c r="AT44" s="794"/>
      <c r="AU44" s="794"/>
      <c r="AV44" s="794"/>
      <c r="AW44" s="794"/>
      <c r="AX44" s="794"/>
      <c r="AY44" s="794"/>
      <c r="AZ44" s="794"/>
      <c r="BA44" s="794"/>
      <c r="BB44" s="794"/>
      <c r="BC44" s="794"/>
      <c r="BD44" s="794"/>
      <c r="BE44" s="794"/>
      <c r="BF44" s="794"/>
      <c r="BG44" s="794"/>
      <c r="BH44" s="794"/>
      <c r="BI44" s="794"/>
      <c r="BJ44" s="794"/>
      <c r="BK44" s="794"/>
      <c r="BL44" s="794"/>
      <c r="BM44" s="416">
        <f t="shared" ref="BM44:BN44" si="14">SUM(BM45:BM47)</f>
        <v>618600.78</v>
      </c>
      <c r="BN44" s="416">
        <f t="shared" si="14"/>
        <v>103367.21</v>
      </c>
    </row>
    <row r="45" spans="1:66" ht="15" customHeight="1">
      <c r="A45" s="417" t="s">
        <v>584</v>
      </c>
      <c r="B45" s="867" t="s">
        <v>6476</v>
      </c>
      <c r="C45" s="794"/>
      <c r="D45" s="794"/>
      <c r="E45" s="794"/>
      <c r="F45" s="794"/>
      <c r="G45" s="794"/>
      <c r="H45" s="794"/>
      <c r="I45" s="794"/>
      <c r="J45" s="794"/>
      <c r="K45" s="794"/>
      <c r="L45" s="794"/>
      <c r="M45" s="794"/>
      <c r="N45" s="794"/>
      <c r="O45" s="794"/>
      <c r="P45" s="794"/>
      <c r="Q45" s="794"/>
      <c r="R45" s="794"/>
      <c r="S45" s="794"/>
      <c r="T45" s="794"/>
      <c r="U45" s="794"/>
      <c r="V45" s="794"/>
      <c r="W45" s="794"/>
      <c r="X45" s="794"/>
      <c r="Y45" s="794"/>
      <c r="Z45" s="794"/>
      <c r="AA45" s="794"/>
      <c r="AB45" s="794"/>
      <c r="AC45" s="794"/>
      <c r="AD45" s="794"/>
      <c r="AE45" s="796"/>
      <c r="AF45" s="419">
        <f>Balanza!G42</f>
        <v>0</v>
      </c>
      <c r="AG45" s="419">
        <f>Balanza!C42</f>
        <v>0</v>
      </c>
      <c r="AH45" s="420" t="s">
        <v>780</v>
      </c>
      <c r="AI45" s="854" t="s">
        <v>6477</v>
      </c>
      <c r="AJ45" s="794"/>
      <c r="AK45" s="794"/>
      <c r="AL45" s="794"/>
      <c r="AM45" s="794"/>
      <c r="AN45" s="794"/>
      <c r="AO45" s="794"/>
      <c r="AP45" s="794"/>
      <c r="AQ45" s="794"/>
      <c r="AR45" s="794"/>
      <c r="AS45" s="794"/>
      <c r="AT45" s="794"/>
      <c r="AU45" s="794"/>
      <c r="AV45" s="794"/>
      <c r="AW45" s="794"/>
      <c r="AX45" s="794"/>
      <c r="AY45" s="794"/>
      <c r="AZ45" s="794"/>
      <c r="BA45" s="794"/>
      <c r="BB45" s="794"/>
      <c r="BC45" s="794"/>
      <c r="BD45" s="794"/>
      <c r="BE45" s="794"/>
      <c r="BF45" s="794"/>
      <c r="BG45" s="794"/>
      <c r="BH45" s="794"/>
      <c r="BI45" s="794"/>
      <c r="BJ45" s="794"/>
      <c r="BK45" s="794"/>
      <c r="BL45" s="794"/>
      <c r="BM45" s="418">
        <f>Balanza!H140</f>
        <v>618600.78</v>
      </c>
      <c r="BN45" s="418">
        <f>Balanza!D140</f>
        <v>103367.21</v>
      </c>
    </row>
    <row r="46" spans="1:66" ht="15" customHeight="1">
      <c r="A46" s="417"/>
      <c r="B46" s="868" t="s">
        <v>6478</v>
      </c>
      <c r="C46" s="794"/>
      <c r="D46" s="794"/>
      <c r="E46" s="794"/>
      <c r="F46" s="794"/>
      <c r="G46" s="794"/>
      <c r="H46" s="794"/>
      <c r="I46" s="794"/>
      <c r="J46" s="794"/>
      <c r="K46" s="794"/>
      <c r="L46" s="794"/>
      <c r="M46" s="794"/>
      <c r="N46" s="794"/>
      <c r="O46" s="794"/>
      <c r="P46" s="794"/>
      <c r="Q46" s="794"/>
      <c r="R46" s="794"/>
      <c r="S46" s="794"/>
      <c r="T46" s="794"/>
      <c r="U46" s="794"/>
      <c r="V46" s="794"/>
      <c r="W46" s="794"/>
      <c r="X46" s="794"/>
      <c r="Y46" s="794"/>
      <c r="Z46" s="794"/>
      <c r="AA46" s="794"/>
      <c r="AB46" s="794"/>
      <c r="AC46" s="794"/>
      <c r="AD46" s="794"/>
      <c r="AE46" s="796"/>
      <c r="AF46" s="421">
        <f t="shared" ref="AF46:AG46" si="15">AF8+AF16+AF24+AF30+AF36+AF38+AF41</f>
        <v>3030252223.3600006</v>
      </c>
      <c r="AG46" s="421">
        <f t="shared" si="15"/>
        <v>257917953.57999995</v>
      </c>
      <c r="AH46" s="422" t="s">
        <v>782</v>
      </c>
      <c r="AI46" s="854" t="s">
        <v>6479</v>
      </c>
      <c r="AJ46" s="794"/>
      <c r="AK46" s="794"/>
      <c r="AL46" s="794"/>
      <c r="AM46" s="794"/>
      <c r="AN46" s="794"/>
      <c r="AO46" s="794"/>
      <c r="AP46" s="794"/>
      <c r="AQ46" s="794"/>
      <c r="AR46" s="794"/>
      <c r="AS46" s="794"/>
      <c r="AT46" s="794"/>
      <c r="AU46" s="794"/>
      <c r="AV46" s="794"/>
      <c r="AW46" s="794"/>
      <c r="AX46" s="794"/>
      <c r="AY46" s="794"/>
      <c r="AZ46" s="794"/>
      <c r="BA46" s="794"/>
      <c r="BB46" s="794"/>
      <c r="BC46" s="794"/>
      <c r="BD46" s="794"/>
      <c r="BE46" s="794"/>
      <c r="BF46" s="794"/>
      <c r="BG46" s="794"/>
      <c r="BH46" s="794"/>
      <c r="BI46" s="794"/>
      <c r="BJ46" s="794"/>
      <c r="BK46" s="794"/>
      <c r="BL46" s="794"/>
      <c r="BM46" s="418">
        <f>Balanza!H141</f>
        <v>0</v>
      </c>
      <c r="BN46" s="418">
        <f>Balanza!D141</f>
        <v>0</v>
      </c>
    </row>
    <row r="47" spans="1:66" ht="15" customHeight="1">
      <c r="A47" s="413" t="s">
        <v>586</v>
      </c>
      <c r="B47" s="866" t="s">
        <v>6480</v>
      </c>
      <c r="C47" s="794"/>
      <c r="D47" s="794"/>
      <c r="E47" s="794"/>
      <c r="F47" s="794"/>
      <c r="G47" s="794"/>
      <c r="H47" s="794"/>
      <c r="I47" s="794"/>
      <c r="J47" s="794"/>
      <c r="K47" s="794"/>
      <c r="L47" s="794"/>
      <c r="M47" s="794"/>
      <c r="N47" s="794"/>
      <c r="O47" s="794"/>
      <c r="P47" s="794"/>
      <c r="Q47" s="794"/>
      <c r="R47" s="794"/>
      <c r="S47" s="794"/>
      <c r="T47" s="794"/>
      <c r="U47" s="794"/>
      <c r="V47" s="794"/>
      <c r="W47" s="794"/>
      <c r="X47" s="794"/>
      <c r="Y47" s="794"/>
      <c r="Z47" s="794"/>
      <c r="AA47" s="794"/>
      <c r="AB47" s="794"/>
      <c r="AC47" s="794"/>
      <c r="AD47" s="794"/>
      <c r="AE47" s="796"/>
      <c r="AF47" s="421"/>
      <c r="AG47" s="421"/>
      <c r="AH47" s="423" t="s">
        <v>784</v>
      </c>
      <c r="AI47" s="854" t="s">
        <v>6481</v>
      </c>
      <c r="AJ47" s="794"/>
      <c r="AK47" s="794"/>
      <c r="AL47" s="794"/>
      <c r="AM47" s="794"/>
      <c r="AN47" s="794"/>
      <c r="AO47" s="794"/>
      <c r="AP47" s="794"/>
      <c r="AQ47" s="794"/>
      <c r="AR47" s="794"/>
      <c r="AS47" s="794"/>
      <c r="AT47" s="794"/>
      <c r="AU47" s="794"/>
      <c r="AV47" s="794"/>
      <c r="AW47" s="794"/>
      <c r="AX47" s="794"/>
      <c r="AY47" s="794"/>
      <c r="AZ47" s="794"/>
      <c r="BA47" s="794"/>
      <c r="BB47" s="794"/>
      <c r="BC47" s="794"/>
      <c r="BD47" s="794"/>
      <c r="BE47" s="794"/>
      <c r="BF47" s="794"/>
      <c r="BG47" s="794"/>
      <c r="BH47" s="794"/>
      <c r="BI47" s="794"/>
      <c r="BJ47" s="794"/>
      <c r="BK47" s="794"/>
      <c r="BL47" s="794"/>
      <c r="BM47" s="419">
        <f>Balanza!H142</f>
        <v>0</v>
      </c>
      <c r="BN47" s="419">
        <f>Balanza!D142</f>
        <v>0</v>
      </c>
    </row>
    <row r="48" spans="1:66" ht="15" customHeight="1">
      <c r="A48" s="413" t="s">
        <v>588</v>
      </c>
      <c r="B48" s="857" t="s">
        <v>6482</v>
      </c>
      <c r="C48" s="794"/>
      <c r="D48" s="794"/>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6"/>
      <c r="AF48" s="416">
        <f t="shared" ref="AF48:AG48" si="16">SUM(AF49:AF52)</f>
        <v>321338474.07999998</v>
      </c>
      <c r="AG48" s="416">
        <f t="shared" si="16"/>
        <v>271372363.85000002</v>
      </c>
      <c r="AH48" s="424"/>
      <c r="AI48" s="865" t="s">
        <v>6483</v>
      </c>
      <c r="AJ48" s="795"/>
      <c r="AK48" s="795"/>
      <c r="AL48" s="795"/>
      <c r="AM48" s="795"/>
      <c r="AN48" s="795"/>
      <c r="AO48" s="795"/>
      <c r="AP48" s="795"/>
      <c r="AQ48" s="795"/>
      <c r="AR48" s="795"/>
      <c r="AS48" s="795"/>
      <c r="AT48" s="795"/>
      <c r="AU48" s="795"/>
      <c r="AV48" s="795"/>
      <c r="AW48" s="795"/>
      <c r="AX48" s="795"/>
      <c r="AY48" s="795"/>
      <c r="AZ48" s="795"/>
      <c r="BA48" s="795"/>
      <c r="BB48" s="795"/>
      <c r="BC48" s="795"/>
      <c r="BD48" s="795"/>
      <c r="BE48" s="795"/>
      <c r="BF48" s="795"/>
      <c r="BG48" s="795"/>
      <c r="BH48" s="795"/>
      <c r="BI48" s="795"/>
      <c r="BJ48" s="795"/>
      <c r="BK48" s="795"/>
      <c r="BL48" s="795"/>
      <c r="BM48" s="421">
        <f t="shared" ref="BM48:BN48" si="17">BM8+BM18+BM22+BM26+BM29+BM33+BM40+BM44</f>
        <v>351604362.84999996</v>
      </c>
      <c r="BN48" s="421">
        <f t="shared" si="17"/>
        <v>983019687.09000003</v>
      </c>
    </row>
    <row r="49" spans="1:66" ht="15" customHeight="1">
      <c r="A49" s="417" t="s">
        <v>590</v>
      </c>
      <c r="B49" s="854" t="s">
        <v>6484</v>
      </c>
      <c r="C49" s="794"/>
      <c r="D49" s="794"/>
      <c r="E49" s="794"/>
      <c r="F49" s="794"/>
      <c r="G49" s="794"/>
      <c r="H49" s="794"/>
      <c r="I49" s="794"/>
      <c r="J49" s="794"/>
      <c r="K49" s="794"/>
      <c r="L49" s="794"/>
      <c r="M49" s="794"/>
      <c r="N49" s="794"/>
      <c r="O49" s="794"/>
      <c r="P49" s="794"/>
      <c r="Q49" s="794"/>
      <c r="R49" s="794"/>
      <c r="S49" s="794"/>
      <c r="T49" s="794"/>
      <c r="U49" s="794"/>
      <c r="V49" s="794"/>
      <c r="W49" s="794"/>
      <c r="X49" s="794"/>
      <c r="Y49" s="794"/>
      <c r="Z49" s="794"/>
      <c r="AA49" s="794"/>
      <c r="AB49" s="794"/>
      <c r="AC49" s="794"/>
      <c r="AD49" s="794"/>
      <c r="AE49" s="796"/>
      <c r="AF49" s="418">
        <f>Balanza!G45</f>
        <v>503608</v>
      </c>
      <c r="AG49" s="418">
        <f>Balanza!C45</f>
        <v>503608</v>
      </c>
      <c r="AH49" s="424" t="s">
        <v>786</v>
      </c>
      <c r="AI49" s="866" t="s">
        <v>6485</v>
      </c>
      <c r="AJ49" s="794"/>
      <c r="AK49" s="794"/>
      <c r="AL49" s="794"/>
      <c r="AM49" s="794"/>
      <c r="AN49" s="794"/>
      <c r="AO49" s="794"/>
      <c r="AP49" s="794"/>
      <c r="AQ49" s="794"/>
      <c r="AR49" s="794"/>
      <c r="AS49" s="794"/>
      <c r="AT49" s="794"/>
      <c r="AU49" s="794"/>
      <c r="AV49" s="794"/>
      <c r="AW49" s="794"/>
      <c r="AX49" s="794"/>
      <c r="AY49" s="794"/>
      <c r="AZ49" s="794"/>
      <c r="BA49" s="794"/>
      <c r="BB49" s="794"/>
      <c r="BC49" s="794"/>
      <c r="BD49" s="794"/>
      <c r="BE49" s="794"/>
      <c r="BF49" s="794"/>
      <c r="BG49" s="794"/>
      <c r="BH49" s="794"/>
      <c r="BI49" s="794"/>
      <c r="BJ49" s="794"/>
      <c r="BK49" s="794"/>
      <c r="BL49" s="794"/>
      <c r="BM49" s="414"/>
      <c r="BN49" s="414"/>
    </row>
    <row r="50" spans="1:66" ht="15" customHeight="1">
      <c r="A50" s="417" t="s">
        <v>592</v>
      </c>
      <c r="B50" s="854" t="s">
        <v>6486</v>
      </c>
      <c r="C50" s="794"/>
      <c r="D50" s="794"/>
      <c r="E50" s="794"/>
      <c r="F50" s="794"/>
      <c r="G50" s="794"/>
      <c r="H50" s="794"/>
      <c r="I50" s="794"/>
      <c r="J50" s="794"/>
      <c r="K50" s="794"/>
      <c r="L50" s="794"/>
      <c r="M50" s="794"/>
      <c r="N50" s="794"/>
      <c r="O50" s="794"/>
      <c r="P50" s="794"/>
      <c r="Q50" s="794"/>
      <c r="R50" s="794"/>
      <c r="S50" s="794"/>
      <c r="T50" s="794"/>
      <c r="U50" s="794"/>
      <c r="V50" s="794"/>
      <c r="W50" s="794"/>
      <c r="X50" s="794"/>
      <c r="Y50" s="794"/>
      <c r="Z50" s="794"/>
      <c r="AA50" s="794"/>
      <c r="AB50" s="794"/>
      <c r="AC50" s="794"/>
      <c r="AD50" s="794"/>
      <c r="AE50" s="796"/>
      <c r="AF50" s="418">
        <f>Balanza!G46</f>
        <v>100</v>
      </c>
      <c r="AG50" s="418">
        <f>Balanza!C46</f>
        <v>100</v>
      </c>
      <c r="AH50" s="201" t="s">
        <v>788</v>
      </c>
      <c r="AI50" s="857" t="s">
        <v>6487</v>
      </c>
      <c r="AJ50" s="794"/>
      <c r="AK50" s="794"/>
      <c r="AL50" s="794"/>
      <c r="AM50" s="794"/>
      <c r="AN50" s="794"/>
      <c r="AO50" s="794"/>
      <c r="AP50" s="794"/>
      <c r="AQ50" s="794"/>
      <c r="AR50" s="794"/>
      <c r="AS50" s="794"/>
      <c r="AT50" s="794"/>
      <c r="AU50" s="794"/>
      <c r="AV50" s="794"/>
      <c r="AW50" s="794"/>
      <c r="AX50" s="794"/>
      <c r="AY50" s="794"/>
      <c r="AZ50" s="794"/>
      <c r="BA50" s="794"/>
      <c r="BB50" s="794"/>
      <c r="BC50" s="794"/>
      <c r="BD50" s="794"/>
      <c r="BE50" s="794"/>
      <c r="BF50" s="794"/>
      <c r="BG50" s="794"/>
      <c r="BH50" s="794"/>
      <c r="BI50" s="794"/>
      <c r="BJ50" s="794"/>
      <c r="BK50" s="794"/>
      <c r="BL50" s="794"/>
      <c r="BM50" s="416">
        <f t="shared" ref="BM50:BN50" si="18">SUM(BM51:BM52)</f>
        <v>0</v>
      </c>
      <c r="BN50" s="416">
        <f t="shared" si="18"/>
        <v>0</v>
      </c>
    </row>
    <row r="51" spans="1:66" ht="15" customHeight="1">
      <c r="A51" s="417" t="s">
        <v>594</v>
      </c>
      <c r="B51" s="854" t="s">
        <v>6488</v>
      </c>
      <c r="C51" s="794"/>
      <c r="D51" s="794"/>
      <c r="E51" s="794"/>
      <c r="F51" s="794"/>
      <c r="G51" s="794"/>
      <c r="H51" s="794"/>
      <c r="I51" s="794"/>
      <c r="J51" s="794"/>
      <c r="K51" s="794"/>
      <c r="L51" s="794"/>
      <c r="M51" s="794"/>
      <c r="N51" s="794"/>
      <c r="O51" s="794"/>
      <c r="P51" s="794"/>
      <c r="Q51" s="794"/>
      <c r="R51" s="794"/>
      <c r="S51" s="794"/>
      <c r="T51" s="794"/>
      <c r="U51" s="794"/>
      <c r="V51" s="794"/>
      <c r="W51" s="794"/>
      <c r="X51" s="794"/>
      <c r="Y51" s="794"/>
      <c r="Z51" s="794"/>
      <c r="AA51" s="794"/>
      <c r="AB51" s="794"/>
      <c r="AC51" s="794"/>
      <c r="AD51" s="794"/>
      <c r="AE51" s="796"/>
      <c r="AF51" s="418">
        <f>Balanza!G47</f>
        <v>320834766.07999998</v>
      </c>
      <c r="AG51" s="418">
        <f>Balanza!C47</f>
        <v>270868655.85000002</v>
      </c>
      <c r="AH51" s="194" t="s">
        <v>790</v>
      </c>
      <c r="AI51" s="854" t="s">
        <v>6489</v>
      </c>
      <c r="AJ51" s="794"/>
      <c r="AK51" s="794"/>
      <c r="AL51" s="794"/>
      <c r="AM51" s="794"/>
      <c r="AN51" s="794"/>
      <c r="AO51" s="794"/>
      <c r="AP51" s="794"/>
      <c r="AQ51" s="794"/>
      <c r="AR51" s="794"/>
      <c r="AS51" s="794"/>
      <c r="AT51" s="794"/>
      <c r="AU51" s="794"/>
      <c r="AV51" s="794"/>
      <c r="AW51" s="794"/>
      <c r="AX51" s="794"/>
      <c r="AY51" s="794"/>
      <c r="AZ51" s="794"/>
      <c r="BA51" s="794"/>
      <c r="BB51" s="794"/>
      <c r="BC51" s="794"/>
      <c r="BD51" s="794"/>
      <c r="BE51" s="794"/>
      <c r="BF51" s="794"/>
      <c r="BG51" s="794"/>
      <c r="BH51" s="794"/>
      <c r="BI51" s="794"/>
      <c r="BJ51" s="794"/>
      <c r="BK51" s="794"/>
      <c r="BL51" s="794"/>
      <c r="BM51" s="418">
        <f>Balanza!H145</f>
        <v>0</v>
      </c>
      <c r="BN51" s="418">
        <f>Balanza!D145</f>
        <v>0</v>
      </c>
    </row>
    <row r="52" spans="1:66" ht="15" customHeight="1">
      <c r="A52" s="417" t="s">
        <v>596</v>
      </c>
      <c r="B52" s="854" t="s">
        <v>6490</v>
      </c>
      <c r="C52" s="794"/>
      <c r="D52" s="794"/>
      <c r="E52" s="794"/>
      <c r="F52" s="794"/>
      <c r="G52" s="794"/>
      <c r="H52" s="794"/>
      <c r="I52" s="794"/>
      <c r="J52" s="794"/>
      <c r="K52" s="794"/>
      <c r="L52" s="794"/>
      <c r="M52" s="794"/>
      <c r="N52" s="794"/>
      <c r="O52" s="794"/>
      <c r="P52" s="794"/>
      <c r="Q52" s="794"/>
      <c r="R52" s="794"/>
      <c r="S52" s="794"/>
      <c r="T52" s="794"/>
      <c r="U52" s="794"/>
      <c r="V52" s="794"/>
      <c r="W52" s="794"/>
      <c r="X52" s="794"/>
      <c r="Y52" s="794"/>
      <c r="Z52" s="794"/>
      <c r="AA52" s="794"/>
      <c r="AB52" s="794"/>
      <c r="AC52" s="794"/>
      <c r="AD52" s="794"/>
      <c r="AE52" s="796"/>
      <c r="AF52" s="418">
        <f>Balanza!G48</f>
        <v>0</v>
      </c>
      <c r="AG52" s="418">
        <f>Balanza!C48</f>
        <v>0</v>
      </c>
      <c r="AH52" s="194" t="s">
        <v>792</v>
      </c>
      <c r="AI52" s="854" t="s">
        <v>6491</v>
      </c>
      <c r="AJ52" s="794"/>
      <c r="AK52" s="794"/>
      <c r="AL52" s="794"/>
      <c r="AM52" s="794"/>
      <c r="AN52" s="794"/>
      <c r="AO52" s="794"/>
      <c r="AP52" s="794"/>
      <c r="AQ52" s="794"/>
      <c r="AR52" s="794"/>
      <c r="AS52" s="794"/>
      <c r="AT52" s="794"/>
      <c r="AU52" s="794"/>
      <c r="AV52" s="794"/>
      <c r="AW52" s="794"/>
      <c r="AX52" s="794"/>
      <c r="AY52" s="794"/>
      <c r="AZ52" s="794"/>
      <c r="BA52" s="794"/>
      <c r="BB52" s="794"/>
      <c r="BC52" s="794"/>
      <c r="BD52" s="794"/>
      <c r="BE52" s="794"/>
      <c r="BF52" s="794"/>
      <c r="BG52" s="794"/>
      <c r="BH52" s="794"/>
      <c r="BI52" s="794"/>
      <c r="BJ52" s="794"/>
      <c r="BK52" s="794"/>
      <c r="BL52" s="794"/>
      <c r="BM52" s="418">
        <f>Balanza!H146</f>
        <v>0</v>
      </c>
      <c r="BN52" s="418">
        <f>Balanza!D146</f>
        <v>0</v>
      </c>
    </row>
    <row r="53" spans="1:66" ht="15" customHeight="1">
      <c r="A53" s="413" t="s">
        <v>598</v>
      </c>
      <c r="B53" s="857" t="s">
        <v>6492</v>
      </c>
      <c r="C53" s="794"/>
      <c r="D53" s="794"/>
      <c r="E53" s="794"/>
      <c r="F53" s="794"/>
      <c r="G53" s="794"/>
      <c r="H53" s="794"/>
      <c r="I53" s="794"/>
      <c r="J53" s="794"/>
      <c r="K53" s="794"/>
      <c r="L53" s="794"/>
      <c r="M53" s="794"/>
      <c r="N53" s="794"/>
      <c r="O53" s="794"/>
      <c r="P53" s="794"/>
      <c r="Q53" s="794"/>
      <c r="R53" s="794"/>
      <c r="S53" s="794"/>
      <c r="T53" s="794"/>
      <c r="U53" s="794"/>
      <c r="V53" s="794"/>
      <c r="W53" s="794"/>
      <c r="X53" s="794"/>
      <c r="Y53" s="794"/>
      <c r="Z53" s="794"/>
      <c r="AA53" s="794"/>
      <c r="AB53" s="794"/>
      <c r="AC53" s="794"/>
      <c r="AD53" s="794"/>
      <c r="AE53" s="796"/>
      <c r="AF53" s="416">
        <f t="shared" ref="AF53:AG53" si="19">SUM(AF54:AF58)</f>
        <v>644018.16</v>
      </c>
      <c r="AG53" s="416">
        <f t="shared" si="19"/>
        <v>644018.16</v>
      </c>
      <c r="AH53" s="201" t="s">
        <v>794</v>
      </c>
      <c r="AI53" s="857" t="s">
        <v>6493</v>
      </c>
      <c r="AJ53" s="794"/>
      <c r="AK53" s="794"/>
      <c r="AL53" s="794"/>
      <c r="AM53" s="794"/>
      <c r="AN53" s="794"/>
      <c r="AO53" s="794"/>
      <c r="AP53" s="794"/>
      <c r="AQ53" s="794"/>
      <c r="AR53" s="794"/>
      <c r="AS53" s="794"/>
      <c r="AT53" s="794"/>
      <c r="AU53" s="794"/>
      <c r="AV53" s="794"/>
      <c r="AW53" s="794"/>
      <c r="AX53" s="794"/>
      <c r="AY53" s="794"/>
      <c r="AZ53" s="794"/>
      <c r="BA53" s="794"/>
      <c r="BB53" s="794"/>
      <c r="BC53" s="794"/>
      <c r="BD53" s="794"/>
      <c r="BE53" s="794"/>
      <c r="BF53" s="794"/>
      <c r="BG53" s="794"/>
      <c r="BH53" s="794"/>
      <c r="BI53" s="794"/>
      <c r="BJ53" s="794"/>
      <c r="BK53" s="794"/>
      <c r="BL53" s="794"/>
      <c r="BM53" s="416">
        <f t="shared" ref="BM53:BN53" si="20">SUM(BM54:BM56)</f>
        <v>0</v>
      </c>
      <c r="BN53" s="416">
        <f t="shared" si="20"/>
        <v>0</v>
      </c>
    </row>
    <row r="54" spans="1:66" ht="15" customHeight="1">
      <c r="A54" s="417" t="s">
        <v>600</v>
      </c>
      <c r="B54" s="854" t="s">
        <v>6494</v>
      </c>
      <c r="C54" s="794"/>
      <c r="D54" s="794"/>
      <c r="E54" s="794"/>
      <c r="F54" s="794"/>
      <c r="G54" s="794"/>
      <c r="H54" s="794"/>
      <c r="I54" s="794"/>
      <c r="J54" s="794"/>
      <c r="K54" s="794"/>
      <c r="L54" s="794"/>
      <c r="M54" s="794"/>
      <c r="N54" s="794"/>
      <c r="O54" s="794"/>
      <c r="P54" s="794"/>
      <c r="Q54" s="794"/>
      <c r="R54" s="794"/>
      <c r="S54" s="794"/>
      <c r="T54" s="794"/>
      <c r="U54" s="794"/>
      <c r="V54" s="794"/>
      <c r="W54" s="794"/>
      <c r="X54" s="794"/>
      <c r="Y54" s="794"/>
      <c r="Z54" s="794"/>
      <c r="AA54" s="794"/>
      <c r="AB54" s="794"/>
      <c r="AC54" s="794"/>
      <c r="AD54" s="794"/>
      <c r="AE54" s="796"/>
      <c r="AF54" s="418">
        <f>Balanza!G50</f>
        <v>0</v>
      </c>
      <c r="AG54" s="418">
        <f>Balanza!C50</f>
        <v>0</v>
      </c>
      <c r="AH54" s="194" t="s">
        <v>796</v>
      </c>
      <c r="AI54" s="854" t="s">
        <v>6495</v>
      </c>
      <c r="AJ54" s="794"/>
      <c r="AK54" s="794"/>
      <c r="AL54" s="794"/>
      <c r="AM54" s="794"/>
      <c r="AN54" s="794"/>
      <c r="AO54" s="794"/>
      <c r="AP54" s="794"/>
      <c r="AQ54" s="794"/>
      <c r="AR54" s="794"/>
      <c r="AS54" s="794"/>
      <c r="AT54" s="794"/>
      <c r="AU54" s="794"/>
      <c r="AV54" s="794"/>
      <c r="AW54" s="794"/>
      <c r="AX54" s="794"/>
      <c r="AY54" s="794"/>
      <c r="AZ54" s="794"/>
      <c r="BA54" s="794"/>
      <c r="BB54" s="794"/>
      <c r="BC54" s="794"/>
      <c r="BD54" s="794"/>
      <c r="BE54" s="794"/>
      <c r="BF54" s="794"/>
      <c r="BG54" s="794"/>
      <c r="BH54" s="794"/>
      <c r="BI54" s="794"/>
      <c r="BJ54" s="794"/>
      <c r="BK54" s="794"/>
      <c r="BL54" s="794"/>
      <c r="BM54" s="418">
        <f>Balanza!H148</f>
        <v>0</v>
      </c>
      <c r="BN54" s="418">
        <f>Balanza!D148</f>
        <v>0</v>
      </c>
    </row>
    <row r="55" spans="1:66" ht="15" customHeight="1">
      <c r="A55" s="417" t="s">
        <v>602</v>
      </c>
      <c r="B55" s="854" t="s">
        <v>6496</v>
      </c>
      <c r="C55" s="794"/>
      <c r="D55" s="794"/>
      <c r="E55" s="794"/>
      <c r="F55" s="794"/>
      <c r="G55" s="794"/>
      <c r="H55" s="794"/>
      <c r="I55" s="794"/>
      <c r="J55" s="794"/>
      <c r="K55" s="794"/>
      <c r="L55" s="794"/>
      <c r="M55" s="794"/>
      <c r="N55" s="794"/>
      <c r="O55" s="794"/>
      <c r="P55" s="794"/>
      <c r="Q55" s="794"/>
      <c r="R55" s="794"/>
      <c r="S55" s="794"/>
      <c r="T55" s="794"/>
      <c r="U55" s="794"/>
      <c r="V55" s="794"/>
      <c r="W55" s="794"/>
      <c r="X55" s="794"/>
      <c r="Y55" s="794"/>
      <c r="Z55" s="794"/>
      <c r="AA55" s="794"/>
      <c r="AB55" s="794"/>
      <c r="AC55" s="794"/>
      <c r="AD55" s="794"/>
      <c r="AE55" s="796"/>
      <c r="AF55" s="418">
        <f>Balanza!G51</f>
        <v>644018.16</v>
      </c>
      <c r="AG55" s="418">
        <f>Balanza!C51</f>
        <v>644018.16</v>
      </c>
      <c r="AH55" s="194" t="s">
        <v>798</v>
      </c>
      <c r="AI55" s="854" t="s">
        <v>6497</v>
      </c>
      <c r="AJ55" s="794"/>
      <c r="AK55" s="794"/>
      <c r="AL55" s="794"/>
      <c r="AM55" s="794"/>
      <c r="AN55" s="794"/>
      <c r="AO55" s="794"/>
      <c r="AP55" s="794"/>
      <c r="AQ55" s="794"/>
      <c r="AR55" s="794"/>
      <c r="AS55" s="794"/>
      <c r="AT55" s="794"/>
      <c r="AU55" s="794"/>
      <c r="AV55" s="794"/>
      <c r="AW55" s="794"/>
      <c r="AX55" s="794"/>
      <c r="AY55" s="794"/>
      <c r="AZ55" s="794"/>
      <c r="BA55" s="794"/>
      <c r="BB55" s="794"/>
      <c r="BC55" s="794"/>
      <c r="BD55" s="794"/>
      <c r="BE55" s="794"/>
      <c r="BF55" s="794"/>
      <c r="BG55" s="794"/>
      <c r="BH55" s="794"/>
      <c r="BI55" s="794"/>
      <c r="BJ55" s="794"/>
      <c r="BK55" s="794"/>
      <c r="BL55" s="794"/>
      <c r="BM55" s="418">
        <f>Balanza!H149</f>
        <v>0</v>
      </c>
      <c r="BN55" s="418">
        <f>Balanza!D149</f>
        <v>0</v>
      </c>
    </row>
    <row r="56" spans="1:66" ht="15" customHeight="1">
      <c r="A56" s="417" t="s">
        <v>604</v>
      </c>
      <c r="B56" s="854" t="s">
        <v>6498</v>
      </c>
      <c r="C56" s="794"/>
      <c r="D56" s="794"/>
      <c r="E56" s="794"/>
      <c r="F56" s="794"/>
      <c r="G56" s="794"/>
      <c r="H56" s="794"/>
      <c r="I56" s="794"/>
      <c r="J56" s="794"/>
      <c r="K56" s="794"/>
      <c r="L56" s="794"/>
      <c r="M56" s="794"/>
      <c r="N56" s="794"/>
      <c r="O56" s="794"/>
      <c r="P56" s="794"/>
      <c r="Q56" s="794"/>
      <c r="R56" s="794"/>
      <c r="S56" s="794"/>
      <c r="T56" s="794"/>
      <c r="U56" s="794"/>
      <c r="V56" s="794"/>
      <c r="W56" s="794"/>
      <c r="X56" s="794"/>
      <c r="Y56" s="794"/>
      <c r="Z56" s="794"/>
      <c r="AA56" s="794"/>
      <c r="AB56" s="794"/>
      <c r="AC56" s="794"/>
      <c r="AD56" s="794"/>
      <c r="AE56" s="796"/>
      <c r="AF56" s="418">
        <f>Balanza!G52</f>
        <v>0</v>
      </c>
      <c r="AG56" s="418">
        <f>Balanza!C52</f>
        <v>0</v>
      </c>
      <c r="AH56" s="194" t="s">
        <v>800</v>
      </c>
      <c r="AI56" s="854" t="s">
        <v>6499</v>
      </c>
      <c r="AJ56" s="794"/>
      <c r="AK56" s="794"/>
      <c r="AL56" s="794"/>
      <c r="AM56" s="794"/>
      <c r="AN56" s="794"/>
      <c r="AO56" s="794"/>
      <c r="AP56" s="794"/>
      <c r="AQ56" s="794"/>
      <c r="AR56" s="794"/>
      <c r="AS56" s="794"/>
      <c r="AT56" s="794"/>
      <c r="AU56" s="794"/>
      <c r="AV56" s="794"/>
      <c r="AW56" s="794"/>
      <c r="AX56" s="794"/>
      <c r="AY56" s="794"/>
      <c r="AZ56" s="794"/>
      <c r="BA56" s="794"/>
      <c r="BB56" s="794"/>
      <c r="BC56" s="794"/>
      <c r="BD56" s="794"/>
      <c r="BE56" s="794"/>
      <c r="BF56" s="794"/>
      <c r="BG56" s="794"/>
      <c r="BH56" s="794"/>
      <c r="BI56" s="794"/>
      <c r="BJ56" s="794"/>
      <c r="BK56" s="794"/>
      <c r="BL56" s="794"/>
      <c r="BM56" s="418">
        <f>Balanza!H150</f>
        <v>0</v>
      </c>
      <c r="BN56" s="418">
        <f>Balanza!D150</f>
        <v>0</v>
      </c>
    </row>
    <row r="57" spans="1:66" ht="15" customHeight="1">
      <c r="A57" s="417" t="s">
        <v>606</v>
      </c>
      <c r="B57" s="854" t="s">
        <v>6500</v>
      </c>
      <c r="C57" s="794"/>
      <c r="D57" s="794"/>
      <c r="E57" s="794"/>
      <c r="F57" s="794"/>
      <c r="G57" s="794"/>
      <c r="H57" s="794"/>
      <c r="I57" s="794"/>
      <c r="J57" s="794"/>
      <c r="K57" s="794"/>
      <c r="L57" s="794"/>
      <c r="M57" s="794"/>
      <c r="N57" s="794"/>
      <c r="O57" s="794"/>
      <c r="P57" s="794"/>
      <c r="Q57" s="794"/>
      <c r="R57" s="794"/>
      <c r="S57" s="794"/>
      <c r="T57" s="794"/>
      <c r="U57" s="794"/>
      <c r="V57" s="794"/>
      <c r="W57" s="794"/>
      <c r="X57" s="794"/>
      <c r="Y57" s="794"/>
      <c r="Z57" s="794"/>
      <c r="AA57" s="794"/>
      <c r="AB57" s="794"/>
      <c r="AC57" s="794"/>
      <c r="AD57" s="794"/>
      <c r="AE57" s="796"/>
      <c r="AF57" s="418">
        <f>Balanza!G53</f>
        <v>0</v>
      </c>
      <c r="AG57" s="418">
        <f>Balanza!C53</f>
        <v>0</v>
      </c>
      <c r="AH57" s="201" t="s">
        <v>802</v>
      </c>
      <c r="AI57" s="857" t="s">
        <v>6501</v>
      </c>
      <c r="AJ57" s="794"/>
      <c r="AK57" s="794"/>
      <c r="AL57" s="794"/>
      <c r="AM57" s="794"/>
      <c r="AN57" s="794"/>
      <c r="AO57" s="794"/>
      <c r="AP57" s="794"/>
      <c r="AQ57" s="794"/>
      <c r="AR57" s="794"/>
      <c r="AS57" s="794"/>
      <c r="AT57" s="794"/>
      <c r="AU57" s="794"/>
      <c r="AV57" s="794"/>
      <c r="AW57" s="794"/>
      <c r="AX57" s="794"/>
      <c r="AY57" s="794"/>
      <c r="AZ57" s="794"/>
      <c r="BA57" s="794"/>
      <c r="BB57" s="794"/>
      <c r="BC57" s="794"/>
      <c r="BD57" s="794"/>
      <c r="BE57" s="794"/>
      <c r="BF57" s="794"/>
      <c r="BG57" s="794"/>
      <c r="BH57" s="794"/>
      <c r="BI57" s="794"/>
      <c r="BJ57" s="794"/>
      <c r="BK57" s="794"/>
      <c r="BL57" s="794"/>
      <c r="BM57" s="416">
        <f t="shared" ref="BM57:BN57" si="21">SUM(BM58:BM62)</f>
        <v>963679405.22000003</v>
      </c>
      <c r="BN57" s="416">
        <f t="shared" si="21"/>
        <v>1077738973.26</v>
      </c>
    </row>
    <row r="58" spans="1:66" ht="15" customHeight="1">
      <c r="A58" s="417" t="s">
        <v>608</v>
      </c>
      <c r="B58" s="854" t="s">
        <v>6502</v>
      </c>
      <c r="C58" s="794"/>
      <c r="D58" s="794"/>
      <c r="E58" s="794"/>
      <c r="F58" s="794"/>
      <c r="G58" s="794"/>
      <c r="H58" s="794"/>
      <c r="I58" s="794"/>
      <c r="J58" s="794"/>
      <c r="K58" s="794"/>
      <c r="L58" s="794"/>
      <c r="M58" s="794"/>
      <c r="N58" s="794"/>
      <c r="O58" s="794"/>
      <c r="P58" s="794"/>
      <c r="Q58" s="794"/>
      <c r="R58" s="794"/>
      <c r="S58" s="794"/>
      <c r="T58" s="794"/>
      <c r="U58" s="794"/>
      <c r="V58" s="794"/>
      <c r="W58" s="794"/>
      <c r="X58" s="794"/>
      <c r="Y58" s="794"/>
      <c r="Z58" s="794"/>
      <c r="AA58" s="794"/>
      <c r="AB58" s="794"/>
      <c r="AC58" s="794"/>
      <c r="AD58" s="794"/>
      <c r="AE58" s="796"/>
      <c r="AF58" s="418">
        <f>Balanza!G54</f>
        <v>0</v>
      </c>
      <c r="AG58" s="418">
        <f>Balanza!C54</f>
        <v>0</v>
      </c>
      <c r="AH58" s="194" t="s">
        <v>804</v>
      </c>
      <c r="AI58" s="854" t="s">
        <v>6503</v>
      </c>
      <c r="AJ58" s="794"/>
      <c r="AK58" s="794"/>
      <c r="AL58" s="794"/>
      <c r="AM58" s="794"/>
      <c r="AN58" s="794"/>
      <c r="AO58" s="794"/>
      <c r="AP58" s="794"/>
      <c r="AQ58" s="794"/>
      <c r="AR58" s="794"/>
      <c r="AS58" s="794"/>
      <c r="AT58" s="794"/>
      <c r="AU58" s="794"/>
      <c r="AV58" s="794"/>
      <c r="AW58" s="794"/>
      <c r="AX58" s="794"/>
      <c r="AY58" s="794"/>
      <c r="AZ58" s="794"/>
      <c r="BA58" s="794"/>
      <c r="BB58" s="794"/>
      <c r="BC58" s="794"/>
      <c r="BD58" s="794"/>
      <c r="BE58" s="794"/>
      <c r="BF58" s="794"/>
      <c r="BG58" s="794"/>
      <c r="BH58" s="794"/>
      <c r="BI58" s="794"/>
      <c r="BJ58" s="794"/>
      <c r="BK58" s="794"/>
      <c r="BL58" s="794"/>
      <c r="BM58" s="418">
        <f>Balanza!H152</f>
        <v>0</v>
      </c>
      <c r="BN58" s="418">
        <f>Balanza!D152</f>
        <v>0</v>
      </c>
    </row>
    <row r="59" spans="1:66" ht="15" customHeight="1">
      <c r="A59" s="413" t="s">
        <v>610</v>
      </c>
      <c r="B59" s="857" t="s">
        <v>6504</v>
      </c>
      <c r="C59" s="794"/>
      <c r="D59" s="794"/>
      <c r="E59" s="794"/>
      <c r="F59" s="794"/>
      <c r="G59" s="794"/>
      <c r="H59" s="794"/>
      <c r="I59" s="794"/>
      <c r="J59" s="794"/>
      <c r="K59" s="794"/>
      <c r="L59" s="794"/>
      <c r="M59" s="794"/>
      <c r="N59" s="794"/>
      <c r="O59" s="794"/>
      <c r="P59" s="794"/>
      <c r="Q59" s="794"/>
      <c r="R59" s="794"/>
      <c r="S59" s="794"/>
      <c r="T59" s="794"/>
      <c r="U59" s="794"/>
      <c r="V59" s="794"/>
      <c r="W59" s="794"/>
      <c r="X59" s="794"/>
      <c r="Y59" s="794"/>
      <c r="Z59" s="794"/>
      <c r="AA59" s="794"/>
      <c r="AB59" s="794"/>
      <c r="AC59" s="794"/>
      <c r="AD59" s="794"/>
      <c r="AE59" s="796"/>
      <c r="AF59" s="416">
        <f t="shared" ref="AF59:AG59" si="22">SUM(AF60:AF66)</f>
        <v>10248949149.199999</v>
      </c>
      <c r="AG59" s="416">
        <f t="shared" si="22"/>
        <v>9910739499.8099995</v>
      </c>
      <c r="AH59" s="194" t="s">
        <v>806</v>
      </c>
      <c r="AI59" s="854" t="s">
        <v>6505</v>
      </c>
      <c r="AJ59" s="794"/>
      <c r="AK59" s="794"/>
      <c r="AL59" s="794"/>
      <c r="AM59" s="794"/>
      <c r="AN59" s="794"/>
      <c r="AO59" s="794"/>
      <c r="AP59" s="794"/>
      <c r="AQ59" s="794"/>
      <c r="AR59" s="794"/>
      <c r="AS59" s="794"/>
      <c r="AT59" s="794"/>
      <c r="AU59" s="794"/>
      <c r="AV59" s="794"/>
      <c r="AW59" s="794"/>
      <c r="AX59" s="794"/>
      <c r="AY59" s="794"/>
      <c r="AZ59" s="794"/>
      <c r="BA59" s="794"/>
      <c r="BB59" s="794"/>
      <c r="BC59" s="794"/>
      <c r="BD59" s="794"/>
      <c r="BE59" s="794"/>
      <c r="BF59" s="794"/>
      <c r="BG59" s="794"/>
      <c r="BH59" s="794"/>
      <c r="BI59" s="794"/>
      <c r="BJ59" s="794"/>
      <c r="BK59" s="794"/>
      <c r="BL59" s="794"/>
      <c r="BM59" s="418">
        <f>Balanza!H153</f>
        <v>0</v>
      </c>
      <c r="BN59" s="418">
        <f>Balanza!D153</f>
        <v>0</v>
      </c>
    </row>
    <row r="60" spans="1:66" ht="15" customHeight="1">
      <c r="A60" s="417" t="s">
        <v>612</v>
      </c>
      <c r="B60" s="854" t="s">
        <v>6506</v>
      </c>
      <c r="C60" s="794"/>
      <c r="D60" s="794"/>
      <c r="E60" s="794"/>
      <c r="F60" s="794"/>
      <c r="G60" s="794"/>
      <c r="H60" s="794"/>
      <c r="I60" s="794"/>
      <c r="J60" s="794"/>
      <c r="K60" s="794"/>
      <c r="L60" s="794"/>
      <c r="M60" s="794"/>
      <c r="N60" s="794"/>
      <c r="O60" s="794"/>
      <c r="P60" s="794"/>
      <c r="Q60" s="794"/>
      <c r="R60" s="794"/>
      <c r="S60" s="794"/>
      <c r="T60" s="794"/>
      <c r="U60" s="794"/>
      <c r="V60" s="794"/>
      <c r="W60" s="794"/>
      <c r="X60" s="794"/>
      <c r="Y60" s="794"/>
      <c r="Z60" s="794"/>
      <c r="AA60" s="794"/>
      <c r="AB60" s="794"/>
      <c r="AC60" s="794"/>
      <c r="AD60" s="794"/>
      <c r="AE60" s="796"/>
      <c r="AF60" s="418">
        <f>Balanza!G56</f>
        <v>389839742.57999998</v>
      </c>
      <c r="AG60" s="418">
        <f>Balanza!C56</f>
        <v>389839742.57999998</v>
      </c>
      <c r="AH60" s="194" t="s">
        <v>808</v>
      </c>
      <c r="AI60" s="854" t="s">
        <v>6507</v>
      </c>
      <c r="AJ60" s="794"/>
      <c r="AK60" s="794"/>
      <c r="AL60" s="794"/>
      <c r="AM60" s="794"/>
      <c r="AN60" s="794"/>
      <c r="AO60" s="794"/>
      <c r="AP60" s="794"/>
      <c r="AQ60" s="794"/>
      <c r="AR60" s="794"/>
      <c r="AS60" s="794"/>
      <c r="AT60" s="794"/>
      <c r="AU60" s="794"/>
      <c r="AV60" s="794"/>
      <c r="AW60" s="794"/>
      <c r="AX60" s="794"/>
      <c r="AY60" s="794"/>
      <c r="AZ60" s="794"/>
      <c r="BA60" s="794"/>
      <c r="BB60" s="794"/>
      <c r="BC60" s="794"/>
      <c r="BD60" s="794"/>
      <c r="BE60" s="794"/>
      <c r="BF60" s="794"/>
      <c r="BG60" s="794"/>
      <c r="BH60" s="794"/>
      <c r="BI60" s="794"/>
      <c r="BJ60" s="794"/>
      <c r="BK60" s="794"/>
      <c r="BL60" s="794"/>
      <c r="BM60" s="418">
        <f>Balanza!H154</f>
        <v>963679405.22000003</v>
      </c>
      <c r="BN60" s="418">
        <f>Balanza!D154</f>
        <v>1077738973.26</v>
      </c>
    </row>
    <row r="61" spans="1:66" ht="15" customHeight="1">
      <c r="A61" s="417" t="s">
        <v>614</v>
      </c>
      <c r="B61" s="854" t="s">
        <v>6508</v>
      </c>
      <c r="C61" s="794"/>
      <c r="D61" s="794"/>
      <c r="E61" s="794"/>
      <c r="F61" s="794"/>
      <c r="G61" s="794"/>
      <c r="H61" s="794"/>
      <c r="I61" s="794"/>
      <c r="J61" s="794"/>
      <c r="K61" s="794"/>
      <c r="L61" s="794"/>
      <c r="M61" s="794"/>
      <c r="N61" s="794"/>
      <c r="O61" s="794"/>
      <c r="P61" s="794"/>
      <c r="Q61" s="794"/>
      <c r="R61" s="794"/>
      <c r="S61" s="794"/>
      <c r="T61" s="794"/>
      <c r="U61" s="794"/>
      <c r="V61" s="794"/>
      <c r="W61" s="794"/>
      <c r="X61" s="794"/>
      <c r="Y61" s="794"/>
      <c r="Z61" s="794"/>
      <c r="AA61" s="794"/>
      <c r="AB61" s="794"/>
      <c r="AC61" s="794"/>
      <c r="AD61" s="794"/>
      <c r="AE61" s="796"/>
      <c r="AF61" s="418">
        <f>Balanza!G57</f>
        <v>0</v>
      </c>
      <c r="AG61" s="418">
        <f>Balanza!C57</f>
        <v>0</v>
      </c>
      <c r="AH61" s="194" t="s">
        <v>810</v>
      </c>
      <c r="AI61" s="854" t="s">
        <v>6509</v>
      </c>
      <c r="AJ61" s="794"/>
      <c r="AK61" s="794"/>
      <c r="AL61" s="794"/>
      <c r="AM61" s="794"/>
      <c r="AN61" s="794"/>
      <c r="AO61" s="794"/>
      <c r="AP61" s="794"/>
      <c r="AQ61" s="794"/>
      <c r="AR61" s="794"/>
      <c r="AS61" s="794"/>
      <c r="AT61" s="794"/>
      <c r="AU61" s="794"/>
      <c r="AV61" s="794"/>
      <c r="AW61" s="794"/>
      <c r="AX61" s="794"/>
      <c r="AY61" s="794"/>
      <c r="AZ61" s="794"/>
      <c r="BA61" s="794"/>
      <c r="BB61" s="794"/>
      <c r="BC61" s="794"/>
      <c r="BD61" s="794"/>
      <c r="BE61" s="794"/>
      <c r="BF61" s="794"/>
      <c r="BG61" s="794"/>
      <c r="BH61" s="794"/>
      <c r="BI61" s="794"/>
      <c r="BJ61" s="794"/>
      <c r="BK61" s="794"/>
      <c r="BL61" s="794"/>
      <c r="BM61" s="418">
        <f>Balanza!H155</f>
        <v>0</v>
      </c>
      <c r="BN61" s="418">
        <f>Balanza!D155</f>
        <v>0</v>
      </c>
    </row>
    <row r="62" spans="1:66" ht="15" customHeight="1">
      <c r="A62" s="417" t="s">
        <v>616</v>
      </c>
      <c r="B62" s="854" t="s">
        <v>6510</v>
      </c>
      <c r="C62" s="794"/>
      <c r="D62" s="794"/>
      <c r="E62" s="794"/>
      <c r="F62" s="794"/>
      <c r="G62" s="794"/>
      <c r="H62" s="794"/>
      <c r="I62" s="794"/>
      <c r="J62" s="794"/>
      <c r="K62" s="794"/>
      <c r="L62" s="794"/>
      <c r="M62" s="794"/>
      <c r="N62" s="794"/>
      <c r="O62" s="794"/>
      <c r="P62" s="794"/>
      <c r="Q62" s="794"/>
      <c r="R62" s="794"/>
      <c r="S62" s="794"/>
      <c r="T62" s="794"/>
      <c r="U62" s="794"/>
      <c r="V62" s="794"/>
      <c r="W62" s="794"/>
      <c r="X62" s="794"/>
      <c r="Y62" s="794"/>
      <c r="Z62" s="794"/>
      <c r="AA62" s="794"/>
      <c r="AB62" s="794"/>
      <c r="AC62" s="794"/>
      <c r="AD62" s="794"/>
      <c r="AE62" s="796"/>
      <c r="AF62" s="418">
        <f>Balanza!G58</f>
        <v>1297424423.3499999</v>
      </c>
      <c r="AG62" s="418">
        <f>Balanza!C58</f>
        <v>1297424423.3499999</v>
      </c>
      <c r="AH62" s="194" t="s">
        <v>812</v>
      </c>
      <c r="AI62" s="854" t="s">
        <v>6511</v>
      </c>
      <c r="AJ62" s="794"/>
      <c r="AK62" s="794"/>
      <c r="AL62" s="794"/>
      <c r="AM62" s="794"/>
      <c r="AN62" s="794"/>
      <c r="AO62" s="794"/>
      <c r="AP62" s="794"/>
      <c r="AQ62" s="794"/>
      <c r="AR62" s="794"/>
      <c r="AS62" s="794"/>
      <c r="AT62" s="794"/>
      <c r="AU62" s="794"/>
      <c r="AV62" s="794"/>
      <c r="AW62" s="794"/>
      <c r="AX62" s="794"/>
      <c r="AY62" s="794"/>
      <c r="AZ62" s="794"/>
      <c r="BA62" s="794"/>
      <c r="BB62" s="794"/>
      <c r="BC62" s="794"/>
      <c r="BD62" s="794"/>
      <c r="BE62" s="794"/>
      <c r="BF62" s="794"/>
      <c r="BG62" s="794"/>
      <c r="BH62" s="794"/>
      <c r="BI62" s="794"/>
      <c r="BJ62" s="794"/>
      <c r="BK62" s="794"/>
      <c r="BL62" s="794"/>
      <c r="BM62" s="418">
        <f>Balanza!H156</f>
        <v>0</v>
      </c>
      <c r="BN62" s="418">
        <f>Balanza!D156</f>
        <v>0</v>
      </c>
    </row>
    <row r="63" spans="1:66" ht="15" customHeight="1">
      <c r="A63" s="417" t="s">
        <v>618</v>
      </c>
      <c r="B63" s="854" t="s">
        <v>6512</v>
      </c>
      <c r="C63" s="794"/>
      <c r="D63" s="794"/>
      <c r="E63" s="794"/>
      <c r="F63" s="794"/>
      <c r="G63" s="794"/>
      <c r="H63" s="794"/>
      <c r="I63" s="794"/>
      <c r="J63" s="794"/>
      <c r="K63" s="794"/>
      <c r="L63" s="794"/>
      <c r="M63" s="794"/>
      <c r="N63" s="794"/>
      <c r="O63" s="794"/>
      <c r="P63" s="794"/>
      <c r="Q63" s="794"/>
      <c r="R63" s="794"/>
      <c r="S63" s="794"/>
      <c r="T63" s="794"/>
      <c r="U63" s="794"/>
      <c r="V63" s="794"/>
      <c r="W63" s="794"/>
      <c r="X63" s="794"/>
      <c r="Y63" s="794"/>
      <c r="Z63" s="794"/>
      <c r="AA63" s="794"/>
      <c r="AB63" s="794"/>
      <c r="AC63" s="794"/>
      <c r="AD63" s="794"/>
      <c r="AE63" s="796"/>
      <c r="AF63" s="418">
        <f>Balanza!G59</f>
        <v>3940485680.1799998</v>
      </c>
      <c r="AG63" s="418">
        <f>Balanza!C59</f>
        <v>3940485680.1799998</v>
      </c>
      <c r="AH63" s="201" t="s">
        <v>814</v>
      </c>
      <c r="AI63" s="857" t="s">
        <v>6513</v>
      </c>
      <c r="AJ63" s="794"/>
      <c r="AK63" s="794"/>
      <c r="AL63" s="794"/>
      <c r="AM63" s="794"/>
      <c r="AN63" s="794"/>
      <c r="AO63" s="794"/>
      <c r="AP63" s="794"/>
      <c r="AQ63" s="794"/>
      <c r="AR63" s="794"/>
      <c r="AS63" s="794"/>
      <c r="AT63" s="794"/>
      <c r="AU63" s="794"/>
      <c r="AV63" s="794"/>
      <c r="AW63" s="794"/>
      <c r="AX63" s="794"/>
      <c r="AY63" s="794"/>
      <c r="AZ63" s="794"/>
      <c r="BA63" s="794"/>
      <c r="BB63" s="794"/>
      <c r="BC63" s="794"/>
      <c r="BD63" s="794"/>
      <c r="BE63" s="794"/>
      <c r="BF63" s="794"/>
      <c r="BG63" s="794"/>
      <c r="BH63" s="794"/>
      <c r="BI63" s="794"/>
      <c r="BJ63" s="794"/>
      <c r="BK63" s="794"/>
      <c r="BL63" s="794"/>
      <c r="BM63" s="416">
        <f t="shared" ref="BM63:BN63" si="23">SUM(BM64:BM66)</f>
        <v>0</v>
      </c>
      <c r="BN63" s="416">
        <f t="shared" si="23"/>
        <v>0</v>
      </c>
    </row>
    <row r="64" spans="1:66" ht="15" customHeight="1">
      <c r="A64" s="417" t="s">
        <v>620</v>
      </c>
      <c r="B64" s="854" t="s">
        <v>6514</v>
      </c>
      <c r="C64" s="794"/>
      <c r="D64" s="794"/>
      <c r="E64" s="794"/>
      <c r="F64" s="794"/>
      <c r="G64" s="794"/>
      <c r="H64" s="794"/>
      <c r="I64" s="794"/>
      <c r="J64" s="794"/>
      <c r="K64" s="794"/>
      <c r="L64" s="794"/>
      <c r="M64" s="794"/>
      <c r="N64" s="794"/>
      <c r="O64" s="794"/>
      <c r="P64" s="794"/>
      <c r="Q64" s="794"/>
      <c r="R64" s="794"/>
      <c r="S64" s="794"/>
      <c r="T64" s="794"/>
      <c r="U64" s="794"/>
      <c r="V64" s="794"/>
      <c r="W64" s="794"/>
      <c r="X64" s="794"/>
      <c r="Y64" s="794"/>
      <c r="Z64" s="794"/>
      <c r="AA64" s="794"/>
      <c r="AB64" s="794"/>
      <c r="AC64" s="794"/>
      <c r="AD64" s="794"/>
      <c r="AE64" s="796"/>
      <c r="AF64" s="418">
        <f>Balanza!G60</f>
        <v>4383316252.8999996</v>
      </c>
      <c r="AG64" s="418">
        <f>Balanza!C60</f>
        <v>4045106603.5100002</v>
      </c>
      <c r="AH64" s="194" t="s">
        <v>816</v>
      </c>
      <c r="AI64" s="854" t="s">
        <v>6515</v>
      </c>
      <c r="AJ64" s="794"/>
      <c r="AK64" s="794"/>
      <c r="AL64" s="794"/>
      <c r="AM64" s="794"/>
      <c r="AN64" s="794"/>
      <c r="AO64" s="794"/>
      <c r="AP64" s="794"/>
      <c r="AQ64" s="794"/>
      <c r="AR64" s="794"/>
      <c r="AS64" s="794"/>
      <c r="AT64" s="794"/>
      <c r="AU64" s="794"/>
      <c r="AV64" s="794"/>
      <c r="AW64" s="794"/>
      <c r="AX64" s="794"/>
      <c r="AY64" s="794"/>
      <c r="AZ64" s="794"/>
      <c r="BA64" s="794"/>
      <c r="BB64" s="794"/>
      <c r="BC64" s="794"/>
      <c r="BD64" s="794"/>
      <c r="BE64" s="794"/>
      <c r="BF64" s="794"/>
      <c r="BG64" s="794"/>
      <c r="BH64" s="794"/>
      <c r="BI64" s="794"/>
      <c r="BJ64" s="794"/>
      <c r="BK64" s="794"/>
      <c r="BL64" s="794"/>
      <c r="BM64" s="418">
        <f>Balanza!H158</f>
        <v>0</v>
      </c>
      <c r="BN64" s="418">
        <f>Balanza!D158</f>
        <v>0</v>
      </c>
    </row>
    <row r="65" spans="1:66" ht="15" customHeight="1">
      <c r="A65" s="417" t="s">
        <v>622</v>
      </c>
      <c r="B65" s="854" t="s">
        <v>6516</v>
      </c>
      <c r="C65" s="794"/>
      <c r="D65" s="794"/>
      <c r="E65" s="794"/>
      <c r="F65" s="794"/>
      <c r="G65" s="794"/>
      <c r="H65" s="794"/>
      <c r="I65" s="794"/>
      <c r="J65" s="794"/>
      <c r="K65" s="794"/>
      <c r="L65" s="794"/>
      <c r="M65" s="794"/>
      <c r="N65" s="794"/>
      <c r="O65" s="794"/>
      <c r="P65" s="794"/>
      <c r="Q65" s="794"/>
      <c r="R65" s="794"/>
      <c r="S65" s="794"/>
      <c r="T65" s="794"/>
      <c r="U65" s="794"/>
      <c r="V65" s="794"/>
      <c r="W65" s="794"/>
      <c r="X65" s="794"/>
      <c r="Y65" s="794"/>
      <c r="Z65" s="794"/>
      <c r="AA65" s="794"/>
      <c r="AB65" s="794"/>
      <c r="AC65" s="794"/>
      <c r="AD65" s="794"/>
      <c r="AE65" s="796"/>
      <c r="AF65" s="418">
        <f>Balanza!G61</f>
        <v>237883050.19</v>
      </c>
      <c r="AG65" s="418">
        <f>Balanza!C61</f>
        <v>237883050.19</v>
      </c>
      <c r="AH65" s="194" t="s">
        <v>818</v>
      </c>
      <c r="AI65" s="854" t="s">
        <v>6517</v>
      </c>
      <c r="AJ65" s="794"/>
      <c r="AK65" s="794"/>
      <c r="AL65" s="794"/>
      <c r="AM65" s="794"/>
      <c r="AN65" s="794"/>
      <c r="AO65" s="794"/>
      <c r="AP65" s="794"/>
      <c r="AQ65" s="794"/>
      <c r="AR65" s="794"/>
      <c r="AS65" s="794"/>
      <c r="AT65" s="794"/>
      <c r="AU65" s="794"/>
      <c r="AV65" s="794"/>
      <c r="AW65" s="794"/>
      <c r="AX65" s="794"/>
      <c r="AY65" s="794"/>
      <c r="AZ65" s="794"/>
      <c r="BA65" s="794"/>
      <c r="BB65" s="794"/>
      <c r="BC65" s="794"/>
      <c r="BD65" s="794"/>
      <c r="BE65" s="794"/>
      <c r="BF65" s="794"/>
      <c r="BG65" s="794"/>
      <c r="BH65" s="794"/>
      <c r="BI65" s="794"/>
      <c r="BJ65" s="794"/>
      <c r="BK65" s="794"/>
      <c r="BL65" s="794"/>
      <c r="BM65" s="418">
        <f>Balanza!H159</f>
        <v>0</v>
      </c>
      <c r="BN65" s="418">
        <f>Balanza!D159</f>
        <v>0</v>
      </c>
    </row>
    <row r="66" spans="1:66" ht="15" customHeight="1">
      <c r="A66" s="417" t="s">
        <v>624</v>
      </c>
      <c r="B66" s="854" t="s">
        <v>6518</v>
      </c>
      <c r="C66" s="794"/>
      <c r="D66" s="794"/>
      <c r="E66" s="794"/>
      <c r="F66" s="794"/>
      <c r="G66" s="794"/>
      <c r="H66" s="794"/>
      <c r="I66" s="794"/>
      <c r="J66" s="794"/>
      <c r="K66" s="794"/>
      <c r="L66" s="794"/>
      <c r="M66" s="794"/>
      <c r="N66" s="794"/>
      <c r="O66" s="794"/>
      <c r="P66" s="794"/>
      <c r="Q66" s="794"/>
      <c r="R66" s="794"/>
      <c r="S66" s="794"/>
      <c r="T66" s="794"/>
      <c r="U66" s="794"/>
      <c r="V66" s="794"/>
      <c r="W66" s="794"/>
      <c r="X66" s="794"/>
      <c r="Y66" s="794"/>
      <c r="Z66" s="794"/>
      <c r="AA66" s="794"/>
      <c r="AB66" s="794"/>
      <c r="AC66" s="794"/>
      <c r="AD66" s="794"/>
      <c r="AE66" s="796"/>
      <c r="AF66" s="418">
        <f>Balanza!G62</f>
        <v>0</v>
      </c>
      <c r="AG66" s="418">
        <f>Balanza!C62</f>
        <v>0</v>
      </c>
      <c r="AH66" s="194" t="s">
        <v>820</v>
      </c>
      <c r="AI66" s="854" t="s">
        <v>6519</v>
      </c>
      <c r="AJ66" s="794"/>
      <c r="AK66" s="794"/>
      <c r="AL66" s="794"/>
      <c r="AM66" s="794"/>
      <c r="AN66" s="794"/>
      <c r="AO66" s="794"/>
      <c r="AP66" s="794"/>
      <c r="AQ66" s="794"/>
      <c r="AR66" s="794"/>
      <c r="AS66" s="794"/>
      <c r="AT66" s="794"/>
      <c r="AU66" s="794"/>
      <c r="AV66" s="794"/>
      <c r="AW66" s="794"/>
      <c r="AX66" s="794"/>
      <c r="AY66" s="794"/>
      <c r="AZ66" s="794"/>
      <c r="BA66" s="794"/>
      <c r="BB66" s="794"/>
      <c r="BC66" s="794"/>
      <c r="BD66" s="794"/>
      <c r="BE66" s="794"/>
      <c r="BF66" s="794"/>
      <c r="BG66" s="794"/>
      <c r="BH66" s="794"/>
      <c r="BI66" s="794"/>
      <c r="BJ66" s="794"/>
      <c r="BK66" s="794"/>
      <c r="BL66" s="794"/>
      <c r="BM66" s="418">
        <f>Balanza!H160</f>
        <v>0</v>
      </c>
      <c r="BN66" s="418">
        <f>Balanza!D160</f>
        <v>0</v>
      </c>
    </row>
    <row r="67" spans="1:66" ht="15" customHeight="1">
      <c r="A67" s="413" t="s">
        <v>626</v>
      </c>
      <c r="B67" s="857" t="s">
        <v>6520</v>
      </c>
      <c r="C67" s="794"/>
      <c r="D67" s="794"/>
      <c r="E67" s="794"/>
      <c r="F67" s="794"/>
      <c r="G67" s="794"/>
      <c r="H67" s="794"/>
      <c r="I67" s="794"/>
      <c r="J67" s="794"/>
      <c r="K67" s="794"/>
      <c r="L67" s="794"/>
      <c r="M67" s="794"/>
      <c r="N67" s="794"/>
      <c r="O67" s="794"/>
      <c r="P67" s="794"/>
      <c r="Q67" s="794"/>
      <c r="R67" s="794"/>
      <c r="S67" s="794"/>
      <c r="T67" s="794"/>
      <c r="U67" s="794"/>
      <c r="V67" s="794"/>
      <c r="W67" s="794"/>
      <c r="X67" s="794"/>
      <c r="Y67" s="794"/>
      <c r="Z67" s="794"/>
      <c r="AA67" s="794"/>
      <c r="AB67" s="794"/>
      <c r="AC67" s="794"/>
      <c r="AD67" s="794"/>
      <c r="AE67" s="796"/>
      <c r="AF67" s="416">
        <f t="shared" ref="AF67:AG67" si="24">SUM(AF68:AF75)</f>
        <v>3140896290.3700004</v>
      </c>
      <c r="AG67" s="416">
        <f t="shared" si="24"/>
        <v>2907121555.0099998</v>
      </c>
      <c r="AH67" s="201" t="s">
        <v>822</v>
      </c>
      <c r="AI67" s="857" t="s">
        <v>6521</v>
      </c>
      <c r="AJ67" s="794"/>
      <c r="AK67" s="794"/>
      <c r="AL67" s="794"/>
      <c r="AM67" s="794"/>
      <c r="AN67" s="794"/>
      <c r="AO67" s="794"/>
      <c r="AP67" s="794"/>
      <c r="AQ67" s="794"/>
      <c r="AR67" s="794"/>
      <c r="AS67" s="794"/>
      <c r="AT67" s="794"/>
      <c r="AU67" s="794"/>
      <c r="AV67" s="794"/>
      <c r="AW67" s="794"/>
      <c r="AX67" s="794"/>
      <c r="AY67" s="794"/>
      <c r="AZ67" s="794"/>
      <c r="BA67" s="794"/>
      <c r="BB67" s="794"/>
      <c r="BC67" s="794"/>
      <c r="BD67" s="794"/>
      <c r="BE67" s="794"/>
      <c r="BF67" s="794"/>
      <c r="BG67" s="794"/>
      <c r="BH67" s="794"/>
      <c r="BI67" s="794"/>
      <c r="BJ67" s="794"/>
      <c r="BK67" s="794"/>
      <c r="BL67" s="794"/>
      <c r="BM67" s="416">
        <f t="shared" ref="BM67:BN67" si="25">SUM(BM68:BM73)</f>
        <v>0</v>
      </c>
      <c r="BN67" s="416">
        <f t="shared" si="25"/>
        <v>0</v>
      </c>
    </row>
    <row r="68" spans="1:66" ht="15" customHeight="1">
      <c r="A68" s="417" t="s">
        <v>628</v>
      </c>
      <c r="B68" s="854" t="s">
        <v>6522</v>
      </c>
      <c r="C68" s="794"/>
      <c r="D68" s="794"/>
      <c r="E68" s="794"/>
      <c r="F68" s="794"/>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6"/>
      <c r="AF68" s="418">
        <f>Balanza!G64</f>
        <v>515180692.29000002</v>
      </c>
      <c r="AG68" s="418">
        <f>Balanza!C64</f>
        <v>510491990.06</v>
      </c>
      <c r="AH68" s="194" t="s">
        <v>824</v>
      </c>
      <c r="AI68" s="854" t="s">
        <v>6523</v>
      </c>
      <c r="AJ68" s="794"/>
      <c r="AK68" s="794"/>
      <c r="AL68" s="794"/>
      <c r="AM68" s="794"/>
      <c r="AN68" s="794"/>
      <c r="AO68" s="794"/>
      <c r="AP68" s="794"/>
      <c r="AQ68" s="794"/>
      <c r="AR68" s="794"/>
      <c r="AS68" s="794"/>
      <c r="AT68" s="794"/>
      <c r="AU68" s="794"/>
      <c r="AV68" s="794"/>
      <c r="AW68" s="794"/>
      <c r="AX68" s="794"/>
      <c r="AY68" s="794"/>
      <c r="AZ68" s="794"/>
      <c r="BA68" s="794"/>
      <c r="BB68" s="794"/>
      <c r="BC68" s="794"/>
      <c r="BD68" s="794"/>
      <c r="BE68" s="794"/>
      <c r="BF68" s="794"/>
      <c r="BG68" s="794"/>
      <c r="BH68" s="794"/>
      <c r="BI68" s="794"/>
      <c r="BJ68" s="794"/>
      <c r="BK68" s="794"/>
      <c r="BL68" s="794"/>
      <c r="BM68" s="418">
        <f>Balanza!H162</f>
        <v>0</v>
      </c>
      <c r="BN68" s="418">
        <f>Balanza!D162</f>
        <v>0</v>
      </c>
    </row>
    <row r="69" spans="1:66" ht="15" customHeight="1">
      <c r="A69" s="417" t="s">
        <v>630</v>
      </c>
      <c r="B69" s="854" t="s">
        <v>6524</v>
      </c>
      <c r="C69" s="794"/>
      <c r="D69" s="794"/>
      <c r="E69" s="794"/>
      <c r="F69" s="794"/>
      <c r="G69" s="794"/>
      <c r="H69" s="794"/>
      <c r="I69" s="794"/>
      <c r="J69" s="794"/>
      <c r="K69" s="794"/>
      <c r="L69" s="794"/>
      <c r="M69" s="794"/>
      <c r="N69" s="794"/>
      <c r="O69" s="794"/>
      <c r="P69" s="794"/>
      <c r="Q69" s="794"/>
      <c r="R69" s="794"/>
      <c r="S69" s="794"/>
      <c r="T69" s="794"/>
      <c r="U69" s="794"/>
      <c r="V69" s="794"/>
      <c r="W69" s="794"/>
      <c r="X69" s="794"/>
      <c r="Y69" s="794"/>
      <c r="Z69" s="794"/>
      <c r="AA69" s="794"/>
      <c r="AB69" s="794"/>
      <c r="AC69" s="794"/>
      <c r="AD69" s="794"/>
      <c r="AE69" s="796"/>
      <c r="AF69" s="418">
        <f>Balanza!G65</f>
        <v>132526798.09999999</v>
      </c>
      <c r="AG69" s="418">
        <f>Balanza!C65</f>
        <v>132526798.09999999</v>
      </c>
      <c r="AH69" s="194" t="s">
        <v>826</v>
      </c>
      <c r="AI69" s="854" t="s">
        <v>6525</v>
      </c>
      <c r="AJ69" s="794"/>
      <c r="AK69" s="794"/>
      <c r="AL69" s="794"/>
      <c r="AM69" s="794"/>
      <c r="AN69" s="794"/>
      <c r="AO69" s="794"/>
      <c r="AP69" s="794"/>
      <c r="AQ69" s="794"/>
      <c r="AR69" s="794"/>
      <c r="AS69" s="794"/>
      <c r="AT69" s="794"/>
      <c r="AU69" s="794"/>
      <c r="AV69" s="794"/>
      <c r="AW69" s="794"/>
      <c r="AX69" s="794"/>
      <c r="AY69" s="794"/>
      <c r="AZ69" s="794"/>
      <c r="BA69" s="794"/>
      <c r="BB69" s="794"/>
      <c r="BC69" s="794"/>
      <c r="BD69" s="794"/>
      <c r="BE69" s="794"/>
      <c r="BF69" s="794"/>
      <c r="BG69" s="794"/>
      <c r="BH69" s="794"/>
      <c r="BI69" s="794"/>
      <c r="BJ69" s="794"/>
      <c r="BK69" s="794"/>
      <c r="BL69" s="794"/>
      <c r="BM69" s="418">
        <f>Balanza!H163</f>
        <v>0</v>
      </c>
      <c r="BN69" s="418">
        <f>Balanza!D163</f>
        <v>0</v>
      </c>
    </row>
    <row r="70" spans="1:66" ht="15" customHeight="1">
      <c r="A70" s="417" t="s">
        <v>632</v>
      </c>
      <c r="B70" s="854" t="s">
        <v>6526</v>
      </c>
      <c r="C70" s="794"/>
      <c r="D70" s="794"/>
      <c r="E70" s="794"/>
      <c r="F70" s="794"/>
      <c r="G70" s="794"/>
      <c r="H70" s="794"/>
      <c r="I70" s="794"/>
      <c r="J70" s="794"/>
      <c r="K70" s="794"/>
      <c r="L70" s="794"/>
      <c r="M70" s="794"/>
      <c r="N70" s="794"/>
      <c r="O70" s="794"/>
      <c r="P70" s="794"/>
      <c r="Q70" s="794"/>
      <c r="R70" s="794"/>
      <c r="S70" s="794"/>
      <c r="T70" s="794"/>
      <c r="U70" s="794"/>
      <c r="V70" s="794"/>
      <c r="W70" s="794"/>
      <c r="X70" s="794"/>
      <c r="Y70" s="794"/>
      <c r="Z70" s="794"/>
      <c r="AA70" s="794"/>
      <c r="AB70" s="794"/>
      <c r="AC70" s="794"/>
      <c r="AD70" s="794"/>
      <c r="AE70" s="796"/>
      <c r="AF70" s="418">
        <f>Balanza!G66</f>
        <v>97635710.739999995</v>
      </c>
      <c r="AG70" s="418">
        <f>Balanza!C66</f>
        <v>86516440.469999999</v>
      </c>
      <c r="AH70" s="194" t="s">
        <v>828</v>
      </c>
      <c r="AI70" s="854" t="s">
        <v>6527</v>
      </c>
      <c r="AJ70" s="794"/>
      <c r="AK70" s="794"/>
      <c r="AL70" s="794"/>
      <c r="AM70" s="794"/>
      <c r="AN70" s="794"/>
      <c r="AO70" s="794"/>
      <c r="AP70" s="794"/>
      <c r="AQ70" s="794"/>
      <c r="AR70" s="794"/>
      <c r="AS70" s="794"/>
      <c r="AT70" s="794"/>
      <c r="AU70" s="794"/>
      <c r="AV70" s="794"/>
      <c r="AW70" s="794"/>
      <c r="AX70" s="794"/>
      <c r="AY70" s="794"/>
      <c r="AZ70" s="794"/>
      <c r="BA70" s="794"/>
      <c r="BB70" s="794"/>
      <c r="BC70" s="794"/>
      <c r="BD70" s="794"/>
      <c r="BE70" s="794"/>
      <c r="BF70" s="794"/>
      <c r="BG70" s="794"/>
      <c r="BH70" s="794"/>
      <c r="BI70" s="794"/>
      <c r="BJ70" s="794"/>
      <c r="BK70" s="794"/>
      <c r="BL70" s="794"/>
      <c r="BM70" s="418">
        <f>Balanza!H164</f>
        <v>0</v>
      </c>
      <c r="BN70" s="418">
        <f>Balanza!D164</f>
        <v>0</v>
      </c>
    </row>
    <row r="71" spans="1:66" ht="15" customHeight="1">
      <c r="A71" s="417" t="s">
        <v>634</v>
      </c>
      <c r="B71" s="854" t="s">
        <v>6528</v>
      </c>
      <c r="C71" s="794"/>
      <c r="D71" s="794"/>
      <c r="E71" s="794"/>
      <c r="F71" s="794"/>
      <c r="G71" s="794"/>
      <c r="H71" s="794"/>
      <c r="I71" s="794"/>
      <c r="J71" s="794"/>
      <c r="K71" s="794"/>
      <c r="L71" s="794"/>
      <c r="M71" s="794"/>
      <c r="N71" s="794"/>
      <c r="O71" s="794"/>
      <c r="P71" s="794"/>
      <c r="Q71" s="794"/>
      <c r="R71" s="794"/>
      <c r="S71" s="794"/>
      <c r="T71" s="794"/>
      <c r="U71" s="794"/>
      <c r="V71" s="794"/>
      <c r="W71" s="794"/>
      <c r="X71" s="794"/>
      <c r="Y71" s="794"/>
      <c r="Z71" s="794"/>
      <c r="AA71" s="794"/>
      <c r="AB71" s="794"/>
      <c r="AC71" s="794"/>
      <c r="AD71" s="794"/>
      <c r="AE71" s="796"/>
      <c r="AF71" s="418">
        <f>Balanza!G67</f>
        <v>1644802736.6199999</v>
      </c>
      <c r="AG71" s="418">
        <f>Balanza!C67</f>
        <v>1457448042.6099999</v>
      </c>
      <c r="AH71" s="194" t="s">
        <v>830</v>
      </c>
      <c r="AI71" s="854" t="s">
        <v>6529</v>
      </c>
      <c r="AJ71" s="794"/>
      <c r="AK71" s="794"/>
      <c r="AL71" s="794"/>
      <c r="AM71" s="794"/>
      <c r="AN71" s="794"/>
      <c r="AO71" s="794"/>
      <c r="AP71" s="794"/>
      <c r="AQ71" s="794"/>
      <c r="AR71" s="794"/>
      <c r="AS71" s="794"/>
      <c r="AT71" s="794"/>
      <c r="AU71" s="794"/>
      <c r="AV71" s="794"/>
      <c r="AW71" s="794"/>
      <c r="AX71" s="794"/>
      <c r="AY71" s="794"/>
      <c r="AZ71" s="794"/>
      <c r="BA71" s="794"/>
      <c r="BB71" s="794"/>
      <c r="BC71" s="794"/>
      <c r="BD71" s="794"/>
      <c r="BE71" s="794"/>
      <c r="BF71" s="794"/>
      <c r="BG71" s="794"/>
      <c r="BH71" s="794"/>
      <c r="BI71" s="794"/>
      <c r="BJ71" s="794"/>
      <c r="BK71" s="794"/>
      <c r="BL71" s="794"/>
      <c r="BM71" s="418">
        <f>Balanza!H165</f>
        <v>0</v>
      </c>
      <c r="BN71" s="418">
        <f>Balanza!D165</f>
        <v>0</v>
      </c>
    </row>
    <row r="72" spans="1:66" ht="15" customHeight="1">
      <c r="A72" s="417" t="s">
        <v>636</v>
      </c>
      <c r="B72" s="854" t="s">
        <v>6530</v>
      </c>
      <c r="C72" s="794"/>
      <c r="D72" s="794"/>
      <c r="E72" s="794"/>
      <c r="F72" s="794"/>
      <c r="G72" s="794"/>
      <c r="H72" s="794"/>
      <c r="I72" s="794"/>
      <c r="J72" s="794"/>
      <c r="K72" s="794"/>
      <c r="L72" s="794"/>
      <c r="M72" s="794"/>
      <c r="N72" s="794"/>
      <c r="O72" s="794"/>
      <c r="P72" s="794"/>
      <c r="Q72" s="794"/>
      <c r="R72" s="794"/>
      <c r="S72" s="794"/>
      <c r="T72" s="794"/>
      <c r="U72" s="794"/>
      <c r="V72" s="794"/>
      <c r="W72" s="794"/>
      <c r="X72" s="794"/>
      <c r="Y72" s="794"/>
      <c r="Z72" s="794"/>
      <c r="AA72" s="794"/>
      <c r="AB72" s="794"/>
      <c r="AC72" s="794"/>
      <c r="AD72" s="794"/>
      <c r="AE72" s="796"/>
      <c r="AF72" s="418">
        <f>Balanza!G68</f>
        <v>172251345.80000001</v>
      </c>
      <c r="AG72" s="418">
        <f>Balanza!C68</f>
        <v>161743844.66999999</v>
      </c>
      <c r="AH72" s="194" t="s">
        <v>832</v>
      </c>
      <c r="AI72" s="854" t="s">
        <v>6531</v>
      </c>
      <c r="AJ72" s="794"/>
      <c r="AK72" s="794"/>
      <c r="AL72" s="794"/>
      <c r="AM72" s="794"/>
      <c r="AN72" s="794"/>
      <c r="AO72" s="794"/>
      <c r="AP72" s="794"/>
      <c r="AQ72" s="794"/>
      <c r="AR72" s="794"/>
      <c r="AS72" s="794"/>
      <c r="AT72" s="794"/>
      <c r="AU72" s="794"/>
      <c r="AV72" s="794"/>
      <c r="AW72" s="794"/>
      <c r="AX72" s="794"/>
      <c r="AY72" s="794"/>
      <c r="AZ72" s="794"/>
      <c r="BA72" s="794"/>
      <c r="BB72" s="794"/>
      <c r="BC72" s="794"/>
      <c r="BD72" s="794"/>
      <c r="BE72" s="794"/>
      <c r="BF72" s="794"/>
      <c r="BG72" s="794"/>
      <c r="BH72" s="794"/>
      <c r="BI72" s="794"/>
      <c r="BJ72" s="794"/>
      <c r="BK72" s="794"/>
      <c r="BL72" s="794"/>
      <c r="BM72" s="418">
        <f>Balanza!H166</f>
        <v>0</v>
      </c>
      <c r="BN72" s="418">
        <f>Balanza!D166</f>
        <v>0</v>
      </c>
    </row>
    <row r="73" spans="1:66" ht="15" customHeight="1">
      <c r="A73" s="417" t="s">
        <v>638</v>
      </c>
      <c r="B73" s="854" t="s">
        <v>6532</v>
      </c>
      <c r="C73" s="794"/>
      <c r="D73" s="794"/>
      <c r="E73" s="794"/>
      <c r="F73" s="794"/>
      <c r="G73" s="794"/>
      <c r="H73" s="794"/>
      <c r="I73" s="794"/>
      <c r="J73" s="794"/>
      <c r="K73" s="794"/>
      <c r="L73" s="794"/>
      <c r="M73" s="794"/>
      <c r="N73" s="794"/>
      <c r="O73" s="794"/>
      <c r="P73" s="794"/>
      <c r="Q73" s="794"/>
      <c r="R73" s="794"/>
      <c r="S73" s="794"/>
      <c r="T73" s="794"/>
      <c r="U73" s="794"/>
      <c r="V73" s="794"/>
      <c r="W73" s="794"/>
      <c r="X73" s="794"/>
      <c r="Y73" s="794"/>
      <c r="Z73" s="794"/>
      <c r="AA73" s="794"/>
      <c r="AB73" s="794"/>
      <c r="AC73" s="794"/>
      <c r="AD73" s="794"/>
      <c r="AE73" s="796"/>
      <c r="AF73" s="418">
        <f>Balanza!G69</f>
        <v>547980522.09000003</v>
      </c>
      <c r="AG73" s="418">
        <f>Balanza!C69</f>
        <v>527875954.37</v>
      </c>
      <c r="AH73" s="194" t="s">
        <v>834</v>
      </c>
      <c r="AI73" s="854" t="s">
        <v>6533</v>
      </c>
      <c r="AJ73" s="794"/>
      <c r="AK73" s="794"/>
      <c r="AL73" s="794"/>
      <c r="AM73" s="794"/>
      <c r="AN73" s="794"/>
      <c r="AO73" s="794"/>
      <c r="AP73" s="794"/>
      <c r="AQ73" s="794"/>
      <c r="AR73" s="794"/>
      <c r="AS73" s="794"/>
      <c r="AT73" s="794"/>
      <c r="AU73" s="794"/>
      <c r="AV73" s="794"/>
      <c r="AW73" s="794"/>
      <c r="AX73" s="794"/>
      <c r="AY73" s="794"/>
      <c r="AZ73" s="794"/>
      <c r="BA73" s="794"/>
      <c r="BB73" s="794"/>
      <c r="BC73" s="794"/>
      <c r="BD73" s="794"/>
      <c r="BE73" s="794"/>
      <c r="BF73" s="794"/>
      <c r="BG73" s="794"/>
      <c r="BH73" s="794"/>
      <c r="BI73" s="794"/>
      <c r="BJ73" s="794"/>
      <c r="BK73" s="794"/>
      <c r="BL73" s="794"/>
      <c r="BM73" s="418">
        <f>Balanza!H167</f>
        <v>0</v>
      </c>
      <c r="BN73" s="418">
        <f>Balanza!D167</f>
        <v>0</v>
      </c>
    </row>
    <row r="74" spans="1:66" ht="15" customHeight="1">
      <c r="A74" s="417" t="s">
        <v>640</v>
      </c>
      <c r="B74" s="854" t="s">
        <v>6534</v>
      </c>
      <c r="C74" s="794"/>
      <c r="D74" s="794"/>
      <c r="E74" s="794"/>
      <c r="F74" s="794"/>
      <c r="G74" s="794"/>
      <c r="H74" s="794"/>
      <c r="I74" s="794"/>
      <c r="J74" s="794"/>
      <c r="K74" s="794"/>
      <c r="L74" s="794"/>
      <c r="M74" s="794"/>
      <c r="N74" s="794"/>
      <c r="O74" s="794"/>
      <c r="P74" s="794"/>
      <c r="Q74" s="794"/>
      <c r="R74" s="794"/>
      <c r="S74" s="794"/>
      <c r="T74" s="794"/>
      <c r="U74" s="794"/>
      <c r="V74" s="794"/>
      <c r="W74" s="794"/>
      <c r="X74" s="794"/>
      <c r="Y74" s="794"/>
      <c r="Z74" s="794"/>
      <c r="AA74" s="794"/>
      <c r="AB74" s="794"/>
      <c r="AC74" s="794"/>
      <c r="AD74" s="794"/>
      <c r="AE74" s="796"/>
      <c r="AF74" s="418">
        <f>Balanza!G70</f>
        <v>29273238.23</v>
      </c>
      <c r="AG74" s="418">
        <f>Balanza!C70</f>
        <v>29273238.23</v>
      </c>
      <c r="AH74" s="201" t="s">
        <v>836</v>
      </c>
      <c r="AI74" s="857" t="s">
        <v>6535</v>
      </c>
      <c r="AJ74" s="794"/>
      <c r="AK74" s="794"/>
      <c r="AL74" s="794"/>
      <c r="AM74" s="794"/>
      <c r="AN74" s="794"/>
      <c r="AO74" s="794"/>
      <c r="AP74" s="794"/>
      <c r="AQ74" s="794"/>
      <c r="AR74" s="794"/>
      <c r="AS74" s="794"/>
      <c r="AT74" s="794"/>
      <c r="AU74" s="794"/>
      <c r="AV74" s="794"/>
      <c r="AW74" s="794"/>
      <c r="AX74" s="794"/>
      <c r="AY74" s="794"/>
      <c r="AZ74" s="794"/>
      <c r="BA74" s="794"/>
      <c r="BB74" s="794"/>
      <c r="BC74" s="794"/>
      <c r="BD74" s="794"/>
      <c r="BE74" s="794"/>
      <c r="BF74" s="794"/>
      <c r="BG74" s="794"/>
      <c r="BH74" s="794"/>
      <c r="BI74" s="794"/>
      <c r="BJ74" s="794"/>
      <c r="BK74" s="794"/>
      <c r="BL74" s="794"/>
      <c r="BM74" s="416">
        <f t="shared" ref="BM74:BN74" si="26">SUM(BM75:BM78)</f>
        <v>0</v>
      </c>
      <c r="BN74" s="416">
        <f t="shared" si="26"/>
        <v>0</v>
      </c>
    </row>
    <row r="75" spans="1:66" ht="15" customHeight="1">
      <c r="A75" s="417" t="s">
        <v>642</v>
      </c>
      <c r="B75" s="854" t="s">
        <v>6536</v>
      </c>
      <c r="C75" s="794"/>
      <c r="D75" s="794"/>
      <c r="E75" s="794"/>
      <c r="F75" s="794"/>
      <c r="G75" s="794"/>
      <c r="H75" s="794"/>
      <c r="I75" s="794"/>
      <c r="J75" s="794"/>
      <c r="K75" s="794"/>
      <c r="L75" s="794"/>
      <c r="M75" s="794"/>
      <c r="N75" s="794"/>
      <c r="O75" s="794"/>
      <c r="P75" s="794"/>
      <c r="Q75" s="794"/>
      <c r="R75" s="794"/>
      <c r="S75" s="794"/>
      <c r="T75" s="794"/>
      <c r="U75" s="794"/>
      <c r="V75" s="794"/>
      <c r="W75" s="794"/>
      <c r="X75" s="794"/>
      <c r="Y75" s="794"/>
      <c r="Z75" s="794"/>
      <c r="AA75" s="794"/>
      <c r="AB75" s="794"/>
      <c r="AC75" s="794"/>
      <c r="AD75" s="794"/>
      <c r="AE75" s="796"/>
      <c r="AF75" s="418">
        <f>Balanza!G71</f>
        <v>1245246.5</v>
      </c>
      <c r="AG75" s="418">
        <f>Balanza!C71</f>
        <v>1245246.5</v>
      </c>
      <c r="AH75" s="194" t="s">
        <v>838</v>
      </c>
      <c r="AI75" s="854" t="s">
        <v>6537</v>
      </c>
      <c r="AJ75" s="794"/>
      <c r="AK75" s="794"/>
      <c r="AL75" s="794"/>
      <c r="AM75" s="794"/>
      <c r="AN75" s="794"/>
      <c r="AO75" s="794"/>
      <c r="AP75" s="794"/>
      <c r="AQ75" s="794"/>
      <c r="AR75" s="794"/>
      <c r="AS75" s="794"/>
      <c r="AT75" s="794"/>
      <c r="AU75" s="794"/>
      <c r="AV75" s="794"/>
      <c r="AW75" s="794"/>
      <c r="AX75" s="794"/>
      <c r="AY75" s="794"/>
      <c r="AZ75" s="794"/>
      <c r="BA75" s="794"/>
      <c r="BB75" s="794"/>
      <c r="BC75" s="794"/>
      <c r="BD75" s="794"/>
      <c r="BE75" s="794"/>
      <c r="BF75" s="794"/>
      <c r="BG75" s="794"/>
      <c r="BH75" s="794"/>
      <c r="BI75" s="794"/>
      <c r="BJ75" s="794"/>
      <c r="BK75" s="794"/>
      <c r="BL75" s="794"/>
      <c r="BM75" s="418">
        <f>Balanza!H169</f>
        <v>0</v>
      </c>
      <c r="BN75" s="418">
        <f>Balanza!D169</f>
        <v>0</v>
      </c>
    </row>
    <row r="76" spans="1:66" ht="15" customHeight="1">
      <c r="A76" s="413" t="s">
        <v>644</v>
      </c>
      <c r="B76" s="857" t="s">
        <v>6538</v>
      </c>
      <c r="C76" s="794"/>
      <c r="D76" s="794"/>
      <c r="E76" s="794"/>
      <c r="F76" s="794"/>
      <c r="G76" s="794"/>
      <c r="H76" s="794"/>
      <c r="I76" s="794"/>
      <c r="J76" s="794"/>
      <c r="K76" s="794"/>
      <c r="L76" s="794"/>
      <c r="M76" s="794"/>
      <c r="N76" s="794"/>
      <c r="O76" s="794"/>
      <c r="P76" s="794"/>
      <c r="Q76" s="794"/>
      <c r="R76" s="794"/>
      <c r="S76" s="794"/>
      <c r="T76" s="794"/>
      <c r="U76" s="794"/>
      <c r="V76" s="794"/>
      <c r="W76" s="794"/>
      <c r="X76" s="794"/>
      <c r="Y76" s="794"/>
      <c r="Z76" s="794"/>
      <c r="AA76" s="794"/>
      <c r="AB76" s="794"/>
      <c r="AC76" s="794"/>
      <c r="AD76" s="794"/>
      <c r="AE76" s="796"/>
      <c r="AF76" s="416">
        <f t="shared" ref="AF76:AG76" si="27">SUM(AF77:AF81)</f>
        <v>227295998.75000003</v>
      </c>
      <c r="AG76" s="416">
        <f t="shared" si="27"/>
        <v>212020646.59</v>
      </c>
      <c r="AH76" s="194" t="s">
        <v>840</v>
      </c>
      <c r="AI76" s="854" t="s">
        <v>6539</v>
      </c>
      <c r="AJ76" s="794"/>
      <c r="AK76" s="794"/>
      <c r="AL76" s="794"/>
      <c r="AM76" s="794"/>
      <c r="AN76" s="794"/>
      <c r="AO76" s="794"/>
      <c r="AP76" s="794"/>
      <c r="AQ76" s="794"/>
      <c r="AR76" s="794"/>
      <c r="AS76" s="794"/>
      <c r="AT76" s="794"/>
      <c r="AU76" s="794"/>
      <c r="AV76" s="794"/>
      <c r="AW76" s="794"/>
      <c r="AX76" s="794"/>
      <c r="AY76" s="794"/>
      <c r="AZ76" s="794"/>
      <c r="BA76" s="794"/>
      <c r="BB76" s="794"/>
      <c r="BC76" s="794"/>
      <c r="BD76" s="794"/>
      <c r="BE76" s="794"/>
      <c r="BF76" s="794"/>
      <c r="BG76" s="794"/>
      <c r="BH76" s="794"/>
      <c r="BI76" s="794"/>
      <c r="BJ76" s="794"/>
      <c r="BK76" s="794"/>
      <c r="BL76" s="794"/>
      <c r="BM76" s="418">
        <f>Balanza!H170</f>
        <v>0</v>
      </c>
      <c r="BN76" s="418">
        <f>Balanza!D170</f>
        <v>0</v>
      </c>
    </row>
    <row r="77" spans="1:66" ht="15" customHeight="1">
      <c r="A77" s="417" t="s">
        <v>646</v>
      </c>
      <c r="B77" s="854" t="s">
        <v>6540</v>
      </c>
      <c r="C77" s="794"/>
      <c r="D77" s="794"/>
      <c r="E77" s="794"/>
      <c r="F77" s="794"/>
      <c r="G77" s="794"/>
      <c r="H77" s="794"/>
      <c r="I77" s="794"/>
      <c r="J77" s="794"/>
      <c r="K77" s="794"/>
      <c r="L77" s="794"/>
      <c r="M77" s="794"/>
      <c r="N77" s="794"/>
      <c r="O77" s="794"/>
      <c r="P77" s="794"/>
      <c r="Q77" s="794"/>
      <c r="R77" s="794"/>
      <c r="S77" s="794"/>
      <c r="T77" s="794"/>
      <c r="U77" s="794"/>
      <c r="V77" s="794"/>
      <c r="W77" s="794"/>
      <c r="X77" s="794"/>
      <c r="Y77" s="794"/>
      <c r="Z77" s="794"/>
      <c r="AA77" s="794"/>
      <c r="AB77" s="794"/>
      <c r="AC77" s="794"/>
      <c r="AD77" s="794"/>
      <c r="AE77" s="796"/>
      <c r="AF77" s="418">
        <f>Balanza!G73</f>
        <v>75888804.909999996</v>
      </c>
      <c r="AG77" s="418">
        <f>Balanza!C73</f>
        <v>75888804.909999996</v>
      </c>
      <c r="AH77" s="194" t="s">
        <v>842</v>
      </c>
      <c r="AI77" s="854" t="s">
        <v>6541</v>
      </c>
      <c r="AJ77" s="794"/>
      <c r="AK77" s="794"/>
      <c r="AL77" s="794"/>
      <c r="AM77" s="794"/>
      <c r="AN77" s="794"/>
      <c r="AO77" s="794"/>
      <c r="AP77" s="794"/>
      <c r="AQ77" s="794"/>
      <c r="AR77" s="794"/>
      <c r="AS77" s="794"/>
      <c r="AT77" s="794"/>
      <c r="AU77" s="794"/>
      <c r="AV77" s="794"/>
      <c r="AW77" s="794"/>
      <c r="AX77" s="794"/>
      <c r="AY77" s="794"/>
      <c r="AZ77" s="794"/>
      <c r="BA77" s="794"/>
      <c r="BB77" s="794"/>
      <c r="BC77" s="794"/>
      <c r="BD77" s="794"/>
      <c r="BE77" s="794"/>
      <c r="BF77" s="794"/>
      <c r="BG77" s="794"/>
      <c r="BH77" s="794"/>
      <c r="BI77" s="794"/>
      <c r="BJ77" s="794"/>
      <c r="BK77" s="794"/>
      <c r="BL77" s="794"/>
      <c r="BM77" s="418">
        <f>Balanza!H171</f>
        <v>0</v>
      </c>
      <c r="BN77" s="418">
        <f>Balanza!D171</f>
        <v>0</v>
      </c>
    </row>
    <row r="78" spans="1:66" ht="15" customHeight="1">
      <c r="A78" s="417" t="s">
        <v>648</v>
      </c>
      <c r="B78" s="854" t="s">
        <v>6542</v>
      </c>
      <c r="C78" s="794"/>
      <c r="D78" s="794"/>
      <c r="E78" s="794"/>
      <c r="F78" s="794"/>
      <c r="G78" s="794"/>
      <c r="H78" s="794"/>
      <c r="I78" s="794"/>
      <c r="J78" s="794"/>
      <c r="K78" s="794"/>
      <c r="L78" s="794"/>
      <c r="M78" s="794"/>
      <c r="N78" s="794"/>
      <c r="O78" s="794"/>
      <c r="P78" s="794"/>
      <c r="Q78" s="794"/>
      <c r="R78" s="794"/>
      <c r="S78" s="794"/>
      <c r="T78" s="794"/>
      <c r="U78" s="794"/>
      <c r="V78" s="794"/>
      <c r="W78" s="794"/>
      <c r="X78" s="794"/>
      <c r="Y78" s="794"/>
      <c r="Z78" s="794"/>
      <c r="AA78" s="794"/>
      <c r="AB78" s="794"/>
      <c r="AC78" s="794"/>
      <c r="AD78" s="794"/>
      <c r="AE78" s="796"/>
      <c r="AF78" s="418">
        <f>Balanza!G74</f>
        <v>15256513.119999999</v>
      </c>
      <c r="AG78" s="418">
        <f>Balanza!C74</f>
        <v>15256513.119999999</v>
      </c>
      <c r="AH78" s="194" t="s">
        <v>844</v>
      </c>
      <c r="AI78" s="854" t="s">
        <v>6543</v>
      </c>
      <c r="AJ78" s="794"/>
      <c r="AK78" s="794"/>
      <c r="AL78" s="794"/>
      <c r="AM78" s="794"/>
      <c r="AN78" s="794"/>
      <c r="AO78" s="794"/>
      <c r="AP78" s="794"/>
      <c r="AQ78" s="794"/>
      <c r="AR78" s="794"/>
      <c r="AS78" s="794"/>
      <c r="AT78" s="794"/>
      <c r="AU78" s="794"/>
      <c r="AV78" s="794"/>
      <c r="AW78" s="794"/>
      <c r="AX78" s="794"/>
      <c r="AY78" s="794"/>
      <c r="AZ78" s="794"/>
      <c r="BA78" s="794"/>
      <c r="BB78" s="794"/>
      <c r="BC78" s="794"/>
      <c r="BD78" s="794"/>
      <c r="BE78" s="794"/>
      <c r="BF78" s="794"/>
      <c r="BG78" s="794"/>
      <c r="BH78" s="794"/>
      <c r="BI78" s="794"/>
      <c r="BJ78" s="794"/>
      <c r="BK78" s="794"/>
      <c r="BL78" s="794"/>
      <c r="BM78" s="418">
        <f>Balanza!H172</f>
        <v>0</v>
      </c>
      <c r="BN78" s="418">
        <f>Balanza!D172</f>
        <v>0</v>
      </c>
    </row>
    <row r="79" spans="1:66" ht="15" customHeight="1">
      <c r="A79" s="417" t="s">
        <v>650</v>
      </c>
      <c r="B79" s="854" t="s">
        <v>6544</v>
      </c>
      <c r="C79" s="794"/>
      <c r="D79" s="794"/>
      <c r="E79" s="794"/>
      <c r="F79" s="794"/>
      <c r="G79" s="794"/>
      <c r="H79" s="794"/>
      <c r="I79" s="794"/>
      <c r="J79" s="794"/>
      <c r="K79" s="794"/>
      <c r="L79" s="794"/>
      <c r="M79" s="794"/>
      <c r="N79" s="794"/>
      <c r="O79" s="794"/>
      <c r="P79" s="794"/>
      <c r="Q79" s="794"/>
      <c r="R79" s="794"/>
      <c r="S79" s="794"/>
      <c r="T79" s="794"/>
      <c r="U79" s="794"/>
      <c r="V79" s="794"/>
      <c r="W79" s="794"/>
      <c r="X79" s="794"/>
      <c r="Y79" s="794"/>
      <c r="Z79" s="794"/>
      <c r="AA79" s="794"/>
      <c r="AB79" s="794"/>
      <c r="AC79" s="794"/>
      <c r="AD79" s="794"/>
      <c r="AE79" s="796"/>
      <c r="AF79" s="418">
        <f>Balanza!G75</f>
        <v>122427724.95</v>
      </c>
      <c r="AG79" s="418">
        <f>Balanza!C75</f>
        <v>107152372.79000001</v>
      </c>
      <c r="AH79" s="420"/>
      <c r="AI79" s="870" t="s">
        <v>6545</v>
      </c>
      <c r="AJ79" s="725"/>
      <c r="AK79" s="725"/>
      <c r="AL79" s="725"/>
      <c r="AM79" s="725"/>
      <c r="AN79" s="725"/>
      <c r="AO79" s="725"/>
      <c r="AP79" s="725"/>
      <c r="AQ79" s="725"/>
      <c r="AR79" s="725"/>
      <c r="AS79" s="725"/>
      <c r="AT79" s="725"/>
      <c r="AU79" s="725"/>
      <c r="AV79" s="725"/>
      <c r="AW79" s="725"/>
      <c r="AX79" s="725"/>
      <c r="AY79" s="725"/>
      <c r="AZ79" s="725"/>
      <c r="BA79" s="725"/>
      <c r="BB79" s="725"/>
      <c r="BC79" s="725"/>
      <c r="BD79" s="725"/>
      <c r="BE79" s="725"/>
      <c r="BF79" s="725"/>
      <c r="BG79" s="725"/>
      <c r="BH79" s="725"/>
      <c r="BI79" s="725"/>
      <c r="BJ79" s="725"/>
      <c r="BK79" s="725"/>
      <c r="BL79" s="725"/>
      <c r="BM79" s="425">
        <f t="shared" ref="BM79:BN79" si="28">BM50+BM53+BM57+BM63+BM67+BM74</f>
        <v>963679405.22000003</v>
      </c>
      <c r="BN79" s="425">
        <f t="shared" si="28"/>
        <v>1077738973.26</v>
      </c>
    </row>
    <row r="80" spans="1:66" ht="15" customHeight="1">
      <c r="A80" s="417" t="s">
        <v>652</v>
      </c>
      <c r="B80" s="854" t="s">
        <v>6546</v>
      </c>
      <c r="C80" s="794"/>
      <c r="D80" s="794"/>
      <c r="E80" s="794"/>
      <c r="F80" s="794"/>
      <c r="G80" s="794"/>
      <c r="H80" s="794"/>
      <c r="I80" s="794"/>
      <c r="J80" s="794"/>
      <c r="K80" s="794"/>
      <c r="L80" s="794"/>
      <c r="M80" s="794"/>
      <c r="N80" s="794"/>
      <c r="O80" s="794"/>
      <c r="P80" s="794"/>
      <c r="Q80" s="794"/>
      <c r="R80" s="794"/>
      <c r="S80" s="794"/>
      <c r="T80" s="794"/>
      <c r="U80" s="794"/>
      <c r="V80" s="794"/>
      <c r="W80" s="794"/>
      <c r="X80" s="794"/>
      <c r="Y80" s="794"/>
      <c r="Z80" s="794"/>
      <c r="AA80" s="794"/>
      <c r="AB80" s="794"/>
      <c r="AC80" s="794"/>
      <c r="AD80" s="794"/>
      <c r="AE80" s="796"/>
      <c r="AF80" s="418">
        <f>Balanza!G76</f>
        <v>5291245.37</v>
      </c>
      <c r="AG80" s="418">
        <f>Balanza!C76</f>
        <v>5291245.37</v>
      </c>
      <c r="AH80" s="423"/>
      <c r="AI80" s="871" t="s">
        <v>6547</v>
      </c>
      <c r="AJ80" s="795"/>
      <c r="AK80" s="795"/>
      <c r="AL80" s="795"/>
      <c r="AM80" s="795"/>
      <c r="AN80" s="795"/>
      <c r="AO80" s="795"/>
      <c r="AP80" s="795"/>
      <c r="AQ80" s="795"/>
      <c r="AR80" s="795"/>
      <c r="AS80" s="795"/>
      <c r="AT80" s="795"/>
      <c r="AU80" s="795"/>
      <c r="AV80" s="795"/>
      <c r="AW80" s="795"/>
      <c r="AX80" s="795"/>
      <c r="AY80" s="795"/>
      <c r="AZ80" s="795"/>
      <c r="BA80" s="795"/>
      <c r="BB80" s="795"/>
      <c r="BC80" s="795"/>
      <c r="BD80" s="795"/>
      <c r="BE80" s="795"/>
      <c r="BF80" s="795"/>
      <c r="BG80" s="795"/>
      <c r="BH80" s="795"/>
      <c r="BI80" s="795"/>
      <c r="BJ80" s="795"/>
      <c r="BK80" s="795"/>
      <c r="BL80" s="795"/>
      <c r="BM80" s="426">
        <f t="shared" ref="BM80:BN80" si="29">BM48+BM79</f>
        <v>1315283768.0699999</v>
      </c>
      <c r="BN80" s="426">
        <f t="shared" si="29"/>
        <v>2060758660.3499999</v>
      </c>
    </row>
    <row r="81" spans="1:66" ht="15" customHeight="1">
      <c r="A81" s="417" t="s">
        <v>654</v>
      </c>
      <c r="B81" s="854" t="s">
        <v>6548</v>
      </c>
      <c r="C81" s="794"/>
      <c r="D81" s="794"/>
      <c r="E81" s="794"/>
      <c r="F81" s="794"/>
      <c r="G81" s="794"/>
      <c r="H81" s="794"/>
      <c r="I81" s="794"/>
      <c r="J81" s="794"/>
      <c r="K81" s="794"/>
      <c r="L81" s="794"/>
      <c r="M81" s="794"/>
      <c r="N81" s="794"/>
      <c r="O81" s="794"/>
      <c r="P81" s="794"/>
      <c r="Q81" s="794"/>
      <c r="R81" s="794"/>
      <c r="S81" s="794"/>
      <c r="T81" s="794"/>
      <c r="U81" s="794"/>
      <c r="V81" s="794"/>
      <c r="W81" s="794"/>
      <c r="X81" s="794"/>
      <c r="Y81" s="794"/>
      <c r="Z81" s="794"/>
      <c r="AA81" s="794"/>
      <c r="AB81" s="794"/>
      <c r="AC81" s="794"/>
      <c r="AD81" s="794"/>
      <c r="AE81" s="796"/>
      <c r="AF81" s="418">
        <f>Balanza!G77</f>
        <v>8431710.4000000004</v>
      </c>
      <c r="AG81" s="418">
        <f>Balanza!C77</f>
        <v>8431710.4000000004</v>
      </c>
      <c r="AH81" s="201" t="s">
        <v>846</v>
      </c>
      <c r="AI81" s="872" t="s">
        <v>6549</v>
      </c>
      <c r="AJ81" s="794"/>
      <c r="AK81" s="794"/>
      <c r="AL81" s="794"/>
      <c r="AM81" s="794"/>
      <c r="AN81" s="794"/>
      <c r="AO81" s="794"/>
      <c r="AP81" s="794"/>
      <c r="AQ81" s="794"/>
      <c r="AR81" s="794"/>
      <c r="AS81" s="794"/>
      <c r="AT81" s="794"/>
      <c r="AU81" s="794"/>
      <c r="AV81" s="794"/>
      <c r="AW81" s="794"/>
      <c r="AX81" s="794"/>
      <c r="AY81" s="794"/>
      <c r="AZ81" s="794"/>
      <c r="BA81" s="794"/>
      <c r="BB81" s="794"/>
      <c r="BC81" s="794"/>
      <c r="BD81" s="794"/>
      <c r="BE81" s="794"/>
      <c r="BF81" s="794"/>
      <c r="BG81" s="794"/>
      <c r="BH81" s="794"/>
      <c r="BI81" s="794"/>
      <c r="BJ81" s="794"/>
      <c r="BK81" s="794"/>
      <c r="BL81" s="794"/>
      <c r="BM81" s="418"/>
      <c r="BN81" s="418"/>
    </row>
    <row r="82" spans="1:66" ht="15" customHeight="1">
      <c r="A82" s="413" t="s">
        <v>656</v>
      </c>
      <c r="B82" s="857" t="s">
        <v>6550</v>
      </c>
      <c r="C82" s="794"/>
      <c r="D82" s="794"/>
      <c r="E82" s="794"/>
      <c r="F82" s="794"/>
      <c r="G82" s="794"/>
      <c r="H82" s="794"/>
      <c r="I82" s="794"/>
      <c r="J82" s="794"/>
      <c r="K82" s="794"/>
      <c r="L82" s="794"/>
      <c r="M82" s="794"/>
      <c r="N82" s="794"/>
      <c r="O82" s="794"/>
      <c r="P82" s="794"/>
      <c r="Q82" s="794"/>
      <c r="R82" s="794"/>
      <c r="S82" s="794"/>
      <c r="T82" s="794"/>
      <c r="U82" s="794"/>
      <c r="V82" s="794"/>
      <c r="W82" s="794"/>
      <c r="X82" s="794"/>
      <c r="Y82" s="794"/>
      <c r="Z82" s="794"/>
      <c r="AA82" s="794"/>
      <c r="AB82" s="794"/>
      <c r="AC82" s="794"/>
      <c r="AD82" s="794"/>
      <c r="AE82" s="796"/>
      <c r="AF82" s="416">
        <f t="shared" ref="AF82:AG82" si="30">SUM(AF83:AF87)</f>
        <v>0</v>
      </c>
      <c r="AG82" s="416">
        <f t="shared" si="30"/>
        <v>0</v>
      </c>
      <c r="AH82" s="201" t="s">
        <v>848</v>
      </c>
      <c r="AI82" s="866" t="s">
        <v>6551</v>
      </c>
      <c r="AJ82" s="794"/>
      <c r="AK82" s="794"/>
      <c r="AL82" s="794"/>
      <c r="AM82" s="794"/>
      <c r="AN82" s="794"/>
      <c r="AO82" s="794"/>
      <c r="AP82" s="794"/>
      <c r="AQ82" s="794"/>
      <c r="AR82" s="794"/>
      <c r="AS82" s="794"/>
      <c r="AT82" s="794"/>
      <c r="AU82" s="794"/>
      <c r="AV82" s="794"/>
      <c r="AW82" s="794"/>
      <c r="AX82" s="794"/>
      <c r="AY82" s="794"/>
      <c r="AZ82" s="794"/>
      <c r="BA82" s="794"/>
      <c r="BB82" s="794"/>
      <c r="BC82" s="794"/>
      <c r="BD82" s="794"/>
      <c r="BE82" s="794"/>
      <c r="BF82" s="794"/>
      <c r="BG82" s="794"/>
      <c r="BH82" s="794"/>
      <c r="BI82" s="794"/>
      <c r="BJ82" s="794"/>
      <c r="BK82" s="794"/>
      <c r="BL82" s="794"/>
      <c r="BM82" s="416">
        <f t="shared" ref="BM82:BN82" si="31">SUM(BM83:BM85)</f>
        <v>70029434.019999996</v>
      </c>
      <c r="BN82" s="416">
        <f t="shared" si="31"/>
        <v>70029434.019999996</v>
      </c>
    </row>
    <row r="83" spans="1:66" ht="15" customHeight="1">
      <c r="A83" s="417" t="s">
        <v>658</v>
      </c>
      <c r="B83" s="854" t="s">
        <v>6552</v>
      </c>
      <c r="C83" s="794"/>
      <c r="D83" s="794"/>
      <c r="E83" s="794"/>
      <c r="F83" s="794"/>
      <c r="G83" s="794"/>
      <c r="H83" s="794"/>
      <c r="I83" s="794"/>
      <c r="J83" s="794"/>
      <c r="K83" s="794"/>
      <c r="L83" s="794"/>
      <c r="M83" s="794"/>
      <c r="N83" s="794"/>
      <c r="O83" s="794"/>
      <c r="P83" s="794"/>
      <c r="Q83" s="794"/>
      <c r="R83" s="794"/>
      <c r="S83" s="794"/>
      <c r="T83" s="794"/>
      <c r="U83" s="794"/>
      <c r="V83" s="794"/>
      <c r="W83" s="794"/>
      <c r="X83" s="794"/>
      <c r="Y83" s="794"/>
      <c r="Z83" s="794"/>
      <c r="AA83" s="794"/>
      <c r="AB83" s="794"/>
      <c r="AC83" s="794"/>
      <c r="AD83" s="794"/>
      <c r="AE83" s="796"/>
      <c r="AF83" s="418">
        <f>(Balanza!H79)*-1</f>
        <v>0</v>
      </c>
      <c r="AG83" s="418">
        <f>(Balanza!D79)*-1</f>
        <v>0</v>
      </c>
      <c r="AH83" s="422" t="s">
        <v>850</v>
      </c>
      <c r="AI83" s="854" t="s">
        <v>6553</v>
      </c>
      <c r="AJ83" s="794"/>
      <c r="AK83" s="794"/>
      <c r="AL83" s="794"/>
      <c r="AM83" s="794"/>
      <c r="AN83" s="794"/>
      <c r="AO83" s="794"/>
      <c r="AP83" s="794"/>
      <c r="AQ83" s="794"/>
      <c r="AR83" s="794"/>
      <c r="AS83" s="794"/>
      <c r="AT83" s="794"/>
      <c r="AU83" s="794"/>
      <c r="AV83" s="794"/>
      <c r="AW83" s="794"/>
      <c r="AX83" s="794"/>
      <c r="AY83" s="794"/>
      <c r="AZ83" s="794"/>
      <c r="BA83" s="794"/>
      <c r="BB83" s="794"/>
      <c r="BC83" s="794"/>
      <c r="BD83" s="794"/>
      <c r="BE83" s="794"/>
      <c r="BF83" s="794"/>
      <c r="BG83" s="794"/>
      <c r="BH83" s="794"/>
      <c r="BI83" s="794"/>
      <c r="BJ83" s="794"/>
      <c r="BK83" s="794"/>
      <c r="BL83" s="794"/>
      <c r="BM83" s="418">
        <f>Balanza!H175</f>
        <v>0</v>
      </c>
      <c r="BN83" s="418">
        <f>Balanza!D175</f>
        <v>0</v>
      </c>
    </row>
    <row r="84" spans="1:66" ht="15" customHeight="1">
      <c r="A84" s="417" t="s">
        <v>660</v>
      </c>
      <c r="B84" s="854" t="s">
        <v>6554</v>
      </c>
      <c r="C84" s="794"/>
      <c r="D84" s="794"/>
      <c r="E84" s="794"/>
      <c r="F84" s="794"/>
      <c r="G84" s="794"/>
      <c r="H84" s="794"/>
      <c r="I84" s="794"/>
      <c r="J84" s="794"/>
      <c r="K84" s="794"/>
      <c r="L84" s="794"/>
      <c r="M84" s="794"/>
      <c r="N84" s="794"/>
      <c r="O84" s="794"/>
      <c r="P84" s="794"/>
      <c r="Q84" s="794"/>
      <c r="R84" s="794"/>
      <c r="S84" s="794"/>
      <c r="T84" s="794"/>
      <c r="U84" s="794"/>
      <c r="V84" s="794"/>
      <c r="W84" s="794"/>
      <c r="X84" s="794"/>
      <c r="Y84" s="794"/>
      <c r="Z84" s="794"/>
      <c r="AA84" s="794"/>
      <c r="AB84" s="794"/>
      <c r="AC84" s="794"/>
      <c r="AD84" s="794"/>
      <c r="AE84" s="796"/>
      <c r="AF84" s="418">
        <f>(Balanza!H80)*-1</f>
        <v>0</v>
      </c>
      <c r="AG84" s="418">
        <f>(Balanza!D80)*-1</f>
        <v>0</v>
      </c>
      <c r="AH84" s="194" t="s">
        <v>852</v>
      </c>
      <c r="AI84" s="854" t="s">
        <v>6555</v>
      </c>
      <c r="AJ84" s="794"/>
      <c r="AK84" s="794"/>
      <c r="AL84" s="794"/>
      <c r="AM84" s="794"/>
      <c r="AN84" s="794"/>
      <c r="AO84" s="794"/>
      <c r="AP84" s="794"/>
      <c r="AQ84" s="794"/>
      <c r="AR84" s="794"/>
      <c r="AS84" s="794"/>
      <c r="AT84" s="794"/>
      <c r="AU84" s="794"/>
      <c r="AV84" s="794"/>
      <c r="AW84" s="794"/>
      <c r="AX84" s="794"/>
      <c r="AY84" s="794"/>
      <c r="AZ84" s="794"/>
      <c r="BA84" s="794"/>
      <c r="BB84" s="794"/>
      <c r="BC84" s="794"/>
      <c r="BD84" s="794"/>
      <c r="BE84" s="794"/>
      <c r="BF84" s="794"/>
      <c r="BG84" s="794"/>
      <c r="BH84" s="794"/>
      <c r="BI84" s="794"/>
      <c r="BJ84" s="794"/>
      <c r="BK84" s="794"/>
      <c r="BL84" s="794"/>
      <c r="BM84" s="418">
        <f>Balanza!H176</f>
        <v>0</v>
      </c>
      <c r="BN84" s="418">
        <f>Balanza!D176</f>
        <v>0</v>
      </c>
    </row>
    <row r="85" spans="1:66" ht="15" customHeight="1">
      <c r="A85" s="417" t="s">
        <v>662</v>
      </c>
      <c r="B85" s="854" t="s">
        <v>6556</v>
      </c>
      <c r="C85" s="794"/>
      <c r="D85" s="794"/>
      <c r="E85" s="794"/>
      <c r="F85" s="794"/>
      <c r="G85" s="794"/>
      <c r="H85" s="794"/>
      <c r="I85" s="794"/>
      <c r="J85" s="794"/>
      <c r="K85" s="794"/>
      <c r="L85" s="794"/>
      <c r="M85" s="794"/>
      <c r="N85" s="794"/>
      <c r="O85" s="794"/>
      <c r="P85" s="794"/>
      <c r="Q85" s="794"/>
      <c r="R85" s="794"/>
      <c r="S85" s="794"/>
      <c r="T85" s="794"/>
      <c r="U85" s="794"/>
      <c r="V85" s="794"/>
      <c r="W85" s="794"/>
      <c r="X85" s="794"/>
      <c r="Y85" s="794"/>
      <c r="Z85" s="794"/>
      <c r="AA85" s="794"/>
      <c r="AB85" s="794"/>
      <c r="AC85" s="794"/>
      <c r="AD85" s="794"/>
      <c r="AE85" s="796"/>
      <c r="AF85" s="418">
        <f>(Balanza!H81)*-1</f>
        <v>0</v>
      </c>
      <c r="AG85" s="418">
        <f>(Balanza!D81)*-1</f>
        <v>0</v>
      </c>
      <c r="AH85" s="194" t="s">
        <v>854</v>
      </c>
      <c r="AI85" s="854" t="s">
        <v>6557</v>
      </c>
      <c r="AJ85" s="794"/>
      <c r="AK85" s="794"/>
      <c r="AL85" s="794"/>
      <c r="AM85" s="794"/>
      <c r="AN85" s="794"/>
      <c r="AO85" s="794"/>
      <c r="AP85" s="794"/>
      <c r="AQ85" s="794"/>
      <c r="AR85" s="794"/>
      <c r="AS85" s="794"/>
      <c r="AT85" s="794"/>
      <c r="AU85" s="794"/>
      <c r="AV85" s="794"/>
      <c r="AW85" s="794"/>
      <c r="AX85" s="794"/>
      <c r="AY85" s="794"/>
      <c r="AZ85" s="794"/>
      <c r="BA85" s="794"/>
      <c r="BB85" s="794"/>
      <c r="BC85" s="794"/>
      <c r="BD85" s="794"/>
      <c r="BE85" s="794"/>
      <c r="BF85" s="794"/>
      <c r="BG85" s="794"/>
      <c r="BH85" s="794"/>
      <c r="BI85" s="794"/>
      <c r="BJ85" s="794"/>
      <c r="BK85" s="794"/>
      <c r="BL85" s="794"/>
      <c r="BM85" s="418">
        <f>Balanza!H177</f>
        <v>70029434.019999996</v>
      </c>
      <c r="BN85" s="418">
        <f>Balanza!D177</f>
        <v>70029434.019999996</v>
      </c>
    </row>
    <row r="86" spans="1:66" ht="15" customHeight="1">
      <c r="A86" s="417" t="s">
        <v>664</v>
      </c>
      <c r="B86" s="854" t="s">
        <v>6558</v>
      </c>
      <c r="C86" s="794"/>
      <c r="D86" s="794"/>
      <c r="E86" s="794"/>
      <c r="F86" s="794"/>
      <c r="G86" s="794"/>
      <c r="H86" s="794"/>
      <c r="I86" s="794"/>
      <c r="J86" s="794"/>
      <c r="K86" s="794"/>
      <c r="L86" s="794"/>
      <c r="M86" s="794"/>
      <c r="N86" s="794"/>
      <c r="O86" s="794"/>
      <c r="P86" s="794"/>
      <c r="Q86" s="794"/>
      <c r="R86" s="794"/>
      <c r="S86" s="794"/>
      <c r="T86" s="794"/>
      <c r="U86" s="794"/>
      <c r="V86" s="794"/>
      <c r="W86" s="794"/>
      <c r="X86" s="794"/>
      <c r="Y86" s="794"/>
      <c r="Z86" s="794"/>
      <c r="AA86" s="794"/>
      <c r="AB86" s="794"/>
      <c r="AC86" s="794"/>
      <c r="AD86" s="794"/>
      <c r="AE86" s="796"/>
      <c r="AF86" s="418">
        <f>(Balanza!H82)*-1</f>
        <v>0</v>
      </c>
      <c r="AG86" s="418">
        <f>(Balanza!D82)*-1</f>
        <v>0</v>
      </c>
      <c r="AH86" s="201" t="s">
        <v>856</v>
      </c>
      <c r="AI86" s="866" t="s">
        <v>6559</v>
      </c>
      <c r="AJ86" s="794"/>
      <c r="AK86" s="794"/>
      <c r="AL86" s="794"/>
      <c r="AM86" s="794"/>
      <c r="AN86" s="794"/>
      <c r="AO86" s="794"/>
      <c r="AP86" s="794"/>
      <c r="AQ86" s="794"/>
      <c r="AR86" s="794"/>
      <c r="AS86" s="794"/>
      <c r="AT86" s="794"/>
      <c r="AU86" s="794"/>
      <c r="AV86" s="794"/>
      <c r="AW86" s="794"/>
      <c r="AX86" s="794"/>
      <c r="AY86" s="794"/>
      <c r="AZ86" s="794"/>
      <c r="BA86" s="794"/>
      <c r="BB86" s="794"/>
      <c r="BC86" s="794"/>
      <c r="BD86" s="794"/>
      <c r="BE86" s="794"/>
      <c r="BF86" s="794"/>
      <c r="BG86" s="794"/>
      <c r="BH86" s="794"/>
      <c r="BI86" s="794"/>
      <c r="BJ86" s="794"/>
      <c r="BK86" s="794"/>
      <c r="BL86" s="794"/>
      <c r="BM86" s="416">
        <f t="shared" ref="BM86:BN86" si="32">BM87+BM88+BM89+BM94+BM98</f>
        <v>14431271881.73</v>
      </c>
      <c r="BN86" s="416">
        <f t="shared" si="32"/>
        <v>10276236872.530003</v>
      </c>
    </row>
    <row r="87" spans="1:66" ht="15" customHeight="1">
      <c r="A87" s="417" t="s">
        <v>666</v>
      </c>
      <c r="B87" s="854" t="s">
        <v>6560</v>
      </c>
      <c r="C87" s="794"/>
      <c r="D87" s="794"/>
      <c r="E87" s="794"/>
      <c r="F87" s="794"/>
      <c r="G87" s="794"/>
      <c r="H87" s="794"/>
      <c r="I87" s="794"/>
      <c r="J87" s="794"/>
      <c r="K87" s="794"/>
      <c r="L87" s="794"/>
      <c r="M87" s="794"/>
      <c r="N87" s="794"/>
      <c r="O87" s="794"/>
      <c r="P87" s="794"/>
      <c r="Q87" s="794"/>
      <c r="R87" s="794"/>
      <c r="S87" s="794"/>
      <c r="T87" s="794"/>
      <c r="U87" s="794"/>
      <c r="V87" s="794"/>
      <c r="W87" s="794"/>
      <c r="X87" s="794"/>
      <c r="Y87" s="794"/>
      <c r="Z87" s="794"/>
      <c r="AA87" s="794"/>
      <c r="AB87" s="794"/>
      <c r="AC87" s="794"/>
      <c r="AD87" s="794"/>
      <c r="AE87" s="796"/>
      <c r="AF87" s="418">
        <f>(Balanza!H83)*-1</f>
        <v>0</v>
      </c>
      <c r="AG87" s="418">
        <f>(Balanza!D83)*-1</f>
        <v>0</v>
      </c>
      <c r="AH87" s="194" t="s">
        <v>858</v>
      </c>
      <c r="AI87" s="854" t="s">
        <v>6561</v>
      </c>
      <c r="AJ87" s="794"/>
      <c r="AK87" s="794"/>
      <c r="AL87" s="794"/>
      <c r="AM87" s="794"/>
      <c r="AN87" s="794"/>
      <c r="AO87" s="794"/>
      <c r="AP87" s="794"/>
      <c r="AQ87" s="794"/>
      <c r="AR87" s="794"/>
      <c r="AS87" s="794"/>
      <c r="AT87" s="794"/>
      <c r="AU87" s="794"/>
      <c r="AV87" s="794"/>
      <c r="AW87" s="794"/>
      <c r="AX87" s="794"/>
      <c r="AY87" s="794"/>
      <c r="AZ87" s="794"/>
      <c r="BA87" s="794"/>
      <c r="BB87" s="794"/>
      <c r="BC87" s="794"/>
      <c r="BD87" s="794"/>
      <c r="BE87" s="794"/>
      <c r="BF87" s="794"/>
      <c r="BG87" s="794"/>
      <c r="BH87" s="794"/>
      <c r="BI87" s="794"/>
      <c r="BJ87" s="794"/>
      <c r="BK87" s="794"/>
      <c r="BL87" s="794"/>
      <c r="BM87" s="418">
        <f>Balanza!H179</f>
        <v>4179415006.9699998</v>
      </c>
      <c r="BN87" s="418">
        <f>Balanza!D179</f>
        <v>2121149963.2400017</v>
      </c>
    </row>
    <row r="88" spans="1:66" ht="15" customHeight="1">
      <c r="A88" s="413" t="s">
        <v>668</v>
      </c>
      <c r="B88" s="857" t="s">
        <v>6562</v>
      </c>
      <c r="C88" s="794"/>
      <c r="D88" s="794"/>
      <c r="E88" s="794"/>
      <c r="F88" s="794"/>
      <c r="G88" s="794"/>
      <c r="H88" s="794"/>
      <c r="I88" s="794"/>
      <c r="J88" s="794"/>
      <c r="K88" s="794"/>
      <c r="L88" s="794"/>
      <c r="M88" s="794"/>
      <c r="N88" s="794"/>
      <c r="O88" s="794"/>
      <c r="P88" s="794"/>
      <c r="Q88" s="794"/>
      <c r="R88" s="794"/>
      <c r="S88" s="794"/>
      <c r="T88" s="794"/>
      <c r="U88" s="794"/>
      <c r="V88" s="794"/>
      <c r="W88" s="794"/>
      <c r="X88" s="794"/>
      <c r="Y88" s="794"/>
      <c r="Z88" s="794"/>
      <c r="AA88" s="794"/>
      <c r="AB88" s="794"/>
      <c r="AC88" s="794"/>
      <c r="AD88" s="794"/>
      <c r="AE88" s="796"/>
      <c r="AF88" s="416">
        <f t="shared" ref="AF88:AG88" si="33">SUM(AF89:AF94)</f>
        <v>75624760.670000002</v>
      </c>
      <c r="AG88" s="416">
        <f t="shared" si="33"/>
        <v>75624760.670000002</v>
      </c>
      <c r="AH88" s="194" t="s">
        <v>860</v>
      </c>
      <c r="AI88" s="854" t="s">
        <v>6563</v>
      </c>
      <c r="AJ88" s="794"/>
      <c r="AK88" s="794"/>
      <c r="AL88" s="794"/>
      <c r="AM88" s="794"/>
      <c r="AN88" s="794"/>
      <c r="AO88" s="794"/>
      <c r="AP88" s="794"/>
      <c r="AQ88" s="794"/>
      <c r="AR88" s="794"/>
      <c r="AS88" s="794"/>
      <c r="AT88" s="794"/>
      <c r="AU88" s="794"/>
      <c r="AV88" s="794"/>
      <c r="AW88" s="794"/>
      <c r="AX88" s="794"/>
      <c r="AY88" s="794"/>
      <c r="AZ88" s="794"/>
      <c r="BA88" s="794"/>
      <c r="BB88" s="794"/>
      <c r="BC88" s="794"/>
      <c r="BD88" s="794"/>
      <c r="BE88" s="794"/>
      <c r="BF88" s="794"/>
      <c r="BG88" s="794"/>
      <c r="BH88" s="794"/>
      <c r="BI88" s="794"/>
      <c r="BJ88" s="794"/>
      <c r="BK88" s="794"/>
      <c r="BL88" s="794"/>
      <c r="BM88" s="418">
        <f>Balanza!H180</f>
        <v>10018584382.24</v>
      </c>
      <c r="BN88" s="418">
        <f>Balanza!D180</f>
        <v>7921795339.7700005</v>
      </c>
    </row>
    <row r="89" spans="1:66" ht="15" customHeight="1">
      <c r="A89" s="417" t="s">
        <v>670</v>
      </c>
      <c r="B89" s="854" t="s">
        <v>6564</v>
      </c>
      <c r="C89" s="794"/>
      <c r="D89" s="794"/>
      <c r="E89" s="794"/>
      <c r="F89" s="794"/>
      <c r="G89" s="794"/>
      <c r="H89" s="794"/>
      <c r="I89" s="794"/>
      <c r="J89" s="794"/>
      <c r="K89" s="794"/>
      <c r="L89" s="794"/>
      <c r="M89" s="794"/>
      <c r="N89" s="794"/>
      <c r="O89" s="794"/>
      <c r="P89" s="794"/>
      <c r="Q89" s="794"/>
      <c r="R89" s="794"/>
      <c r="S89" s="794"/>
      <c r="T89" s="794"/>
      <c r="U89" s="794"/>
      <c r="V89" s="794"/>
      <c r="W89" s="794"/>
      <c r="X89" s="794"/>
      <c r="Y89" s="794"/>
      <c r="Z89" s="794"/>
      <c r="AA89" s="794"/>
      <c r="AB89" s="794"/>
      <c r="AC89" s="794"/>
      <c r="AD89" s="794"/>
      <c r="AE89" s="796"/>
      <c r="AF89" s="418">
        <f>Balanza!G85</f>
        <v>35694322.07</v>
      </c>
      <c r="AG89" s="418">
        <f>Balanza!C85</f>
        <v>35694322.07</v>
      </c>
      <c r="AH89" s="201" t="s">
        <v>862</v>
      </c>
      <c r="AI89" s="866" t="s">
        <v>6565</v>
      </c>
      <c r="AJ89" s="794"/>
      <c r="AK89" s="794"/>
      <c r="AL89" s="794"/>
      <c r="AM89" s="794"/>
      <c r="AN89" s="794"/>
      <c r="AO89" s="794"/>
      <c r="AP89" s="794"/>
      <c r="AQ89" s="794"/>
      <c r="AR89" s="794"/>
      <c r="AS89" s="794"/>
      <c r="AT89" s="794"/>
      <c r="AU89" s="794"/>
      <c r="AV89" s="794"/>
      <c r="AW89" s="794"/>
      <c r="AX89" s="794"/>
      <c r="AY89" s="794"/>
      <c r="AZ89" s="794"/>
      <c r="BA89" s="794"/>
      <c r="BB89" s="794"/>
      <c r="BC89" s="794"/>
      <c r="BD89" s="794"/>
      <c r="BE89" s="794"/>
      <c r="BF89" s="794"/>
      <c r="BG89" s="794"/>
      <c r="BH89" s="794"/>
      <c r="BI89" s="794"/>
      <c r="BJ89" s="794"/>
      <c r="BK89" s="794"/>
      <c r="BL89" s="794"/>
      <c r="BM89" s="416">
        <f t="shared" ref="BM89:BN89" si="34">SUM(BM90:BM93)</f>
        <v>0</v>
      </c>
      <c r="BN89" s="416">
        <f t="shared" si="34"/>
        <v>0</v>
      </c>
    </row>
    <row r="90" spans="1:66" ht="15" customHeight="1">
      <c r="A90" s="417" t="s">
        <v>672</v>
      </c>
      <c r="B90" s="854" t="s">
        <v>6566</v>
      </c>
      <c r="C90" s="794"/>
      <c r="D90" s="794"/>
      <c r="E90" s="794"/>
      <c r="F90" s="794"/>
      <c r="G90" s="794"/>
      <c r="H90" s="794"/>
      <c r="I90" s="794"/>
      <c r="J90" s="794"/>
      <c r="K90" s="794"/>
      <c r="L90" s="794"/>
      <c r="M90" s="794"/>
      <c r="N90" s="794"/>
      <c r="O90" s="794"/>
      <c r="P90" s="794"/>
      <c r="Q90" s="794"/>
      <c r="R90" s="794"/>
      <c r="S90" s="794"/>
      <c r="T90" s="794"/>
      <c r="U90" s="794"/>
      <c r="V90" s="794"/>
      <c r="W90" s="794"/>
      <c r="X90" s="794"/>
      <c r="Y90" s="794"/>
      <c r="Z90" s="794"/>
      <c r="AA90" s="794"/>
      <c r="AB90" s="794"/>
      <c r="AC90" s="794"/>
      <c r="AD90" s="794"/>
      <c r="AE90" s="796"/>
      <c r="AF90" s="418">
        <f>Balanza!G86</f>
        <v>0</v>
      </c>
      <c r="AG90" s="418">
        <f>Balanza!C86</f>
        <v>0</v>
      </c>
      <c r="AH90" s="194" t="s">
        <v>864</v>
      </c>
      <c r="AI90" s="854" t="s">
        <v>6567</v>
      </c>
      <c r="AJ90" s="794"/>
      <c r="AK90" s="794"/>
      <c r="AL90" s="794"/>
      <c r="AM90" s="794"/>
      <c r="AN90" s="794"/>
      <c r="AO90" s="794"/>
      <c r="AP90" s="794"/>
      <c r="AQ90" s="794"/>
      <c r="AR90" s="794"/>
      <c r="AS90" s="794"/>
      <c r="AT90" s="794"/>
      <c r="AU90" s="794"/>
      <c r="AV90" s="794"/>
      <c r="AW90" s="794"/>
      <c r="AX90" s="794"/>
      <c r="AY90" s="794"/>
      <c r="AZ90" s="794"/>
      <c r="BA90" s="794"/>
      <c r="BB90" s="794"/>
      <c r="BC90" s="794"/>
      <c r="BD90" s="794"/>
      <c r="BE90" s="794"/>
      <c r="BF90" s="794"/>
      <c r="BG90" s="794"/>
      <c r="BH90" s="794"/>
      <c r="BI90" s="794"/>
      <c r="BJ90" s="794"/>
      <c r="BK90" s="794"/>
      <c r="BL90" s="794"/>
      <c r="BM90" s="418">
        <f>Balanza!H182</f>
        <v>0</v>
      </c>
      <c r="BN90" s="418">
        <f>Balanza!D182</f>
        <v>0</v>
      </c>
    </row>
    <row r="91" spans="1:66" ht="15" customHeight="1">
      <c r="A91" s="417" t="s">
        <v>674</v>
      </c>
      <c r="B91" s="854" t="s">
        <v>6568</v>
      </c>
      <c r="C91" s="794"/>
      <c r="D91" s="794"/>
      <c r="E91" s="794"/>
      <c r="F91" s="794"/>
      <c r="G91" s="794"/>
      <c r="H91" s="794"/>
      <c r="I91" s="794"/>
      <c r="J91" s="794"/>
      <c r="K91" s="794"/>
      <c r="L91" s="794"/>
      <c r="M91" s="794"/>
      <c r="N91" s="794"/>
      <c r="O91" s="794"/>
      <c r="P91" s="794"/>
      <c r="Q91" s="794"/>
      <c r="R91" s="794"/>
      <c r="S91" s="794"/>
      <c r="T91" s="794"/>
      <c r="U91" s="794"/>
      <c r="V91" s="794"/>
      <c r="W91" s="794"/>
      <c r="X91" s="794"/>
      <c r="Y91" s="794"/>
      <c r="Z91" s="794"/>
      <c r="AA91" s="794"/>
      <c r="AB91" s="794"/>
      <c r="AC91" s="794"/>
      <c r="AD91" s="794"/>
      <c r="AE91" s="796"/>
      <c r="AF91" s="418">
        <f>Balanza!G87</f>
        <v>0</v>
      </c>
      <c r="AG91" s="418">
        <f>Balanza!C87</f>
        <v>0</v>
      </c>
      <c r="AH91" s="194" t="s">
        <v>866</v>
      </c>
      <c r="AI91" s="854" t="s">
        <v>6569</v>
      </c>
      <c r="AJ91" s="794"/>
      <c r="AK91" s="794"/>
      <c r="AL91" s="794"/>
      <c r="AM91" s="794"/>
      <c r="AN91" s="794"/>
      <c r="AO91" s="794"/>
      <c r="AP91" s="794"/>
      <c r="AQ91" s="794"/>
      <c r="AR91" s="794"/>
      <c r="AS91" s="794"/>
      <c r="AT91" s="794"/>
      <c r="AU91" s="794"/>
      <c r="AV91" s="794"/>
      <c r="AW91" s="794"/>
      <c r="AX91" s="794"/>
      <c r="AY91" s="794"/>
      <c r="AZ91" s="794"/>
      <c r="BA91" s="794"/>
      <c r="BB91" s="794"/>
      <c r="BC91" s="794"/>
      <c r="BD91" s="794"/>
      <c r="BE91" s="794"/>
      <c r="BF91" s="794"/>
      <c r="BG91" s="794"/>
      <c r="BH91" s="794"/>
      <c r="BI91" s="794"/>
      <c r="BJ91" s="794"/>
      <c r="BK91" s="794"/>
      <c r="BL91" s="794"/>
      <c r="BM91" s="418">
        <f>Balanza!H183</f>
        <v>0</v>
      </c>
      <c r="BN91" s="418">
        <f>Balanza!D183</f>
        <v>0</v>
      </c>
    </row>
    <row r="92" spans="1:66" ht="15" customHeight="1">
      <c r="A92" s="417" t="s">
        <v>676</v>
      </c>
      <c r="B92" s="854" t="s">
        <v>6570</v>
      </c>
      <c r="C92" s="794"/>
      <c r="D92" s="794"/>
      <c r="E92" s="794"/>
      <c r="F92" s="794"/>
      <c r="G92" s="794"/>
      <c r="H92" s="794"/>
      <c r="I92" s="794"/>
      <c r="J92" s="794"/>
      <c r="K92" s="794"/>
      <c r="L92" s="794"/>
      <c r="M92" s="794"/>
      <c r="N92" s="794"/>
      <c r="O92" s="794"/>
      <c r="P92" s="794"/>
      <c r="Q92" s="794"/>
      <c r="R92" s="794"/>
      <c r="S92" s="794"/>
      <c r="T92" s="794"/>
      <c r="U92" s="794"/>
      <c r="V92" s="794"/>
      <c r="W92" s="794"/>
      <c r="X92" s="794"/>
      <c r="Y92" s="794"/>
      <c r="Z92" s="794"/>
      <c r="AA92" s="794"/>
      <c r="AB92" s="794"/>
      <c r="AC92" s="794"/>
      <c r="AD92" s="794"/>
      <c r="AE92" s="796"/>
      <c r="AF92" s="418">
        <f>Balanza!G88</f>
        <v>39930438.600000001</v>
      </c>
      <c r="AG92" s="418">
        <f>Balanza!C88</f>
        <v>39930438.600000001</v>
      </c>
      <c r="AH92" s="194" t="s">
        <v>868</v>
      </c>
      <c r="AI92" s="854" t="s">
        <v>6571</v>
      </c>
      <c r="AJ92" s="794"/>
      <c r="AK92" s="794"/>
      <c r="AL92" s="794"/>
      <c r="AM92" s="794"/>
      <c r="AN92" s="794"/>
      <c r="AO92" s="794"/>
      <c r="AP92" s="794"/>
      <c r="AQ92" s="794"/>
      <c r="AR92" s="794"/>
      <c r="AS92" s="794"/>
      <c r="AT92" s="794"/>
      <c r="AU92" s="794"/>
      <c r="AV92" s="794"/>
      <c r="AW92" s="794"/>
      <c r="AX92" s="794"/>
      <c r="AY92" s="794"/>
      <c r="AZ92" s="794"/>
      <c r="BA92" s="794"/>
      <c r="BB92" s="794"/>
      <c r="BC92" s="794"/>
      <c r="BD92" s="794"/>
      <c r="BE92" s="794"/>
      <c r="BF92" s="794"/>
      <c r="BG92" s="794"/>
      <c r="BH92" s="794"/>
      <c r="BI92" s="794"/>
      <c r="BJ92" s="794"/>
      <c r="BK92" s="794"/>
      <c r="BL92" s="794"/>
      <c r="BM92" s="418">
        <f>Balanza!H184</f>
        <v>0</v>
      </c>
      <c r="BN92" s="418">
        <f>Balanza!D184</f>
        <v>0</v>
      </c>
    </row>
    <row r="93" spans="1:66" ht="15" customHeight="1">
      <c r="A93" s="417" t="s">
        <v>678</v>
      </c>
      <c r="B93" s="854" t="s">
        <v>6572</v>
      </c>
      <c r="C93" s="794"/>
      <c r="D93" s="794"/>
      <c r="E93" s="794"/>
      <c r="F93" s="794"/>
      <c r="G93" s="794"/>
      <c r="H93" s="794"/>
      <c r="I93" s="794"/>
      <c r="J93" s="794"/>
      <c r="K93" s="794"/>
      <c r="L93" s="794"/>
      <c r="M93" s="794"/>
      <c r="N93" s="794"/>
      <c r="O93" s="794"/>
      <c r="P93" s="794"/>
      <c r="Q93" s="794"/>
      <c r="R93" s="794"/>
      <c r="S93" s="794"/>
      <c r="T93" s="794"/>
      <c r="U93" s="794"/>
      <c r="V93" s="794"/>
      <c r="W93" s="794"/>
      <c r="X93" s="794"/>
      <c r="Y93" s="794"/>
      <c r="Z93" s="794"/>
      <c r="AA93" s="794"/>
      <c r="AB93" s="794"/>
      <c r="AC93" s="794"/>
      <c r="AD93" s="794"/>
      <c r="AE93" s="796"/>
      <c r="AF93" s="418">
        <f>Balanza!G89</f>
        <v>0</v>
      </c>
      <c r="AG93" s="418">
        <f>Balanza!C89</f>
        <v>0</v>
      </c>
      <c r="AH93" s="194" t="s">
        <v>870</v>
      </c>
      <c r="AI93" s="854" t="s">
        <v>6573</v>
      </c>
      <c r="AJ93" s="794"/>
      <c r="AK93" s="794"/>
      <c r="AL93" s="794"/>
      <c r="AM93" s="794"/>
      <c r="AN93" s="794"/>
      <c r="AO93" s="794"/>
      <c r="AP93" s="794"/>
      <c r="AQ93" s="794"/>
      <c r="AR93" s="794"/>
      <c r="AS93" s="794"/>
      <c r="AT93" s="794"/>
      <c r="AU93" s="794"/>
      <c r="AV93" s="794"/>
      <c r="AW93" s="794"/>
      <c r="AX93" s="794"/>
      <c r="AY93" s="794"/>
      <c r="AZ93" s="794"/>
      <c r="BA93" s="794"/>
      <c r="BB93" s="794"/>
      <c r="BC93" s="794"/>
      <c r="BD93" s="794"/>
      <c r="BE93" s="794"/>
      <c r="BF93" s="794"/>
      <c r="BG93" s="794"/>
      <c r="BH93" s="794"/>
      <c r="BI93" s="794"/>
      <c r="BJ93" s="794"/>
      <c r="BK93" s="794"/>
      <c r="BL93" s="794"/>
      <c r="BM93" s="418">
        <f>Balanza!H185</f>
        <v>0</v>
      </c>
      <c r="BN93" s="418">
        <f>Balanza!D185</f>
        <v>0</v>
      </c>
    </row>
    <row r="94" spans="1:66" ht="15" customHeight="1">
      <c r="A94" s="417" t="s">
        <v>680</v>
      </c>
      <c r="B94" s="854" t="s">
        <v>6574</v>
      </c>
      <c r="C94" s="794"/>
      <c r="D94" s="794"/>
      <c r="E94" s="794"/>
      <c r="F94" s="794"/>
      <c r="G94" s="794"/>
      <c r="H94" s="794"/>
      <c r="I94" s="794"/>
      <c r="J94" s="794"/>
      <c r="K94" s="794"/>
      <c r="L94" s="794"/>
      <c r="M94" s="794"/>
      <c r="N94" s="794"/>
      <c r="O94" s="794"/>
      <c r="P94" s="794"/>
      <c r="Q94" s="794"/>
      <c r="R94" s="794"/>
      <c r="S94" s="794"/>
      <c r="T94" s="794"/>
      <c r="U94" s="794"/>
      <c r="V94" s="794"/>
      <c r="W94" s="794"/>
      <c r="X94" s="794"/>
      <c r="Y94" s="794"/>
      <c r="Z94" s="794"/>
      <c r="AA94" s="794"/>
      <c r="AB94" s="794"/>
      <c r="AC94" s="794"/>
      <c r="AD94" s="794"/>
      <c r="AE94" s="796"/>
      <c r="AF94" s="418">
        <f>Balanza!G90</f>
        <v>0</v>
      </c>
      <c r="AG94" s="418">
        <f>Balanza!C90</f>
        <v>0</v>
      </c>
      <c r="AH94" s="201" t="s">
        <v>872</v>
      </c>
      <c r="AI94" s="866" t="s">
        <v>6575</v>
      </c>
      <c r="AJ94" s="794"/>
      <c r="AK94" s="794"/>
      <c r="AL94" s="794"/>
      <c r="AM94" s="794"/>
      <c r="AN94" s="794"/>
      <c r="AO94" s="794"/>
      <c r="AP94" s="794"/>
      <c r="AQ94" s="794"/>
      <c r="AR94" s="794"/>
      <c r="AS94" s="794"/>
      <c r="AT94" s="794"/>
      <c r="AU94" s="794"/>
      <c r="AV94" s="794"/>
      <c r="AW94" s="794"/>
      <c r="AX94" s="794"/>
      <c r="AY94" s="794"/>
      <c r="AZ94" s="794"/>
      <c r="BA94" s="794"/>
      <c r="BB94" s="794"/>
      <c r="BC94" s="794"/>
      <c r="BD94" s="794"/>
      <c r="BE94" s="794"/>
      <c r="BF94" s="794"/>
      <c r="BG94" s="794"/>
      <c r="BH94" s="794"/>
      <c r="BI94" s="794"/>
      <c r="BJ94" s="794"/>
      <c r="BK94" s="794"/>
      <c r="BL94" s="794"/>
      <c r="BM94" s="416">
        <f t="shared" ref="BM94:BN94" si="35">SUM(BM95:BM97)</f>
        <v>0</v>
      </c>
      <c r="BN94" s="416">
        <f t="shared" si="35"/>
        <v>0</v>
      </c>
    </row>
    <row r="95" spans="1:66" ht="15" customHeight="1">
      <c r="A95" s="413" t="s">
        <v>682</v>
      </c>
      <c r="B95" s="857" t="s">
        <v>6576</v>
      </c>
      <c r="C95" s="794"/>
      <c r="D95" s="794"/>
      <c r="E95" s="794"/>
      <c r="F95" s="794"/>
      <c r="G95" s="794"/>
      <c r="H95" s="794"/>
      <c r="I95" s="794"/>
      <c r="J95" s="794"/>
      <c r="K95" s="794"/>
      <c r="L95" s="794"/>
      <c r="M95" s="794"/>
      <c r="N95" s="794"/>
      <c r="O95" s="794"/>
      <c r="P95" s="794"/>
      <c r="Q95" s="794"/>
      <c r="R95" s="794"/>
      <c r="S95" s="794"/>
      <c r="T95" s="794"/>
      <c r="U95" s="794"/>
      <c r="V95" s="794"/>
      <c r="W95" s="794"/>
      <c r="X95" s="794"/>
      <c r="Y95" s="794"/>
      <c r="Z95" s="794"/>
      <c r="AA95" s="794"/>
      <c r="AB95" s="794"/>
      <c r="AC95" s="794"/>
      <c r="AD95" s="794"/>
      <c r="AE95" s="796"/>
      <c r="AF95" s="416">
        <f t="shared" ref="AF95:AG95" si="36">SUM(AF96:AF100)</f>
        <v>0</v>
      </c>
      <c r="AG95" s="416">
        <f t="shared" si="36"/>
        <v>0</v>
      </c>
      <c r="AH95" s="194" t="s">
        <v>874</v>
      </c>
      <c r="AI95" s="854" t="s">
        <v>6577</v>
      </c>
      <c r="AJ95" s="794"/>
      <c r="AK95" s="794"/>
      <c r="AL95" s="794"/>
      <c r="AM95" s="794"/>
      <c r="AN95" s="794"/>
      <c r="AO95" s="794"/>
      <c r="AP95" s="794"/>
      <c r="AQ95" s="794"/>
      <c r="AR95" s="794"/>
      <c r="AS95" s="794"/>
      <c r="AT95" s="794"/>
      <c r="AU95" s="794"/>
      <c r="AV95" s="794"/>
      <c r="AW95" s="794"/>
      <c r="AX95" s="794"/>
      <c r="AY95" s="794"/>
      <c r="AZ95" s="794"/>
      <c r="BA95" s="794"/>
      <c r="BB95" s="794"/>
      <c r="BC95" s="794"/>
      <c r="BD95" s="794"/>
      <c r="BE95" s="794"/>
      <c r="BF95" s="794"/>
      <c r="BG95" s="794"/>
      <c r="BH95" s="794"/>
      <c r="BI95" s="794"/>
      <c r="BJ95" s="794"/>
      <c r="BK95" s="794"/>
      <c r="BL95" s="794"/>
      <c r="BM95" s="418">
        <f>Balanza!H187</f>
        <v>0</v>
      </c>
      <c r="BN95" s="418">
        <f>Balanza!D187</f>
        <v>0</v>
      </c>
    </row>
    <row r="96" spans="1:66" ht="15" customHeight="1">
      <c r="A96" s="417" t="s">
        <v>684</v>
      </c>
      <c r="B96" s="854" t="s">
        <v>6578</v>
      </c>
      <c r="C96" s="794"/>
      <c r="D96" s="794"/>
      <c r="E96" s="794"/>
      <c r="F96" s="794"/>
      <c r="G96" s="794"/>
      <c r="H96" s="794"/>
      <c r="I96" s="794"/>
      <c r="J96" s="794"/>
      <c r="K96" s="794"/>
      <c r="L96" s="794"/>
      <c r="M96" s="794"/>
      <c r="N96" s="794"/>
      <c r="O96" s="794"/>
      <c r="P96" s="794"/>
      <c r="Q96" s="794"/>
      <c r="R96" s="794"/>
      <c r="S96" s="794"/>
      <c r="T96" s="794"/>
      <c r="U96" s="794"/>
      <c r="V96" s="794"/>
      <c r="W96" s="794"/>
      <c r="X96" s="794"/>
      <c r="Y96" s="794"/>
      <c r="Z96" s="794"/>
      <c r="AA96" s="794"/>
      <c r="AB96" s="794"/>
      <c r="AC96" s="794"/>
      <c r="AD96" s="794"/>
      <c r="AE96" s="796"/>
      <c r="AF96" s="418">
        <f>(Balanza!H92)*-1</f>
        <v>0</v>
      </c>
      <c r="AG96" s="418">
        <f>(Balanza!D92)*-1</f>
        <v>0</v>
      </c>
      <c r="AH96" s="194" t="s">
        <v>876</v>
      </c>
      <c r="AI96" s="854" t="s">
        <v>6579</v>
      </c>
      <c r="AJ96" s="794"/>
      <c r="AK96" s="794"/>
      <c r="AL96" s="794"/>
      <c r="AM96" s="794"/>
      <c r="AN96" s="794"/>
      <c r="AO96" s="794"/>
      <c r="AP96" s="794"/>
      <c r="AQ96" s="794"/>
      <c r="AR96" s="794"/>
      <c r="AS96" s="794"/>
      <c r="AT96" s="794"/>
      <c r="AU96" s="794"/>
      <c r="AV96" s="794"/>
      <c r="AW96" s="794"/>
      <c r="AX96" s="794"/>
      <c r="AY96" s="794"/>
      <c r="AZ96" s="794"/>
      <c r="BA96" s="794"/>
      <c r="BB96" s="794"/>
      <c r="BC96" s="794"/>
      <c r="BD96" s="794"/>
      <c r="BE96" s="794"/>
      <c r="BF96" s="794"/>
      <c r="BG96" s="794"/>
      <c r="BH96" s="794"/>
      <c r="BI96" s="794"/>
      <c r="BJ96" s="794"/>
      <c r="BK96" s="794"/>
      <c r="BL96" s="794"/>
      <c r="BM96" s="418">
        <f>Balanza!H188</f>
        <v>0</v>
      </c>
      <c r="BN96" s="418">
        <f>Balanza!D188</f>
        <v>0</v>
      </c>
    </row>
    <row r="97" spans="1:66" ht="15" customHeight="1">
      <c r="A97" s="417" t="s">
        <v>686</v>
      </c>
      <c r="B97" s="854" t="s">
        <v>6580</v>
      </c>
      <c r="C97" s="794"/>
      <c r="D97" s="794"/>
      <c r="E97" s="794"/>
      <c r="F97" s="794"/>
      <c r="G97" s="794"/>
      <c r="H97" s="794"/>
      <c r="I97" s="794"/>
      <c r="J97" s="794"/>
      <c r="K97" s="794"/>
      <c r="L97" s="794"/>
      <c r="M97" s="794"/>
      <c r="N97" s="794"/>
      <c r="O97" s="794"/>
      <c r="P97" s="794"/>
      <c r="Q97" s="794"/>
      <c r="R97" s="794"/>
      <c r="S97" s="794"/>
      <c r="T97" s="794"/>
      <c r="U97" s="794"/>
      <c r="V97" s="794"/>
      <c r="W97" s="794"/>
      <c r="X97" s="794"/>
      <c r="Y97" s="794"/>
      <c r="Z97" s="794"/>
      <c r="AA97" s="794"/>
      <c r="AB97" s="794"/>
      <c r="AC97" s="794"/>
      <c r="AD97" s="794"/>
      <c r="AE97" s="796"/>
      <c r="AF97" s="418">
        <f>(Balanza!H93)*-1</f>
        <v>0</v>
      </c>
      <c r="AG97" s="418">
        <f>(Balanza!D93)*-1</f>
        <v>0</v>
      </c>
      <c r="AH97" s="194" t="s">
        <v>878</v>
      </c>
      <c r="AI97" s="854" t="s">
        <v>6581</v>
      </c>
      <c r="AJ97" s="794"/>
      <c r="AK97" s="794"/>
      <c r="AL97" s="794"/>
      <c r="AM97" s="794"/>
      <c r="AN97" s="794"/>
      <c r="AO97" s="794"/>
      <c r="AP97" s="794"/>
      <c r="AQ97" s="794"/>
      <c r="AR97" s="794"/>
      <c r="AS97" s="794"/>
      <c r="AT97" s="794"/>
      <c r="AU97" s="794"/>
      <c r="AV97" s="794"/>
      <c r="AW97" s="794"/>
      <c r="AX97" s="794"/>
      <c r="AY97" s="794"/>
      <c r="AZ97" s="794"/>
      <c r="BA97" s="794"/>
      <c r="BB97" s="794"/>
      <c r="BC97" s="794"/>
      <c r="BD97" s="794"/>
      <c r="BE97" s="794"/>
      <c r="BF97" s="794"/>
      <c r="BG97" s="794"/>
      <c r="BH97" s="794"/>
      <c r="BI97" s="794"/>
      <c r="BJ97" s="794"/>
      <c r="BK97" s="794"/>
      <c r="BL97" s="794"/>
      <c r="BM97" s="418">
        <f>Balanza!H189</f>
        <v>0</v>
      </c>
      <c r="BN97" s="418">
        <f>Balanza!D189</f>
        <v>0</v>
      </c>
    </row>
    <row r="98" spans="1:66" ht="15" customHeight="1">
      <c r="A98" s="417" t="s">
        <v>688</v>
      </c>
      <c r="B98" s="854" t="s">
        <v>6582</v>
      </c>
      <c r="C98" s="794"/>
      <c r="D98" s="794"/>
      <c r="E98" s="794"/>
      <c r="F98" s="794"/>
      <c r="G98" s="794"/>
      <c r="H98" s="794"/>
      <c r="I98" s="794"/>
      <c r="J98" s="794"/>
      <c r="K98" s="794"/>
      <c r="L98" s="794"/>
      <c r="M98" s="794"/>
      <c r="N98" s="794"/>
      <c r="O98" s="794"/>
      <c r="P98" s="794"/>
      <c r="Q98" s="794"/>
      <c r="R98" s="794"/>
      <c r="S98" s="794"/>
      <c r="T98" s="794"/>
      <c r="U98" s="794"/>
      <c r="V98" s="794"/>
      <c r="W98" s="794"/>
      <c r="X98" s="794"/>
      <c r="Y98" s="794"/>
      <c r="Z98" s="794"/>
      <c r="AA98" s="794"/>
      <c r="AB98" s="794"/>
      <c r="AC98" s="794"/>
      <c r="AD98" s="794"/>
      <c r="AE98" s="796"/>
      <c r="AF98" s="418">
        <f>(Balanza!H94)*-1</f>
        <v>0</v>
      </c>
      <c r="AG98" s="418">
        <f>(Balanza!D94)*-1</f>
        <v>0</v>
      </c>
      <c r="AH98" s="201" t="s">
        <v>880</v>
      </c>
      <c r="AI98" s="866" t="s">
        <v>6583</v>
      </c>
      <c r="AJ98" s="794"/>
      <c r="AK98" s="794"/>
      <c r="AL98" s="794"/>
      <c r="AM98" s="794"/>
      <c r="AN98" s="794"/>
      <c r="AO98" s="794"/>
      <c r="AP98" s="794"/>
      <c r="AQ98" s="794"/>
      <c r="AR98" s="794"/>
      <c r="AS98" s="794"/>
      <c r="AT98" s="794"/>
      <c r="AU98" s="794"/>
      <c r="AV98" s="794"/>
      <c r="AW98" s="794"/>
      <c r="AX98" s="794"/>
      <c r="AY98" s="794"/>
      <c r="AZ98" s="794"/>
      <c r="BA98" s="794"/>
      <c r="BB98" s="794"/>
      <c r="BC98" s="794"/>
      <c r="BD98" s="794"/>
      <c r="BE98" s="794"/>
      <c r="BF98" s="794"/>
      <c r="BG98" s="794"/>
      <c r="BH98" s="794"/>
      <c r="BI98" s="794"/>
      <c r="BJ98" s="794"/>
      <c r="BK98" s="794"/>
      <c r="BL98" s="794"/>
      <c r="BM98" s="416">
        <f t="shared" ref="BM98:BN98" si="37">SUM(BM99:BM101)</f>
        <v>233272492.52000001</v>
      </c>
      <c r="BN98" s="416">
        <f t="shared" si="37"/>
        <v>233291569.52000001</v>
      </c>
    </row>
    <row r="99" spans="1:66" ht="15" customHeight="1">
      <c r="A99" s="417" t="s">
        <v>690</v>
      </c>
      <c r="B99" s="854" t="s">
        <v>6584</v>
      </c>
      <c r="C99" s="794"/>
      <c r="D99" s="794"/>
      <c r="E99" s="794"/>
      <c r="F99" s="794"/>
      <c r="G99" s="794"/>
      <c r="H99" s="794"/>
      <c r="I99" s="794"/>
      <c r="J99" s="794"/>
      <c r="K99" s="794"/>
      <c r="L99" s="794"/>
      <c r="M99" s="794"/>
      <c r="N99" s="794"/>
      <c r="O99" s="794"/>
      <c r="P99" s="794"/>
      <c r="Q99" s="794"/>
      <c r="R99" s="794"/>
      <c r="S99" s="794"/>
      <c r="T99" s="794"/>
      <c r="U99" s="794"/>
      <c r="V99" s="794"/>
      <c r="W99" s="794"/>
      <c r="X99" s="794"/>
      <c r="Y99" s="794"/>
      <c r="Z99" s="794"/>
      <c r="AA99" s="794"/>
      <c r="AB99" s="794"/>
      <c r="AC99" s="794"/>
      <c r="AD99" s="794"/>
      <c r="AE99" s="796"/>
      <c r="AF99" s="418">
        <f>(Balanza!H95)*-1</f>
        <v>0</v>
      </c>
      <c r="AG99" s="418">
        <f>(Balanza!D95)*-1</f>
        <v>0</v>
      </c>
      <c r="AH99" s="194" t="s">
        <v>882</v>
      </c>
      <c r="AI99" s="854" t="s">
        <v>6585</v>
      </c>
      <c r="AJ99" s="794"/>
      <c r="AK99" s="794"/>
      <c r="AL99" s="794"/>
      <c r="AM99" s="794"/>
      <c r="AN99" s="794"/>
      <c r="AO99" s="794"/>
      <c r="AP99" s="794"/>
      <c r="AQ99" s="794"/>
      <c r="AR99" s="794"/>
      <c r="AS99" s="794"/>
      <c r="AT99" s="794"/>
      <c r="AU99" s="794"/>
      <c r="AV99" s="794"/>
      <c r="AW99" s="794"/>
      <c r="AX99" s="794"/>
      <c r="AY99" s="794"/>
      <c r="AZ99" s="794"/>
      <c r="BA99" s="794"/>
      <c r="BB99" s="794"/>
      <c r="BC99" s="794"/>
      <c r="BD99" s="794"/>
      <c r="BE99" s="794"/>
      <c r="BF99" s="794"/>
      <c r="BG99" s="794"/>
      <c r="BH99" s="794"/>
      <c r="BI99" s="794"/>
      <c r="BJ99" s="794"/>
      <c r="BK99" s="794"/>
      <c r="BL99" s="794"/>
      <c r="BM99" s="418">
        <f>Balanza!H191</f>
        <v>0</v>
      </c>
      <c r="BN99" s="418">
        <f>Balanza!D191</f>
        <v>0</v>
      </c>
    </row>
    <row r="100" spans="1:66" ht="15" customHeight="1">
      <c r="A100" s="417" t="s">
        <v>692</v>
      </c>
      <c r="B100" s="854" t="s">
        <v>6586</v>
      </c>
      <c r="C100" s="794"/>
      <c r="D100" s="794"/>
      <c r="E100" s="794"/>
      <c r="F100" s="794"/>
      <c r="G100" s="794"/>
      <c r="H100" s="794"/>
      <c r="I100" s="794"/>
      <c r="J100" s="794"/>
      <c r="K100" s="794"/>
      <c r="L100" s="794"/>
      <c r="M100" s="794"/>
      <c r="N100" s="794"/>
      <c r="O100" s="794"/>
      <c r="P100" s="794"/>
      <c r="Q100" s="794"/>
      <c r="R100" s="794"/>
      <c r="S100" s="794"/>
      <c r="T100" s="794"/>
      <c r="U100" s="794"/>
      <c r="V100" s="794"/>
      <c r="W100" s="794"/>
      <c r="X100" s="794"/>
      <c r="Y100" s="794"/>
      <c r="Z100" s="794"/>
      <c r="AA100" s="794"/>
      <c r="AB100" s="794"/>
      <c r="AC100" s="794"/>
      <c r="AD100" s="794"/>
      <c r="AE100" s="796"/>
      <c r="AF100" s="418">
        <f>(Balanza!H96)*-1</f>
        <v>0</v>
      </c>
      <c r="AG100" s="418">
        <f>(Balanza!D96)*-1</f>
        <v>0</v>
      </c>
      <c r="AH100" s="194" t="s">
        <v>884</v>
      </c>
      <c r="AI100" s="854" t="s">
        <v>6587</v>
      </c>
      <c r="AJ100" s="794"/>
      <c r="AK100" s="794"/>
      <c r="AL100" s="794"/>
      <c r="AM100" s="794"/>
      <c r="AN100" s="794"/>
      <c r="AO100" s="794"/>
      <c r="AP100" s="794"/>
      <c r="AQ100" s="794"/>
      <c r="AR100" s="794"/>
      <c r="AS100" s="794"/>
      <c r="AT100" s="794"/>
      <c r="AU100" s="794"/>
      <c r="AV100" s="794"/>
      <c r="AW100" s="794"/>
      <c r="AX100" s="794"/>
      <c r="AY100" s="794"/>
      <c r="AZ100" s="794"/>
      <c r="BA100" s="794"/>
      <c r="BB100" s="794"/>
      <c r="BC100" s="794"/>
      <c r="BD100" s="794"/>
      <c r="BE100" s="794"/>
      <c r="BF100" s="794"/>
      <c r="BG100" s="794"/>
      <c r="BH100" s="794"/>
      <c r="BI100" s="794"/>
      <c r="BJ100" s="794"/>
      <c r="BK100" s="794"/>
      <c r="BL100" s="794"/>
      <c r="BM100" s="418">
        <f>Balanza!H192</f>
        <v>233272492.52000001</v>
      </c>
      <c r="BN100" s="418">
        <f>Balanza!D192</f>
        <v>233291569.52000001</v>
      </c>
    </row>
    <row r="101" spans="1:66" ht="15" customHeight="1">
      <c r="A101" s="413" t="s">
        <v>694</v>
      </c>
      <c r="B101" s="857" t="s">
        <v>6588</v>
      </c>
      <c r="C101" s="794"/>
      <c r="D101" s="794"/>
      <c r="E101" s="794"/>
      <c r="F101" s="794"/>
      <c r="G101" s="794"/>
      <c r="H101" s="794"/>
      <c r="I101" s="794"/>
      <c r="J101" s="794"/>
      <c r="K101" s="794"/>
      <c r="L101" s="794"/>
      <c r="M101" s="794"/>
      <c r="N101" s="794"/>
      <c r="O101" s="794"/>
      <c r="P101" s="794"/>
      <c r="Q101" s="794"/>
      <c r="R101" s="794"/>
      <c r="S101" s="794"/>
      <c r="T101" s="794"/>
      <c r="U101" s="794"/>
      <c r="V101" s="794"/>
      <c r="W101" s="794"/>
      <c r="X101" s="794"/>
      <c r="Y101" s="794"/>
      <c r="Z101" s="794"/>
      <c r="AA101" s="794"/>
      <c r="AB101" s="794"/>
      <c r="AC101" s="794"/>
      <c r="AD101" s="794"/>
      <c r="AE101" s="796"/>
      <c r="AF101" s="416">
        <f t="shared" ref="AF101:AG101" si="38">SUM(AF102:AF104)</f>
        <v>1040586.75</v>
      </c>
      <c r="AG101" s="416">
        <f t="shared" si="38"/>
        <v>1040586.75</v>
      </c>
      <c r="AH101" s="427">
        <v>32530</v>
      </c>
      <c r="AI101" s="854" t="s">
        <v>6589</v>
      </c>
      <c r="AJ101" s="794"/>
      <c r="AK101" s="794"/>
      <c r="AL101" s="794"/>
      <c r="AM101" s="794"/>
      <c r="AN101" s="794"/>
      <c r="AO101" s="794"/>
      <c r="AP101" s="794"/>
      <c r="AQ101" s="794"/>
      <c r="AR101" s="794"/>
      <c r="AS101" s="794"/>
      <c r="AT101" s="794"/>
      <c r="AU101" s="794"/>
      <c r="AV101" s="794"/>
      <c r="AW101" s="794"/>
      <c r="AX101" s="794"/>
      <c r="AY101" s="794"/>
      <c r="AZ101" s="794"/>
      <c r="BA101" s="794"/>
      <c r="BB101" s="794"/>
      <c r="BC101" s="794"/>
      <c r="BD101" s="794"/>
      <c r="BE101" s="794"/>
      <c r="BF101" s="794"/>
      <c r="BG101" s="794"/>
      <c r="BH101" s="794"/>
      <c r="BI101" s="794"/>
      <c r="BJ101" s="794"/>
      <c r="BK101" s="794"/>
      <c r="BL101" s="794"/>
      <c r="BM101" s="418">
        <f>Balanza!H193</f>
        <v>0</v>
      </c>
      <c r="BN101" s="418">
        <f>Balanza!D193</f>
        <v>0</v>
      </c>
    </row>
    <row r="102" spans="1:66" ht="15" customHeight="1">
      <c r="A102" s="417" t="s">
        <v>696</v>
      </c>
      <c r="B102" s="854" t="s">
        <v>6590</v>
      </c>
      <c r="C102" s="794"/>
      <c r="D102" s="794"/>
      <c r="E102" s="794"/>
      <c r="F102" s="794"/>
      <c r="G102" s="794"/>
      <c r="H102" s="794"/>
      <c r="I102" s="794"/>
      <c r="J102" s="794"/>
      <c r="K102" s="794"/>
      <c r="L102" s="794"/>
      <c r="M102" s="794"/>
      <c r="N102" s="794"/>
      <c r="O102" s="794"/>
      <c r="P102" s="794"/>
      <c r="Q102" s="794"/>
      <c r="R102" s="794"/>
      <c r="S102" s="794"/>
      <c r="T102" s="794"/>
      <c r="U102" s="794"/>
      <c r="V102" s="794"/>
      <c r="W102" s="794"/>
      <c r="X102" s="794"/>
      <c r="Y102" s="794"/>
      <c r="Z102" s="794"/>
      <c r="AA102" s="794"/>
      <c r="AB102" s="794"/>
      <c r="AC102" s="794"/>
      <c r="AD102" s="794"/>
      <c r="AE102" s="796"/>
      <c r="AF102" s="418">
        <f>Balanza!G98</f>
        <v>0</v>
      </c>
      <c r="AG102" s="418">
        <f>Balanza!C98</f>
        <v>0</v>
      </c>
      <c r="AH102" s="428" t="s">
        <v>887</v>
      </c>
      <c r="AI102" s="866" t="s">
        <v>6591</v>
      </c>
      <c r="AJ102" s="794"/>
      <c r="AK102" s="794"/>
      <c r="AL102" s="794"/>
      <c r="AM102" s="794"/>
      <c r="AN102" s="794"/>
      <c r="AO102" s="794"/>
      <c r="AP102" s="794"/>
      <c r="AQ102" s="794"/>
      <c r="AR102" s="794"/>
      <c r="AS102" s="794"/>
      <c r="AT102" s="794"/>
      <c r="AU102" s="794"/>
      <c r="AV102" s="794"/>
      <c r="AW102" s="794"/>
      <c r="AX102" s="794"/>
      <c r="AY102" s="794"/>
      <c r="AZ102" s="794"/>
      <c r="BA102" s="794"/>
      <c r="BB102" s="794"/>
      <c r="BC102" s="794"/>
      <c r="BD102" s="794"/>
      <c r="BE102" s="794"/>
      <c r="BF102" s="794"/>
      <c r="BG102" s="794"/>
      <c r="BH102" s="794"/>
      <c r="BI102" s="794"/>
      <c r="BJ102" s="794"/>
      <c r="BK102" s="794"/>
      <c r="BL102" s="794"/>
      <c r="BM102" s="416">
        <f t="shared" ref="BM102:BN102" si="39">SUM(BM103:BM104)</f>
        <v>1229456417.52</v>
      </c>
      <c r="BN102" s="416">
        <f t="shared" si="39"/>
        <v>1229456417.52</v>
      </c>
    </row>
    <row r="103" spans="1:66" ht="15" customHeight="1">
      <c r="A103" s="417" t="s">
        <v>698</v>
      </c>
      <c r="B103" s="854" t="s">
        <v>6592</v>
      </c>
      <c r="C103" s="794"/>
      <c r="D103" s="794"/>
      <c r="E103" s="794"/>
      <c r="F103" s="794"/>
      <c r="G103" s="794"/>
      <c r="H103" s="794"/>
      <c r="I103" s="794"/>
      <c r="J103" s="794"/>
      <c r="K103" s="794"/>
      <c r="L103" s="794"/>
      <c r="M103" s="794"/>
      <c r="N103" s="794"/>
      <c r="O103" s="794"/>
      <c r="P103" s="794"/>
      <c r="Q103" s="794"/>
      <c r="R103" s="794"/>
      <c r="S103" s="794"/>
      <c r="T103" s="794"/>
      <c r="U103" s="794"/>
      <c r="V103" s="794"/>
      <c r="W103" s="794"/>
      <c r="X103" s="794"/>
      <c r="Y103" s="794"/>
      <c r="Z103" s="794"/>
      <c r="AA103" s="794"/>
      <c r="AB103" s="794"/>
      <c r="AC103" s="794"/>
      <c r="AD103" s="794"/>
      <c r="AE103" s="796"/>
      <c r="AF103" s="418">
        <f>Balanza!G99</f>
        <v>0</v>
      </c>
      <c r="AG103" s="418">
        <f>Balanza!C99</f>
        <v>0</v>
      </c>
      <c r="AH103" s="429" t="s">
        <v>889</v>
      </c>
      <c r="AI103" s="854" t="s">
        <v>6593</v>
      </c>
      <c r="AJ103" s="794"/>
      <c r="AK103" s="794"/>
      <c r="AL103" s="794"/>
      <c r="AM103" s="794"/>
      <c r="AN103" s="794"/>
      <c r="AO103" s="794"/>
      <c r="AP103" s="794"/>
      <c r="AQ103" s="794"/>
      <c r="AR103" s="794"/>
      <c r="AS103" s="794"/>
      <c r="AT103" s="794"/>
      <c r="AU103" s="794"/>
      <c r="AV103" s="794"/>
      <c r="AW103" s="794"/>
      <c r="AX103" s="794"/>
      <c r="AY103" s="794"/>
      <c r="AZ103" s="794"/>
      <c r="BA103" s="794"/>
      <c r="BB103" s="794"/>
      <c r="BC103" s="794"/>
      <c r="BD103" s="794"/>
      <c r="BE103" s="794"/>
      <c r="BF103" s="794"/>
      <c r="BG103" s="794"/>
      <c r="BH103" s="794"/>
      <c r="BI103" s="794"/>
      <c r="BJ103" s="794"/>
      <c r="BK103" s="794"/>
      <c r="BL103" s="794"/>
      <c r="BM103" s="418">
        <f>Balanza!H195</f>
        <v>0</v>
      </c>
      <c r="BN103" s="418">
        <f>Balanza!D195</f>
        <v>0</v>
      </c>
    </row>
    <row r="104" spans="1:66" ht="15" customHeight="1">
      <c r="A104" s="417" t="s">
        <v>700</v>
      </c>
      <c r="B104" s="854" t="s">
        <v>6594</v>
      </c>
      <c r="C104" s="794"/>
      <c r="D104" s="794"/>
      <c r="E104" s="794"/>
      <c r="F104" s="794"/>
      <c r="G104" s="794"/>
      <c r="H104" s="794"/>
      <c r="I104" s="794"/>
      <c r="J104" s="794"/>
      <c r="K104" s="794"/>
      <c r="L104" s="794"/>
      <c r="M104" s="794"/>
      <c r="N104" s="794"/>
      <c r="O104" s="794"/>
      <c r="P104" s="794"/>
      <c r="Q104" s="794"/>
      <c r="R104" s="794"/>
      <c r="S104" s="794"/>
      <c r="T104" s="794"/>
      <c r="U104" s="794"/>
      <c r="V104" s="794"/>
      <c r="W104" s="794"/>
      <c r="X104" s="794"/>
      <c r="Y104" s="794"/>
      <c r="Z104" s="794"/>
      <c r="AA104" s="794"/>
      <c r="AB104" s="794"/>
      <c r="AC104" s="794"/>
      <c r="AD104" s="794"/>
      <c r="AE104" s="796"/>
      <c r="AF104" s="419">
        <f>Balanza!G100</f>
        <v>1040586.75</v>
      </c>
      <c r="AG104" s="419">
        <f>Balanza!C100</f>
        <v>1040586.75</v>
      </c>
      <c r="AH104" s="429" t="s">
        <v>891</v>
      </c>
      <c r="AI104" s="854" t="s">
        <v>6595</v>
      </c>
      <c r="AJ104" s="794"/>
      <c r="AK104" s="794"/>
      <c r="AL104" s="794"/>
      <c r="AM104" s="794"/>
      <c r="AN104" s="794"/>
      <c r="AO104" s="794"/>
      <c r="AP104" s="794"/>
      <c r="AQ104" s="794"/>
      <c r="AR104" s="794"/>
      <c r="AS104" s="794"/>
      <c r="AT104" s="794"/>
      <c r="AU104" s="794"/>
      <c r="AV104" s="794"/>
      <c r="AW104" s="794"/>
      <c r="AX104" s="794"/>
      <c r="AY104" s="794"/>
      <c r="AZ104" s="794"/>
      <c r="BA104" s="794"/>
      <c r="BB104" s="794"/>
      <c r="BC104" s="794"/>
      <c r="BD104" s="794"/>
      <c r="BE104" s="794"/>
      <c r="BF104" s="794"/>
      <c r="BG104" s="794"/>
      <c r="BH104" s="794"/>
      <c r="BI104" s="794"/>
      <c r="BJ104" s="794"/>
      <c r="BK104" s="794"/>
      <c r="BL104" s="794"/>
      <c r="BM104" s="418">
        <f>Balanza!H196</f>
        <v>1229456417.52</v>
      </c>
      <c r="BN104" s="418">
        <f>Balanza!D196</f>
        <v>1229456417.52</v>
      </c>
    </row>
    <row r="105" spans="1:66" ht="15" customHeight="1">
      <c r="A105" s="430"/>
      <c r="B105" s="858" t="s">
        <v>6596</v>
      </c>
      <c r="C105" s="859"/>
      <c r="D105" s="859"/>
      <c r="E105" s="859"/>
      <c r="F105" s="859"/>
      <c r="G105" s="859"/>
      <c r="H105" s="859"/>
      <c r="I105" s="859"/>
      <c r="J105" s="859"/>
      <c r="K105" s="859"/>
      <c r="L105" s="859"/>
      <c r="M105" s="859"/>
      <c r="N105" s="859"/>
      <c r="O105" s="859"/>
      <c r="P105" s="859"/>
      <c r="Q105" s="859"/>
      <c r="R105" s="859"/>
      <c r="S105" s="859"/>
      <c r="T105" s="859"/>
      <c r="U105" s="859"/>
      <c r="V105" s="859"/>
      <c r="W105" s="859"/>
      <c r="X105" s="859"/>
      <c r="Y105" s="859"/>
      <c r="Z105" s="859"/>
      <c r="AA105" s="859"/>
      <c r="AB105" s="859"/>
      <c r="AC105" s="859"/>
      <c r="AD105" s="859"/>
      <c r="AE105" s="860"/>
      <c r="AF105" s="431">
        <f t="shared" ref="AF105:AG105" si="40">AF48+AF53+AF59+AF67+AF76+AF82+AF88+AF95+AF101</f>
        <v>14015789277.98</v>
      </c>
      <c r="AG105" s="431">
        <f t="shared" si="40"/>
        <v>13378563430.84</v>
      </c>
      <c r="AH105" s="432"/>
      <c r="AI105" s="433"/>
      <c r="AJ105" s="434"/>
      <c r="AK105" s="434"/>
      <c r="AL105" s="434"/>
      <c r="AM105" s="434"/>
      <c r="AN105" s="434"/>
      <c r="AO105" s="434"/>
      <c r="AP105" s="434"/>
      <c r="AQ105" s="434"/>
      <c r="AR105" s="434"/>
      <c r="AS105" s="434"/>
      <c r="AT105" s="434"/>
      <c r="AU105" s="434"/>
      <c r="AV105" s="434"/>
      <c r="AW105" s="434"/>
      <c r="AX105" s="434"/>
      <c r="AY105" s="434"/>
      <c r="AZ105" s="434"/>
      <c r="BA105" s="434"/>
      <c r="BB105" s="434"/>
      <c r="BC105" s="434"/>
      <c r="BD105" s="434"/>
      <c r="BE105" s="434"/>
      <c r="BF105" s="434"/>
      <c r="BG105" s="434"/>
      <c r="BH105" s="434"/>
      <c r="BI105" s="434"/>
      <c r="BJ105" s="434"/>
      <c r="BK105" s="434"/>
      <c r="BL105" s="435" t="s">
        <v>6597</v>
      </c>
      <c r="BM105" s="436">
        <f t="shared" ref="BM105:BN105" si="41">BM82+BM86+BM102</f>
        <v>15730757733.27</v>
      </c>
      <c r="BN105" s="436">
        <f t="shared" si="41"/>
        <v>11575722724.070004</v>
      </c>
    </row>
    <row r="106" spans="1:66" ht="15" customHeight="1">
      <c r="A106" s="437"/>
      <c r="B106" s="861" t="s">
        <v>6598</v>
      </c>
      <c r="C106" s="862"/>
      <c r="D106" s="862"/>
      <c r="E106" s="862"/>
      <c r="F106" s="862"/>
      <c r="G106" s="862"/>
      <c r="H106" s="862"/>
      <c r="I106" s="862"/>
      <c r="J106" s="862"/>
      <c r="K106" s="862"/>
      <c r="L106" s="862"/>
      <c r="M106" s="862"/>
      <c r="N106" s="862"/>
      <c r="O106" s="862"/>
      <c r="P106" s="862"/>
      <c r="Q106" s="862"/>
      <c r="R106" s="862"/>
      <c r="S106" s="862"/>
      <c r="T106" s="862"/>
      <c r="U106" s="862"/>
      <c r="V106" s="862"/>
      <c r="W106" s="862"/>
      <c r="X106" s="862"/>
      <c r="Y106" s="862"/>
      <c r="Z106" s="862"/>
      <c r="AA106" s="862"/>
      <c r="AB106" s="862"/>
      <c r="AC106" s="862"/>
      <c r="AD106" s="862"/>
      <c r="AE106" s="863"/>
      <c r="AF106" s="438">
        <f t="shared" ref="AF106:AG106" si="42">AF46+AF105</f>
        <v>17046041501.34</v>
      </c>
      <c r="AG106" s="438">
        <f t="shared" si="42"/>
        <v>13636481384.42</v>
      </c>
      <c r="AH106" s="439"/>
      <c r="AI106" s="861" t="s">
        <v>6599</v>
      </c>
      <c r="AJ106" s="862"/>
      <c r="AK106" s="862"/>
      <c r="AL106" s="862"/>
      <c r="AM106" s="862"/>
      <c r="AN106" s="862"/>
      <c r="AO106" s="862"/>
      <c r="AP106" s="862"/>
      <c r="AQ106" s="862"/>
      <c r="AR106" s="862"/>
      <c r="AS106" s="862"/>
      <c r="AT106" s="862"/>
      <c r="AU106" s="862"/>
      <c r="AV106" s="862"/>
      <c r="AW106" s="862"/>
      <c r="AX106" s="862"/>
      <c r="AY106" s="862"/>
      <c r="AZ106" s="862"/>
      <c r="BA106" s="862"/>
      <c r="BB106" s="862"/>
      <c r="BC106" s="862"/>
      <c r="BD106" s="862"/>
      <c r="BE106" s="862"/>
      <c r="BF106" s="862"/>
      <c r="BG106" s="862"/>
      <c r="BH106" s="862"/>
      <c r="BI106" s="862"/>
      <c r="BJ106" s="862"/>
      <c r="BK106" s="862"/>
      <c r="BL106" s="863"/>
      <c r="BM106" s="440">
        <f t="shared" ref="BM106:BN106" si="43">BM80+BM105</f>
        <v>17046041501.34</v>
      </c>
      <c r="BN106" s="440">
        <f t="shared" si="43"/>
        <v>13636481384.420004</v>
      </c>
    </row>
    <row r="107" spans="1:66" ht="15" customHeight="1">
      <c r="A107" s="441"/>
      <c r="B107" s="864"/>
      <c r="C107" s="793"/>
      <c r="D107" s="793"/>
      <c r="E107" s="793"/>
      <c r="F107" s="793"/>
      <c r="G107" s="793"/>
      <c r="H107" s="793"/>
      <c r="I107" s="793"/>
      <c r="J107" s="793"/>
      <c r="K107" s="793"/>
      <c r="L107" s="793"/>
      <c r="M107" s="793"/>
      <c r="N107" s="793"/>
      <c r="O107" s="793"/>
      <c r="P107" s="793"/>
      <c r="Q107" s="793"/>
      <c r="R107" s="793"/>
      <c r="S107" s="793"/>
      <c r="T107" s="793"/>
      <c r="U107" s="793"/>
      <c r="V107" s="793"/>
      <c r="W107" s="793"/>
      <c r="X107" s="793"/>
      <c r="Y107" s="793"/>
      <c r="Z107" s="793"/>
      <c r="AA107" s="793"/>
      <c r="AB107" s="793"/>
      <c r="AC107" s="793"/>
      <c r="AD107" s="793"/>
      <c r="AE107" s="780"/>
      <c r="AF107" s="442"/>
      <c r="AG107" s="442"/>
      <c r="AH107" s="443"/>
      <c r="AI107" s="864"/>
      <c r="AJ107" s="793"/>
      <c r="AK107" s="793"/>
      <c r="AL107" s="793"/>
      <c r="AM107" s="793"/>
      <c r="AN107" s="793"/>
      <c r="AO107" s="793"/>
      <c r="AP107" s="793"/>
      <c r="AQ107" s="793"/>
      <c r="AR107" s="793"/>
      <c r="AS107" s="793"/>
      <c r="AT107" s="793"/>
      <c r="AU107" s="793"/>
      <c r="AV107" s="793"/>
      <c r="AW107" s="793"/>
      <c r="AX107" s="793"/>
      <c r="AY107" s="793"/>
      <c r="AZ107" s="793"/>
      <c r="BA107" s="793"/>
      <c r="BB107" s="793"/>
      <c r="BC107" s="793"/>
      <c r="BD107" s="793"/>
      <c r="BE107" s="793"/>
      <c r="BF107" s="793"/>
      <c r="BG107" s="793"/>
      <c r="BH107" s="793"/>
      <c r="BI107" s="793"/>
      <c r="BJ107" s="793"/>
      <c r="BK107" s="793"/>
      <c r="BL107" s="780"/>
      <c r="BM107" s="444"/>
      <c r="BN107" s="445"/>
    </row>
    <row r="108" spans="1:66" ht="15" customHeight="1">
      <c r="A108" s="446"/>
      <c r="B108" s="447"/>
      <c r="C108" s="447"/>
      <c r="D108" s="447"/>
      <c r="E108" s="447"/>
      <c r="F108" s="447"/>
      <c r="G108" s="447"/>
      <c r="H108" s="447"/>
      <c r="I108" s="447"/>
      <c r="J108" s="447"/>
      <c r="K108" s="447"/>
      <c r="L108" s="447"/>
      <c r="M108" s="447"/>
      <c r="N108" s="447"/>
      <c r="O108" s="447"/>
      <c r="P108" s="447"/>
      <c r="Q108" s="447"/>
      <c r="R108" s="447"/>
      <c r="S108" s="447"/>
      <c r="T108" s="447"/>
      <c r="U108" s="447"/>
      <c r="V108" s="447"/>
      <c r="W108" s="447"/>
      <c r="X108" s="447"/>
      <c r="Y108" s="447"/>
      <c r="Z108" s="447"/>
      <c r="AA108" s="447"/>
      <c r="AB108" s="447"/>
      <c r="AC108" s="447"/>
      <c r="AD108" s="447"/>
      <c r="AE108" s="447"/>
      <c r="AF108" s="448"/>
      <c r="AG108" s="448"/>
      <c r="AH108" s="449"/>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347"/>
      <c r="BN108" s="448"/>
    </row>
    <row r="109" spans="1:66" ht="15" customHeight="1">
      <c r="A109" s="450"/>
      <c r="B109" s="308" t="s">
        <v>6600</v>
      </c>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448"/>
      <c r="AG109" s="448"/>
      <c r="AH109" s="449"/>
      <c r="AI109" s="447"/>
      <c r="AJ109" s="447"/>
      <c r="AK109" s="447"/>
      <c r="AL109" s="447"/>
      <c r="AM109" s="447"/>
      <c r="AN109" s="447"/>
      <c r="AO109" s="447"/>
      <c r="AP109" s="447"/>
      <c r="AQ109" s="447"/>
      <c r="AR109" s="447"/>
      <c r="AS109" s="447"/>
      <c r="AT109" s="447"/>
      <c r="AU109" s="447"/>
      <c r="AV109" s="447"/>
      <c r="AW109" s="447"/>
      <c r="AX109" s="447"/>
      <c r="AY109" s="447"/>
      <c r="AZ109" s="447"/>
      <c r="BA109" s="447"/>
      <c r="BB109" s="447"/>
      <c r="BC109" s="447"/>
      <c r="BD109" s="447"/>
      <c r="BE109" s="447"/>
      <c r="BF109" s="447"/>
      <c r="BG109" s="447"/>
      <c r="BH109" s="447"/>
      <c r="BI109" s="447"/>
      <c r="BJ109" s="447"/>
      <c r="BK109" s="447"/>
      <c r="BL109" s="447"/>
      <c r="BM109" s="448"/>
      <c r="BN109" s="448"/>
    </row>
    <row r="110" spans="1:66" ht="15" customHeight="1">
      <c r="A110" s="446"/>
      <c r="B110" s="447"/>
      <c r="C110" s="447"/>
      <c r="D110" s="447"/>
      <c r="E110" s="447"/>
      <c r="F110" s="447"/>
      <c r="G110" s="447"/>
      <c r="H110" s="447"/>
      <c r="I110" s="447"/>
      <c r="J110" s="447"/>
      <c r="K110" s="447"/>
      <c r="L110" s="447"/>
      <c r="M110" s="447"/>
      <c r="N110" s="447"/>
      <c r="O110" s="447"/>
      <c r="P110" s="447"/>
      <c r="Q110" s="447"/>
      <c r="R110" s="447"/>
      <c r="S110" s="447"/>
      <c r="T110" s="447"/>
      <c r="U110" s="447"/>
      <c r="V110" s="447"/>
      <c r="W110" s="447"/>
      <c r="X110" s="447"/>
      <c r="Y110" s="447"/>
      <c r="Z110" s="447"/>
      <c r="AA110" s="447"/>
      <c r="AB110" s="447"/>
      <c r="AC110" s="447"/>
      <c r="AD110" s="447"/>
      <c r="AE110" s="447"/>
      <c r="AF110" s="448"/>
      <c r="AG110" s="448"/>
      <c r="AH110" s="449"/>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347"/>
      <c r="BN110" s="448"/>
    </row>
    <row r="111" spans="1:66" ht="15" customHeight="1">
      <c r="A111" s="446"/>
      <c r="B111" s="447"/>
      <c r="C111" s="447"/>
      <c r="D111" s="447"/>
      <c r="E111" s="447"/>
      <c r="F111" s="447"/>
      <c r="G111" s="447"/>
      <c r="H111" s="447"/>
      <c r="I111" s="447"/>
      <c r="J111" s="447"/>
      <c r="K111" s="447"/>
      <c r="L111" s="447"/>
      <c r="M111" s="447"/>
      <c r="N111" s="447"/>
      <c r="O111" s="447"/>
      <c r="P111" s="447"/>
      <c r="Q111" s="447"/>
      <c r="R111" s="447"/>
      <c r="S111" s="447"/>
      <c r="T111" s="447"/>
      <c r="U111" s="447"/>
      <c r="V111" s="447"/>
      <c r="W111" s="447"/>
      <c r="X111" s="447"/>
      <c r="Y111" s="447"/>
      <c r="Z111" s="447"/>
      <c r="AA111" s="447"/>
      <c r="AB111" s="447"/>
      <c r="AC111" s="447"/>
      <c r="AD111" s="447"/>
      <c r="AE111" s="447"/>
      <c r="AF111" s="448"/>
      <c r="AG111" s="448"/>
      <c r="AH111" s="449"/>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347"/>
      <c r="BN111" s="448"/>
    </row>
    <row r="112" spans="1:66" ht="15" customHeight="1">
      <c r="A112" s="446"/>
      <c r="B112" s="447"/>
      <c r="C112" s="447"/>
      <c r="D112" s="447"/>
      <c r="E112" s="447"/>
      <c r="F112" s="447"/>
      <c r="G112" s="447"/>
      <c r="H112" s="447"/>
      <c r="I112" s="447"/>
      <c r="J112" s="447"/>
      <c r="K112" s="447"/>
      <c r="L112" s="447"/>
      <c r="M112" s="447"/>
      <c r="N112" s="447"/>
      <c r="O112" s="447"/>
      <c r="P112" s="447"/>
      <c r="Q112" s="447"/>
      <c r="R112" s="447"/>
      <c r="S112" s="447"/>
      <c r="T112" s="447"/>
      <c r="U112" s="447"/>
      <c r="V112" s="447"/>
      <c r="W112" s="447"/>
      <c r="X112" s="447"/>
      <c r="Y112" s="447"/>
      <c r="Z112" s="447"/>
      <c r="AA112" s="447"/>
      <c r="AB112" s="447"/>
      <c r="AC112" s="447"/>
      <c r="AD112" s="447"/>
      <c r="AE112" s="447"/>
      <c r="AF112" s="448"/>
      <c r="AG112" s="448"/>
      <c r="AH112" s="449"/>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347"/>
      <c r="BN112" s="448"/>
    </row>
    <row r="113" spans="1:66" ht="15" customHeight="1">
      <c r="A113" s="446"/>
      <c r="B113" s="447"/>
      <c r="C113" s="447"/>
      <c r="D113" s="447"/>
      <c r="E113" s="447"/>
      <c r="F113" s="447"/>
      <c r="G113" s="447"/>
      <c r="H113" s="447"/>
      <c r="I113" s="447"/>
      <c r="J113" s="447"/>
      <c r="K113" s="447"/>
      <c r="L113" s="447"/>
      <c r="M113" s="447"/>
      <c r="N113" s="447"/>
      <c r="O113" s="447"/>
      <c r="P113" s="447"/>
      <c r="Q113" s="447"/>
      <c r="R113" s="447"/>
      <c r="S113" s="447"/>
      <c r="T113" s="447"/>
      <c r="U113" s="447"/>
      <c r="V113" s="447"/>
      <c r="W113" s="447"/>
      <c r="X113" s="447"/>
      <c r="Y113" s="447"/>
      <c r="Z113" s="447"/>
      <c r="AA113" s="447"/>
      <c r="AB113" s="447"/>
      <c r="AC113" s="447"/>
      <c r="AD113" s="447"/>
      <c r="AE113" s="447"/>
      <c r="AF113" s="448"/>
      <c r="AG113" s="448"/>
      <c r="AH113" s="449"/>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347"/>
      <c r="BN113" s="448"/>
    </row>
    <row r="114" spans="1:66" ht="15" customHeight="1">
      <c r="A114" s="446"/>
      <c r="B114" s="447"/>
      <c r="C114" s="447"/>
      <c r="D114" s="447"/>
      <c r="E114" s="447"/>
      <c r="F114" s="447"/>
      <c r="G114" s="447"/>
      <c r="H114" s="447"/>
      <c r="I114" s="447"/>
      <c r="J114" s="447"/>
      <c r="K114" s="447"/>
      <c r="L114" s="447"/>
      <c r="M114" s="447"/>
      <c r="N114" s="447"/>
      <c r="O114" s="447"/>
      <c r="P114" s="447"/>
      <c r="Q114" s="447"/>
      <c r="R114" s="447"/>
      <c r="S114" s="447"/>
      <c r="T114" s="447"/>
      <c r="U114" s="447"/>
      <c r="V114" s="447"/>
      <c r="W114" s="447"/>
      <c r="X114" s="447"/>
      <c r="Y114" s="447"/>
      <c r="Z114" s="447"/>
      <c r="AA114" s="447"/>
      <c r="AB114" s="447"/>
      <c r="AC114" s="447"/>
      <c r="AD114" s="447"/>
      <c r="AE114" s="447"/>
      <c r="AF114" s="448"/>
      <c r="AG114" s="448"/>
      <c r="AH114" s="449"/>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347"/>
      <c r="BN114" s="448"/>
    </row>
    <row r="115" spans="1:66" ht="15" customHeight="1">
      <c r="A115" s="446"/>
      <c r="B115" s="447"/>
      <c r="C115" s="447"/>
      <c r="D115" s="447"/>
      <c r="E115" s="447"/>
      <c r="F115" s="447"/>
      <c r="G115" s="447"/>
      <c r="H115" s="447"/>
      <c r="I115" s="447"/>
      <c r="J115" s="447"/>
      <c r="K115" s="447"/>
      <c r="L115" s="447"/>
      <c r="M115" s="447"/>
      <c r="N115" s="447"/>
      <c r="O115" s="447"/>
      <c r="P115" s="447"/>
      <c r="Q115" s="447"/>
      <c r="R115" s="447"/>
      <c r="S115" s="447"/>
      <c r="T115" s="447"/>
      <c r="U115" s="447"/>
      <c r="V115" s="447"/>
      <c r="W115" s="447"/>
      <c r="X115" s="447"/>
      <c r="Y115" s="447"/>
      <c r="Z115" s="447"/>
      <c r="AA115" s="447"/>
      <c r="AB115" s="447"/>
      <c r="AC115" s="447"/>
      <c r="AD115" s="447"/>
      <c r="AE115" s="447"/>
      <c r="AF115" s="448"/>
      <c r="AG115" s="448"/>
      <c r="AH115" s="449"/>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347"/>
      <c r="BN115" s="448"/>
    </row>
    <row r="116" spans="1:66" ht="15" customHeight="1">
      <c r="A116" s="446"/>
      <c r="B116" s="447"/>
      <c r="C116" s="447"/>
      <c r="D116" s="447"/>
      <c r="E116" s="447"/>
      <c r="F116" s="447"/>
      <c r="G116" s="447"/>
      <c r="H116" s="447"/>
      <c r="I116" s="447"/>
      <c r="J116" s="447"/>
      <c r="K116" s="447"/>
      <c r="L116" s="447"/>
      <c r="M116" s="447"/>
      <c r="N116" s="447"/>
      <c r="O116" s="447"/>
      <c r="P116" s="447"/>
      <c r="Q116" s="447"/>
      <c r="R116" s="447"/>
      <c r="S116" s="447"/>
      <c r="T116" s="447"/>
      <c r="U116" s="447"/>
      <c r="V116" s="447"/>
      <c r="W116" s="447"/>
      <c r="X116" s="447"/>
      <c r="Y116" s="447"/>
      <c r="Z116" s="447"/>
      <c r="AA116" s="447"/>
      <c r="AB116" s="447"/>
      <c r="AC116" s="447"/>
      <c r="AD116" s="447"/>
      <c r="AE116" s="447"/>
      <c r="AF116" s="448"/>
      <c r="AG116" s="448"/>
      <c r="AH116" s="449"/>
      <c r="AI116" s="447"/>
      <c r="AJ116" s="447"/>
      <c r="AK116" s="447"/>
      <c r="AL116" s="447"/>
      <c r="AM116" s="447"/>
      <c r="AN116" s="447"/>
      <c r="AO116" s="447"/>
      <c r="AP116" s="447"/>
      <c r="AQ116" s="447"/>
      <c r="AR116" s="447"/>
      <c r="AS116" s="447"/>
      <c r="AT116" s="447"/>
      <c r="AU116" s="447"/>
      <c r="AV116" s="447"/>
      <c r="AW116" s="447"/>
      <c r="AX116" s="447"/>
      <c r="AY116" s="447"/>
      <c r="AZ116" s="447"/>
      <c r="BA116" s="447"/>
      <c r="BB116" s="447"/>
      <c r="BC116" s="447"/>
      <c r="BD116" s="447"/>
      <c r="BE116" s="447"/>
      <c r="BF116" s="447"/>
      <c r="BG116" s="447"/>
      <c r="BH116" s="447"/>
      <c r="BI116" s="447"/>
      <c r="BJ116" s="447"/>
      <c r="BK116" s="447"/>
      <c r="BL116" s="447"/>
      <c r="BM116" s="448"/>
      <c r="BN116" s="448"/>
    </row>
    <row r="117" spans="1:66" ht="15" customHeight="1">
      <c r="A117" s="446"/>
      <c r="B117" s="308"/>
      <c r="C117" s="308"/>
      <c r="D117" s="308"/>
      <c r="E117" s="308"/>
      <c r="F117" s="308"/>
      <c r="G117" s="308"/>
      <c r="H117" s="308"/>
      <c r="I117" s="308"/>
      <c r="J117" s="308"/>
      <c r="K117" s="308"/>
      <c r="L117" s="308"/>
      <c r="M117" s="308"/>
      <c r="N117" s="308"/>
      <c r="O117" s="308"/>
      <c r="P117" s="308"/>
      <c r="Q117" s="451"/>
      <c r="R117" s="451"/>
      <c r="S117" s="855"/>
      <c r="T117" s="793"/>
      <c r="U117" s="793"/>
      <c r="V117" s="793"/>
      <c r="W117" s="793"/>
      <c r="X117" s="793"/>
      <c r="Y117" s="793"/>
      <c r="Z117" s="793"/>
      <c r="AA117" s="793"/>
      <c r="AB117" s="793"/>
      <c r="AC117" s="793"/>
      <c r="AD117" s="793"/>
      <c r="AE117" s="793"/>
      <c r="AF117" s="452"/>
      <c r="AG117" s="448"/>
      <c r="AH117" s="449"/>
      <c r="AI117" s="447"/>
      <c r="AJ117" s="447"/>
      <c r="AK117" s="447"/>
      <c r="AL117" s="447"/>
      <c r="AM117" s="447"/>
      <c r="AN117" s="447"/>
      <c r="AO117" s="447"/>
      <c r="AP117" s="447"/>
      <c r="AQ117" s="447"/>
      <c r="AR117" s="447"/>
      <c r="AS117" s="447"/>
      <c r="AT117" s="447"/>
      <c r="AU117" s="447"/>
      <c r="AV117" s="447"/>
      <c r="AW117" s="453"/>
      <c r="AX117" s="453"/>
      <c r="AY117" s="453"/>
      <c r="AZ117" s="869"/>
      <c r="BA117" s="793"/>
      <c r="BB117" s="793"/>
      <c r="BC117" s="793"/>
      <c r="BD117" s="793"/>
      <c r="BE117" s="793"/>
      <c r="BF117" s="793"/>
      <c r="BG117" s="793"/>
      <c r="BH117" s="793"/>
      <c r="BI117" s="793"/>
      <c r="BJ117" s="793"/>
      <c r="BK117" s="793"/>
      <c r="BL117" s="793"/>
      <c r="BM117" s="452"/>
      <c r="BN117" s="448"/>
    </row>
    <row r="118" spans="1:66" ht="15" customHeight="1">
      <c r="A118" s="446"/>
      <c r="B118" s="1"/>
      <c r="C118" s="1"/>
      <c r="D118" s="1"/>
      <c r="E118" s="1"/>
      <c r="F118" s="1"/>
      <c r="G118" s="1"/>
      <c r="H118" s="1"/>
      <c r="I118" s="1"/>
      <c r="J118" s="1"/>
      <c r="K118" s="1"/>
      <c r="L118" s="1"/>
      <c r="M118" s="1"/>
      <c r="N118" s="1"/>
      <c r="O118" s="1"/>
      <c r="P118" s="1"/>
      <c r="Q118" s="834" t="str">
        <f>Validacion!A7</f>
        <v>Vero</v>
      </c>
      <c r="R118" s="787"/>
      <c r="S118" s="787"/>
      <c r="T118" s="787"/>
      <c r="U118" s="787"/>
      <c r="V118" s="787"/>
      <c r="W118" s="787"/>
      <c r="X118" s="787"/>
      <c r="Y118" s="787"/>
      <c r="Z118" s="787"/>
      <c r="AA118" s="787"/>
      <c r="AB118" s="787"/>
      <c r="AC118" s="787"/>
      <c r="AD118" s="787"/>
      <c r="AE118" s="787"/>
      <c r="AF118" s="787"/>
      <c r="AG118" s="454"/>
      <c r="AH118" s="446"/>
      <c r="AI118" s="455"/>
      <c r="AJ118" s="456"/>
      <c r="AK118" s="456"/>
      <c r="AL118" s="456"/>
      <c r="AM118" s="456"/>
      <c r="AN118" s="456"/>
      <c r="AO118" s="456"/>
      <c r="AP118" s="456"/>
      <c r="AQ118" s="456"/>
      <c r="AR118" s="456"/>
      <c r="AS118" s="456"/>
      <c r="AT118" s="456"/>
      <c r="AU118" s="456"/>
      <c r="AV118" s="456"/>
      <c r="AW118" s="786" t="str">
        <f>Validacion!A9</f>
        <v>Irlanda</v>
      </c>
      <c r="AX118" s="787"/>
      <c r="AY118" s="787"/>
      <c r="AZ118" s="787"/>
      <c r="BA118" s="787"/>
      <c r="BB118" s="787"/>
      <c r="BC118" s="787"/>
      <c r="BD118" s="787"/>
      <c r="BE118" s="787"/>
      <c r="BF118" s="787"/>
      <c r="BG118" s="787"/>
      <c r="BH118" s="787"/>
      <c r="BI118" s="787"/>
      <c r="BJ118" s="787"/>
      <c r="BK118" s="787"/>
      <c r="BL118" s="787"/>
      <c r="BM118" s="787"/>
      <c r="BN118" s="448"/>
    </row>
    <row r="119" spans="1:66" ht="15" customHeight="1">
      <c r="A119" s="446"/>
      <c r="B119" s="1"/>
      <c r="C119" s="1"/>
      <c r="D119" s="1"/>
      <c r="E119" s="1"/>
      <c r="F119" s="1"/>
      <c r="G119" s="1"/>
      <c r="H119" s="1"/>
      <c r="I119" s="1"/>
      <c r="J119" s="1"/>
      <c r="K119" s="1"/>
      <c r="L119" s="1"/>
      <c r="M119" s="1"/>
      <c r="N119" s="1"/>
      <c r="O119" s="1"/>
      <c r="P119" s="1"/>
      <c r="Q119" s="725"/>
      <c r="R119" s="725"/>
      <c r="S119" s="725"/>
      <c r="T119" s="725"/>
      <c r="U119" s="725"/>
      <c r="V119" s="725"/>
      <c r="W119" s="725"/>
      <c r="X119" s="725"/>
      <c r="Y119" s="725"/>
      <c r="Z119" s="725"/>
      <c r="AA119" s="725"/>
      <c r="AB119" s="725"/>
      <c r="AC119" s="725"/>
      <c r="AD119" s="725"/>
      <c r="AE119" s="725"/>
      <c r="AF119" s="725"/>
      <c r="AG119" s="454"/>
      <c r="AH119" s="446"/>
      <c r="AI119" s="455"/>
      <c r="AJ119" s="456"/>
      <c r="AK119" s="456"/>
      <c r="AL119" s="456"/>
      <c r="AM119" s="456"/>
      <c r="AN119" s="456"/>
      <c r="AO119" s="456"/>
      <c r="AP119" s="456"/>
      <c r="AQ119" s="456"/>
      <c r="AR119" s="456"/>
      <c r="AS119" s="456"/>
      <c r="AT119" s="456"/>
      <c r="AU119" s="456"/>
      <c r="AV119" s="456"/>
      <c r="AW119" s="725"/>
      <c r="AX119" s="725"/>
      <c r="AY119" s="725"/>
      <c r="AZ119" s="725"/>
      <c r="BA119" s="725"/>
      <c r="BB119" s="725"/>
      <c r="BC119" s="725"/>
      <c r="BD119" s="725"/>
      <c r="BE119" s="725"/>
      <c r="BF119" s="725"/>
      <c r="BG119" s="725"/>
      <c r="BH119" s="725"/>
      <c r="BI119" s="725"/>
      <c r="BJ119" s="725"/>
      <c r="BK119" s="725"/>
      <c r="BL119" s="725"/>
      <c r="BM119" s="725"/>
      <c r="BN119" s="448"/>
    </row>
    <row r="120" spans="1:66" ht="15" customHeight="1">
      <c r="A120" s="450"/>
      <c r="B120" s="1"/>
      <c r="C120" s="1"/>
      <c r="D120" s="1"/>
      <c r="E120" s="1"/>
      <c r="F120" s="1"/>
      <c r="G120" s="1"/>
      <c r="H120" s="1"/>
      <c r="I120" s="1"/>
      <c r="J120" s="1"/>
      <c r="K120" s="1"/>
      <c r="L120" s="1"/>
      <c r="M120" s="1"/>
      <c r="N120" s="1"/>
      <c r="O120" s="1"/>
      <c r="P120" s="1"/>
      <c r="Q120" s="856" t="s">
        <v>6601</v>
      </c>
      <c r="R120" s="725"/>
      <c r="S120" s="725"/>
      <c r="T120" s="725"/>
      <c r="U120" s="725"/>
      <c r="V120" s="725"/>
      <c r="W120" s="725"/>
      <c r="X120" s="725"/>
      <c r="Y120" s="725"/>
      <c r="Z120" s="725"/>
      <c r="AA120" s="725"/>
      <c r="AB120" s="725"/>
      <c r="AC120" s="725"/>
      <c r="AD120" s="725"/>
      <c r="AE120" s="725"/>
      <c r="AF120" s="725"/>
      <c r="AG120" s="448"/>
      <c r="AH120" s="449"/>
      <c r="AI120" s="455"/>
      <c r="AJ120" s="456"/>
      <c r="AK120" s="456"/>
      <c r="AL120" s="456"/>
      <c r="AM120" s="456"/>
      <c r="AN120" s="456"/>
      <c r="AO120" s="456"/>
      <c r="AP120" s="456"/>
      <c r="AQ120" s="456"/>
      <c r="AR120" s="456"/>
      <c r="AS120" s="456"/>
      <c r="AT120" s="456"/>
      <c r="AU120" s="456"/>
      <c r="AV120" s="456"/>
      <c r="AW120" s="856" t="s">
        <v>6602</v>
      </c>
      <c r="AX120" s="725"/>
      <c r="AY120" s="725"/>
      <c r="AZ120" s="725"/>
      <c r="BA120" s="725"/>
      <c r="BB120" s="725"/>
      <c r="BC120" s="725"/>
      <c r="BD120" s="725"/>
      <c r="BE120" s="725"/>
      <c r="BF120" s="725"/>
      <c r="BG120" s="725"/>
      <c r="BH120" s="725"/>
      <c r="BI120" s="725"/>
      <c r="BJ120" s="725"/>
      <c r="BK120" s="725"/>
      <c r="BL120" s="725"/>
      <c r="BM120" s="725"/>
      <c r="BN120" s="448"/>
    </row>
    <row r="121" spans="1:66" ht="15" customHeight="1">
      <c r="A121" s="450"/>
      <c r="B121" s="1"/>
      <c r="C121" s="1"/>
      <c r="D121" s="1"/>
      <c r="E121" s="1"/>
      <c r="F121" s="1"/>
      <c r="G121" s="1"/>
      <c r="H121" s="1"/>
      <c r="I121" s="1"/>
      <c r="J121" s="1"/>
      <c r="K121" s="1"/>
      <c r="L121" s="1"/>
      <c r="M121" s="1"/>
      <c r="N121" s="1"/>
      <c r="O121" s="1"/>
      <c r="P121" s="1"/>
      <c r="Q121" s="725"/>
      <c r="R121" s="725"/>
      <c r="S121" s="725"/>
      <c r="T121" s="725"/>
      <c r="U121" s="725"/>
      <c r="V121" s="725"/>
      <c r="W121" s="725"/>
      <c r="X121" s="725"/>
      <c r="Y121" s="725"/>
      <c r="Z121" s="725"/>
      <c r="AA121" s="725"/>
      <c r="AB121" s="725"/>
      <c r="AC121" s="725"/>
      <c r="AD121" s="725"/>
      <c r="AE121" s="725"/>
      <c r="AF121" s="725"/>
      <c r="AG121" s="448"/>
      <c r="AH121" s="449"/>
      <c r="AI121" s="455"/>
      <c r="AJ121" s="456"/>
      <c r="AK121" s="456"/>
      <c r="AL121" s="456"/>
      <c r="AM121" s="456"/>
      <c r="AN121" s="456"/>
      <c r="AO121" s="456"/>
      <c r="AP121" s="456"/>
      <c r="AQ121" s="456"/>
      <c r="AR121" s="456"/>
      <c r="AS121" s="456"/>
      <c r="AT121" s="456"/>
      <c r="AU121" s="456"/>
      <c r="AV121" s="456"/>
      <c r="AW121" s="725"/>
      <c r="AX121" s="725"/>
      <c r="AY121" s="725"/>
      <c r="AZ121" s="725"/>
      <c r="BA121" s="725"/>
      <c r="BB121" s="725"/>
      <c r="BC121" s="725"/>
      <c r="BD121" s="725"/>
      <c r="BE121" s="725"/>
      <c r="BF121" s="725"/>
      <c r="BG121" s="725"/>
      <c r="BH121" s="725"/>
      <c r="BI121" s="725"/>
      <c r="BJ121" s="725"/>
      <c r="BK121" s="725"/>
      <c r="BL121" s="725"/>
      <c r="BM121" s="725"/>
      <c r="BN121" s="448"/>
    </row>
    <row r="122" spans="1:66" ht="15" customHeight="1">
      <c r="A122" s="450"/>
      <c r="B122" s="447"/>
      <c r="C122" s="447"/>
      <c r="D122" s="447"/>
      <c r="E122" s="447"/>
      <c r="F122" s="447"/>
      <c r="G122" s="447"/>
      <c r="H122" s="447"/>
      <c r="I122" s="447"/>
      <c r="J122" s="447"/>
      <c r="K122" s="447"/>
      <c r="L122" s="447"/>
      <c r="M122" s="447"/>
      <c r="N122" s="447"/>
      <c r="O122" s="447"/>
      <c r="P122" s="447"/>
      <c r="Q122" s="725"/>
      <c r="R122" s="725"/>
      <c r="S122" s="725"/>
      <c r="T122" s="725"/>
      <c r="U122" s="725"/>
      <c r="V122" s="725"/>
      <c r="W122" s="725"/>
      <c r="X122" s="725"/>
      <c r="Y122" s="725"/>
      <c r="Z122" s="725"/>
      <c r="AA122" s="725"/>
      <c r="AB122" s="725"/>
      <c r="AC122" s="725"/>
      <c r="AD122" s="725"/>
      <c r="AE122" s="725"/>
      <c r="AF122" s="725"/>
      <c r="AG122" s="448"/>
      <c r="AH122" s="449"/>
      <c r="AI122" s="455"/>
      <c r="AJ122" s="456"/>
      <c r="AK122" s="456"/>
      <c r="AL122" s="456"/>
      <c r="AM122" s="456"/>
      <c r="AN122" s="456"/>
      <c r="AO122" s="456"/>
      <c r="AP122" s="456"/>
      <c r="AQ122" s="456"/>
      <c r="AR122" s="456"/>
      <c r="AS122" s="456"/>
      <c r="AT122" s="456"/>
      <c r="AU122" s="456"/>
      <c r="AV122" s="456"/>
      <c r="AW122" s="725"/>
      <c r="AX122" s="725"/>
      <c r="AY122" s="725"/>
      <c r="AZ122" s="725"/>
      <c r="BA122" s="725"/>
      <c r="BB122" s="725"/>
      <c r="BC122" s="725"/>
      <c r="BD122" s="725"/>
      <c r="BE122" s="725"/>
      <c r="BF122" s="725"/>
      <c r="BG122" s="725"/>
      <c r="BH122" s="725"/>
      <c r="BI122" s="725"/>
      <c r="BJ122" s="725"/>
      <c r="BK122" s="725"/>
      <c r="BL122" s="725"/>
      <c r="BM122" s="725"/>
      <c r="BN122" s="448"/>
    </row>
    <row r="123" spans="1:66" ht="15" customHeight="1">
      <c r="A123" s="450"/>
      <c r="B123" s="447"/>
      <c r="C123" s="447"/>
      <c r="D123" s="447"/>
      <c r="E123" s="447"/>
      <c r="F123" s="447"/>
      <c r="G123" s="447"/>
      <c r="H123" s="447"/>
      <c r="I123" s="447"/>
      <c r="J123" s="447"/>
      <c r="K123" s="447"/>
      <c r="L123" s="447"/>
      <c r="M123" s="447"/>
      <c r="N123" s="447"/>
      <c r="O123" s="447"/>
      <c r="P123" s="447"/>
      <c r="Q123" s="447"/>
      <c r="R123" s="447"/>
      <c r="S123" s="447"/>
      <c r="T123" s="447"/>
      <c r="U123" s="447"/>
      <c r="V123" s="447"/>
      <c r="W123" s="447"/>
      <c r="X123" s="447"/>
      <c r="Y123" s="447"/>
      <c r="Z123" s="447"/>
      <c r="AA123" s="447"/>
      <c r="AB123" s="447"/>
      <c r="AC123" s="447"/>
      <c r="AD123" s="447"/>
      <c r="AE123" s="447"/>
      <c r="AF123" s="448"/>
      <c r="AG123" s="448"/>
      <c r="AH123" s="449"/>
      <c r="AI123" s="455"/>
      <c r="AJ123" s="456"/>
      <c r="AK123" s="456"/>
      <c r="AL123" s="456"/>
      <c r="AM123" s="456"/>
      <c r="AN123" s="456"/>
      <c r="AO123" s="456"/>
      <c r="AP123" s="456"/>
      <c r="AQ123" s="456"/>
      <c r="AR123" s="456"/>
      <c r="AS123" s="456"/>
      <c r="AT123" s="456"/>
      <c r="AU123" s="456"/>
      <c r="AV123" s="456"/>
      <c r="AW123" s="456"/>
      <c r="AX123" s="456"/>
      <c r="AY123" s="456"/>
      <c r="AZ123" s="456"/>
      <c r="BA123" s="456"/>
      <c r="BB123" s="456"/>
      <c r="BC123" s="456"/>
      <c r="BD123" s="456"/>
      <c r="BE123" s="456"/>
      <c r="BF123" s="456"/>
      <c r="BG123" s="456"/>
      <c r="BH123" s="456"/>
      <c r="BI123" s="456"/>
      <c r="BJ123" s="456"/>
      <c r="BK123" s="456"/>
      <c r="BL123" s="456"/>
      <c r="BM123" s="448"/>
      <c r="BN123" s="448"/>
    </row>
    <row r="124" spans="1:66" ht="15" customHeight="1">
      <c r="A124" s="450"/>
      <c r="B124" s="447"/>
      <c r="C124" s="447"/>
      <c r="D124" s="447"/>
      <c r="E124" s="447"/>
      <c r="F124" s="447"/>
      <c r="G124" s="447"/>
      <c r="H124" s="447"/>
      <c r="I124" s="447"/>
      <c r="J124" s="447"/>
      <c r="K124" s="447"/>
      <c r="L124" s="447"/>
      <c r="M124" s="447"/>
      <c r="N124" s="447"/>
      <c r="O124" s="447"/>
      <c r="P124" s="447"/>
      <c r="Q124" s="447"/>
      <c r="R124" s="447"/>
      <c r="S124" s="447"/>
      <c r="T124" s="447"/>
      <c r="U124" s="447"/>
      <c r="V124" s="447"/>
      <c r="W124" s="447"/>
      <c r="X124" s="447"/>
      <c r="Y124" s="447"/>
      <c r="Z124" s="447"/>
      <c r="AA124" s="447"/>
      <c r="AB124" s="447"/>
      <c r="AC124" s="447"/>
      <c r="AD124" s="447"/>
      <c r="AE124" s="447"/>
      <c r="AF124" s="448"/>
      <c r="AG124" s="448"/>
      <c r="AH124" s="449"/>
      <c r="AI124" s="447"/>
      <c r="AJ124" s="447"/>
      <c r="AK124" s="447"/>
      <c r="AL124" s="447"/>
      <c r="AM124" s="447"/>
      <c r="AN124" s="447"/>
      <c r="AO124" s="447"/>
      <c r="AP124" s="447"/>
      <c r="AQ124" s="447"/>
      <c r="AR124" s="447"/>
      <c r="AS124" s="447"/>
      <c r="AT124" s="447"/>
      <c r="AU124" s="447"/>
      <c r="AV124" s="447"/>
      <c r="AW124" s="447"/>
      <c r="AX124" s="447"/>
      <c r="AY124" s="447"/>
      <c r="AZ124" s="447"/>
      <c r="BA124" s="447"/>
      <c r="BB124" s="447"/>
      <c r="BC124" s="447"/>
      <c r="BD124" s="447"/>
      <c r="BE124" s="447"/>
      <c r="BF124" s="447"/>
      <c r="BG124" s="447"/>
      <c r="BH124" s="447"/>
      <c r="BI124" s="447"/>
      <c r="BJ124" s="447"/>
      <c r="BK124" s="447"/>
      <c r="BL124" s="447"/>
      <c r="BM124" s="448"/>
      <c r="BN124" s="448"/>
    </row>
    <row r="125" spans="1:66" ht="11.25" customHeight="1">
      <c r="A125" s="450"/>
      <c r="B125" s="447"/>
      <c r="C125" s="447"/>
      <c r="D125" s="447"/>
      <c r="E125" s="447"/>
      <c r="F125" s="447"/>
      <c r="G125" s="447"/>
      <c r="H125" s="447"/>
      <c r="I125" s="447"/>
      <c r="J125" s="447"/>
      <c r="K125" s="447"/>
      <c r="L125" s="447"/>
      <c r="M125" s="447"/>
      <c r="N125" s="447"/>
      <c r="O125" s="447"/>
      <c r="P125" s="447"/>
      <c r="Q125" s="447"/>
      <c r="R125" s="447"/>
      <c r="S125" s="447"/>
      <c r="T125" s="447"/>
      <c r="U125" s="447"/>
      <c r="V125" s="447"/>
      <c r="W125" s="447"/>
      <c r="X125" s="447"/>
      <c r="Y125" s="447"/>
      <c r="Z125" s="447"/>
      <c r="AA125" s="447"/>
      <c r="AB125" s="447"/>
      <c r="AC125" s="447"/>
      <c r="AD125" s="447"/>
      <c r="AE125" s="447"/>
      <c r="AF125" s="448"/>
      <c r="AG125" s="448"/>
      <c r="AH125" s="449"/>
      <c r="AI125" s="447"/>
      <c r="AJ125" s="447"/>
      <c r="AK125" s="447"/>
      <c r="AL125" s="447"/>
      <c r="AM125" s="447"/>
      <c r="AN125" s="447"/>
      <c r="AO125" s="447"/>
      <c r="AP125" s="447"/>
      <c r="AQ125" s="447"/>
      <c r="AR125" s="447"/>
      <c r="AS125" s="447"/>
      <c r="AT125" s="447"/>
      <c r="AU125" s="447"/>
      <c r="AV125" s="447"/>
      <c r="AW125" s="447"/>
      <c r="AX125" s="447"/>
      <c r="AY125" s="447"/>
      <c r="AZ125" s="447"/>
      <c r="BA125" s="447"/>
      <c r="BB125" s="447"/>
      <c r="BC125" s="447"/>
      <c r="BD125" s="447"/>
      <c r="BE125" s="447"/>
      <c r="BF125" s="447"/>
      <c r="BG125" s="447"/>
      <c r="BH125" s="447"/>
      <c r="BI125" s="447"/>
      <c r="BJ125" s="447"/>
      <c r="BK125" s="447"/>
      <c r="BL125" s="447"/>
      <c r="BM125" s="448"/>
      <c r="BN125" s="448"/>
    </row>
    <row r="126" spans="1:66" ht="15" customHeight="1">
      <c r="A126" s="450"/>
      <c r="B126" s="447"/>
      <c r="C126" s="447"/>
      <c r="D126" s="447"/>
      <c r="E126" s="447"/>
      <c r="F126" s="447"/>
      <c r="G126" s="447"/>
      <c r="H126" s="447"/>
      <c r="I126" s="447"/>
      <c r="J126" s="447"/>
      <c r="K126" s="447"/>
      <c r="L126" s="447"/>
      <c r="M126" s="447"/>
      <c r="N126" s="447"/>
      <c r="O126" s="447"/>
      <c r="P126" s="447"/>
      <c r="Q126" s="447"/>
      <c r="R126" s="447"/>
      <c r="S126" s="447"/>
      <c r="T126" s="447"/>
      <c r="U126" s="447"/>
      <c r="V126" s="447"/>
      <c r="W126" s="447"/>
      <c r="X126" s="447"/>
      <c r="Y126" s="447"/>
      <c r="Z126" s="447"/>
      <c r="AA126" s="447"/>
      <c r="AB126" s="447"/>
      <c r="AC126" s="447"/>
      <c r="AD126" s="447"/>
      <c r="AE126" s="447"/>
      <c r="AF126" s="448"/>
      <c r="AG126" s="448"/>
      <c r="AH126" s="449"/>
      <c r="AI126" s="447"/>
      <c r="AJ126" s="447"/>
      <c r="AK126" s="447"/>
      <c r="AL126" s="447"/>
      <c r="AM126" s="447"/>
      <c r="AN126" s="447"/>
      <c r="AO126" s="447"/>
      <c r="AP126" s="447"/>
      <c r="AQ126" s="447"/>
      <c r="AR126" s="447"/>
      <c r="AS126" s="447"/>
      <c r="AT126" s="447"/>
      <c r="AU126" s="447"/>
      <c r="AV126" s="447"/>
      <c r="AW126" s="447"/>
      <c r="AX126" s="447"/>
      <c r="AY126" s="447"/>
      <c r="AZ126" s="447"/>
      <c r="BA126" s="447"/>
      <c r="BB126" s="447"/>
      <c r="BC126" s="447"/>
      <c r="BD126" s="447"/>
      <c r="BE126" s="447"/>
      <c r="BF126" s="447"/>
      <c r="BG126" s="447"/>
      <c r="BH126" s="447"/>
      <c r="BI126" s="447"/>
      <c r="BJ126" s="447"/>
      <c r="BK126" s="447"/>
      <c r="BL126" s="447"/>
      <c r="BM126" s="448"/>
      <c r="BN126" s="448"/>
    </row>
    <row r="127" spans="1:66" ht="15" customHeight="1">
      <c r="A127" s="450"/>
      <c r="B127" s="447"/>
      <c r="C127" s="447"/>
      <c r="D127" s="447"/>
      <c r="E127" s="447"/>
      <c r="F127" s="447"/>
      <c r="G127" s="447"/>
      <c r="H127" s="447"/>
      <c r="I127" s="447"/>
      <c r="J127" s="447"/>
      <c r="K127" s="447"/>
      <c r="L127" s="447"/>
      <c r="M127" s="447"/>
      <c r="N127" s="447"/>
      <c r="O127" s="447"/>
      <c r="P127" s="447"/>
      <c r="Q127" s="447"/>
      <c r="R127" s="447"/>
      <c r="S127" s="447"/>
      <c r="T127" s="447"/>
      <c r="U127" s="447"/>
      <c r="V127" s="447"/>
      <c r="W127" s="447"/>
      <c r="X127" s="447"/>
      <c r="Y127" s="447"/>
      <c r="Z127" s="447"/>
      <c r="AA127" s="447"/>
      <c r="AB127" s="447"/>
      <c r="AC127" s="447"/>
      <c r="AD127" s="447"/>
      <c r="AE127" s="447"/>
      <c r="AF127" s="448"/>
      <c r="AG127" s="448"/>
      <c r="AH127" s="449"/>
      <c r="AI127" s="447"/>
      <c r="AJ127" s="447"/>
      <c r="AK127" s="447"/>
      <c r="AL127" s="447"/>
      <c r="AM127" s="447"/>
      <c r="AN127" s="447"/>
      <c r="AO127" s="447"/>
      <c r="AP127" s="447"/>
      <c r="AQ127" s="447"/>
      <c r="AR127" s="447"/>
      <c r="AS127" s="447"/>
      <c r="AT127" s="447"/>
      <c r="AU127" s="447"/>
      <c r="AV127" s="447"/>
      <c r="AW127" s="447"/>
      <c r="AX127" s="447"/>
      <c r="AY127" s="447"/>
      <c r="AZ127" s="447"/>
      <c r="BA127" s="447"/>
      <c r="BB127" s="447"/>
      <c r="BC127" s="447"/>
      <c r="BD127" s="447"/>
      <c r="BE127" s="447"/>
      <c r="BF127" s="447"/>
      <c r="BG127" s="447"/>
      <c r="BH127" s="447"/>
      <c r="BI127" s="447"/>
      <c r="BJ127" s="447"/>
      <c r="BK127" s="447"/>
      <c r="BL127" s="447"/>
      <c r="BM127" s="448"/>
      <c r="BN127" s="448"/>
    </row>
    <row r="128" spans="1:66" ht="15" customHeight="1">
      <c r="A128" s="450"/>
      <c r="B128" s="447"/>
      <c r="C128" s="447"/>
      <c r="D128" s="447"/>
      <c r="E128" s="447"/>
      <c r="F128" s="447"/>
      <c r="G128" s="447"/>
      <c r="H128" s="447"/>
      <c r="I128" s="447"/>
      <c r="J128" s="447"/>
      <c r="K128" s="447"/>
      <c r="L128" s="447"/>
      <c r="M128" s="447"/>
      <c r="N128" s="447"/>
      <c r="O128" s="447"/>
      <c r="P128" s="447"/>
      <c r="Q128" s="447"/>
      <c r="R128" s="447"/>
      <c r="S128" s="447"/>
      <c r="T128" s="447"/>
      <c r="U128" s="447"/>
      <c r="V128" s="447"/>
      <c r="W128" s="447"/>
      <c r="X128" s="447"/>
      <c r="Y128" s="447"/>
      <c r="Z128" s="447"/>
      <c r="AA128" s="447"/>
      <c r="AB128" s="447"/>
      <c r="AC128" s="447"/>
      <c r="AD128" s="447"/>
      <c r="AE128" s="447"/>
      <c r="AF128" s="448"/>
      <c r="AG128" s="448"/>
      <c r="AH128" s="449"/>
      <c r="AI128" s="447"/>
      <c r="AJ128" s="447"/>
      <c r="AK128" s="447"/>
      <c r="AL128" s="447"/>
      <c r="AM128" s="447"/>
      <c r="AN128" s="447"/>
      <c r="AO128" s="447"/>
      <c r="AP128" s="447"/>
      <c r="AQ128" s="447"/>
      <c r="AR128" s="447"/>
      <c r="AS128" s="447"/>
      <c r="AT128" s="447"/>
      <c r="AU128" s="447"/>
      <c r="AV128" s="447"/>
      <c r="AW128" s="447"/>
      <c r="AX128" s="447"/>
      <c r="AY128" s="447"/>
      <c r="AZ128" s="447"/>
      <c r="BA128" s="447"/>
      <c r="BB128" s="447"/>
      <c r="BC128" s="447"/>
      <c r="BD128" s="447"/>
      <c r="BE128" s="447"/>
      <c r="BF128" s="447"/>
      <c r="BG128" s="447"/>
      <c r="BH128" s="447"/>
      <c r="BI128" s="447"/>
      <c r="BJ128" s="447"/>
      <c r="BK128" s="447"/>
      <c r="BL128" s="447"/>
      <c r="BM128" s="448"/>
      <c r="BN128" s="448"/>
    </row>
    <row r="129" spans="1:66" ht="11.25" customHeight="1">
      <c r="A129" s="450"/>
      <c r="B129" s="447"/>
      <c r="C129" s="447"/>
      <c r="D129" s="447"/>
      <c r="E129" s="447"/>
      <c r="F129" s="447"/>
      <c r="G129" s="447"/>
      <c r="H129" s="447"/>
      <c r="I129" s="447"/>
      <c r="J129" s="447"/>
      <c r="K129" s="447"/>
      <c r="L129" s="447"/>
      <c r="M129" s="447"/>
      <c r="N129" s="447"/>
      <c r="O129" s="447"/>
      <c r="P129" s="447"/>
      <c r="Q129" s="447"/>
      <c r="R129" s="447"/>
      <c r="S129" s="447"/>
      <c r="T129" s="447"/>
      <c r="U129" s="447"/>
      <c r="V129" s="447"/>
      <c r="W129" s="447"/>
      <c r="X129" s="447"/>
      <c r="Y129" s="447"/>
      <c r="Z129" s="447"/>
      <c r="AA129" s="447"/>
      <c r="AB129" s="447"/>
      <c r="AC129" s="447"/>
      <c r="AD129" s="447"/>
      <c r="AE129" s="447"/>
      <c r="AF129" s="448"/>
      <c r="AG129" s="448"/>
      <c r="AH129" s="449"/>
      <c r="AI129" s="447"/>
      <c r="AJ129" s="447"/>
      <c r="AK129" s="447"/>
      <c r="AL129" s="447"/>
      <c r="AM129" s="447"/>
      <c r="AN129" s="447"/>
      <c r="AO129" s="447"/>
      <c r="AP129" s="447"/>
      <c r="AQ129" s="447"/>
      <c r="AR129" s="447"/>
      <c r="AS129" s="447"/>
      <c r="AT129" s="447"/>
      <c r="AU129" s="447"/>
      <c r="AV129" s="447"/>
      <c r="AW129" s="447"/>
      <c r="AX129" s="447"/>
      <c r="AY129" s="447"/>
      <c r="AZ129" s="447"/>
      <c r="BA129" s="447"/>
      <c r="BB129" s="447"/>
      <c r="BC129" s="447"/>
      <c r="BD129" s="447"/>
      <c r="BE129" s="447"/>
      <c r="BF129" s="447"/>
      <c r="BG129" s="447"/>
      <c r="BH129" s="447"/>
      <c r="BI129" s="447"/>
      <c r="BJ129" s="447"/>
      <c r="BK129" s="447"/>
      <c r="BL129" s="447"/>
      <c r="BM129" s="448"/>
      <c r="BN129" s="448"/>
    </row>
    <row r="130" spans="1:66" ht="11.25" customHeight="1">
      <c r="A130" s="450"/>
      <c r="B130" s="447"/>
      <c r="C130" s="447"/>
      <c r="D130" s="447"/>
      <c r="E130" s="447"/>
      <c r="F130" s="447"/>
      <c r="G130" s="447"/>
      <c r="H130" s="447"/>
      <c r="I130" s="447"/>
      <c r="J130" s="447"/>
      <c r="K130" s="447"/>
      <c r="L130" s="447"/>
      <c r="M130" s="447"/>
      <c r="N130" s="447"/>
      <c r="O130" s="447"/>
      <c r="P130" s="447"/>
      <c r="Q130" s="447"/>
      <c r="R130" s="447"/>
      <c r="S130" s="447"/>
      <c r="T130" s="447"/>
      <c r="U130" s="447"/>
      <c r="V130" s="447"/>
      <c r="W130" s="447"/>
      <c r="X130" s="447"/>
      <c r="Y130" s="447"/>
      <c r="Z130" s="447"/>
      <c r="AA130" s="447"/>
      <c r="AB130" s="447"/>
      <c r="AC130" s="447"/>
      <c r="AD130" s="447"/>
      <c r="AE130" s="447"/>
      <c r="AF130" s="448"/>
      <c r="AG130" s="448"/>
      <c r="AH130" s="449"/>
      <c r="AI130" s="447"/>
      <c r="AJ130" s="447"/>
      <c r="AK130" s="447"/>
      <c r="AL130" s="447"/>
      <c r="AM130" s="447"/>
      <c r="AN130" s="447"/>
      <c r="AO130" s="447"/>
      <c r="AP130" s="447"/>
      <c r="AQ130" s="447"/>
      <c r="AR130" s="447"/>
      <c r="AS130" s="447"/>
      <c r="AT130" s="447"/>
      <c r="AU130" s="447"/>
      <c r="AV130" s="447"/>
      <c r="AW130" s="447"/>
      <c r="AX130" s="447"/>
      <c r="AY130" s="447"/>
      <c r="AZ130" s="447"/>
      <c r="BA130" s="447"/>
      <c r="BB130" s="447"/>
      <c r="BC130" s="447"/>
      <c r="BD130" s="447"/>
      <c r="BE130" s="447"/>
      <c r="BF130" s="447"/>
      <c r="BG130" s="447"/>
      <c r="BH130" s="447"/>
      <c r="BI130" s="447"/>
      <c r="BJ130" s="447"/>
      <c r="BK130" s="447"/>
      <c r="BL130" s="447"/>
      <c r="BM130" s="448"/>
      <c r="BN130" s="448"/>
    </row>
    <row r="131" spans="1:66" ht="11.25" customHeight="1">
      <c r="A131" s="450"/>
      <c r="B131" s="447"/>
      <c r="C131" s="447"/>
      <c r="D131" s="447"/>
      <c r="E131" s="447"/>
      <c r="F131" s="447"/>
      <c r="G131" s="447"/>
      <c r="H131" s="447"/>
      <c r="I131" s="447"/>
      <c r="J131" s="447"/>
      <c r="K131" s="447"/>
      <c r="L131" s="447"/>
      <c r="M131" s="447"/>
      <c r="N131" s="447"/>
      <c r="O131" s="447"/>
      <c r="P131" s="447"/>
      <c r="Q131" s="447"/>
      <c r="R131" s="447"/>
      <c r="S131" s="447"/>
      <c r="T131" s="447"/>
      <c r="U131" s="447"/>
      <c r="V131" s="447"/>
      <c r="W131" s="447"/>
      <c r="X131" s="447"/>
      <c r="Y131" s="447"/>
      <c r="Z131" s="447"/>
      <c r="AA131" s="447"/>
      <c r="AB131" s="447"/>
      <c r="AC131" s="447"/>
      <c r="AD131" s="447"/>
      <c r="AE131" s="447"/>
      <c r="AF131" s="448"/>
      <c r="AG131" s="448"/>
      <c r="AH131" s="449"/>
      <c r="AI131" s="447"/>
      <c r="AJ131" s="447"/>
      <c r="AK131" s="447"/>
      <c r="AL131" s="447"/>
      <c r="AM131" s="447"/>
      <c r="AN131" s="447"/>
      <c r="AO131" s="447"/>
      <c r="AP131" s="447"/>
      <c r="AQ131" s="447"/>
      <c r="AR131" s="447"/>
      <c r="AS131" s="447"/>
      <c r="AT131" s="447"/>
      <c r="AU131" s="447"/>
      <c r="AV131" s="447"/>
      <c r="AW131" s="447"/>
      <c r="AX131" s="447"/>
      <c r="AY131" s="447"/>
      <c r="AZ131" s="447"/>
      <c r="BA131" s="447"/>
      <c r="BB131" s="447"/>
      <c r="BC131" s="447"/>
      <c r="BD131" s="447"/>
      <c r="BE131" s="447"/>
      <c r="BF131" s="447"/>
      <c r="BG131" s="447"/>
      <c r="BH131" s="447"/>
      <c r="BI131" s="447"/>
      <c r="BJ131" s="447"/>
      <c r="BK131" s="447"/>
      <c r="BL131" s="447"/>
      <c r="BM131" s="448"/>
      <c r="BN131" s="448"/>
    </row>
    <row r="132" spans="1:66" ht="11.25" customHeight="1">
      <c r="A132" s="450"/>
      <c r="B132" s="447"/>
      <c r="C132" s="447"/>
      <c r="D132" s="447"/>
      <c r="E132" s="447"/>
      <c r="F132" s="447"/>
      <c r="G132" s="447"/>
      <c r="H132" s="447"/>
      <c r="I132" s="447"/>
      <c r="J132" s="447"/>
      <c r="K132" s="447"/>
      <c r="L132" s="447"/>
      <c r="M132" s="447"/>
      <c r="N132" s="447"/>
      <c r="O132" s="447"/>
      <c r="P132" s="447"/>
      <c r="Q132" s="447"/>
      <c r="R132" s="447"/>
      <c r="S132" s="447"/>
      <c r="T132" s="447"/>
      <c r="U132" s="447"/>
      <c r="V132" s="447"/>
      <c r="W132" s="447"/>
      <c r="X132" s="447"/>
      <c r="Y132" s="447"/>
      <c r="Z132" s="447"/>
      <c r="AA132" s="447"/>
      <c r="AB132" s="447"/>
      <c r="AC132" s="447"/>
      <c r="AD132" s="447"/>
      <c r="AE132" s="447"/>
      <c r="AF132" s="448"/>
      <c r="AG132" s="448"/>
      <c r="AH132" s="449"/>
      <c r="AI132" s="447"/>
      <c r="AJ132" s="447"/>
      <c r="AK132" s="447"/>
      <c r="AL132" s="447"/>
      <c r="AM132" s="447"/>
      <c r="AN132" s="447"/>
      <c r="AO132" s="447"/>
      <c r="AP132" s="447"/>
      <c r="AQ132" s="447"/>
      <c r="AR132" s="447"/>
      <c r="AS132" s="447"/>
      <c r="AT132" s="447"/>
      <c r="AU132" s="447"/>
      <c r="AV132" s="447"/>
      <c r="AW132" s="447"/>
      <c r="AX132" s="447"/>
      <c r="AY132" s="447"/>
      <c r="AZ132" s="447"/>
      <c r="BA132" s="447"/>
      <c r="BB132" s="447"/>
      <c r="BC132" s="447"/>
      <c r="BD132" s="447"/>
      <c r="BE132" s="447"/>
      <c r="BF132" s="447"/>
      <c r="BG132" s="447"/>
      <c r="BH132" s="447"/>
      <c r="BI132" s="447"/>
      <c r="BJ132" s="447"/>
      <c r="BK132" s="447"/>
      <c r="BL132" s="447"/>
      <c r="BM132" s="448"/>
      <c r="BN132" s="448"/>
    </row>
    <row r="133" spans="1:66" ht="11.25" customHeight="1">
      <c r="A133" s="450"/>
      <c r="B133" s="447"/>
      <c r="C133" s="447"/>
      <c r="D133" s="447"/>
      <c r="E133" s="447"/>
      <c r="F133" s="447"/>
      <c r="G133" s="447"/>
      <c r="H133" s="447"/>
      <c r="I133" s="447"/>
      <c r="J133" s="447"/>
      <c r="K133" s="447"/>
      <c r="L133" s="447"/>
      <c r="M133" s="447"/>
      <c r="N133" s="447"/>
      <c r="O133" s="447"/>
      <c r="P133" s="447"/>
      <c r="Q133" s="447"/>
      <c r="R133" s="447"/>
      <c r="S133" s="447"/>
      <c r="T133" s="447"/>
      <c r="U133" s="447"/>
      <c r="V133" s="447"/>
      <c r="W133" s="447"/>
      <c r="X133" s="447"/>
      <c r="Y133" s="447"/>
      <c r="Z133" s="447"/>
      <c r="AA133" s="447"/>
      <c r="AB133" s="447"/>
      <c r="AC133" s="447"/>
      <c r="AD133" s="447"/>
      <c r="AE133" s="447"/>
      <c r="AF133" s="448"/>
      <c r="AG133" s="448"/>
      <c r="AH133" s="449"/>
      <c r="AI133" s="447"/>
      <c r="AJ133" s="447"/>
      <c r="AK133" s="447"/>
      <c r="AL133" s="447"/>
      <c r="AM133" s="447"/>
      <c r="AN133" s="447"/>
      <c r="AO133" s="447"/>
      <c r="AP133" s="447"/>
      <c r="AQ133" s="447"/>
      <c r="AR133" s="447"/>
      <c r="AS133" s="447"/>
      <c r="AT133" s="447"/>
      <c r="AU133" s="447"/>
      <c r="AV133" s="447"/>
      <c r="AW133" s="447"/>
      <c r="AX133" s="447"/>
      <c r="AY133" s="447"/>
      <c r="AZ133" s="447"/>
      <c r="BA133" s="447"/>
      <c r="BB133" s="447"/>
      <c r="BC133" s="447"/>
      <c r="BD133" s="447"/>
      <c r="BE133" s="447"/>
      <c r="BF133" s="447"/>
      <c r="BG133" s="447"/>
      <c r="BH133" s="447"/>
      <c r="BI133" s="447"/>
      <c r="BJ133" s="447"/>
      <c r="BK133" s="447"/>
      <c r="BL133" s="447"/>
      <c r="BM133" s="448"/>
      <c r="BN133" s="448"/>
    </row>
    <row r="134" spans="1:66" ht="11.25" customHeight="1">
      <c r="A134" s="450"/>
      <c r="B134" s="447"/>
      <c r="C134" s="447"/>
      <c r="D134" s="447"/>
      <c r="E134" s="447"/>
      <c r="F134" s="447"/>
      <c r="G134" s="447"/>
      <c r="H134" s="447"/>
      <c r="I134" s="447"/>
      <c r="J134" s="447"/>
      <c r="K134" s="447"/>
      <c r="L134" s="447"/>
      <c r="M134" s="447"/>
      <c r="N134" s="447"/>
      <c r="O134" s="447"/>
      <c r="P134" s="447"/>
      <c r="Q134" s="447"/>
      <c r="R134" s="447"/>
      <c r="S134" s="447"/>
      <c r="T134" s="447"/>
      <c r="U134" s="447"/>
      <c r="V134" s="447"/>
      <c r="W134" s="447"/>
      <c r="X134" s="447"/>
      <c r="Y134" s="447"/>
      <c r="Z134" s="447"/>
      <c r="AA134" s="447"/>
      <c r="AB134" s="447"/>
      <c r="AC134" s="447"/>
      <c r="AD134" s="447"/>
      <c r="AE134" s="447"/>
      <c r="AF134" s="448"/>
      <c r="AG134" s="448"/>
      <c r="AH134" s="449"/>
      <c r="AI134" s="447"/>
      <c r="AJ134" s="447"/>
      <c r="AK134" s="447"/>
      <c r="AL134" s="447"/>
      <c r="AM134" s="447"/>
      <c r="AN134" s="447"/>
      <c r="AO134" s="447"/>
      <c r="AP134" s="447"/>
      <c r="AQ134" s="447"/>
      <c r="AR134" s="447"/>
      <c r="AS134" s="447"/>
      <c r="AT134" s="447"/>
      <c r="AU134" s="447"/>
      <c r="AV134" s="447"/>
      <c r="AW134" s="447"/>
      <c r="AX134" s="447"/>
      <c r="AY134" s="447"/>
      <c r="AZ134" s="447"/>
      <c r="BA134" s="447"/>
      <c r="BB134" s="447"/>
      <c r="BC134" s="447"/>
      <c r="BD134" s="447"/>
      <c r="BE134" s="447"/>
      <c r="BF134" s="447"/>
      <c r="BG134" s="447"/>
      <c r="BH134" s="447"/>
      <c r="BI134" s="447"/>
      <c r="BJ134" s="447"/>
      <c r="BK134" s="447"/>
      <c r="BL134" s="447"/>
      <c r="BM134" s="448"/>
      <c r="BN134" s="448"/>
    </row>
    <row r="135" spans="1:66" ht="11.25" customHeight="1">
      <c r="A135" s="450"/>
      <c r="B135" s="447"/>
      <c r="C135" s="447"/>
      <c r="D135" s="447"/>
      <c r="E135" s="447"/>
      <c r="F135" s="447"/>
      <c r="G135" s="447"/>
      <c r="H135" s="447"/>
      <c r="I135" s="447"/>
      <c r="J135" s="447"/>
      <c r="K135" s="447"/>
      <c r="L135" s="447"/>
      <c r="M135" s="447"/>
      <c r="N135" s="447"/>
      <c r="O135" s="447"/>
      <c r="P135" s="447"/>
      <c r="Q135" s="447"/>
      <c r="R135" s="447"/>
      <c r="S135" s="447"/>
      <c r="T135" s="447"/>
      <c r="U135" s="447"/>
      <c r="V135" s="447"/>
      <c r="W135" s="447"/>
      <c r="X135" s="447"/>
      <c r="Y135" s="447"/>
      <c r="Z135" s="447"/>
      <c r="AA135" s="447"/>
      <c r="AB135" s="447"/>
      <c r="AC135" s="447"/>
      <c r="AD135" s="447"/>
      <c r="AE135" s="447"/>
      <c r="AF135" s="448"/>
      <c r="AG135" s="448"/>
      <c r="AH135" s="449"/>
      <c r="AI135" s="447"/>
      <c r="AJ135" s="447"/>
      <c r="AK135" s="447"/>
      <c r="AL135" s="447"/>
      <c r="AM135" s="447"/>
      <c r="AN135" s="447"/>
      <c r="AO135" s="447"/>
      <c r="AP135" s="447"/>
      <c r="AQ135" s="447"/>
      <c r="AR135" s="447"/>
      <c r="AS135" s="447"/>
      <c r="AT135" s="447"/>
      <c r="AU135" s="447"/>
      <c r="AV135" s="447"/>
      <c r="AW135" s="447"/>
      <c r="AX135" s="447"/>
      <c r="AY135" s="447"/>
      <c r="AZ135" s="447"/>
      <c r="BA135" s="447"/>
      <c r="BB135" s="447"/>
      <c r="BC135" s="447"/>
      <c r="BD135" s="447"/>
      <c r="BE135" s="447"/>
      <c r="BF135" s="447"/>
      <c r="BG135" s="447"/>
      <c r="BH135" s="447"/>
      <c r="BI135" s="447"/>
      <c r="BJ135" s="447"/>
      <c r="BK135" s="447"/>
      <c r="BL135" s="447"/>
      <c r="BM135" s="448"/>
      <c r="BN135" s="448"/>
    </row>
    <row r="136" spans="1:66" ht="11.25" customHeight="1">
      <c r="A136" s="450"/>
      <c r="B136" s="447"/>
      <c r="C136" s="447"/>
      <c r="D136" s="447"/>
      <c r="E136" s="447"/>
      <c r="F136" s="447"/>
      <c r="G136" s="447"/>
      <c r="H136" s="447"/>
      <c r="I136" s="447"/>
      <c r="J136" s="447"/>
      <c r="K136" s="447"/>
      <c r="L136" s="447"/>
      <c r="M136" s="447"/>
      <c r="N136" s="447"/>
      <c r="O136" s="447"/>
      <c r="P136" s="447"/>
      <c r="Q136" s="447"/>
      <c r="R136" s="447"/>
      <c r="S136" s="447"/>
      <c r="T136" s="447"/>
      <c r="U136" s="447"/>
      <c r="V136" s="447"/>
      <c r="W136" s="447"/>
      <c r="X136" s="447"/>
      <c r="Y136" s="447"/>
      <c r="Z136" s="447"/>
      <c r="AA136" s="447"/>
      <c r="AB136" s="447"/>
      <c r="AC136" s="447"/>
      <c r="AD136" s="447"/>
      <c r="AE136" s="447"/>
      <c r="AF136" s="448"/>
      <c r="AG136" s="448"/>
      <c r="AH136" s="449"/>
      <c r="AI136" s="447"/>
      <c r="AJ136" s="447"/>
      <c r="AK136" s="447"/>
      <c r="AL136" s="447"/>
      <c r="AM136" s="447"/>
      <c r="AN136" s="447"/>
      <c r="AO136" s="447"/>
      <c r="AP136" s="447"/>
      <c r="AQ136" s="447"/>
      <c r="AR136" s="447"/>
      <c r="AS136" s="447"/>
      <c r="AT136" s="447"/>
      <c r="AU136" s="447"/>
      <c r="AV136" s="447"/>
      <c r="AW136" s="447"/>
      <c r="AX136" s="447"/>
      <c r="AY136" s="447"/>
      <c r="AZ136" s="447"/>
      <c r="BA136" s="447"/>
      <c r="BB136" s="447"/>
      <c r="BC136" s="447"/>
      <c r="BD136" s="447"/>
      <c r="BE136" s="447"/>
      <c r="BF136" s="447"/>
      <c r="BG136" s="447"/>
      <c r="BH136" s="447"/>
      <c r="BI136" s="447"/>
      <c r="BJ136" s="447"/>
      <c r="BK136" s="447"/>
      <c r="BL136" s="447"/>
      <c r="BM136" s="448"/>
      <c r="BN136" s="448"/>
    </row>
    <row r="137" spans="1:66" ht="11.25" customHeight="1">
      <c r="A137" s="450"/>
      <c r="B137" s="447"/>
      <c r="C137" s="447"/>
      <c r="D137" s="447"/>
      <c r="E137" s="447"/>
      <c r="F137" s="447"/>
      <c r="G137" s="447"/>
      <c r="H137" s="447"/>
      <c r="I137" s="447"/>
      <c r="J137" s="447"/>
      <c r="K137" s="447"/>
      <c r="L137" s="447"/>
      <c r="M137" s="447"/>
      <c r="N137" s="447"/>
      <c r="O137" s="447"/>
      <c r="P137" s="447"/>
      <c r="Q137" s="447"/>
      <c r="R137" s="447"/>
      <c r="S137" s="447"/>
      <c r="T137" s="447"/>
      <c r="U137" s="447"/>
      <c r="V137" s="447"/>
      <c r="W137" s="447"/>
      <c r="X137" s="447"/>
      <c r="Y137" s="447"/>
      <c r="Z137" s="447"/>
      <c r="AA137" s="447"/>
      <c r="AB137" s="447"/>
      <c r="AC137" s="447"/>
      <c r="AD137" s="447"/>
      <c r="AE137" s="447"/>
      <c r="AF137" s="448"/>
      <c r="AG137" s="448"/>
      <c r="AH137" s="449"/>
      <c r="AI137" s="447"/>
      <c r="AJ137" s="447"/>
      <c r="AK137" s="447"/>
      <c r="AL137" s="447"/>
      <c r="AM137" s="447"/>
      <c r="AN137" s="447"/>
      <c r="AO137" s="447"/>
      <c r="AP137" s="447"/>
      <c r="AQ137" s="447"/>
      <c r="AR137" s="447"/>
      <c r="AS137" s="447"/>
      <c r="AT137" s="447"/>
      <c r="AU137" s="447"/>
      <c r="AV137" s="447"/>
      <c r="AW137" s="447"/>
      <c r="AX137" s="447"/>
      <c r="AY137" s="447"/>
      <c r="AZ137" s="447"/>
      <c r="BA137" s="447"/>
      <c r="BB137" s="447"/>
      <c r="BC137" s="447"/>
      <c r="BD137" s="447"/>
      <c r="BE137" s="447"/>
      <c r="BF137" s="447"/>
      <c r="BG137" s="447"/>
      <c r="BH137" s="447"/>
      <c r="BI137" s="447"/>
      <c r="BJ137" s="447"/>
      <c r="BK137" s="447"/>
      <c r="BL137" s="447"/>
      <c r="BM137" s="448"/>
      <c r="BN137" s="448"/>
    </row>
    <row r="138" spans="1:66" ht="11.25" customHeight="1">
      <c r="A138" s="450"/>
      <c r="B138" s="447"/>
      <c r="C138" s="447"/>
      <c r="D138" s="447"/>
      <c r="E138" s="447"/>
      <c r="F138" s="447"/>
      <c r="G138" s="447"/>
      <c r="H138" s="447"/>
      <c r="I138" s="447"/>
      <c r="J138" s="447"/>
      <c r="K138" s="447"/>
      <c r="L138" s="447"/>
      <c r="M138" s="447"/>
      <c r="N138" s="447"/>
      <c r="O138" s="447"/>
      <c r="P138" s="447"/>
      <c r="Q138" s="447"/>
      <c r="R138" s="447"/>
      <c r="S138" s="447"/>
      <c r="T138" s="447"/>
      <c r="U138" s="447"/>
      <c r="V138" s="447"/>
      <c r="W138" s="447"/>
      <c r="X138" s="447"/>
      <c r="Y138" s="447"/>
      <c r="Z138" s="447"/>
      <c r="AA138" s="447"/>
      <c r="AB138" s="447"/>
      <c r="AC138" s="447"/>
      <c r="AD138" s="447"/>
      <c r="AE138" s="447"/>
      <c r="AF138" s="448"/>
      <c r="AG138" s="448"/>
      <c r="AH138" s="449"/>
      <c r="AI138" s="447"/>
      <c r="AJ138" s="447"/>
      <c r="AK138" s="447"/>
      <c r="AL138" s="447"/>
      <c r="AM138" s="447"/>
      <c r="AN138" s="447"/>
      <c r="AO138" s="447"/>
      <c r="AP138" s="447"/>
      <c r="AQ138" s="447"/>
      <c r="AR138" s="447"/>
      <c r="AS138" s="447"/>
      <c r="AT138" s="447"/>
      <c r="AU138" s="447"/>
      <c r="AV138" s="447"/>
      <c r="AW138" s="447"/>
      <c r="AX138" s="447"/>
      <c r="AY138" s="447"/>
      <c r="AZ138" s="447"/>
      <c r="BA138" s="447"/>
      <c r="BB138" s="447"/>
      <c r="BC138" s="447"/>
      <c r="BD138" s="447"/>
      <c r="BE138" s="447"/>
      <c r="BF138" s="447"/>
      <c r="BG138" s="447"/>
      <c r="BH138" s="447"/>
      <c r="BI138" s="447"/>
      <c r="BJ138" s="447"/>
      <c r="BK138" s="447"/>
      <c r="BL138" s="447"/>
      <c r="BM138" s="448"/>
      <c r="BN138" s="448"/>
    </row>
    <row r="139" spans="1:66" ht="11.25" customHeight="1">
      <c r="A139" s="450"/>
      <c r="B139" s="447"/>
      <c r="C139" s="447"/>
      <c r="D139" s="447"/>
      <c r="E139" s="447"/>
      <c r="F139" s="447"/>
      <c r="G139" s="447"/>
      <c r="H139" s="447"/>
      <c r="I139" s="447"/>
      <c r="J139" s="447"/>
      <c r="K139" s="447"/>
      <c r="L139" s="447"/>
      <c r="M139" s="447"/>
      <c r="N139" s="447"/>
      <c r="O139" s="447"/>
      <c r="P139" s="447"/>
      <c r="Q139" s="447"/>
      <c r="R139" s="447"/>
      <c r="S139" s="447"/>
      <c r="T139" s="447"/>
      <c r="U139" s="447"/>
      <c r="V139" s="447"/>
      <c r="W139" s="447"/>
      <c r="X139" s="447"/>
      <c r="Y139" s="447"/>
      <c r="Z139" s="447"/>
      <c r="AA139" s="447"/>
      <c r="AB139" s="447"/>
      <c r="AC139" s="447"/>
      <c r="AD139" s="447"/>
      <c r="AE139" s="447"/>
      <c r="AF139" s="448"/>
      <c r="AG139" s="448"/>
      <c r="AH139" s="449"/>
      <c r="AI139" s="447"/>
      <c r="AJ139" s="447"/>
      <c r="AK139" s="447"/>
      <c r="AL139" s="447"/>
      <c r="AM139" s="447"/>
      <c r="AN139" s="447"/>
      <c r="AO139" s="447"/>
      <c r="AP139" s="447"/>
      <c r="AQ139" s="447"/>
      <c r="AR139" s="447"/>
      <c r="AS139" s="447"/>
      <c r="AT139" s="447"/>
      <c r="AU139" s="447"/>
      <c r="AV139" s="447"/>
      <c r="AW139" s="447"/>
      <c r="AX139" s="447"/>
      <c r="AY139" s="447"/>
      <c r="AZ139" s="447"/>
      <c r="BA139" s="447"/>
      <c r="BB139" s="447"/>
      <c r="BC139" s="447"/>
      <c r="BD139" s="447"/>
      <c r="BE139" s="447"/>
      <c r="BF139" s="447"/>
      <c r="BG139" s="447"/>
      <c r="BH139" s="447"/>
      <c r="BI139" s="447"/>
      <c r="BJ139" s="447"/>
      <c r="BK139" s="447"/>
      <c r="BL139" s="447"/>
      <c r="BM139" s="448"/>
      <c r="BN139" s="448"/>
    </row>
    <row r="140" spans="1:66" ht="11.25" customHeight="1">
      <c r="A140" s="450"/>
      <c r="B140" s="447"/>
      <c r="C140" s="447"/>
      <c r="D140" s="447"/>
      <c r="E140" s="447"/>
      <c r="F140" s="447"/>
      <c r="G140" s="447"/>
      <c r="H140" s="447"/>
      <c r="I140" s="447"/>
      <c r="J140" s="447"/>
      <c r="K140" s="447"/>
      <c r="L140" s="447"/>
      <c r="M140" s="447"/>
      <c r="N140" s="447"/>
      <c r="O140" s="447"/>
      <c r="P140" s="447"/>
      <c r="Q140" s="447"/>
      <c r="R140" s="447"/>
      <c r="S140" s="447"/>
      <c r="T140" s="447"/>
      <c r="U140" s="447"/>
      <c r="V140" s="447"/>
      <c r="W140" s="447"/>
      <c r="X140" s="447"/>
      <c r="Y140" s="447"/>
      <c r="Z140" s="447"/>
      <c r="AA140" s="447"/>
      <c r="AB140" s="447"/>
      <c r="AC140" s="447"/>
      <c r="AD140" s="447"/>
      <c r="AE140" s="447"/>
      <c r="AF140" s="448"/>
      <c r="AG140" s="448"/>
      <c r="AH140" s="449"/>
      <c r="AI140" s="447"/>
      <c r="AJ140" s="447"/>
      <c r="AK140" s="447"/>
      <c r="AL140" s="447"/>
      <c r="AM140" s="447"/>
      <c r="AN140" s="447"/>
      <c r="AO140" s="447"/>
      <c r="AP140" s="447"/>
      <c r="AQ140" s="447"/>
      <c r="AR140" s="447"/>
      <c r="AS140" s="447"/>
      <c r="AT140" s="447"/>
      <c r="AU140" s="447"/>
      <c r="AV140" s="447"/>
      <c r="AW140" s="447"/>
      <c r="AX140" s="447"/>
      <c r="AY140" s="447"/>
      <c r="AZ140" s="447"/>
      <c r="BA140" s="447"/>
      <c r="BB140" s="447"/>
      <c r="BC140" s="447"/>
      <c r="BD140" s="447"/>
      <c r="BE140" s="447"/>
      <c r="BF140" s="447"/>
      <c r="BG140" s="447"/>
      <c r="BH140" s="447"/>
      <c r="BI140" s="447"/>
      <c r="BJ140" s="447"/>
      <c r="BK140" s="447"/>
      <c r="BL140" s="447"/>
      <c r="BM140" s="448"/>
      <c r="BN140" s="448"/>
    </row>
    <row r="141" spans="1:66" ht="11.25" customHeight="1">
      <c r="A141" s="450"/>
      <c r="B141" s="447"/>
      <c r="C141" s="447"/>
      <c r="D141" s="447"/>
      <c r="E141" s="447"/>
      <c r="F141" s="447"/>
      <c r="G141" s="447"/>
      <c r="H141" s="447"/>
      <c r="I141" s="447"/>
      <c r="J141" s="447"/>
      <c r="K141" s="447"/>
      <c r="L141" s="447"/>
      <c r="M141" s="447"/>
      <c r="N141" s="447"/>
      <c r="O141" s="447"/>
      <c r="P141" s="447"/>
      <c r="Q141" s="447"/>
      <c r="R141" s="447"/>
      <c r="S141" s="447"/>
      <c r="T141" s="447"/>
      <c r="U141" s="447"/>
      <c r="V141" s="447"/>
      <c r="W141" s="447"/>
      <c r="X141" s="447"/>
      <c r="Y141" s="447"/>
      <c r="Z141" s="447"/>
      <c r="AA141" s="447"/>
      <c r="AB141" s="447"/>
      <c r="AC141" s="447"/>
      <c r="AD141" s="447"/>
      <c r="AE141" s="447"/>
      <c r="AF141" s="448"/>
      <c r="AG141" s="448"/>
      <c r="AH141" s="449"/>
      <c r="AI141" s="447"/>
      <c r="AJ141" s="447"/>
      <c r="AK141" s="447"/>
      <c r="AL141" s="447"/>
      <c r="AM141" s="447"/>
      <c r="AN141" s="447"/>
      <c r="AO141" s="447"/>
      <c r="AP141" s="447"/>
      <c r="AQ141" s="447"/>
      <c r="AR141" s="447"/>
      <c r="AS141" s="447"/>
      <c r="AT141" s="447"/>
      <c r="AU141" s="447"/>
      <c r="AV141" s="447"/>
      <c r="AW141" s="447"/>
      <c r="AX141" s="447"/>
      <c r="AY141" s="447"/>
      <c r="AZ141" s="447"/>
      <c r="BA141" s="447"/>
      <c r="BB141" s="447"/>
      <c r="BC141" s="447"/>
      <c r="BD141" s="447"/>
      <c r="BE141" s="447"/>
      <c r="BF141" s="447"/>
      <c r="BG141" s="447"/>
      <c r="BH141" s="447"/>
      <c r="BI141" s="447"/>
      <c r="BJ141" s="447"/>
      <c r="BK141" s="447"/>
      <c r="BL141" s="447"/>
      <c r="BM141" s="448"/>
      <c r="BN141" s="448"/>
    </row>
    <row r="142" spans="1:66" ht="11.25" customHeight="1">
      <c r="A142" s="450"/>
      <c r="B142" s="447"/>
      <c r="C142" s="447"/>
      <c r="D142" s="447"/>
      <c r="E142" s="447"/>
      <c r="F142" s="447"/>
      <c r="G142" s="447"/>
      <c r="H142" s="447"/>
      <c r="I142" s="447"/>
      <c r="J142" s="447"/>
      <c r="K142" s="447"/>
      <c r="L142" s="447"/>
      <c r="M142" s="447"/>
      <c r="N142" s="447"/>
      <c r="O142" s="447"/>
      <c r="P142" s="447"/>
      <c r="Q142" s="447"/>
      <c r="R142" s="447"/>
      <c r="S142" s="447"/>
      <c r="T142" s="447"/>
      <c r="U142" s="447"/>
      <c r="V142" s="447"/>
      <c r="W142" s="447"/>
      <c r="X142" s="447"/>
      <c r="Y142" s="447"/>
      <c r="Z142" s="447"/>
      <c r="AA142" s="447"/>
      <c r="AB142" s="447"/>
      <c r="AC142" s="447"/>
      <c r="AD142" s="447"/>
      <c r="AE142" s="447"/>
      <c r="AF142" s="448"/>
      <c r="AG142" s="448"/>
      <c r="AH142" s="449"/>
      <c r="AI142" s="447"/>
      <c r="AJ142" s="447"/>
      <c r="AK142" s="447"/>
      <c r="AL142" s="447"/>
      <c r="AM142" s="447"/>
      <c r="AN142" s="447"/>
      <c r="AO142" s="447"/>
      <c r="AP142" s="447"/>
      <c r="AQ142" s="447"/>
      <c r="AR142" s="447"/>
      <c r="AS142" s="447"/>
      <c r="AT142" s="447"/>
      <c r="AU142" s="447"/>
      <c r="AV142" s="447"/>
      <c r="AW142" s="447"/>
      <c r="AX142" s="447"/>
      <c r="AY142" s="447"/>
      <c r="AZ142" s="447"/>
      <c r="BA142" s="447"/>
      <c r="BB142" s="447"/>
      <c r="BC142" s="447"/>
      <c r="BD142" s="447"/>
      <c r="BE142" s="447"/>
      <c r="BF142" s="447"/>
      <c r="BG142" s="447"/>
      <c r="BH142" s="447"/>
      <c r="BI142" s="447"/>
      <c r="BJ142" s="447"/>
      <c r="BK142" s="447"/>
      <c r="BL142" s="447"/>
      <c r="BM142" s="448"/>
      <c r="BN142" s="448"/>
    </row>
    <row r="143" spans="1:66" ht="11.25" customHeight="1">
      <c r="A143" s="450"/>
      <c r="B143" s="447"/>
      <c r="C143" s="447"/>
      <c r="D143" s="447"/>
      <c r="E143" s="447"/>
      <c r="F143" s="447"/>
      <c r="G143" s="447"/>
      <c r="H143" s="447"/>
      <c r="I143" s="447"/>
      <c r="J143" s="447"/>
      <c r="K143" s="447"/>
      <c r="L143" s="447"/>
      <c r="M143" s="447"/>
      <c r="N143" s="447"/>
      <c r="O143" s="447"/>
      <c r="P143" s="447"/>
      <c r="Q143" s="447"/>
      <c r="R143" s="447"/>
      <c r="S143" s="447"/>
      <c r="T143" s="447"/>
      <c r="U143" s="447"/>
      <c r="V143" s="447"/>
      <c r="W143" s="447"/>
      <c r="X143" s="447"/>
      <c r="Y143" s="447"/>
      <c r="Z143" s="447"/>
      <c r="AA143" s="447"/>
      <c r="AB143" s="447"/>
      <c r="AC143" s="447"/>
      <c r="AD143" s="447"/>
      <c r="AE143" s="447"/>
      <c r="AF143" s="448"/>
      <c r="AG143" s="448"/>
      <c r="AH143" s="449"/>
      <c r="AI143" s="447"/>
      <c r="AJ143" s="447"/>
      <c r="AK143" s="447"/>
      <c r="AL143" s="447"/>
      <c r="AM143" s="447"/>
      <c r="AN143" s="447"/>
      <c r="AO143" s="447"/>
      <c r="AP143" s="447"/>
      <c r="AQ143" s="447"/>
      <c r="AR143" s="447"/>
      <c r="AS143" s="447"/>
      <c r="AT143" s="447"/>
      <c r="AU143" s="447"/>
      <c r="AV143" s="447"/>
      <c r="AW143" s="447"/>
      <c r="AX143" s="447"/>
      <c r="AY143" s="447"/>
      <c r="AZ143" s="447"/>
      <c r="BA143" s="447"/>
      <c r="BB143" s="447"/>
      <c r="BC143" s="447"/>
      <c r="BD143" s="447"/>
      <c r="BE143" s="447"/>
      <c r="BF143" s="447"/>
      <c r="BG143" s="447"/>
      <c r="BH143" s="447"/>
      <c r="BI143" s="447"/>
      <c r="BJ143" s="447"/>
      <c r="BK143" s="447"/>
      <c r="BL143" s="447"/>
      <c r="BM143" s="448"/>
      <c r="BN143" s="448"/>
    </row>
    <row r="144" spans="1:66" ht="11.25" customHeight="1">
      <c r="A144" s="450"/>
      <c r="B144" s="447"/>
      <c r="C144" s="447"/>
      <c r="D144" s="447"/>
      <c r="E144" s="447"/>
      <c r="F144" s="447"/>
      <c r="G144" s="447"/>
      <c r="H144" s="447"/>
      <c r="I144" s="447"/>
      <c r="J144" s="447"/>
      <c r="K144" s="447"/>
      <c r="L144" s="447"/>
      <c r="M144" s="447"/>
      <c r="N144" s="447"/>
      <c r="O144" s="447"/>
      <c r="P144" s="447"/>
      <c r="Q144" s="447"/>
      <c r="R144" s="447"/>
      <c r="S144" s="447"/>
      <c r="T144" s="447"/>
      <c r="U144" s="447"/>
      <c r="V144" s="447"/>
      <c r="W144" s="447"/>
      <c r="X144" s="447"/>
      <c r="Y144" s="447"/>
      <c r="Z144" s="447"/>
      <c r="AA144" s="447"/>
      <c r="AB144" s="447"/>
      <c r="AC144" s="447"/>
      <c r="AD144" s="447"/>
      <c r="AE144" s="447"/>
      <c r="AF144" s="448"/>
      <c r="AG144" s="448"/>
      <c r="AH144" s="449"/>
      <c r="AI144" s="447"/>
      <c r="AJ144" s="447"/>
      <c r="AK144" s="447"/>
      <c r="AL144" s="447"/>
      <c r="AM144" s="447"/>
      <c r="AN144" s="447"/>
      <c r="AO144" s="447"/>
      <c r="AP144" s="447"/>
      <c r="AQ144" s="447"/>
      <c r="AR144" s="447"/>
      <c r="AS144" s="447"/>
      <c r="AT144" s="447"/>
      <c r="AU144" s="447"/>
      <c r="AV144" s="447"/>
      <c r="AW144" s="447"/>
      <c r="AX144" s="447"/>
      <c r="AY144" s="447"/>
      <c r="AZ144" s="447"/>
      <c r="BA144" s="447"/>
      <c r="BB144" s="447"/>
      <c r="BC144" s="447"/>
      <c r="BD144" s="447"/>
      <c r="BE144" s="447"/>
      <c r="BF144" s="447"/>
      <c r="BG144" s="447"/>
      <c r="BH144" s="447"/>
      <c r="BI144" s="447"/>
      <c r="BJ144" s="447"/>
      <c r="BK144" s="447"/>
      <c r="BL144" s="447"/>
      <c r="BM144" s="448"/>
      <c r="BN144" s="448"/>
    </row>
    <row r="145" spans="1:66" ht="11.25" customHeight="1">
      <c r="A145" s="450"/>
      <c r="B145" s="447"/>
      <c r="C145" s="447"/>
      <c r="D145" s="447"/>
      <c r="E145" s="447"/>
      <c r="F145" s="447"/>
      <c r="G145" s="447"/>
      <c r="H145" s="447"/>
      <c r="I145" s="447"/>
      <c r="J145" s="447"/>
      <c r="K145" s="447"/>
      <c r="L145" s="447"/>
      <c r="M145" s="447"/>
      <c r="N145" s="447"/>
      <c r="O145" s="447"/>
      <c r="P145" s="447"/>
      <c r="Q145" s="447"/>
      <c r="R145" s="447"/>
      <c r="S145" s="447"/>
      <c r="T145" s="447"/>
      <c r="U145" s="447"/>
      <c r="V145" s="447"/>
      <c r="W145" s="447"/>
      <c r="X145" s="447"/>
      <c r="Y145" s="447"/>
      <c r="Z145" s="447"/>
      <c r="AA145" s="447"/>
      <c r="AB145" s="447"/>
      <c r="AC145" s="447"/>
      <c r="AD145" s="447"/>
      <c r="AE145" s="447"/>
      <c r="AF145" s="448"/>
      <c r="AG145" s="448"/>
      <c r="AH145" s="449"/>
      <c r="AI145" s="447"/>
      <c r="AJ145" s="447"/>
      <c r="AK145" s="447"/>
      <c r="AL145" s="447"/>
      <c r="AM145" s="447"/>
      <c r="AN145" s="447"/>
      <c r="AO145" s="447"/>
      <c r="AP145" s="447"/>
      <c r="AQ145" s="447"/>
      <c r="AR145" s="447"/>
      <c r="AS145" s="447"/>
      <c r="AT145" s="447"/>
      <c r="AU145" s="447"/>
      <c r="AV145" s="447"/>
      <c r="AW145" s="447"/>
      <c r="AX145" s="447"/>
      <c r="AY145" s="447"/>
      <c r="AZ145" s="447"/>
      <c r="BA145" s="447"/>
      <c r="BB145" s="447"/>
      <c r="BC145" s="447"/>
      <c r="BD145" s="447"/>
      <c r="BE145" s="447"/>
      <c r="BF145" s="447"/>
      <c r="BG145" s="447"/>
      <c r="BH145" s="447"/>
      <c r="BI145" s="447"/>
      <c r="BJ145" s="447"/>
      <c r="BK145" s="447"/>
      <c r="BL145" s="447"/>
      <c r="BM145" s="448"/>
      <c r="BN145" s="448"/>
    </row>
    <row r="146" spans="1:66" ht="11.25" customHeight="1">
      <c r="A146" s="450"/>
      <c r="B146" s="447"/>
      <c r="C146" s="447"/>
      <c r="D146" s="447"/>
      <c r="E146" s="447"/>
      <c r="F146" s="447"/>
      <c r="G146" s="447"/>
      <c r="H146" s="447"/>
      <c r="I146" s="447"/>
      <c r="J146" s="447"/>
      <c r="K146" s="447"/>
      <c r="L146" s="447"/>
      <c r="M146" s="447"/>
      <c r="N146" s="447"/>
      <c r="O146" s="447"/>
      <c r="P146" s="447"/>
      <c r="Q146" s="447"/>
      <c r="R146" s="447"/>
      <c r="S146" s="447"/>
      <c r="T146" s="447"/>
      <c r="U146" s="447"/>
      <c r="V146" s="447"/>
      <c r="W146" s="447"/>
      <c r="X146" s="447"/>
      <c r="Y146" s="447"/>
      <c r="Z146" s="447"/>
      <c r="AA146" s="447"/>
      <c r="AB146" s="447"/>
      <c r="AC146" s="447"/>
      <c r="AD146" s="447"/>
      <c r="AE146" s="447"/>
      <c r="AF146" s="448"/>
      <c r="AG146" s="448"/>
      <c r="AH146" s="449"/>
      <c r="AI146" s="447"/>
      <c r="AJ146" s="447"/>
      <c r="AK146" s="447"/>
      <c r="AL146" s="447"/>
      <c r="AM146" s="447"/>
      <c r="AN146" s="447"/>
      <c r="AO146" s="447"/>
      <c r="AP146" s="447"/>
      <c r="AQ146" s="447"/>
      <c r="AR146" s="447"/>
      <c r="AS146" s="447"/>
      <c r="AT146" s="447"/>
      <c r="AU146" s="447"/>
      <c r="AV146" s="447"/>
      <c r="AW146" s="447"/>
      <c r="AX146" s="447"/>
      <c r="AY146" s="447"/>
      <c r="AZ146" s="447"/>
      <c r="BA146" s="447"/>
      <c r="BB146" s="447"/>
      <c r="BC146" s="447"/>
      <c r="BD146" s="447"/>
      <c r="BE146" s="447"/>
      <c r="BF146" s="447"/>
      <c r="BG146" s="447"/>
      <c r="BH146" s="447"/>
      <c r="BI146" s="447"/>
      <c r="BJ146" s="447"/>
      <c r="BK146" s="447"/>
      <c r="BL146" s="447"/>
      <c r="BM146" s="448"/>
      <c r="BN146" s="448"/>
    </row>
    <row r="147" spans="1:66" ht="11.25" customHeight="1">
      <c r="A147" s="450"/>
      <c r="B147" s="447"/>
      <c r="C147" s="447"/>
      <c r="D147" s="447"/>
      <c r="E147" s="447"/>
      <c r="F147" s="447"/>
      <c r="G147" s="447"/>
      <c r="H147" s="447"/>
      <c r="I147" s="447"/>
      <c r="J147" s="447"/>
      <c r="K147" s="447"/>
      <c r="L147" s="447"/>
      <c r="M147" s="447"/>
      <c r="N147" s="447"/>
      <c r="O147" s="447"/>
      <c r="P147" s="447"/>
      <c r="Q147" s="447"/>
      <c r="R147" s="447"/>
      <c r="S147" s="447"/>
      <c r="T147" s="447"/>
      <c r="U147" s="447"/>
      <c r="V147" s="447"/>
      <c r="W147" s="447"/>
      <c r="X147" s="447"/>
      <c r="Y147" s="447"/>
      <c r="Z147" s="447"/>
      <c r="AA147" s="447"/>
      <c r="AB147" s="447"/>
      <c r="AC147" s="447"/>
      <c r="AD147" s="447"/>
      <c r="AE147" s="447"/>
      <c r="AF147" s="448"/>
      <c r="AG147" s="448"/>
      <c r="AH147" s="449"/>
      <c r="AI147" s="447"/>
      <c r="AJ147" s="447"/>
      <c r="AK147" s="447"/>
      <c r="AL147" s="447"/>
      <c r="AM147" s="447"/>
      <c r="AN147" s="447"/>
      <c r="AO147" s="447"/>
      <c r="AP147" s="447"/>
      <c r="AQ147" s="447"/>
      <c r="AR147" s="447"/>
      <c r="AS147" s="447"/>
      <c r="AT147" s="447"/>
      <c r="AU147" s="447"/>
      <c r="AV147" s="447"/>
      <c r="AW147" s="447"/>
      <c r="AX147" s="447"/>
      <c r="AY147" s="447"/>
      <c r="AZ147" s="447"/>
      <c r="BA147" s="447"/>
      <c r="BB147" s="447"/>
      <c r="BC147" s="447"/>
      <c r="BD147" s="447"/>
      <c r="BE147" s="447"/>
      <c r="BF147" s="447"/>
      <c r="BG147" s="447"/>
      <c r="BH147" s="447"/>
      <c r="BI147" s="447"/>
      <c r="BJ147" s="447"/>
      <c r="BK147" s="447"/>
      <c r="BL147" s="447"/>
      <c r="BM147" s="448"/>
      <c r="BN147" s="448"/>
    </row>
    <row r="148" spans="1:66" ht="11.25" customHeight="1">
      <c r="A148" s="450"/>
      <c r="B148" s="447"/>
      <c r="C148" s="447"/>
      <c r="D148" s="447"/>
      <c r="E148" s="447"/>
      <c r="F148" s="447"/>
      <c r="G148" s="447"/>
      <c r="H148" s="447"/>
      <c r="I148" s="447"/>
      <c r="J148" s="447"/>
      <c r="K148" s="447"/>
      <c r="L148" s="447"/>
      <c r="M148" s="447"/>
      <c r="N148" s="447"/>
      <c r="O148" s="447"/>
      <c r="P148" s="447"/>
      <c r="Q148" s="447"/>
      <c r="R148" s="447"/>
      <c r="S148" s="447"/>
      <c r="T148" s="447"/>
      <c r="U148" s="447"/>
      <c r="V148" s="447"/>
      <c r="W148" s="447"/>
      <c r="X148" s="447"/>
      <c r="Y148" s="447"/>
      <c r="Z148" s="447"/>
      <c r="AA148" s="447"/>
      <c r="AB148" s="447"/>
      <c r="AC148" s="447"/>
      <c r="AD148" s="447"/>
      <c r="AE148" s="447"/>
      <c r="AF148" s="448"/>
      <c r="AG148" s="448"/>
      <c r="AH148" s="449"/>
      <c r="AI148" s="447"/>
      <c r="AJ148" s="447"/>
      <c r="AK148" s="447"/>
      <c r="AL148" s="447"/>
      <c r="AM148" s="447"/>
      <c r="AN148" s="447"/>
      <c r="AO148" s="447"/>
      <c r="AP148" s="447"/>
      <c r="AQ148" s="447"/>
      <c r="AR148" s="447"/>
      <c r="AS148" s="447"/>
      <c r="AT148" s="447"/>
      <c r="AU148" s="447"/>
      <c r="AV148" s="447"/>
      <c r="AW148" s="447"/>
      <c r="AX148" s="447"/>
      <c r="AY148" s="447"/>
      <c r="AZ148" s="447"/>
      <c r="BA148" s="447"/>
      <c r="BB148" s="447"/>
      <c r="BC148" s="447"/>
      <c r="BD148" s="447"/>
      <c r="BE148" s="447"/>
      <c r="BF148" s="447"/>
      <c r="BG148" s="447"/>
      <c r="BH148" s="447"/>
      <c r="BI148" s="447"/>
      <c r="BJ148" s="447"/>
      <c r="BK148" s="447"/>
      <c r="BL148" s="447"/>
      <c r="BM148" s="448"/>
      <c r="BN148" s="448"/>
    </row>
    <row r="149" spans="1:66" ht="11.25" customHeight="1">
      <c r="A149" s="450"/>
      <c r="B149" s="447"/>
      <c r="C149" s="447"/>
      <c r="D149" s="447"/>
      <c r="E149" s="447"/>
      <c r="F149" s="447"/>
      <c r="G149" s="447"/>
      <c r="H149" s="447"/>
      <c r="I149" s="447"/>
      <c r="J149" s="447"/>
      <c r="K149" s="447"/>
      <c r="L149" s="447"/>
      <c r="M149" s="447"/>
      <c r="N149" s="447"/>
      <c r="O149" s="447"/>
      <c r="P149" s="447"/>
      <c r="Q149" s="447"/>
      <c r="R149" s="447"/>
      <c r="S149" s="447"/>
      <c r="T149" s="447"/>
      <c r="U149" s="447"/>
      <c r="V149" s="447"/>
      <c r="W149" s="447"/>
      <c r="X149" s="447"/>
      <c r="Y149" s="447"/>
      <c r="Z149" s="447"/>
      <c r="AA149" s="447"/>
      <c r="AB149" s="447"/>
      <c r="AC149" s="447"/>
      <c r="AD149" s="447"/>
      <c r="AE149" s="447"/>
      <c r="AF149" s="448"/>
      <c r="AG149" s="448"/>
      <c r="AH149" s="449"/>
      <c r="AI149" s="447"/>
      <c r="AJ149" s="447"/>
      <c r="AK149" s="447"/>
      <c r="AL149" s="447"/>
      <c r="AM149" s="447"/>
      <c r="AN149" s="447"/>
      <c r="AO149" s="447"/>
      <c r="AP149" s="447"/>
      <c r="AQ149" s="447"/>
      <c r="AR149" s="447"/>
      <c r="AS149" s="447"/>
      <c r="AT149" s="447"/>
      <c r="AU149" s="447"/>
      <c r="AV149" s="447"/>
      <c r="AW149" s="447"/>
      <c r="AX149" s="447"/>
      <c r="AY149" s="447"/>
      <c r="AZ149" s="447"/>
      <c r="BA149" s="447"/>
      <c r="BB149" s="447"/>
      <c r="BC149" s="447"/>
      <c r="BD149" s="447"/>
      <c r="BE149" s="447"/>
      <c r="BF149" s="447"/>
      <c r="BG149" s="447"/>
      <c r="BH149" s="447"/>
      <c r="BI149" s="447"/>
      <c r="BJ149" s="447"/>
      <c r="BK149" s="447"/>
      <c r="BL149" s="447"/>
      <c r="BM149" s="448"/>
      <c r="BN149" s="448"/>
    </row>
    <row r="150" spans="1:66" ht="11.25" customHeight="1">
      <c r="A150" s="450"/>
      <c r="B150" s="447"/>
      <c r="C150" s="447"/>
      <c r="D150" s="447"/>
      <c r="E150" s="447"/>
      <c r="F150" s="447"/>
      <c r="G150" s="447"/>
      <c r="H150" s="447"/>
      <c r="I150" s="447"/>
      <c r="J150" s="447"/>
      <c r="K150" s="447"/>
      <c r="L150" s="447"/>
      <c r="M150" s="447"/>
      <c r="N150" s="447"/>
      <c r="O150" s="447"/>
      <c r="P150" s="447"/>
      <c r="Q150" s="447"/>
      <c r="R150" s="447"/>
      <c r="S150" s="447"/>
      <c r="T150" s="447"/>
      <c r="U150" s="447"/>
      <c r="V150" s="447"/>
      <c r="W150" s="447"/>
      <c r="X150" s="447"/>
      <c r="Y150" s="447"/>
      <c r="Z150" s="447"/>
      <c r="AA150" s="447"/>
      <c r="AB150" s="447"/>
      <c r="AC150" s="447"/>
      <c r="AD150" s="447"/>
      <c r="AE150" s="447"/>
      <c r="AF150" s="448"/>
      <c r="AG150" s="448"/>
      <c r="AH150" s="449"/>
      <c r="AI150" s="447"/>
      <c r="AJ150" s="447"/>
      <c r="AK150" s="447"/>
      <c r="AL150" s="447"/>
      <c r="AM150" s="447"/>
      <c r="AN150" s="447"/>
      <c r="AO150" s="447"/>
      <c r="AP150" s="447"/>
      <c r="AQ150" s="447"/>
      <c r="AR150" s="447"/>
      <c r="AS150" s="447"/>
      <c r="AT150" s="447"/>
      <c r="AU150" s="447"/>
      <c r="AV150" s="447"/>
      <c r="AW150" s="447"/>
      <c r="AX150" s="447"/>
      <c r="AY150" s="447"/>
      <c r="AZ150" s="447"/>
      <c r="BA150" s="447"/>
      <c r="BB150" s="447"/>
      <c r="BC150" s="447"/>
      <c r="BD150" s="447"/>
      <c r="BE150" s="447"/>
      <c r="BF150" s="447"/>
      <c r="BG150" s="447"/>
      <c r="BH150" s="447"/>
      <c r="BI150" s="447"/>
      <c r="BJ150" s="447"/>
      <c r="BK150" s="447"/>
      <c r="BL150" s="447"/>
      <c r="BM150" s="448"/>
      <c r="BN150" s="448"/>
    </row>
    <row r="151" spans="1:66" ht="11.25" customHeight="1">
      <c r="A151" s="450"/>
      <c r="B151" s="447"/>
      <c r="C151" s="447"/>
      <c r="D151" s="447"/>
      <c r="E151" s="447"/>
      <c r="F151" s="447"/>
      <c r="G151" s="447"/>
      <c r="H151" s="447"/>
      <c r="I151" s="447"/>
      <c r="J151" s="447"/>
      <c r="K151" s="447"/>
      <c r="L151" s="447"/>
      <c r="M151" s="447"/>
      <c r="N151" s="447"/>
      <c r="O151" s="447"/>
      <c r="P151" s="447"/>
      <c r="Q151" s="447"/>
      <c r="R151" s="447"/>
      <c r="S151" s="447"/>
      <c r="T151" s="447"/>
      <c r="U151" s="447"/>
      <c r="V151" s="447"/>
      <c r="W151" s="447"/>
      <c r="X151" s="447"/>
      <c r="Y151" s="447"/>
      <c r="Z151" s="447"/>
      <c r="AA151" s="447"/>
      <c r="AB151" s="447"/>
      <c r="AC151" s="447"/>
      <c r="AD151" s="447"/>
      <c r="AE151" s="447"/>
      <c r="AF151" s="448"/>
      <c r="AG151" s="448"/>
      <c r="AH151" s="449"/>
      <c r="AI151" s="447"/>
      <c r="AJ151" s="447"/>
      <c r="AK151" s="447"/>
      <c r="AL151" s="447"/>
      <c r="AM151" s="447"/>
      <c r="AN151" s="447"/>
      <c r="AO151" s="447"/>
      <c r="AP151" s="447"/>
      <c r="AQ151" s="447"/>
      <c r="AR151" s="447"/>
      <c r="AS151" s="447"/>
      <c r="AT151" s="447"/>
      <c r="AU151" s="447"/>
      <c r="AV151" s="447"/>
      <c r="AW151" s="447"/>
      <c r="AX151" s="447"/>
      <c r="AY151" s="447"/>
      <c r="AZ151" s="447"/>
      <c r="BA151" s="447"/>
      <c r="BB151" s="447"/>
      <c r="BC151" s="447"/>
      <c r="BD151" s="447"/>
      <c r="BE151" s="447"/>
      <c r="BF151" s="447"/>
      <c r="BG151" s="447"/>
      <c r="BH151" s="447"/>
      <c r="BI151" s="447"/>
      <c r="BJ151" s="447"/>
      <c r="BK151" s="447"/>
      <c r="BL151" s="447"/>
      <c r="BM151" s="448"/>
      <c r="BN151" s="448"/>
    </row>
    <row r="152" spans="1:66" ht="11.25" customHeight="1">
      <c r="A152" s="450"/>
      <c r="B152" s="447"/>
      <c r="C152" s="447"/>
      <c r="D152" s="447"/>
      <c r="E152" s="447"/>
      <c r="F152" s="447"/>
      <c r="G152" s="447"/>
      <c r="H152" s="447"/>
      <c r="I152" s="447"/>
      <c r="J152" s="447"/>
      <c r="K152" s="447"/>
      <c r="L152" s="447"/>
      <c r="M152" s="447"/>
      <c r="N152" s="447"/>
      <c r="O152" s="447"/>
      <c r="P152" s="447"/>
      <c r="Q152" s="447"/>
      <c r="R152" s="447"/>
      <c r="S152" s="447"/>
      <c r="T152" s="447"/>
      <c r="U152" s="447"/>
      <c r="V152" s="447"/>
      <c r="W152" s="447"/>
      <c r="X152" s="447"/>
      <c r="Y152" s="447"/>
      <c r="Z152" s="447"/>
      <c r="AA152" s="447"/>
      <c r="AB152" s="447"/>
      <c r="AC152" s="447"/>
      <c r="AD152" s="447"/>
      <c r="AE152" s="447"/>
      <c r="AF152" s="448"/>
      <c r="AG152" s="448"/>
      <c r="AH152" s="449"/>
      <c r="AI152" s="447"/>
      <c r="AJ152" s="447"/>
      <c r="AK152" s="447"/>
      <c r="AL152" s="447"/>
      <c r="AM152" s="447"/>
      <c r="AN152" s="447"/>
      <c r="AO152" s="447"/>
      <c r="AP152" s="447"/>
      <c r="AQ152" s="447"/>
      <c r="AR152" s="447"/>
      <c r="AS152" s="447"/>
      <c r="AT152" s="447"/>
      <c r="AU152" s="447"/>
      <c r="AV152" s="447"/>
      <c r="AW152" s="447"/>
      <c r="AX152" s="447"/>
      <c r="AY152" s="447"/>
      <c r="AZ152" s="447"/>
      <c r="BA152" s="447"/>
      <c r="BB152" s="447"/>
      <c r="BC152" s="447"/>
      <c r="BD152" s="447"/>
      <c r="BE152" s="447"/>
      <c r="BF152" s="447"/>
      <c r="BG152" s="447"/>
      <c r="BH152" s="447"/>
      <c r="BI152" s="447"/>
      <c r="BJ152" s="447"/>
      <c r="BK152" s="447"/>
      <c r="BL152" s="447"/>
      <c r="BM152" s="448"/>
      <c r="BN152" s="448"/>
    </row>
    <row r="153" spans="1:66" ht="11.25" customHeight="1">
      <c r="A153" s="450"/>
      <c r="B153" s="447"/>
      <c r="C153" s="447"/>
      <c r="D153" s="447"/>
      <c r="E153" s="447"/>
      <c r="F153" s="447"/>
      <c r="G153" s="447"/>
      <c r="H153" s="447"/>
      <c r="I153" s="447"/>
      <c r="J153" s="447"/>
      <c r="K153" s="447"/>
      <c r="L153" s="447"/>
      <c r="M153" s="447"/>
      <c r="N153" s="447"/>
      <c r="O153" s="447"/>
      <c r="P153" s="447"/>
      <c r="Q153" s="447"/>
      <c r="R153" s="447"/>
      <c r="S153" s="447"/>
      <c r="T153" s="447"/>
      <c r="U153" s="447"/>
      <c r="V153" s="447"/>
      <c r="W153" s="447"/>
      <c r="X153" s="447"/>
      <c r="Y153" s="447"/>
      <c r="Z153" s="447"/>
      <c r="AA153" s="447"/>
      <c r="AB153" s="447"/>
      <c r="AC153" s="447"/>
      <c r="AD153" s="447"/>
      <c r="AE153" s="447"/>
      <c r="AF153" s="448"/>
      <c r="AG153" s="448"/>
      <c r="AH153" s="449"/>
      <c r="AI153" s="447"/>
      <c r="AJ153" s="447"/>
      <c r="AK153" s="447"/>
      <c r="AL153" s="447"/>
      <c r="AM153" s="447"/>
      <c r="AN153" s="447"/>
      <c r="AO153" s="447"/>
      <c r="AP153" s="447"/>
      <c r="AQ153" s="447"/>
      <c r="AR153" s="447"/>
      <c r="AS153" s="447"/>
      <c r="AT153" s="447"/>
      <c r="AU153" s="447"/>
      <c r="AV153" s="447"/>
      <c r="AW153" s="447"/>
      <c r="AX153" s="447"/>
      <c r="AY153" s="447"/>
      <c r="AZ153" s="447"/>
      <c r="BA153" s="447"/>
      <c r="BB153" s="447"/>
      <c r="BC153" s="447"/>
      <c r="BD153" s="447"/>
      <c r="BE153" s="447"/>
      <c r="BF153" s="447"/>
      <c r="BG153" s="447"/>
      <c r="BH153" s="447"/>
      <c r="BI153" s="447"/>
      <c r="BJ153" s="447"/>
      <c r="BK153" s="447"/>
      <c r="BL153" s="447"/>
      <c r="BM153" s="448"/>
      <c r="BN153" s="448"/>
    </row>
    <row r="154" spans="1:66" ht="11.25" customHeight="1">
      <c r="A154" s="450"/>
      <c r="B154" s="447"/>
      <c r="C154" s="447"/>
      <c r="D154" s="447"/>
      <c r="E154" s="447"/>
      <c r="F154" s="447"/>
      <c r="G154" s="447"/>
      <c r="H154" s="447"/>
      <c r="I154" s="447"/>
      <c r="J154" s="447"/>
      <c r="K154" s="447"/>
      <c r="L154" s="447"/>
      <c r="M154" s="447"/>
      <c r="N154" s="447"/>
      <c r="O154" s="447"/>
      <c r="P154" s="447"/>
      <c r="Q154" s="447"/>
      <c r="R154" s="447"/>
      <c r="S154" s="447"/>
      <c r="T154" s="447"/>
      <c r="U154" s="447"/>
      <c r="V154" s="447"/>
      <c r="W154" s="447"/>
      <c r="X154" s="447"/>
      <c r="Y154" s="447"/>
      <c r="Z154" s="447"/>
      <c r="AA154" s="447"/>
      <c r="AB154" s="447"/>
      <c r="AC154" s="447"/>
      <c r="AD154" s="447"/>
      <c r="AE154" s="447"/>
      <c r="AF154" s="448"/>
      <c r="AG154" s="448"/>
      <c r="AH154" s="449"/>
      <c r="AI154" s="447"/>
      <c r="AJ154" s="447"/>
      <c r="AK154" s="447"/>
      <c r="AL154" s="447"/>
      <c r="AM154" s="447"/>
      <c r="AN154" s="447"/>
      <c r="AO154" s="447"/>
      <c r="AP154" s="447"/>
      <c r="AQ154" s="447"/>
      <c r="AR154" s="447"/>
      <c r="AS154" s="447"/>
      <c r="AT154" s="447"/>
      <c r="AU154" s="447"/>
      <c r="AV154" s="447"/>
      <c r="AW154" s="447"/>
      <c r="AX154" s="447"/>
      <c r="AY154" s="447"/>
      <c r="AZ154" s="447"/>
      <c r="BA154" s="447"/>
      <c r="BB154" s="447"/>
      <c r="BC154" s="447"/>
      <c r="BD154" s="447"/>
      <c r="BE154" s="447"/>
      <c r="BF154" s="447"/>
      <c r="BG154" s="447"/>
      <c r="BH154" s="447"/>
      <c r="BI154" s="447"/>
      <c r="BJ154" s="447"/>
      <c r="BK154" s="447"/>
      <c r="BL154" s="447"/>
      <c r="BM154" s="448"/>
      <c r="BN154" s="448"/>
    </row>
    <row r="155" spans="1:66" ht="11.25" customHeight="1">
      <c r="A155" s="450"/>
      <c r="B155" s="447"/>
      <c r="C155" s="447"/>
      <c r="D155" s="447"/>
      <c r="E155" s="447"/>
      <c r="F155" s="447"/>
      <c r="G155" s="447"/>
      <c r="H155" s="447"/>
      <c r="I155" s="447"/>
      <c r="J155" s="447"/>
      <c r="K155" s="447"/>
      <c r="L155" s="447"/>
      <c r="M155" s="447"/>
      <c r="N155" s="447"/>
      <c r="O155" s="447"/>
      <c r="P155" s="447"/>
      <c r="Q155" s="447"/>
      <c r="R155" s="447"/>
      <c r="S155" s="447"/>
      <c r="T155" s="447"/>
      <c r="U155" s="447"/>
      <c r="V155" s="447"/>
      <c r="W155" s="447"/>
      <c r="X155" s="447"/>
      <c r="Y155" s="447"/>
      <c r="Z155" s="447"/>
      <c r="AA155" s="447"/>
      <c r="AB155" s="447"/>
      <c r="AC155" s="447"/>
      <c r="AD155" s="447"/>
      <c r="AE155" s="447"/>
      <c r="AF155" s="448"/>
      <c r="AG155" s="448"/>
      <c r="AH155" s="449"/>
      <c r="AI155" s="447"/>
      <c r="AJ155" s="447"/>
      <c r="AK155" s="447"/>
      <c r="AL155" s="447"/>
      <c r="AM155" s="447"/>
      <c r="AN155" s="447"/>
      <c r="AO155" s="447"/>
      <c r="AP155" s="447"/>
      <c r="AQ155" s="447"/>
      <c r="AR155" s="447"/>
      <c r="AS155" s="447"/>
      <c r="AT155" s="447"/>
      <c r="AU155" s="447"/>
      <c r="AV155" s="447"/>
      <c r="AW155" s="447"/>
      <c r="AX155" s="447"/>
      <c r="AY155" s="447"/>
      <c r="AZ155" s="447"/>
      <c r="BA155" s="447"/>
      <c r="BB155" s="447"/>
      <c r="BC155" s="447"/>
      <c r="BD155" s="447"/>
      <c r="BE155" s="447"/>
      <c r="BF155" s="447"/>
      <c r="BG155" s="447"/>
      <c r="BH155" s="447"/>
      <c r="BI155" s="447"/>
      <c r="BJ155" s="447"/>
      <c r="BK155" s="447"/>
      <c r="BL155" s="447"/>
      <c r="BM155" s="448"/>
      <c r="BN155" s="448"/>
    </row>
    <row r="156" spans="1:66" ht="11.25" customHeight="1">
      <c r="A156" s="450"/>
      <c r="B156" s="447"/>
      <c r="C156" s="447"/>
      <c r="D156" s="447"/>
      <c r="E156" s="447"/>
      <c r="F156" s="447"/>
      <c r="G156" s="447"/>
      <c r="H156" s="447"/>
      <c r="I156" s="447"/>
      <c r="J156" s="447"/>
      <c r="K156" s="447"/>
      <c r="L156" s="447"/>
      <c r="M156" s="447"/>
      <c r="N156" s="447"/>
      <c r="O156" s="447"/>
      <c r="P156" s="447"/>
      <c r="Q156" s="447"/>
      <c r="R156" s="447"/>
      <c r="S156" s="447"/>
      <c r="T156" s="447"/>
      <c r="U156" s="447"/>
      <c r="V156" s="447"/>
      <c r="W156" s="447"/>
      <c r="X156" s="447"/>
      <c r="Y156" s="447"/>
      <c r="Z156" s="447"/>
      <c r="AA156" s="447"/>
      <c r="AB156" s="447"/>
      <c r="AC156" s="447"/>
      <c r="AD156" s="447"/>
      <c r="AE156" s="447"/>
      <c r="AF156" s="448"/>
      <c r="AG156" s="448"/>
      <c r="AH156" s="449"/>
      <c r="AI156" s="447"/>
      <c r="AJ156" s="447"/>
      <c r="AK156" s="447"/>
      <c r="AL156" s="447"/>
      <c r="AM156" s="447"/>
      <c r="AN156" s="447"/>
      <c r="AO156" s="447"/>
      <c r="AP156" s="447"/>
      <c r="AQ156" s="447"/>
      <c r="AR156" s="447"/>
      <c r="AS156" s="447"/>
      <c r="AT156" s="447"/>
      <c r="AU156" s="447"/>
      <c r="AV156" s="447"/>
      <c r="AW156" s="447"/>
      <c r="AX156" s="447"/>
      <c r="AY156" s="447"/>
      <c r="AZ156" s="447"/>
      <c r="BA156" s="447"/>
      <c r="BB156" s="447"/>
      <c r="BC156" s="447"/>
      <c r="BD156" s="447"/>
      <c r="BE156" s="447"/>
      <c r="BF156" s="447"/>
      <c r="BG156" s="447"/>
      <c r="BH156" s="447"/>
      <c r="BI156" s="447"/>
      <c r="BJ156" s="447"/>
      <c r="BK156" s="447"/>
      <c r="BL156" s="447"/>
      <c r="BM156" s="448"/>
      <c r="BN156" s="448"/>
    </row>
    <row r="157" spans="1:66" ht="11.25" customHeight="1">
      <c r="A157" s="450"/>
      <c r="B157" s="447"/>
      <c r="C157" s="447"/>
      <c r="D157" s="447"/>
      <c r="E157" s="447"/>
      <c r="F157" s="447"/>
      <c r="G157" s="447"/>
      <c r="H157" s="447"/>
      <c r="I157" s="447"/>
      <c r="J157" s="447"/>
      <c r="K157" s="447"/>
      <c r="L157" s="447"/>
      <c r="M157" s="447"/>
      <c r="N157" s="447"/>
      <c r="O157" s="447"/>
      <c r="P157" s="447"/>
      <c r="Q157" s="447"/>
      <c r="R157" s="447"/>
      <c r="S157" s="447"/>
      <c r="T157" s="447"/>
      <c r="U157" s="447"/>
      <c r="V157" s="447"/>
      <c r="W157" s="447"/>
      <c r="X157" s="447"/>
      <c r="Y157" s="447"/>
      <c r="Z157" s="447"/>
      <c r="AA157" s="447"/>
      <c r="AB157" s="447"/>
      <c r="AC157" s="447"/>
      <c r="AD157" s="447"/>
      <c r="AE157" s="447"/>
      <c r="AF157" s="448"/>
      <c r="AG157" s="448"/>
      <c r="AH157" s="449"/>
      <c r="AI157" s="447"/>
      <c r="AJ157" s="447"/>
      <c r="AK157" s="447"/>
      <c r="AL157" s="447"/>
      <c r="AM157" s="447"/>
      <c r="AN157" s="447"/>
      <c r="AO157" s="447"/>
      <c r="AP157" s="447"/>
      <c r="AQ157" s="447"/>
      <c r="AR157" s="447"/>
      <c r="AS157" s="447"/>
      <c r="AT157" s="447"/>
      <c r="AU157" s="447"/>
      <c r="AV157" s="447"/>
      <c r="AW157" s="447"/>
      <c r="AX157" s="447"/>
      <c r="AY157" s="447"/>
      <c r="AZ157" s="447"/>
      <c r="BA157" s="447"/>
      <c r="BB157" s="447"/>
      <c r="BC157" s="447"/>
      <c r="BD157" s="447"/>
      <c r="BE157" s="447"/>
      <c r="BF157" s="447"/>
      <c r="BG157" s="447"/>
      <c r="BH157" s="447"/>
      <c r="BI157" s="447"/>
      <c r="BJ157" s="447"/>
      <c r="BK157" s="447"/>
      <c r="BL157" s="447"/>
      <c r="BM157" s="448"/>
      <c r="BN157" s="448"/>
    </row>
    <row r="158" spans="1:66" ht="11.25" customHeight="1">
      <c r="A158" s="450"/>
      <c r="B158" s="447"/>
      <c r="C158" s="447"/>
      <c r="D158" s="447"/>
      <c r="E158" s="447"/>
      <c r="F158" s="447"/>
      <c r="G158" s="447"/>
      <c r="H158" s="447"/>
      <c r="I158" s="447"/>
      <c r="J158" s="447"/>
      <c r="K158" s="447"/>
      <c r="L158" s="447"/>
      <c r="M158" s="447"/>
      <c r="N158" s="447"/>
      <c r="O158" s="447"/>
      <c r="P158" s="447"/>
      <c r="Q158" s="447"/>
      <c r="R158" s="447"/>
      <c r="S158" s="447"/>
      <c r="T158" s="447"/>
      <c r="U158" s="447"/>
      <c r="V158" s="447"/>
      <c r="W158" s="447"/>
      <c r="X158" s="447"/>
      <c r="Y158" s="447"/>
      <c r="Z158" s="447"/>
      <c r="AA158" s="447"/>
      <c r="AB158" s="447"/>
      <c r="AC158" s="447"/>
      <c r="AD158" s="447"/>
      <c r="AE158" s="447"/>
      <c r="AF158" s="448"/>
      <c r="AG158" s="448"/>
      <c r="AH158" s="449"/>
      <c r="AI158" s="447"/>
      <c r="AJ158" s="447"/>
      <c r="AK158" s="447"/>
      <c r="AL158" s="447"/>
      <c r="AM158" s="447"/>
      <c r="AN158" s="447"/>
      <c r="AO158" s="447"/>
      <c r="AP158" s="447"/>
      <c r="AQ158" s="447"/>
      <c r="AR158" s="447"/>
      <c r="AS158" s="447"/>
      <c r="AT158" s="447"/>
      <c r="AU158" s="447"/>
      <c r="AV158" s="447"/>
      <c r="AW158" s="447"/>
      <c r="AX158" s="447"/>
      <c r="AY158" s="447"/>
      <c r="AZ158" s="447"/>
      <c r="BA158" s="447"/>
      <c r="BB158" s="447"/>
      <c r="BC158" s="447"/>
      <c r="BD158" s="447"/>
      <c r="BE158" s="447"/>
      <c r="BF158" s="447"/>
      <c r="BG158" s="447"/>
      <c r="BH158" s="447"/>
      <c r="BI158" s="447"/>
      <c r="BJ158" s="447"/>
      <c r="BK158" s="447"/>
      <c r="BL158" s="447"/>
      <c r="BM158" s="448"/>
      <c r="BN158" s="448"/>
    </row>
    <row r="159" spans="1:66" ht="11.25" customHeight="1">
      <c r="A159" s="450"/>
      <c r="B159" s="447"/>
      <c r="C159" s="447"/>
      <c r="D159" s="447"/>
      <c r="E159" s="447"/>
      <c r="F159" s="447"/>
      <c r="G159" s="447"/>
      <c r="H159" s="447"/>
      <c r="I159" s="447"/>
      <c r="J159" s="447"/>
      <c r="K159" s="447"/>
      <c r="L159" s="447"/>
      <c r="M159" s="447"/>
      <c r="N159" s="447"/>
      <c r="O159" s="447"/>
      <c r="P159" s="447"/>
      <c r="Q159" s="447"/>
      <c r="R159" s="447"/>
      <c r="S159" s="447"/>
      <c r="T159" s="447"/>
      <c r="U159" s="447"/>
      <c r="V159" s="447"/>
      <c r="W159" s="447"/>
      <c r="X159" s="447"/>
      <c r="Y159" s="447"/>
      <c r="Z159" s="447"/>
      <c r="AA159" s="447"/>
      <c r="AB159" s="447"/>
      <c r="AC159" s="447"/>
      <c r="AD159" s="447"/>
      <c r="AE159" s="447"/>
      <c r="AF159" s="448"/>
      <c r="AG159" s="448"/>
      <c r="AH159" s="449"/>
      <c r="AI159" s="447"/>
      <c r="AJ159" s="447"/>
      <c r="AK159" s="447"/>
      <c r="AL159" s="447"/>
      <c r="AM159" s="447"/>
      <c r="AN159" s="447"/>
      <c r="AO159" s="447"/>
      <c r="AP159" s="447"/>
      <c r="AQ159" s="447"/>
      <c r="AR159" s="447"/>
      <c r="AS159" s="447"/>
      <c r="AT159" s="447"/>
      <c r="AU159" s="447"/>
      <c r="AV159" s="447"/>
      <c r="AW159" s="447"/>
      <c r="AX159" s="447"/>
      <c r="AY159" s="447"/>
      <c r="AZ159" s="447"/>
      <c r="BA159" s="447"/>
      <c r="BB159" s="447"/>
      <c r="BC159" s="447"/>
      <c r="BD159" s="447"/>
      <c r="BE159" s="447"/>
      <c r="BF159" s="447"/>
      <c r="BG159" s="447"/>
      <c r="BH159" s="447"/>
      <c r="BI159" s="447"/>
      <c r="BJ159" s="447"/>
      <c r="BK159" s="447"/>
      <c r="BL159" s="447"/>
      <c r="BM159" s="448"/>
      <c r="BN159" s="448"/>
    </row>
    <row r="160" spans="1:66" ht="11.25" customHeight="1">
      <c r="A160" s="450"/>
      <c r="B160" s="447"/>
      <c r="C160" s="447"/>
      <c r="D160" s="447"/>
      <c r="E160" s="447"/>
      <c r="F160" s="447"/>
      <c r="G160" s="447"/>
      <c r="H160" s="447"/>
      <c r="I160" s="447"/>
      <c r="J160" s="447"/>
      <c r="K160" s="447"/>
      <c r="L160" s="447"/>
      <c r="M160" s="447"/>
      <c r="N160" s="447"/>
      <c r="O160" s="447"/>
      <c r="P160" s="447"/>
      <c r="Q160" s="447"/>
      <c r="R160" s="447"/>
      <c r="S160" s="447"/>
      <c r="T160" s="447"/>
      <c r="U160" s="447"/>
      <c r="V160" s="447"/>
      <c r="W160" s="447"/>
      <c r="X160" s="447"/>
      <c r="Y160" s="447"/>
      <c r="Z160" s="447"/>
      <c r="AA160" s="447"/>
      <c r="AB160" s="447"/>
      <c r="AC160" s="447"/>
      <c r="AD160" s="447"/>
      <c r="AE160" s="447"/>
      <c r="AF160" s="448"/>
      <c r="AG160" s="448"/>
      <c r="AH160" s="449"/>
      <c r="AI160" s="447"/>
      <c r="AJ160" s="447"/>
      <c r="AK160" s="447"/>
      <c r="AL160" s="447"/>
      <c r="AM160" s="447"/>
      <c r="AN160" s="447"/>
      <c r="AO160" s="447"/>
      <c r="AP160" s="447"/>
      <c r="AQ160" s="447"/>
      <c r="AR160" s="447"/>
      <c r="AS160" s="447"/>
      <c r="AT160" s="447"/>
      <c r="AU160" s="447"/>
      <c r="AV160" s="447"/>
      <c r="AW160" s="447"/>
      <c r="AX160" s="447"/>
      <c r="AY160" s="447"/>
      <c r="AZ160" s="447"/>
      <c r="BA160" s="447"/>
      <c r="BB160" s="447"/>
      <c r="BC160" s="447"/>
      <c r="BD160" s="447"/>
      <c r="BE160" s="447"/>
      <c r="BF160" s="447"/>
      <c r="BG160" s="447"/>
      <c r="BH160" s="447"/>
      <c r="BI160" s="447"/>
      <c r="BJ160" s="447"/>
      <c r="BK160" s="447"/>
      <c r="BL160" s="447"/>
      <c r="BM160" s="448"/>
      <c r="BN160" s="448"/>
    </row>
    <row r="161" spans="1:66" ht="11.25" customHeight="1">
      <c r="A161" s="450"/>
      <c r="B161" s="447"/>
      <c r="C161" s="447"/>
      <c r="D161" s="447"/>
      <c r="E161" s="447"/>
      <c r="F161" s="447"/>
      <c r="G161" s="447"/>
      <c r="H161" s="447"/>
      <c r="I161" s="447"/>
      <c r="J161" s="447"/>
      <c r="K161" s="447"/>
      <c r="L161" s="447"/>
      <c r="M161" s="447"/>
      <c r="N161" s="447"/>
      <c r="O161" s="447"/>
      <c r="P161" s="447"/>
      <c r="Q161" s="447"/>
      <c r="R161" s="447"/>
      <c r="S161" s="447"/>
      <c r="T161" s="447"/>
      <c r="U161" s="447"/>
      <c r="V161" s="447"/>
      <c r="W161" s="447"/>
      <c r="X161" s="447"/>
      <c r="Y161" s="447"/>
      <c r="Z161" s="447"/>
      <c r="AA161" s="447"/>
      <c r="AB161" s="447"/>
      <c r="AC161" s="447"/>
      <c r="AD161" s="447"/>
      <c r="AE161" s="447"/>
      <c r="AF161" s="448"/>
      <c r="AG161" s="448"/>
      <c r="AH161" s="449"/>
      <c r="AI161" s="447"/>
      <c r="AJ161" s="447"/>
      <c r="AK161" s="447"/>
      <c r="AL161" s="447"/>
      <c r="AM161" s="447"/>
      <c r="AN161" s="447"/>
      <c r="AO161" s="447"/>
      <c r="AP161" s="447"/>
      <c r="AQ161" s="447"/>
      <c r="AR161" s="447"/>
      <c r="AS161" s="447"/>
      <c r="AT161" s="447"/>
      <c r="AU161" s="447"/>
      <c r="AV161" s="447"/>
      <c r="AW161" s="447"/>
      <c r="AX161" s="447"/>
      <c r="AY161" s="447"/>
      <c r="AZ161" s="447"/>
      <c r="BA161" s="447"/>
      <c r="BB161" s="447"/>
      <c r="BC161" s="447"/>
      <c r="BD161" s="447"/>
      <c r="BE161" s="447"/>
      <c r="BF161" s="447"/>
      <c r="BG161" s="447"/>
      <c r="BH161" s="447"/>
      <c r="BI161" s="447"/>
      <c r="BJ161" s="447"/>
      <c r="BK161" s="447"/>
      <c r="BL161" s="447"/>
      <c r="BM161" s="448"/>
      <c r="BN161" s="448"/>
    </row>
    <row r="162" spans="1:66" ht="11.25" customHeight="1">
      <c r="A162" s="450"/>
      <c r="B162" s="447"/>
      <c r="C162" s="447"/>
      <c r="D162" s="447"/>
      <c r="E162" s="447"/>
      <c r="F162" s="447"/>
      <c r="G162" s="447"/>
      <c r="H162" s="447"/>
      <c r="I162" s="447"/>
      <c r="J162" s="447"/>
      <c r="K162" s="447"/>
      <c r="L162" s="447"/>
      <c r="M162" s="447"/>
      <c r="N162" s="447"/>
      <c r="O162" s="447"/>
      <c r="P162" s="447"/>
      <c r="Q162" s="447"/>
      <c r="R162" s="447"/>
      <c r="S162" s="447"/>
      <c r="T162" s="447"/>
      <c r="U162" s="447"/>
      <c r="V162" s="447"/>
      <c r="W162" s="447"/>
      <c r="X162" s="447"/>
      <c r="Y162" s="447"/>
      <c r="Z162" s="447"/>
      <c r="AA162" s="447"/>
      <c r="AB162" s="447"/>
      <c r="AC162" s="447"/>
      <c r="AD162" s="447"/>
      <c r="AE162" s="447"/>
      <c r="AF162" s="448"/>
      <c r="AG162" s="448"/>
      <c r="AH162" s="449"/>
      <c r="AI162" s="447"/>
      <c r="AJ162" s="447"/>
      <c r="AK162" s="447"/>
      <c r="AL162" s="447"/>
      <c r="AM162" s="447"/>
      <c r="AN162" s="447"/>
      <c r="AO162" s="447"/>
      <c r="AP162" s="447"/>
      <c r="AQ162" s="447"/>
      <c r="AR162" s="447"/>
      <c r="AS162" s="447"/>
      <c r="AT162" s="447"/>
      <c r="AU162" s="447"/>
      <c r="AV162" s="447"/>
      <c r="AW162" s="447"/>
      <c r="AX162" s="447"/>
      <c r="AY162" s="447"/>
      <c r="AZ162" s="447"/>
      <c r="BA162" s="447"/>
      <c r="BB162" s="447"/>
      <c r="BC162" s="447"/>
      <c r="BD162" s="447"/>
      <c r="BE162" s="447"/>
      <c r="BF162" s="447"/>
      <c r="BG162" s="447"/>
      <c r="BH162" s="447"/>
      <c r="BI162" s="447"/>
      <c r="BJ162" s="447"/>
      <c r="BK162" s="447"/>
      <c r="BL162" s="447"/>
      <c r="BM162" s="448"/>
      <c r="BN162" s="448"/>
    </row>
    <row r="163" spans="1:66" ht="11.25" customHeight="1">
      <c r="A163" s="450"/>
      <c r="B163" s="447"/>
      <c r="C163" s="447"/>
      <c r="D163" s="447"/>
      <c r="E163" s="447"/>
      <c r="F163" s="447"/>
      <c r="G163" s="447"/>
      <c r="H163" s="447"/>
      <c r="I163" s="447"/>
      <c r="J163" s="447"/>
      <c r="K163" s="447"/>
      <c r="L163" s="447"/>
      <c r="M163" s="447"/>
      <c r="N163" s="447"/>
      <c r="O163" s="447"/>
      <c r="P163" s="447"/>
      <c r="Q163" s="447"/>
      <c r="R163" s="447"/>
      <c r="S163" s="447"/>
      <c r="T163" s="447"/>
      <c r="U163" s="447"/>
      <c r="V163" s="447"/>
      <c r="W163" s="447"/>
      <c r="X163" s="447"/>
      <c r="Y163" s="447"/>
      <c r="Z163" s="447"/>
      <c r="AA163" s="447"/>
      <c r="AB163" s="447"/>
      <c r="AC163" s="447"/>
      <c r="AD163" s="447"/>
      <c r="AE163" s="447"/>
      <c r="AF163" s="448"/>
      <c r="AG163" s="448"/>
      <c r="AH163" s="449"/>
      <c r="AI163" s="447"/>
      <c r="AJ163" s="447"/>
      <c r="AK163" s="447"/>
      <c r="AL163" s="447"/>
      <c r="AM163" s="447"/>
      <c r="AN163" s="447"/>
      <c r="AO163" s="447"/>
      <c r="AP163" s="447"/>
      <c r="AQ163" s="447"/>
      <c r="AR163" s="447"/>
      <c r="AS163" s="447"/>
      <c r="AT163" s="447"/>
      <c r="AU163" s="447"/>
      <c r="AV163" s="447"/>
      <c r="AW163" s="447"/>
      <c r="AX163" s="447"/>
      <c r="AY163" s="447"/>
      <c r="AZ163" s="447"/>
      <c r="BA163" s="447"/>
      <c r="BB163" s="447"/>
      <c r="BC163" s="447"/>
      <c r="BD163" s="447"/>
      <c r="BE163" s="447"/>
      <c r="BF163" s="447"/>
      <c r="BG163" s="447"/>
      <c r="BH163" s="447"/>
      <c r="BI163" s="447"/>
      <c r="BJ163" s="447"/>
      <c r="BK163" s="447"/>
      <c r="BL163" s="447"/>
      <c r="BM163" s="448"/>
      <c r="BN163" s="448"/>
    </row>
    <row r="164" spans="1:66" ht="11.25" customHeight="1">
      <c r="A164" s="450"/>
      <c r="B164" s="447"/>
      <c r="C164" s="447"/>
      <c r="D164" s="447"/>
      <c r="E164" s="447"/>
      <c r="F164" s="447"/>
      <c r="G164" s="447"/>
      <c r="H164" s="447"/>
      <c r="I164" s="447"/>
      <c r="J164" s="447"/>
      <c r="K164" s="447"/>
      <c r="L164" s="447"/>
      <c r="M164" s="447"/>
      <c r="N164" s="447"/>
      <c r="O164" s="447"/>
      <c r="P164" s="447"/>
      <c r="Q164" s="447"/>
      <c r="R164" s="447"/>
      <c r="S164" s="447"/>
      <c r="T164" s="447"/>
      <c r="U164" s="447"/>
      <c r="V164" s="447"/>
      <c r="W164" s="447"/>
      <c r="X164" s="447"/>
      <c r="Y164" s="447"/>
      <c r="Z164" s="447"/>
      <c r="AA164" s="447"/>
      <c r="AB164" s="447"/>
      <c r="AC164" s="447"/>
      <c r="AD164" s="447"/>
      <c r="AE164" s="447"/>
      <c r="AF164" s="448"/>
      <c r="AG164" s="448"/>
      <c r="AH164" s="449"/>
      <c r="AI164" s="447"/>
      <c r="AJ164" s="447"/>
      <c r="AK164" s="447"/>
      <c r="AL164" s="447"/>
      <c r="AM164" s="447"/>
      <c r="AN164" s="447"/>
      <c r="AO164" s="447"/>
      <c r="AP164" s="447"/>
      <c r="AQ164" s="447"/>
      <c r="AR164" s="447"/>
      <c r="AS164" s="447"/>
      <c r="AT164" s="447"/>
      <c r="AU164" s="447"/>
      <c r="AV164" s="447"/>
      <c r="AW164" s="447"/>
      <c r="AX164" s="447"/>
      <c r="AY164" s="447"/>
      <c r="AZ164" s="447"/>
      <c r="BA164" s="447"/>
      <c r="BB164" s="447"/>
      <c r="BC164" s="447"/>
      <c r="BD164" s="447"/>
      <c r="BE164" s="447"/>
      <c r="BF164" s="447"/>
      <c r="BG164" s="447"/>
      <c r="BH164" s="447"/>
      <c r="BI164" s="447"/>
      <c r="BJ164" s="447"/>
      <c r="BK164" s="447"/>
      <c r="BL164" s="447"/>
      <c r="BM164" s="448"/>
      <c r="BN164" s="448"/>
    </row>
    <row r="165" spans="1:66" ht="11.25" customHeight="1">
      <c r="A165" s="450"/>
      <c r="B165" s="447"/>
      <c r="C165" s="447"/>
      <c r="D165" s="447"/>
      <c r="E165" s="447"/>
      <c r="F165" s="447"/>
      <c r="G165" s="447"/>
      <c r="H165" s="447"/>
      <c r="I165" s="447"/>
      <c r="J165" s="447"/>
      <c r="K165" s="447"/>
      <c r="L165" s="447"/>
      <c r="M165" s="447"/>
      <c r="N165" s="447"/>
      <c r="O165" s="447"/>
      <c r="P165" s="447"/>
      <c r="Q165" s="447"/>
      <c r="R165" s="447"/>
      <c r="S165" s="447"/>
      <c r="T165" s="447"/>
      <c r="U165" s="447"/>
      <c r="V165" s="447"/>
      <c r="W165" s="447"/>
      <c r="X165" s="447"/>
      <c r="Y165" s="447"/>
      <c r="Z165" s="447"/>
      <c r="AA165" s="447"/>
      <c r="AB165" s="447"/>
      <c r="AC165" s="447"/>
      <c r="AD165" s="447"/>
      <c r="AE165" s="447"/>
      <c r="AF165" s="448"/>
      <c r="AG165" s="448"/>
      <c r="AH165" s="449"/>
      <c r="AI165" s="447"/>
      <c r="AJ165" s="447"/>
      <c r="AK165" s="447"/>
      <c r="AL165" s="447"/>
      <c r="AM165" s="447"/>
      <c r="AN165" s="447"/>
      <c r="AO165" s="447"/>
      <c r="AP165" s="447"/>
      <c r="AQ165" s="447"/>
      <c r="AR165" s="447"/>
      <c r="AS165" s="447"/>
      <c r="AT165" s="447"/>
      <c r="AU165" s="447"/>
      <c r="AV165" s="447"/>
      <c r="AW165" s="447"/>
      <c r="AX165" s="447"/>
      <c r="AY165" s="447"/>
      <c r="AZ165" s="447"/>
      <c r="BA165" s="447"/>
      <c r="BB165" s="447"/>
      <c r="BC165" s="447"/>
      <c r="BD165" s="447"/>
      <c r="BE165" s="447"/>
      <c r="BF165" s="447"/>
      <c r="BG165" s="447"/>
      <c r="BH165" s="447"/>
      <c r="BI165" s="447"/>
      <c r="BJ165" s="447"/>
      <c r="BK165" s="447"/>
      <c r="BL165" s="447"/>
      <c r="BM165" s="448"/>
      <c r="BN165" s="448"/>
    </row>
    <row r="166" spans="1:66" ht="11.25" customHeight="1">
      <c r="A166" s="450"/>
      <c r="B166" s="447"/>
      <c r="C166" s="447"/>
      <c r="D166" s="447"/>
      <c r="E166" s="447"/>
      <c r="F166" s="447"/>
      <c r="G166" s="447"/>
      <c r="H166" s="447"/>
      <c r="I166" s="447"/>
      <c r="J166" s="447"/>
      <c r="K166" s="447"/>
      <c r="L166" s="447"/>
      <c r="M166" s="447"/>
      <c r="N166" s="447"/>
      <c r="O166" s="447"/>
      <c r="P166" s="447"/>
      <c r="Q166" s="447"/>
      <c r="R166" s="447"/>
      <c r="S166" s="447"/>
      <c r="T166" s="447"/>
      <c r="U166" s="447"/>
      <c r="V166" s="447"/>
      <c r="W166" s="447"/>
      <c r="X166" s="447"/>
      <c r="Y166" s="447"/>
      <c r="Z166" s="447"/>
      <c r="AA166" s="447"/>
      <c r="AB166" s="447"/>
      <c r="AC166" s="447"/>
      <c r="AD166" s="447"/>
      <c r="AE166" s="447"/>
      <c r="AF166" s="448"/>
      <c r="AG166" s="448"/>
      <c r="AH166" s="449"/>
      <c r="AI166" s="447"/>
      <c r="AJ166" s="447"/>
      <c r="AK166" s="447"/>
      <c r="AL166" s="447"/>
      <c r="AM166" s="447"/>
      <c r="AN166" s="447"/>
      <c r="AO166" s="447"/>
      <c r="AP166" s="447"/>
      <c r="AQ166" s="447"/>
      <c r="AR166" s="447"/>
      <c r="AS166" s="447"/>
      <c r="AT166" s="447"/>
      <c r="AU166" s="447"/>
      <c r="AV166" s="447"/>
      <c r="AW166" s="447"/>
      <c r="AX166" s="447"/>
      <c r="AY166" s="447"/>
      <c r="AZ166" s="447"/>
      <c r="BA166" s="447"/>
      <c r="BB166" s="447"/>
      <c r="BC166" s="447"/>
      <c r="BD166" s="447"/>
      <c r="BE166" s="447"/>
      <c r="BF166" s="447"/>
      <c r="BG166" s="447"/>
      <c r="BH166" s="447"/>
      <c r="BI166" s="447"/>
      <c r="BJ166" s="447"/>
      <c r="BK166" s="447"/>
      <c r="BL166" s="447"/>
      <c r="BM166" s="448"/>
      <c r="BN166" s="448"/>
    </row>
    <row r="167" spans="1:66" ht="11.25" customHeight="1">
      <c r="A167" s="450"/>
      <c r="B167" s="447"/>
      <c r="C167" s="447"/>
      <c r="D167" s="447"/>
      <c r="E167" s="447"/>
      <c r="F167" s="447"/>
      <c r="G167" s="447"/>
      <c r="H167" s="447"/>
      <c r="I167" s="447"/>
      <c r="J167" s="447"/>
      <c r="K167" s="447"/>
      <c r="L167" s="447"/>
      <c r="M167" s="447"/>
      <c r="N167" s="447"/>
      <c r="O167" s="447"/>
      <c r="P167" s="447"/>
      <c r="Q167" s="447"/>
      <c r="R167" s="447"/>
      <c r="S167" s="447"/>
      <c r="T167" s="447"/>
      <c r="U167" s="447"/>
      <c r="V167" s="447"/>
      <c r="W167" s="447"/>
      <c r="X167" s="447"/>
      <c r="Y167" s="447"/>
      <c r="Z167" s="447"/>
      <c r="AA167" s="447"/>
      <c r="AB167" s="447"/>
      <c r="AC167" s="447"/>
      <c r="AD167" s="447"/>
      <c r="AE167" s="447"/>
      <c r="AF167" s="448"/>
      <c r="AG167" s="448"/>
      <c r="AH167" s="449"/>
      <c r="AI167" s="447"/>
      <c r="AJ167" s="447"/>
      <c r="AK167" s="447"/>
      <c r="AL167" s="447"/>
      <c r="AM167" s="447"/>
      <c r="AN167" s="447"/>
      <c r="AO167" s="447"/>
      <c r="AP167" s="447"/>
      <c r="AQ167" s="447"/>
      <c r="AR167" s="447"/>
      <c r="AS167" s="447"/>
      <c r="AT167" s="447"/>
      <c r="AU167" s="447"/>
      <c r="AV167" s="447"/>
      <c r="AW167" s="447"/>
      <c r="AX167" s="447"/>
      <c r="AY167" s="447"/>
      <c r="AZ167" s="447"/>
      <c r="BA167" s="447"/>
      <c r="BB167" s="447"/>
      <c r="BC167" s="447"/>
      <c r="BD167" s="447"/>
      <c r="BE167" s="447"/>
      <c r="BF167" s="447"/>
      <c r="BG167" s="447"/>
      <c r="BH167" s="447"/>
      <c r="BI167" s="447"/>
      <c r="BJ167" s="447"/>
      <c r="BK167" s="447"/>
      <c r="BL167" s="447"/>
      <c r="BM167" s="448"/>
      <c r="BN167" s="448"/>
    </row>
    <row r="168" spans="1:66" ht="11.25" customHeight="1">
      <c r="A168" s="450"/>
      <c r="B168" s="447"/>
      <c r="C168" s="447"/>
      <c r="D168" s="447"/>
      <c r="E168" s="447"/>
      <c r="F168" s="447"/>
      <c r="G168" s="447"/>
      <c r="H168" s="447"/>
      <c r="I168" s="447"/>
      <c r="J168" s="447"/>
      <c r="K168" s="447"/>
      <c r="L168" s="447"/>
      <c r="M168" s="447"/>
      <c r="N168" s="447"/>
      <c r="O168" s="447"/>
      <c r="P168" s="447"/>
      <c r="Q168" s="447"/>
      <c r="R168" s="447"/>
      <c r="S168" s="447"/>
      <c r="T168" s="447"/>
      <c r="U168" s="447"/>
      <c r="V168" s="447"/>
      <c r="W168" s="447"/>
      <c r="X168" s="447"/>
      <c r="Y168" s="447"/>
      <c r="Z168" s="447"/>
      <c r="AA168" s="447"/>
      <c r="AB168" s="447"/>
      <c r="AC168" s="447"/>
      <c r="AD168" s="447"/>
      <c r="AE168" s="447"/>
      <c r="AF168" s="448"/>
      <c r="AG168" s="448"/>
      <c r="AH168" s="449"/>
      <c r="AI168" s="447"/>
      <c r="AJ168" s="447"/>
      <c r="AK168" s="447"/>
      <c r="AL168" s="447"/>
      <c r="AM168" s="447"/>
      <c r="AN168" s="447"/>
      <c r="AO168" s="447"/>
      <c r="AP168" s="447"/>
      <c r="AQ168" s="447"/>
      <c r="AR168" s="447"/>
      <c r="AS168" s="447"/>
      <c r="AT168" s="447"/>
      <c r="AU168" s="447"/>
      <c r="AV168" s="447"/>
      <c r="AW168" s="447"/>
      <c r="AX168" s="447"/>
      <c r="AY168" s="447"/>
      <c r="AZ168" s="447"/>
      <c r="BA168" s="447"/>
      <c r="BB168" s="447"/>
      <c r="BC168" s="447"/>
      <c r="BD168" s="447"/>
      <c r="BE168" s="447"/>
      <c r="BF168" s="447"/>
      <c r="BG168" s="447"/>
      <c r="BH168" s="447"/>
      <c r="BI168" s="447"/>
      <c r="BJ168" s="447"/>
      <c r="BK168" s="447"/>
      <c r="BL168" s="447"/>
      <c r="BM168" s="448"/>
      <c r="BN168" s="448"/>
    </row>
    <row r="169" spans="1:66" ht="11.25" customHeight="1">
      <c r="A169" s="450"/>
      <c r="B169" s="447"/>
      <c r="C169" s="447"/>
      <c r="D169" s="447"/>
      <c r="E169" s="447"/>
      <c r="F169" s="447"/>
      <c r="G169" s="447"/>
      <c r="H169" s="447"/>
      <c r="I169" s="447"/>
      <c r="J169" s="447"/>
      <c r="K169" s="447"/>
      <c r="L169" s="447"/>
      <c r="M169" s="447"/>
      <c r="N169" s="447"/>
      <c r="O169" s="447"/>
      <c r="P169" s="447"/>
      <c r="Q169" s="447"/>
      <c r="R169" s="447"/>
      <c r="S169" s="447"/>
      <c r="T169" s="447"/>
      <c r="U169" s="447"/>
      <c r="V169" s="447"/>
      <c r="W169" s="447"/>
      <c r="X169" s="447"/>
      <c r="Y169" s="447"/>
      <c r="Z169" s="447"/>
      <c r="AA169" s="447"/>
      <c r="AB169" s="447"/>
      <c r="AC169" s="447"/>
      <c r="AD169" s="447"/>
      <c r="AE169" s="447"/>
      <c r="AF169" s="448"/>
      <c r="AG169" s="448"/>
      <c r="AH169" s="449"/>
      <c r="AI169" s="447"/>
      <c r="AJ169" s="447"/>
      <c r="AK169" s="447"/>
      <c r="AL169" s="447"/>
      <c r="AM169" s="447"/>
      <c r="AN169" s="447"/>
      <c r="AO169" s="447"/>
      <c r="AP169" s="447"/>
      <c r="AQ169" s="447"/>
      <c r="AR169" s="447"/>
      <c r="AS169" s="447"/>
      <c r="AT169" s="447"/>
      <c r="AU169" s="447"/>
      <c r="AV169" s="447"/>
      <c r="AW169" s="447"/>
      <c r="AX169" s="447"/>
      <c r="AY169" s="447"/>
      <c r="AZ169" s="447"/>
      <c r="BA169" s="447"/>
      <c r="BB169" s="447"/>
      <c r="BC169" s="447"/>
      <c r="BD169" s="447"/>
      <c r="BE169" s="447"/>
      <c r="BF169" s="447"/>
      <c r="BG169" s="447"/>
      <c r="BH169" s="447"/>
      <c r="BI169" s="447"/>
      <c r="BJ169" s="447"/>
      <c r="BK169" s="447"/>
      <c r="BL169" s="447"/>
      <c r="BM169" s="448"/>
      <c r="BN169" s="448"/>
    </row>
    <row r="170" spans="1:66" ht="11.25" customHeight="1">
      <c r="A170" s="450"/>
      <c r="B170" s="447"/>
      <c r="C170" s="447"/>
      <c r="D170" s="447"/>
      <c r="E170" s="447"/>
      <c r="F170" s="447"/>
      <c r="G170" s="447"/>
      <c r="H170" s="447"/>
      <c r="I170" s="447"/>
      <c r="J170" s="447"/>
      <c r="K170" s="447"/>
      <c r="L170" s="447"/>
      <c r="M170" s="447"/>
      <c r="N170" s="447"/>
      <c r="O170" s="447"/>
      <c r="P170" s="447"/>
      <c r="Q170" s="447"/>
      <c r="R170" s="447"/>
      <c r="S170" s="447"/>
      <c r="T170" s="447"/>
      <c r="U170" s="447"/>
      <c r="V170" s="447"/>
      <c r="W170" s="447"/>
      <c r="X170" s="447"/>
      <c r="Y170" s="447"/>
      <c r="Z170" s="447"/>
      <c r="AA170" s="447"/>
      <c r="AB170" s="447"/>
      <c r="AC170" s="447"/>
      <c r="AD170" s="447"/>
      <c r="AE170" s="447"/>
      <c r="AF170" s="448"/>
      <c r="AG170" s="448"/>
      <c r="AH170" s="449"/>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8"/>
      <c r="BN170" s="448"/>
    </row>
    <row r="171" spans="1:66" ht="11.25" customHeight="1">
      <c r="A171" s="450"/>
      <c r="B171" s="447"/>
      <c r="C171" s="447"/>
      <c r="D171" s="447"/>
      <c r="E171" s="447"/>
      <c r="F171" s="447"/>
      <c r="G171" s="447"/>
      <c r="H171" s="447"/>
      <c r="I171" s="447"/>
      <c r="J171" s="447"/>
      <c r="K171" s="447"/>
      <c r="L171" s="447"/>
      <c r="M171" s="447"/>
      <c r="N171" s="447"/>
      <c r="O171" s="447"/>
      <c r="P171" s="447"/>
      <c r="Q171" s="447"/>
      <c r="R171" s="447"/>
      <c r="S171" s="447"/>
      <c r="T171" s="447"/>
      <c r="U171" s="447"/>
      <c r="V171" s="447"/>
      <c r="W171" s="447"/>
      <c r="X171" s="447"/>
      <c r="Y171" s="447"/>
      <c r="Z171" s="447"/>
      <c r="AA171" s="447"/>
      <c r="AB171" s="447"/>
      <c r="AC171" s="447"/>
      <c r="AD171" s="447"/>
      <c r="AE171" s="447"/>
      <c r="AF171" s="448"/>
      <c r="AG171" s="448"/>
      <c r="AH171" s="449"/>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8"/>
      <c r="BN171" s="448"/>
    </row>
    <row r="172" spans="1:66" ht="11.25" customHeight="1">
      <c r="A172" s="450"/>
      <c r="B172" s="447"/>
      <c r="C172" s="447"/>
      <c r="D172" s="447"/>
      <c r="E172" s="447"/>
      <c r="F172" s="447"/>
      <c r="G172" s="447"/>
      <c r="H172" s="447"/>
      <c r="I172" s="447"/>
      <c r="J172" s="447"/>
      <c r="K172" s="447"/>
      <c r="L172" s="447"/>
      <c r="M172" s="447"/>
      <c r="N172" s="447"/>
      <c r="O172" s="447"/>
      <c r="P172" s="447"/>
      <c r="Q172" s="447"/>
      <c r="R172" s="447"/>
      <c r="S172" s="447"/>
      <c r="T172" s="447"/>
      <c r="U172" s="447"/>
      <c r="V172" s="447"/>
      <c r="W172" s="447"/>
      <c r="X172" s="447"/>
      <c r="Y172" s="447"/>
      <c r="Z172" s="447"/>
      <c r="AA172" s="447"/>
      <c r="AB172" s="447"/>
      <c r="AC172" s="447"/>
      <c r="AD172" s="447"/>
      <c r="AE172" s="447"/>
      <c r="AF172" s="448"/>
      <c r="AG172" s="448"/>
      <c r="AH172" s="449"/>
      <c r="AI172" s="447"/>
      <c r="AJ172" s="447"/>
      <c r="AK172" s="447"/>
      <c r="AL172" s="447"/>
      <c r="AM172" s="447"/>
      <c r="AN172" s="447"/>
      <c r="AO172" s="447"/>
      <c r="AP172" s="447"/>
      <c r="AQ172" s="447"/>
      <c r="AR172" s="447"/>
      <c r="AS172" s="447"/>
      <c r="AT172" s="447"/>
      <c r="AU172" s="447"/>
      <c r="AV172" s="447"/>
      <c r="AW172" s="447"/>
      <c r="AX172" s="447"/>
      <c r="AY172" s="447"/>
      <c r="AZ172" s="447"/>
      <c r="BA172" s="447"/>
      <c r="BB172" s="447"/>
      <c r="BC172" s="447"/>
      <c r="BD172" s="447"/>
      <c r="BE172" s="447"/>
      <c r="BF172" s="447"/>
      <c r="BG172" s="447"/>
      <c r="BH172" s="447"/>
      <c r="BI172" s="447"/>
      <c r="BJ172" s="447"/>
      <c r="BK172" s="447"/>
      <c r="BL172" s="447"/>
      <c r="BM172" s="448"/>
      <c r="BN172" s="448"/>
    </row>
    <row r="173" spans="1:66" ht="11.25" customHeight="1">
      <c r="A173" s="450"/>
      <c r="B173" s="447"/>
      <c r="C173" s="447"/>
      <c r="D173" s="447"/>
      <c r="E173" s="447"/>
      <c r="F173" s="447"/>
      <c r="G173" s="447"/>
      <c r="H173" s="447"/>
      <c r="I173" s="447"/>
      <c r="J173" s="447"/>
      <c r="K173" s="447"/>
      <c r="L173" s="447"/>
      <c r="M173" s="447"/>
      <c r="N173" s="447"/>
      <c r="O173" s="447"/>
      <c r="P173" s="447"/>
      <c r="Q173" s="447"/>
      <c r="R173" s="447"/>
      <c r="S173" s="447"/>
      <c r="T173" s="447"/>
      <c r="U173" s="447"/>
      <c r="V173" s="447"/>
      <c r="W173" s="447"/>
      <c r="X173" s="447"/>
      <c r="Y173" s="447"/>
      <c r="Z173" s="447"/>
      <c r="AA173" s="447"/>
      <c r="AB173" s="447"/>
      <c r="AC173" s="447"/>
      <c r="AD173" s="447"/>
      <c r="AE173" s="447"/>
      <c r="AF173" s="448"/>
      <c r="AG173" s="448"/>
      <c r="AH173" s="449"/>
      <c r="AI173" s="447"/>
      <c r="AJ173" s="447"/>
      <c r="AK173" s="447"/>
      <c r="AL173" s="447"/>
      <c r="AM173" s="447"/>
      <c r="AN173" s="447"/>
      <c r="AO173" s="447"/>
      <c r="AP173" s="447"/>
      <c r="AQ173" s="447"/>
      <c r="AR173" s="447"/>
      <c r="AS173" s="447"/>
      <c r="AT173" s="447"/>
      <c r="AU173" s="447"/>
      <c r="AV173" s="447"/>
      <c r="AW173" s="447"/>
      <c r="AX173" s="447"/>
      <c r="AY173" s="447"/>
      <c r="AZ173" s="447"/>
      <c r="BA173" s="447"/>
      <c r="BB173" s="447"/>
      <c r="BC173" s="447"/>
      <c r="BD173" s="447"/>
      <c r="BE173" s="447"/>
      <c r="BF173" s="447"/>
      <c r="BG173" s="447"/>
      <c r="BH173" s="447"/>
      <c r="BI173" s="447"/>
      <c r="BJ173" s="447"/>
      <c r="BK173" s="447"/>
      <c r="BL173" s="447"/>
      <c r="BM173" s="448"/>
      <c r="BN173" s="448"/>
    </row>
    <row r="174" spans="1:66" ht="11.25" customHeight="1">
      <c r="A174" s="450"/>
      <c r="B174" s="447"/>
      <c r="C174" s="447"/>
      <c r="D174" s="447"/>
      <c r="E174" s="447"/>
      <c r="F174" s="447"/>
      <c r="G174" s="447"/>
      <c r="H174" s="447"/>
      <c r="I174" s="447"/>
      <c r="J174" s="447"/>
      <c r="K174" s="447"/>
      <c r="L174" s="447"/>
      <c r="M174" s="447"/>
      <c r="N174" s="447"/>
      <c r="O174" s="447"/>
      <c r="P174" s="447"/>
      <c r="Q174" s="447"/>
      <c r="R174" s="447"/>
      <c r="S174" s="447"/>
      <c r="T174" s="447"/>
      <c r="U174" s="447"/>
      <c r="V174" s="447"/>
      <c r="W174" s="447"/>
      <c r="X174" s="447"/>
      <c r="Y174" s="447"/>
      <c r="Z174" s="447"/>
      <c r="AA174" s="447"/>
      <c r="AB174" s="447"/>
      <c r="AC174" s="447"/>
      <c r="AD174" s="447"/>
      <c r="AE174" s="447"/>
      <c r="AF174" s="448"/>
      <c r="AG174" s="448"/>
      <c r="AH174" s="449"/>
      <c r="AI174" s="447"/>
      <c r="AJ174" s="447"/>
      <c r="AK174" s="447"/>
      <c r="AL174" s="447"/>
      <c r="AM174" s="447"/>
      <c r="AN174" s="447"/>
      <c r="AO174" s="447"/>
      <c r="AP174" s="447"/>
      <c r="AQ174" s="447"/>
      <c r="AR174" s="447"/>
      <c r="AS174" s="447"/>
      <c r="AT174" s="447"/>
      <c r="AU174" s="447"/>
      <c r="AV174" s="447"/>
      <c r="AW174" s="447"/>
      <c r="AX174" s="447"/>
      <c r="AY174" s="447"/>
      <c r="AZ174" s="447"/>
      <c r="BA174" s="447"/>
      <c r="BB174" s="447"/>
      <c r="BC174" s="447"/>
      <c r="BD174" s="447"/>
      <c r="BE174" s="447"/>
      <c r="BF174" s="447"/>
      <c r="BG174" s="447"/>
      <c r="BH174" s="447"/>
      <c r="BI174" s="447"/>
      <c r="BJ174" s="447"/>
      <c r="BK174" s="447"/>
      <c r="BL174" s="447"/>
      <c r="BM174" s="448"/>
      <c r="BN174" s="448"/>
    </row>
    <row r="175" spans="1:66" ht="11.25" customHeight="1">
      <c r="A175" s="450"/>
      <c r="B175" s="447"/>
      <c r="C175" s="447"/>
      <c r="D175" s="447"/>
      <c r="E175" s="447"/>
      <c r="F175" s="447"/>
      <c r="G175" s="447"/>
      <c r="H175" s="447"/>
      <c r="I175" s="447"/>
      <c r="J175" s="447"/>
      <c r="K175" s="447"/>
      <c r="L175" s="447"/>
      <c r="M175" s="447"/>
      <c r="N175" s="447"/>
      <c r="O175" s="447"/>
      <c r="P175" s="447"/>
      <c r="Q175" s="447"/>
      <c r="R175" s="447"/>
      <c r="S175" s="447"/>
      <c r="T175" s="447"/>
      <c r="U175" s="447"/>
      <c r="V175" s="447"/>
      <c r="W175" s="447"/>
      <c r="X175" s="447"/>
      <c r="Y175" s="447"/>
      <c r="Z175" s="447"/>
      <c r="AA175" s="447"/>
      <c r="AB175" s="447"/>
      <c r="AC175" s="447"/>
      <c r="AD175" s="447"/>
      <c r="AE175" s="447"/>
      <c r="AF175" s="448"/>
      <c r="AG175" s="448"/>
      <c r="AH175" s="449"/>
      <c r="AI175" s="447"/>
      <c r="AJ175" s="447"/>
      <c r="AK175" s="447"/>
      <c r="AL175" s="447"/>
      <c r="AM175" s="447"/>
      <c r="AN175" s="447"/>
      <c r="AO175" s="447"/>
      <c r="AP175" s="447"/>
      <c r="AQ175" s="447"/>
      <c r="AR175" s="447"/>
      <c r="AS175" s="447"/>
      <c r="AT175" s="447"/>
      <c r="AU175" s="447"/>
      <c r="AV175" s="447"/>
      <c r="AW175" s="447"/>
      <c r="AX175" s="447"/>
      <c r="AY175" s="447"/>
      <c r="AZ175" s="447"/>
      <c r="BA175" s="447"/>
      <c r="BB175" s="447"/>
      <c r="BC175" s="447"/>
      <c r="BD175" s="447"/>
      <c r="BE175" s="447"/>
      <c r="BF175" s="447"/>
      <c r="BG175" s="447"/>
      <c r="BH175" s="447"/>
      <c r="BI175" s="447"/>
      <c r="BJ175" s="447"/>
      <c r="BK175" s="447"/>
      <c r="BL175" s="447"/>
      <c r="BM175" s="448"/>
      <c r="BN175" s="448"/>
    </row>
    <row r="176" spans="1:66" ht="11.25" customHeight="1">
      <c r="A176" s="450"/>
      <c r="B176" s="447"/>
      <c r="C176" s="447"/>
      <c r="D176" s="447"/>
      <c r="E176" s="447"/>
      <c r="F176" s="447"/>
      <c r="G176" s="447"/>
      <c r="H176" s="447"/>
      <c r="I176" s="447"/>
      <c r="J176" s="447"/>
      <c r="K176" s="447"/>
      <c r="L176" s="447"/>
      <c r="M176" s="447"/>
      <c r="N176" s="447"/>
      <c r="O176" s="447"/>
      <c r="P176" s="447"/>
      <c r="Q176" s="447"/>
      <c r="R176" s="447"/>
      <c r="S176" s="447"/>
      <c r="T176" s="447"/>
      <c r="U176" s="447"/>
      <c r="V176" s="447"/>
      <c r="W176" s="447"/>
      <c r="X176" s="447"/>
      <c r="Y176" s="447"/>
      <c r="Z176" s="447"/>
      <c r="AA176" s="447"/>
      <c r="AB176" s="447"/>
      <c r="AC176" s="447"/>
      <c r="AD176" s="447"/>
      <c r="AE176" s="447"/>
      <c r="AF176" s="448"/>
      <c r="AG176" s="448"/>
      <c r="AH176" s="449"/>
      <c r="AI176" s="447"/>
      <c r="AJ176" s="447"/>
      <c r="AK176" s="447"/>
      <c r="AL176" s="447"/>
      <c r="AM176" s="447"/>
      <c r="AN176" s="447"/>
      <c r="AO176" s="447"/>
      <c r="AP176" s="447"/>
      <c r="AQ176" s="447"/>
      <c r="AR176" s="447"/>
      <c r="AS176" s="447"/>
      <c r="AT176" s="447"/>
      <c r="AU176" s="447"/>
      <c r="AV176" s="447"/>
      <c r="AW176" s="447"/>
      <c r="AX176" s="447"/>
      <c r="AY176" s="447"/>
      <c r="AZ176" s="447"/>
      <c r="BA176" s="447"/>
      <c r="BB176" s="447"/>
      <c r="BC176" s="447"/>
      <c r="BD176" s="447"/>
      <c r="BE176" s="447"/>
      <c r="BF176" s="447"/>
      <c r="BG176" s="447"/>
      <c r="BH176" s="447"/>
      <c r="BI176" s="447"/>
      <c r="BJ176" s="447"/>
      <c r="BK176" s="447"/>
      <c r="BL176" s="447"/>
      <c r="BM176" s="448"/>
      <c r="BN176" s="448"/>
    </row>
    <row r="177" spans="1:66" ht="11.25" customHeight="1">
      <c r="A177" s="450"/>
      <c r="B177" s="447"/>
      <c r="C177" s="447"/>
      <c r="D177" s="447"/>
      <c r="E177" s="447"/>
      <c r="F177" s="447"/>
      <c r="G177" s="447"/>
      <c r="H177" s="447"/>
      <c r="I177" s="447"/>
      <c r="J177" s="447"/>
      <c r="K177" s="447"/>
      <c r="L177" s="447"/>
      <c r="M177" s="447"/>
      <c r="N177" s="447"/>
      <c r="O177" s="447"/>
      <c r="P177" s="447"/>
      <c r="Q177" s="447"/>
      <c r="R177" s="447"/>
      <c r="S177" s="447"/>
      <c r="T177" s="447"/>
      <c r="U177" s="447"/>
      <c r="V177" s="447"/>
      <c r="W177" s="447"/>
      <c r="X177" s="447"/>
      <c r="Y177" s="447"/>
      <c r="Z177" s="447"/>
      <c r="AA177" s="447"/>
      <c r="AB177" s="447"/>
      <c r="AC177" s="447"/>
      <c r="AD177" s="447"/>
      <c r="AE177" s="447"/>
      <c r="AF177" s="448"/>
      <c r="AG177" s="448"/>
      <c r="AH177" s="449"/>
      <c r="AI177" s="447"/>
      <c r="AJ177" s="447"/>
      <c r="AK177" s="447"/>
      <c r="AL177" s="447"/>
      <c r="AM177" s="447"/>
      <c r="AN177" s="447"/>
      <c r="AO177" s="447"/>
      <c r="AP177" s="447"/>
      <c r="AQ177" s="447"/>
      <c r="AR177" s="447"/>
      <c r="AS177" s="447"/>
      <c r="AT177" s="447"/>
      <c r="AU177" s="447"/>
      <c r="AV177" s="447"/>
      <c r="AW177" s="447"/>
      <c r="AX177" s="447"/>
      <c r="AY177" s="447"/>
      <c r="AZ177" s="447"/>
      <c r="BA177" s="447"/>
      <c r="BB177" s="447"/>
      <c r="BC177" s="447"/>
      <c r="BD177" s="447"/>
      <c r="BE177" s="447"/>
      <c r="BF177" s="447"/>
      <c r="BG177" s="447"/>
      <c r="BH177" s="447"/>
      <c r="BI177" s="447"/>
      <c r="BJ177" s="447"/>
      <c r="BK177" s="447"/>
      <c r="BL177" s="447"/>
      <c r="BM177" s="448"/>
      <c r="BN177" s="448"/>
    </row>
    <row r="178" spans="1:66" ht="11.25" customHeight="1">
      <c r="A178" s="450"/>
      <c r="B178" s="447"/>
      <c r="C178" s="447"/>
      <c r="D178" s="447"/>
      <c r="E178" s="447"/>
      <c r="F178" s="447"/>
      <c r="G178" s="447"/>
      <c r="H178" s="447"/>
      <c r="I178" s="447"/>
      <c r="J178" s="447"/>
      <c r="K178" s="447"/>
      <c r="L178" s="447"/>
      <c r="M178" s="447"/>
      <c r="N178" s="447"/>
      <c r="O178" s="447"/>
      <c r="P178" s="447"/>
      <c r="Q178" s="447"/>
      <c r="R178" s="447"/>
      <c r="S178" s="447"/>
      <c r="T178" s="447"/>
      <c r="U178" s="447"/>
      <c r="V178" s="447"/>
      <c r="W178" s="447"/>
      <c r="X178" s="447"/>
      <c r="Y178" s="447"/>
      <c r="Z178" s="447"/>
      <c r="AA178" s="447"/>
      <c r="AB178" s="447"/>
      <c r="AC178" s="447"/>
      <c r="AD178" s="447"/>
      <c r="AE178" s="447"/>
      <c r="AF178" s="448"/>
      <c r="AG178" s="448"/>
      <c r="AH178" s="449"/>
      <c r="AI178" s="447"/>
      <c r="AJ178" s="447"/>
      <c r="AK178" s="447"/>
      <c r="AL178" s="447"/>
      <c r="AM178" s="447"/>
      <c r="AN178" s="447"/>
      <c r="AO178" s="447"/>
      <c r="AP178" s="447"/>
      <c r="AQ178" s="447"/>
      <c r="AR178" s="447"/>
      <c r="AS178" s="447"/>
      <c r="AT178" s="447"/>
      <c r="AU178" s="447"/>
      <c r="AV178" s="447"/>
      <c r="AW178" s="447"/>
      <c r="AX178" s="447"/>
      <c r="AY178" s="447"/>
      <c r="AZ178" s="447"/>
      <c r="BA178" s="447"/>
      <c r="BB178" s="447"/>
      <c r="BC178" s="447"/>
      <c r="BD178" s="447"/>
      <c r="BE178" s="447"/>
      <c r="BF178" s="447"/>
      <c r="BG178" s="447"/>
      <c r="BH178" s="447"/>
      <c r="BI178" s="447"/>
      <c r="BJ178" s="447"/>
      <c r="BK178" s="447"/>
      <c r="BL178" s="447"/>
      <c r="BM178" s="448"/>
      <c r="BN178" s="448"/>
    </row>
    <row r="179" spans="1:66" ht="11.25" customHeight="1">
      <c r="A179" s="450"/>
      <c r="B179" s="447"/>
      <c r="C179" s="447"/>
      <c r="D179" s="447"/>
      <c r="E179" s="447"/>
      <c r="F179" s="447"/>
      <c r="G179" s="447"/>
      <c r="H179" s="447"/>
      <c r="I179" s="447"/>
      <c r="J179" s="447"/>
      <c r="K179" s="447"/>
      <c r="L179" s="447"/>
      <c r="M179" s="447"/>
      <c r="N179" s="447"/>
      <c r="O179" s="447"/>
      <c r="P179" s="447"/>
      <c r="Q179" s="447"/>
      <c r="R179" s="447"/>
      <c r="S179" s="447"/>
      <c r="T179" s="447"/>
      <c r="U179" s="447"/>
      <c r="V179" s="447"/>
      <c r="W179" s="447"/>
      <c r="X179" s="447"/>
      <c r="Y179" s="447"/>
      <c r="Z179" s="447"/>
      <c r="AA179" s="447"/>
      <c r="AB179" s="447"/>
      <c r="AC179" s="447"/>
      <c r="AD179" s="447"/>
      <c r="AE179" s="447"/>
      <c r="AF179" s="448"/>
      <c r="AG179" s="448"/>
      <c r="AH179" s="449"/>
      <c r="AI179" s="447"/>
      <c r="AJ179" s="447"/>
      <c r="AK179" s="447"/>
      <c r="AL179" s="447"/>
      <c r="AM179" s="447"/>
      <c r="AN179" s="447"/>
      <c r="AO179" s="447"/>
      <c r="AP179" s="447"/>
      <c r="AQ179" s="447"/>
      <c r="AR179" s="447"/>
      <c r="AS179" s="447"/>
      <c r="AT179" s="447"/>
      <c r="AU179" s="447"/>
      <c r="AV179" s="447"/>
      <c r="AW179" s="447"/>
      <c r="AX179" s="447"/>
      <c r="AY179" s="447"/>
      <c r="AZ179" s="447"/>
      <c r="BA179" s="447"/>
      <c r="BB179" s="447"/>
      <c r="BC179" s="447"/>
      <c r="BD179" s="447"/>
      <c r="BE179" s="447"/>
      <c r="BF179" s="447"/>
      <c r="BG179" s="447"/>
      <c r="BH179" s="447"/>
      <c r="BI179" s="447"/>
      <c r="BJ179" s="447"/>
      <c r="BK179" s="447"/>
      <c r="BL179" s="447"/>
      <c r="BM179" s="448"/>
      <c r="BN179" s="448"/>
    </row>
    <row r="180" spans="1:66" ht="11.25" customHeight="1">
      <c r="A180" s="450"/>
      <c r="B180" s="447"/>
      <c r="C180" s="447"/>
      <c r="D180" s="447"/>
      <c r="E180" s="447"/>
      <c r="F180" s="447"/>
      <c r="G180" s="447"/>
      <c r="H180" s="447"/>
      <c r="I180" s="447"/>
      <c r="J180" s="447"/>
      <c r="K180" s="447"/>
      <c r="L180" s="447"/>
      <c r="M180" s="447"/>
      <c r="N180" s="447"/>
      <c r="O180" s="447"/>
      <c r="P180" s="447"/>
      <c r="Q180" s="447"/>
      <c r="R180" s="447"/>
      <c r="S180" s="447"/>
      <c r="T180" s="447"/>
      <c r="U180" s="447"/>
      <c r="V180" s="447"/>
      <c r="W180" s="447"/>
      <c r="X180" s="447"/>
      <c r="Y180" s="447"/>
      <c r="Z180" s="447"/>
      <c r="AA180" s="447"/>
      <c r="AB180" s="447"/>
      <c r="AC180" s="447"/>
      <c r="AD180" s="447"/>
      <c r="AE180" s="447"/>
      <c r="AF180" s="448"/>
      <c r="AG180" s="448"/>
      <c r="AH180" s="449"/>
      <c r="AI180" s="447"/>
      <c r="AJ180" s="447"/>
      <c r="AK180" s="447"/>
      <c r="AL180" s="447"/>
      <c r="AM180" s="447"/>
      <c r="AN180" s="447"/>
      <c r="AO180" s="447"/>
      <c r="AP180" s="447"/>
      <c r="AQ180" s="447"/>
      <c r="AR180" s="447"/>
      <c r="AS180" s="447"/>
      <c r="AT180" s="447"/>
      <c r="AU180" s="447"/>
      <c r="AV180" s="447"/>
      <c r="AW180" s="447"/>
      <c r="AX180" s="447"/>
      <c r="AY180" s="447"/>
      <c r="AZ180" s="447"/>
      <c r="BA180" s="447"/>
      <c r="BB180" s="447"/>
      <c r="BC180" s="447"/>
      <c r="BD180" s="447"/>
      <c r="BE180" s="447"/>
      <c r="BF180" s="447"/>
      <c r="BG180" s="447"/>
      <c r="BH180" s="447"/>
      <c r="BI180" s="447"/>
      <c r="BJ180" s="447"/>
      <c r="BK180" s="447"/>
      <c r="BL180" s="447"/>
      <c r="BM180" s="448"/>
      <c r="BN180" s="448"/>
    </row>
    <row r="181" spans="1:66" ht="11.25" customHeight="1">
      <c r="A181" s="450"/>
      <c r="B181" s="447"/>
      <c r="C181" s="447"/>
      <c r="D181" s="447"/>
      <c r="E181" s="447"/>
      <c r="F181" s="447"/>
      <c r="G181" s="447"/>
      <c r="H181" s="447"/>
      <c r="I181" s="447"/>
      <c r="J181" s="447"/>
      <c r="K181" s="447"/>
      <c r="L181" s="447"/>
      <c r="M181" s="447"/>
      <c r="N181" s="447"/>
      <c r="O181" s="447"/>
      <c r="P181" s="447"/>
      <c r="Q181" s="447"/>
      <c r="R181" s="447"/>
      <c r="S181" s="447"/>
      <c r="T181" s="447"/>
      <c r="U181" s="447"/>
      <c r="V181" s="447"/>
      <c r="W181" s="447"/>
      <c r="X181" s="447"/>
      <c r="Y181" s="447"/>
      <c r="Z181" s="447"/>
      <c r="AA181" s="447"/>
      <c r="AB181" s="447"/>
      <c r="AC181" s="447"/>
      <c r="AD181" s="447"/>
      <c r="AE181" s="447"/>
      <c r="AF181" s="448"/>
      <c r="AG181" s="448"/>
      <c r="AH181" s="449"/>
      <c r="AI181" s="447"/>
      <c r="AJ181" s="447"/>
      <c r="AK181" s="447"/>
      <c r="AL181" s="447"/>
      <c r="AM181" s="447"/>
      <c r="AN181" s="447"/>
      <c r="AO181" s="447"/>
      <c r="AP181" s="447"/>
      <c r="AQ181" s="447"/>
      <c r="AR181" s="447"/>
      <c r="AS181" s="447"/>
      <c r="AT181" s="447"/>
      <c r="AU181" s="447"/>
      <c r="AV181" s="447"/>
      <c r="AW181" s="447"/>
      <c r="AX181" s="447"/>
      <c r="AY181" s="447"/>
      <c r="AZ181" s="447"/>
      <c r="BA181" s="447"/>
      <c r="BB181" s="447"/>
      <c r="BC181" s="447"/>
      <c r="BD181" s="447"/>
      <c r="BE181" s="447"/>
      <c r="BF181" s="447"/>
      <c r="BG181" s="447"/>
      <c r="BH181" s="447"/>
      <c r="BI181" s="447"/>
      <c r="BJ181" s="447"/>
      <c r="BK181" s="447"/>
      <c r="BL181" s="447"/>
      <c r="BM181" s="448"/>
      <c r="BN181" s="448"/>
    </row>
    <row r="182" spans="1:66" ht="11.25" customHeight="1">
      <c r="A182" s="450"/>
      <c r="B182" s="447"/>
      <c r="C182" s="447"/>
      <c r="D182" s="447"/>
      <c r="E182" s="447"/>
      <c r="F182" s="447"/>
      <c r="G182" s="447"/>
      <c r="H182" s="447"/>
      <c r="I182" s="447"/>
      <c r="J182" s="447"/>
      <c r="K182" s="447"/>
      <c r="L182" s="447"/>
      <c r="M182" s="447"/>
      <c r="N182" s="447"/>
      <c r="O182" s="447"/>
      <c r="P182" s="447"/>
      <c r="Q182" s="447"/>
      <c r="R182" s="447"/>
      <c r="S182" s="447"/>
      <c r="T182" s="447"/>
      <c r="U182" s="447"/>
      <c r="V182" s="447"/>
      <c r="W182" s="447"/>
      <c r="X182" s="447"/>
      <c r="Y182" s="447"/>
      <c r="Z182" s="447"/>
      <c r="AA182" s="447"/>
      <c r="AB182" s="447"/>
      <c r="AC182" s="447"/>
      <c r="AD182" s="447"/>
      <c r="AE182" s="447"/>
      <c r="AF182" s="448"/>
      <c r="AG182" s="448"/>
      <c r="AH182" s="449"/>
      <c r="AI182" s="447"/>
      <c r="AJ182" s="447"/>
      <c r="AK182" s="447"/>
      <c r="AL182" s="447"/>
      <c r="AM182" s="447"/>
      <c r="AN182" s="447"/>
      <c r="AO182" s="447"/>
      <c r="AP182" s="447"/>
      <c r="AQ182" s="447"/>
      <c r="AR182" s="447"/>
      <c r="AS182" s="447"/>
      <c r="AT182" s="447"/>
      <c r="AU182" s="447"/>
      <c r="AV182" s="447"/>
      <c r="AW182" s="447"/>
      <c r="AX182" s="447"/>
      <c r="AY182" s="447"/>
      <c r="AZ182" s="447"/>
      <c r="BA182" s="447"/>
      <c r="BB182" s="447"/>
      <c r="BC182" s="447"/>
      <c r="BD182" s="447"/>
      <c r="BE182" s="447"/>
      <c r="BF182" s="447"/>
      <c r="BG182" s="447"/>
      <c r="BH182" s="447"/>
      <c r="BI182" s="447"/>
      <c r="BJ182" s="447"/>
      <c r="BK182" s="447"/>
      <c r="BL182" s="447"/>
      <c r="BM182" s="448"/>
      <c r="BN182" s="448"/>
    </row>
    <row r="183" spans="1:66" ht="11.25" customHeight="1">
      <c r="A183" s="450"/>
      <c r="B183" s="447"/>
      <c r="C183" s="447"/>
      <c r="D183" s="447"/>
      <c r="E183" s="447"/>
      <c r="F183" s="447"/>
      <c r="G183" s="447"/>
      <c r="H183" s="447"/>
      <c r="I183" s="447"/>
      <c r="J183" s="447"/>
      <c r="K183" s="447"/>
      <c r="L183" s="447"/>
      <c r="M183" s="447"/>
      <c r="N183" s="447"/>
      <c r="O183" s="447"/>
      <c r="P183" s="447"/>
      <c r="Q183" s="447"/>
      <c r="R183" s="447"/>
      <c r="S183" s="447"/>
      <c r="T183" s="447"/>
      <c r="U183" s="447"/>
      <c r="V183" s="447"/>
      <c r="W183" s="447"/>
      <c r="X183" s="447"/>
      <c r="Y183" s="447"/>
      <c r="Z183" s="447"/>
      <c r="AA183" s="447"/>
      <c r="AB183" s="447"/>
      <c r="AC183" s="447"/>
      <c r="AD183" s="447"/>
      <c r="AE183" s="447"/>
      <c r="AF183" s="448"/>
      <c r="AG183" s="448"/>
      <c r="AH183" s="449"/>
      <c r="AI183" s="447"/>
      <c r="AJ183" s="447"/>
      <c r="AK183" s="447"/>
      <c r="AL183" s="447"/>
      <c r="AM183" s="447"/>
      <c r="AN183" s="447"/>
      <c r="AO183" s="447"/>
      <c r="AP183" s="447"/>
      <c r="AQ183" s="447"/>
      <c r="AR183" s="447"/>
      <c r="AS183" s="447"/>
      <c r="AT183" s="447"/>
      <c r="AU183" s="447"/>
      <c r="AV183" s="447"/>
      <c r="AW183" s="447"/>
      <c r="AX183" s="447"/>
      <c r="AY183" s="447"/>
      <c r="AZ183" s="447"/>
      <c r="BA183" s="447"/>
      <c r="BB183" s="447"/>
      <c r="BC183" s="447"/>
      <c r="BD183" s="447"/>
      <c r="BE183" s="447"/>
      <c r="BF183" s="447"/>
      <c r="BG183" s="447"/>
      <c r="BH183" s="447"/>
      <c r="BI183" s="447"/>
      <c r="BJ183" s="447"/>
      <c r="BK183" s="447"/>
      <c r="BL183" s="447"/>
      <c r="BM183" s="448"/>
      <c r="BN183" s="448"/>
    </row>
    <row r="184" spans="1:66" ht="11.25" customHeight="1">
      <c r="A184" s="450"/>
      <c r="B184" s="447"/>
      <c r="C184" s="447"/>
      <c r="D184" s="447"/>
      <c r="E184" s="447"/>
      <c r="F184" s="447"/>
      <c r="G184" s="447"/>
      <c r="H184" s="447"/>
      <c r="I184" s="447"/>
      <c r="J184" s="447"/>
      <c r="K184" s="447"/>
      <c r="L184" s="447"/>
      <c r="M184" s="447"/>
      <c r="N184" s="447"/>
      <c r="O184" s="447"/>
      <c r="P184" s="447"/>
      <c r="Q184" s="447"/>
      <c r="R184" s="447"/>
      <c r="S184" s="447"/>
      <c r="T184" s="447"/>
      <c r="U184" s="447"/>
      <c r="V184" s="447"/>
      <c r="W184" s="447"/>
      <c r="X184" s="447"/>
      <c r="Y184" s="447"/>
      <c r="Z184" s="447"/>
      <c r="AA184" s="447"/>
      <c r="AB184" s="447"/>
      <c r="AC184" s="447"/>
      <c r="AD184" s="447"/>
      <c r="AE184" s="447"/>
      <c r="AF184" s="448"/>
      <c r="AG184" s="448"/>
      <c r="AH184" s="449"/>
      <c r="AI184" s="447"/>
      <c r="AJ184" s="447"/>
      <c r="AK184" s="447"/>
      <c r="AL184" s="447"/>
      <c r="AM184" s="447"/>
      <c r="AN184" s="447"/>
      <c r="AO184" s="447"/>
      <c r="AP184" s="447"/>
      <c r="AQ184" s="447"/>
      <c r="AR184" s="447"/>
      <c r="AS184" s="447"/>
      <c r="AT184" s="447"/>
      <c r="AU184" s="447"/>
      <c r="AV184" s="447"/>
      <c r="AW184" s="447"/>
      <c r="AX184" s="447"/>
      <c r="AY184" s="447"/>
      <c r="AZ184" s="447"/>
      <c r="BA184" s="447"/>
      <c r="BB184" s="447"/>
      <c r="BC184" s="447"/>
      <c r="BD184" s="447"/>
      <c r="BE184" s="447"/>
      <c r="BF184" s="447"/>
      <c r="BG184" s="447"/>
      <c r="BH184" s="447"/>
      <c r="BI184" s="447"/>
      <c r="BJ184" s="447"/>
      <c r="BK184" s="447"/>
      <c r="BL184" s="447"/>
      <c r="BM184" s="448"/>
      <c r="BN184" s="448"/>
    </row>
    <row r="185" spans="1:66" ht="11.25" customHeight="1">
      <c r="A185" s="450"/>
      <c r="B185" s="447"/>
      <c r="C185" s="447"/>
      <c r="D185" s="447"/>
      <c r="E185" s="447"/>
      <c r="F185" s="447"/>
      <c r="G185" s="447"/>
      <c r="H185" s="447"/>
      <c r="I185" s="447"/>
      <c r="J185" s="447"/>
      <c r="K185" s="447"/>
      <c r="L185" s="447"/>
      <c r="M185" s="447"/>
      <c r="N185" s="447"/>
      <c r="O185" s="447"/>
      <c r="P185" s="447"/>
      <c r="Q185" s="447"/>
      <c r="R185" s="447"/>
      <c r="S185" s="447"/>
      <c r="T185" s="447"/>
      <c r="U185" s="447"/>
      <c r="V185" s="447"/>
      <c r="W185" s="447"/>
      <c r="X185" s="447"/>
      <c r="Y185" s="447"/>
      <c r="Z185" s="447"/>
      <c r="AA185" s="447"/>
      <c r="AB185" s="447"/>
      <c r="AC185" s="447"/>
      <c r="AD185" s="447"/>
      <c r="AE185" s="447"/>
      <c r="AF185" s="448"/>
      <c r="AG185" s="448"/>
      <c r="AH185" s="449"/>
      <c r="AI185" s="447"/>
      <c r="AJ185" s="447"/>
      <c r="AK185" s="447"/>
      <c r="AL185" s="447"/>
      <c r="AM185" s="447"/>
      <c r="AN185" s="447"/>
      <c r="AO185" s="447"/>
      <c r="AP185" s="447"/>
      <c r="AQ185" s="447"/>
      <c r="AR185" s="447"/>
      <c r="AS185" s="447"/>
      <c r="AT185" s="447"/>
      <c r="AU185" s="447"/>
      <c r="AV185" s="447"/>
      <c r="AW185" s="447"/>
      <c r="AX185" s="447"/>
      <c r="AY185" s="447"/>
      <c r="AZ185" s="447"/>
      <c r="BA185" s="447"/>
      <c r="BB185" s="447"/>
      <c r="BC185" s="447"/>
      <c r="BD185" s="447"/>
      <c r="BE185" s="447"/>
      <c r="BF185" s="447"/>
      <c r="BG185" s="447"/>
      <c r="BH185" s="447"/>
      <c r="BI185" s="447"/>
      <c r="BJ185" s="447"/>
      <c r="BK185" s="447"/>
      <c r="BL185" s="447"/>
      <c r="BM185" s="448"/>
      <c r="BN185" s="448"/>
    </row>
    <row r="186" spans="1:66" ht="11.25" customHeight="1">
      <c r="A186" s="450"/>
      <c r="B186" s="447"/>
      <c r="C186" s="447"/>
      <c r="D186" s="447"/>
      <c r="E186" s="447"/>
      <c r="F186" s="447"/>
      <c r="G186" s="447"/>
      <c r="H186" s="447"/>
      <c r="I186" s="447"/>
      <c r="J186" s="447"/>
      <c r="K186" s="447"/>
      <c r="L186" s="447"/>
      <c r="M186" s="447"/>
      <c r="N186" s="447"/>
      <c r="O186" s="447"/>
      <c r="P186" s="447"/>
      <c r="Q186" s="447"/>
      <c r="R186" s="447"/>
      <c r="S186" s="447"/>
      <c r="T186" s="447"/>
      <c r="U186" s="447"/>
      <c r="V186" s="447"/>
      <c r="W186" s="447"/>
      <c r="X186" s="447"/>
      <c r="Y186" s="447"/>
      <c r="Z186" s="447"/>
      <c r="AA186" s="447"/>
      <c r="AB186" s="447"/>
      <c r="AC186" s="447"/>
      <c r="AD186" s="447"/>
      <c r="AE186" s="447"/>
      <c r="AF186" s="448"/>
      <c r="AG186" s="448"/>
      <c r="AH186" s="449"/>
      <c r="AI186" s="447"/>
      <c r="AJ186" s="447"/>
      <c r="AK186" s="447"/>
      <c r="AL186" s="447"/>
      <c r="AM186" s="447"/>
      <c r="AN186" s="447"/>
      <c r="AO186" s="447"/>
      <c r="AP186" s="447"/>
      <c r="AQ186" s="447"/>
      <c r="AR186" s="447"/>
      <c r="AS186" s="447"/>
      <c r="AT186" s="447"/>
      <c r="AU186" s="447"/>
      <c r="AV186" s="447"/>
      <c r="AW186" s="447"/>
      <c r="AX186" s="447"/>
      <c r="AY186" s="447"/>
      <c r="AZ186" s="447"/>
      <c r="BA186" s="447"/>
      <c r="BB186" s="447"/>
      <c r="BC186" s="447"/>
      <c r="BD186" s="447"/>
      <c r="BE186" s="447"/>
      <c r="BF186" s="447"/>
      <c r="BG186" s="447"/>
      <c r="BH186" s="447"/>
      <c r="BI186" s="447"/>
      <c r="BJ186" s="447"/>
      <c r="BK186" s="447"/>
      <c r="BL186" s="447"/>
      <c r="BM186" s="448"/>
      <c r="BN186" s="448"/>
    </row>
    <row r="187" spans="1:66" ht="11.25" customHeight="1">
      <c r="A187" s="450"/>
      <c r="B187" s="447"/>
      <c r="C187" s="447"/>
      <c r="D187" s="447"/>
      <c r="E187" s="447"/>
      <c r="F187" s="447"/>
      <c r="G187" s="447"/>
      <c r="H187" s="447"/>
      <c r="I187" s="447"/>
      <c r="J187" s="447"/>
      <c r="K187" s="447"/>
      <c r="L187" s="447"/>
      <c r="M187" s="447"/>
      <c r="N187" s="447"/>
      <c r="O187" s="447"/>
      <c r="P187" s="447"/>
      <c r="Q187" s="447"/>
      <c r="R187" s="447"/>
      <c r="S187" s="447"/>
      <c r="T187" s="447"/>
      <c r="U187" s="447"/>
      <c r="V187" s="447"/>
      <c r="W187" s="447"/>
      <c r="X187" s="447"/>
      <c r="Y187" s="447"/>
      <c r="Z187" s="447"/>
      <c r="AA187" s="447"/>
      <c r="AB187" s="447"/>
      <c r="AC187" s="447"/>
      <c r="AD187" s="447"/>
      <c r="AE187" s="447"/>
      <c r="AF187" s="448"/>
      <c r="AG187" s="448"/>
      <c r="AH187" s="449"/>
      <c r="AI187" s="447"/>
      <c r="AJ187" s="447"/>
      <c r="AK187" s="447"/>
      <c r="AL187" s="447"/>
      <c r="AM187" s="447"/>
      <c r="AN187" s="447"/>
      <c r="AO187" s="447"/>
      <c r="AP187" s="447"/>
      <c r="AQ187" s="447"/>
      <c r="AR187" s="447"/>
      <c r="AS187" s="447"/>
      <c r="AT187" s="447"/>
      <c r="AU187" s="447"/>
      <c r="AV187" s="447"/>
      <c r="AW187" s="447"/>
      <c r="AX187" s="447"/>
      <c r="AY187" s="447"/>
      <c r="AZ187" s="447"/>
      <c r="BA187" s="447"/>
      <c r="BB187" s="447"/>
      <c r="BC187" s="447"/>
      <c r="BD187" s="447"/>
      <c r="BE187" s="447"/>
      <c r="BF187" s="447"/>
      <c r="BG187" s="447"/>
      <c r="BH187" s="447"/>
      <c r="BI187" s="447"/>
      <c r="BJ187" s="447"/>
      <c r="BK187" s="447"/>
      <c r="BL187" s="447"/>
      <c r="BM187" s="448"/>
      <c r="BN187" s="448"/>
    </row>
    <row r="188" spans="1:66" ht="11.25" customHeight="1">
      <c r="A188" s="450"/>
      <c r="B188" s="447"/>
      <c r="C188" s="447"/>
      <c r="D188" s="447"/>
      <c r="E188" s="447"/>
      <c r="F188" s="447"/>
      <c r="G188" s="447"/>
      <c r="H188" s="447"/>
      <c r="I188" s="447"/>
      <c r="J188" s="447"/>
      <c r="K188" s="447"/>
      <c r="L188" s="447"/>
      <c r="M188" s="447"/>
      <c r="N188" s="447"/>
      <c r="O188" s="447"/>
      <c r="P188" s="447"/>
      <c r="Q188" s="447"/>
      <c r="R188" s="447"/>
      <c r="S188" s="447"/>
      <c r="T188" s="447"/>
      <c r="U188" s="447"/>
      <c r="V188" s="447"/>
      <c r="W188" s="447"/>
      <c r="X188" s="447"/>
      <c r="Y188" s="447"/>
      <c r="Z188" s="447"/>
      <c r="AA188" s="447"/>
      <c r="AB188" s="447"/>
      <c r="AC188" s="447"/>
      <c r="AD188" s="447"/>
      <c r="AE188" s="447"/>
      <c r="AF188" s="448"/>
      <c r="AG188" s="448"/>
      <c r="AH188" s="449"/>
      <c r="AI188" s="447"/>
      <c r="AJ188" s="447"/>
      <c r="AK188" s="447"/>
      <c r="AL188" s="447"/>
      <c r="AM188" s="447"/>
      <c r="AN188" s="447"/>
      <c r="AO188" s="447"/>
      <c r="AP188" s="447"/>
      <c r="AQ188" s="447"/>
      <c r="AR188" s="447"/>
      <c r="AS188" s="447"/>
      <c r="AT188" s="447"/>
      <c r="AU188" s="447"/>
      <c r="AV188" s="447"/>
      <c r="AW188" s="447"/>
      <c r="AX188" s="447"/>
      <c r="AY188" s="447"/>
      <c r="AZ188" s="447"/>
      <c r="BA188" s="447"/>
      <c r="BB188" s="447"/>
      <c r="BC188" s="447"/>
      <c r="BD188" s="447"/>
      <c r="BE188" s="447"/>
      <c r="BF188" s="447"/>
      <c r="BG188" s="447"/>
      <c r="BH188" s="447"/>
      <c r="BI188" s="447"/>
      <c r="BJ188" s="447"/>
      <c r="BK188" s="447"/>
      <c r="BL188" s="447"/>
      <c r="BM188" s="448"/>
      <c r="BN188" s="448"/>
    </row>
    <row r="189" spans="1:66" ht="11.25" customHeight="1">
      <c r="A189" s="450"/>
      <c r="B189" s="447"/>
      <c r="C189" s="447"/>
      <c r="D189" s="447"/>
      <c r="E189" s="447"/>
      <c r="F189" s="447"/>
      <c r="G189" s="447"/>
      <c r="H189" s="447"/>
      <c r="I189" s="447"/>
      <c r="J189" s="447"/>
      <c r="K189" s="447"/>
      <c r="L189" s="447"/>
      <c r="M189" s="447"/>
      <c r="N189" s="447"/>
      <c r="O189" s="447"/>
      <c r="P189" s="447"/>
      <c r="Q189" s="447"/>
      <c r="R189" s="447"/>
      <c r="S189" s="447"/>
      <c r="T189" s="447"/>
      <c r="U189" s="447"/>
      <c r="V189" s="447"/>
      <c r="W189" s="447"/>
      <c r="X189" s="447"/>
      <c r="Y189" s="447"/>
      <c r="Z189" s="447"/>
      <c r="AA189" s="447"/>
      <c r="AB189" s="447"/>
      <c r="AC189" s="447"/>
      <c r="AD189" s="447"/>
      <c r="AE189" s="447"/>
      <c r="AF189" s="448"/>
      <c r="AG189" s="448"/>
      <c r="AH189" s="449"/>
      <c r="AI189" s="447"/>
      <c r="AJ189" s="447"/>
      <c r="AK189" s="447"/>
      <c r="AL189" s="447"/>
      <c r="AM189" s="447"/>
      <c r="AN189" s="447"/>
      <c r="AO189" s="447"/>
      <c r="AP189" s="447"/>
      <c r="AQ189" s="447"/>
      <c r="AR189" s="447"/>
      <c r="AS189" s="447"/>
      <c r="AT189" s="447"/>
      <c r="AU189" s="447"/>
      <c r="AV189" s="447"/>
      <c r="AW189" s="447"/>
      <c r="AX189" s="447"/>
      <c r="AY189" s="447"/>
      <c r="AZ189" s="447"/>
      <c r="BA189" s="447"/>
      <c r="BB189" s="447"/>
      <c r="BC189" s="447"/>
      <c r="BD189" s="447"/>
      <c r="BE189" s="447"/>
      <c r="BF189" s="447"/>
      <c r="BG189" s="447"/>
      <c r="BH189" s="447"/>
      <c r="BI189" s="447"/>
      <c r="BJ189" s="447"/>
      <c r="BK189" s="447"/>
      <c r="BL189" s="447"/>
      <c r="BM189" s="448"/>
      <c r="BN189" s="448"/>
    </row>
    <row r="190" spans="1:66" ht="11.25" customHeight="1">
      <c r="A190" s="450"/>
      <c r="B190" s="447"/>
      <c r="C190" s="447"/>
      <c r="D190" s="447"/>
      <c r="E190" s="447"/>
      <c r="F190" s="447"/>
      <c r="G190" s="447"/>
      <c r="H190" s="447"/>
      <c r="I190" s="447"/>
      <c r="J190" s="447"/>
      <c r="K190" s="447"/>
      <c r="L190" s="447"/>
      <c r="M190" s="447"/>
      <c r="N190" s="447"/>
      <c r="O190" s="447"/>
      <c r="P190" s="447"/>
      <c r="Q190" s="447"/>
      <c r="R190" s="447"/>
      <c r="S190" s="447"/>
      <c r="T190" s="447"/>
      <c r="U190" s="447"/>
      <c r="V190" s="447"/>
      <c r="W190" s="447"/>
      <c r="X190" s="447"/>
      <c r="Y190" s="447"/>
      <c r="Z190" s="447"/>
      <c r="AA190" s="447"/>
      <c r="AB190" s="447"/>
      <c r="AC190" s="447"/>
      <c r="AD190" s="447"/>
      <c r="AE190" s="447"/>
      <c r="AF190" s="448"/>
      <c r="AG190" s="448"/>
      <c r="AH190" s="449"/>
      <c r="AI190" s="447"/>
      <c r="AJ190" s="447"/>
      <c r="AK190" s="447"/>
      <c r="AL190" s="447"/>
      <c r="AM190" s="447"/>
      <c r="AN190" s="447"/>
      <c r="AO190" s="447"/>
      <c r="AP190" s="447"/>
      <c r="AQ190" s="447"/>
      <c r="AR190" s="447"/>
      <c r="AS190" s="447"/>
      <c r="AT190" s="447"/>
      <c r="AU190" s="447"/>
      <c r="AV190" s="447"/>
      <c r="AW190" s="447"/>
      <c r="AX190" s="447"/>
      <c r="AY190" s="447"/>
      <c r="AZ190" s="447"/>
      <c r="BA190" s="447"/>
      <c r="BB190" s="447"/>
      <c r="BC190" s="447"/>
      <c r="BD190" s="447"/>
      <c r="BE190" s="447"/>
      <c r="BF190" s="447"/>
      <c r="BG190" s="447"/>
      <c r="BH190" s="447"/>
      <c r="BI190" s="447"/>
      <c r="BJ190" s="447"/>
      <c r="BK190" s="447"/>
      <c r="BL190" s="447"/>
      <c r="BM190" s="448"/>
      <c r="BN190" s="448"/>
    </row>
    <row r="191" spans="1:66" ht="11.25" customHeight="1">
      <c r="A191" s="450"/>
      <c r="B191" s="447"/>
      <c r="C191" s="447"/>
      <c r="D191" s="447"/>
      <c r="E191" s="447"/>
      <c r="F191" s="447"/>
      <c r="G191" s="447"/>
      <c r="H191" s="447"/>
      <c r="I191" s="447"/>
      <c r="J191" s="447"/>
      <c r="K191" s="447"/>
      <c r="L191" s="447"/>
      <c r="M191" s="447"/>
      <c r="N191" s="447"/>
      <c r="O191" s="447"/>
      <c r="P191" s="447"/>
      <c r="Q191" s="447"/>
      <c r="R191" s="447"/>
      <c r="S191" s="447"/>
      <c r="T191" s="447"/>
      <c r="U191" s="447"/>
      <c r="V191" s="447"/>
      <c r="W191" s="447"/>
      <c r="X191" s="447"/>
      <c r="Y191" s="447"/>
      <c r="Z191" s="447"/>
      <c r="AA191" s="447"/>
      <c r="AB191" s="447"/>
      <c r="AC191" s="447"/>
      <c r="AD191" s="447"/>
      <c r="AE191" s="447"/>
      <c r="AF191" s="448"/>
      <c r="AG191" s="448"/>
      <c r="AH191" s="449"/>
      <c r="AI191" s="447"/>
      <c r="AJ191" s="447"/>
      <c r="AK191" s="447"/>
      <c r="AL191" s="447"/>
      <c r="AM191" s="447"/>
      <c r="AN191" s="447"/>
      <c r="AO191" s="447"/>
      <c r="AP191" s="447"/>
      <c r="AQ191" s="447"/>
      <c r="AR191" s="447"/>
      <c r="AS191" s="447"/>
      <c r="AT191" s="447"/>
      <c r="AU191" s="447"/>
      <c r="AV191" s="447"/>
      <c r="AW191" s="447"/>
      <c r="AX191" s="447"/>
      <c r="AY191" s="447"/>
      <c r="AZ191" s="447"/>
      <c r="BA191" s="447"/>
      <c r="BB191" s="447"/>
      <c r="BC191" s="447"/>
      <c r="BD191" s="447"/>
      <c r="BE191" s="447"/>
      <c r="BF191" s="447"/>
      <c r="BG191" s="447"/>
      <c r="BH191" s="447"/>
      <c r="BI191" s="447"/>
      <c r="BJ191" s="447"/>
      <c r="BK191" s="447"/>
      <c r="BL191" s="447"/>
      <c r="BM191" s="448"/>
      <c r="BN191" s="448"/>
    </row>
    <row r="192" spans="1:66" ht="11.25" customHeight="1">
      <c r="A192" s="450"/>
      <c r="B192" s="447"/>
      <c r="C192" s="447"/>
      <c r="D192" s="447"/>
      <c r="E192" s="447"/>
      <c r="F192" s="447"/>
      <c r="G192" s="447"/>
      <c r="H192" s="447"/>
      <c r="I192" s="447"/>
      <c r="J192" s="447"/>
      <c r="K192" s="447"/>
      <c r="L192" s="447"/>
      <c r="M192" s="447"/>
      <c r="N192" s="447"/>
      <c r="O192" s="447"/>
      <c r="P192" s="447"/>
      <c r="Q192" s="447"/>
      <c r="R192" s="447"/>
      <c r="S192" s="447"/>
      <c r="T192" s="447"/>
      <c r="U192" s="447"/>
      <c r="V192" s="447"/>
      <c r="W192" s="447"/>
      <c r="X192" s="447"/>
      <c r="Y192" s="447"/>
      <c r="Z192" s="447"/>
      <c r="AA192" s="447"/>
      <c r="AB192" s="447"/>
      <c r="AC192" s="447"/>
      <c r="AD192" s="447"/>
      <c r="AE192" s="447"/>
      <c r="AF192" s="448"/>
      <c r="AG192" s="448"/>
      <c r="AH192" s="449"/>
      <c r="AI192" s="447"/>
      <c r="AJ192" s="447"/>
      <c r="AK192" s="447"/>
      <c r="AL192" s="447"/>
      <c r="AM192" s="447"/>
      <c r="AN192" s="447"/>
      <c r="AO192" s="447"/>
      <c r="AP192" s="447"/>
      <c r="AQ192" s="447"/>
      <c r="AR192" s="447"/>
      <c r="AS192" s="447"/>
      <c r="AT192" s="447"/>
      <c r="AU192" s="447"/>
      <c r="AV192" s="447"/>
      <c r="AW192" s="447"/>
      <c r="AX192" s="447"/>
      <c r="AY192" s="447"/>
      <c r="AZ192" s="447"/>
      <c r="BA192" s="447"/>
      <c r="BB192" s="447"/>
      <c r="BC192" s="447"/>
      <c r="BD192" s="447"/>
      <c r="BE192" s="447"/>
      <c r="BF192" s="447"/>
      <c r="BG192" s="447"/>
      <c r="BH192" s="447"/>
      <c r="BI192" s="447"/>
      <c r="BJ192" s="447"/>
      <c r="BK192" s="447"/>
      <c r="BL192" s="447"/>
      <c r="BM192" s="448"/>
      <c r="BN192" s="448"/>
    </row>
    <row r="193" spans="1:66" ht="11.25" customHeight="1">
      <c r="A193" s="450"/>
      <c r="B193" s="447"/>
      <c r="C193" s="447"/>
      <c r="D193" s="447"/>
      <c r="E193" s="447"/>
      <c r="F193" s="447"/>
      <c r="G193" s="447"/>
      <c r="H193" s="447"/>
      <c r="I193" s="447"/>
      <c r="J193" s="447"/>
      <c r="K193" s="447"/>
      <c r="L193" s="447"/>
      <c r="M193" s="447"/>
      <c r="N193" s="447"/>
      <c r="O193" s="447"/>
      <c r="P193" s="447"/>
      <c r="Q193" s="447"/>
      <c r="R193" s="447"/>
      <c r="S193" s="447"/>
      <c r="T193" s="447"/>
      <c r="U193" s="447"/>
      <c r="V193" s="447"/>
      <c r="W193" s="447"/>
      <c r="X193" s="447"/>
      <c r="Y193" s="447"/>
      <c r="Z193" s="447"/>
      <c r="AA193" s="447"/>
      <c r="AB193" s="447"/>
      <c r="AC193" s="447"/>
      <c r="AD193" s="447"/>
      <c r="AE193" s="447"/>
      <c r="AF193" s="448"/>
      <c r="AG193" s="448"/>
      <c r="AH193" s="449"/>
      <c r="AI193" s="447"/>
      <c r="AJ193" s="447"/>
      <c r="AK193" s="447"/>
      <c r="AL193" s="447"/>
      <c r="AM193" s="447"/>
      <c r="AN193" s="447"/>
      <c r="AO193" s="447"/>
      <c r="AP193" s="447"/>
      <c r="AQ193" s="447"/>
      <c r="AR193" s="447"/>
      <c r="AS193" s="447"/>
      <c r="AT193" s="447"/>
      <c r="AU193" s="447"/>
      <c r="AV193" s="447"/>
      <c r="AW193" s="447"/>
      <c r="AX193" s="447"/>
      <c r="AY193" s="447"/>
      <c r="AZ193" s="447"/>
      <c r="BA193" s="447"/>
      <c r="BB193" s="447"/>
      <c r="BC193" s="447"/>
      <c r="BD193" s="447"/>
      <c r="BE193" s="447"/>
      <c r="BF193" s="447"/>
      <c r="BG193" s="447"/>
      <c r="BH193" s="447"/>
      <c r="BI193" s="447"/>
      <c r="BJ193" s="447"/>
      <c r="BK193" s="447"/>
      <c r="BL193" s="447"/>
      <c r="BM193" s="448"/>
      <c r="BN193" s="448"/>
    </row>
    <row r="194" spans="1:66" ht="11.25" customHeight="1">
      <c r="A194" s="450"/>
      <c r="B194" s="447"/>
      <c r="C194" s="447"/>
      <c r="D194" s="447"/>
      <c r="E194" s="447"/>
      <c r="F194" s="447"/>
      <c r="G194" s="447"/>
      <c r="H194" s="447"/>
      <c r="I194" s="447"/>
      <c r="J194" s="447"/>
      <c r="K194" s="447"/>
      <c r="L194" s="447"/>
      <c r="M194" s="447"/>
      <c r="N194" s="447"/>
      <c r="O194" s="447"/>
      <c r="P194" s="447"/>
      <c r="Q194" s="447"/>
      <c r="R194" s="447"/>
      <c r="S194" s="447"/>
      <c r="T194" s="447"/>
      <c r="U194" s="447"/>
      <c r="V194" s="447"/>
      <c r="W194" s="447"/>
      <c r="X194" s="447"/>
      <c r="Y194" s="447"/>
      <c r="Z194" s="447"/>
      <c r="AA194" s="447"/>
      <c r="AB194" s="447"/>
      <c r="AC194" s="447"/>
      <c r="AD194" s="447"/>
      <c r="AE194" s="447"/>
      <c r="AF194" s="448"/>
      <c r="AG194" s="448"/>
      <c r="AH194" s="449"/>
      <c r="AI194" s="447"/>
      <c r="AJ194" s="447"/>
      <c r="AK194" s="447"/>
      <c r="AL194" s="447"/>
      <c r="AM194" s="447"/>
      <c r="AN194" s="447"/>
      <c r="AO194" s="447"/>
      <c r="AP194" s="447"/>
      <c r="AQ194" s="447"/>
      <c r="AR194" s="447"/>
      <c r="AS194" s="447"/>
      <c r="AT194" s="447"/>
      <c r="AU194" s="447"/>
      <c r="AV194" s="447"/>
      <c r="AW194" s="447"/>
      <c r="AX194" s="447"/>
      <c r="AY194" s="447"/>
      <c r="AZ194" s="447"/>
      <c r="BA194" s="447"/>
      <c r="BB194" s="447"/>
      <c r="BC194" s="447"/>
      <c r="BD194" s="447"/>
      <c r="BE194" s="447"/>
      <c r="BF194" s="447"/>
      <c r="BG194" s="447"/>
      <c r="BH194" s="447"/>
      <c r="BI194" s="447"/>
      <c r="BJ194" s="447"/>
      <c r="BK194" s="447"/>
      <c r="BL194" s="447"/>
      <c r="BM194" s="448"/>
      <c r="BN194" s="448"/>
    </row>
    <row r="195" spans="1:66" ht="11.25" customHeight="1">
      <c r="A195" s="450"/>
      <c r="B195" s="447"/>
      <c r="C195" s="447"/>
      <c r="D195" s="447"/>
      <c r="E195" s="447"/>
      <c r="F195" s="447"/>
      <c r="G195" s="447"/>
      <c r="H195" s="447"/>
      <c r="I195" s="447"/>
      <c r="J195" s="447"/>
      <c r="K195" s="447"/>
      <c r="L195" s="447"/>
      <c r="M195" s="447"/>
      <c r="N195" s="447"/>
      <c r="O195" s="447"/>
      <c r="P195" s="447"/>
      <c r="Q195" s="447"/>
      <c r="R195" s="447"/>
      <c r="S195" s="447"/>
      <c r="T195" s="447"/>
      <c r="U195" s="447"/>
      <c r="V195" s="447"/>
      <c r="W195" s="447"/>
      <c r="X195" s="447"/>
      <c r="Y195" s="447"/>
      <c r="Z195" s="447"/>
      <c r="AA195" s="447"/>
      <c r="AB195" s="447"/>
      <c r="AC195" s="447"/>
      <c r="AD195" s="447"/>
      <c r="AE195" s="447"/>
      <c r="AF195" s="448"/>
      <c r="AG195" s="448"/>
      <c r="AH195" s="449"/>
      <c r="AI195" s="447"/>
      <c r="AJ195" s="447"/>
      <c r="AK195" s="447"/>
      <c r="AL195" s="447"/>
      <c r="AM195" s="447"/>
      <c r="AN195" s="447"/>
      <c r="AO195" s="447"/>
      <c r="AP195" s="447"/>
      <c r="AQ195" s="447"/>
      <c r="AR195" s="447"/>
      <c r="AS195" s="447"/>
      <c r="AT195" s="447"/>
      <c r="AU195" s="447"/>
      <c r="AV195" s="447"/>
      <c r="AW195" s="447"/>
      <c r="AX195" s="447"/>
      <c r="AY195" s="447"/>
      <c r="AZ195" s="447"/>
      <c r="BA195" s="447"/>
      <c r="BB195" s="447"/>
      <c r="BC195" s="447"/>
      <c r="BD195" s="447"/>
      <c r="BE195" s="447"/>
      <c r="BF195" s="447"/>
      <c r="BG195" s="447"/>
      <c r="BH195" s="447"/>
      <c r="BI195" s="447"/>
      <c r="BJ195" s="447"/>
      <c r="BK195" s="447"/>
      <c r="BL195" s="447"/>
      <c r="BM195" s="448"/>
      <c r="BN195" s="448"/>
    </row>
    <row r="196" spans="1:66" ht="11.25" customHeight="1">
      <c r="A196" s="450"/>
      <c r="B196" s="447"/>
      <c r="C196" s="447"/>
      <c r="D196" s="447"/>
      <c r="E196" s="447"/>
      <c r="F196" s="447"/>
      <c r="G196" s="447"/>
      <c r="H196" s="447"/>
      <c r="I196" s="447"/>
      <c r="J196" s="447"/>
      <c r="K196" s="447"/>
      <c r="L196" s="447"/>
      <c r="M196" s="447"/>
      <c r="N196" s="447"/>
      <c r="O196" s="447"/>
      <c r="P196" s="447"/>
      <c r="Q196" s="447"/>
      <c r="R196" s="447"/>
      <c r="S196" s="447"/>
      <c r="T196" s="447"/>
      <c r="U196" s="447"/>
      <c r="V196" s="447"/>
      <c r="W196" s="447"/>
      <c r="X196" s="447"/>
      <c r="Y196" s="447"/>
      <c r="Z196" s="447"/>
      <c r="AA196" s="447"/>
      <c r="AB196" s="447"/>
      <c r="AC196" s="447"/>
      <c r="AD196" s="447"/>
      <c r="AE196" s="447"/>
      <c r="AF196" s="448"/>
      <c r="AG196" s="448"/>
      <c r="AH196" s="449"/>
      <c r="AI196" s="447"/>
      <c r="AJ196" s="447"/>
      <c r="AK196" s="447"/>
      <c r="AL196" s="447"/>
      <c r="AM196" s="447"/>
      <c r="AN196" s="447"/>
      <c r="AO196" s="447"/>
      <c r="AP196" s="447"/>
      <c r="AQ196" s="447"/>
      <c r="AR196" s="447"/>
      <c r="AS196" s="447"/>
      <c r="AT196" s="447"/>
      <c r="AU196" s="447"/>
      <c r="AV196" s="447"/>
      <c r="AW196" s="447"/>
      <c r="AX196" s="447"/>
      <c r="AY196" s="447"/>
      <c r="AZ196" s="447"/>
      <c r="BA196" s="447"/>
      <c r="BB196" s="447"/>
      <c r="BC196" s="447"/>
      <c r="BD196" s="447"/>
      <c r="BE196" s="447"/>
      <c r="BF196" s="447"/>
      <c r="BG196" s="447"/>
      <c r="BH196" s="447"/>
      <c r="BI196" s="447"/>
      <c r="BJ196" s="447"/>
      <c r="BK196" s="447"/>
      <c r="BL196" s="447"/>
      <c r="BM196" s="448"/>
      <c r="BN196" s="448"/>
    </row>
    <row r="197" spans="1:66" ht="11.25" customHeight="1">
      <c r="A197" s="450"/>
      <c r="B197" s="447"/>
      <c r="C197" s="447"/>
      <c r="D197" s="447"/>
      <c r="E197" s="447"/>
      <c r="F197" s="447"/>
      <c r="G197" s="447"/>
      <c r="H197" s="447"/>
      <c r="I197" s="447"/>
      <c r="J197" s="447"/>
      <c r="K197" s="447"/>
      <c r="L197" s="447"/>
      <c r="M197" s="447"/>
      <c r="N197" s="447"/>
      <c r="O197" s="447"/>
      <c r="P197" s="447"/>
      <c r="Q197" s="447"/>
      <c r="R197" s="447"/>
      <c r="S197" s="447"/>
      <c r="T197" s="447"/>
      <c r="U197" s="447"/>
      <c r="V197" s="447"/>
      <c r="W197" s="447"/>
      <c r="X197" s="447"/>
      <c r="Y197" s="447"/>
      <c r="Z197" s="447"/>
      <c r="AA197" s="447"/>
      <c r="AB197" s="447"/>
      <c r="AC197" s="447"/>
      <c r="AD197" s="447"/>
      <c r="AE197" s="447"/>
      <c r="AF197" s="448"/>
      <c r="AG197" s="448"/>
      <c r="AH197" s="449"/>
      <c r="AI197" s="447"/>
      <c r="AJ197" s="447"/>
      <c r="AK197" s="447"/>
      <c r="AL197" s="447"/>
      <c r="AM197" s="447"/>
      <c r="AN197" s="447"/>
      <c r="AO197" s="447"/>
      <c r="AP197" s="447"/>
      <c r="AQ197" s="447"/>
      <c r="AR197" s="447"/>
      <c r="AS197" s="447"/>
      <c r="AT197" s="447"/>
      <c r="AU197" s="447"/>
      <c r="AV197" s="447"/>
      <c r="AW197" s="447"/>
      <c r="AX197" s="447"/>
      <c r="AY197" s="447"/>
      <c r="AZ197" s="447"/>
      <c r="BA197" s="447"/>
      <c r="BB197" s="447"/>
      <c r="BC197" s="447"/>
      <c r="BD197" s="447"/>
      <c r="BE197" s="447"/>
      <c r="BF197" s="447"/>
      <c r="BG197" s="447"/>
      <c r="BH197" s="447"/>
      <c r="BI197" s="447"/>
      <c r="BJ197" s="447"/>
      <c r="BK197" s="447"/>
      <c r="BL197" s="447"/>
      <c r="BM197" s="448"/>
      <c r="BN197" s="448"/>
    </row>
    <row r="198" spans="1:66" ht="11.25" customHeight="1">
      <c r="A198" s="450"/>
      <c r="B198" s="447"/>
      <c r="C198" s="447"/>
      <c r="D198" s="447"/>
      <c r="E198" s="447"/>
      <c r="F198" s="447"/>
      <c r="G198" s="447"/>
      <c r="H198" s="447"/>
      <c r="I198" s="447"/>
      <c r="J198" s="447"/>
      <c r="K198" s="447"/>
      <c r="L198" s="447"/>
      <c r="M198" s="447"/>
      <c r="N198" s="447"/>
      <c r="O198" s="447"/>
      <c r="P198" s="447"/>
      <c r="Q198" s="447"/>
      <c r="R198" s="447"/>
      <c r="S198" s="447"/>
      <c r="T198" s="447"/>
      <c r="U198" s="447"/>
      <c r="V198" s="447"/>
      <c r="W198" s="447"/>
      <c r="X198" s="447"/>
      <c r="Y198" s="447"/>
      <c r="Z198" s="447"/>
      <c r="AA198" s="447"/>
      <c r="AB198" s="447"/>
      <c r="AC198" s="447"/>
      <c r="AD198" s="447"/>
      <c r="AE198" s="447"/>
      <c r="AF198" s="448"/>
      <c r="AG198" s="448"/>
      <c r="AH198" s="449"/>
      <c r="AI198" s="447"/>
      <c r="AJ198" s="447"/>
      <c r="AK198" s="447"/>
      <c r="AL198" s="447"/>
      <c r="AM198" s="447"/>
      <c r="AN198" s="447"/>
      <c r="AO198" s="447"/>
      <c r="AP198" s="447"/>
      <c r="AQ198" s="447"/>
      <c r="AR198" s="447"/>
      <c r="AS198" s="447"/>
      <c r="AT198" s="447"/>
      <c r="AU198" s="447"/>
      <c r="AV198" s="447"/>
      <c r="AW198" s="447"/>
      <c r="AX198" s="447"/>
      <c r="AY198" s="447"/>
      <c r="AZ198" s="447"/>
      <c r="BA198" s="447"/>
      <c r="BB198" s="447"/>
      <c r="BC198" s="447"/>
      <c r="BD198" s="447"/>
      <c r="BE198" s="447"/>
      <c r="BF198" s="447"/>
      <c r="BG198" s="447"/>
      <c r="BH198" s="447"/>
      <c r="BI198" s="447"/>
      <c r="BJ198" s="447"/>
      <c r="BK198" s="447"/>
      <c r="BL198" s="447"/>
      <c r="BM198" s="448"/>
      <c r="BN198" s="448"/>
    </row>
    <row r="199" spans="1:66" ht="11.25" customHeight="1">
      <c r="A199" s="450"/>
      <c r="B199" s="447"/>
      <c r="C199" s="447"/>
      <c r="D199" s="447"/>
      <c r="E199" s="447"/>
      <c r="F199" s="447"/>
      <c r="G199" s="447"/>
      <c r="H199" s="447"/>
      <c r="I199" s="447"/>
      <c r="J199" s="447"/>
      <c r="K199" s="447"/>
      <c r="L199" s="447"/>
      <c r="M199" s="447"/>
      <c r="N199" s="447"/>
      <c r="O199" s="447"/>
      <c r="P199" s="447"/>
      <c r="Q199" s="447"/>
      <c r="R199" s="447"/>
      <c r="S199" s="447"/>
      <c r="T199" s="447"/>
      <c r="U199" s="447"/>
      <c r="V199" s="447"/>
      <c r="W199" s="447"/>
      <c r="X199" s="447"/>
      <c r="Y199" s="447"/>
      <c r="Z199" s="447"/>
      <c r="AA199" s="447"/>
      <c r="AB199" s="447"/>
      <c r="AC199" s="447"/>
      <c r="AD199" s="447"/>
      <c r="AE199" s="447"/>
      <c r="AF199" s="448"/>
      <c r="AG199" s="448"/>
      <c r="AH199" s="449"/>
      <c r="AI199" s="447"/>
      <c r="AJ199" s="447"/>
      <c r="AK199" s="447"/>
      <c r="AL199" s="447"/>
      <c r="AM199" s="447"/>
      <c r="AN199" s="447"/>
      <c r="AO199" s="447"/>
      <c r="AP199" s="447"/>
      <c r="AQ199" s="447"/>
      <c r="AR199" s="447"/>
      <c r="AS199" s="447"/>
      <c r="AT199" s="447"/>
      <c r="AU199" s="447"/>
      <c r="AV199" s="447"/>
      <c r="AW199" s="447"/>
      <c r="AX199" s="447"/>
      <c r="AY199" s="447"/>
      <c r="AZ199" s="447"/>
      <c r="BA199" s="447"/>
      <c r="BB199" s="447"/>
      <c r="BC199" s="447"/>
      <c r="BD199" s="447"/>
      <c r="BE199" s="447"/>
      <c r="BF199" s="447"/>
      <c r="BG199" s="447"/>
      <c r="BH199" s="447"/>
      <c r="BI199" s="447"/>
      <c r="BJ199" s="447"/>
      <c r="BK199" s="447"/>
      <c r="BL199" s="447"/>
      <c r="BM199" s="448"/>
      <c r="BN199" s="448"/>
    </row>
    <row r="200" spans="1:66" ht="11.25" customHeight="1">
      <c r="A200" s="450"/>
      <c r="B200" s="447"/>
      <c r="C200" s="447"/>
      <c r="D200" s="447"/>
      <c r="E200" s="447"/>
      <c r="F200" s="447"/>
      <c r="G200" s="447"/>
      <c r="H200" s="447"/>
      <c r="I200" s="447"/>
      <c r="J200" s="447"/>
      <c r="K200" s="447"/>
      <c r="L200" s="447"/>
      <c r="M200" s="447"/>
      <c r="N200" s="447"/>
      <c r="O200" s="447"/>
      <c r="P200" s="447"/>
      <c r="Q200" s="447"/>
      <c r="R200" s="447"/>
      <c r="S200" s="447"/>
      <c r="T200" s="447"/>
      <c r="U200" s="447"/>
      <c r="V200" s="447"/>
      <c r="W200" s="447"/>
      <c r="X200" s="447"/>
      <c r="Y200" s="447"/>
      <c r="Z200" s="447"/>
      <c r="AA200" s="447"/>
      <c r="AB200" s="447"/>
      <c r="AC200" s="447"/>
      <c r="AD200" s="447"/>
      <c r="AE200" s="447"/>
      <c r="AF200" s="448"/>
      <c r="AG200" s="448"/>
      <c r="AH200" s="449"/>
      <c r="AI200" s="447"/>
      <c r="AJ200" s="447"/>
      <c r="AK200" s="447"/>
      <c r="AL200" s="447"/>
      <c r="AM200" s="447"/>
      <c r="AN200" s="447"/>
      <c r="AO200" s="447"/>
      <c r="AP200" s="447"/>
      <c r="AQ200" s="447"/>
      <c r="AR200" s="447"/>
      <c r="AS200" s="447"/>
      <c r="AT200" s="447"/>
      <c r="AU200" s="447"/>
      <c r="AV200" s="447"/>
      <c r="AW200" s="447"/>
      <c r="AX200" s="447"/>
      <c r="AY200" s="447"/>
      <c r="AZ200" s="447"/>
      <c r="BA200" s="447"/>
      <c r="BB200" s="447"/>
      <c r="BC200" s="447"/>
      <c r="BD200" s="447"/>
      <c r="BE200" s="447"/>
      <c r="BF200" s="447"/>
      <c r="BG200" s="447"/>
      <c r="BH200" s="447"/>
      <c r="BI200" s="447"/>
      <c r="BJ200" s="447"/>
      <c r="BK200" s="447"/>
      <c r="BL200" s="447"/>
      <c r="BM200" s="448"/>
      <c r="BN200" s="448"/>
    </row>
    <row r="201" spans="1:66" ht="11.25" customHeight="1">
      <c r="A201" s="450"/>
      <c r="B201" s="447"/>
      <c r="C201" s="447"/>
      <c r="D201" s="447"/>
      <c r="E201" s="447"/>
      <c r="F201" s="447"/>
      <c r="G201" s="447"/>
      <c r="H201" s="447"/>
      <c r="I201" s="447"/>
      <c r="J201" s="447"/>
      <c r="K201" s="447"/>
      <c r="L201" s="447"/>
      <c r="M201" s="447"/>
      <c r="N201" s="447"/>
      <c r="O201" s="447"/>
      <c r="P201" s="447"/>
      <c r="Q201" s="447"/>
      <c r="R201" s="447"/>
      <c r="S201" s="447"/>
      <c r="T201" s="447"/>
      <c r="U201" s="447"/>
      <c r="V201" s="447"/>
      <c r="W201" s="447"/>
      <c r="X201" s="447"/>
      <c r="Y201" s="447"/>
      <c r="Z201" s="447"/>
      <c r="AA201" s="447"/>
      <c r="AB201" s="447"/>
      <c r="AC201" s="447"/>
      <c r="AD201" s="447"/>
      <c r="AE201" s="447"/>
      <c r="AF201" s="448"/>
      <c r="AG201" s="448"/>
      <c r="AH201" s="449"/>
      <c r="AI201" s="447"/>
      <c r="AJ201" s="447"/>
      <c r="AK201" s="447"/>
      <c r="AL201" s="447"/>
      <c r="AM201" s="447"/>
      <c r="AN201" s="447"/>
      <c r="AO201" s="447"/>
      <c r="AP201" s="447"/>
      <c r="AQ201" s="447"/>
      <c r="AR201" s="447"/>
      <c r="AS201" s="447"/>
      <c r="AT201" s="447"/>
      <c r="AU201" s="447"/>
      <c r="AV201" s="447"/>
      <c r="AW201" s="447"/>
      <c r="AX201" s="447"/>
      <c r="AY201" s="447"/>
      <c r="AZ201" s="447"/>
      <c r="BA201" s="447"/>
      <c r="BB201" s="447"/>
      <c r="BC201" s="447"/>
      <c r="BD201" s="447"/>
      <c r="BE201" s="447"/>
      <c r="BF201" s="447"/>
      <c r="BG201" s="447"/>
      <c r="BH201" s="447"/>
      <c r="BI201" s="447"/>
      <c r="BJ201" s="447"/>
      <c r="BK201" s="447"/>
      <c r="BL201" s="447"/>
      <c r="BM201" s="448"/>
      <c r="BN201" s="448"/>
    </row>
    <row r="202" spans="1:66" ht="11.25" customHeight="1">
      <c r="A202" s="450"/>
      <c r="B202" s="447"/>
      <c r="C202" s="447"/>
      <c r="D202" s="447"/>
      <c r="E202" s="447"/>
      <c r="F202" s="447"/>
      <c r="G202" s="447"/>
      <c r="H202" s="447"/>
      <c r="I202" s="447"/>
      <c r="J202" s="447"/>
      <c r="K202" s="447"/>
      <c r="L202" s="447"/>
      <c r="M202" s="447"/>
      <c r="N202" s="447"/>
      <c r="O202" s="447"/>
      <c r="P202" s="447"/>
      <c r="Q202" s="447"/>
      <c r="R202" s="447"/>
      <c r="S202" s="447"/>
      <c r="T202" s="447"/>
      <c r="U202" s="447"/>
      <c r="V202" s="447"/>
      <c r="W202" s="447"/>
      <c r="X202" s="447"/>
      <c r="Y202" s="447"/>
      <c r="Z202" s="447"/>
      <c r="AA202" s="447"/>
      <c r="AB202" s="447"/>
      <c r="AC202" s="447"/>
      <c r="AD202" s="447"/>
      <c r="AE202" s="447"/>
      <c r="AF202" s="448"/>
      <c r="AG202" s="448"/>
      <c r="AH202" s="449"/>
      <c r="AI202" s="447"/>
      <c r="AJ202" s="447"/>
      <c r="AK202" s="447"/>
      <c r="AL202" s="447"/>
      <c r="AM202" s="447"/>
      <c r="AN202" s="447"/>
      <c r="AO202" s="447"/>
      <c r="AP202" s="447"/>
      <c r="AQ202" s="447"/>
      <c r="AR202" s="447"/>
      <c r="AS202" s="447"/>
      <c r="AT202" s="447"/>
      <c r="AU202" s="447"/>
      <c r="AV202" s="447"/>
      <c r="AW202" s="447"/>
      <c r="AX202" s="447"/>
      <c r="AY202" s="447"/>
      <c r="AZ202" s="447"/>
      <c r="BA202" s="447"/>
      <c r="BB202" s="447"/>
      <c r="BC202" s="447"/>
      <c r="BD202" s="447"/>
      <c r="BE202" s="447"/>
      <c r="BF202" s="447"/>
      <c r="BG202" s="447"/>
      <c r="BH202" s="447"/>
      <c r="BI202" s="447"/>
      <c r="BJ202" s="447"/>
      <c r="BK202" s="447"/>
      <c r="BL202" s="447"/>
      <c r="BM202" s="448"/>
      <c r="BN202" s="448"/>
    </row>
    <row r="203" spans="1:66" ht="11.25" customHeight="1">
      <c r="A203" s="450"/>
      <c r="B203" s="447"/>
      <c r="C203" s="447"/>
      <c r="D203" s="447"/>
      <c r="E203" s="447"/>
      <c r="F203" s="447"/>
      <c r="G203" s="447"/>
      <c r="H203" s="447"/>
      <c r="I203" s="447"/>
      <c r="J203" s="447"/>
      <c r="K203" s="447"/>
      <c r="L203" s="447"/>
      <c r="M203" s="447"/>
      <c r="N203" s="447"/>
      <c r="O203" s="447"/>
      <c r="P203" s="447"/>
      <c r="Q203" s="447"/>
      <c r="R203" s="447"/>
      <c r="S203" s="447"/>
      <c r="T203" s="447"/>
      <c r="U203" s="447"/>
      <c r="V203" s="447"/>
      <c r="W203" s="447"/>
      <c r="X203" s="447"/>
      <c r="Y203" s="447"/>
      <c r="Z203" s="447"/>
      <c r="AA203" s="447"/>
      <c r="AB203" s="447"/>
      <c r="AC203" s="447"/>
      <c r="AD203" s="447"/>
      <c r="AE203" s="447"/>
      <c r="AF203" s="448"/>
      <c r="AG203" s="448"/>
      <c r="AH203" s="449"/>
      <c r="AI203" s="447"/>
      <c r="AJ203" s="447"/>
      <c r="AK203" s="447"/>
      <c r="AL203" s="447"/>
      <c r="AM203" s="447"/>
      <c r="AN203" s="447"/>
      <c r="AO203" s="447"/>
      <c r="AP203" s="447"/>
      <c r="AQ203" s="447"/>
      <c r="AR203" s="447"/>
      <c r="AS203" s="447"/>
      <c r="AT203" s="447"/>
      <c r="AU203" s="447"/>
      <c r="AV203" s="447"/>
      <c r="AW203" s="447"/>
      <c r="AX203" s="447"/>
      <c r="AY203" s="447"/>
      <c r="AZ203" s="447"/>
      <c r="BA203" s="447"/>
      <c r="BB203" s="447"/>
      <c r="BC203" s="447"/>
      <c r="BD203" s="447"/>
      <c r="BE203" s="447"/>
      <c r="BF203" s="447"/>
      <c r="BG203" s="447"/>
      <c r="BH203" s="447"/>
      <c r="BI203" s="447"/>
      <c r="BJ203" s="447"/>
      <c r="BK203" s="447"/>
      <c r="BL203" s="447"/>
      <c r="BM203" s="448"/>
      <c r="BN203" s="448"/>
    </row>
    <row r="204" spans="1:66" ht="11.25" customHeight="1">
      <c r="A204" s="450"/>
      <c r="B204" s="447"/>
      <c r="C204" s="447"/>
      <c r="D204" s="447"/>
      <c r="E204" s="447"/>
      <c r="F204" s="447"/>
      <c r="G204" s="447"/>
      <c r="H204" s="447"/>
      <c r="I204" s="447"/>
      <c r="J204" s="447"/>
      <c r="K204" s="447"/>
      <c r="L204" s="447"/>
      <c r="M204" s="447"/>
      <c r="N204" s="447"/>
      <c r="O204" s="447"/>
      <c r="P204" s="447"/>
      <c r="Q204" s="447"/>
      <c r="R204" s="447"/>
      <c r="S204" s="447"/>
      <c r="T204" s="447"/>
      <c r="U204" s="447"/>
      <c r="V204" s="447"/>
      <c r="W204" s="447"/>
      <c r="X204" s="447"/>
      <c r="Y204" s="447"/>
      <c r="Z204" s="447"/>
      <c r="AA204" s="447"/>
      <c r="AB204" s="447"/>
      <c r="AC204" s="447"/>
      <c r="AD204" s="447"/>
      <c r="AE204" s="447"/>
      <c r="AF204" s="448"/>
      <c r="AG204" s="448"/>
      <c r="AH204" s="449"/>
      <c r="AI204" s="447"/>
      <c r="AJ204" s="447"/>
      <c r="AK204" s="447"/>
      <c r="AL204" s="447"/>
      <c r="AM204" s="447"/>
      <c r="AN204" s="447"/>
      <c r="AO204" s="447"/>
      <c r="AP204" s="447"/>
      <c r="AQ204" s="447"/>
      <c r="AR204" s="447"/>
      <c r="AS204" s="447"/>
      <c r="AT204" s="447"/>
      <c r="AU204" s="447"/>
      <c r="AV204" s="447"/>
      <c r="AW204" s="447"/>
      <c r="AX204" s="447"/>
      <c r="AY204" s="447"/>
      <c r="AZ204" s="447"/>
      <c r="BA204" s="447"/>
      <c r="BB204" s="447"/>
      <c r="BC204" s="447"/>
      <c r="BD204" s="447"/>
      <c r="BE204" s="447"/>
      <c r="BF204" s="447"/>
      <c r="BG204" s="447"/>
      <c r="BH204" s="447"/>
      <c r="BI204" s="447"/>
      <c r="BJ204" s="447"/>
      <c r="BK204" s="447"/>
      <c r="BL204" s="447"/>
      <c r="BM204" s="448"/>
      <c r="BN204" s="448"/>
    </row>
    <row r="205" spans="1:66" ht="11.25" customHeight="1">
      <c r="A205" s="450"/>
      <c r="B205" s="447"/>
      <c r="C205" s="447"/>
      <c r="D205" s="447"/>
      <c r="E205" s="447"/>
      <c r="F205" s="447"/>
      <c r="G205" s="447"/>
      <c r="H205" s="447"/>
      <c r="I205" s="447"/>
      <c r="J205" s="447"/>
      <c r="K205" s="447"/>
      <c r="L205" s="447"/>
      <c r="M205" s="447"/>
      <c r="N205" s="447"/>
      <c r="O205" s="447"/>
      <c r="P205" s="447"/>
      <c r="Q205" s="447"/>
      <c r="R205" s="447"/>
      <c r="S205" s="447"/>
      <c r="T205" s="447"/>
      <c r="U205" s="447"/>
      <c r="V205" s="447"/>
      <c r="W205" s="447"/>
      <c r="X205" s="447"/>
      <c r="Y205" s="447"/>
      <c r="Z205" s="447"/>
      <c r="AA205" s="447"/>
      <c r="AB205" s="447"/>
      <c r="AC205" s="447"/>
      <c r="AD205" s="447"/>
      <c r="AE205" s="447"/>
      <c r="AF205" s="448"/>
      <c r="AG205" s="448"/>
      <c r="AH205" s="449"/>
      <c r="AI205" s="447"/>
      <c r="AJ205" s="447"/>
      <c r="AK205" s="447"/>
      <c r="AL205" s="447"/>
      <c r="AM205" s="447"/>
      <c r="AN205" s="447"/>
      <c r="AO205" s="447"/>
      <c r="AP205" s="447"/>
      <c r="AQ205" s="447"/>
      <c r="AR205" s="447"/>
      <c r="AS205" s="447"/>
      <c r="AT205" s="447"/>
      <c r="AU205" s="447"/>
      <c r="AV205" s="447"/>
      <c r="AW205" s="447"/>
      <c r="AX205" s="447"/>
      <c r="AY205" s="447"/>
      <c r="AZ205" s="447"/>
      <c r="BA205" s="447"/>
      <c r="BB205" s="447"/>
      <c r="BC205" s="447"/>
      <c r="BD205" s="447"/>
      <c r="BE205" s="447"/>
      <c r="BF205" s="447"/>
      <c r="BG205" s="447"/>
      <c r="BH205" s="447"/>
      <c r="BI205" s="447"/>
      <c r="BJ205" s="447"/>
      <c r="BK205" s="447"/>
      <c r="BL205" s="447"/>
      <c r="BM205" s="448"/>
      <c r="BN205" s="448"/>
    </row>
    <row r="206" spans="1:66" ht="11.25" customHeight="1">
      <c r="A206" s="450"/>
      <c r="B206" s="447"/>
      <c r="C206" s="447"/>
      <c r="D206" s="447"/>
      <c r="E206" s="447"/>
      <c r="F206" s="447"/>
      <c r="G206" s="447"/>
      <c r="H206" s="447"/>
      <c r="I206" s="447"/>
      <c r="J206" s="447"/>
      <c r="K206" s="447"/>
      <c r="L206" s="447"/>
      <c r="M206" s="447"/>
      <c r="N206" s="447"/>
      <c r="O206" s="447"/>
      <c r="P206" s="447"/>
      <c r="Q206" s="447"/>
      <c r="R206" s="447"/>
      <c r="S206" s="447"/>
      <c r="T206" s="447"/>
      <c r="U206" s="447"/>
      <c r="V206" s="447"/>
      <c r="W206" s="447"/>
      <c r="X206" s="447"/>
      <c r="Y206" s="447"/>
      <c r="Z206" s="447"/>
      <c r="AA206" s="447"/>
      <c r="AB206" s="447"/>
      <c r="AC206" s="447"/>
      <c r="AD206" s="447"/>
      <c r="AE206" s="447"/>
      <c r="AF206" s="448"/>
      <c r="AG206" s="448"/>
      <c r="AH206" s="449"/>
      <c r="AI206" s="447"/>
      <c r="AJ206" s="447"/>
      <c r="AK206" s="447"/>
      <c r="AL206" s="447"/>
      <c r="AM206" s="447"/>
      <c r="AN206" s="447"/>
      <c r="AO206" s="447"/>
      <c r="AP206" s="447"/>
      <c r="AQ206" s="447"/>
      <c r="AR206" s="447"/>
      <c r="AS206" s="447"/>
      <c r="AT206" s="447"/>
      <c r="AU206" s="447"/>
      <c r="AV206" s="447"/>
      <c r="AW206" s="447"/>
      <c r="AX206" s="447"/>
      <c r="AY206" s="447"/>
      <c r="AZ206" s="447"/>
      <c r="BA206" s="447"/>
      <c r="BB206" s="447"/>
      <c r="BC206" s="447"/>
      <c r="BD206" s="447"/>
      <c r="BE206" s="447"/>
      <c r="BF206" s="447"/>
      <c r="BG206" s="447"/>
      <c r="BH206" s="447"/>
      <c r="BI206" s="447"/>
      <c r="BJ206" s="447"/>
      <c r="BK206" s="447"/>
      <c r="BL206" s="447"/>
      <c r="BM206" s="448"/>
      <c r="BN206" s="448"/>
    </row>
    <row r="207" spans="1:66" ht="11.25" customHeight="1">
      <c r="A207" s="450"/>
      <c r="B207" s="447"/>
      <c r="C207" s="447"/>
      <c r="D207" s="447"/>
      <c r="E207" s="447"/>
      <c r="F207" s="447"/>
      <c r="G207" s="447"/>
      <c r="H207" s="447"/>
      <c r="I207" s="447"/>
      <c r="J207" s="447"/>
      <c r="K207" s="447"/>
      <c r="L207" s="447"/>
      <c r="M207" s="447"/>
      <c r="N207" s="447"/>
      <c r="O207" s="447"/>
      <c r="P207" s="447"/>
      <c r="Q207" s="447"/>
      <c r="R207" s="447"/>
      <c r="S207" s="447"/>
      <c r="T207" s="447"/>
      <c r="U207" s="447"/>
      <c r="V207" s="447"/>
      <c r="W207" s="447"/>
      <c r="X207" s="447"/>
      <c r="Y207" s="447"/>
      <c r="Z207" s="447"/>
      <c r="AA207" s="447"/>
      <c r="AB207" s="447"/>
      <c r="AC207" s="447"/>
      <c r="AD207" s="447"/>
      <c r="AE207" s="447"/>
      <c r="AF207" s="448"/>
      <c r="AG207" s="448"/>
      <c r="AH207" s="449"/>
      <c r="AI207" s="447"/>
      <c r="AJ207" s="447"/>
      <c r="AK207" s="447"/>
      <c r="AL207" s="447"/>
      <c r="AM207" s="447"/>
      <c r="AN207" s="447"/>
      <c r="AO207" s="447"/>
      <c r="AP207" s="447"/>
      <c r="AQ207" s="447"/>
      <c r="AR207" s="447"/>
      <c r="AS207" s="447"/>
      <c r="AT207" s="447"/>
      <c r="AU207" s="447"/>
      <c r="AV207" s="447"/>
      <c r="AW207" s="447"/>
      <c r="AX207" s="447"/>
      <c r="AY207" s="447"/>
      <c r="AZ207" s="447"/>
      <c r="BA207" s="447"/>
      <c r="BB207" s="447"/>
      <c r="BC207" s="447"/>
      <c r="BD207" s="447"/>
      <c r="BE207" s="447"/>
      <c r="BF207" s="447"/>
      <c r="BG207" s="447"/>
      <c r="BH207" s="447"/>
      <c r="BI207" s="447"/>
      <c r="BJ207" s="447"/>
      <c r="BK207" s="447"/>
      <c r="BL207" s="447"/>
      <c r="BM207" s="448"/>
      <c r="BN207" s="448"/>
    </row>
    <row r="208" spans="1:66" ht="11.25" customHeight="1">
      <c r="A208" s="450"/>
      <c r="B208" s="447"/>
      <c r="C208" s="447"/>
      <c r="D208" s="447"/>
      <c r="E208" s="447"/>
      <c r="F208" s="447"/>
      <c r="G208" s="447"/>
      <c r="H208" s="447"/>
      <c r="I208" s="447"/>
      <c r="J208" s="447"/>
      <c r="K208" s="447"/>
      <c r="L208" s="447"/>
      <c r="M208" s="447"/>
      <c r="N208" s="447"/>
      <c r="O208" s="447"/>
      <c r="P208" s="447"/>
      <c r="Q208" s="447"/>
      <c r="R208" s="447"/>
      <c r="S208" s="447"/>
      <c r="T208" s="447"/>
      <c r="U208" s="447"/>
      <c r="V208" s="447"/>
      <c r="W208" s="447"/>
      <c r="X208" s="447"/>
      <c r="Y208" s="447"/>
      <c r="Z208" s="447"/>
      <c r="AA208" s="447"/>
      <c r="AB208" s="447"/>
      <c r="AC208" s="447"/>
      <c r="AD208" s="447"/>
      <c r="AE208" s="447"/>
      <c r="AF208" s="448"/>
      <c r="AG208" s="448"/>
      <c r="AH208" s="449"/>
      <c r="AI208" s="447"/>
      <c r="AJ208" s="447"/>
      <c r="AK208" s="447"/>
      <c r="AL208" s="447"/>
      <c r="AM208" s="447"/>
      <c r="AN208" s="447"/>
      <c r="AO208" s="447"/>
      <c r="AP208" s="447"/>
      <c r="AQ208" s="447"/>
      <c r="AR208" s="447"/>
      <c r="AS208" s="447"/>
      <c r="AT208" s="447"/>
      <c r="AU208" s="447"/>
      <c r="AV208" s="447"/>
      <c r="AW208" s="447"/>
      <c r="AX208" s="447"/>
      <c r="AY208" s="447"/>
      <c r="AZ208" s="447"/>
      <c r="BA208" s="447"/>
      <c r="BB208" s="447"/>
      <c r="BC208" s="447"/>
      <c r="BD208" s="447"/>
      <c r="BE208" s="447"/>
      <c r="BF208" s="447"/>
      <c r="BG208" s="447"/>
      <c r="BH208" s="447"/>
      <c r="BI208" s="447"/>
      <c r="BJ208" s="447"/>
      <c r="BK208" s="447"/>
      <c r="BL208" s="447"/>
      <c r="BM208" s="448"/>
      <c r="BN208" s="448"/>
    </row>
    <row r="209" spans="1:66" ht="11.25" customHeight="1">
      <c r="A209" s="450"/>
      <c r="B209" s="447"/>
      <c r="C209" s="447"/>
      <c r="D209" s="447"/>
      <c r="E209" s="447"/>
      <c r="F209" s="447"/>
      <c r="G209" s="447"/>
      <c r="H209" s="447"/>
      <c r="I209" s="447"/>
      <c r="J209" s="447"/>
      <c r="K209" s="447"/>
      <c r="L209" s="447"/>
      <c r="M209" s="447"/>
      <c r="N209" s="447"/>
      <c r="O209" s="447"/>
      <c r="P209" s="447"/>
      <c r="Q209" s="447"/>
      <c r="R209" s="447"/>
      <c r="S209" s="447"/>
      <c r="T209" s="447"/>
      <c r="U209" s="447"/>
      <c r="V209" s="447"/>
      <c r="W209" s="447"/>
      <c r="X209" s="447"/>
      <c r="Y209" s="447"/>
      <c r="Z209" s="447"/>
      <c r="AA209" s="447"/>
      <c r="AB209" s="447"/>
      <c r="AC209" s="447"/>
      <c r="AD209" s="447"/>
      <c r="AE209" s="447"/>
      <c r="AF209" s="448"/>
      <c r="AG209" s="448"/>
      <c r="AH209" s="449"/>
      <c r="AI209" s="447"/>
      <c r="AJ209" s="447"/>
      <c r="AK209" s="447"/>
      <c r="AL209" s="447"/>
      <c r="AM209" s="447"/>
      <c r="AN209" s="447"/>
      <c r="AO209" s="447"/>
      <c r="AP209" s="447"/>
      <c r="AQ209" s="447"/>
      <c r="AR209" s="447"/>
      <c r="AS209" s="447"/>
      <c r="AT209" s="447"/>
      <c r="AU209" s="447"/>
      <c r="AV209" s="447"/>
      <c r="AW209" s="447"/>
      <c r="AX209" s="447"/>
      <c r="AY209" s="447"/>
      <c r="AZ209" s="447"/>
      <c r="BA209" s="447"/>
      <c r="BB209" s="447"/>
      <c r="BC209" s="447"/>
      <c r="BD209" s="447"/>
      <c r="BE209" s="447"/>
      <c r="BF209" s="447"/>
      <c r="BG209" s="447"/>
      <c r="BH209" s="447"/>
      <c r="BI209" s="447"/>
      <c r="BJ209" s="447"/>
      <c r="BK209" s="447"/>
      <c r="BL209" s="447"/>
      <c r="BM209" s="448"/>
      <c r="BN209" s="448"/>
    </row>
    <row r="210" spans="1:66" ht="11.25" customHeight="1">
      <c r="A210" s="450"/>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447"/>
      <c r="AC210" s="447"/>
      <c r="AD210" s="447"/>
      <c r="AE210" s="447"/>
      <c r="AF210" s="448"/>
      <c r="AG210" s="448"/>
      <c r="AH210" s="449"/>
      <c r="AI210" s="447"/>
      <c r="AJ210" s="447"/>
      <c r="AK210" s="447"/>
      <c r="AL210" s="447"/>
      <c r="AM210" s="447"/>
      <c r="AN210" s="447"/>
      <c r="AO210" s="447"/>
      <c r="AP210" s="447"/>
      <c r="AQ210" s="447"/>
      <c r="AR210" s="447"/>
      <c r="AS210" s="447"/>
      <c r="AT210" s="447"/>
      <c r="AU210" s="447"/>
      <c r="AV210" s="447"/>
      <c r="AW210" s="447"/>
      <c r="AX210" s="447"/>
      <c r="AY210" s="447"/>
      <c r="AZ210" s="447"/>
      <c r="BA210" s="447"/>
      <c r="BB210" s="447"/>
      <c r="BC210" s="447"/>
      <c r="BD210" s="447"/>
      <c r="BE210" s="447"/>
      <c r="BF210" s="447"/>
      <c r="BG210" s="447"/>
      <c r="BH210" s="447"/>
      <c r="BI210" s="447"/>
      <c r="BJ210" s="447"/>
      <c r="BK210" s="447"/>
      <c r="BL210" s="447"/>
      <c r="BM210" s="448"/>
      <c r="BN210" s="448"/>
    </row>
    <row r="211" spans="1:66" ht="11.25" customHeight="1">
      <c r="A211" s="450"/>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447"/>
      <c r="AC211" s="447"/>
      <c r="AD211" s="447"/>
      <c r="AE211" s="447"/>
      <c r="AF211" s="448"/>
      <c r="AG211" s="448"/>
      <c r="AH211" s="449"/>
      <c r="AI211" s="447"/>
      <c r="AJ211" s="447"/>
      <c r="AK211" s="447"/>
      <c r="AL211" s="447"/>
      <c r="AM211" s="447"/>
      <c r="AN211" s="447"/>
      <c r="AO211" s="447"/>
      <c r="AP211" s="447"/>
      <c r="AQ211" s="447"/>
      <c r="AR211" s="447"/>
      <c r="AS211" s="447"/>
      <c r="AT211" s="447"/>
      <c r="AU211" s="447"/>
      <c r="AV211" s="447"/>
      <c r="AW211" s="447"/>
      <c r="AX211" s="447"/>
      <c r="AY211" s="447"/>
      <c r="AZ211" s="447"/>
      <c r="BA211" s="447"/>
      <c r="BB211" s="447"/>
      <c r="BC211" s="447"/>
      <c r="BD211" s="447"/>
      <c r="BE211" s="447"/>
      <c r="BF211" s="447"/>
      <c r="BG211" s="447"/>
      <c r="BH211" s="447"/>
      <c r="BI211" s="447"/>
      <c r="BJ211" s="447"/>
      <c r="BK211" s="447"/>
      <c r="BL211" s="447"/>
      <c r="BM211" s="448"/>
      <c r="BN211" s="448"/>
    </row>
    <row r="212" spans="1:66" ht="11.25" customHeight="1">
      <c r="A212" s="450"/>
      <c r="B212" s="447"/>
      <c r="C212" s="447"/>
      <c r="D212" s="447"/>
      <c r="E212" s="447"/>
      <c r="F212" s="447"/>
      <c r="G212" s="447"/>
      <c r="H212" s="447"/>
      <c r="I212" s="447"/>
      <c r="J212" s="447"/>
      <c r="K212" s="447"/>
      <c r="L212" s="447"/>
      <c r="M212" s="447"/>
      <c r="N212" s="447"/>
      <c r="O212" s="447"/>
      <c r="P212" s="447"/>
      <c r="Q212" s="447"/>
      <c r="R212" s="447"/>
      <c r="S212" s="447"/>
      <c r="T212" s="447"/>
      <c r="U212" s="447"/>
      <c r="V212" s="447"/>
      <c r="W212" s="447"/>
      <c r="X212" s="447"/>
      <c r="Y212" s="447"/>
      <c r="Z212" s="447"/>
      <c r="AA212" s="447"/>
      <c r="AB212" s="447"/>
      <c r="AC212" s="447"/>
      <c r="AD212" s="447"/>
      <c r="AE212" s="447"/>
      <c r="AF212" s="448"/>
      <c r="AG212" s="448"/>
      <c r="AH212" s="449"/>
      <c r="AI212" s="447"/>
      <c r="AJ212" s="447"/>
      <c r="AK212" s="447"/>
      <c r="AL212" s="447"/>
      <c r="AM212" s="447"/>
      <c r="AN212" s="447"/>
      <c r="AO212" s="447"/>
      <c r="AP212" s="447"/>
      <c r="AQ212" s="447"/>
      <c r="AR212" s="447"/>
      <c r="AS212" s="447"/>
      <c r="AT212" s="447"/>
      <c r="AU212" s="447"/>
      <c r="AV212" s="447"/>
      <c r="AW212" s="447"/>
      <c r="AX212" s="447"/>
      <c r="AY212" s="447"/>
      <c r="AZ212" s="447"/>
      <c r="BA212" s="447"/>
      <c r="BB212" s="447"/>
      <c r="BC212" s="447"/>
      <c r="BD212" s="447"/>
      <c r="BE212" s="447"/>
      <c r="BF212" s="447"/>
      <c r="BG212" s="447"/>
      <c r="BH212" s="447"/>
      <c r="BI212" s="447"/>
      <c r="BJ212" s="447"/>
      <c r="BK212" s="447"/>
      <c r="BL212" s="447"/>
      <c r="BM212" s="448"/>
      <c r="BN212" s="448"/>
    </row>
    <row r="213" spans="1:66" ht="11.25" customHeight="1">
      <c r="A213" s="450"/>
      <c r="B213" s="447"/>
      <c r="C213" s="447"/>
      <c r="D213" s="447"/>
      <c r="E213" s="447"/>
      <c r="F213" s="447"/>
      <c r="G213" s="447"/>
      <c r="H213" s="447"/>
      <c r="I213" s="447"/>
      <c r="J213" s="447"/>
      <c r="K213" s="447"/>
      <c r="L213" s="447"/>
      <c r="M213" s="447"/>
      <c r="N213" s="447"/>
      <c r="O213" s="447"/>
      <c r="P213" s="447"/>
      <c r="Q213" s="447"/>
      <c r="R213" s="447"/>
      <c r="S213" s="447"/>
      <c r="T213" s="447"/>
      <c r="U213" s="447"/>
      <c r="V213" s="447"/>
      <c r="W213" s="447"/>
      <c r="X213" s="447"/>
      <c r="Y213" s="447"/>
      <c r="Z213" s="447"/>
      <c r="AA213" s="447"/>
      <c r="AB213" s="447"/>
      <c r="AC213" s="447"/>
      <c r="AD213" s="447"/>
      <c r="AE213" s="447"/>
      <c r="AF213" s="448"/>
      <c r="AG213" s="448"/>
      <c r="AH213" s="449"/>
      <c r="AI213" s="447"/>
      <c r="AJ213" s="447"/>
      <c r="AK213" s="447"/>
      <c r="AL213" s="447"/>
      <c r="AM213" s="447"/>
      <c r="AN213" s="447"/>
      <c r="AO213" s="447"/>
      <c r="AP213" s="447"/>
      <c r="AQ213" s="447"/>
      <c r="AR213" s="447"/>
      <c r="AS213" s="447"/>
      <c r="AT213" s="447"/>
      <c r="AU213" s="447"/>
      <c r="AV213" s="447"/>
      <c r="AW213" s="447"/>
      <c r="AX213" s="447"/>
      <c r="AY213" s="447"/>
      <c r="AZ213" s="447"/>
      <c r="BA213" s="447"/>
      <c r="BB213" s="447"/>
      <c r="BC213" s="447"/>
      <c r="BD213" s="447"/>
      <c r="BE213" s="447"/>
      <c r="BF213" s="447"/>
      <c r="BG213" s="447"/>
      <c r="BH213" s="447"/>
      <c r="BI213" s="447"/>
      <c r="BJ213" s="447"/>
      <c r="BK213" s="447"/>
      <c r="BL213" s="447"/>
      <c r="BM213" s="448"/>
      <c r="BN213" s="448"/>
    </row>
    <row r="214" spans="1:66" ht="11.25" customHeight="1">
      <c r="A214" s="450"/>
      <c r="B214" s="447"/>
      <c r="C214" s="447"/>
      <c r="D214" s="447"/>
      <c r="E214" s="447"/>
      <c r="F214" s="447"/>
      <c r="G214" s="447"/>
      <c r="H214" s="447"/>
      <c r="I214" s="447"/>
      <c r="J214" s="447"/>
      <c r="K214" s="447"/>
      <c r="L214" s="447"/>
      <c r="M214" s="447"/>
      <c r="N214" s="447"/>
      <c r="O214" s="447"/>
      <c r="P214" s="447"/>
      <c r="Q214" s="447"/>
      <c r="R214" s="447"/>
      <c r="S214" s="447"/>
      <c r="T214" s="447"/>
      <c r="U214" s="447"/>
      <c r="V214" s="447"/>
      <c r="W214" s="447"/>
      <c r="X214" s="447"/>
      <c r="Y214" s="447"/>
      <c r="Z214" s="447"/>
      <c r="AA214" s="447"/>
      <c r="AB214" s="447"/>
      <c r="AC214" s="447"/>
      <c r="AD214" s="447"/>
      <c r="AE214" s="447"/>
      <c r="AF214" s="448"/>
      <c r="AG214" s="448"/>
      <c r="AH214" s="449"/>
      <c r="AI214" s="447"/>
      <c r="AJ214" s="447"/>
      <c r="AK214" s="447"/>
      <c r="AL214" s="447"/>
      <c r="AM214" s="447"/>
      <c r="AN214" s="447"/>
      <c r="AO214" s="447"/>
      <c r="AP214" s="447"/>
      <c r="AQ214" s="447"/>
      <c r="AR214" s="447"/>
      <c r="AS214" s="447"/>
      <c r="AT214" s="447"/>
      <c r="AU214" s="447"/>
      <c r="AV214" s="447"/>
      <c r="AW214" s="447"/>
      <c r="AX214" s="447"/>
      <c r="AY214" s="447"/>
      <c r="AZ214" s="447"/>
      <c r="BA214" s="447"/>
      <c r="BB214" s="447"/>
      <c r="BC214" s="447"/>
      <c r="BD214" s="447"/>
      <c r="BE214" s="447"/>
      <c r="BF214" s="447"/>
      <c r="BG214" s="447"/>
      <c r="BH214" s="447"/>
      <c r="BI214" s="447"/>
      <c r="BJ214" s="447"/>
      <c r="BK214" s="447"/>
      <c r="BL214" s="447"/>
      <c r="BM214" s="448"/>
      <c r="BN214" s="448"/>
    </row>
    <row r="215" spans="1:66" ht="11.25" customHeight="1">
      <c r="A215" s="450"/>
      <c r="B215" s="447"/>
      <c r="C215" s="447"/>
      <c r="D215" s="447"/>
      <c r="E215" s="447"/>
      <c r="F215" s="447"/>
      <c r="G215" s="447"/>
      <c r="H215" s="447"/>
      <c r="I215" s="447"/>
      <c r="J215" s="447"/>
      <c r="K215" s="447"/>
      <c r="L215" s="447"/>
      <c r="M215" s="447"/>
      <c r="N215" s="447"/>
      <c r="O215" s="447"/>
      <c r="P215" s="447"/>
      <c r="Q215" s="447"/>
      <c r="R215" s="447"/>
      <c r="S215" s="447"/>
      <c r="T215" s="447"/>
      <c r="U215" s="447"/>
      <c r="V215" s="447"/>
      <c r="W215" s="447"/>
      <c r="X215" s="447"/>
      <c r="Y215" s="447"/>
      <c r="Z215" s="447"/>
      <c r="AA215" s="447"/>
      <c r="AB215" s="447"/>
      <c r="AC215" s="447"/>
      <c r="AD215" s="447"/>
      <c r="AE215" s="447"/>
      <c r="AF215" s="448"/>
      <c r="AG215" s="448"/>
      <c r="AH215" s="449"/>
      <c r="AI215" s="447"/>
      <c r="AJ215" s="447"/>
      <c r="AK215" s="447"/>
      <c r="AL215" s="447"/>
      <c r="AM215" s="447"/>
      <c r="AN215" s="447"/>
      <c r="AO215" s="447"/>
      <c r="AP215" s="447"/>
      <c r="AQ215" s="447"/>
      <c r="AR215" s="447"/>
      <c r="AS215" s="447"/>
      <c r="AT215" s="447"/>
      <c r="AU215" s="447"/>
      <c r="AV215" s="447"/>
      <c r="AW215" s="447"/>
      <c r="AX215" s="447"/>
      <c r="AY215" s="447"/>
      <c r="AZ215" s="447"/>
      <c r="BA215" s="447"/>
      <c r="BB215" s="447"/>
      <c r="BC215" s="447"/>
      <c r="BD215" s="447"/>
      <c r="BE215" s="447"/>
      <c r="BF215" s="447"/>
      <c r="BG215" s="447"/>
      <c r="BH215" s="447"/>
      <c r="BI215" s="447"/>
      <c r="BJ215" s="447"/>
      <c r="BK215" s="447"/>
      <c r="BL215" s="447"/>
      <c r="BM215" s="448"/>
      <c r="BN215" s="448"/>
    </row>
    <row r="216" spans="1:66" ht="11.25" customHeight="1">
      <c r="A216" s="450"/>
      <c r="B216" s="447"/>
      <c r="C216" s="447"/>
      <c r="D216" s="447"/>
      <c r="E216" s="447"/>
      <c r="F216" s="447"/>
      <c r="G216" s="447"/>
      <c r="H216" s="447"/>
      <c r="I216" s="447"/>
      <c r="J216" s="447"/>
      <c r="K216" s="447"/>
      <c r="L216" s="447"/>
      <c r="M216" s="447"/>
      <c r="N216" s="447"/>
      <c r="O216" s="447"/>
      <c r="P216" s="447"/>
      <c r="Q216" s="447"/>
      <c r="R216" s="447"/>
      <c r="S216" s="447"/>
      <c r="T216" s="447"/>
      <c r="U216" s="447"/>
      <c r="V216" s="447"/>
      <c r="W216" s="447"/>
      <c r="X216" s="447"/>
      <c r="Y216" s="447"/>
      <c r="Z216" s="447"/>
      <c r="AA216" s="447"/>
      <c r="AB216" s="447"/>
      <c r="AC216" s="447"/>
      <c r="AD216" s="447"/>
      <c r="AE216" s="447"/>
      <c r="AF216" s="448"/>
      <c r="AG216" s="448"/>
      <c r="AH216" s="449"/>
      <c r="AI216" s="447"/>
      <c r="AJ216" s="447"/>
      <c r="AK216" s="447"/>
      <c r="AL216" s="447"/>
      <c r="AM216" s="447"/>
      <c r="AN216" s="447"/>
      <c r="AO216" s="447"/>
      <c r="AP216" s="447"/>
      <c r="AQ216" s="447"/>
      <c r="AR216" s="447"/>
      <c r="AS216" s="447"/>
      <c r="AT216" s="447"/>
      <c r="AU216" s="447"/>
      <c r="AV216" s="447"/>
      <c r="AW216" s="447"/>
      <c r="AX216" s="447"/>
      <c r="AY216" s="447"/>
      <c r="AZ216" s="447"/>
      <c r="BA216" s="447"/>
      <c r="BB216" s="447"/>
      <c r="BC216" s="447"/>
      <c r="BD216" s="447"/>
      <c r="BE216" s="447"/>
      <c r="BF216" s="447"/>
      <c r="BG216" s="447"/>
      <c r="BH216" s="447"/>
      <c r="BI216" s="447"/>
      <c r="BJ216" s="447"/>
      <c r="BK216" s="447"/>
      <c r="BL216" s="447"/>
      <c r="BM216" s="448"/>
      <c r="BN216" s="448"/>
    </row>
    <row r="217" spans="1:66" ht="11.25" customHeight="1">
      <c r="A217" s="450"/>
      <c r="B217" s="447"/>
      <c r="C217" s="447"/>
      <c r="D217" s="447"/>
      <c r="E217" s="447"/>
      <c r="F217" s="447"/>
      <c r="G217" s="447"/>
      <c r="H217" s="447"/>
      <c r="I217" s="447"/>
      <c r="J217" s="447"/>
      <c r="K217" s="447"/>
      <c r="L217" s="447"/>
      <c r="M217" s="447"/>
      <c r="N217" s="447"/>
      <c r="O217" s="447"/>
      <c r="P217" s="447"/>
      <c r="Q217" s="447"/>
      <c r="R217" s="447"/>
      <c r="S217" s="447"/>
      <c r="T217" s="447"/>
      <c r="U217" s="447"/>
      <c r="V217" s="447"/>
      <c r="W217" s="447"/>
      <c r="X217" s="447"/>
      <c r="Y217" s="447"/>
      <c r="Z217" s="447"/>
      <c r="AA217" s="447"/>
      <c r="AB217" s="447"/>
      <c r="AC217" s="447"/>
      <c r="AD217" s="447"/>
      <c r="AE217" s="447"/>
      <c r="AF217" s="448"/>
      <c r="AG217" s="448"/>
      <c r="AH217" s="449"/>
      <c r="AI217" s="447"/>
      <c r="AJ217" s="447"/>
      <c r="AK217" s="447"/>
      <c r="AL217" s="447"/>
      <c r="AM217" s="447"/>
      <c r="AN217" s="447"/>
      <c r="AO217" s="447"/>
      <c r="AP217" s="447"/>
      <c r="AQ217" s="447"/>
      <c r="AR217" s="447"/>
      <c r="AS217" s="447"/>
      <c r="AT217" s="447"/>
      <c r="AU217" s="447"/>
      <c r="AV217" s="447"/>
      <c r="AW217" s="447"/>
      <c r="AX217" s="447"/>
      <c r="AY217" s="447"/>
      <c r="AZ217" s="447"/>
      <c r="BA217" s="447"/>
      <c r="BB217" s="447"/>
      <c r="BC217" s="447"/>
      <c r="BD217" s="447"/>
      <c r="BE217" s="447"/>
      <c r="BF217" s="447"/>
      <c r="BG217" s="447"/>
      <c r="BH217" s="447"/>
      <c r="BI217" s="447"/>
      <c r="BJ217" s="447"/>
      <c r="BK217" s="447"/>
      <c r="BL217" s="447"/>
      <c r="BM217" s="448"/>
      <c r="BN217" s="448"/>
    </row>
    <row r="218" spans="1:66" ht="11.25" customHeight="1">
      <c r="A218" s="450"/>
      <c r="B218" s="447"/>
      <c r="C218" s="447"/>
      <c r="D218" s="447"/>
      <c r="E218" s="447"/>
      <c r="F218" s="447"/>
      <c r="G218" s="447"/>
      <c r="H218" s="447"/>
      <c r="I218" s="447"/>
      <c r="J218" s="447"/>
      <c r="K218" s="447"/>
      <c r="L218" s="447"/>
      <c r="M218" s="447"/>
      <c r="N218" s="447"/>
      <c r="O218" s="447"/>
      <c r="P218" s="447"/>
      <c r="Q218" s="447"/>
      <c r="R218" s="447"/>
      <c r="S218" s="447"/>
      <c r="T218" s="447"/>
      <c r="U218" s="447"/>
      <c r="V218" s="447"/>
      <c r="W218" s="447"/>
      <c r="X218" s="447"/>
      <c r="Y218" s="447"/>
      <c r="Z218" s="447"/>
      <c r="AA218" s="447"/>
      <c r="AB218" s="447"/>
      <c r="AC218" s="447"/>
      <c r="AD218" s="447"/>
      <c r="AE218" s="447"/>
      <c r="AF218" s="448"/>
      <c r="AG218" s="448"/>
      <c r="AH218" s="449"/>
      <c r="AI218" s="447"/>
      <c r="AJ218" s="447"/>
      <c r="AK218" s="447"/>
      <c r="AL218" s="447"/>
      <c r="AM218" s="447"/>
      <c r="AN218" s="447"/>
      <c r="AO218" s="447"/>
      <c r="AP218" s="447"/>
      <c r="AQ218" s="447"/>
      <c r="AR218" s="447"/>
      <c r="AS218" s="447"/>
      <c r="AT218" s="447"/>
      <c r="AU218" s="447"/>
      <c r="AV218" s="447"/>
      <c r="AW218" s="447"/>
      <c r="AX218" s="447"/>
      <c r="AY218" s="447"/>
      <c r="AZ218" s="447"/>
      <c r="BA218" s="447"/>
      <c r="BB218" s="447"/>
      <c r="BC218" s="447"/>
      <c r="BD218" s="447"/>
      <c r="BE218" s="447"/>
      <c r="BF218" s="447"/>
      <c r="BG218" s="447"/>
      <c r="BH218" s="447"/>
      <c r="BI218" s="447"/>
      <c r="BJ218" s="447"/>
      <c r="BK218" s="447"/>
      <c r="BL218" s="447"/>
      <c r="BM218" s="448"/>
      <c r="BN218" s="448"/>
    </row>
    <row r="219" spans="1:66" ht="11.25" customHeight="1">
      <c r="A219" s="450"/>
      <c r="B219" s="447"/>
      <c r="C219" s="447"/>
      <c r="D219" s="447"/>
      <c r="E219" s="447"/>
      <c r="F219" s="447"/>
      <c r="G219" s="447"/>
      <c r="H219" s="447"/>
      <c r="I219" s="447"/>
      <c r="J219" s="447"/>
      <c r="K219" s="447"/>
      <c r="L219" s="447"/>
      <c r="M219" s="447"/>
      <c r="N219" s="447"/>
      <c r="O219" s="447"/>
      <c r="P219" s="447"/>
      <c r="Q219" s="447"/>
      <c r="R219" s="447"/>
      <c r="S219" s="447"/>
      <c r="T219" s="447"/>
      <c r="U219" s="447"/>
      <c r="V219" s="447"/>
      <c r="W219" s="447"/>
      <c r="X219" s="447"/>
      <c r="Y219" s="447"/>
      <c r="Z219" s="447"/>
      <c r="AA219" s="447"/>
      <c r="AB219" s="447"/>
      <c r="AC219" s="447"/>
      <c r="AD219" s="447"/>
      <c r="AE219" s="447"/>
      <c r="AF219" s="448"/>
      <c r="AG219" s="448"/>
      <c r="AH219" s="449"/>
      <c r="AI219" s="447"/>
      <c r="AJ219" s="447"/>
      <c r="AK219" s="447"/>
      <c r="AL219" s="447"/>
      <c r="AM219" s="447"/>
      <c r="AN219" s="447"/>
      <c r="AO219" s="447"/>
      <c r="AP219" s="447"/>
      <c r="AQ219" s="447"/>
      <c r="AR219" s="447"/>
      <c r="AS219" s="447"/>
      <c r="AT219" s="447"/>
      <c r="AU219" s="447"/>
      <c r="AV219" s="447"/>
      <c r="AW219" s="447"/>
      <c r="AX219" s="447"/>
      <c r="AY219" s="447"/>
      <c r="AZ219" s="447"/>
      <c r="BA219" s="447"/>
      <c r="BB219" s="447"/>
      <c r="BC219" s="447"/>
      <c r="BD219" s="447"/>
      <c r="BE219" s="447"/>
      <c r="BF219" s="447"/>
      <c r="BG219" s="447"/>
      <c r="BH219" s="447"/>
      <c r="BI219" s="447"/>
      <c r="BJ219" s="447"/>
      <c r="BK219" s="447"/>
      <c r="BL219" s="447"/>
      <c r="BM219" s="448"/>
      <c r="BN219" s="448"/>
    </row>
    <row r="220" spans="1:66" ht="11.25" customHeight="1">
      <c r="A220" s="450"/>
      <c r="B220" s="447"/>
      <c r="C220" s="447"/>
      <c r="D220" s="447"/>
      <c r="E220" s="447"/>
      <c r="F220" s="447"/>
      <c r="G220" s="447"/>
      <c r="H220" s="447"/>
      <c r="I220" s="447"/>
      <c r="J220" s="447"/>
      <c r="K220" s="447"/>
      <c r="L220" s="447"/>
      <c r="M220" s="447"/>
      <c r="N220" s="447"/>
      <c r="O220" s="447"/>
      <c r="P220" s="447"/>
      <c r="Q220" s="447"/>
      <c r="R220" s="447"/>
      <c r="S220" s="447"/>
      <c r="T220" s="447"/>
      <c r="U220" s="447"/>
      <c r="V220" s="447"/>
      <c r="W220" s="447"/>
      <c r="X220" s="447"/>
      <c r="Y220" s="447"/>
      <c r="Z220" s="447"/>
      <c r="AA220" s="447"/>
      <c r="AB220" s="447"/>
      <c r="AC220" s="447"/>
      <c r="AD220" s="447"/>
      <c r="AE220" s="447"/>
      <c r="AF220" s="448"/>
      <c r="AG220" s="448"/>
      <c r="AH220" s="449"/>
      <c r="AI220" s="447"/>
      <c r="AJ220" s="447"/>
      <c r="AK220" s="447"/>
      <c r="AL220" s="447"/>
      <c r="AM220" s="447"/>
      <c r="AN220" s="447"/>
      <c r="AO220" s="447"/>
      <c r="AP220" s="447"/>
      <c r="AQ220" s="447"/>
      <c r="AR220" s="447"/>
      <c r="AS220" s="447"/>
      <c r="AT220" s="447"/>
      <c r="AU220" s="447"/>
      <c r="AV220" s="447"/>
      <c r="AW220" s="447"/>
      <c r="AX220" s="447"/>
      <c r="AY220" s="447"/>
      <c r="AZ220" s="447"/>
      <c r="BA220" s="447"/>
      <c r="BB220" s="447"/>
      <c r="BC220" s="447"/>
      <c r="BD220" s="447"/>
      <c r="BE220" s="447"/>
      <c r="BF220" s="447"/>
      <c r="BG220" s="447"/>
      <c r="BH220" s="447"/>
      <c r="BI220" s="447"/>
      <c r="BJ220" s="447"/>
      <c r="BK220" s="447"/>
      <c r="BL220" s="447"/>
      <c r="BM220" s="448"/>
      <c r="BN220" s="448"/>
    </row>
    <row r="221" spans="1:66" ht="11.25" customHeight="1">
      <c r="A221" s="450"/>
      <c r="B221" s="447"/>
      <c r="C221" s="447"/>
      <c r="D221" s="447"/>
      <c r="E221" s="447"/>
      <c r="F221" s="447"/>
      <c r="G221" s="447"/>
      <c r="H221" s="447"/>
      <c r="I221" s="447"/>
      <c r="J221" s="447"/>
      <c r="K221" s="447"/>
      <c r="L221" s="447"/>
      <c r="M221" s="447"/>
      <c r="N221" s="447"/>
      <c r="O221" s="447"/>
      <c r="P221" s="447"/>
      <c r="Q221" s="447"/>
      <c r="R221" s="447"/>
      <c r="S221" s="447"/>
      <c r="T221" s="447"/>
      <c r="U221" s="447"/>
      <c r="V221" s="447"/>
      <c r="W221" s="447"/>
      <c r="X221" s="447"/>
      <c r="Y221" s="447"/>
      <c r="Z221" s="447"/>
      <c r="AA221" s="447"/>
      <c r="AB221" s="447"/>
      <c r="AC221" s="447"/>
      <c r="AD221" s="447"/>
      <c r="AE221" s="447"/>
      <c r="AF221" s="448"/>
      <c r="AG221" s="448"/>
      <c r="AH221" s="449"/>
      <c r="AI221" s="447"/>
      <c r="AJ221" s="447"/>
      <c r="AK221" s="447"/>
      <c r="AL221" s="447"/>
      <c r="AM221" s="447"/>
      <c r="AN221" s="447"/>
      <c r="AO221" s="447"/>
      <c r="AP221" s="447"/>
      <c r="AQ221" s="447"/>
      <c r="AR221" s="447"/>
      <c r="AS221" s="447"/>
      <c r="AT221" s="447"/>
      <c r="AU221" s="447"/>
      <c r="AV221" s="447"/>
      <c r="AW221" s="447"/>
      <c r="AX221" s="447"/>
      <c r="AY221" s="447"/>
      <c r="AZ221" s="447"/>
      <c r="BA221" s="447"/>
      <c r="BB221" s="447"/>
      <c r="BC221" s="447"/>
      <c r="BD221" s="447"/>
      <c r="BE221" s="447"/>
      <c r="BF221" s="447"/>
      <c r="BG221" s="447"/>
      <c r="BH221" s="447"/>
      <c r="BI221" s="447"/>
      <c r="BJ221" s="447"/>
      <c r="BK221" s="447"/>
      <c r="BL221" s="447"/>
      <c r="BM221" s="448"/>
      <c r="BN221" s="448"/>
    </row>
    <row r="222" spans="1:66" ht="11.25" customHeight="1">
      <c r="A222" s="450"/>
      <c r="B222" s="447"/>
      <c r="C222" s="447"/>
      <c r="D222" s="447"/>
      <c r="E222" s="447"/>
      <c r="F222" s="447"/>
      <c r="G222" s="447"/>
      <c r="H222" s="447"/>
      <c r="I222" s="447"/>
      <c r="J222" s="447"/>
      <c r="K222" s="447"/>
      <c r="L222" s="447"/>
      <c r="M222" s="447"/>
      <c r="N222" s="447"/>
      <c r="O222" s="447"/>
      <c r="P222" s="447"/>
      <c r="Q222" s="447"/>
      <c r="R222" s="447"/>
      <c r="S222" s="447"/>
      <c r="T222" s="447"/>
      <c r="U222" s="447"/>
      <c r="V222" s="447"/>
      <c r="W222" s="447"/>
      <c r="X222" s="447"/>
      <c r="Y222" s="447"/>
      <c r="Z222" s="447"/>
      <c r="AA222" s="447"/>
      <c r="AB222" s="447"/>
      <c r="AC222" s="447"/>
      <c r="AD222" s="447"/>
      <c r="AE222" s="447"/>
      <c r="AF222" s="448"/>
      <c r="AG222" s="448"/>
      <c r="AH222" s="449"/>
      <c r="AI222" s="447"/>
      <c r="AJ222" s="447"/>
      <c r="AK222" s="447"/>
      <c r="AL222" s="447"/>
      <c r="AM222" s="447"/>
      <c r="AN222" s="447"/>
      <c r="AO222" s="447"/>
      <c r="AP222" s="447"/>
      <c r="AQ222" s="447"/>
      <c r="AR222" s="447"/>
      <c r="AS222" s="447"/>
      <c r="AT222" s="447"/>
      <c r="AU222" s="447"/>
      <c r="AV222" s="447"/>
      <c r="AW222" s="447"/>
      <c r="AX222" s="447"/>
      <c r="AY222" s="447"/>
      <c r="AZ222" s="447"/>
      <c r="BA222" s="447"/>
      <c r="BB222" s="447"/>
      <c r="BC222" s="447"/>
      <c r="BD222" s="447"/>
      <c r="BE222" s="447"/>
      <c r="BF222" s="447"/>
      <c r="BG222" s="447"/>
      <c r="BH222" s="447"/>
      <c r="BI222" s="447"/>
      <c r="BJ222" s="447"/>
      <c r="BK222" s="447"/>
      <c r="BL222" s="447"/>
      <c r="BM222" s="448"/>
      <c r="BN222" s="448"/>
    </row>
    <row r="223" spans="1:66" ht="11.25" customHeight="1">
      <c r="A223" s="450"/>
      <c r="B223" s="447"/>
      <c r="C223" s="447"/>
      <c r="D223" s="447"/>
      <c r="E223" s="447"/>
      <c r="F223" s="447"/>
      <c r="G223" s="447"/>
      <c r="H223" s="447"/>
      <c r="I223" s="447"/>
      <c r="J223" s="447"/>
      <c r="K223" s="447"/>
      <c r="L223" s="447"/>
      <c r="M223" s="447"/>
      <c r="N223" s="447"/>
      <c r="O223" s="447"/>
      <c r="P223" s="447"/>
      <c r="Q223" s="447"/>
      <c r="R223" s="447"/>
      <c r="S223" s="447"/>
      <c r="T223" s="447"/>
      <c r="U223" s="447"/>
      <c r="V223" s="447"/>
      <c r="W223" s="447"/>
      <c r="X223" s="447"/>
      <c r="Y223" s="447"/>
      <c r="Z223" s="447"/>
      <c r="AA223" s="447"/>
      <c r="AB223" s="447"/>
      <c r="AC223" s="447"/>
      <c r="AD223" s="447"/>
      <c r="AE223" s="447"/>
      <c r="AF223" s="448"/>
      <c r="AG223" s="448"/>
      <c r="AH223" s="449"/>
      <c r="AI223" s="447"/>
      <c r="AJ223" s="447"/>
      <c r="AK223" s="447"/>
      <c r="AL223" s="447"/>
      <c r="AM223" s="447"/>
      <c r="AN223" s="447"/>
      <c r="AO223" s="447"/>
      <c r="AP223" s="447"/>
      <c r="AQ223" s="447"/>
      <c r="AR223" s="447"/>
      <c r="AS223" s="447"/>
      <c r="AT223" s="447"/>
      <c r="AU223" s="447"/>
      <c r="AV223" s="447"/>
      <c r="AW223" s="447"/>
      <c r="AX223" s="447"/>
      <c r="AY223" s="447"/>
      <c r="AZ223" s="447"/>
      <c r="BA223" s="447"/>
      <c r="BB223" s="447"/>
      <c r="BC223" s="447"/>
      <c r="BD223" s="447"/>
      <c r="BE223" s="447"/>
      <c r="BF223" s="447"/>
      <c r="BG223" s="447"/>
      <c r="BH223" s="447"/>
      <c r="BI223" s="447"/>
      <c r="BJ223" s="447"/>
      <c r="BK223" s="447"/>
      <c r="BL223" s="447"/>
      <c r="BM223" s="448"/>
      <c r="BN223" s="448"/>
    </row>
    <row r="224" spans="1:66" ht="11.25" customHeight="1">
      <c r="A224" s="450"/>
      <c r="B224" s="447"/>
      <c r="C224" s="447"/>
      <c r="D224" s="447"/>
      <c r="E224" s="447"/>
      <c r="F224" s="447"/>
      <c r="G224" s="447"/>
      <c r="H224" s="447"/>
      <c r="I224" s="447"/>
      <c r="J224" s="447"/>
      <c r="K224" s="447"/>
      <c r="L224" s="447"/>
      <c r="M224" s="447"/>
      <c r="N224" s="447"/>
      <c r="O224" s="447"/>
      <c r="P224" s="447"/>
      <c r="Q224" s="447"/>
      <c r="R224" s="447"/>
      <c r="S224" s="447"/>
      <c r="T224" s="447"/>
      <c r="U224" s="447"/>
      <c r="V224" s="447"/>
      <c r="W224" s="447"/>
      <c r="X224" s="447"/>
      <c r="Y224" s="447"/>
      <c r="Z224" s="447"/>
      <c r="AA224" s="447"/>
      <c r="AB224" s="447"/>
      <c r="AC224" s="447"/>
      <c r="AD224" s="447"/>
      <c r="AE224" s="447"/>
      <c r="AF224" s="448"/>
      <c r="AG224" s="448"/>
      <c r="AH224" s="449"/>
      <c r="AI224" s="447"/>
      <c r="AJ224" s="447"/>
      <c r="AK224" s="447"/>
      <c r="AL224" s="447"/>
      <c r="AM224" s="447"/>
      <c r="AN224" s="447"/>
      <c r="AO224" s="447"/>
      <c r="AP224" s="447"/>
      <c r="AQ224" s="447"/>
      <c r="AR224" s="447"/>
      <c r="AS224" s="447"/>
      <c r="AT224" s="447"/>
      <c r="AU224" s="447"/>
      <c r="AV224" s="447"/>
      <c r="AW224" s="447"/>
      <c r="AX224" s="447"/>
      <c r="AY224" s="447"/>
      <c r="AZ224" s="447"/>
      <c r="BA224" s="447"/>
      <c r="BB224" s="447"/>
      <c r="BC224" s="447"/>
      <c r="BD224" s="447"/>
      <c r="BE224" s="447"/>
      <c r="BF224" s="447"/>
      <c r="BG224" s="447"/>
      <c r="BH224" s="447"/>
      <c r="BI224" s="447"/>
      <c r="BJ224" s="447"/>
      <c r="BK224" s="447"/>
      <c r="BL224" s="447"/>
      <c r="BM224" s="448"/>
      <c r="BN224" s="448"/>
    </row>
    <row r="225" spans="1:66" ht="11.25" customHeight="1">
      <c r="A225" s="450"/>
      <c r="B225" s="447"/>
      <c r="C225" s="447"/>
      <c r="D225" s="447"/>
      <c r="E225" s="447"/>
      <c r="F225" s="447"/>
      <c r="G225" s="447"/>
      <c r="H225" s="447"/>
      <c r="I225" s="447"/>
      <c r="J225" s="447"/>
      <c r="K225" s="447"/>
      <c r="L225" s="447"/>
      <c r="M225" s="447"/>
      <c r="N225" s="447"/>
      <c r="O225" s="447"/>
      <c r="P225" s="447"/>
      <c r="Q225" s="447"/>
      <c r="R225" s="447"/>
      <c r="S225" s="447"/>
      <c r="T225" s="447"/>
      <c r="U225" s="447"/>
      <c r="V225" s="447"/>
      <c r="W225" s="447"/>
      <c r="X225" s="447"/>
      <c r="Y225" s="447"/>
      <c r="Z225" s="447"/>
      <c r="AA225" s="447"/>
      <c r="AB225" s="447"/>
      <c r="AC225" s="447"/>
      <c r="AD225" s="447"/>
      <c r="AE225" s="447"/>
      <c r="AF225" s="448"/>
      <c r="AG225" s="448"/>
      <c r="AH225" s="449"/>
      <c r="AI225" s="447"/>
      <c r="AJ225" s="447"/>
      <c r="AK225" s="447"/>
      <c r="AL225" s="447"/>
      <c r="AM225" s="447"/>
      <c r="AN225" s="447"/>
      <c r="AO225" s="447"/>
      <c r="AP225" s="447"/>
      <c r="AQ225" s="447"/>
      <c r="AR225" s="447"/>
      <c r="AS225" s="447"/>
      <c r="AT225" s="447"/>
      <c r="AU225" s="447"/>
      <c r="AV225" s="447"/>
      <c r="AW225" s="447"/>
      <c r="AX225" s="447"/>
      <c r="AY225" s="447"/>
      <c r="AZ225" s="447"/>
      <c r="BA225" s="447"/>
      <c r="BB225" s="447"/>
      <c r="BC225" s="447"/>
      <c r="BD225" s="447"/>
      <c r="BE225" s="447"/>
      <c r="BF225" s="447"/>
      <c r="BG225" s="447"/>
      <c r="BH225" s="447"/>
      <c r="BI225" s="447"/>
      <c r="BJ225" s="447"/>
      <c r="BK225" s="447"/>
      <c r="BL225" s="447"/>
      <c r="BM225" s="448"/>
      <c r="BN225" s="448"/>
    </row>
    <row r="226" spans="1:66" ht="11.25" customHeight="1">
      <c r="A226" s="450"/>
      <c r="B226" s="447"/>
      <c r="C226" s="447"/>
      <c r="D226" s="447"/>
      <c r="E226" s="447"/>
      <c r="F226" s="447"/>
      <c r="G226" s="447"/>
      <c r="H226" s="447"/>
      <c r="I226" s="447"/>
      <c r="J226" s="447"/>
      <c r="K226" s="447"/>
      <c r="L226" s="447"/>
      <c r="M226" s="447"/>
      <c r="N226" s="447"/>
      <c r="O226" s="447"/>
      <c r="P226" s="447"/>
      <c r="Q226" s="447"/>
      <c r="R226" s="447"/>
      <c r="S226" s="447"/>
      <c r="T226" s="447"/>
      <c r="U226" s="447"/>
      <c r="V226" s="447"/>
      <c r="W226" s="447"/>
      <c r="X226" s="447"/>
      <c r="Y226" s="447"/>
      <c r="Z226" s="447"/>
      <c r="AA226" s="447"/>
      <c r="AB226" s="447"/>
      <c r="AC226" s="447"/>
      <c r="AD226" s="447"/>
      <c r="AE226" s="447"/>
      <c r="AF226" s="448"/>
      <c r="AG226" s="448"/>
      <c r="AH226" s="449"/>
      <c r="AI226" s="447"/>
      <c r="AJ226" s="447"/>
      <c r="AK226" s="447"/>
      <c r="AL226" s="447"/>
      <c r="AM226" s="447"/>
      <c r="AN226" s="447"/>
      <c r="AO226" s="447"/>
      <c r="AP226" s="447"/>
      <c r="AQ226" s="447"/>
      <c r="AR226" s="447"/>
      <c r="AS226" s="447"/>
      <c r="AT226" s="447"/>
      <c r="AU226" s="447"/>
      <c r="AV226" s="447"/>
      <c r="AW226" s="447"/>
      <c r="AX226" s="447"/>
      <c r="AY226" s="447"/>
      <c r="AZ226" s="447"/>
      <c r="BA226" s="447"/>
      <c r="BB226" s="447"/>
      <c r="BC226" s="447"/>
      <c r="BD226" s="447"/>
      <c r="BE226" s="447"/>
      <c r="BF226" s="447"/>
      <c r="BG226" s="447"/>
      <c r="BH226" s="447"/>
      <c r="BI226" s="447"/>
      <c r="BJ226" s="447"/>
      <c r="BK226" s="447"/>
      <c r="BL226" s="447"/>
      <c r="BM226" s="448"/>
      <c r="BN226" s="448"/>
    </row>
    <row r="227" spans="1:66" ht="11.25" customHeight="1">
      <c r="A227" s="450"/>
      <c r="B227" s="447"/>
      <c r="C227" s="447"/>
      <c r="D227" s="447"/>
      <c r="E227" s="447"/>
      <c r="F227" s="447"/>
      <c r="G227" s="447"/>
      <c r="H227" s="447"/>
      <c r="I227" s="447"/>
      <c r="J227" s="447"/>
      <c r="K227" s="447"/>
      <c r="L227" s="447"/>
      <c r="M227" s="447"/>
      <c r="N227" s="447"/>
      <c r="O227" s="447"/>
      <c r="P227" s="447"/>
      <c r="Q227" s="447"/>
      <c r="R227" s="447"/>
      <c r="S227" s="447"/>
      <c r="T227" s="447"/>
      <c r="U227" s="447"/>
      <c r="V227" s="447"/>
      <c r="W227" s="447"/>
      <c r="X227" s="447"/>
      <c r="Y227" s="447"/>
      <c r="Z227" s="447"/>
      <c r="AA227" s="447"/>
      <c r="AB227" s="447"/>
      <c r="AC227" s="447"/>
      <c r="AD227" s="447"/>
      <c r="AE227" s="447"/>
      <c r="AF227" s="448"/>
      <c r="AG227" s="448"/>
      <c r="AH227" s="449"/>
      <c r="AI227" s="447"/>
      <c r="AJ227" s="447"/>
      <c r="AK227" s="447"/>
      <c r="AL227" s="447"/>
      <c r="AM227" s="447"/>
      <c r="AN227" s="447"/>
      <c r="AO227" s="447"/>
      <c r="AP227" s="447"/>
      <c r="AQ227" s="447"/>
      <c r="AR227" s="447"/>
      <c r="AS227" s="447"/>
      <c r="AT227" s="447"/>
      <c r="AU227" s="447"/>
      <c r="AV227" s="447"/>
      <c r="AW227" s="447"/>
      <c r="AX227" s="447"/>
      <c r="AY227" s="447"/>
      <c r="AZ227" s="447"/>
      <c r="BA227" s="447"/>
      <c r="BB227" s="447"/>
      <c r="BC227" s="447"/>
      <c r="BD227" s="447"/>
      <c r="BE227" s="447"/>
      <c r="BF227" s="447"/>
      <c r="BG227" s="447"/>
      <c r="BH227" s="447"/>
      <c r="BI227" s="447"/>
      <c r="BJ227" s="447"/>
      <c r="BK227" s="447"/>
      <c r="BL227" s="447"/>
      <c r="BM227" s="448"/>
      <c r="BN227" s="448"/>
    </row>
    <row r="228" spans="1:66" ht="11.25" customHeight="1">
      <c r="A228" s="450"/>
      <c r="B228" s="447"/>
      <c r="C228" s="447"/>
      <c r="D228" s="447"/>
      <c r="E228" s="447"/>
      <c r="F228" s="447"/>
      <c r="G228" s="447"/>
      <c r="H228" s="447"/>
      <c r="I228" s="447"/>
      <c r="J228" s="447"/>
      <c r="K228" s="447"/>
      <c r="L228" s="447"/>
      <c r="M228" s="447"/>
      <c r="N228" s="447"/>
      <c r="O228" s="447"/>
      <c r="P228" s="447"/>
      <c r="Q228" s="447"/>
      <c r="R228" s="447"/>
      <c r="S228" s="447"/>
      <c r="T228" s="447"/>
      <c r="U228" s="447"/>
      <c r="V228" s="447"/>
      <c r="W228" s="447"/>
      <c r="X228" s="447"/>
      <c r="Y228" s="447"/>
      <c r="Z228" s="447"/>
      <c r="AA228" s="447"/>
      <c r="AB228" s="447"/>
      <c r="AC228" s="447"/>
      <c r="AD228" s="447"/>
      <c r="AE228" s="447"/>
      <c r="AF228" s="448"/>
      <c r="AG228" s="448"/>
      <c r="AH228" s="449"/>
      <c r="AI228" s="447"/>
      <c r="AJ228" s="447"/>
      <c r="AK228" s="447"/>
      <c r="AL228" s="447"/>
      <c r="AM228" s="447"/>
      <c r="AN228" s="447"/>
      <c r="AO228" s="447"/>
      <c r="AP228" s="447"/>
      <c r="AQ228" s="447"/>
      <c r="AR228" s="447"/>
      <c r="AS228" s="447"/>
      <c r="AT228" s="447"/>
      <c r="AU228" s="447"/>
      <c r="AV228" s="447"/>
      <c r="AW228" s="447"/>
      <c r="AX228" s="447"/>
      <c r="AY228" s="447"/>
      <c r="AZ228" s="447"/>
      <c r="BA228" s="447"/>
      <c r="BB228" s="447"/>
      <c r="BC228" s="447"/>
      <c r="BD228" s="447"/>
      <c r="BE228" s="447"/>
      <c r="BF228" s="447"/>
      <c r="BG228" s="447"/>
      <c r="BH228" s="447"/>
      <c r="BI228" s="447"/>
      <c r="BJ228" s="447"/>
      <c r="BK228" s="447"/>
      <c r="BL228" s="447"/>
      <c r="BM228" s="448"/>
      <c r="BN228" s="448"/>
    </row>
    <row r="229" spans="1:66" ht="11.25" customHeight="1">
      <c r="A229" s="450"/>
      <c r="B229" s="447"/>
      <c r="C229" s="447"/>
      <c r="D229" s="447"/>
      <c r="E229" s="447"/>
      <c r="F229" s="447"/>
      <c r="G229" s="447"/>
      <c r="H229" s="447"/>
      <c r="I229" s="447"/>
      <c r="J229" s="447"/>
      <c r="K229" s="447"/>
      <c r="L229" s="447"/>
      <c r="M229" s="447"/>
      <c r="N229" s="447"/>
      <c r="O229" s="447"/>
      <c r="P229" s="447"/>
      <c r="Q229" s="447"/>
      <c r="R229" s="447"/>
      <c r="S229" s="447"/>
      <c r="T229" s="447"/>
      <c r="U229" s="447"/>
      <c r="V229" s="447"/>
      <c r="W229" s="447"/>
      <c r="X229" s="447"/>
      <c r="Y229" s="447"/>
      <c r="Z229" s="447"/>
      <c r="AA229" s="447"/>
      <c r="AB229" s="447"/>
      <c r="AC229" s="447"/>
      <c r="AD229" s="447"/>
      <c r="AE229" s="447"/>
      <c r="AF229" s="448"/>
      <c r="AG229" s="448"/>
      <c r="AH229" s="449"/>
      <c r="AI229" s="447"/>
      <c r="AJ229" s="447"/>
      <c r="AK229" s="447"/>
      <c r="AL229" s="447"/>
      <c r="AM229" s="447"/>
      <c r="AN229" s="447"/>
      <c r="AO229" s="447"/>
      <c r="AP229" s="447"/>
      <c r="AQ229" s="447"/>
      <c r="AR229" s="447"/>
      <c r="AS229" s="447"/>
      <c r="AT229" s="447"/>
      <c r="AU229" s="447"/>
      <c r="AV229" s="447"/>
      <c r="AW229" s="447"/>
      <c r="AX229" s="447"/>
      <c r="AY229" s="447"/>
      <c r="AZ229" s="447"/>
      <c r="BA229" s="447"/>
      <c r="BB229" s="447"/>
      <c r="BC229" s="447"/>
      <c r="BD229" s="447"/>
      <c r="BE229" s="447"/>
      <c r="BF229" s="447"/>
      <c r="BG229" s="447"/>
      <c r="BH229" s="447"/>
      <c r="BI229" s="447"/>
      <c r="BJ229" s="447"/>
      <c r="BK229" s="447"/>
      <c r="BL229" s="447"/>
      <c r="BM229" s="448"/>
      <c r="BN229" s="448"/>
    </row>
    <row r="230" spans="1:66" ht="11.25" customHeight="1">
      <c r="A230" s="450"/>
      <c r="B230" s="447"/>
      <c r="C230" s="447"/>
      <c r="D230" s="447"/>
      <c r="E230" s="447"/>
      <c r="F230" s="447"/>
      <c r="G230" s="447"/>
      <c r="H230" s="447"/>
      <c r="I230" s="447"/>
      <c r="J230" s="447"/>
      <c r="K230" s="447"/>
      <c r="L230" s="447"/>
      <c r="M230" s="447"/>
      <c r="N230" s="447"/>
      <c r="O230" s="447"/>
      <c r="P230" s="447"/>
      <c r="Q230" s="447"/>
      <c r="R230" s="447"/>
      <c r="S230" s="447"/>
      <c r="T230" s="447"/>
      <c r="U230" s="447"/>
      <c r="V230" s="447"/>
      <c r="W230" s="447"/>
      <c r="X230" s="447"/>
      <c r="Y230" s="447"/>
      <c r="Z230" s="447"/>
      <c r="AA230" s="447"/>
      <c r="AB230" s="447"/>
      <c r="AC230" s="447"/>
      <c r="AD230" s="447"/>
      <c r="AE230" s="447"/>
      <c r="AF230" s="448"/>
      <c r="AG230" s="448"/>
      <c r="AH230" s="449"/>
      <c r="AI230" s="447"/>
      <c r="AJ230" s="447"/>
      <c r="AK230" s="447"/>
      <c r="AL230" s="447"/>
      <c r="AM230" s="447"/>
      <c r="AN230" s="447"/>
      <c r="AO230" s="447"/>
      <c r="AP230" s="447"/>
      <c r="AQ230" s="447"/>
      <c r="AR230" s="447"/>
      <c r="AS230" s="447"/>
      <c r="AT230" s="447"/>
      <c r="AU230" s="447"/>
      <c r="AV230" s="447"/>
      <c r="AW230" s="447"/>
      <c r="AX230" s="447"/>
      <c r="AY230" s="447"/>
      <c r="AZ230" s="447"/>
      <c r="BA230" s="447"/>
      <c r="BB230" s="447"/>
      <c r="BC230" s="447"/>
      <c r="BD230" s="447"/>
      <c r="BE230" s="447"/>
      <c r="BF230" s="447"/>
      <c r="BG230" s="447"/>
      <c r="BH230" s="447"/>
      <c r="BI230" s="447"/>
      <c r="BJ230" s="447"/>
      <c r="BK230" s="447"/>
      <c r="BL230" s="447"/>
      <c r="BM230" s="448"/>
      <c r="BN230" s="448"/>
    </row>
    <row r="231" spans="1:66" ht="11.25" customHeight="1">
      <c r="A231" s="450"/>
      <c r="B231" s="447"/>
      <c r="C231" s="447"/>
      <c r="D231" s="447"/>
      <c r="E231" s="447"/>
      <c r="F231" s="447"/>
      <c r="G231" s="447"/>
      <c r="H231" s="447"/>
      <c r="I231" s="447"/>
      <c r="J231" s="447"/>
      <c r="K231" s="447"/>
      <c r="L231" s="447"/>
      <c r="M231" s="447"/>
      <c r="N231" s="447"/>
      <c r="O231" s="447"/>
      <c r="P231" s="447"/>
      <c r="Q231" s="447"/>
      <c r="R231" s="447"/>
      <c r="S231" s="447"/>
      <c r="T231" s="447"/>
      <c r="U231" s="447"/>
      <c r="V231" s="447"/>
      <c r="W231" s="447"/>
      <c r="X231" s="447"/>
      <c r="Y231" s="447"/>
      <c r="Z231" s="447"/>
      <c r="AA231" s="447"/>
      <c r="AB231" s="447"/>
      <c r="AC231" s="447"/>
      <c r="AD231" s="447"/>
      <c r="AE231" s="447"/>
      <c r="AF231" s="448"/>
      <c r="AG231" s="448"/>
      <c r="AH231" s="449"/>
      <c r="AI231" s="447"/>
      <c r="AJ231" s="447"/>
      <c r="AK231" s="447"/>
      <c r="AL231" s="447"/>
      <c r="AM231" s="447"/>
      <c r="AN231" s="447"/>
      <c r="AO231" s="447"/>
      <c r="AP231" s="447"/>
      <c r="AQ231" s="447"/>
      <c r="AR231" s="447"/>
      <c r="AS231" s="447"/>
      <c r="AT231" s="447"/>
      <c r="AU231" s="447"/>
      <c r="AV231" s="447"/>
      <c r="AW231" s="447"/>
      <c r="AX231" s="447"/>
      <c r="AY231" s="447"/>
      <c r="AZ231" s="447"/>
      <c r="BA231" s="447"/>
      <c r="BB231" s="447"/>
      <c r="BC231" s="447"/>
      <c r="BD231" s="447"/>
      <c r="BE231" s="447"/>
      <c r="BF231" s="447"/>
      <c r="BG231" s="447"/>
      <c r="BH231" s="447"/>
      <c r="BI231" s="447"/>
      <c r="BJ231" s="447"/>
      <c r="BK231" s="447"/>
      <c r="BL231" s="447"/>
      <c r="BM231" s="448"/>
      <c r="BN231" s="448"/>
    </row>
    <row r="232" spans="1:66" ht="11.25" customHeight="1">
      <c r="A232" s="450"/>
      <c r="B232" s="447"/>
      <c r="C232" s="447"/>
      <c r="D232" s="447"/>
      <c r="E232" s="447"/>
      <c r="F232" s="447"/>
      <c r="G232" s="447"/>
      <c r="H232" s="447"/>
      <c r="I232" s="447"/>
      <c r="J232" s="447"/>
      <c r="K232" s="447"/>
      <c r="L232" s="447"/>
      <c r="M232" s="447"/>
      <c r="N232" s="447"/>
      <c r="O232" s="447"/>
      <c r="P232" s="447"/>
      <c r="Q232" s="447"/>
      <c r="R232" s="447"/>
      <c r="S232" s="447"/>
      <c r="T232" s="447"/>
      <c r="U232" s="447"/>
      <c r="V232" s="447"/>
      <c r="W232" s="447"/>
      <c r="X232" s="447"/>
      <c r="Y232" s="447"/>
      <c r="Z232" s="447"/>
      <c r="AA232" s="447"/>
      <c r="AB232" s="447"/>
      <c r="AC232" s="447"/>
      <c r="AD232" s="447"/>
      <c r="AE232" s="447"/>
      <c r="AF232" s="448"/>
      <c r="AG232" s="448"/>
      <c r="AH232" s="449"/>
      <c r="AI232" s="447"/>
      <c r="AJ232" s="447"/>
      <c r="AK232" s="447"/>
      <c r="AL232" s="447"/>
      <c r="AM232" s="447"/>
      <c r="AN232" s="447"/>
      <c r="AO232" s="447"/>
      <c r="AP232" s="447"/>
      <c r="AQ232" s="447"/>
      <c r="AR232" s="447"/>
      <c r="AS232" s="447"/>
      <c r="AT232" s="447"/>
      <c r="AU232" s="447"/>
      <c r="AV232" s="447"/>
      <c r="AW232" s="447"/>
      <c r="AX232" s="447"/>
      <c r="AY232" s="447"/>
      <c r="AZ232" s="447"/>
      <c r="BA232" s="447"/>
      <c r="BB232" s="447"/>
      <c r="BC232" s="447"/>
      <c r="BD232" s="447"/>
      <c r="BE232" s="447"/>
      <c r="BF232" s="447"/>
      <c r="BG232" s="447"/>
      <c r="BH232" s="447"/>
      <c r="BI232" s="447"/>
      <c r="BJ232" s="447"/>
      <c r="BK232" s="447"/>
      <c r="BL232" s="447"/>
      <c r="BM232" s="448"/>
      <c r="BN232" s="448"/>
    </row>
    <row r="233" spans="1:66" ht="11.25" customHeight="1">
      <c r="A233" s="450"/>
      <c r="B233" s="447"/>
      <c r="C233" s="447"/>
      <c r="D233" s="447"/>
      <c r="E233" s="447"/>
      <c r="F233" s="447"/>
      <c r="G233" s="447"/>
      <c r="H233" s="447"/>
      <c r="I233" s="447"/>
      <c r="J233" s="447"/>
      <c r="K233" s="447"/>
      <c r="L233" s="447"/>
      <c r="M233" s="447"/>
      <c r="N233" s="447"/>
      <c r="O233" s="447"/>
      <c r="P233" s="447"/>
      <c r="Q233" s="447"/>
      <c r="R233" s="447"/>
      <c r="S233" s="447"/>
      <c r="T233" s="447"/>
      <c r="U233" s="447"/>
      <c r="V233" s="447"/>
      <c r="W233" s="447"/>
      <c r="X233" s="447"/>
      <c r="Y233" s="447"/>
      <c r="Z233" s="447"/>
      <c r="AA233" s="447"/>
      <c r="AB233" s="447"/>
      <c r="AC233" s="447"/>
      <c r="AD233" s="447"/>
      <c r="AE233" s="447"/>
      <c r="AF233" s="448"/>
      <c r="AG233" s="448"/>
      <c r="AH233" s="449"/>
      <c r="AI233" s="447"/>
      <c r="AJ233" s="447"/>
      <c r="AK233" s="447"/>
      <c r="AL233" s="447"/>
      <c r="AM233" s="447"/>
      <c r="AN233" s="447"/>
      <c r="AO233" s="447"/>
      <c r="AP233" s="447"/>
      <c r="AQ233" s="447"/>
      <c r="AR233" s="447"/>
      <c r="AS233" s="447"/>
      <c r="AT233" s="447"/>
      <c r="AU233" s="447"/>
      <c r="AV233" s="447"/>
      <c r="AW233" s="447"/>
      <c r="AX233" s="447"/>
      <c r="AY233" s="447"/>
      <c r="AZ233" s="447"/>
      <c r="BA233" s="447"/>
      <c r="BB233" s="447"/>
      <c r="BC233" s="447"/>
      <c r="BD233" s="447"/>
      <c r="BE233" s="447"/>
      <c r="BF233" s="447"/>
      <c r="BG233" s="447"/>
      <c r="BH233" s="447"/>
      <c r="BI233" s="447"/>
      <c r="BJ233" s="447"/>
      <c r="BK233" s="447"/>
      <c r="BL233" s="447"/>
      <c r="BM233" s="448"/>
      <c r="BN233" s="448"/>
    </row>
    <row r="234" spans="1:66" ht="11.25" customHeight="1">
      <c r="A234" s="450"/>
      <c r="B234" s="447"/>
      <c r="C234" s="447"/>
      <c r="D234" s="447"/>
      <c r="E234" s="447"/>
      <c r="F234" s="447"/>
      <c r="G234" s="447"/>
      <c r="H234" s="447"/>
      <c r="I234" s="447"/>
      <c r="J234" s="447"/>
      <c r="K234" s="447"/>
      <c r="L234" s="447"/>
      <c r="M234" s="447"/>
      <c r="N234" s="447"/>
      <c r="O234" s="447"/>
      <c r="P234" s="447"/>
      <c r="Q234" s="447"/>
      <c r="R234" s="447"/>
      <c r="S234" s="447"/>
      <c r="T234" s="447"/>
      <c r="U234" s="447"/>
      <c r="V234" s="447"/>
      <c r="W234" s="447"/>
      <c r="X234" s="447"/>
      <c r="Y234" s="447"/>
      <c r="Z234" s="447"/>
      <c r="AA234" s="447"/>
      <c r="AB234" s="447"/>
      <c r="AC234" s="447"/>
      <c r="AD234" s="447"/>
      <c r="AE234" s="447"/>
      <c r="AF234" s="448"/>
      <c r="AG234" s="448"/>
      <c r="AH234" s="449"/>
      <c r="AI234" s="447"/>
      <c r="AJ234" s="447"/>
      <c r="AK234" s="447"/>
      <c r="AL234" s="447"/>
      <c r="AM234" s="447"/>
      <c r="AN234" s="447"/>
      <c r="AO234" s="447"/>
      <c r="AP234" s="447"/>
      <c r="AQ234" s="447"/>
      <c r="AR234" s="447"/>
      <c r="AS234" s="447"/>
      <c r="AT234" s="447"/>
      <c r="AU234" s="447"/>
      <c r="AV234" s="447"/>
      <c r="AW234" s="447"/>
      <c r="AX234" s="447"/>
      <c r="AY234" s="447"/>
      <c r="AZ234" s="447"/>
      <c r="BA234" s="447"/>
      <c r="BB234" s="447"/>
      <c r="BC234" s="447"/>
      <c r="BD234" s="447"/>
      <c r="BE234" s="447"/>
      <c r="BF234" s="447"/>
      <c r="BG234" s="447"/>
      <c r="BH234" s="447"/>
      <c r="BI234" s="447"/>
      <c r="BJ234" s="447"/>
      <c r="BK234" s="447"/>
      <c r="BL234" s="447"/>
      <c r="BM234" s="448"/>
      <c r="BN234" s="448"/>
    </row>
    <row r="235" spans="1:66" ht="11.25" customHeight="1">
      <c r="A235" s="450"/>
      <c r="B235" s="447"/>
      <c r="C235" s="447"/>
      <c r="D235" s="447"/>
      <c r="E235" s="447"/>
      <c r="F235" s="447"/>
      <c r="G235" s="447"/>
      <c r="H235" s="447"/>
      <c r="I235" s="447"/>
      <c r="J235" s="447"/>
      <c r="K235" s="447"/>
      <c r="L235" s="447"/>
      <c r="M235" s="447"/>
      <c r="N235" s="447"/>
      <c r="O235" s="447"/>
      <c r="P235" s="447"/>
      <c r="Q235" s="447"/>
      <c r="R235" s="447"/>
      <c r="S235" s="447"/>
      <c r="T235" s="447"/>
      <c r="U235" s="447"/>
      <c r="V235" s="447"/>
      <c r="W235" s="447"/>
      <c r="X235" s="447"/>
      <c r="Y235" s="447"/>
      <c r="Z235" s="447"/>
      <c r="AA235" s="447"/>
      <c r="AB235" s="447"/>
      <c r="AC235" s="447"/>
      <c r="AD235" s="447"/>
      <c r="AE235" s="447"/>
      <c r="AF235" s="448"/>
      <c r="AG235" s="448"/>
      <c r="AH235" s="449"/>
      <c r="AI235" s="447"/>
      <c r="AJ235" s="447"/>
      <c r="AK235" s="447"/>
      <c r="AL235" s="447"/>
      <c r="AM235" s="447"/>
      <c r="AN235" s="447"/>
      <c r="AO235" s="447"/>
      <c r="AP235" s="447"/>
      <c r="AQ235" s="447"/>
      <c r="AR235" s="447"/>
      <c r="AS235" s="447"/>
      <c r="AT235" s="447"/>
      <c r="AU235" s="447"/>
      <c r="AV235" s="447"/>
      <c r="AW235" s="447"/>
      <c r="AX235" s="447"/>
      <c r="AY235" s="447"/>
      <c r="AZ235" s="447"/>
      <c r="BA235" s="447"/>
      <c r="BB235" s="447"/>
      <c r="BC235" s="447"/>
      <c r="BD235" s="447"/>
      <c r="BE235" s="447"/>
      <c r="BF235" s="447"/>
      <c r="BG235" s="447"/>
      <c r="BH235" s="447"/>
      <c r="BI235" s="447"/>
      <c r="BJ235" s="447"/>
      <c r="BK235" s="447"/>
      <c r="BL235" s="447"/>
      <c r="BM235" s="448"/>
      <c r="BN235" s="448"/>
    </row>
    <row r="236" spans="1:66" ht="11.25" customHeight="1">
      <c r="A236" s="450"/>
      <c r="B236" s="447"/>
      <c r="C236" s="447"/>
      <c r="D236" s="447"/>
      <c r="E236" s="447"/>
      <c r="F236" s="447"/>
      <c r="G236" s="447"/>
      <c r="H236" s="447"/>
      <c r="I236" s="447"/>
      <c r="J236" s="447"/>
      <c r="K236" s="447"/>
      <c r="L236" s="447"/>
      <c r="M236" s="447"/>
      <c r="N236" s="447"/>
      <c r="O236" s="447"/>
      <c r="P236" s="447"/>
      <c r="Q236" s="447"/>
      <c r="R236" s="447"/>
      <c r="S236" s="447"/>
      <c r="T236" s="447"/>
      <c r="U236" s="447"/>
      <c r="V236" s="447"/>
      <c r="W236" s="447"/>
      <c r="X236" s="447"/>
      <c r="Y236" s="447"/>
      <c r="Z236" s="447"/>
      <c r="AA236" s="447"/>
      <c r="AB236" s="447"/>
      <c r="AC236" s="447"/>
      <c r="AD236" s="447"/>
      <c r="AE236" s="447"/>
      <c r="AF236" s="448"/>
      <c r="AG236" s="448"/>
      <c r="AH236" s="449"/>
      <c r="AI236" s="447"/>
      <c r="AJ236" s="447"/>
      <c r="AK236" s="447"/>
      <c r="AL236" s="447"/>
      <c r="AM236" s="447"/>
      <c r="AN236" s="447"/>
      <c r="AO236" s="447"/>
      <c r="AP236" s="447"/>
      <c r="AQ236" s="447"/>
      <c r="AR236" s="447"/>
      <c r="AS236" s="447"/>
      <c r="AT236" s="447"/>
      <c r="AU236" s="447"/>
      <c r="AV236" s="447"/>
      <c r="AW236" s="447"/>
      <c r="AX236" s="447"/>
      <c r="AY236" s="447"/>
      <c r="AZ236" s="447"/>
      <c r="BA236" s="447"/>
      <c r="BB236" s="447"/>
      <c r="BC236" s="447"/>
      <c r="BD236" s="447"/>
      <c r="BE236" s="447"/>
      <c r="BF236" s="447"/>
      <c r="BG236" s="447"/>
      <c r="BH236" s="447"/>
      <c r="BI236" s="447"/>
      <c r="BJ236" s="447"/>
      <c r="BK236" s="447"/>
      <c r="BL236" s="447"/>
      <c r="BM236" s="448"/>
      <c r="BN236" s="448"/>
    </row>
    <row r="237" spans="1:66" ht="11.25" customHeight="1">
      <c r="A237" s="450"/>
      <c r="B237" s="447"/>
      <c r="C237" s="447"/>
      <c r="D237" s="447"/>
      <c r="E237" s="447"/>
      <c r="F237" s="447"/>
      <c r="G237" s="447"/>
      <c r="H237" s="447"/>
      <c r="I237" s="447"/>
      <c r="J237" s="447"/>
      <c r="K237" s="447"/>
      <c r="L237" s="447"/>
      <c r="M237" s="447"/>
      <c r="N237" s="447"/>
      <c r="O237" s="447"/>
      <c r="P237" s="447"/>
      <c r="Q237" s="447"/>
      <c r="R237" s="447"/>
      <c r="S237" s="447"/>
      <c r="T237" s="447"/>
      <c r="U237" s="447"/>
      <c r="V237" s="447"/>
      <c r="W237" s="447"/>
      <c r="X237" s="447"/>
      <c r="Y237" s="447"/>
      <c r="Z237" s="447"/>
      <c r="AA237" s="447"/>
      <c r="AB237" s="447"/>
      <c r="AC237" s="447"/>
      <c r="AD237" s="447"/>
      <c r="AE237" s="447"/>
      <c r="AF237" s="448"/>
      <c r="AG237" s="448"/>
      <c r="AH237" s="449"/>
      <c r="AI237" s="447"/>
      <c r="AJ237" s="447"/>
      <c r="AK237" s="447"/>
      <c r="AL237" s="447"/>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I237" s="447"/>
      <c r="BJ237" s="447"/>
      <c r="BK237" s="447"/>
      <c r="BL237" s="447"/>
      <c r="BM237" s="448"/>
      <c r="BN237" s="448"/>
    </row>
    <row r="238" spans="1:66" ht="11.25" customHeight="1">
      <c r="A238" s="450"/>
      <c r="B238" s="447"/>
      <c r="C238" s="447"/>
      <c r="D238" s="447"/>
      <c r="E238" s="447"/>
      <c r="F238" s="447"/>
      <c r="G238" s="447"/>
      <c r="H238" s="447"/>
      <c r="I238" s="447"/>
      <c r="J238" s="447"/>
      <c r="K238" s="447"/>
      <c r="L238" s="447"/>
      <c r="M238" s="447"/>
      <c r="N238" s="447"/>
      <c r="O238" s="447"/>
      <c r="P238" s="447"/>
      <c r="Q238" s="447"/>
      <c r="R238" s="447"/>
      <c r="S238" s="447"/>
      <c r="T238" s="447"/>
      <c r="U238" s="447"/>
      <c r="V238" s="447"/>
      <c r="W238" s="447"/>
      <c r="X238" s="447"/>
      <c r="Y238" s="447"/>
      <c r="Z238" s="447"/>
      <c r="AA238" s="447"/>
      <c r="AB238" s="447"/>
      <c r="AC238" s="447"/>
      <c r="AD238" s="447"/>
      <c r="AE238" s="447"/>
      <c r="AF238" s="448"/>
      <c r="AG238" s="448"/>
      <c r="AH238" s="449"/>
      <c r="AI238" s="447"/>
      <c r="AJ238" s="447"/>
      <c r="AK238" s="447"/>
      <c r="AL238" s="447"/>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c r="BJ238" s="447"/>
      <c r="BK238" s="447"/>
      <c r="BL238" s="447"/>
      <c r="BM238" s="448"/>
      <c r="BN238" s="448"/>
    </row>
    <row r="239" spans="1:66" ht="11.25" customHeight="1">
      <c r="A239" s="450"/>
      <c r="B239" s="447"/>
      <c r="C239" s="447"/>
      <c r="D239" s="447"/>
      <c r="E239" s="447"/>
      <c r="F239" s="447"/>
      <c r="G239" s="447"/>
      <c r="H239" s="447"/>
      <c r="I239" s="447"/>
      <c r="J239" s="447"/>
      <c r="K239" s="447"/>
      <c r="L239" s="447"/>
      <c r="M239" s="447"/>
      <c r="N239" s="447"/>
      <c r="O239" s="447"/>
      <c r="P239" s="447"/>
      <c r="Q239" s="447"/>
      <c r="R239" s="447"/>
      <c r="S239" s="447"/>
      <c r="T239" s="447"/>
      <c r="U239" s="447"/>
      <c r="V239" s="447"/>
      <c r="W239" s="447"/>
      <c r="X239" s="447"/>
      <c r="Y239" s="447"/>
      <c r="Z239" s="447"/>
      <c r="AA239" s="447"/>
      <c r="AB239" s="447"/>
      <c r="AC239" s="447"/>
      <c r="AD239" s="447"/>
      <c r="AE239" s="447"/>
      <c r="AF239" s="448"/>
      <c r="AG239" s="448"/>
      <c r="AH239" s="449"/>
      <c r="AI239" s="447"/>
      <c r="AJ239" s="447"/>
      <c r="AK239" s="447"/>
      <c r="AL239" s="447"/>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I239" s="447"/>
      <c r="BJ239" s="447"/>
      <c r="BK239" s="447"/>
      <c r="BL239" s="447"/>
      <c r="BM239" s="448"/>
      <c r="BN239" s="448"/>
    </row>
    <row r="240" spans="1:66" ht="11.25" customHeight="1">
      <c r="A240" s="450"/>
      <c r="B240" s="447"/>
      <c r="C240" s="447"/>
      <c r="D240" s="447"/>
      <c r="E240" s="447"/>
      <c r="F240" s="447"/>
      <c r="G240" s="447"/>
      <c r="H240" s="447"/>
      <c r="I240" s="447"/>
      <c r="J240" s="447"/>
      <c r="K240" s="447"/>
      <c r="L240" s="447"/>
      <c r="M240" s="447"/>
      <c r="N240" s="447"/>
      <c r="O240" s="447"/>
      <c r="P240" s="447"/>
      <c r="Q240" s="447"/>
      <c r="R240" s="447"/>
      <c r="S240" s="447"/>
      <c r="T240" s="447"/>
      <c r="U240" s="447"/>
      <c r="V240" s="447"/>
      <c r="W240" s="447"/>
      <c r="X240" s="447"/>
      <c r="Y240" s="447"/>
      <c r="Z240" s="447"/>
      <c r="AA240" s="447"/>
      <c r="AB240" s="447"/>
      <c r="AC240" s="447"/>
      <c r="AD240" s="447"/>
      <c r="AE240" s="447"/>
      <c r="AF240" s="448"/>
      <c r="AG240" s="448"/>
      <c r="AH240" s="449"/>
      <c r="AI240" s="447"/>
      <c r="AJ240" s="447"/>
      <c r="AK240" s="447"/>
      <c r="AL240" s="447"/>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I240" s="447"/>
      <c r="BJ240" s="447"/>
      <c r="BK240" s="447"/>
      <c r="BL240" s="447"/>
      <c r="BM240" s="448"/>
      <c r="BN240" s="448"/>
    </row>
    <row r="241" spans="1:66" ht="11.25" customHeight="1">
      <c r="A241" s="450"/>
      <c r="B241" s="447"/>
      <c r="C241" s="447"/>
      <c r="D241" s="447"/>
      <c r="E241" s="447"/>
      <c r="F241" s="447"/>
      <c r="G241" s="447"/>
      <c r="H241" s="447"/>
      <c r="I241" s="447"/>
      <c r="J241" s="447"/>
      <c r="K241" s="447"/>
      <c r="L241" s="447"/>
      <c r="M241" s="447"/>
      <c r="N241" s="447"/>
      <c r="O241" s="447"/>
      <c r="P241" s="447"/>
      <c r="Q241" s="447"/>
      <c r="R241" s="447"/>
      <c r="S241" s="447"/>
      <c r="T241" s="447"/>
      <c r="U241" s="447"/>
      <c r="V241" s="447"/>
      <c r="W241" s="447"/>
      <c r="X241" s="447"/>
      <c r="Y241" s="447"/>
      <c r="Z241" s="447"/>
      <c r="AA241" s="447"/>
      <c r="AB241" s="447"/>
      <c r="AC241" s="447"/>
      <c r="AD241" s="447"/>
      <c r="AE241" s="447"/>
      <c r="AF241" s="448"/>
      <c r="AG241" s="448"/>
      <c r="AH241" s="449"/>
      <c r="AI241" s="447"/>
      <c r="AJ241" s="447"/>
      <c r="AK241" s="447"/>
      <c r="AL241" s="447"/>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I241" s="447"/>
      <c r="BJ241" s="447"/>
      <c r="BK241" s="447"/>
      <c r="BL241" s="447"/>
      <c r="BM241" s="448"/>
      <c r="BN241" s="448"/>
    </row>
    <row r="242" spans="1:66" ht="11.25" customHeight="1">
      <c r="A242" s="450"/>
      <c r="B242" s="447"/>
      <c r="C242" s="447"/>
      <c r="D242" s="447"/>
      <c r="E242" s="447"/>
      <c r="F242" s="447"/>
      <c r="G242" s="447"/>
      <c r="H242" s="447"/>
      <c r="I242" s="447"/>
      <c r="J242" s="447"/>
      <c r="K242" s="447"/>
      <c r="L242" s="447"/>
      <c r="M242" s="447"/>
      <c r="N242" s="447"/>
      <c r="O242" s="447"/>
      <c r="P242" s="447"/>
      <c r="Q242" s="447"/>
      <c r="R242" s="447"/>
      <c r="S242" s="447"/>
      <c r="T242" s="447"/>
      <c r="U242" s="447"/>
      <c r="V242" s="447"/>
      <c r="W242" s="447"/>
      <c r="X242" s="447"/>
      <c r="Y242" s="447"/>
      <c r="Z242" s="447"/>
      <c r="AA242" s="447"/>
      <c r="AB242" s="447"/>
      <c r="AC242" s="447"/>
      <c r="AD242" s="447"/>
      <c r="AE242" s="447"/>
      <c r="AF242" s="448"/>
      <c r="AG242" s="448"/>
      <c r="AH242" s="449"/>
      <c r="AI242" s="447"/>
      <c r="AJ242" s="447"/>
      <c r="AK242" s="447"/>
      <c r="AL242" s="447"/>
      <c r="AM242" s="447"/>
      <c r="AN242" s="447"/>
      <c r="AO242" s="447"/>
      <c r="AP242" s="447"/>
      <c r="AQ242" s="447"/>
      <c r="AR242" s="447"/>
      <c r="AS242" s="447"/>
      <c r="AT242" s="447"/>
      <c r="AU242" s="447"/>
      <c r="AV242" s="447"/>
      <c r="AW242" s="447"/>
      <c r="AX242" s="447"/>
      <c r="AY242" s="447"/>
      <c r="AZ242" s="447"/>
      <c r="BA242" s="447"/>
      <c r="BB242" s="447"/>
      <c r="BC242" s="447"/>
      <c r="BD242" s="447"/>
      <c r="BE242" s="447"/>
      <c r="BF242" s="447"/>
      <c r="BG242" s="447"/>
      <c r="BH242" s="447"/>
      <c r="BI242" s="447"/>
      <c r="BJ242" s="447"/>
      <c r="BK242" s="447"/>
      <c r="BL242" s="447"/>
      <c r="BM242" s="448"/>
      <c r="BN242" s="448"/>
    </row>
    <row r="243" spans="1:66" ht="11.25" customHeight="1">
      <c r="A243" s="450"/>
      <c r="B243" s="447"/>
      <c r="C243" s="447"/>
      <c r="D243" s="447"/>
      <c r="E243" s="447"/>
      <c r="F243" s="447"/>
      <c r="G243" s="447"/>
      <c r="H243" s="447"/>
      <c r="I243" s="447"/>
      <c r="J243" s="447"/>
      <c r="K243" s="447"/>
      <c r="L243" s="447"/>
      <c r="M243" s="447"/>
      <c r="N243" s="447"/>
      <c r="O243" s="447"/>
      <c r="P243" s="447"/>
      <c r="Q243" s="447"/>
      <c r="R243" s="447"/>
      <c r="S243" s="447"/>
      <c r="T243" s="447"/>
      <c r="U243" s="447"/>
      <c r="V243" s="447"/>
      <c r="W243" s="447"/>
      <c r="X243" s="447"/>
      <c r="Y243" s="447"/>
      <c r="Z243" s="447"/>
      <c r="AA243" s="447"/>
      <c r="AB243" s="447"/>
      <c r="AC243" s="447"/>
      <c r="AD243" s="447"/>
      <c r="AE243" s="447"/>
      <c r="AF243" s="448"/>
      <c r="AG243" s="448"/>
      <c r="AH243" s="449"/>
      <c r="AI243" s="447"/>
      <c r="AJ243" s="447"/>
      <c r="AK243" s="447"/>
      <c r="AL243" s="447"/>
      <c r="AM243" s="447"/>
      <c r="AN243" s="447"/>
      <c r="AO243" s="447"/>
      <c r="AP243" s="447"/>
      <c r="AQ243" s="447"/>
      <c r="AR243" s="447"/>
      <c r="AS243" s="447"/>
      <c r="AT243" s="447"/>
      <c r="AU243" s="447"/>
      <c r="AV243" s="447"/>
      <c r="AW243" s="447"/>
      <c r="AX243" s="447"/>
      <c r="AY243" s="447"/>
      <c r="AZ243" s="447"/>
      <c r="BA243" s="447"/>
      <c r="BB243" s="447"/>
      <c r="BC243" s="447"/>
      <c r="BD243" s="447"/>
      <c r="BE243" s="447"/>
      <c r="BF243" s="447"/>
      <c r="BG243" s="447"/>
      <c r="BH243" s="447"/>
      <c r="BI243" s="447"/>
      <c r="BJ243" s="447"/>
      <c r="BK243" s="447"/>
      <c r="BL243" s="447"/>
      <c r="BM243" s="448"/>
      <c r="BN243" s="448"/>
    </row>
    <row r="244" spans="1:66" ht="11.25" customHeight="1">
      <c r="A244" s="450"/>
      <c r="B244" s="447"/>
      <c r="C244" s="447"/>
      <c r="D244" s="447"/>
      <c r="E244" s="447"/>
      <c r="F244" s="447"/>
      <c r="G244" s="447"/>
      <c r="H244" s="447"/>
      <c r="I244" s="447"/>
      <c r="J244" s="447"/>
      <c r="K244" s="447"/>
      <c r="L244" s="447"/>
      <c r="M244" s="447"/>
      <c r="N244" s="447"/>
      <c r="O244" s="447"/>
      <c r="P244" s="447"/>
      <c r="Q244" s="447"/>
      <c r="R244" s="447"/>
      <c r="S244" s="447"/>
      <c r="T244" s="447"/>
      <c r="U244" s="447"/>
      <c r="V244" s="447"/>
      <c r="W244" s="447"/>
      <c r="X244" s="447"/>
      <c r="Y244" s="447"/>
      <c r="Z244" s="447"/>
      <c r="AA244" s="447"/>
      <c r="AB244" s="447"/>
      <c r="AC244" s="447"/>
      <c r="AD244" s="447"/>
      <c r="AE244" s="447"/>
      <c r="AF244" s="448"/>
      <c r="AG244" s="448"/>
      <c r="AH244" s="449"/>
      <c r="AI244" s="447"/>
      <c r="AJ244" s="447"/>
      <c r="AK244" s="447"/>
      <c r="AL244" s="447"/>
      <c r="AM244" s="447"/>
      <c r="AN244" s="447"/>
      <c r="AO244" s="447"/>
      <c r="AP244" s="447"/>
      <c r="AQ244" s="447"/>
      <c r="AR244" s="447"/>
      <c r="AS244" s="447"/>
      <c r="AT244" s="447"/>
      <c r="AU244" s="447"/>
      <c r="AV244" s="447"/>
      <c r="AW244" s="447"/>
      <c r="AX244" s="447"/>
      <c r="AY244" s="447"/>
      <c r="AZ244" s="447"/>
      <c r="BA244" s="447"/>
      <c r="BB244" s="447"/>
      <c r="BC244" s="447"/>
      <c r="BD244" s="447"/>
      <c r="BE244" s="447"/>
      <c r="BF244" s="447"/>
      <c r="BG244" s="447"/>
      <c r="BH244" s="447"/>
      <c r="BI244" s="447"/>
      <c r="BJ244" s="447"/>
      <c r="BK244" s="447"/>
      <c r="BL244" s="447"/>
      <c r="BM244" s="448"/>
      <c r="BN244" s="448"/>
    </row>
    <row r="245" spans="1:66" ht="11.25" customHeight="1">
      <c r="A245" s="450"/>
      <c r="B245" s="447"/>
      <c r="C245" s="447"/>
      <c r="D245" s="447"/>
      <c r="E245" s="447"/>
      <c r="F245" s="447"/>
      <c r="G245" s="447"/>
      <c r="H245" s="447"/>
      <c r="I245" s="447"/>
      <c r="J245" s="447"/>
      <c r="K245" s="447"/>
      <c r="L245" s="447"/>
      <c r="M245" s="447"/>
      <c r="N245" s="447"/>
      <c r="O245" s="447"/>
      <c r="P245" s="447"/>
      <c r="Q245" s="447"/>
      <c r="R245" s="447"/>
      <c r="S245" s="447"/>
      <c r="T245" s="447"/>
      <c r="U245" s="447"/>
      <c r="V245" s="447"/>
      <c r="W245" s="447"/>
      <c r="X245" s="447"/>
      <c r="Y245" s="447"/>
      <c r="Z245" s="447"/>
      <c r="AA245" s="447"/>
      <c r="AB245" s="447"/>
      <c r="AC245" s="447"/>
      <c r="AD245" s="447"/>
      <c r="AE245" s="447"/>
      <c r="AF245" s="448"/>
      <c r="AG245" s="448"/>
      <c r="AH245" s="449"/>
      <c r="AI245" s="447"/>
      <c r="AJ245" s="447"/>
      <c r="AK245" s="447"/>
      <c r="AL245" s="447"/>
      <c r="AM245" s="447"/>
      <c r="AN245" s="447"/>
      <c r="AO245" s="447"/>
      <c r="AP245" s="447"/>
      <c r="AQ245" s="447"/>
      <c r="AR245" s="447"/>
      <c r="AS245" s="447"/>
      <c r="AT245" s="447"/>
      <c r="AU245" s="447"/>
      <c r="AV245" s="447"/>
      <c r="AW245" s="447"/>
      <c r="AX245" s="447"/>
      <c r="AY245" s="447"/>
      <c r="AZ245" s="447"/>
      <c r="BA245" s="447"/>
      <c r="BB245" s="447"/>
      <c r="BC245" s="447"/>
      <c r="BD245" s="447"/>
      <c r="BE245" s="447"/>
      <c r="BF245" s="447"/>
      <c r="BG245" s="447"/>
      <c r="BH245" s="447"/>
      <c r="BI245" s="447"/>
      <c r="BJ245" s="447"/>
      <c r="BK245" s="447"/>
      <c r="BL245" s="447"/>
      <c r="BM245" s="448"/>
      <c r="BN245" s="448"/>
    </row>
    <row r="246" spans="1:66" ht="11.25" customHeight="1">
      <c r="A246" s="450"/>
      <c r="B246" s="447"/>
      <c r="C246" s="447"/>
      <c r="D246" s="447"/>
      <c r="E246" s="447"/>
      <c r="F246" s="447"/>
      <c r="G246" s="447"/>
      <c r="H246" s="447"/>
      <c r="I246" s="447"/>
      <c r="J246" s="447"/>
      <c r="K246" s="447"/>
      <c r="L246" s="447"/>
      <c r="M246" s="447"/>
      <c r="N246" s="447"/>
      <c r="O246" s="447"/>
      <c r="P246" s="447"/>
      <c r="Q246" s="447"/>
      <c r="R246" s="447"/>
      <c r="S246" s="447"/>
      <c r="T246" s="447"/>
      <c r="U246" s="447"/>
      <c r="V246" s="447"/>
      <c r="W246" s="447"/>
      <c r="X246" s="447"/>
      <c r="Y246" s="447"/>
      <c r="Z246" s="447"/>
      <c r="AA246" s="447"/>
      <c r="AB246" s="447"/>
      <c r="AC246" s="447"/>
      <c r="AD246" s="447"/>
      <c r="AE246" s="447"/>
      <c r="AF246" s="448"/>
      <c r="AG246" s="448"/>
      <c r="AH246" s="449"/>
      <c r="AI246" s="447"/>
      <c r="AJ246" s="447"/>
      <c r="AK246" s="447"/>
      <c r="AL246" s="447"/>
      <c r="AM246" s="447"/>
      <c r="AN246" s="447"/>
      <c r="AO246" s="447"/>
      <c r="AP246" s="447"/>
      <c r="AQ246" s="447"/>
      <c r="AR246" s="447"/>
      <c r="AS246" s="447"/>
      <c r="AT246" s="447"/>
      <c r="AU246" s="447"/>
      <c r="AV246" s="447"/>
      <c r="AW246" s="447"/>
      <c r="AX246" s="447"/>
      <c r="AY246" s="447"/>
      <c r="AZ246" s="447"/>
      <c r="BA246" s="447"/>
      <c r="BB246" s="447"/>
      <c r="BC246" s="447"/>
      <c r="BD246" s="447"/>
      <c r="BE246" s="447"/>
      <c r="BF246" s="447"/>
      <c r="BG246" s="447"/>
      <c r="BH246" s="447"/>
      <c r="BI246" s="447"/>
      <c r="BJ246" s="447"/>
      <c r="BK246" s="447"/>
      <c r="BL246" s="447"/>
      <c r="BM246" s="448"/>
      <c r="BN246" s="448"/>
    </row>
    <row r="247" spans="1:66" ht="11.25" customHeight="1">
      <c r="A247" s="450"/>
      <c r="B247" s="447"/>
      <c r="C247" s="447"/>
      <c r="D247" s="447"/>
      <c r="E247" s="447"/>
      <c r="F247" s="447"/>
      <c r="G247" s="447"/>
      <c r="H247" s="447"/>
      <c r="I247" s="447"/>
      <c r="J247" s="447"/>
      <c r="K247" s="447"/>
      <c r="L247" s="447"/>
      <c r="M247" s="447"/>
      <c r="N247" s="447"/>
      <c r="O247" s="447"/>
      <c r="P247" s="447"/>
      <c r="Q247" s="447"/>
      <c r="R247" s="447"/>
      <c r="S247" s="447"/>
      <c r="T247" s="447"/>
      <c r="U247" s="447"/>
      <c r="V247" s="447"/>
      <c r="W247" s="447"/>
      <c r="X247" s="447"/>
      <c r="Y247" s="447"/>
      <c r="Z247" s="447"/>
      <c r="AA247" s="447"/>
      <c r="AB247" s="447"/>
      <c r="AC247" s="447"/>
      <c r="AD247" s="447"/>
      <c r="AE247" s="447"/>
      <c r="AF247" s="448"/>
      <c r="AG247" s="448"/>
      <c r="AH247" s="449"/>
      <c r="AI247" s="447"/>
      <c r="AJ247" s="447"/>
      <c r="AK247" s="447"/>
      <c r="AL247" s="447"/>
      <c r="AM247" s="447"/>
      <c r="AN247" s="447"/>
      <c r="AO247" s="447"/>
      <c r="AP247" s="447"/>
      <c r="AQ247" s="447"/>
      <c r="AR247" s="447"/>
      <c r="AS247" s="447"/>
      <c r="AT247" s="447"/>
      <c r="AU247" s="447"/>
      <c r="AV247" s="447"/>
      <c r="AW247" s="447"/>
      <c r="AX247" s="447"/>
      <c r="AY247" s="447"/>
      <c r="AZ247" s="447"/>
      <c r="BA247" s="447"/>
      <c r="BB247" s="447"/>
      <c r="BC247" s="447"/>
      <c r="BD247" s="447"/>
      <c r="BE247" s="447"/>
      <c r="BF247" s="447"/>
      <c r="BG247" s="447"/>
      <c r="BH247" s="447"/>
      <c r="BI247" s="447"/>
      <c r="BJ247" s="447"/>
      <c r="BK247" s="447"/>
      <c r="BL247" s="447"/>
      <c r="BM247" s="448"/>
      <c r="BN247" s="448"/>
    </row>
    <row r="248" spans="1:66" ht="11.25" customHeight="1">
      <c r="A248" s="450"/>
      <c r="B248" s="447"/>
      <c r="C248" s="447"/>
      <c r="D248" s="447"/>
      <c r="E248" s="447"/>
      <c r="F248" s="447"/>
      <c r="G248" s="447"/>
      <c r="H248" s="447"/>
      <c r="I248" s="447"/>
      <c r="J248" s="447"/>
      <c r="K248" s="447"/>
      <c r="L248" s="447"/>
      <c r="M248" s="447"/>
      <c r="N248" s="447"/>
      <c r="O248" s="447"/>
      <c r="P248" s="447"/>
      <c r="Q248" s="447"/>
      <c r="R248" s="447"/>
      <c r="S248" s="447"/>
      <c r="T248" s="447"/>
      <c r="U248" s="447"/>
      <c r="V248" s="447"/>
      <c r="W248" s="447"/>
      <c r="X248" s="447"/>
      <c r="Y248" s="447"/>
      <c r="Z248" s="447"/>
      <c r="AA248" s="447"/>
      <c r="AB248" s="447"/>
      <c r="AC248" s="447"/>
      <c r="AD248" s="447"/>
      <c r="AE248" s="447"/>
      <c r="AF248" s="448"/>
      <c r="AG248" s="448"/>
      <c r="AH248" s="449"/>
      <c r="AI248" s="447"/>
      <c r="AJ248" s="447"/>
      <c r="AK248" s="447"/>
      <c r="AL248" s="447"/>
      <c r="AM248" s="447"/>
      <c r="AN248" s="447"/>
      <c r="AO248" s="447"/>
      <c r="AP248" s="447"/>
      <c r="AQ248" s="447"/>
      <c r="AR248" s="447"/>
      <c r="AS248" s="447"/>
      <c r="AT248" s="447"/>
      <c r="AU248" s="447"/>
      <c r="AV248" s="447"/>
      <c r="AW248" s="447"/>
      <c r="AX248" s="447"/>
      <c r="AY248" s="447"/>
      <c r="AZ248" s="447"/>
      <c r="BA248" s="447"/>
      <c r="BB248" s="447"/>
      <c r="BC248" s="447"/>
      <c r="BD248" s="447"/>
      <c r="BE248" s="447"/>
      <c r="BF248" s="447"/>
      <c r="BG248" s="447"/>
      <c r="BH248" s="447"/>
      <c r="BI248" s="447"/>
      <c r="BJ248" s="447"/>
      <c r="BK248" s="447"/>
      <c r="BL248" s="447"/>
      <c r="BM248" s="448"/>
      <c r="BN248" s="448"/>
    </row>
    <row r="249" spans="1:66" ht="11.25" customHeight="1">
      <c r="A249" s="450"/>
      <c r="B249" s="447"/>
      <c r="C249" s="447"/>
      <c r="D249" s="447"/>
      <c r="E249" s="447"/>
      <c r="F249" s="447"/>
      <c r="G249" s="447"/>
      <c r="H249" s="447"/>
      <c r="I249" s="447"/>
      <c r="J249" s="447"/>
      <c r="K249" s="447"/>
      <c r="L249" s="447"/>
      <c r="M249" s="447"/>
      <c r="N249" s="447"/>
      <c r="O249" s="447"/>
      <c r="P249" s="447"/>
      <c r="Q249" s="447"/>
      <c r="R249" s="447"/>
      <c r="S249" s="447"/>
      <c r="T249" s="447"/>
      <c r="U249" s="447"/>
      <c r="V249" s="447"/>
      <c r="W249" s="447"/>
      <c r="X249" s="447"/>
      <c r="Y249" s="447"/>
      <c r="Z249" s="447"/>
      <c r="AA249" s="447"/>
      <c r="AB249" s="447"/>
      <c r="AC249" s="447"/>
      <c r="AD249" s="447"/>
      <c r="AE249" s="447"/>
      <c r="AF249" s="448"/>
      <c r="AG249" s="448"/>
      <c r="AH249" s="449"/>
      <c r="AI249" s="447"/>
      <c r="AJ249" s="447"/>
      <c r="AK249" s="447"/>
      <c r="AL249" s="447"/>
      <c r="AM249" s="447"/>
      <c r="AN249" s="447"/>
      <c r="AO249" s="447"/>
      <c r="AP249" s="447"/>
      <c r="AQ249" s="447"/>
      <c r="AR249" s="447"/>
      <c r="AS249" s="447"/>
      <c r="AT249" s="447"/>
      <c r="AU249" s="447"/>
      <c r="AV249" s="447"/>
      <c r="AW249" s="447"/>
      <c r="AX249" s="447"/>
      <c r="AY249" s="447"/>
      <c r="AZ249" s="447"/>
      <c r="BA249" s="447"/>
      <c r="BB249" s="447"/>
      <c r="BC249" s="447"/>
      <c r="BD249" s="447"/>
      <c r="BE249" s="447"/>
      <c r="BF249" s="447"/>
      <c r="BG249" s="447"/>
      <c r="BH249" s="447"/>
      <c r="BI249" s="447"/>
      <c r="BJ249" s="447"/>
      <c r="BK249" s="447"/>
      <c r="BL249" s="447"/>
      <c r="BM249" s="448"/>
      <c r="BN249" s="448"/>
    </row>
    <row r="250" spans="1:66" ht="11.25" customHeight="1">
      <c r="A250" s="450"/>
      <c r="B250" s="447"/>
      <c r="C250" s="447"/>
      <c r="D250" s="447"/>
      <c r="E250" s="447"/>
      <c r="F250" s="447"/>
      <c r="G250" s="447"/>
      <c r="H250" s="447"/>
      <c r="I250" s="447"/>
      <c r="J250" s="447"/>
      <c r="K250" s="447"/>
      <c r="L250" s="447"/>
      <c r="M250" s="447"/>
      <c r="N250" s="447"/>
      <c r="O250" s="447"/>
      <c r="P250" s="447"/>
      <c r="Q250" s="447"/>
      <c r="R250" s="447"/>
      <c r="S250" s="447"/>
      <c r="T250" s="447"/>
      <c r="U250" s="447"/>
      <c r="V250" s="447"/>
      <c r="W250" s="447"/>
      <c r="X250" s="447"/>
      <c r="Y250" s="447"/>
      <c r="Z250" s="447"/>
      <c r="AA250" s="447"/>
      <c r="AB250" s="447"/>
      <c r="AC250" s="447"/>
      <c r="AD250" s="447"/>
      <c r="AE250" s="447"/>
      <c r="AF250" s="448"/>
      <c r="AG250" s="448"/>
      <c r="AH250" s="449"/>
      <c r="AI250" s="447"/>
      <c r="AJ250" s="447"/>
      <c r="AK250" s="447"/>
      <c r="AL250" s="447"/>
      <c r="AM250" s="447"/>
      <c r="AN250" s="447"/>
      <c r="AO250" s="447"/>
      <c r="AP250" s="447"/>
      <c r="AQ250" s="447"/>
      <c r="AR250" s="447"/>
      <c r="AS250" s="447"/>
      <c r="AT250" s="447"/>
      <c r="AU250" s="447"/>
      <c r="AV250" s="447"/>
      <c r="AW250" s="447"/>
      <c r="AX250" s="447"/>
      <c r="AY250" s="447"/>
      <c r="AZ250" s="447"/>
      <c r="BA250" s="447"/>
      <c r="BB250" s="447"/>
      <c r="BC250" s="447"/>
      <c r="BD250" s="447"/>
      <c r="BE250" s="447"/>
      <c r="BF250" s="447"/>
      <c r="BG250" s="447"/>
      <c r="BH250" s="447"/>
      <c r="BI250" s="447"/>
      <c r="BJ250" s="447"/>
      <c r="BK250" s="447"/>
      <c r="BL250" s="447"/>
      <c r="BM250" s="448"/>
      <c r="BN250" s="448"/>
    </row>
    <row r="251" spans="1:66" ht="11.25" customHeight="1">
      <c r="A251" s="450"/>
      <c r="B251" s="447"/>
      <c r="C251" s="447"/>
      <c r="D251" s="447"/>
      <c r="E251" s="447"/>
      <c r="F251" s="447"/>
      <c r="G251" s="447"/>
      <c r="H251" s="447"/>
      <c r="I251" s="447"/>
      <c r="J251" s="447"/>
      <c r="K251" s="447"/>
      <c r="L251" s="447"/>
      <c r="M251" s="447"/>
      <c r="N251" s="447"/>
      <c r="O251" s="447"/>
      <c r="P251" s="447"/>
      <c r="Q251" s="447"/>
      <c r="R251" s="447"/>
      <c r="S251" s="447"/>
      <c r="T251" s="447"/>
      <c r="U251" s="447"/>
      <c r="V251" s="447"/>
      <c r="W251" s="447"/>
      <c r="X251" s="447"/>
      <c r="Y251" s="447"/>
      <c r="Z251" s="447"/>
      <c r="AA251" s="447"/>
      <c r="AB251" s="447"/>
      <c r="AC251" s="447"/>
      <c r="AD251" s="447"/>
      <c r="AE251" s="447"/>
      <c r="AF251" s="448"/>
      <c r="AG251" s="448"/>
      <c r="AH251" s="449"/>
      <c r="AI251" s="447"/>
      <c r="AJ251" s="447"/>
      <c r="AK251" s="447"/>
      <c r="AL251" s="447"/>
      <c r="AM251" s="447"/>
      <c r="AN251" s="447"/>
      <c r="AO251" s="447"/>
      <c r="AP251" s="447"/>
      <c r="AQ251" s="447"/>
      <c r="AR251" s="447"/>
      <c r="AS251" s="447"/>
      <c r="AT251" s="447"/>
      <c r="AU251" s="447"/>
      <c r="AV251" s="447"/>
      <c r="AW251" s="447"/>
      <c r="AX251" s="447"/>
      <c r="AY251" s="447"/>
      <c r="AZ251" s="447"/>
      <c r="BA251" s="447"/>
      <c r="BB251" s="447"/>
      <c r="BC251" s="447"/>
      <c r="BD251" s="447"/>
      <c r="BE251" s="447"/>
      <c r="BF251" s="447"/>
      <c r="BG251" s="447"/>
      <c r="BH251" s="447"/>
      <c r="BI251" s="447"/>
      <c r="BJ251" s="447"/>
      <c r="BK251" s="447"/>
      <c r="BL251" s="447"/>
      <c r="BM251" s="448"/>
      <c r="BN251" s="448"/>
    </row>
    <row r="252" spans="1:66" ht="11.25" customHeight="1">
      <c r="A252" s="450"/>
      <c r="B252" s="447"/>
      <c r="C252" s="447"/>
      <c r="D252" s="447"/>
      <c r="E252" s="447"/>
      <c r="F252" s="447"/>
      <c r="G252" s="447"/>
      <c r="H252" s="447"/>
      <c r="I252" s="447"/>
      <c r="J252" s="447"/>
      <c r="K252" s="447"/>
      <c r="L252" s="447"/>
      <c r="M252" s="447"/>
      <c r="N252" s="447"/>
      <c r="O252" s="447"/>
      <c r="P252" s="447"/>
      <c r="Q252" s="447"/>
      <c r="R252" s="447"/>
      <c r="S252" s="447"/>
      <c r="T252" s="447"/>
      <c r="U252" s="447"/>
      <c r="V252" s="447"/>
      <c r="W252" s="447"/>
      <c r="X252" s="447"/>
      <c r="Y252" s="447"/>
      <c r="Z252" s="447"/>
      <c r="AA252" s="447"/>
      <c r="AB252" s="447"/>
      <c r="AC252" s="447"/>
      <c r="AD252" s="447"/>
      <c r="AE252" s="447"/>
      <c r="AF252" s="448"/>
      <c r="AG252" s="448"/>
      <c r="AH252" s="449"/>
      <c r="AI252" s="447"/>
      <c r="AJ252" s="447"/>
      <c r="AK252" s="447"/>
      <c r="AL252" s="447"/>
      <c r="AM252" s="447"/>
      <c r="AN252" s="447"/>
      <c r="AO252" s="447"/>
      <c r="AP252" s="447"/>
      <c r="AQ252" s="447"/>
      <c r="AR252" s="447"/>
      <c r="AS252" s="447"/>
      <c r="AT252" s="447"/>
      <c r="AU252" s="447"/>
      <c r="AV252" s="447"/>
      <c r="AW252" s="447"/>
      <c r="AX252" s="447"/>
      <c r="AY252" s="447"/>
      <c r="AZ252" s="447"/>
      <c r="BA252" s="447"/>
      <c r="BB252" s="447"/>
      <c r="BC252" s="447"/>
      <c r="BD252" s="447"/>
      <c r="BE252" s="447"/>
      <c r="BF252" s="447"/>
      <c r="BG252" s="447"/>
      <c r="BH252" s="447"/>
      <c r="BI252" s="447"/>
      <c r="BJ252" s="447"/>
      <c r="BK252" s="447"/>
      <c r="BL252" s="447"/>
      <c r="BM252" s="448"/>
      <c r="BN252" s="448"/>
    </row>
    <row r="253" spans="1:66" ht="11.25" customHeight="1">
      <c r="A253" s="450"/>
      <c r="B253" s="447"/>
      <c r="C253" s="447"/>
      <c r="D253" s="447"/>
      <c r="E253" s="447"/>
      <c r="F253" s="447"/>
      <c r="G253" s="447"/>
      <c r="H253" s="447"/>
      <c r="I253" s="447"/>
      <c r="J253" s="447"/>
      <c r="K253" s="447"/>
      <c r="L253" s="447"/>
      <c r="M253" s="447"/>
      <c r="N253" s="447"/>
      <c r="O253" s="447"/>
      <c r="P253" s="447"/>
      <c r="Q253" s="447"/>
      <c r="R253" s="447"/>
      <c r="S253" s="447"/>
      <c r="T253" s="447"/>
      <c r="U253" s="447"/>
      <c r="V253" s="447"/>
      <c r="W253" s="447"/>
      <c r="X253" s="447"/>
      <c r="Y253" s="447"/>
      <c r="Z253" s="447"/>
      <c r="AA253" s="447"/>
      <c r="AB253" s="447"/>
      <c r="AC253" s="447"/>
      <c r="AD253" s="447"/>
      <c r="AE253" s="447"/>
      <c r="AF253" s="448"/>
      <c r="AG253" s="448"/>
      <c r="AH253" s="449"/>
      <c r="AI253" s="447"/>
      <c r="AJ253" s="447"/>
      <c r="AK253" s="447"/>
      <c r="AL253" s="447"/>
      <c r="AM253" s="447"/>
      <c r="AN253" s="447"/>
      <c r="AO253" s="447"/>
      <c r="AP253" s="447"/>
      <c r="AQ253" s="447"/>
      <c r="AR253" s="447"/>
      <c r="AS253" s="447"/>
      <c r="AT253" s="447"/>
      <c r="AU253" s="447"/>
      <c r="AV253" s="447"/>
      <c r="AW253" s="447"/>
      <c r="AX253" s="447"/>
      <c r="AY253" s="447"/>
      <c r="AZ253" s="447"/>
      <c r="BA253" s="447"/>
      <c r="BB253" s="447"/>
      <c r="BC253" s="447"/>
      <c r="BD253" s="447"/>
      <c r="BE253" s="447"/>
      <c r="BF253" s="447"/>
      <c r="BG253" s="447"/>
      <c r="BH253" s="447"/>
      <c r="BI253" s="447"/>
      <c r="BJ253" s="447"/>
      <c r="BK253" s="447"/>
      <c r="BL253" s="447"/>
      <c r="BM253" s="448"/>
      <c r="BN253" s="448"/>
    </row>
    <row r="254" spans="1:66" ht="11.25" customHeight="1">
      <c r="A254" s="450"/>
      <c r="B254" s="447"/>
      <c r="C254" s="447"/>
      <c r="D254" s="447"/>
      <c r="E254" s="447"/>
      <c r="F254" s="447"/>
      <c r="G254" s="447"/>
      <c r="H254" s="447"/>
      <c r="I254" s="447"/>
      <c r="J254" s="447"/>
      <c r="K254" s="447"/>
      <c r="L254" s="447"/>
      <c r="M254" s="447"/>
      <c r="N254" s="447"/>
      <c r="O254" s="447"/>
      <c r="P254" s="447"/>
      <c r="Q254" s="447"/>
      <c r="R254" s="447"/>
      <c r="S254" s="447"/>
      <c r="T254" s="447"/>
      <c r="U254" s="447"/>
      <c r="V254" s="447"/>
      <c r="W254" s="447"/>
      <c r="X254" s="447"/>
      <c r="Y254" s="447"/>
      <c r="Z254" s="447"/>
      <c r="AA254" s="447"/>
      <c r="AB254" s="447"/>
      <c r="AC254" s="447"/>
      <c r="AD254" s="447"/>
      <c r="AE254" s="447"/>
      <c r="AF254" s="448"/>
      <c r="AG254" s="448"/>
      <c r="AH254" s="449"/>
      <c r="AI254" s="447"/>
      <c r="AJ254" s="447"/>
      <c r="AK254" s="447"/>
      <c r="AL254" s="447"/>
      <c r="AM254" s="447"/>
      <c r="AN254" s="447"/>
      <c r="AO254" s="447"/>
      <c r="AP254" s="447"/>
      <c r="AQ254" s="447"/>
      <c r="AR254" s="447"/>
      <c r="AS254" s="447"/>
      <c r="AT254" s="447"/>
      <c r="AU254" s="447"/>
      <c r="AV254" s="447"/>
      <c r="AW254" s="447"/>
      <c r="AX254" s="447"/>
      <c r="AY254" s="447"/>
      <c r="AZ254" s="447"/>
      <c r="BA254" s="447"/>
      <c r="BB254" s="447"/>
      <c r="BC254" s="447"/>
      <c r="BD254" s="447"/>
      <c r="BE254" s="447"/>
      <c r="BF254" s="447"/>
      <c r="BG254" s="447"/>
      <c r="BH254" s="447"/>
      <c r="BI254" s="447"/>
      <c r="BJ254" s="447"/>
      <c r="BK254" s="447"/>
      <c r="BL254" s="447"/>
      <c r="BM254" s="448"/>
      <c r="BN254" s="448"/>
    </row>
    <row r="255" spans="1:66" ht="11.25" customHeight="1">
      <c r="A255" s="450"/>
      <c r="B255" s="447"/>
      <c r="C255" s="447"/>
      <c r="D255" s="447"/>
      <c r="E255" s="447"/>
      <c r="F255" s="447"/>
      <c r="G255" s="447"/>
      <c r="H255" s="447"/>
      <c r="I255" s="447"/>
      <c r="J255" s="447"/>
      <c r="K255" s="447"/>
      <c r="L255" s="447"/>
      <c r="M255" s="447"/>
      <c r="N255" s="447"/>
      <c r="O255" s="447"/>
      <c r="P255" s="447"/>
      <c r="Q255" s="447"/>
      <c r="R255" s="447"/>
      <c r="S255" s="447"/>
      <c r="T255" s="447"/>
      <c r="U255" s="447"/>
      <c r="V255" s="447"/>
      <c r="W255" s="447"/>
      <c r="X255" s="447"/>
      <c r="Y255" s="447"/>
      <c r="Z255" s="447"/>
      <c r="AA255" s="447"/>
      <c r="AB255" s="447"/>
      <c r="AC255" s="447"/>
      <c r="AD255" s="447"/>
      <c r="AE255" s="447"/>
      <c r="AF255" s="448"/>
      <c r="AG255" s="448"/>
      <c r="AH255" s="449"/>
      <c r="AI255" s="447"/>
      <c r="AJ255" s="447"/>
      <c r="AK255" s="447"/>
      <c r="AL255" s="447"/>
      <c r="AM255" s="447"/>
      <c r="AN255" s="447"/>
      <c r="AO255" s="447"/>
      <c r="AP255" s="447"/>
      <c r="AQ255" s="447"/>
      <c r="AR255" s="447"/>
      <c r="AS255" s="447"/>
      <c r="AT255" s="447"/>
      <c r="AU255" s="447"/>
      <c r="AV255" s="447"/>
      <c r="AW255" s="447"/>
      <c r="AX255" s="447"/>
      <c r="AY255" s="447"/>
      <c r="AZ255" s="447"/>
      <c r="BA255" s="447"/>
      <c r="BB255" s="447"/>
      <c r="BC255" s="447"/>
      <c r="BD255" s="447"/>
      <c r="BE255" s="447"/>
      <c r="BF255" s="447"/>
      <c r="BG255" s="447"/>
      <c r="BH255" s="447"/>
      <c r="BI255" s="447"/>
      <c r="BJ255" s="447"/>
      <c r="BK255" s="447"/>
      <c r="BL255" s="447"/>
      <c r="BM255" s="448"/>
      <c r="BN255" s="448"/>
    </row>
    <row r="256" spans="1:66" ht="11.25" customHeight="1">
      <c r="A256" s="450"/>
      <c r="B256" s="447"/>
      <c r="C256" s="447"/>
      <c r="D256" s="447"/>
      <c r="E256" s="447"/>
      <c r="F256" s="447"/>
      <c r="G256" s="447"/>
      <c r="H256" s="447"/>
      <c r="I256" s="447"/>
      <c r="J256" s="447"/>
      <c r="K256" s="447"/>
      <c r="L256" s="447"/>
      <c r="M256" s="447"/>
      <c r="N256" s="447"/>
      <c r="O256" s="447"/>
      <c r="P256" s="447"/>
      <c r="Q256" s="447"/>
      <c r="R256" s="447"/>
      <c r="S256" s="447"/>
      <c r="T256" s="447"/>
      <c r="U256" s="447"/>
      <c r="V256" s="447"/>
      <c r="W256" s="447"/>
      <c r="X256" s="447"/>
      <c r="Y256" s="447"/>
      <c r="Z256" s="447"/>
      <c r="AA256" s="447"/>
      <c r="AB256" s="447"/>
      <c r="AC256" s="447"/>
      <c r="AD256" s="447"/>
      <c r="AE256" s="447"/>
      <c r="AF256" s="448"/>
      <c r="AG256" s="448"/>
      <c r="AH256" s="449"/>
      <c r="AI256" s="447"/>
      <c r="AJ256" s="447"/>
      <c r="AK256" s="447"/>
      <c r="AL256" s="447"/>
      <c r="AM256" s="447"/>
      <c r="AN256" s="447"/>
      <c r="AO256" s="447"/>
      <c r="AP256" s="447"/>
      <c r="AQ256" s="447"/>
      <c r="AR256" s="447"/>
      <c r="AS256" s="447"/>
      <c r="AT256" s="447"/>
      <c r="AU256" s="447"/>
      <c r="AV256" s="447"/>
      <c r="AW256" s="447"/>
      <c r="AX256" s="447"/>
      <c r="AY256" s="447"/>
      <c r="AZ256" s="447"/>
      <c r="BA256" s="447"/>
      <c r="BB256" s="447"/>
      <c r="BC256" s="447"/>
      <c r="BD256" s="447"/>
      <c r="BE256" s="447"/>
      <c r="BF256" s="447"/>
      <c r="BG256" s="447"/>
      <c r="BH256" s="447"/>
      <c r="BI256" s="447"/>
      <c r="BJ256" s="447"/>
      <c r="BK256" s="447"/>
      <c r="BL256" s="447"/>
      <c r="BM256" s="448"/>
      <c r="BN256" s="448"/>
    </row>
    <row r="257" spans="1:66" ht="11.25" customHeight="1">
      <c r="A257" s="450"/>
      <c r="B257" s="447"/>
      <c r="C257" s="447"/>
      <c r="D257" s="447"/>
      <c r="E257" s="447"/>
      <c r="F257" s="447"/>
      <c r="G257" s="447"/>
      <c r="H257" s="447"/>
      <c r="I257" s="447"/>
      <c r="J257" s="447"/>
      <c r="K257" s="447"/>
      <c r="L257" s="447"/>
      <c r="M257" s="447"/>
      <c r="N257" s="447"/>
      <c r="O257" s="447"/>
      <c r="P257" s="447"/>
      <c r="Q257" s="447"/>
      <c r="R257" s="447"/>
      <c r="S257" s="447"/>
      <c r="T257" s="447"/>
      <c r="U257" s="447"/>
      <c r="V257" s="447"/>
      <c r="W257" s="447"/>
      <c r="X257" s="447"/>
      <c r="Y257" s="447"/>
      <c r="Z257" s="447"/>
      <c r="AA257" s="447"/>
      <c r="AB257" s="447"/>
      <c r="AC257" s="447"/>
      <c r="AD257" s="447"/>
      <c r="AE257" s="447"/>
      <c r="AF257" s="448"/>
      <c r="AG257" s="448"/>
      <c r="AH257" s="449"/>
      <c r="AI257" s="447"/>
      <c r="AJ257" s="447"/>
      <c r="AK257" s="447"/>
      <c r="AL257" s="447"/>
      <c r="AM257" s="447"/>
      <c r="AN257" s="447"/>
      <c r="AO257" s="447"/>
      <c r="AP257" s="447"/>
      <c r="AQ257" s="447"/>
      <c r="AR257" s="447"/>
      <c r="AS257" s="447"/>
      <c r="AT257" s="447"/>
      <c r="AU257" s="447"/>
      <c r="AV257" s="447"/>
      <c r="AW257" s="447"/>
      <c r="AX257" s="447"/>
      <c r="AY257" s="447"/>
      <c r="AZ257" s="447"/>
      <c r="BA257" s="447"/>
      <c r="BB257" s="447"/>
      <c r="BC257" s="447"/>
      <c r="BD257" s="447"/>
      <c r="BE257" s="447"/>
      <c r="BF257" s="447"/>
      <c r="BG257" s="447"/>
      <c r="BH257" s="447"/>
      <c r="BI257" s="447"/>
      <c r="BJ257" s="447"/>
      <c r="BK257" s="447"/>
      <c r="BL257" s="447"/>
      <c r="BM257" s="448"/>
      <c r="BN257" s="448"/>
    </row>
    <row r="258" spans="1:66" ht="11.25" customHeight="1">
      <c r="A258" s="450"/>
      <c r="B258" s="447"/>
      <c r="C258" s="447"/>
      <c r="D258" s="447"/>
      <c r="E258" s="447"/>
      <c r="F258" s="447"/>
      <c r="G258" s="447"/>
      <c r="H258" s="447"/>
      <c r="I258" s="447"/>
      <c r="J258" s="447"/>
      <c r="K258" s="447"/>
      <c r="L258" s="447"/>
      <c r="M258" s="447"/>
      <c r="N258" s="447"/>
      <c r="O258" s="447"/>
      <c r="P258" s="447"/>
      <c r="Q258" s="447"/>
      <c r="R258" s="447"/>
      <c r="S258" s="447"/>
      <c r="T258" s="447"/>
      <c r="U258" s="447"/>
      <c r="V258" s="447"/>
      <c r="W258" s="447"/>
      <c r="X258" s="447"/>
      <c r="Y258" s="447"/>
      <c r="Z258" s="447"/>
      <c r="AA258" s="447"/>
      <c r="AB258" s="447"/>
      <c r="AC258" s="447"/>
      <c r="AD258" s="447"/>
      <c r="AE258" s="447"/>
      <c r="AF258" s="448"/>
      <c r="AG258" s="448"/>
      <c r="AH258" s="449"/>
      <c r="AI258" s="447"/>
      <c r="AJ258" s="447"/>
      <c r="AK258" s="447"/>
      <c r="AL258" s="447"/>
      <c r="AM258" s="447"/>
      <c r="AN258" s="447"/>
      <c r="AO258" s="447"/>
      <c r="AP258" s="447"/>
      <c r="AQ258" s="447"/>
      <c r="AR258" s="447"/>
      <c r="AS258" s="447"/>
      <c r="AT258" s="447"/>
      <c r="AU258" s="447"/>
      <c r="AV258" s="447"/>
      <c r="AW258" s="447"/>
      <c r="AX258" s="447"/>
      <c r="AY258" s="447"/>
      <c r="AZ258" s="447"/>
      <c r="BA258" s="447"/>
      <c r="BB258" s="447"/>
      <c r="BC258" s="447"/>
      <c r="BD258" s="447"/>
      <c r="BE258" s="447"/>
      <c r="BF258" s="447"/>
      <c r="BG258" s="447"/>
      <c r="BH258" s="447"/>
      <c r="BI258" s="447"/>
      <c r="BJ258" s="447"/>
      <c r="BK258" s="447"/>
      <c r="BL258" s="447"/>
      <c r="BM258" s="448"/>
      <c r="BN258" s="448"/>
    </row>
    <row r="259" spans="1:66" ht="11.25" customHeight="1">
      <c r="A259" s="450"/>
      <c r="B259" s="447"/>
      <c r="C259" s="447"/>
      <c r="D259" s="447"/>
      <c r="E259" s="447"/>
      <c r="F259" s="447"/>
      <c r="G259" s="447"/>
      <c r="H259" s="447"/>
      <c r="I259" s="447"/>
      <c r="J259" s="447"/>
      <c r="K259" s="447"/>
      <c r="L259" s="447"/>
      <c r="M259" s="447"/>
      <c r="N259" s="447"/>
      <c r="O259" s="447"/>
      <c r="P259" s="447"/>
      <c r="Q259" s="447"/>
      <c r="R259" s="447"/>
      <c r="S259" s="447"/>
      <c r="T259" s="447"/>
      <c r="U259" s="447"/>
      <c r="V259" s="447"/>
      <c r="W259" s="447"/>
      <c r="X259" s="447"/>
      <c r="Y259" s="447"/>
      <c r="Z259" s="447"/>
      <c r="AA259" s="447"/>
      <c r="AB259" s="447"/>
      <c r="AC259" s="447"/>
      <c r="AD259" s="447"/>
      <c r="AE259" s="447"/>
      <c r="AF259" s="448"/>
      <c r="AG259" s="448"/>
      <c r="AH259" s="449"/>
      <c r="AI259" s="447"/>
      <c r="AJ259" s="447"/>
      <c r="AK259" s="447"/>
      <c r="AL259" s="447"/>
      <c r="AM259" s="447"/>
      <c r="AN259" s="447"/>
      <c r="AO259" s="447"/>
      <c r="AP259" s="447"/>
      <c r="AQ259" s="447"/>
      <c r="AR259" s="447"/>
      <c r="AS259" s="447"/>
      <c r="AT259" s="447"/>
      <c r="AU259" s="447"/>
      <c r="AV259" s="447"/>
      <c r="AW259" s="447"/>
      <c r="AX259" s="447"/>
      <c r="AY259" s="447"/>
      <c r="AZ259" s="447"/>
      <c r="BA259" s="447"/>
      <c r="BB259" s="447"/>
      <c r="BC259" s="447"/>
      <c r="BD259" s="447"/>
      <c r="BE259" s="447"/>
      <c r="BF259" s="447"/>
      <c r="BG259" s="447"/>
      <c r="BH259" s="447"/>
      <c r="BI259" s="447"/>
      <c r="BJ259" s="447"/>
      <c r="BK259" s="447"/>
      <c r="BL259" s="447"/>
      <c r="BM259" s="448"/>
      <c r="BN259" s="448"/>
    </row>
    <row r="260" spans="1:66" ht="11.25" customHeight="1">
      <c r="A260" s="450"/>
      <c r="B260" s="447"/>
      <c r="C260" s="447"/>
      <c r="D260" s="447"/>
      <c r="E260" s="447"/>
      <c r="F260" s="447"/>
      <c r="G260" s="447"/>
      <c r="H260" s="447"/>
      <c r="I260" s="447"/>
      <c r="J260" s="447"/>
      <c r="K260" s="447"/>
      <c r="L260" s="447"/>
      <c r="M260" s="447"/>
      <c r="N260" s="447"/>
      <c r="O260" s="447"/>
      <c r="P260" s="447"/>
      <c r="Q260" s="447"/>
      <c r="R260" s="447"/>
      <c r="S260" s="447"/>
      <c r="T260" s="447"/>
      <c r="U260" s="447"/>
      <c r="V260" s="447"/>
      <c r="W260" s="447"/>
      <c r="X260" s="447"/>
      <c r="Y260" s="447"/>
      <c r="Z260" s="447"/>
      <c r="AA260" s="447"/>
      <c r="AB260" s="447"/>
      <c r="AC260" s="447"/>
      <c r="AD260" s="447"/>
      <c r="AE260" s="447"/>
      <c r="AF260" s="448"/>
      <c r="AG260" s="448"/>
      <c r="AH260" s="449"/>
      <c r="AI260" s="447"/>
      <c r="AJ260" s="447"/>
      <c r="AK260" s="447"/>
      <c r="AL260" s="447"/>
      <c r="AM260" s="447"/>
      <c r="AN260" s="447"/>
      <c r="AO260" s="447"/>
      <c r="AP260" s="447"/>
      <c r="AQ260" s="447"/>
      <c r="AR260" s="447"/>
      <c r="AS260" s="447"/>
      <c r="AT260" s="447"/>
      <c r="AU260" s="447"/>
      <c r="AV260" s="447"/>
      <c r="AW260" s="447"/>
      <c r="AX260" s="447"/>
      <c r="AY260" s="447"/>
      <c r="AZ260" s="447"/>
      <c r="BA260" s="447"/>
      <c r="BB260" s="447"/>
      <c r="BC260" s="447"/>
      <c r="BD260" s="447"/>
      <c r="BE260" s="447"/>
      <c r="BF260" s="447"/>
      <c r="BG260" s="447"/>
      <c r="BH260" s="447"/>
      <c r="BI260" s="447"/>
      <c r="BJ260" s="447"/>
      <c r="BK260" s="447"/>
      <c r="BL260" s="447"/>
      <c r="BM260" s="448"/>
      <c r="BN260" s="448"/>
    </row>
    <row r="261" spans="1:66" ht="11.25" customHeight="1">
      <c r="A261" s="450"/>
      <c r="B261" s="447"/>
      <c r="C261" s="447"/>
      <c r="D261" s="447"/>
      <c r="E261" s="447"/>
      <c r="F261" s="447"/>
      <c r="G261" s="447"/>
      <c r="H261" s="447"/>
      <c r="I261" s="447"/>
      <c r="J261" s="447"/>
      <c r="K261" s="447"/>
      <c r="L261" s="447"/>
      <c r="M261" s="447"/>
      <c r="N261" s="447"/>
      <c r="O261" s="447"/>
      <c r="P261" s="447"/>
      <c r="Q261" s="447"/>
      <c r="R261" s="447"/>
      <c r="S261" s="447"/>
      <c r="T261" s="447"/>
      <c r="U261" s="447"/>
      <c r="V261" s="447"/>
      <c r="W261" s="447"/>
      <c r="X261" s="447"/>
      <c r="Y261" s="447"/>
      <c r="Z261" s="447"/>
      <c r="AA261" s="447"/>
      <c r="AB261" s="447"/>
      <c r="AC261" s="447"/>
      <c r="AD261" s="447"/>
      <c r="AE261" s="447"/>
      <c r="AF261" s="448"/>
      <c r="AG261" s="448"/>
      <c r="AH261" s="449"/>
      <c r="AI261" s="447"/>
      <c r="AJ261" s="447"/>
      <c r="AK261" s="447"/>
      <c r="AL261" s="447"/>
      <c r="AM261" s="447"/>
      <c r="AN261" s="447"/>
      <c r="AO261" s="447"/>
      <c r="AP261" s="447"/>
      <c r="AQ261" s="447"/>
      <c r="AR261" s="447"/>
      <c r="AS261" s="447"/>
      <c r="AT261" s="447"/>
      <c r="AU261" s="447"/>
      <c r="AV261" s="447"/>
      <c r="AW261" s="447"/>
      <c r="AX261" s="447"/>
      <c r="AY261" s="447"/>
      <c r="AZ261" s="447"/>
      <c r="BA261" s="447"/>
      <c r="BB261" s="447"/>
      <c r="BC261" s="447"/>
      <c r="BD261" s="447"/>
      <c r="BE261" s="447"/>
      <c r="BF261" s="447"/>
      <c r="BG261" s="447"/>
      <c r="BH261" s="447"/>
      <c r="BI261" s="447"/>
      <c r="BJ261" s="447"/>
      <c r="BK261" s="447"/>
      <c r="BL261" s="447"/>
      <c r="BM261" s="448"/>
      <c r="BN261" s="448"/>
    </row>
    <row r="262" spans="1:66" ht="11.25" customHeight="1">
      <c r="A262" s="450"/>
      <c r="B262" s="447"/>
      <c r="C262" s="447"/>
      <c r="D262" s="447"/>
      <c r="E262" s="447"/>
      <c r="F262" s="447"/>
      <c r="G262" s="447"/>
      <c r="H262" s="447"/>
      <c r="I262" s="447"/>
      <c r="J262" s="447"/>
      <c r="K262" s="447"/>
      <c r="L262" s="447"/>
      <c r="M262" s="447"/>
      <c r="N262" s="447"/>
      <c r="O262" s="447"/>
      <c r="P262" s="447"/>
      <c r="Q262" s="447"/>
      <c r="R262" s="447"/>
      <c r="S262" s="447"/>
      <c r="T262" s="447"/>
      <c r="U262" s="447"/>
      <c r="V262" s="447"/>
      <c r="W262" s="447"/>
      <c r="X262" s="447"/>
      <c r="Y262" s="447"/>
      <c r="Z262" s="447"/>
      <c r="AA262" s="447"/>
      <c r="AB262" s="447"/>
      <c r="AC262" s="447"/>
      <c r="AD262" s="447"/>
      <c r="AE262" s="447"/>
      <c r="AF262" s="448"/>
      <c r="AG262" s="448"/>
      <c r="AH262" s="449"/>
      <c r="AI262" s="447"/>
      <c r="AJ262" s="447"/>
      <c r="AK262" s="447"/>
      <c r="AL262" s="447"/>
      <c r="AM262" s="447"/>
      <c r="AN262" s="447"/>
      <c r="AO262" s="447"/>
      <c r="AP262" s="447"/>
      <c r="AQ262" s="447"/>
      <c r="AR262" s="447"/>
      <c r="AS262" s="447"/>
      <c r="AT262" s="447"/>
      <c r="AU262" s="447"/>
      <c r="AV262" s="447"/>
      <c r="AW262" s="447"/>
      <c r="AX262" s="447"/>
      <c r="AY262" s="447"/>
      <c r="AZ262" s="447"/>
      <c r="BA262" s="447"/>
      <c r="BB262" s="447"/>
      <c r="BC262" s="447"/>
      <c r="BD262" s="447"/>
      <c r="BE262" s="447"/>
      <c r="BF262" s="447"/>
      <c r="BG262" s="447"/>
      <c r="BH262" s="447"/>
      <c r="BI262" s="447"/>
      <c r="BJ262" s="447"/>
      <c r="BK262" s="447"/>
      <c r="BL262" s="447"/>
      <c r="BM262" s="448"/>
      <c r="BN262" s="448"/>
    </row>
    <row r="263" spans="1:66" ht="11.25" customHeight="1">
      <c r="A263" s="450"/>
      <c r="B263" s="447"/>
      <c r="C263" s="447"/>
      <c r="D263" s="447"/>
      <c r="E263" s="447"/>
      <c r="F263" s="447"/>
      <c r="G263" s="447"/>
      <c r="H263" s="447"/>
      <c r="I263" s="447"/>
      <c r="J263" s="447"/>
      <c r="K263" s="447"/>
      <c r="L263" s="447"/>
      <c r="M263" s="447"/>
      <c r="N263" s="447"/>
      <c r="O263" s="447"/>
      <c r="P263" s="447"/>
      <c r="Q263" s="447"/>
      <c r="R263" s="447"/>
      <c r="S263" s="447"/>
      <c r="T263" s="447"/>
      <c r="U263" s="447"/>
      <c r="V263" s="447"/>
      <c r="W263" s="447"/>
      <c r="X263" s="447"/>
      <c r="Y263" s="447"/>
      <c r="Z263" s="447"/>
      <c r="AA263" s="447"/>
      <c r="AB263" s="447"/>
      <c r="AC263" s="447"/>
      <c r="AD263" s="447"/>
      <c r="AE263" s="447"/>
      <c r="AF263" s="448"/>
      <c r="AG263" s="448"/>
      <c r="AH263" s="449"/>
      <c r="AI263" s="447"/>
      <c r="AJ263" s="447"/>
      <c r="AK263" s="447"/>
      <c r="AL263" s="447"/>
      <c r="AM263" s="447"/>
      <c r="AN263" s="447"/>
      <c r="AO263" s="447"/>
      <c r="AP263" s="447"/>
      <c r="AQ263" s="447"/>
      <c r="AR263" s="447"/>
      <c r="AS263" s="447"/>
      <c r="AT263" s="447"/>
      <c r="AU263" s="447"/>
      <c r="AV263" s="447"/>
      <c r="AW263" s="447"/>
      <c r="AX263" s="447"/>
      <c r="AY263" s="447"/>
      <c r="AZ263" s="447"/>
      <c r="BA263" s="447"/>
      <c r="BB263" s="447"/>
      <c r="BC263" s="447"/>
      <c r="BD263" s="447"/>
      <c r="BE263" s="447"/>
      <c r="BF263" s="447"/>
      <c r="BG263" s="447"/>
      <c r="BH263" s="447"/>
      <c r="BI263" s="447"/>
      <c r="BJ263" s="447"/>
      <c r="BK263" s="447"/>
      <c r="BL263" s="447"/>
      <c r="BM263" s="448"/>
      <c r="BN263" s="448"/>
    </row>
    <row r="264" spans="1:66" ht="11.25" customHeight="1">
      <c r="A264" s="450"/>
      <c r="B264" s="447"/>
      <c r="C264" s="447"/>
      <c r="D264" s="447"/>
      <c r="E264" s="447"/>
      <c r="F264" s="447"/>
      <c r="G264" s="447"/>
      <c r="H264" s="447"/>
      <c r="I264" s="447"/>
      <c r="J264" s="447"/>
      <c r="K264" s="447"/>
      <c r="L264" s="447"/>
      <c r="M264" s="447"/>
      <c r="N264" s="447"/>
      <c r="O264" s="447"/>
      <c r="P264" s="447"/>
      <c r="Q264" s="447"/>
      <c r="R264" s="447"/>
      <c r="S264" s="447"/>
      <c r="T264" s="447"/>
      <c r="U264" s="447"/>
      <c r="V264" s="447"/>
      <c r="W264" s="447"/>
      <c r="X264" s="447"/>
      <c r="Y264" s="447"/>
      <c r="Z264" s="447"/>
      <c r="AA264" s="447"/>
      <c r="AB264" s="447"/>
      <c r="AC264" s="447"/>
      <c r="AD264" s="447"/>
      <c r="AE264" s="447"/>
      <c r="AF264" s="448"/>
      <c r="AG264" s="448"/>
      <c r="AH264" s="449"/>
      <c r="AI264" s="447"/>
      <c r="AJ264" s="447"/>
      <c r="AK264" s="447"/>
      <c r="AL264" s="447"/>
      <c r="AM264" s="447"/>
      <c r="AN264" s="447"/>
      <c r="AO264" s="447"/>
      <c r="AP264" s="447"/>
      <c r="AQ264" s="447"/>
      <c r="AR264" s="447"/>
      <c r="AS264" s="447"/>
      <c r="AT264" s="447"/>
      <c r="AU264" s="447"/>
      <c r="AV264" s="447"/>
      <c r="AW264" s="447"/>
      <c r="AX264" s="447"/>
      <c r="AY264" s="447"/>
      <c r="AZ264" s="447"/>
      <c r="BA264" s="447"/>
      <c r="BB264" s="447"/>
      <c r="BC264" s="447"/>
      <c r="BD264" s="447"/>
      <c r="BE264" s="447"/>
      <c r="BF264" s="447"/>
      <c r="BG264" s="447"/>
      <c r="BH264" s="447"/>
      <c r="BI264" s="447"/>
      <c r="BJ264" s="447"/>
      <c r="BK264" s="447"/>
      <c r="BL264" s="447"/>
      <c r="BM264" s="448"/>
      <c r="BN264" s="448"/>
    </row>
    <row r="265" spans="1:66" ht="11.25" customHeight="1">
      <c r="A265" s="450"/>
      <c r="B265" s="447"/>
      <c r="C265" s="447"/>
      <c r="D265" s="447"/>
      <c r="E265" s="447"/>
      <c r="F265" s="447"/>
      <c r="G265" s="447"/>
      <c r="H265" s="447"/>
      <c r="I265" s="447"/>
      <c r="J265" s="447"/>
      <c r="K265" s="447"/>
      <c r="L265" s="447"/>
      <c r="M265" s="447"/>
      <c r="N265" s="447"/>
      <c r="O265" s="447"/>
      <c r="P265" s="447"/>
      <c r="Q265" s="447"/>
      <c r="R265" s="447"/>
      <c r="S265" s="447"/>
      <c r="T265" s="447"/>
      <c r="U265" s="447"/>
      <c r="V265" s="447"/>
      <c r="W265" s="447"/>
      <c r="X265" s="447"/>
      <c r="Y265" s="447"/>
      <c r="Z265" s="447"/>
      <c r="AA265" s="447"/>
      <c r="AB265" s="447"/>
      <c r="AC265" s="447"/>
      <c r="AD265" s="447"/>
      <c r="AE265" s="447"/>
      <c r="AF265" s="448"/>
      <c r="AG265" s="448"/>
      <c r="AH265" s="449"/>
      <c r="AI265" s="447"/>
      <c r="AJ265" s="447"/>
      <c r="AK265" s="447"/>
      <c r="AL265" s="447"/>
      <c r="AM265" s="447"/>
      <c r="AN265" s="447"/>
      <c r="AO265" s="447"/>
      <c r="AP265" s="447"/>
      <c r="AQ265" s="447"/>
      <c r="AR265" s="447"/>
      <c r="AS265" s="447"/>
      <c r="AT265" s="447"/>
      <c r="AU265" s="447"/>
      <c r="AV265" s="447"/>
      <c r="AW265" s="447"/>
      <c r="AX265" s="447"/>
      <c r="AY265" s="447"/>
      <c r="AZ265" s="447"/>
      <c r="BA265" s="447"/>
      <c r="BB265" s="447"/>
      <c r="BC265" s="447"/>
      <c r="BD265" s="447"/>
      <c r="BE265" s="447"/>
      <c r="BF265" s="447"/>
      <c r="BG265" s="447"/>
      <c r="BH265" s="447"/>
      <c r="BI265" s="447"/>
      <c r="BJ265" s="447"/>
      <c r="BK265" s="447"/>
      <c r="BL265" s="447"/>
      <c r="BM265" s="448"/>
      <c r="BN265" s="448"/>
    </row>
    <row r="266" spans="1:66" ht="11.25" customHeight="1">
      <c r="A266" s="450"/>
      <c r="B266" s="447"/>
      <c r="C266" s="447"/>
      <c r="D266" s="447"/>
      <c r="E266" s="447"/>
      <c r="F266" s="447"/>
      <c r="G266" s="447"/>
      <c r="H266" s="447"/>
      <c r="I266" s="447"/>
      <c r="J266" s="447"/>
      <c r="K266" s="447"/>
      <c r="L266" s="447"/>
      <c r="M266" s="447"/>
      <c r="N266" s="447"/>
      <c r="O266" s="447"/>
      <c r="P266" s="447"/>
      <c r="Q266" s="447"/>
      <c r="R266" s="447"/>
      <c r="S266" s="447"/>
      <c r="T266" s="447"/>
      <c r="U266" s="447"/>
      <c r="V266" s="447"/>
      <c r="W266" s="447"/>
      <c r="X266" s="447"/>
      <c r="Y266" s="447"/>
      <c r="Z266" s="447"/>
      <c r="AA266" s="447"/>
      <c r="AB266" s="447"/>
      <c r="AC266" s="447"/>
      <c r="AD266" s="447"/>
      <c r="AE266" s="447"/>
      <c r="AF266" s="448"/>
      <c r="AG266" s="448"/>
      <c r="AH266" s="449"/>
      <c r="AI266" s="447"/>
      <c r="AJ266" s="447"/>
      <c r="AK266" s="447"/>
      <c r="AL266" s="447"/>
      <c r="AM266" s="447"/>
      <c r="AN266" s="447"/>
      <c r="AO266" s="447"/>
      <c r="AP266" s="447"/>
      <c r="AQ266" s="447"/>
      <c r="AR266" s="447"/>
      <c r="AS266" s="447"/>
      <c r="AT266" s="447"/>
      <c r="AU266" s="447"/>
      <c r="AV266" s="447"/>
      <c r="AW266" s="447"/>
      <c r="AX266" s="447"/>
      <c r="AY266" s="447"/>
      <c r="AZ266" s="447"/>
      <c r="BA266" s="447"/>
      <c r="BB266" s="447"/>
      <c r="BC266" s="447"/>
      <c r="BD266" s="447"/>
      <c r="BE266" s="447"/>
      <c r="BF266" s="447"/>
      <c r="BG266" s="447"/>
      <c r="BH266" s="447"/>
      <c r="BI266" s="447"/>
      <c r="BJ266" s="447"/>
      <c r="BK266" s="447"/>
      <c r="BL266" s="447"/>
      <c r="BM266" s="448"/>
      <c r="BN266" s="448"/>
    </row>
    <row r="267" spans="1:66" ht="11.25" customHeight="1">
      <c r="A267" s="450"/>
      <c r="B267" s="447"/>
      <c r="C267" s="447"/>
      <c r="D267" s="447"/>
      <c r="E267" s="447"/>
      <c r="F267" s="447"/>
      <c r="G267" s="447"/>
      <c r="H267" s="447"/>
      <c r="I267" s="447"/>
      <c r="J267" s="447"/>
      <c r="K267" s="447"/>
      <c r="L267" s="447"/>
      <c r="M267" s="447"/>
      <c r="N267" s="447"/>
      <c r="O267" s="447"/>
      <c r="P267" s="447"/>
      <c r="Q267" s="447"/>
      <c r="R267" s="447"/>
      <c r="S267" s="447"/>
      <c r="T267" s="447"/>
      <c r="U267" s="447"/>
      <c r="V267" s="447"/>
      <c r="W267" s="447"/>
      <c r="X267" s="447"/>
      <c r="Y267" s="447"/>
      <c r="Z267" s="447"/>
      <c r="AA267" s="447"/>
      <c r="AB267" s="447"/>
      <c r="AC267" s="447"/>
      <c r="AD267" s="447"/>
      <c r="AE267" s="447"/>
      <c r="AF267" s="448"/>
      <c r="AG267" s="448"/>
      <c r="AH267" s="449"/>
      <c r="AI267" s="447"/>
      <c r="AJ267" s="447"/>
      <c r="AK267" s="447"/>
      <c r="AL267" s="447"/>
      <c r="AM267" s="447"/>
      <c r="AN267" s="447"/>
      <c r="AO267" s="447"/>
      <c r="AP267" s="447"/>
      <c r="AQ267" s="447"/>
      <c r="AR267" s="447"/>
      <c r="AS267" s="447"/>
      <c r="AT267" s="447"/>
      <c r="AU267" s="447"/>
      <c r="AV267" s="447"/>
      <c r="AW267" s="447"/>
      <c r="AX267" s="447"/>
      <c r="AY267" s="447"/>
      <c r="AZ267" s="447"/>
      <c r="BA267" s="447"/>
      <c r="BB267" s="447"/>
      <c r="BC267" s="447"/>
      <c r="BD267" s="447"/>
      <c r="BE267" s="447"/>
      <c r="BF267" s="447"/>
      <c r="BG267" s="447"/>
      <c r="BH267" s="447"/>
      <c r="BI267" s="447"/>
      <c r="BJ267" s="447"/>
      <c r="BK267" s="447"/>
      <c r="BL267" s="447"/>
      <c r="BM267" s="448"/>
      <c r="BN267" s="448"/>
    </row>
    <row r="268" spans="1:66" ht="11.25" customHeight="1">
      <c r="A268" s="450"/>
      <c r="B268" s="447"/>
      <c r="C268" s="447"/>
      <c r="D268" s="447"/>
      <c r="E268" s="447"/>
      <c r="F268" s="447"/>
      <c r="G268" s="447"/>
      <c r="H268" s="447"/>
      <c r="I268" s="447"/>
      <c r="J268" s="447"/>
      <c r="K268" s="447"/>
      <c r="L268" s="447"/>
      <c r="M268" s="447"/>
      <c r="N268" s="447"/>
      <c r="O268" s="447"/>
      <c r="P268" s="447"/>
      <c r="Q268" s="447"/>
      <c r="R268" s="447"/>
      <c r="S268" s="447"/>
      <c r="T268" s="447"/>
      <c r="U268" s="447"/>
      <c r="V268" s="447"/>
      <c r="W268" s="447"/>
      <c r="X268" s="447"/>
      <c r="Y268" s="447"/>
      <c r="Z268" s="447"/>
      <c r="AA268" s="447"/>
      <c r="AB268" s="447"/>
      <c r="AC268" s="447"/>
      <c r="AD268" s="447"/>
      <c r="AE268" s="447"/>
      <c r="AF268" s="448"/>
      <c r="AG268" s="448"/>
      <c r="AH268" s="449"/>
      <c r="AI268" s="447"/>
      <c r="AJ268" s="447"/>
      <c r="AK268" s="447"/>
      <c r="AL268" s="447"/>
      <c r="AM268" s="447"/>
      <c r="AN268" s="447"/>
      <c r="AO268" s="447"/>
      <c r="AP268" s="447"/>
      <c r="AQ268" s="447"/>
      <c r="AR268" s="447"/>
      <c r="AS268" s="447"/>
      <c r="AT268" s="447"/>
      <c r="AU268" s="447"/>
      <c r="AV268" s="447"/>
      <c r="AW268" s="447"/>
      <c r="AX268" s="447"/>
      <c r="AY268" s="447"/>
      <c r="AZ268" s="447"/>
      <c r="BA268" s="447"/>
      <c r="BB268" s="447"/>
      <c r="BC268" s="447"/>
      <c r="BD268" s="447"/>
      <c r="BE268" s="447"/>
      <c r="BF268" s="447"/>
      <c r="BG268" s="447"/>
      <c r="BH268" s="447"/>
      <c r="BI268" s="447"/>
      <c r="BJ268" s="447"/>
      <c r="BK268" s="447"/>
      <c r="BL268" s="447"/>
      <c r="BM268" s="448"/>
      <c r="BN268" s="448"/>
    </row>
    <row r="269" spans="1:66" ht="11.25" customHeight="1">
      <c r="A269" s="450"/>
      <c r="B269" s="447"/>
      <c r="C269" s="447"/>
      <c r="D269" s="447"/>
      <c r="E269" s="447"/>
      <c r="F269" s="447"/>
      <c r="G269" s="447"/>
      <c r="H269" s="447"/>
      <c r="I269" s="447"/>
      <c r="J269" s="447"/>
      <c r="K269" s="447"/>
      <c r="L269" s="447"/>
      <c r="M269" s="447"/>
      <c r="N269" s="447"/>
      <c r="O269" s="447"/>
      <c r="P269" s="447"/>
      <c r="Q269" s="447"/>
      <c r="R269" s="447"/>
      <c r="S269" s="447"/>
      <c r="T269" s="447"/>
      <c r="U269" s="447"/>
      <c r="V269" s="447"/>
      <c r="W269" s="447"/>
      <c r="X269" s="447"/>
      <c r="Y269" s="447"/>
      <c r="Z269" s="447"/>
      <c r="AA269" s="447"/>
      <c r="AB269" s="447"/>
      <c r="AC269" s="447"/>
      <c r="AD269" s="447"/>
      <c r="AE269" s="447"/>
      <c r="AF269" s="448"/>
      <c r="AG269" s="448"/>
      <c r="AH269" s="449"/>
      <c r="AI269" s="447"/>
      <c r="AJ269" s="447"/>
      <c r="AK269" s="447"/>
      <c r="AL269" s="447"/>
      <c r="AM269" s="447"/>
      <c r="AN269" s="447"/>
      <c r="AO269" s="447"/>
      <c r="AP269" s="447"/>
      <c r="AQ269" s="447"/>
      <c r="AR269" s="447"/>
      <c r="AS269" s="447"/>
      <c r="AT269" s="447"/>
      <c r="AU269" s="447"/>
      <c r="AV269" s="447"/>
      <c r="AW269" s="447"/>
      <c r="AX269" s="447"/>
      <c r="AY269" s="447"/>
      <c r="AZ269" s="447"/>
      <c r="BA269" s="447"/>
      <c r="BB269" s="447"/>
      <c r="BC269" s="447"/>
      <c r="BD269" s="447"/>
      <c r="BE269" s="447"/>
      <c r="BF269" s="447"/>
      <c r="BG269" s="447"/>
      <c r="BH269" s="447"/>
      <c r="BI269" s="447"/>
      <c r="BJ269" s="447"/>
      <c r="BK269" s="447"/>
      <c r="BL269" s="447"/>
      <c r="BM269" s="448"/>
      <c r="BN269" s="448"/>
    </row>
    <row r="270" spans="1:66" ht="11.25" customHeight="1">
      <c r="A270" s="450"/>
      <c r="B270" s="447"/>
      <c r="C270" s="447"/>
      <c r="D270" s="447"/>
      <c r="E270" s="447"/>
      <c r="F270" s="447"/>
      <c r="G270" s="447"/>
      <c r="H270" s="447"/>
      <c r="I270" s="447"/>
      <c r="J270" s="447"/>
      <c r="K270" s="447"/>
      <c r="L270" s="447"/>
      <c r="M270" s="447"/>
      <c r="N270" s="447"/>
      <c r="O270" s="447"/>
      <c r="P270" s="447"/>
      <c r="Q270" s="447"/>
      <c r="R270" s="447"/>
      <c r="S270" s="447"/>
      <c r="T270" s="447"/>
      <c r="U270" s="447"/>
      <c r="V270" s="447"/>
      <c r="W270" s="447"/>
      <c r="X270" s="447"/>
      <c r="Y270" s="447"/>
      <c r="Z270" s="447"/>
      <c r="AA270" s="447"/>
      <c r="AB270" s="447"/>
      <c r="AC270" s="447"/>
      <c r="AD270" s="447"/>
      <c r="AE270" s="447"/>
      <c r="AF270" s="448"/>
      <c r="AG270" s="448"/>
      <c r="AH270" s="449"/>
      <c r="AI270" s="447"/>
      <c r="AJ270" s="447"/>
      <c r="AK270" s="447"/>
      <c r="AL270" s="447"/>
      <c r="AM270" s="447"/>
      <c r="AN270" s="447"/>
      <c r="AO270" s="447"/>
      <c r="AP270" s="447"/>
      <c r="AQ270" s="447"/>
      <c r="AR270" s="447"/>
      <c r="AS270" s="447"/>
      <c r="AT270" s="447"/>
      <c r="AU270" s="447"/>
      <c r="AV270" s="447"/>
      <c r="AW270" s="447"/>
      <c r="AX270" s="447"/>
      <c r="AY270" s="447"/>
      <c r="AZ270" s="447"/>
      <c r="BA270" s="447"/>
      <c r="BB270" s="447"/>
      <c r="BC270" s="447"/>
      <c r="BD270" s="447"/>
      <c r="BE270" s="447"/>
      <c r="BF270" s="447"/>
      <c r="BG270" s="447"/>
      <c r="BH270" s="447"/>
      <c r="BI270" s="447"/>
      <c r="BJ270" s="447"/>
      <c r="BK270" s="447"/>
      <c r="BL270" s="447"/>
      <c r="BM270" s="448"/>
      <c r="BN270" s="448"/>
    </row>
    <row r="271" spans="1:66" ht="11.25" customHeight="1">
      <c r="A271" s="450"/>
      <c r="B271" s="447"/>
      <c r="C271" s="447"/>
      <c r="D271" s="447"/>
      <c r="E271" s="447"/>
      <c r="F271" s="447"/>
      <c r="G271" s="447"/>
      <c r="H271" s="447"/>
      <c r="I271" s="447"/>
      <c r="J271" s="447"/>
      <c r="K271" s="447"/>
      <c r="L271" s="447"/>
      <c r="M271" s="447"/>
      <c r="N271" s="447"/>
      <c r="O271" s="447"/>
      <c r="P271" s="447"/>
      <c r="Q271" s="447"/>
      <c r="R271" s="447"/>
      <c r="S271" s="447"/>
      <c r="T271" s="447"/>
      <c r="U271" s="447"/>
      <c r="V271" s="447"/>
      <c r="W271" s="447"/>
      <c r="X271" s="447"/>
      <c r="Y271" s="447"/>
      <c r="Z271" s="447"/>
      <c r="AA271" s="447"/>
      <c r="AB271" s="447"/>
      <c r="AC271" s="447"/>
      <c r="AD271" s="447"/>
      <c r="AE271" s="447"/>
      <c r="AF271" s="448"/>
      <c r="AG271" s="448"/>
      <c r="AH271" s="449"/>
      <c r="AI271" s="447"/>
      <c r="AJ271" s="447"/>
      <c r="AK271" s="447"/>
      <c r="AL271" s="447"/>
      <c r="AM271" s="447"/>
      <c r="AN271" s="447"/>
      <c r="AO271" s="447"/>
      <c r="AP271" s="447"/>
      <c r="AQ271" s="447"/>
      <c r="AR271" s="447"/>
      <c r="AS271" s="447"/>
      <c r="AT271" s="447"/>
      <c r="AU271" s="447"/>
      <c r="AV271" s="447"/>
      <c r="AW271" s="447"/>
      <c r="AX271" s="447"/>
      <c r="AY271" s="447"/>
      <c r="AZ271" s="447"/>
      <c r="BA271" s="447"/>
      <c r="BB271" s="447"/>
      <c r="BC271" s="447"/>
      <c r="BD271" s="447"/>
      <c r="BE271" s="447"/>
      <c r="BF271" s="447"/>
      <c r="BG271" s="447"/>
      <c r="BH271" s="447"/>
      <c r="BI271" s="447"/>
      <c r="BJ271" s="447"/>
      <c r="BK271" s="447"/>
      <c r="BL271" s="447"/>
      <c r="BM271" s="448"/>
      <c r="BN271" s="448"/>
    </row>
    <row r="272" spans="1:66" ht="11.25" customHeight="1">
      <c r="A272" s="450"/>
      <c r="B272" s="447"/>
      <c r="C272" s="447"/>
      <c r="D272" s="447"/>
      <c r="E272" s="447"/>
      <c r="F272" s="447"/>
      <c r="G272" s="447"/>
      <c r="H272" s="447"/>
      <c r="I272" s="447"/>
      <c r="J272" s="447"/>
      <c r="K272" s="447"/>
      <c r="L272" s="447"/>
      <c r="M272" s="447"/>
      <c r="N272" s="447"/>
      <c r="O272" s="447"/>
      <c r="P272" s="447"/>
      <c r="Q272" s="447"/>
      <c r="R272" s="447"/>
      <c r="S272" s="447"/>
      <c r="T272" s="447"/>
      <c r="U272" s="447"/>
      <c r="V272" s="447"/>
      <c r="W272" s="447"/>
      <c r="X272" s="447"/>
      <c r="Y272" s="447"/>
      <c r="Z272" s="447"/>
      <c r="AA272" s="447"/>
      <c r="AB272" s="447"/>
      <c r="AC272" s="447"/>
      <c r="AD272" s="447"/>
      <c r="AE272" s="447"/>
      <c r="AF272" s="448"/>
      <c r="AG272" s="448"/>
      <c r="AH272" s="449"/>
      <c r="AI272" s="447"/>
      <c r="AJ272" s="447"/>
      <c r="AK272" s="447"/>
      <c r="AL272" s="447"/>
      <c r="AM272" s="447"/>
      <c r="AN272" s="447"/>
      <c r="AO272" s="447"/>
      <c r="AP272" s="447"/>
      <c r="AQ272" s="447"/>
      <c r="AR272" s="447"/>
      <c r="AS272" s="447"/>
      <c r="AT272" s="447"/>
      <c r="AU272" s="447"/>
      <c r="AV272" s="447"/>
      <c r="AW272" s="447"/>
      <c r="AX272" s="447"/>
      <c r="AY272" s="447"/>
      <c r="AZ272" s="447"/>
      <c r="BA272" s="447"/>
      <c r="BB272" s="447"/>
      <c r="BC272" s="447"/>
      <c r="BD272" s="447"/>
      <c r="BE272" s="447"/>
      <c r="BF272" s="447"/>
      <c r="BG272" s="447"/>
      <c r="BH272" s="447"/>
      <c r="BI272" s="447"/>
      <c r="BJ272" s="447"/>
      <c r="BK272" s="447"/>
      <c r="BL272" s="447"/>
      <c r="BM272" s="448"/>
      <c r="BN272" s="448"/>
    </row>
    <row r="273" spans="1:66" ht="11.25" customHeight="1">
      <c r="A273" s="450"/>
      <c r="B273" s="447"/>
      <c r="C273" s="447"/>
      <c r="D273" s="447"/>
      <c r="E273" s="447"/>
      <c r="F273" s="447"/>
      <c r="G273" s="447"/>
      <c r="H273" s="447"/>
      <c r="I273" s="447"/>
      <c r="J273" s="447"/>
      <c r="K273" s="447"/>
      <c r="L273" s="447"/>
      <c r="M273" s="447"/>
      <c r="N273" s="447"/>
      <c r="O273" s="447"/>
      <c r="P273" s="447"/>
      <c r="Q273" s="447"/>
      <c r="R273" s="447"/>
      <c r="S273" s="447"/>
      <c r="T273" s="447"/>
      <c r="U273" s="447"/>
      <c r="V273" s="447"/>
      <c r="W273" s="447"/>
      <c r="X273" s="447"/>
      <c r="Y273" s="447"/>
      <c r="Z273" s="447"/>
      <c r="AA273" s="447"/>
      <c r="AB273" s="447"/>
      <c r="AC273" s="447"/>
      <c r="AD273" s="447"/>
      <c r="AE273" s="447"/>
      <c r="AF273" s="448"/>
      <c r="AG273" s="448"/>
      <c r="AH273" s="449"/>
      <c r="AI273" s="447"/>
      <c r="AJ273" s="447"/>
      <c r="AK273" s="447"/>
      <c r="AL273" s="447"/>
      <c r="AM273" s="447"/>
      <c r="AN273" s="447"/>
      <c r="AO273" s="447"/>
      <c r="AP273" s="447"/>
      <c r="AQ273" s="447"/>
      <c r="AR273" s="447"/>
      <c r="AS273" s="447"/>
      <c r="AT273" s="447"/>
      <c r="AU273" s="447"/>
      <c r="AV273" s="447"/>
      <c r="AW273" s="447"/>
      <c r="AX273" s="447"/>
      <c r="AY273" s="447"/>
      <c r="AZ273" s="447"/>
      <c r="BA273" s="447"/>
      <c r="BB273" s="447"/>
      <c r="BC273" s="447"/>
      <c r="BD273" s="447"/>
      <c r="BE273" s="447"/>
      <c r="BF273" s="447"/>
      <c r="BG273" s="447"/>
      <c r="BH273" s="447"/>
      <c r="BI273" s="447"/>
      <c r="BJ273" s="447"/>
      <c r="BK273" s="447"/>
      <c r="BL273" s="447"/>
      <c r="BM273" s="448"/>
      <c r="BN273" s="448"/>
    </row>
    <row r="274" spans="1:66" ht="11.25" customHeight="1">
      <c r="A274" s="450"/>
      <c r="B274" s="447"/>
      <c r="C274" s="447"/>
      <c r="D274" s="447"/>
      <c r="E274" s="447"/>
      <c r="F274" s="447"/>
      <c r="G274" s="447"/>
      <c r="H274" s="447"/>
      <c r="I274" s="447"/>
      <c r="J274" s="447"/>
      <c r="K274" s="447"/>
      <c r="L274" s="447"/>
      <c r="M274" s="447"/>
      <c r="N274" s="447"/>
      <c r="O274" s="447"/>
      <c r="P274" s="447"/>
      <c r="Q274" s="447"/>
      <c r="R274" s="447"/>
      <c r="S274" s="447"/>
      <c r="T274" s="447"/>
      <c r="U274" s="447"/>
      <c r="V274" s="447"/>
      <c r="W274" s="447"/>
      <c r="X274" s="447"/>
      <c r="Y274" s="447"/>
      <c r="Z274" s="447"/>
      <c r="AA274" s="447"/>
      <c r="AB274" s="447"/>
      <c r="AC274" s="447"/>
      <c r="AD274" s="447"/>
      <c r="AE274" s="447"/>
      <c r="AF274" s="448"/>
      <c r="AG274" s="448"/>
      <c r="AH274" s="449"/>
      <c r="AI274" s="447"/>
      <c r="AJ274" s="447"/>
      <c r="AK274" s="447"/>
      <c r="AL274" s="447"/>
      <c r="AM274" s="447"/>
      <c r="AN274" s="447"/>
      <c r="AO274" s="447"/>
      <c r="AP274" s="447"/>
      <c r="AQ274" s="447"/>
      <c r="AR274" s="447"/>
      <c r="AS274" s="447"/>
      <c r="AT274" s="447"/>
      <c r="AU274" s="447"/>
      <c r="AV274" s="447"/>
      <c r="AW274" s="447"/>
      <c r="AX274" s="447"/>
      <c r="AY274" s="447"/>
      <c r="AZ274" s="447"/>
      <c r="BA274" s="447"/>
      <c r="BB274" s="447"/>
      <c r="BC274" s="447"/>
      <c r="BD274" s="447"/>
      <c r="BE274" s="447"/>
      <c r="BF274" s="447"/>
      <c r="BG274" s="447"/>
      <c r="BH274" s="447"/>
      <c r="BI274" s="447"/>
      <c r="BJ274" s="447"/>
      <c r="BK274" s="447"/>
      <c r="BL274" s="447"/>
      <c r="BM274" s="448"/>
      <c r="BN274" s="448"/>
    </row>
    <row r="275" spans="1:66" ht="11.25" customHeight="1">
      <c r="A275" s="450"/>
      <c r="B275" s="447"/>
      <c r="C275" s="447"/>
      <c r="D275" s="447"/>
      <c r="E275" s="447"/>
      <c r="F275" s="447"/>
      <c r="G275" s="447"/>
      <c r="H275" s="447"/>
      <c r="I275" s="447"/>
      <c r="J275" s="447"/>
      <c r="K275" s="447"/>
      <c r="L275" s="447"/>
      <c r="M275" s="447"/>
      <c r="N275" s="447"/>
      <c r="O275" s="447"/>
      <c r="P275" s="447"/>
      <c r="Q275" s="447"/>
      <c r="R275" s="447"/>
      <c r="S275" s="447"/>
      <c r="T275" s="447"/>
      <c r="U275" s="447"/>
      <c r="V275" s="447"/>
      <c r="W275" s="447"/>
      <c r="X275" s="447"/>
      <c r="Y275" s="447"/>
      <c r="Z275" s="447"/>
      <c r="AA275" s="447"/>
      <c r="AB275" s="447"/>
      <c r="AC275" s="447"/>
      <c r="AD275" s="447"/>
      <c r="AE275" s="447"/>
      <c r="AF275" s="448"/>
      <c r="AG275" s="448"/>
      <c r="AH275" s="449"/>
      <c r="AI275" s="447"/>
      <c r="AJ275" s="447"/>
      <c r="AK275" s="447"/>
      <c r="AL275" s="447"/>
      <c r="AM275" s="447"/>
      <c r="AN275" s="447"/>
      <c r="AO275" s="447"/>
      <c r="AP275" s="447"/>
      <c r="AQ275" s="447"/>
      <c r="AR275" s="447"/>
      <c r="AS275" s="447"/>
      <c r="AT275" s="447"/>
      <c r="AU275" s="447"/>
      <c r="AV275" s="447"/>
      <c r="AW275" s="447"/>
      <c r="AX275" s="447"/>
      <c r="AY275" s="447"/>
      <c r="AZ275" s="447"/>
      <c r="BA275" s="447"/>
      <c r="BB275" s="447"/>
      <c r="BC275" s="447"/>
      <c r="BD275" s="447"/>
      <c r="BE275" s="447"/>
      <c r="BF275" s="447"/>
      <c r="BG275" s="447"/>
      <c r="BH275" s="447"/>
      <c r="BI275" s="447"/>
      <c r="BJ275" s="447"/>
      <c r="BK275" s="447"/>
      <c r="BL275" s="447"/>
      <c r="BM275" s="448"/>
      <c r="BN275" s="448"/>
    </row>
    <row r="276" spans="1:66" ht="11.25" customHeight="1">
      <c r="A276" s="450"/>
      <c r="B276" s="447"/>
      <c r="C276" s="447"/>
      <c r="D276" s="447"/>
      <c r="E276" s="447"/>
      <c r="F276" s="447"/>
      <c r="G276" s="447"/>
      <c r="H276" s="447"/>
      <c r="I276" s="447"/>
      <c r="J276" s="447"/>
      <c r="K276" s="447"/>
      <c r="L276" s="447"/>
      <c r="M276" s="447"/>
      <c r="N276" s="447"/>
      <c r="O276" s="447"/>
      <c r="P276" s="447"/>
      <c r="Q276" s="447"/>
      <c r="R276" s="447"/>
      <c r="S276" s="447"/>
      <c r="T276" s="447"/>
      <c r="U276" s="447"/>
      <c r="V276" s="447"/>
      <c r="W276" s="447"/>
      <c r="X276" s="447"/>
      <c r="Y276" s="447"/>
      <c r="Z276" s="447"/>
      <c r="AA276" s="447"/>
      <c r="AB276" s="447"/>
      <c r="AC276" s="447"/>
      <c r="AD276" s="447"/>
      <c r="AE276" s="447"/>
      <c r="AF276" s="448"/>
      <c r="AG276" s="448"/>
      <c r="AH276" s="449"/>
      <c r="AI276" s="447"/>
      <c r="AJ276" s="447"/>
      <c r="AK276" s="447"/>
      <c r="AL276" s="447"/>
      <c r="AM276" s="447"/>
      <c r="AN276" s="447"/>
      <c r="AO276" s="447"/>
      <c r="AP276" s="447"/>
      <c r="AQ276" s="447"/>
      <c r="AR276" s="447"/>
      <c r="AS276" s="447"/>
      <c r="AT276" s="447"/>
      <c r="AU276" s="447"/>
      <c r="AV276" s="447"/>
      <c r="AW276" s="447"/>
      <c r="AX276" s="447"/>
      <c r="AY276" s="447"/>
      <c r="AZ276" s="447"/>
      <c r="BA276" s="447"/>
      <c r="BB276" s="447"/>
      <c r="BC276" s="447"/>
      <c r="BD276" s="447"/>
      <c r="BE276" s="447"/>
      <c r="BF276" s="447"/>
      <c r="BG276" s="447"/>
      <c r="BH276" s="447"/>
      <c r="BI276" s="447"/>
      <c r="BJ276" s="447"/>
      <c r="BK276" s="447"/>
      <c r="BL276" s="447"/>
      <c r="BM276" s="448"/>
      <c r="BN276" s="448"/>
    </row>
    <row r="277" spans="1:66" ht="11.25" customHeight="1">
      <c r="A277" s="450"/>
      <c r="B277" s="447"/>
      <c r="C277" s="447"/>
      <c r="D277" s="447"/>
      <c r="E277" s="447"/>
      <c r="F277" s="447"/>
      <c r="G277" s="447"/>
      <c r="H277" s="447"/>
      <c r="I277" s="447"/>
      <c r="J277" s="447"/>
      <c r="K277" s="447"/>
      <c r="L277" s="447"/>
      <c r="M277" s="447"/>
      <c r="N277" s="447"/>
      <c r="O277" s="447"/>
      <c r="P277" s="447"/>
      <c r="Q277" s="447"/>
      <c r="R277" s="447"/>
      <c r="S277" s="447"/>
      <c r="T277" s="447"/>
      <c r="U277" s="447"/>
      <c r="V277" s="447"/>
      <c r="W277" s="447"/>
      <c r="X277" s="447"/>
      <c r="Y277" s="447"/>
      <c r="Z277" s="447"/>
      <c r="AA277" s="447"/>
      <c r="AB277" s="447"/>
      <c r="AC277" s="447"/>
      <c r="AD277" s="447"/>
      <c r="AE277" s="447"/>
      <c r="AF277" s="448"/>
      <c r="AG277" s="448"/>
      <c r="AH277" s="449"/>
      <c r="AI277" s="447"/>
      <c r="AJ277" s="447"/>
      <c r="AK277" s="447"/>
      <c r="AL277" s="447"/>
      <c r="AM277" s="447"/>
      <c r="AN277" s="447"/>
      <c r="AO277" s="447"/>
      <c r="AP277" s="447"/>
      <c r="AQ277" s="447"/>
      <c r="AR277" s="447"/>
      <c r="AS277" s="447"/>
      <c r="AT277" s="447"/>
      <c r="AU277" s="447"/>
      <c r="AV277" s="447"/>
      <c r="AW277" s="447"/>
      <c r="AX277" s="447"/>
      <c r="AY277" s="447"/>
      <c r="AZ277" s="447"/>
      <c r="BA277" s="447"/>
      <c r="BB277" s="447"/>
      <c r="BC277" s="447"/>
      <c r="BD277" s="447"/>
      <c r="BE277" s="447"/>
      <c r="BF277" s="447"/>
      <c r="BG277" s="447"/>
      <c r="BH277" s="447"/>
      <c r="BI277" s="447"/>
      <c r="BJ277" s="447"/>
      <c r="BK277" s="447"/>
      <c r="BL277" s="447"/>
      <c r="BM277" s="448"/>
      <c r="BN277" s="448"/>
    </row>
    <row r="278" spans="1:66" ht="11.25" customHeight="1">
      <c r="A278" s="450"/>
      <c r="B278" s="447"/>
      <c r="C278" s="447"/>
      <c r="D278" s="447"/>
      <c r="E278" s="447"/>
      <c r="F278" s="447"/>
      <c r="G278" s="447"/>
      <c r="H278" s="447"/>
      <c r="I278" s="447"/>
      <c r="J278" s="447"/>
      <c r="K278" s="447"/>
      <c r="L278" s="447"/>
      <c r="M278" s="447"/>
      <c r="N278" s="447"/>
      <c r="O278" s="447"/>
      <c r="P278" s="447"/>
      <c r="Q278" s="447"/>
      <c r="R278" s="447"/>
      <c r="S278" s="447"/>
      <c r="T278" s="447"/>
      <c r="U278" s="447"/>
      <c r="V278" s="447"/>
      <c r="W278" s="447"/>
      <c r="X278" s="447"/>
      <c r="Y278" s="447"/>
      <c r="Z278" s="447"/>
      <c r="AA278" s="447"/>
      <c r="AB278" s="447"/>
      <c r="AC278" s="447"/>
      <c r="AD278" s="447"/>
      <c r="AE278" s="447"/>
      <c r="AF278" s="448"/>
      <c r="AG278" s="448"/>
      <c r="AH278" s="449"/>
      <c r="AI278" s="447"/>
      <c r="AJ278" s="447"/>
      <c r="AK278" s="447"/>
      <c r="AL278" s="447"/>
      <c r="AM278" s="447"/>
      <c r="AN278" s="447"/>
      <c r="AO278" s="447"/>
      <c r="AP278" s="447"/>
      <c r="AQ278" s="447"/>
      <c r="AR278" s="447"/>
      <c r="AS278" s="447"/>
      <c r="AT278" s="447"/>
      <c r="AU278" s="447"/>
      <c r="AV278" s="447"/>
      <c r="AW278" s="447"/>
      <c r="AX278" s="447"/>
      <c r="AY278" s="447"/>
      <c r="AZ278" s="447"/>
      <c r="BA278" s="447"/>
      <c r="BB278" s="447"/>
      <c r="BC278" s="447"/>
      <c r="BD278" s="447"/>
      <c r="BE278" s="447"/>
      <c r="BF278" s="447"/>
      <c r="BG278" s="447"/>
      <c r="BH278" s="447"/>
      <c r="BI278" s="447"/>
      <c r="BJ278" s="447"/>
      <c r="BK278" s="447"/>
      <c r="BL278" s="447"/>
      <c r="BM278" s="448"/>
      <c r="BN278" s="448"/>
    </row>
    <row r="279" spans="1:66" ht="11.25" customHeight="1">
      <c r="A279" s="450"/>
      <c r="B279" s="447"/>
      <c r="C279" s="447"/>
      <c r="D279" s="447"/>
      <c r="E279" s="447"/>
      <c r="F279" s="447"/>
      <c r="G279" s="447"/>
      <c r="H279" s="447"/>
      <c r="I279" s="447"/>
      <c r="J279" s="447"/>
      <c r="K279" s="447"/>
      <c r="L279" s="447"/>
      <c r="M279" s="447"/>
      <c r="N279" s="447"/>
      <c r="O279" s="447"/>
      <c r="P279" s="447"/>
      <c r="Q279" s="447"/>
      <c r="R279" s="447"/>
      <c r="S279" s="447"/>
      <c r="T279" s="447"/>
      <c r="U279" s="447"/>
      <c r="V279" s="447"/>
      <c r="W279" s="447"/>
      <c r="X279" s="447"/>
      <c r="Y279" s="447"/>
      <c r="Z279" s="447"/>
      <c r="AA279" s="447"/>
      <c r="AB279" s="447"/>
      <c r="AC279" s="447"/>
      <c r="AD279" s="447"/>
      <c r="AE279" s="447"/>
      <c r="AF279" s="448"/>
      <c r="AG279" s="448"/>
      <c r="AH279" s="449"/>
      <c r="AI279" s="447"/>
      <c r="AJ279" s="447"/>
      <c r="AK279" s="447"/>
      <c r="AL279" s="447"/>
      <c r="AM279" s="447"/>
      <c r="AN279" s="447"/>
      <c r="AO279" s="447"/>
      <c r="AP279" s="447"/>
      <c r="AQ279" s="447"/>
      <c r="AR279" s="447"/>
      <c r="AS279" s="447"/>
      <c r="AT279" s="447"/>
      <c r="AU279" s="447"/>
      <c r="AV279" s="447"/>
      <c r="AW279" s="447"/>
      <c r="AX279" s="447"/>
      <c r="AY279" s="447"/>
      <c r="AZ279" s="447"/>
      <c r="BA279" s="447"/>
      <c r="BB279" s="447"/>
      <c r="BC279" s="447"/>
      <c r="BD279" s="447"/>
      <c r="BE279" s="447"/>
      <c r="BF279" s="447"/>
      <c r="BG279" s="447"/>
      <c r="BH279" s="447"/>
      <c r="BI279" s="447"/>
      <c r="BJ279" s="447"/>
      <c r="BK279" s="447"/>
      <c r="BL279" s="447"/>
      <c r="BM279" s="448"/>
      <c r="BN279" s="448"/>
    </row>
    <row r="280" spans="1:66" ht="11.25" customHeight="1">
      <c r="A280" s="450"/>
      <c r="B280" s="447"/>
      <c r="C280" s="447"/>
      <c r="D280" s="447"/>
      <c r="E280" s="447"/>
      <c r="F280" s="447"/>
      <c r="G280" s="447"/>
      <c r="H280" s="447"/>
      <c r="I280" s="447"/>
      <c r="J280" s="447"/>
      <c r="K280" s="447"/>
      <c r="L280" s="447"/>
      <c r="M280" s="447"/>
      <c r="N280" s="447"/>
      <c r="O280" s="447"/>
      <c r="P280" s="447"/>
      <c r="Q280" s="447"/>
      <c r="R280" s="447"/>
      <c r="S280" s="447"/>
      <c r="T280" s="447"/>
      <c r="U280" s="447"/>
      <c r="V280" s="447"/>
      <c r="W280" s="447"/>
      <c r="X280" s="447"/>
      <c r="Y280" s="447"/>
      <c r="Z280" s="447"/>
      <c r="AA280" s="447"/>
      <c r="AB280" s="447"/>
      <c r="AC280" s="447"/>
      <c r="AD280" s="447"/>
      <c r="AE280" s="447"/>
      <c r="AF280" s="448"/>
      <c r="AG280" s="448"/>
      <c r="AH280" s="449"/>
      <c r="AI280" s="447"/>
      <c r="AJ280" s="447"/>
      <c r="AK280" s="447"/>
      <c r="AL280" s="447"/>
      <c r="AM280" s="447"/>
      <c r="AN280" s="447"/>
      <c r="AO280" s="447"/>
      <c r="AP280" s="447"/>
      <c r="AQ280" s="447"/>
      <c r="AR280" s="447"/>
      <c r="AS280" s="447"/>
      <c r="AT280" s="447"/>
      <c r="AU280" s="447"/>
      <c r="AV280" s="447"/>
      <c r="AW280" s="447"/>
      <c r="AX280" s="447"/>
      <c r="AY280" s="447"/>
      <c r="AZ280" s="447"/>
      <c r="BA280" s="447"/>
      <c r="BB280" s="447"/>
      <c r="BC280" s="447"/>
      <c r="BD280" s="447"/>
      <c r="BE280" s="447"/>
      <c r="BF280" s="447"/>
      <c r="BG280" s="447"/>
      <c r="BH280" s="447"/>
      <c r="BI280" s="447"/>
      <c r="BJ280" s="447"/>
      <c r="BK280" s="447"/>
      <c r="BL280" s="447"/>
      <c r="BM280" s="448"/>
      <c r="BN280" s="448"/>
    </row>
    <row r="281" spans="1:66" ht="11.25" customHeight="1">
      <c r="A281" s="450"/>
      <c r="B281" s="447"/>
      <c r="C281" s="447"/>
      <c r="D281" s="447"/>
      <c r="E281" s="447"/>
      <c r="F281" s="447"/>
      <c r="G281" s="447"/>
      <c r="H281" s="447"/>
      <c r="I281" s="447"/>
      <c r="J281" s="447"/>
      <c r="K281" s="447"/>
      <c r="L281" s="447"/>
      <c r="M281" s="447"/>
      <c r="N281" s="447"/>
      <c r="O281" s="447"/>
      <c r="P281" s="447"/>
      <c r="Q281" s="447"/>
      <c r="R281" s="447"/>
      <c r="S281" s="447"/>
      <c r="T281" s="447"/>
      <c r="U281" s="447"/>
      <c r="V281" s="447"/>
      <c r="W281" s="447"/>
      <c r="X281" s="447"/>
      <c r="Y281" s="447"/>
      <c r="Z281" s="447"/>
      <c r="AA281" s="447"/>
      <c r="AB281" s="447"/>
      <c r="AC281" s="447"/>
      <c r="AD281" s="447"/>
      <c r="AE281" s="447"/>
      <c r="AF281" s="448"/>
      <c r="AG281" s="448"/>
      <c r="AH281" s="449"/>
      <c r="AI281" s="447"/>
      <c r="AJ281" s="447"/>
      <c r="AK281" s="447"/>
      <c r="AL281" s="447"/>
      <c r="AM281" s="447"/>
      <c r="AN281" s="447"/>
      <c r="AO281" s="447"/>
      <c r="AP281" s="447"/>
      <c r="AQ281" s="447"/>
      <c r="AR281" s="447"/>
      <c r="AS281" s="447"/>
      <c r="AT281" s="447"/>
      <c r="AU281" s="447"/>
      <c r="AV281" s="447"/>
      <c r="AW281" s="447"/>
      <c r="AX281" s="447"/>
      <c r="AY281" s="447"/>
      <c r="AZ281" s="447"/>
      <c r="BA281" s="447"/>
      <c r="BB281" s="447"/>
      <c r="BC281" s="447"/>
      <c r="BD281" s="447"/>
      <c r="BE281" s="447"/>
      <c r="BF281" s="447"/>
      <c r="BG281" s="447"/>
      <c r="BH281" s="447"/>
      <c r="BI281" s="447"/>
      <c r="BJ281" s="447"/>
      <c r="BK281" s="447"/>
      <c r="BL281" s="447"/>
      <c r="BM281" s="448"/>
      <c r="BN281" s="448"/>
    </row>
    <row r="282" spans="1:66" ht="11.25" customHeight="1">
      <c r="A282" s="450"/>
      <c r="B282" s="447"/>
      <c r="C282" s="447"/>
      <c r="D282" s="447"/>
      <c r="E282" s="447"/>
      <c r="F282" s="447"/>
      <c r="G282" s="447"/>
      <c r="H282" s="447"/>
      <c r="I282" s="447"/>
      <c r="J282" s="447"/>
      <c r="K282" s="447"/>
      <c r="L282" s="447"/>
      <c r="M282" s="447"/>
      <c r="N282" s="447"/>
      <c r="O282" s="447"/>
      <c r="P282" s="447"/>
      <c r="Q282" s="447"/>
      <c r="R282" s="447"/>
      <c r="S282" s="447"/>
      <c r="T282" s="447"/>
      <c r="U282" s="447"/>
      <c r="V282" s="447"/>
      <c r="W282" s="447"/>
      <c r="X282" s="447"/>
      <c r="Y282" s="447"/>
      <c r="Z282" s="447"/>
      <c r="AA282" s="447"/>
      <c r="AB282" s="447"/>
      <c r="AC282" s="447"/>
      <c r="AD282" s="447"/>
      <c r="AE282" s="447"/>
      <c r="AF282" s="448"/>
      <c r="AG282" s="448"/>
      <c r="AH282" s="449"/>
      <c r="AI282" s="447"/>
      <c r="AJ282" s="447"/>
      <c r="AK282" s="447"/>
      <c r="AL282" s="447"/>
      <c r="AM282" s="447"/>
      <c r="AN282" s="447"/>
      <c r="AO282" s="447"/>
      <c r="AP282" s="447"/>
      <c r="AQ282" s="447"/>
      <c r="AR282" s="447"/>
      <c r="AS282" s="447"/>
      <c r="AT282" s="447"/>
      <c r="AU282" s="447"/>
      <c r="AV282" s="447"/>
      <c r="AW282" s="447"/>
      <c r="AX282" s="447"/>
      <c r="AY282" s="447"/>
      <c r="AZ282" s="447"/>
      <c r="BA282" s="447"/>
      <c r="BB282" s="447"/>
      <c r="BC282" s="447"/>
      <c r="BD282" s="447"/>
      <c r="BE282" s="447"/>
      <c r="BF282" s="447"/>
      <c r="BG282" s="447"/>
      <c r="BH282" s="447"/>
      <c r="BI282" s="447"/>
      <c r="BJ282" s="447"/>
      <c r="BK282" s="447"/>
      <c r="BL282" s="447"/>
      <c r="BM282" s="448"/>
      <c r="BN282" s="448"/>
    </row>
    <row r="283" spans="1:66" ht="11.25" customHeight="1">
      <c r="A283" s="450"/>
      <c r="B283" s="447"/>
      <c r="C283" s="447"/>
      <c r="D283" s="447"/>
      <c r="E283" s="447"/>
      <c r="F283" s="447"/>
      <c r="G283" s="447"/>
      <c r="H283" s="447"/>
      <c r="I283" s="447"/>
      <c r="J283" s="447"/>
      <c r="K283" s="447"/>
      <c r="L283" s="447"/>
      <c r="M283" s="447"/>
      <c r="N283" s="447"/>
      <c r="O283" s="447"/>
      <c r="P283" s="447"/>
      <c r="Q283" s="447"/>
      <c r="R283" s="447"/>
      <c r="S283" s="447"/>
      <c r="T283" s="447"/>
      <c r="U283" s="447"/>
      <c r="V283" s="447"/>
      <c r="W283" s="447"/>
      <c r="X283" s="447"/>
      <c r="Y283" s="447"/>
      <c r="Z283" s="447"/>
      <c r="AA283" s="447"/>
      <c r="AB283" s="447"/>
      <c r="AC283" s="447"/>
      <c r="AD283" s="447"/>
      <c r="AE283" s="447"/>
      <c r="AF283" s="448"/>
      <c r="AG283" s="448"/>
      <c r="AH283" s="449"/>
      <c r="AI283" s="447"/>
      <c r="AJ283" s="447"/>
      <c r="AK283" s="447"/>
      <c r="AL283" s="447"/>
      <c r="AM283" s="447"/>
      <c r="AN283" s="447"/>
      <c r="AO283" s="447"/>
      <c r="AP283" s="447"/>
      <c r="AQ283" s="447"/>
      <c r="AR283" s="447"/>
      <c r="AS283" s="447"/>
      <c r="AT283" s="447"/>
      <c r="AU283" s="447"/>
      <c r="AV283" s="447"/>
      <c r="AW283" s="447"/>
      <c r="AX283" s="447"/>
      <c r="AY283" s="447"/>
      <c r="AZ283" s="447"/>
      <c r="BA283" s="447"/>
      <c r="BB283" s="447"/>
      <c r="BC283" s="447"/>
      <c r="BD283" s="447"/>
      <c r="BE283" s="447"/>
      <c r="BF283" s="447"/>
      <c r="BG283" s="447"/>
      <c r="BH283" s="447"/>
      <c r="BI283" s="447"/>
      <c r="BJ283" s="447"/>
      <c r="BK283" s="447"/>
      <c r="BL283" s="447"/>
      <c r="BM283" s="448"/>
      <c r="BN283" s="448"/>
    </row>
    <row r="284" spans="1:66" ht="11.25" customHeight="1">
      <c r="A284" s="450"/>
      <c r="B284" s="447"/>
      <c r="C284" s="447"/>
      <c r="D284" s="447"/>
      <c r="E284" s="447"/>
      <c r="F284" s="447"/>
      <c r="G284" s="447"/>
      <c r="H284" s="447"/>
      <c r="I284" s="447"/>
      <c r="J284" s="447"/>
      <c r="K284" s="447"/>
      <c r="L284" s="447"/>
      <c r="M284" s="447"/>
      <c r="N284" s="447"/>
      <c r="O284" s="447"/>
      <c r="P284" s="447"/>
      <c r="Q284" s="447"/>
      <c r="R284" s="447"/>
      <c r="S284" s="447"/>
      <c r="T284" s="447"/>
      <c r="U284" s="447"/>
      <c r="V284" s="447"/>
      <c r="W284" s="447"/>
      <c r="X284" s="447"/>
      <c r="Y284" s="447"/>
      <c r="Z284" s="447"/>
      <c r="AA284" s="447"/>
      <c r="AB284" s="447"/>
      <c r="AC284" s="447"/>
      <c r="AD284" s="447"/>
      <c r="AE284" s="447"/>
      <c r="AF284" s="448"/>
      <c r="AG284" s="448"/>
      <c r="AH284" s="449"/>
      <c r="AI284" s="447"/>
      <c r="AJ284" s="447"/>
      <c r="AK284" s="447"/>
      <c r="AL284" s="447"/>
      <c r="AM284" s="447"/>
      <c r="AN284" s="447"/>
      <c r="AO284" s="447"/>
      <c r="AP284" s="447"/>
      <c r="AQ284" s="447"/>
      <c r="AR284" s="447"/>
      <c r="AS284" s="447"/>
      <c r="AT284" s="447"/>
      <c r="AU284" s="447"/>
      <c r="AV284" s="447"/>
      <c r="AW284" s="447"/>
      <c r="AX284" s="447"/>
      <c r="AY284" s="447"/>
      <c r="AZ284" s="447"/>
      <c r="BA284" s="447"/>
      <c r="BB284" s="447"/>
      <c r="BC284" s="447"/>
      <c r="BD284" s="447"/>
      <c r="BE284" s="447"/>
      <c r="BF284" s="447"/>
      <c r="BG284" s="447"/>
      <c r="BH284" s="447"/>
      <c r="BI284" s="447"/>
      <c r="BJ284" s="447"/>
      <c r="BK284" s="447"/>
      <c r="BL284" s="447"/>
      <c r="BM284" s="448"/>
      <c r="BN284" s="448"/>
    </row>
    <row r="285" spans="1:66" ht="11.25" customHeight="1">
      <c r="A285" s="450"/>
      <c r="B285" s="447"/>
      <c r="C285" s="447"/>
      <c r="D285" s="447"/>
      <c r="E285" s="447"/>
      <c r="F285" s="447"/>
      <c r="G285" s="447"/>
      <c r="H285" s="447"/>
      <c r="I285" s="447"/>
      <c r="J285" s="447"/>
      <c r="K285" s="447"/>
      <c r="L285" s="447"/>
      <c r="M285" s="447"/>
      <c r="N285" s="447"/>
      <c r="O285" s="447"/>
      <c r="P285" s="447"/>
      <c r="Q285" s="447"/>
      <c r="R285" s="447"/>
      <c r="S285" s="447"/>
      <c r="T285" s="447"/>
      <c r="U285" s="447"/>
      <c r="V285" s="447"/>
      <c r="W285" s="447"/>
      <c r="X285" s="447"/>
      <c r="Y285" s="447"/>
      <c r="Z285" s="447"/>
      <c r="AA285" s="447"/>
      <c r="AB285" s="447"/>
      <c r="AC285" s="447"/>
      <c r="AD285" s="447"/>
      <c r="AE285" s="447"/>
      <c r="AF285" s="448"/>
      <c r="AG285" s="448"/>
      <c r="AH285" s="449"/>
      <c r="AI285" s="447"/>
      <c r="AJ285" s="447"/>
      <c r="AK285" s="447"/>
      <c r="AL285" s="447"/>
      <c r="AM285" s="447"/>
      <c r="AN285" s="447"/>
      <c r="AO285" s="447"/>
      <c r="AP285" s="447"/>
      <c r="AQ285" s="447"/>
      <c r="AR285" s="447"/>
      <c r="AS285" s="447"/>
      <c r="AT285" s="447"/>
      <c r="AU285" s="447"/>
      <c r="AV285" s="447"/>
      <c r="AW285" s="447"/>
      <c r="AX285" s="447"/>
      <c r="AY285" s="447"/>
      <c r="AZ285" s="447"/>
      <c r="BA285" s="447"/>
      <c r="BB285" s="447"/>
      <c r="BC285" s="447"/>
      <c r="BD285" s="447"/>
      <c r="BE285" s="447"/>
      <c r="BF285" s="447"/>
      <c r="BG285" s="447"/>
      <c r="BH285" s="447"/>
      <c r="BI285" s="447"/>
      <c r="BJ285" s="447"/>
      <c r="BK285" s="447"/>
      <c r="BL285" s="447"/>
      <c r="BM285" s="448"/>
      <c r="BN285" s="448"/>
    </row>
    <row r="286" spans="1:66" ht="11.25" customHeight="1">
      <c r="A286" s="450"/>
      <c r="B286" s="447"/>
      <c r="C286" s="447"/>
      <c r="D286" s="447"/>
      <c r="E286" s="447"/>
      <c r="F286" s="447"/>
      <c r="G286" s="447"/>
      <c r="H286" s="447"/>
      <c r="I286" s="447"/>
      <c r="J286" s="447"/>
      <c r="K286" s="447"/>
      <c r="L286" s="447"/>
      <c r="M286" s="447"/>
      <c r="N286" s="447"/>
      <c r="O286" s="447"/>
      <c r="P286" s="447"/>
      <c r="Q286" s="447"/>
      <c r="R286" s="447"/>
      <c r="S286" s="447"/>
      <c r="T286" s="447"/>
      <c r="U286" s="447"/>
      <c r="V286" s="447"/>
      <c r="W286" s="447"/>
      <c r="X286" s="447"/>
      <c r="Y286" s="447"/>
      <c r="Z286" s="447"/>
      <c r="AA286" s="447"/>
      <c r="AB286" s="447"/>
      <c r="AC286" s="447"/>
      <c r="AD286" s="447"/>
      <c r="AE286" s="447"/>
      <c r="AF286" s="448"/>
      <c r="AG286" s="448"/>
      <c r="AH286" s="449"/>
      <c r="AI286" s="447"/>
      <c r="AJ286" s="447"/>
      <c r="AK286" s="447"/>
      <c r="AL286" s="447"/>
      <c r="AM286" s="447"/>
      <c r="AN286" s="447"/>
      <c r="AO286" s="447"/>
      <c r="AP286" s="447"/>
      <c r="AQ286" s="447"/>
      <c r="AR286" s="447"/>
      <c r="AS286" s="447"/>
      <c r="AT286" s="447"/>
      <c r="AU286" s="447"/>
      <c r="AV286" s="447"/>
      <c r="AW286" s="447"/>
      <c r="AX286" s="447"/>
      <c r="AY286" s="447"/>
      <c r="AZ286" s="447"/>
      <c r="BA286" s="447"/>
      <c r="BB286" s="447"/>
      <c r="BC286" s="447"/>
      <c r="BD286" s="447"/>
      <c r="BE286" s="447"/>
      <c r="BF286" s="447"/>
      <c r="BG286" s="447"/>
      <c r="BH286" s="447"/>
      <c r="BI286" s="447"/>
      <c r="BJ286" s="447"/>
      <c r="BK286" s="447"/>
      <c r="BL286" s="447"/>
      <c r="BM286" s="448"/>
      <c r="BN286" s="448"/>
    </row>
    <row r="287" spans="1:66" ht="11.25" customHeight="1">
      <c r="A287" s="450"/>
      <c r="B287" s="447"/>
      <c r="C287" s="447"/>
      <c r="D287" s="447"/>
      <c r="E287" s="447"/>
      <c r="F287" s="447"/>
      <c r="G287" s="447"/>
      <c r="H287" s="447"/>
      <c r="I287" s="447"/>
      <c r="J287" s="447"/>
      <c r="K287" s="447"/>
      <c r="L287" s="447"/>
      <c r="M287" s="447"/>
      <c r="N287" s="447"/>
      <c r="O287" s="447"/>
      <c r="P287" s="447"/>
      <c r="Q287" s="447"/>
      <c r="R287" s="447"/>
      <c r="S287" s="447"/>
      <c r="T287" s="447"/>
      <c r="U287" s="447"/>
      <c r="V287" s="447"/>
      <c r="W287" s="447"/>
      <c r="X287" s="447"/>
      <c r="Y287" s="447"/>
      <c r="Z287" s="447"/>
      <c r="AA287" s="447"/>
      <c r="AB287" s="447"/>
      <c r="AC287" s="447"/>
      <c r="AD287" s="447"/>
      <c r="AE287" s="447"/>
      <c r="AF287" s="448"/>
      <c r="AG287" s="448"/>
      <c r="AH287" s="449"/>
      <c r="AI287" s="447"/>
      <c r="AJ287" s="447"/>
      <c r="AK287" s="447"/>
      <c r="AL287" s="447"/>
      <c r="AM287" s="447"/>
      <c r="AN287" s="447"/>
      <c r="AO287" s="447"/>
      <c r="AP287" s="447"/>
      <c r="AQ287" s="447"/>
      <c r="AR287" s="447"/>
      <c r="AS287" s="447"/>
      <c r="AT287" s="447"/>
      <c r="AU287" s="447"/>
      <c r="AV287" s="447"/>
      <c r="AW287" s="447"/>
      <c r="AX287" s="447"/>
      <c r="AY287" s="447"/>
      <c r="AZ287" s="447"/>
      <c r="BA287" s="447"/>
      <c r="BB287" s="447"/>
      <c r="BC287" s="447"/>
      <c r="BD287" s="447"/>
      <c r="BE287" s="447"/>
      <c r="BF287" s="447"/>
      <c r="BG287" s="447"/>
      <c r="BH287" s="447"/>
      <c r="BI287" s="447"/>
      <c r="BJ287" s="447"/>
      <c r="BK287" s="447"/>
      <c r="BL287" s="447"/>
      <c r="BM287" s="448"/>
      <c r="BN287" s="448"/>
    </row>
    <row r="288" spans="1:66" ht="11.25" customHeight="1">
      <c r="A288" s="450"/>
      <c r="B288" s="447"/>
      <c r="C288" s="447"/>
      <c r="D288" s="447"/>
      <c r="E288" s="447"/>
      <c r="F288" s="447"/>
      <c r="G288" s="447"/>
      <c r="H288" s="447"/>
      <c r="I288" s="447"/>
      <c r="J288" s="447"/>
      <c r="K288" s="447"/>
      <c r="L288" s="447"/>
      <c r="M288" s="447"/>
      <c r="N288" s="447"/>
      <c r="O288" s="447"/>
      <c r="P288" s="447"/>
      <c r="Q288" s="447"/>
      <c r="R288" s="447"/>
      <c r="S288" s="447"/>
      <c r="T288" s="447"/>
      <c r="U288" s="447"/>
      <c r="V288" s="447"/>
      <c r="W288" s="447"/>
      <c r="X288" s="447"/>
      <c r="Y288" s="447"/>
      <c r="Z288" s="447"/>
      <c r="AA288" s="447"/>
      <c r="AB288" s="447"/>
      <c r="AC288" s="447"/>
      <c r="AD288" s="447"/>
      <c r="AE288" s="447"/>
      <c r="AF288" s="448"/>
      <c r="AG288" s="448"/>
      <c r="AH288" s="449"/>
      <c r="AI288" s="447"/>
      <c r="AJ288" s="447"/>
      <c r="AK288" s="447"/>
      <c r="AL288" s="447"/>
      <c r="AM288" s="447"/>
      <c r="AN288" s="447"/>
      <c r="AO288" s="447"/>
      <c r="AP288" s="447"/>
      <c r="AQ288" s="447"/>
      <c r="AR288" s="447"/>
      <c r="AS288" s="447"/>
      <c r="AT288" s="447"/>
      <c r="AU288" s="447"/>
      <c r="AV288" s="447"/>
      <c r="AW288" s="447"/>
      <c r="AX288" s="447"/>
      <c r="AY288" s="447"/>
      <c r="AZ288" s="447"/>
      <c r="BA288" s="447"/>
      <c r="BB288" s="447"/>
      <c r="BC288" s="447"/>
      <c r="BD288" s="447"/>
      <c r="BE288" s="447"/>
      <c r="BF288" s="447"/>
      <c r="BG288" s="447"/>
      <c r="BH288" s="447"/>
      <c r="BI288" s="447"/>
      <c r="BJ288" s="447"/>
      <c r="BK288" s="447"/>
      <c r="BL288" s="447"/>
      <c r="BM288" s="448"/>
      <c r="BN288" s="448"/>
    </row>
    <row r="289" spans="1:66" ht="11.25" customHeight="1">
      <c r="A289" s="450"/>
      <c r="B289" s="447"/>
      <c r="C289" s="447"/>
      <c r="D289" s="447"/>
      <c r="E289" s="447"/>
      <c r="F289" s="447"/>
      <c r="G289" s="447"/>
      <c r="H289" s="447"/>
      <c r="I289" s="447"/>
      <c r="J289" s="447"/>
      <c r="K289" s="447"/>
      <c r="L289" s="447"/>
      <c r="M289" s="447"/>
      <c r="N289" s="447"/>
      <c r="O289" s="447"/>
      <c r="P289" s="447"/>
      <c r="Q289" s="447"/>
      <c r="R289" s="447"/>
      <c r="S289" s="447"/>
      <c r="T289" s="447"/>
      <c r="U289" s="447"/>
      <c r="V289" s="447"/>
      <c r="W289" s="447"/>
      <c r="X289" s="447"/>
      <c r="Y289" s="447"/>
      <c r="Z289" s="447"/>
      <c r="AA289" s="447"/>
      <c r="AB289" s="447"/>
      <c r="AC289" s="447"/>
      <c r="AD289" s="447"/>
      <c r="AE289" s="447"/>
      <c r="AF289" s="448"/>
      <c r="AG289" s="448"/>
      <c r="AH289" s="449"/>
      <c r="AI289" s="447"/>
      <c r="AJ289" s="447"/>
      <c r="AK289" s="447"/>
      <c r="AL289" s="447"/>
      <c r="AM289" s="447"/>
      <c r="AN289" s="447"/>
      <c r="AO289" s="447"/>
      <c r="AP289" s="447"/>
      <c r="AQ289" s="447"/>
      <c r="AR289" s="447"/>
      <c r="AS289" s="447"/>
      <c r="AT289" s="447"/>
      <c r="AU289" s="447"/>
      <c r="AV289" s="447"/>
      <c r="AW289" s="447"/>
      <c r="AX289" s="447"/>
      <c r="AY289" s="447"/>
      <c r="AZ289" s="447"/>
      <c r="BA289" s="447"/>
      <c r="BB289" s="447"/>
      <c r="BC289" s="447"/>
      <c r="BD289" s="447"/>
      <c r="BE289" s="447"/>
      <c r="BF289" s="447"/>
      <c r="BG289" s="447"/>
      <c r="BH289" s="447"/>
      <c r="BI289" s="447"/>
      <c r="BJ289" s="447"/>
      <c r="BK289" s="447"/>
      <c r="BL289" s="447"/>
      <c r="BM289" s="448"/>
      <c r="BN289" s="448"/>
    </row>
    <row r="290" spans="1:66" ht="11.25" customHeight="1">
      <c r="A290" s="450"/>
      <c r="B290" s="447"/>
      <c r="C290" s="447"/>
      <c r="D290" s="447"/>
      <c r="E290" s="447"/>
      <c r="F290" s="447"/>
      <c r="G290" s="447"/>
      <c r="H290" s="447"/>
      <c r="I290" s="447"/>
      <c r="J290" s="447"/>
      <c r="K290" s="447"/>
      <c r="L290" s="447"/>
      <c r="M290" s="447"/>
      <c r="N290" s="447"/>
      <c r="O290" s="447"/>
      <c r="P290" s="447"/>
      <c r="Q290" s="447"/>
      <c r="R290" s="447"/>
      <c r="S290" s="447"/>
      <c r="T290" s="447"/>
      <c r="U290" s="447"/>
      <c r="V290" s="447"/>
      <c r="W290" s="447"/>
      <c r="X290" s="447"/>
      <c r="Y290" s="447"/>
      <c r="Z290" s="447"/>
      <c r="AA290" s="447"/>
      <c r="AB290" s="447"/>
      <c r="AC290" s="447"/>
      <c r="AD290" s="447"/>
      <c r="AE290" s="447"/>
      <c r="AF290" s="448"/>
      <c r="AG290" s="448"/>
      <c r="AH290" s="449"/>
      <c r="AI290" s="447"/>
      <c r="AJ290" s="447"/>
      <c r="AK290" s="447"/>
      <c r="AL290" s="447"/>
      <c r="AM290" s="447"/>
      <c r="AN290" s="447"/>
      <c r="AO290" s="447"/>
      <c r="AP290" s="447"/>
      <c r="AQ290" s="447"/>
      <c r="AR290" s="447"/>
      <c r="AS290" s="447"/>
      <c r="AT290" s="447"/>
      <c r="AU290" s="447"/>
      <c r="AV290" s="447"/>
      <c r="AW290" s="447"/>
      <c r="AX290" s="447"/>
      <c r="AY290" s="447"/>
      <c r="AZ290" s="447"/>
      <c r="BA290" s="447"/>
      <c r="BB290" s="447"/>
      <c r="BC290" s="447"/>
      <c r="BD290" s="447"/>
      <c r="BE290" s="447"/>
      <c r="BF290" s="447"/>
      <c r="BG290" s="447"/>
      <c r="BH290" s="447"/>
      <c r="BI290" s="447"/>
      <c r="BJ290" s="447"/>
      <c r="BK290" s="447"/>
      <c r="BL290" s="447"/>
      <c r="BM290" s="448"/>
      <c r="BN290" s="448"/>
    </row>
    <row r="291" spans="1:66" ht="11.25" customHeight="1">
      <c r="A291" s="450"/>
      <c r="B291" s="447"/>
      <c r="C291" s="447"/>
      <c r="D291" s="447"/>
      <c r="E291" s="447"/>
      <c r="F291" s="447"/>
      <c r="G291" s="447"/>
      <c r="H291" s="447"/>
      <c r="I291" s="447"/>
      <c r="J291" s="447"/>
      <c r="K291" s="447"/>
      <c r="L291" s="447"/>
      <c r="M291" s="447"/>
      <c r="N291" s="447"/>
      <c r="O291" s="447"/>
      <c r="P291" s="447"/>
      <c r="Q291" s="447"/>
      <c r="R291" s="447"/>
      <c r="S291" s="447"/>
      <c r="T291" s="447"/>
      <c r="U291" s="447"/>
      <c r="V291" s="447"/>
      <c r="W291" s="447"/>
      <c r="X291" s="447"/>
      <c r="Y291" s="447"/>
      <c r="Z291" s="447"/>
      <c r="AA291" s="447"/>
      <c r="AB291" s="447"/>
      <c r="AC291" s="447"/>
      <c r="AD291" s="447"/>
      <c r="AE291" s="447"/>
      <c r="AF291" s="448"/>
      <c r="AG291" s="448"/>
      <c r="AH291" s="449"/>
      <c r="AI291" s="447"/>
      <c r="AJ291" s="447"/>
      <c r="AK291" s="447"/>
      <c r="AL291" s="447"/>
      <c r="AM291" s="447"/>
      <c r="AN291" s="447"/>
      <c r="AO291" s="447"/>
      <c r="AP291" s="447"/>
      <c r="AQ291" s="447"/>
      <c r="AR291" s="447"/>
      <c r="AS291" s="447"/>
      <c r="AT291" s="447"/>
      <c r="AU291" s="447"/>
      <c r="AV291" s="447"/>
      <c r="AW291" s="447"/>
      <c r="AX291" s="447"/>
      <c r="AY291" s="447"/>
      <c r="AZ291" s="447"/>
      <c r="BA291" s="447"/>
      <c r="BB291" s="447"/>
      <c r="BC291" s="447"/>
      <c r="BD291" s="447"/>
      <c r="BE291" s="447"/>
      <c r="BF291" s="447"/>
      <c r="BG291" s="447"/>
      <c r="BH291" s="447"/>
      <c r="BI291" s="447"/>
      <c r="BJ291" s="447"/>
      <c r="BK291" s="447"/>
      <c r="BL291" s="447"/>
      <c r="BM291" s="448"/>
      <c r="BN291" s="448"/>
    </row>
    <row r="292" spans="1:66" ht="11.25" customHeight="1">
      <c r="A292" s="450"/>
      <c r="B292" s="447"/>
      <c r="C292" s="447"/>
      <c r="D292" s="447"/>
      <c r="E292" s="447"/>
      <c r="F292" s="447"/>
      <c r="G292" s="447"/>
      <c r="H292" s="447"/>
      <c r="I292" s="447"/>
      <c r="J292" s="447"/>
      <c r="K292" s="447"/>
      <c r="L292" s="447"/>
      <c r="M292" s="447"/>
      <c r="N292" s="447"/>
      <c r="O292" s="447"/>
      <c r="P292" s="447"/>
      <c r="Q292" s="447"/>
      <c r="R292" s="447"/>
      <c r="S292" s="447"/>
      <c r="T292" s="447"/>
      <c r="U292" s="447"/>
      <c r="V292" s="447"/>
      <c r="W292" s="447"/>
      <c r="X292" s="447"/>
      <c r="Y292" s="447"/>
      <c r="Z292" s="447"/>
      <c r="AA292" s="447"/>
      <c r="AB292" s="447"/>
      <c r="AC292" s="447"/>
      <c r="AD292" s="447"/>
      <c r="AE292" s="447"/>
      <c r="AF292" s="448"/>
      <c r="AG292" s="448"/>
      <c r="AH292" s="449"/>
      <c r="AI292" s="447"/>
      <c r="AJ292" s="447"/>
      <c r="AK292" s="447"/>
      <c r="AL292" s="447"/>
      <c r="AM292" s="447"/>
      <c r="AN292" s="447"/>
      <c r="AO292" s="447"/>
      <c r="AP292" s="447"/>
      <c r="AQ292" s="447"/>
      <c r="AR292" s="447"/>
      <c r="AS292" s="447"/>
      <c r="AT292" s="447"/>
      <c r="AU292" s="447"/>
      <c r="AV292" s="447"/>
      <c r="AW292" s="447"/>
      <c r="AX292" s="447"/>
      <c r="AY292" s="447"/>
      <c r="AZ292" s="447"/>
      <c r="BA292" s="447"/>
      <c r="BB292" s="447"/>
      <c r="BC292" s="447"/>
      <c r="BD292" s="447"/>
      <c r="BE292" s="447"/>
      <c r="BF292" s="447"/>
      <c r="BG292" s="447"/>
      <c r="BH292" s="447"/>
      <c r="BI292" s="447"/>
      <c r="BJ292" s="447"/>
      <c r="BK292" s="447"/>
      <c r="BL292" s="447"/>
      <c r="BM292" s="448"/>
      <c r="BN292" s="448"/>
    </row>
    <row r="293" spans="1:66" ht="11.25" customHeight="1">
      <c r="A293" s="450"/>
      <c r="B293" s="447"/>
      <c r="C293" s="447"/>
      <c r="D293" s="447"/>
      <c r="E293" s="447"/>
      <c r="F293" s="447"/>
      <c r="G293" s="447"/>
      <c r="H293" s="447"/>
      <c r="I293" s="447"/>
      <c r="J293" s="447"/>
      <c r="K293" s="447"/>
      <c r="L293" s="447"/>
      <c r="M293" s="447"/>
      <c r="N293" s="447"/>
      <c r="O293" s="447"/>
      <c r="P293" s="447"/>
      <c r="Q293" s="447"/>
      <c r="R293" s="447"/>
      <c r="S293" s="447"/>
      <c r="T293" s="447"/>
      <c r="U293" s="447"/>
      <c r="V293" s="447"/>
      <c r="W293" s="447"/>
      <c r="X293" s="447"/>
      <c r="Y293" s="447"/>
      <c r="Z293" s="447"/>
      <c r="AA293" s="447"/>
      <c r="AB293" s="447"/>
      <c r="AC293" s="447"/>
      <c r="AD293" s="447"/>
      <c r="AE293" s="447"/>
      <c r="AF293" s="448"/>
      <c r="AG293" s="448"/>
      <c r="AH293" s="449"/>
      <c r="AI293" s="447"/>
      <c r="AJ293" s="447"/>
      <c r="AK293" s="447"/>
      <c r="AL293" s="447"/>
      <c r="AM293" s="447"/>
      <c r="AN293" s="447"/>
      <c r="AO293" s="447"/>
      <c r="AP293" s="447"/>
      <c r="AQ293" s="447"/>
      <c r="AR293" s="447"/>
      <c r="AS293" s="447"/>
      <c r="AT293" s="447"/>
      <c r="AU293" s="447"/>
      <c r="AV293" s="447"/>
      <c r="AW293" s="447"/>
      <c r="AX293" s="447"/>
      <c r="AY293" s="447"/>
      <c r="AZ293" s="447"/>
      <c r="BA293" s="447"/>
      <c r="BB293" s="447"/>
      <c r="BC293" s="447"/>
      <c r="BD293" s="447"/>
      <c r="BE293" s="447"/>
      <c r="BF293" s="447"/>
      <c r="BG293" s="447"/>
      <c r="BH293" s="447"/>
      <c r="BI293" s="447"/>
      <c r="BJ293" s="447"/>
      <c r="BK293" s="447"/>
      <c r="BL293" s="447"/>
      <c r="BM293" s="448"/>
      <c r="BN293" s="448"/>
    </row>
    <row r="294" spans="1:66" ht="11.25" customHeight="1">
      <c r="A294" s="450"/>
      <c r="B294" s="447"/>
      <c r="C294" s="447"/>
      <c r="D294" s="447"/>
      <c r="E294" s="447"/>
      <c r="F294" s="447"/>
      <c r="G294" s="447"/>
      <c r="H294" s="447"/>
      <c r="I294" s="447"/>
      <c r="J294" s="447"/>
      <c r="K294" s="447"/>
      <c r="L294" s="447"/>
      <c r="M294" s="447"/>
      <c r="N294" s="447"/>
      <c r="O294" s="447"/>
      <c r="P294" s="447"/>
      <c r="Q294" s="447"/>
      <c r="R294" s="447"/>
      <c r="S294" s="447"/>
      <c r="T294" s="447"/>
      <c r="U294" s="447"/>
      <c r="V294" s="447"/>
      <c r="W294" s="447"/>
      <c r="X294" s="447"/>
      <c r="Y294" s="447"/>
      <c r="Z294" s="447"/>
      <c r="AA294" s="447"/>
      <c r="AB294" s="447"/>
      <c r="AC294" s="447"/>
      <c r="AD294" s="447"/>
      <c r="AE294" s="447"/>
      <c r="AF294" s="448"/>
      <c r="AG294" s="448"/>
      <c r="AH294" s="449"/>
      <c r="AI294" s="447"/>
      <c r="AJ294" s="447"/>
      <c r="AK294" s="447"/>
      <c r="AL294" s="447"/>
      <c r="AM294" s="447"/>
      <c r="AN294" s="447"/>
      <c r="AO294" s="447"/>
      <c r="AP294" s="447"/>
      <c r="AQ294" s="447"/>
      <c r="AR294" s="447"/>
      <c r="AS294" s="447"/>
      <c r="AT294" s="447"/>
      <c r="AU294" s="447"/>
      <c r="AV294" s="447"/>
      <c r="AW294" s="447"/>
      <c r="AX294" s="447"/>
      <c r="AY294" s="447"/>
      <c r="AZ294" s="447"/>
      <c r="BA294" s="447"/>
      <c r="BB294" s="447"/>
      <c r="BC294" s="447"/>
      <c r="BD294" s="447"/>
      <c r="BE294" s="447"/>
      <c r="BF294" s="447"/>
      <c r="BG294" s="447"/>
      <c r="BH294" s="447"/>
      <c r="BI294" s="447"/>
      <c r="BJ294" s="447"/>
      <c r="BK294" s="447"/>
      <c r="BL294" s="447"/>
      <c r="BM294" s="448"/>
      <c r="BN294" s="448"/>
    </row>
    <row r="295" spans="1:66" ht="11.25" customHeight="1">
      <c r="A295" s="450"/>
      <c r="B295" s="447"/>
      <c r="C295" s="447"/>
      <c r="D295" s="447"/>
      <c r="E295" s="447"/>
      <c r="F295" s="447"/>
      <c r="G295" s="447"/>
      <c r="H295" s="447"/>
      <c r="I295" s="447"/>
      <c r="J295" s="447"/>
      <c r="K295" s="447"/>
      <c r="L295" s="447"/>
      <c r="M295" s="447"/>
      <c r="N295" s="447"/>
      <c r="O295" s="447"/>
      <c r="P295" s="447"/>
      <c r="Q295" s="447"/>
      <c r="R295" s="447"/>
      <c r="S295" s="447"/>
      <c r="T295" s="447"/>
      <c r="U295" s="447"/>
      <c r="V295" s="447"/>
      <c r="W295" s="447"/>
      <c r="X295" s="447"/>
      <c r="Y295" s="447"/>
      <c r="Z295" s="447"/>
      <c r="AA295" s="447"/>
      <c r="AB295" s="447"/>
      <c r="AC295" s="447"/>
      <c r="AD295" s="447"/>
      <c r="AE295" s="447"/>
      <c r="AF295" s="448"/>
      <c r="AG295" s="448"/>
      <c r="AH295" s="449"/>
      <c r="AI295" s="447"/>
      <c r="AJ295" s="447"/>
      <c r="AK295" s="447"/>
      <c r="AL295" s="447"/>
      <c r="AM295" s="447"/>
      <c r="AN295" s="447"/>
      <c r="AO295" s="447"/>
      <c r="AP295" s="447"/>
      <c r="AQ295" s="447"/>
      <c r="AR295" s="447"/>
      <c r="AS295" s="447"/>
      <c r="AT295" s="447"/>
      <c r="AU295" s="447"/>
      <c r="AV295" s="447"/>
      <c r="AW295" s="447"/>
      <c r="AX295" s="447"/>
      <c r="AY295" s="447"/>
      <c r="AZ295" s="447"/>
      <c r="BA295" s="447"/>
      <c r="BB295" s="447"/>
      <c r="BC295" s="447"/>
      <c r="BD295" s="447"/>
      <c r="BE295" s="447"/>
      <c r="BF295" s="447"/>
      <c r="BG295" s="447"/>
      <c r="BH295" s="447"/>
      <c r="BI295" s="447"/>
      <c r="BJ295" s="447"/>
      <c r="BK295" s="447"/>
      <c r="BL295" s="447"/>
      <c r="BM295" s="448"/>
      <c r="BN295" s="448"/>
    </row>
    <row r="296" spans="1:66" ht="11.25" customHeight="1">
      <c r="A296" s="450"/>
      <c r="B296" s="447"/>
      <c r="C296" s="447"/>
      <c r="D296" s="447"/>
      <c r="E296" s="447"/>
      <c r="F296" s="447"/>
      <c r="G296" s="447"/>
      <c r="H296" s="447"/>
      <c r="I296" s="447"/>
      <c r="J296" s="447"/>
      <c r="K296" s="447"/>
      <c r="L296" s="447"/>
      <c r="M296" s="447"/>
      <c r="N296" s="447"/>
      <c r="O296" s="447"/>
      <c r="P296" s="447"/>
      <c r="Q296" s="447"/>
      <c r="R296" s="447"/>
      <c r="S296" s="447"/>
      <c r="T296" s="447"/>
      <c r="U296" s="447"/>
      <c r="V296" s="447"/>
      <c r="W296" s="447"/>
      <c r="X296" s="447"/>
      <c r="Y296" s="447"/>
      <c r="Z296" s="447"/>
      <c r="AA296" s="447"/>
      <c r="AB296" s="447"/>
      <c r="AC296" s="447"/>
      <c r="AD296" s="447"/>
      <c r="AE296" s="447"/>
      <c r="AF296" s="448"/>
      <c r="AG296" s="448"/>
      <c r="AH296" s="449"/>
      <c r="AI296" s="447"/>
      <c r="AJ296" s="447"/>
      <c r="AK296" s="447"/>
      <c r="AL296" s="447"/>
      <c r="AM296" s="447"/>
      <c r="AN296" s="447"/>
      <c r="AO296" s="447"/>
      <c r="AP296" s="447"/>
      <c r="AQ296" s="447"/>
      <c r="AR296" s="447"/>
      <c r="AS296" s="447"/>
      <c r="AT296" s="447"/>
      <c r="AU296" s="447"/>
      <c r="AV296" s="447"/>
      <c r="AW296" s="447"/>
      <c r="AX296" s="447"/>
      <c r="AY296" s="447"/>
      <c r="AZ296" s="447"/>
      <c r="BA296" s="447"/>
      <c r="BB296" s="447"/>
      <c r="BC296" s="447"/>
      <c r="BD296" s="447"/>
      <c r="BE296" s="447"/>
      <c r="BF296" s="447"/>
      <c r="BG296" s="447"/>
      <c r="BH296" s="447"/>
      <c r="BI296" s="447"/>
      <c r="BJ296" s="447"/>
      <c r="BK296" s="447"/>
      <c r="BL296" s="447"/>
      <c r="BM296" s="448"/>
      <c r="BN296" s="448"/>
    </row>
    <row r="297" spans="1:66" ht="11.25" customHeight="1">
      <c r="A297" s="450"/>
      <c r="B297" s="447"/>
      <c r="C297" s="447"/>
      <c r="D297" s="447"/>
      <c r="E297" s="447"/>
      <c r="F297" s="447"/>
      <c r="G297" s="447"/>
      <c r="H297" s="447"/>
      <c r="I297" s="447"/>
      <c r="J297" s="447"/>
      <c r="K297" s="447"/>
      <c r="L297" s="447"/>
      <c r="M297" s="447"/>
      <c r="N297" s="447"/>
      <c r="O297" s="447"/>
      <c r="P297" s="447"/>
      <c r="Q297" s="447"/>
      <c r="R297" s="447"/>
      <c r="S297" s="447"/>
      <c r="T297" s="447"/>
      <c r="U297" s="447"/>
      <c r="V297" s="447"/>
      <c r="W297" s="447"/>
      <c r="X297" s="447"/>
      <c r="Y297" s="447"/>
      <c r="Z297" s="447"/>
      <c r="AA297" s="447"/>
      <c r="AB297" s="447"/>
      <c r="AC297" s="447"/>
      <c r="AD297" s="447"/>
      <c r="AE297" s="447"/>
      <c r="AF297" s="448"/>
      <c r="AG297" s="448"/>
      <c r="AH297" s="449"/>
      <c r="AI297" s="447"/>
      <c r="AJ297" s="447"/>
      <c r="AK297" s="447"/>
      <c r="AL297" s="447"/>
      <c r="AM297" s="447"/>
      <c r="AN297" s="447"/>
      <c r="AO297" s="447"/>
      <c r="AP297" s="447"/>
      <c r="AQ297" s="447"/>
      <c r="AR297" s="447"/>
      <c r="AS297" s="447"/>
      <c r="AT297" s="447"/>
      <c r="AU297" s="447"/>
      <c r="AV297" s="447"/>
      <c r="AW297" s="447"/>
      <c r="AX297" s="447"/>
      <c r="AY297" s="447"/>
      <c r="AZ297" s="447"/>
      <c r="BA297" s="447"/>
      <c r="BB297" s="447"/>
      <c r="BC297" s="447"/>
      <c r="BD297" s="447"/>
      <c r="BE297" s="447"/>
      <c r="BF297" s="447"/>
      <c r="BG297" s="447"/>
      <c r="BH297" s="447"/>
      <c r="BI297" s="447"/>
      <c r="BJ297" s="447"/>
      <c r="BK297" s="447"/>
      <c r="BL297" s="447"/>
      <c r="BM297" s="448"/>
      <c r="BN297" s="448"/>
    </row>
    <row r="298" spans="1:66" ht="11.25" customHeight="1">
      <c r="A298" s="450"/>
      <c r="B298" s="447"/>
      <c r="C298" s="447"/>
      <c r="D298" s="447"/>
      <c r="E298" s="447"/>
      <c r="F298" s="447"/>
      <c r="G298" s="447"/>
      <c r="H298" s="447"/>
      <c r="I298" s="447"/>
      <c r="J298" s="447"/>
      <c r="K298" s="447"/>
      <c r="L298" s="447"/>
      <c r="M298" s="447"/>
      <c r="N298" s="447"/>
      <c r="O298" s="447"/>
      <c r="P298" s="447"/>
      <c r="Q298" s="447"/>
      <c r="R298" s="447"/>
      <c r="S298" s="447"/>
      <c r="T298" s="447"/>
      <c r="U298" s="447"/>
      <c r="V298" s="447"/>
      <c r="W298" s="447"/>
      <c r="X298" s="447"/>
      <c r="Y298" s="447"/>
      <c r="Z298" s="447"/>
      <c r="AA298" s="447"/>
      <c r="AB298" s="447"/>
      <c r="AC298" s="447"/>
      <c r="AD298" s="447"/>
      <c r="AE298" s="447"/>
      <c r="AF298" s="448"/>
      <c r="AG298" s="448"/>
      <c r="AH298" s="449"/>
      <c r="AI298" s="447"/>
      <c r="AJ298" s="447"/>
      <c r="AK298" s="447"/>
      <c r="AL298" s="447"/>
      <c r="AM298" s="447"/>
      <c r="AN298" s="447"/>
      <c r="AO298" s="447"/>
      <c r="AP298" s="447"/>
      <c r="AQ298" s="447"/>
      <c r="AR298" s="447"/>
      <c r="AS298" s="447"/>
      <c r="AT298" s="447"/>
      <c r="AU298" s="447"/>
      <c r="AV298" s="447"/>
      <c r="AW298" s="447"/>
      <c r="AX298" s="447"/>
      <c r="AY298" s="447"/>
      <c r="AZ298" s="447"/>
      <c r="BA298" s="447"/>
      <c r="BB298" s="447"/>
      <c r="BC298" s="447"/>
      <c r="BD298" s="447"/>
      <c r="BE298" s="447"/>
      <c r="BF298" s="447"/>
      <c r="BG298" s="447"/>
      <c r="BH298" s="447"/>
      <c r="BI298" s="447"/>
      <c r="BJ298" s="447"/>
      <c r="BK298" s="447"/>
      <c r="BL298" s="447"/>
      <c r="BM298" s="448"/>
      <c r="BN298" s="448"/>
    </row>
    <row r="299" spans="1:66" ht="11.25" customHeight="1">
      <c r="A299" s="450"/>
      <c r="B299" s="447"/>
      <c r="C299" s="447"/>
      <c r="D299" s="447"/>
      <c r="E299" s="447"/>
      <c r="F299" s="447"/>
      <c r="G299" s="447"/>
      <c r="H299" s="447"/>
      <c r="I299" s="447"/>
      <c r="J299" s="447"/>
      <c r="K299" s="447"/>
      <c r="L299" s="447"/>
      <c r="M299" s="447"/>
      <c r="N299" s="447"/>
      <c r="O299" s="447"/>
      <c r="P299" s="447"/>
      <c r="Q299" s="447"/>
      <c r="R299" s="447"/>
      <c r="S299" s="447"/>
      <c r="T299" s="447"/>
      <c r="U299" s="447"/>
      <c r="V299" s="447"/>
      <c r="W299" s="447"/>
      <c r="X299" s="447"/>
      <c r="Y299" s="447"/>
      <c r="Z299" s="447"/>
      <c r="AA299" s="447"/>
      <c r="AB299" s="447"/>
      <c r="AC299" s="447"/>
      <c r="AD299" s="447"/>
      <c r="AE299" s="447"/>
      <c r="AF299" s="448"/>
      <c r="AG299" s="448"/>
      <c r="AH299" s="449"/>
      <c r="AI299" s="447"/>
      <c r="AJ299" s="447"/>
      <c r="AK299" s="447"/>
      <c r="AL299" s="447"/>
      <c r="AM299" s="447"/>
      <c r="AN299" s="447"/>
      <c r="AO299" s="447"/>
      <c r="AP299" s="447"/>
      <c r="AQ299" s="447"/>
      <c r="AR299" s="447"/>
      <c r="AS299" s="447"/>
      <c r="AT299" s="447"/>
      <c r="AU299" s="447"/>
      <c r="AV299" s="447"/>
      <c r="AW299" s="447"/>
      <c r="AX299" s="447"/>
      <c r="AY299" s="447"/>
      <c r="AZ299" s="447"/>
      <c r="BA299" s="447"/>
      <c r="BB299" s="447"/>
      <c r="BC299" s="447"/>
      <c r="BD299" s="447"/>
      <c r="BE299" s="447"/>
      <c r="BF299" s="447"/>
      <c r="BG299" s="447"/>
      <c r="BH299" s="447"/>
      <c r="BI299" s="447"/>
      <c r="BJ299" s="447"/>
      <c r="BK299" s="447"/>
      <c r="BL299" s="447"/>
      <c r="BM299" s="448"/>
      <c r="BN299" s="448"/>
    </row>
    <row r="300" spans="1:66" ht="11.25" customHeight="1">
      <c r="A300" s="450"/>
      <c r="B300" s="447"/>
      <c r="C300" s="447"/>
      <c r="D300" s="447"/>
      <c r="E300" s="447"/>
      <c r="F300" s="447"/>
      <c r="G300" s="447"/>
      <c r="H300" s="447"/>
      <c r="I300" s="447"/>
      <c r="J300" s="447"/>
      <c r="K300" s="447"/>
      <c r="L300" s="447"/>
      <c r="M300" s="447"/>
      <c r="N300" s="447"/>
      <c r="O300" s="447"/>
      <c r="P300" s="447"/>
      <c r="Q300" s="447"/>
      <c r="R300" s="447"/>
      <c r="S300" s="447"/>
      <c r="T300" s="447"/>
      <c r="U300" s="447"/>
      <c r="V300" s="447"/>
      <c r="W300" s="447"/>
      <c r="X300" s="447"/>
      <c r="Y300" s="447"/>
      <c r="Z300" s="447"/>
      <c r="AA300" s="447"/>
      <c r="AB300" s="447"/>
      <c r="AC300" s="447"/>
      <c r="AD300" s="447"/>
      <c r="AE300" s="447"/>
      <c r="AF300" s="448"/>
      <c r="AG300" s="448"/>
      <c r="AH300" s="449"/>
      <c r="AI300" s="447"/>
      <c r="AJ300" s="447"/>
      <c r="AK300" s="447"/>
      <c r="AL300" s="447"/>
      <c r="AM300" s="447"/>
      <c r="AN300" s="447"/>
      <c r="AO300" s="447"/>
      <c r="AP300" s="447"/>
      <c r="AQ300" s="447"/>
      <c r="AR300" s="447"/>
      <c r="AS300" s="447"/>
      <c r="AT300" s="447"/>
      <c r="AU300" s="447"/>
      <c r="AV300" s="447"/>
      <c r="AW300" s="447"/>
      <c r="AX300" s="447"/>
      <c r="AY300" s="447"/>
      <c r="AZ300" s="447"/>
      <c r="BA300" s="447"/>
      <c r="BB300" s="447"/>
      <c r="BC300" s="447"/>
      <c r="BD300" s="447"/>
      <c r="BE300" s="447"/>
      <c r="BF300" s="447"/>
      <c r="BG300" s="447"/>
      <c r="BH300" s="447"/>
      <c r="BI300" s="447"/>
      <c r="BJ300" s="447"/>
      <c r="BK300" s="447"/>
      <c r="BL300" s="447"/>
      <c r="BM300" s="448"/>
      <c r="BN300" s="448"/>
    </row>
    <row r="301" spans="1:66" ht="11.25" customHeight="1">
      <c r="A301" s="450"/>
      <c r="B301" s="447"/>
      <c r="C301" s="447"/>
      <c r="D301" s="447"/>
      <c r="E301" s="447"/>
      <c r="F301" s="447"/>
      <c r="G301" s="447"/>
      <c r="H301" s="447"/>
      <c r="I301" s="447"/>
      <c r="J301" s="447"/>
      <c r="K301" s="447"/>
      <c r="L301" s="447"/>
      <c r="M301" s="447"/>
      <c r="N301" s="447"/>
      <c r="O301" s="447"/>
      <c r="P301" s="447"/>
      <c r="Q301" s="447"/>
      <c r="R301" s="447"/>
      <c r="S301" s="447"/>
      <c r="T301" s="447"/>
      <c r="U301" s="447"/>
      <c r="V301" s="447"/>
      <c r="W301" s="447"/>
      <c r="X301" s="447"/>
      <c r="Y301" s="447"/>
      <c r="Z301" s="447"/>
      <c r="AA301" s="447"/>
      <c r="AB301" s="447"/>
      <c r="AC301" s="447"/>
      <c r="AD301" s="447"/>
      <c r="AE301" s="447"/>
      <c r="AF301" s="448"/>
      <c r="AG301" s="448"/>
      <c r="AH301" s="449"/>
      <c r="AI301" s="447"/>
      <c r="AJ301" s="447"/>
      <c r="AK301" s="447"/>
      <c r="AL301" s="447"/>
      <c r="AM301" s="447"/>
      <c r="AN301" s="447"/>
      <c r="AO301" s="447"/>
      <c r="AP301" s="447"/>
      <c r="AQ301" s="447"/>
      <c r="AR301" s="447"/>
      <c r="AS301" s="447"/>
      <c r="AT301" s="447"/>
      <c r="AU301" s="447"/>
      <c r="AV301" s="447"/>
      <c r="AW301" s="447"/>
      <c r="AX301" s="447"/>
      <c r="AY301" s="447"/>
      <c r="AZ301" s="447"/>
      <c r="BA301" s="447"/>
      <c r="BB301" s="447"/>
      <c r="BC301" s="447"/>
      <c r="BD301" s="447"/>
      <c r="BE301" s="447"/>
      <c r="BF301" s="447"/>
      <c r="BG301" s="447"/>
      <c r="BH301" s="447"/>
      <c r="BI301" s="447"/>
      <c r="BJ301" s="447"/>
      <c r="BK301" s="447"/>
      <c r="BL301" s="447"/>
      <c r="BM301" s="448"/>
      <c r="BN301" s="448"/>
    </row>
    <row r="302" spans="1:66" ht="11.25" customHeight="1">
      <c r="A302" s="450"/>
      <c r="B302" s="447"/>
      <c r="C302" s="447"/>
      <c r="D302" s="447"/>
      <c r="E302" s="447"/>
      <c r="F302" s="447"/>
      <c r="G302" s="447"/>
      <c r="H302" s="447"/>
      <c r="I302" s="447"/>
      <c r="J302" s="447"/>
      <c r="K302" s="447"/>
      <c r="L302" s="447"/>
      <c r="M302" s="447"/>
      <c r="N302" s="447"/>
      <c r="O302" s="447"/>
      <c r="P302" s="447"/>
      <c r="Q302" s="447"/>
      <c r="R302" s="447"/>
      <c r="S302" s="447"/>
      <c r="T302" s="447"/>
      <c r="U302" s="447"/>
      <c r="V302" s="447"/>
      <c r="W302" s="447"/>
      <c r="X302" s="447"/>
      <c r="Y302" s="447"/>
      <c r="Z302" s="447"/>
      <c r="AA302" s="447"/>
      <c r="AB302" s="447"/>
      <c r="AC302" s="447"/>
      <c r="AD302" s="447"/>
      <c r="AE302" s="447"/>
      <c r="AF302" s="448"/>
      <c r="AG302" s="448"/>
      <c r="AH302" s="449"/>
      <c r="AI302" s="447"/>
      <c r="AJ302" s="447"/>
      <c r="AK302" s="447"/>
      <c r="AL302" s="447"/>
      <c r="AM302" s="447"/>
      <c r="AN302" s="447"/>
      <c r="AO302" s="447"/>
      <c r="AP302" s="447"/>
      <c r="AQ302" s="447"/>
      <c r="AR302" s="447"/>
      <c r="AS302" s="447"/>
      <c r="AT302" s="447"/>
      <c r="AU302" s="447"/>
      <c r="AV302" s="447"/>
      <c r="AW302" s="447"/>
      <c r="AX302" s="447"/>
      <c r="AY302" s="447"/>
      <c r="AZ302" s="447"/>
      <c r="BA302" s="447"/>
      <c r="BB302" s="447"/>
      <c r="BC302" s="447"/>
      <c r="BD302" s="447"/>
      <c r="BE302" s="447"/>
      <c r="BF302" s="447"/>
      <c r="BG302" s="447"/>
      <c r="BH302" s="447"/>
      <c r="BI302" s="447"/>
      <c r="BJ302" s="447"/>
      <c r="BK302" s="447"/>
      <c r="BL302" s="447"/>
      <c r="BM302" s="448"/>
      <c r="BN302" s="448"/>
    </row>
    <row r="303" spans="1:66" ht="11.25" customHeight="1">
      <c r="A303" s="450"/>
      <c r="B303" s="447"/>
      <c r="C303" s="447"/>
      <c r="D303" s="447"/>
      <c r="E303" s="447"/>
      <c r="F303" s="447"/>
      <c r="G303" s="447"/>
      <c r="H303" s="447"/>
      <c r="I303" s="447"/>
      <c r="J303" s="447"/>
      <c r="K303" s="447"/>
      <c r="L303" s="447"/>
      <c r="M303" s="447"/>
      <c r="N303" s="447"/>
      <c r="O303" s="447"/>
      <c r="P303" s="447"/>
      <c r="Q303" s="447"/>
      <c r="R303" s="447"/>
      <c r="S303" s="447"/>
      <c r="T303" s="447"/>
      <c r="U303" s="447"/>
      <c r="V303" s="447"/>
      <c r="W303" s="447"/>
      <c r="X303" s="447"/>
      <c r="Y303" s="447"/>
      <c r="Z303" s="447"/>
      <c r="AA303" s="447"/>
      <c r="AB303" s="447"/>
      <c r="AC303" s="447"/>
      <c r="AD303" s="447"/>
      <c r="AE303" s="447"/>
      <c r="AF303" s="448"/>
      <c r="AG303" s="448"/>
      <c r="AH303" s="449"/>
      <c r="AI303" s="447"/>
      <c r="AJ303" s="447"/>
      <c r="AK303" s="447"/>
      <c r="AL303" s="447"/>
      <c r="AM303" s="447"/>
      <c r="AN303" s="447"/>
      <c r="AO303" s="447"/>
      <c r="AP303" s="447"/>
      <c r="AQ303" s="447"/>
      <c r="AR303" s="447"/>
      <c r="AS303" s="447"/>
      <c r="AT303" s="447"/>
      <c r="AU303" s="447"/>
      <c r="AV303" s="447"/>
      <c r="AW303" s="447"/>
      <c r="AX303" s="447"/>
      <c r="AY303" s="447"/>
      <c r="AZ303" s="447"/>
      <c r="BA303" s="447"/>
      <c r="BB303" s="447"/>
      <c r="BC303" s="447"/>
      <c r="BD303" s="447"/>
      <c r="BE303" s="447"/>
      <c r="BF303" s="447"/>
      <c r="BG303" s="447"/>
      <c r="BH303" s="447"/>
      <c r="BI303" s="447"/>
      <c r="BJ303" s="447"/>
      <c r="BK303" s="447"/>
      <c r="BL303" s="447"/>
      <c r="BM303" s="448"/>
      <c r="BN303" s="448"/>
    </row>
    <row r="304" spans="1:66" ht="11.25" customHeight="1">
      <c r="A304" s="450"/>
      <c r="B304" s="447"/>
      <c r="C304" s="447"/>
      <c r="D304" s="447"/>
      <c r="E304" s="447"/>
      <c r="F304" s="447"/>
      <c r="G304" s="447"/>
      <c r="H304" s="447"/>
      <c r="I304" s="447"/>
      <c r="J304" s="447"/>
      <c r="K304" s="447"/>
      <c r="L304" s="447"/>
      <c r="M304" s="447"/>
      <c r="N304" s="447"/>
      <c r="O304" s="447"/>
      <c r="P304" s="447"/>
      <c r="Q304" s="447"/>
      <c r="R304" s="447"/>
      <c r="S304" s="447"/>
      <c r="T304" s="447"/>
      <c r="U304" s="447"/>
      <c r="V304" s="447"/>
      <c r="W304" s="447"/>
      <c r="X304" s="447"/>
      <c r="Y304" s="447"/>
      <c r="Z304" s="447"/>
      <c r="AA304" s="447"/>
      <c r="AB304" s="447"/>
      <c r="AC304" s="447"/>
      <c r="AD304" s="447"/>
      <c r="AE304" s="447"/>
      <c r="AF304" s="448"/>
      <c r="AG304" s="448"/>
      <c r="AH304" s="449"/>
      <c r="AI304" s="447"/>
      <c r="AJ304" s="447"/>
      <c r="AK304" s="447"/>
      <c r="AL304" s="447"/>
      <c r="AM304" s="447"/>
      <c r="AN304" s="447"/>
      <c r="AO304" s="447"/>
      <c r="AP304" s="447"/>
      <c r="AQ304" s="447"/>
      <c r="AR304" s="447"/>
      <c r="AS304" s="447"/>
      <c r="AT304" s="447"/>
      <c r="AU304" s="447"/>
      <c r="AV304" s="447"/>
      <c r="AW304" s="447"/>
      <c r="AX304" s="447"/>
      <c r="AY304" s="447"/>
      <c r="AZ304" s="447"/>
      <c r="BA304" s="447"/>
      <c r="BB304" s="447"/>
      <c r="BC304" s="447"/>
      <c r="BD304" s="447"/>
      <c r="BE304" s="447"/>
      <c r="BF304" s="447"/>
      <c r="BG304" s="447"/>
      <c r="BH304" s="447"/>
      <c r="BI304" s="447"/>
      <c r="BJ304" s="447"/>
      <c r="BK304" s="447"/>
      <c r="BL304" s="447"/>
      <c r="BM304" s="448"/>
      <c r="BN304" s="448"/>
    </row>
    <row r="305" spans="1:66" ht="11.25" customHeight="1">
      <c r="A305" s="450"/>
      <c r="B305" s="447"/>
      <c r="C305" s="447"/>
      <c r="D305" s="447"/>
      <c r="E305" s="447"/>
      <c r="F305" s="447"/>
      <c r="G305" s="447"/>
      <c r="H305" s="447"/>
      <c r="I305" s="447"/>
      <c r="J305" s="447"/>
      <c r="K305" s="447"/>
      <c r="L305" s="447"/>
      <c r="M305" s="447"/>
      <c r="N305" s="447"/>
      <c r="O305" s="447"/>
      <c r="P305" s="447"/>
      <c r="Q305" s="447"/>
      <c r="R305" s="447"/>
      <c r="S305" s="447"/>
      <c r="T305" s="447"/>
      <c r="U305" s="447"/>
      <c r="V305" s="447"/>
      <c r="W305" s="447"/>
      <c r="X305" s="447"/>
      <c r="Y305" s="447"/>
      <c r="Z305" s="447"/>
      <c r="AA305" s="447"/>
      <c r="AB305" s="447"/>
      <c r="AC305" s="447"/>
      <c r="AD305" s="447"/>
      <c r="AE305" s="447"/>
      <c r="AF305" s="448"/>
      <c r="AG305" s="448"/>
      <c r="AH305" s="449"/>
      <c r="AI305" s="447"/>
      <c r="AJ305" s="447"/>
      <c r="AK305" s="447"/>
      <c r="AL305" s="447"/>
      <c r="AM305" s="447"/>
      <c r="AN305" s="447"/>
      <c r="AO305" s="447"/>
      <c r="AP305" s="447"/>
      <c r="AQ305" s="447"/>
      <c r="AR305" s="447"/>
      <c r="AS305" s="447"/>
      <c r="AT305" s="447"/>
      <c r="AU305" s="447"/>
      <c r="AV305" s="447"/>
      <c r="AW305" s="447"/>
      <c r="AX305" s="447"/>
      <c r="AY305" s="447"/>
      <c r="AZ305" s="447"/>
      <c r="BA305" s="447"/>
      <c r="BB305" s="447"/>
      <c r="BC305" s="447"/>
      <c r="BD305" s="447"/>
      <c r="BE305" s="447"/>
      <c r="BF305" s="447"/>
      <c r="BG305" s="447"/>
      <c r="BH305" s="447"/>
      <c r="BI305" s="447"/>
      <c r="BJ305" s="447"/>
      <c r="BK305" s="447"/>
      <c r="BL305" s="447"/>
      <c r="BM305" s="448"/>
      <c r="BN305" s="448"/>
    </row>
    <row r="306" spans="1:66" ht="11.25" customHeight="1">
      <c r="A306" s="450"/>
      <c r="B306" s="447"/>
      <c r="C306" s="447"/>
      <c r="D306" s="447"/>
      <c r="E306" s="447"/>
      <c r="F306" s="447"/>
      <c r="G306" s="447"/>
      <c r="H306" s="447"/>
      <c r="I306" s="447"/>
      <c r="J306" s="447"/>
      <c r="K306" s="447"/>
      <c r="L306" s="447"/>
      <c r="M306" s="447"/>
      <c r="N306" s="447"/>
      <c r="O306" s="447"/>
      <c r="P306" s="447"/>
      <c r="Q306" s="447"/>
      <c r="R306" s="447"/>
      <c r="S306" s="447"/>
      <c r="T306" s="447"/>
      <c r="U306" s="447"/>
      <c r="V306" s="447"/>
      <c r="W306" s="447"/>
      <c r="X306" s="447"/>
      <c r="Y306" s="447"/>
      <c r="Z306" s="447"/>
      <c r="AA306" s="447"/>
      <c r="AB306" s="447"/>
      <c r="AC306" s="447"/>
      <c r="AD306" s="447"/>
      <c r="AE306" s="447"/>
      <c r="AF306" s="448"/>
      <c r="AG306" s="448"/>
      <c r="AH306" s="449"/>
      <c r="AI306" s="447"/>
      <c r="AJ306" s="447"/>
      <c r="AK306" s="447"/>
      <c r="AL306" s="447"/>
      <c r="AM306" s="447"/>
      <c r="AN306" s="447"/>
      <c r="AO306" s="447"/>
      <c r="AP306" s="447"/>
      <c r="AQ306" s="447"/>
      <c r="AR306" s="447"/>
      <c r="AS306" s="447"/>
      <c r="AT306" s="447"/>
      <c r="AU306" s="447"/>
      <c r="AV306" s="447"/>
      <c r="AW306" s="447"/>
      <c r="AX306" s="447"/>
      <c r="AY306" s="447"/>
      <c r="AZ306" s="447"/>
      <c r="BA306" s="447"/>
      <c r="BB306" s="447"/>
      <c r="BC306" s="447"/>
      <c r="BD306" s="447"/>
      <c r="BE306" s="447"/>
      <c r="BF306" s="447"/>
      <c r="BG306" s="447"/>
      <c r="BH306" s="447"/>
      <c r="BI306" s="447"/>
      <c r="BJ306" s="447"/>
      <c r="BK306" s="447"/>
      <c r="BL306" s="447"/>
      <c r="BM306" s="448"/>
      <c r="BN306" s="448"/>
    </row>
    <row r="307" spans="1:66" ht="11.25" customHeight="1">
      <c r="A307" s="450"/>
      <c r="B307" s="447"/>
      <c r="C307" s="447"/>
      <c r="D307" s="447"/>
      <c r="E307" s="447"/>
      <c r="F307" s="447"/>
      <c r="G307" s="447"/>
      <c r="H307" s="447"/>
      <c r="I307" s="447"/>
      <c r="J307" s="447"/>
      <c r="K307" s="447"/>
      <c r="L307" s="447"/>
      <c r="M307" s="447"/>
      <c r="N307" s="447"/>
      <c r="O307" s="447"/>
      <c r="P307" s="447"/>
      <c r="Q307" s="447"/>
      <c r="R307" s="447"/>
      <c r="S307" s="447"/>
      <c r="T307" s="447"/>
      <c r="U307" s="447"/>
      <c r="V307" s="447"/>
      <c r="W307" s="447"/>
      <c r="X307" s="447"/>
      <c r="Y307" s="447"/>
      <c r="Z307" s="447"/>
      <c r="AA307" s="447"/>
      <c r="AB307" s="447"/>
      <c r="AC307" s="447"/>
      <c r="AD307" s="447"/>
      <c r="AE307" s="447"/>
      <c r="AF307" s="448"/>
      <c r="AG307" s="448"/>
      <c r="AH307" s="449"/>
      <c r="AI307" s="447"/>
      <c r="AJ307" s="447"/>
      <c r="AK307" s="447"/>
      <c r="AL307" s="447"/>
      <c r="AM307" s="447"/>
      <c r="AN307" s="447"/>
      <c r="AO307" s="447"/>
      <c r="AP307" s="447"/>
      <c r="AQ307" s="447"/>
      <c r="AR307" s="447"/>
      <c r="AS307" s="447"/>
      <c r="AT307" s="447"/>
      <c r="AU307" s="447"/>
      <c r="AV307" s="447"/>
      <c r="AW307" s="447"/>
      <c r="AX307" s="447"/>
      <c r="AY307" s="447"/>
      <c r="AZ307" s="447"/>
      <c r="BA307" s="447"/>
      <c r="BB307" s="447"/>
      <c r="BC307" s="447"/>
      <c r="BD307" s="447"/>
      <c r="BE307" s="447"/>
      <c r="BF307" s="447"/>
      <c r="BG307" s="447"/>
      <c r="BH307" s="447"/>
      <c r="BI307" s="447"/>
      <c r="BJ307" s="447"/>
      <c r="BK307" s="447"/>
      <c r="BL307" s="447"/>
      <c r="BM307" s="448"/>
      <c r="BN307" s="448"/>
    </row>
    <row r="308" spans="1:66" ht="11.25" customHeight="1">
      <c r="A308" s="450"/>
      <c r="B308" s="447"/>
      <c r="C308" s="447"/>
      <c r="D308" s="447"/>
      <c r="E308" s="447"/>
      <c r="F308" s="447"/>
      <c r="G308" s="447"/>
      <c r="H308" s="447"/>
      <c r="I308" s="447"/>
      <c r="J308" s="447"/>
      <c r="K308" s="447"/>
      <c r="L308" s="447"/>
      <c r="M308" s="447"/>
      <c r="N308" s="447"/>
      <c r="O308" s="447"/>
      <c r="P308" s="447"/>
      <c r="Q308" s="447"/>
      <c r="R308" s="447"/>
      <c r="S308" s="447"/>
      <c r="T308" s="447"/>
      <c r="U308" s="447"/>
      <c r="V308" s="447"/>
      <c r="W308" s="447"/>
      <c r="X308" s="447"/>
      <c r="Y308" s="447"/>
      <c r="Z308" s="447"/>
      <c r="AA308" s="447"/>
      <c r="AB308" s="447"/>
      <c r="AC308" s="447"/>
      <c r="AD308" s="447"/>
      <c r="AE308" s="447"/>
      <c r="AF308" s="448"/>
      <c r="AG308" s="448"/>
      <c r="AH308" s="449"/>
      <c r="AI308" s="447"/>
      <c r="AJ308" s="447"/>
      <c r="AK308" s="447"/>
      <c r="AL308" s="447"/>
      <c r="AM308" s="447"/>
      <c r="AN308" s="447"/>
      <c r="AO308" s="447"/>
      <c r="AP308" s="447"/>
      <c r="AQ308" s="447"/>
      <c r="AR308" s="447"/>
      <c r="AS308" s="447"/>
      <c r="AT308" s="447"/>
      <c r="AU308" s="447"/>
      <c r="AV308" s="447"/>
      <c r="AW308" s="447"/>
      <c r="AX308" s="447"/>
      <c r="AY308" s="447"/>
      <c r="AZ308" s="447"/>
      <c r="BA308" s="447"/>
      <c r="BB308" s="447"/>
      <c r="BC308" s="447"/>
      <c r="BD308" s="447"/>
      <c r="BE308" s="447"/>
      <c r="BF308" s="447"/>
      <c r="BG308" s="447"/>
      <c r="BH308" s="447"/>
      <c r="BI308" s="447"/>
      <c r="BJ308" s="447"/>
      <c r="BK308" s="447"/>
      <c r="BL308" s="447"/>
      <c r="BM308" s="448"/>
      <c r="BN308" s="448"/>
    </row>
    <row r="309" spans="1:66" ht="11.25" customHeight="1">
      <c r="A309" s="450"/>
      <c r="B309" s="447"/>
      <c r="C309" s="447"/>
      <c r="D309" s="447"/>
      <c r="E309" s="447"/>
      <c r="F309" s="447"/>
      <c r="G309" s="447"/>
      <c r="H309" s="447"/>
      <c r="I309" s="447"/>
      <c r="J309" s="447"/>
      <c r="K309" s="447"/>
      <c r="L309" s="447"/>
      <c r="M309" s="447"/>
      <c r="N309" s="447"/>
      <c r="O309" s="447"/>
      <c r="P309" s="447"/>
      <c r="Q309" s="447"/>
      <c r="R309" s="447"/>
      <c r="S309" s="447"/>
      <c r="T309" s="447"/>
      <c r="U309" s="447"/>
      <c r="V309" s="447"/>
      <c r="W309" s="447"/>
      <c r="X309" s="447"/>
      <c r="Y309" s="447"/>
      <c r="Z309" s="447"/>
      <c r="AA309" s="447"/>
      <c r="AB309" s="447"/>
      <c r="AC309" s="447"/>
      <c r="AD309" s="447"/>
      <c r="AE309" s="447"/>
      <c r="AF309" s="448"/>
      <c r="AG309" s="448"/>
      <c r="AH309" s="449"/>
      <c r="AI309" s="447"/>
      <c r="AJ309" s="447"/>
      <c r="AK309" s="447"/>
      <c r="AL309" s="447"/>
      <c r="AM309" s="447"/>
      <c r="AN309" s="447"/>
      <c r="AO309" s="447"/>
      <c r="AP309" s="447"/>
      <c r="AQ309" s="447"/>
      <c r="AR309" s="447"/>
      <c r="AS309" s="447"/>
      <c r="AT309" s="447"/>
      <c r="AU309" s="447"/>
      <c r="AV309" s="447"/>
      <c r="AW309" s="447"/>
      <c r="AX309" s="447"/>
      <c r="AY309" s="447"/>
      <c r="AZ309" s="447"/>
      <c r="BA309" s="447"/>
      <c r="BB309" s="447"/>
      <c r="BC309" s="447"/>
      <c r="BD309" s="447"/>
      <c r="BE309" s="447"/>
      <c r="BF309" s="447"/>
      <c r="BG309" s="447"/>
      <c r="BH309" s="447"/>
      <c r="BI309" s="447"/>
      <c r="BJ309" s="447"/>
      <c r="BK309" s="447"/>
      <c r="BL309" s="447"/>
      <c r="BM309" s="448"/>
      <c r="BN309" s="448"/>
    </row>
    <row r="310" spans="1:66" ht="11.25" customHeight="1">
      <c r="A310" s="450"/>
      <c r="B310" s="447"/>
      <c r="C310" s="447"/>
      <c r="D310" s="447"/>
      <c r="E310" s="447"/>
      <c r="F310" s="447"/>
      <c r="G310" s="447"/>
      <c r="H310" s="447"/>
      <c r="I310" s="447"/>
      <c r="J310" s="447"/>
      <c r="K310" s="447"/>
      <c r="L310" s="447"/>
      <c r="M310" s="447"/>
      <c r="N310" s="447"/>
      <c r="O310" s="447"/>
      <c r="P310" s="447"/>
      <c r="Q310" s="447"/>
      <c r="R310" s="447"/>
      <c r="S310" s="447"/>
      <c r="T310" s="447"/>
      <c r="U310" s="447"/>
      <c r="V310" s="447"/>
      <c r="W310" s="447"/>
      <c r="X310" s="447"/>
      <c r="Y310" s="447"/>
      <c r="Z310" s="447"/>
      <c r="AA310" s="447"/>
      <c r="AB310" s="447"/>
      <c r="AC310" s="447"/>
      <c r="AD310" s="447"/>
      <c r="AE310" s="447"/>
      <c r="AF310" s="448"/>
      <c r="AG310" s="448"/>
      <c r="AH310" s="449"/>
      <c r="AI310" s="447"/>
      <c r="AJ310" s="447"/>
      <c r="AK310" s="447"/>
      <c r="AL310" s="447"/>
      <c r="AM310" s="447"/>
      <c r="AN310" s="447"/>
      <c r="AO310" s="447"/>
      <c r="AP310" s="447"/>
      <c r="AQ310" s="447"/>
      <c r="AR310" s="447"/>
      <c r="AS310" s="447"/>
      <c r="AT310" s="447"/>
      <c r="AU310" s="447"/>
      <c r="AV310" s="447"/>
      <c r="AW310" s="447"/>
      <c r="AX310" s="447"/>
      <c r="AY310" s="447"/>
      <c r="AZ310" s="447"/>
      <c r="BA310" s="447"/>
      <c r="BB310" s="447"/>
      <c r="BC310" s="447"/>
      <c r="BD310" s="447"/>
      <c r="BE310" s="447"/>
      <c r="BF310" s="447"/>
      <c r="BG310" s="447"/>
      <c r="BH310" s="447"/>
      <c r="BI310" s="447"/>
      <c r="BJ310" s="447"/>
      <c r="BK310" s="447"/>
      <c r="BL310" s="447"/>
      <c r="BM310" s="448"/>
      <c r="BN310" s="448"/>
    </row>
    <row r="311" spans="1:66" ht="11.25" customHeight="1">
      <c r="A311" s="450"/>
      <c r="B311" s="447"/>
      <c r="C311" s="447"/>
      <c r="D311" s="447"/>
      <c r="E311" s="447"/>
      <c r="F311" s="447"/>
      <c r="G311" s="447"/>
      <c r="H311" s="447"/>
      <c r="I311" s="447"/>
      <c r="J311" s="447"/>
      <c r="K311" s="447"/>
      <c r="L311" s="447"/>
      <c r="M311" s="447"/>
      <c r="N311" s="447"/>
      <c r="O311" s="447"/>
      <c r="P311" s="447"/>
      <c r="Q311" s="447"/>
      <c r="R311" s="447"/>
      <c r="S311" s="447"/>
      <c r="T311" s="447"/>
      <c r="U311" s="447"/>
      <c r="V311" s="447"/>
      <c r="W311" s="447"/>
      <c r="X311" s="447"/>
      <c r="Y311" s="447"/>
      <c r="Z311" s="447"/>
      <c r="AA311" s="447"/>
      <c r="AB311" s="447"/>
      <c r="AC311" s="447"/>
      <c r="AD311" s="447"/>
      <c r="AE311" s="447"/>
      <c r="AF311" s="448"/>
      <c r="AG311" s="448"/>
      <c r="AH311" s="449"/>
      <c r="AI311" s="447"/>
      <c r="AJ311" s="447"/>
      <c r="AK311" s="447"/>
      <c r="AL311" s="447"/>
      <c r="AM311" s="447"/>
      <c r="AN311" s="447"/>
      <c r="AO311" s="447"/>
      <c r="AP311" s="447"/>
      <c r="AQ311" s="447"/>
      <c r="AR311" s="447"/>
      <c r="AS311" s="447"/>
      <c r="AT311" s="447"/>
      <c r="AU311" s="447"/>
      <c r="AV311" s="447"/>
      <c r="AW311" s="447"/>
      <c r="AX311" s="447"/>
      <c r="AY311" s="447"/>
      <c r="AZ311" s="447"/>
      <c r="BA311" s="447"/>
      <c r="BB311" s="447"/>
      <c r="BC311" s="447"/>
      <c r="BD311" s="447"/>
      <c r="BE311" s="447"/>
      <c r="BF311" s="447"/>
      <c r="BG311" s="447"/>
      <c r="BH311" s="447"/>
      <c r="BI311" s="447"/>
      <c r="BJ311" s="447"/>
      <c r="BK311" s="447"/>
      <c r="BL311" s="447"/>
      <c r="BM311" s="448"/>
      <c r="BN311" s="448"/>
    </row>
    <row r="312" spans="1:66" ht="11.25" customHeight="1">
      <c r="A312" s="450"/>
      <c r="B312" s="447"/>
      <c r="C312" s="447"/>
      <c r="D312" s="447"/>
      <c r="E312" s="447"/>
      <c r="F312" s="447"/>
      <c r="G312" s="447"/>
      <c r="H312" s="447"/>
      <c r="I312" s="447"/>
      <c r="J312" s="447"/>
      <c r="K312" s="447"/>
      <c r="L312" s="447"/>
      <c r="M312" s="447"/>
      <c r="N312" s="447"/>
      <c r="O312" s="447"/>
      <c r="P312" s="447"/>
      <c r="Q312" s="447"/>
      <c r="R312" s="447"/>
      <c r="S312" s="447"/>
      <c r="T312" s="447"/>
      <c r="U312" s="447"/>
      <c r="V312" s="447"/>
      <c r="W312" s="447"/>
      <c r="X312" s="447"/>
      <c r="Y312" s="447"/>
      <c r="Z312" s="447"/>
      <c r="AA312" s="447"/>
      <c r="AB312" s="447"/>
      <c r="AC312" s="447"/>
      <c r="AD312" s="447"/>
      <c r="AE312" s="447"/>
      <c r="AF312" s="448"/>
      <c r="AG312" s="448"/>
      <c r="AH312" s="449"/>
      <c r="AI312" s="447"/>
      <c r="AJ312" s="447"/>
      <c r="AK312" s="447"/>
      <c r="AL312" s="447"/>
      <c r="AM312" s="447"/>
      <c r="AN312" s="447"/>
      <c r="AO312" s="447"/>
      <c r="AP312" s="447"/>
      <c r="AQ312" s="447"/>
      <c r="AR312" s="447"/>
      <c r="AS312" s="447"/>
      <c r="AT312" s="447"/>
      <c r="AU312" s="447"/>
      <c r="AV312" s="447"/>
      <c r="AW312" s="447"/>
      <c r="AX312" s="447"/>
      <c r="AY312" s="447"/>
      <c r="AZ312" s="447"/>
      <c r="BA312" s="447"/>
      <c r="BB312" s="447"/>
      <c r="BC312" s="447"/>
      <c r="BD312" s="447"/>
      <c r="BE312" s="447"/>
      <c r="BF312" s="447"/>
      <c r="BG312" s="447"/>
      <c r="BH312" s="447"/>
      <c r="BI312" s="447"/>
      <c r="BJ312" s="447"/>
      <c r="BK312" s="447"/>
      <c r="BL312" s="447"/>
      <c r="BM312" s="448"/>
      <c r="BN312" s="448"/>
    </row>
    <row r="313" spans="1:66" ht="11.25" customHeight="1">
      <c r="A313" s="450"/>
      <c r="B313" s="447"/>
      <c r="C313" s="447"/>
      <c r="D313" s="447"/>
      <c r="E313" s="447"/>
      <c r="F313" s="447"/>
      <c r="G313" s="447"/>
      <c r="H313" s="447"/>
      <c r="I313" s="447"/>
      <c r="J313" s="447"/>
      <c r="K313" s="447"/>
      <c r="L313" s="447"/>
      <c r="M313" s="447"/>
      <c r="N313" s="447"/>
      <c r="O313" s="447"/>
      <c r="P313" s="447"/>
      <c r="Q313" s="447"/>
      <c r="R313" s="447"/>
      <c r="S313" s="447"/>
      <c r="T313" s="447"/>
      <c r="U313" s="447"/>
      <c r="V313" s="447"/>
      <c r="W313" s="447"/>
      <c r="X313" s="447"/>
      <c r="Y313" s="447"/>
      <c r="Z313" s="447"/>
      <c r="AA313" s="447"/>
      <c r="AB313" s="447"/>
      <c r="AC313" s="447"/>
      <c r="AD313" s="447"/>
      <c r="AE313" s="447"/>
      <c r="AF313" s="448"/>
      <c r="AG313" s="448"/>
      <c r="AH313" s="449"/>
      <c r="AI313" s="447"/>
      <c r="AJ313" s="447"/>
      <c r="AK313" s="447"/>
      <c r="AL313" s="447"/>
      <c r="AM313" s="447"/>
      <c r="AN313" s="447"/>
      <c r="AO313" s="447"/>
      <c r="AP313" s="447"/>
      <c r="AQ313" s="447"/>
      <c r="AR313" s="447"/>
      <c r="AS313" s="447"/>
      <c r="AT313" s="447"/>
      <c r="AU313" s="447"/>
      <c r="AV313" s="447"/>
      <c r="AW313" s="447"/>
      <c r="AX313" s="447"/>
      <c r="AY313" s="447"/>
      <c r="AZ313" s="447"/>
      <c r="BA313" s="447"/>
      <c r="BB313" s="447"/>
      <c r="BC313" s="447"/>
      <c r="BD313" s="447"/>
      <c r="BE313" s="447"/>
      <c r="BF313" s="447"/>
      <c r="BG313" s="447"/>
      <c r="BH313" s="447"/>
      <c r="BI313" s="447"/>
      <c r="BJ313" s="447"/>
      <c r="BK313" s="447"/>
      <c r="BL313" s="447"/>
      <c r="BM313" s="448"/>
      <c r="BN313" s="448"/>
    </row>
    <row r="314" spans="1:66" ht="11.25" customHeight="1">
      <c r="A314" s="450"/>
      <c r="B314" s="447"/>
      <c r="C314" s="447"/>
      <c r="D314" s="447"/>
      <c r="E314" s="447"/>
      <c r="F314" s="447"/>
      <c r="G314" s="447"/>
      <c r="H314" s="447"/>
      <c r="I314" s="447"/>
      <c r="J314" s="447"/>
      <c r="K314" s="447"/>
      <c r="L314" s="447"/>
      <c r="M314" s="447"/>
      <c r="N314" s="447"/>
      <c r="O314" s="447"/>
      <c r="P314" s="447"/>
      <c r="Q314" s="447"/>
      <c r="R314" s="447"/>
      <c r="S314" s="447"/>
      <c r="T314" s="447"/>
      <c r="U314" s="447"/>
      <c r="V314" s="447"/>
      <c r="W314" s="447"/>
      <c r="X314" s="447"/>
      <c r="Y314" s="447"/>
      <c r="Z314" s="447"/>
      <c r="AA314" s="447"/>
      <c r="AB314" s="447"/>
      <c r="AC314" s="447"/>
      <c r="AD314" s="447"/>
      <c r="AE314" s="447"/>
      <c r="AF314" s="448"/>
      <c r="AG314" s="448"/>
      <c r="AH314" s="449"/>
      <c r="AI314" s="447"/>
      <c r="AJ314" s="447"/>
      <c r="AK314" s="447"/>
      <c r="AL314" s="447"/>
      <c r="AM314" s="447"/>
      <c r="AN314" s="447"/>
      <c r="AO314" s="447"/>
      <c r="AP314" s="447"/>
      <c r="AQ314" s="447"/>
      <c r="AR314" s="447"/>
      <c r="AS314" s="447"/>
      <c r="AT314" s="447"/>
      <c r="AU314" s="447"/>
      <c r="AV314" s="447"/>
      <c r="AW314" s="447"/>
      <c r="AX314" s="447"/>
      <c r="AY314" s="447"/>
      <c r="AZ314" s="447"/>
      <c r="BA314" s="447"/>
      <c r="BB314" s="447"/>
      <c r="BC314" s="447"/>
      <c r="BD314" s="447"/>
      <c r="BE314" s="447"/>
      <c r="BF314" s="447"/>
      <c r="BG314" s="447"/>
      <c r="BH314" s="447"/>
      <c r="BI314" s="447"/>
      <c r="BJ314" s="447"/>
      <c r="BK314" s="447"/>
      <c r="BL314" s="447"/>
      <c r="BM314" s="448"/>
      <c r="BN314" s="448"/>
    </row>
    <row r="315" spans="1:66" ht="11.25" customHeight="1">
      <c r="A315" s="450"/>
      <c r="B315" s="447"/>
      <c r="C315" s="447"/>
      <c r="D315" s="447"/>
      <c r="E315" s="447"/>
      <c r="F315" s="447"/>
      <c r="G315" s="447"/>
      <c r="H315" s="447"/>
      <c r="I315" s="447"/>
      <c r="J315" s="447"/>
      <c r="K315" s="447"/>
      <c r="L315" s="447"/>
      <c r="M315" s="447"/>
      <c r="N315" s="447"/>
      <c r="O315" s="447"/>
      <c r="P315" s="447"/>
      <c r="Q315" s="447"/>
      <c r="R315" s="447"/>
      <c r="S315" s="447"/>
      <c r="T315" s="447"/>
      <c r="U315" s="447"/>
      <c r="V315" s="447"/>
      <c r="W315" s="447"/>
      <c r="X315" s="447"/>
      <c r="Y315" s="447"/>
      <c r="Z315" s="447"/>
      <c r="AA315" s="447"/>
      <c r="AB315" s="447"/>
      <c r="AC315" s="447"/>
      <c r="AD315" s="447"/>
      <c r="AE315" s="447"/>
      <c r="AF315" s="448"/>
      <c r="AG315" s="448"/>
      <c r="AH315" s="449"/>
      <c r="AI315" s="447"/>
      <c r="AJ315" s="447"/>
      <c r="AK315" s="447"/>
      <c r="AL315" s="447"/>
      <c r="AM315" s="447"/>
      <c r="AN315" s="447"/>
      <c r="AO315" s="447"/>
      <c r="AP315" s="447"/>
      <c r="AQ315" s="447"/>
      <c r="AR315" s="447"/>
      <c r="AS315" s="447"/>
      <c r="AT315" s="447"/>
      <c r="AU315" s="447"/>
      <c r="AV315" s="447"/>
      <c r="AW315" s="447"/>
      <c r="AX315" s="447"/>
      <c r="AY315" s="447"/>
      <c r="AZ315" s="447"/>
      <c r="BA315" s="447"/>
      <c r="BB315" s="447"/>
      <c r="BC315" s="447"/>
      <c r="BD315" s="447"/>
      <c r="BE315" s="447"/>
      <c r="BF315" s="447"/>
      <c r="BG315" s="447"/>
      <c r="BH315" s="447"/>
      <c r="BI315" s="447"/>
      <c r="BJ315" s="447"/>
      <c r="BK315" s="447"/>
      <c r="BL315" s="447"/>
      <c r="BM315" s="448"/>
      <c r="BN315" s="448"/>
    </row>
    <row r="316" spans="1:66" ht="11.25" customHeight="1">
      <c r="A316" s="450"/>
      <c r="B316" s="447"/>
      <c r="C316" s="447"/>
      <c r="D316" s="447"/>
      <c r="E316" s="447"/>
      <c r="F316" s="447"/>
      <c r="G316" s="447"/>
      <c r="H316" s="447"/>
      <c r="I316" s="447"/>
      <c r="J316" s="447"/>
      <c r="K316" s="447"/>
      <c r="L316" s="447"/>
      <c r="M316" s="447"/>
      <c r="N316" s="447"/>
      <c r="O316" s="447"/>
      <c r="P316" s="447"/>
      <c r="Q316" s="447"/>
      <c r="R316" s="447"/>
      <c r="S316" s="447"/>
      <c r="T316" s="447"/>
      <c r="U316" s="447"/>
      <c r="V316" s="447"/>
      <c r="W316" s="447"/>
      <c r="X316" s="447"/>
      <c r="Y316" s="447"/>
      <c r="Z316" s="447"/>
      <c r="AA316" s="447"/>
      <c r="AB316" s="447"/>
      <c r="AC316" s="447"/>
      <c r="AD316" s="447"/>
      <c r="AE316" s="447"/>
      <c r="AF316" s="448"/>
      <c r="AG316" s="448"/>
      <c r="AH316" s="449"/>
      <c r="AI316" s="447"/>
      <c r="AJ316" s="447"/>
      <c r="AK316" s="447"/>
      <c r="AL316" s="447"/>
      <c r="AM316" s="447"/>
      <c r="AN316" s="447"/>
      <c r="AO316" s="447"/>
      <c r="AP316" s="447"/>
      <c r="AQ316" s="447"/>
      <c r="AR316" s="447"/>
      <c r="AS316" s="447"/>
      <c r="AT316" s="447"/>
      <c r="AU316" s="447"/>
      <c r="AV316" s="447"/>
      <c r="AW316" s="447"/>
      <c r="AX316" s="447"/>
      <c r="AY316" s="447"/>
      <c r="AZ316" s="447"/>
      <c r="BA316" s="447"/>
      <c r="BB316" s="447"/>
      <c r="BC316" s="447"/>
      <c r="BD316" s="447"/>
      <c r="BE316" s="447"/>
      <c r="BF316" s="447"/>
      <c r="BG316" s="447"/>
      <c r="BH316" s="447"/>
      <c r="BI316" s="447"/>
      <c r="BJ316" s="447"/>
      <c r="BK316" s="447"/>
      <c r="BL316" s="447"/>
      <c r="BM316" s="448"/>
      <c r="BN316" s="448"/>
    </row>
    <row r="317" spans="1:66" ht="11.25" customHeight="1">
      <c r="A317" s="450"/>
      <c r="B317" s="447"/>
      <c r="C317" s="447"/>
      <c r="D317" s="447"/>
      <c r="E317" s="447"/>
      <c r="F317" s="447"/>
      <c r="G317" s="447"/>
      <c r="H317" s="447"/>
      <c r="I317" s="447"/>
      <c r="J317" s="447"/>
      <c r="K317" s="447"/>
      <c r="L317" s="447"/>
      <c r="M317" s="447"/>
      <c r="N317" s="447"/>
      <c r="O317" s="447"/>
      <c r="P317" s="447"/>
      <c r="Q317" s="447"/>
      <c r="R317" s="447"/>
      <c r="S317" s="447"/>
      <c r="T317" s="447"/>
      <c r="U317" s="447"/>
      <c r="V317" s="447"/>
      <c r="W317" s="447"/>
      <c r="X317" s="447"/>
      <c r="Y317" s="447"/>
      <c r="Z317" s="447"/>
      <c r="AA317" s="447"/>
      <c r="AB317" s="447"/>
      <c r="AC317" s="447"/>
      <c r="AD317" s="447"/>
      <c r="AE317" s="447"/>
      <c r="AF317" s="448"/>
      <c r="AG317" s="448"/>
      <c r="AH317" s="449"/>
      <c r="AI317" s="447"/>
      <c r="AJ317" s="447"/>
      <c r="AK317" s="447"/>
      <c r="AL317" s="447"/>
      <c r="AM317" s="447"/>
      <c r="AN317" s="447"/>
      <c r="AO317" s="447"/>
      <c r="AP317" s="447"/>
      <c r="AQ317" s="447"/>
      <c r="AR317" s="447"/>
      <c r="AS317" s="447"/>
      <c r="AT317" s="447"/>
      <c r="AU317" s="447"/>
      <c r="AV317" s="447"/>
      <c r="AW317" s="447"/>
      <c r="AX317" s="447"/>
      <c r="AY317" s="447"/>
      <c r="AZ317" s="447"/>
      <c r="BA317" s="447"/>
      <c r="BB317" s="447"/>
      <c r="BC317" s="447"/>
      <c r="BD317" s="447"/>
      <c r="BE317" s="447"/>
      <c r="BF317" s="447"/>
      <c r="BG317" s="447"/>
      <c r="BH317" s="447"/>
      <c r="BI317" s="447"/>
      <c r="BJ317" s="447"/>
      <c r="BK317" s="447"/>
      <c r="BL317" s="447"/>
      <c r="BM317" s="448"/>
      <c r="BN317" s="448"/>
    </row>
    <row r="318" spans="1:66" ht="11.25" customHeight="1">
      <c r="A318" s="450"/>
      <c r="B318" s="447"/>
      <c r="C318" s="447"/>
      <c r="D318" s="447"/>
      <c r="E318" s="447"/>
      <c r="F318" s="447"/>
      <c r="G318" s="447"/>
      <c r="H318" s="447"/>
      <c r="I318" s="447"/>
      <c r="J318" s="447"/>
      <c r="K318" s="447"/>
      <c r="L318" s="447"/>
      <c r="M318" s="447"/>
      <c r="N318" s="447"/>
      <c r="O318" s="447"/>
      <c r="P318" s="447"/>
      <c r="Q318" s="447"/>
      <c r="R318" s="447"/>
      <c r="S318" s="447"/>
      <c r="T318" s="447"/>
      <c r="U318" s="447"/>
      <c r="V318" s="447"/>
      <c r="W318" s="447"/>
      <c r="X318" s="447"/>
      <c r="Y318" s="447"/>
      <c r="Z318" s="447"/>
      <c r="AA318" s="447"/>
      <c r="AB318" s="447"/>
      <c r="AC318" s="447"/>
      <c r="AD318" s="447"/>
      <c r="AE318" s="447"/>
      <c r="AF318" s="448"/>
      <c r="AG318" s="448"/>
      <c r="AH318" s="449"/>
      <c r="AI318" s="447"/>
      <c r="AJ318" s="447"/>
      <c r="AK318" s="447"/>
      <c r="AL318" s="447"/>
      <c r="AM318" s="447"/>
      <c r="AN318" s="447"/>
      <c r="AO318" s="447"/>
      <c r="AP318" s="447"/>
      <c r="AQ318" s="447"/>
      <c r="AR318" s="447"/>
      <c r="AS318" s="447"/>
      <c r="AT318" s="447"/>
      <c r="AU318" s="447"/>
      <c r="AV318" s="447"/>
      <c r="AW318" s="447"/>
      <c r="AX318" s="447"/>
      <c r="AY318" s="447"/>
      <c r="AZ318" s="447"/>
      <c r="BA318" s="447"/>
      <c r="BB318" s="447"/>
      <c r="BC318" s="447"/>
      <c r="BD318" s="447"/>
      <c r="BE318" s="447"/>
      <c r="BF318" s="447"/>
      <c r="BG318" s="447"/>
      <c r="BH318" s="447"/>
      <c r="BI318" s="447"/>
      <c r="BJ318" s="447"/>
      <c r="BK318" s="447"/>
      <c r="BL318" s="447"/>
      <c r="BM318" s="448"/>
      <c r="BN318" s="448"/>
    </row>
    <row r="319" spans="1:66" ht="11.25" customHeight="1">
      <c r="A319" s="450"/>
      <c r="B319" s="447"/>
      <c r="C319" s="447"/>
      <c r="D319" s="447"/>
      <c r="E319" s="447"/>
      <c r="F319" s="447"/>
      <c r="G319" s="447"/>
      <c r="H319" s="447"/>
      <c r="I319" s="447"/>
      <c r="J319" s="447"/>
      <c r="K319" s="447"/>
      <c r="L319" s="447"/>
      <c r="M319" s="447"/>
      <c r="N319" s="447"/>
      <c r="O319" s="447"/>
      <c r="P319" s="447"/>
      <c r="Q319" s="447"/>
      <c r="R319" s="447"/>
      <c r="S319" s="447"/>
      <c r="T319" s="447"/>
      <c r="U319" s="447"/>
      <c r="V319" s="447"/>
      <c r="W319" s="447"/>
      <c r="X319" s="447"/>
      <c r="Y319" s="447"/>
      <c r="Z319" s="447"/>
      <c r="AA319" s="447"/>
      <c r="AB319" s="447"/>
      <c r="AC319" s="447"/>
      <c r="AD319" s="447"/>
      <c r="AE319" s="447"/>
      <c r="AF319" s="448"/>
      <c r="AG319" s="448"/>
      <c r="AH319" s="449"/>
      <c r="AI319" s="447"/>
      <c r="AJ319" s="447"/>
      <c r="AK319" s="447"/>
      <c r="AL319" s="447"/>
      <c r="AM319" s="447"/>
      <c r="AN319" s="447"/>
      <c r="AO319" s="447"/>
      <c r="AP319" s="447"/>
      <c r="AQ319" s="447"/>
      <c r="AR319" s="447"/>
      <c r="AS319" s="447"/>
      <c r="AT319" s="447"/>
      <c r="AU319" s="447"/>
      <c r="AV319" s="447"/>
      <c r="AW319" s="447"/>
      <c r="AX319" s="447"/>
      <c r="AY319" s="447"/>
      <c r="AZ319" s="447"/>
      <c r="BA319" s="447"/>
      <c r="BB319" s="447"/>
      <c r="BC319" s="447"/>
      <c r="BD319" s="447"/>
      <c r="BE319" s="447"/>
      <c r="BF319" s="447"/>
      <c r="BG319" s="447"/>
      <c r="BH319" s="447"/>
      <c r="BI319" s="447"/>
      <c r="BJ319" s="447"/>
      <c r="BK319" s="447"/>
      <c r="BL319" s="447"/>
      <c r="BM319" s="448"/>
      <c r="BN319" s="448"/>
    </row>
    <row r="320" spans="1:66" ht="11.25" customHeight="1">
      <c r="A320" s="450"/>
      <c r="B320" s="447"/>
      <c r="C320" s="447"/>
      <c r="D320" s="447"/>
      <c r="E320" s="447"/>
      <c r="F320" s="447"/>
      <c r="G320" s="447"/>
      <c r="H320" s="447"/>
      <c r="I320" s="447"/>
      <c r="J320" s="447"/>
      <c r="K320" s="447"/>
      <c r="L320" s="447"/>
      <c r="M320" s="447"/>
      <c r="N320" s="447"/>
      <c r="O320" s="447"/>
      <c r="P320" s="447"/>
      <c r="Q320" s="447"/>
      <c r="R320" s="447"/>
      <c r="S320" s="447"/>
      <c r="T320" s="447"/>
      <c r="U320" s="447"/>
      <c r="V320" s="447"/>
      <c r="W320" s="447"/>
      <c r="X320" s="447"/>
      <c r="Y320" s="447"/>
      <c r="Z320" s="447"/>
      <c r="AA320" s="447"/>
      <c r="AB320" s="447"/>
      <c r="AC320" s="447"/>
      <c r="AD320" s="447"/>
      <c r="AE320" s="447"/>
      <c r="AF320" s="448"/>
      <c r="AG320" s="448"/>
      <c r="AH320" s="449"/>
      <c r="AI320" s="447"/>
      <c r="AJ320" s="447"/>
      <c r="AK320" s="447"/>
      <c r="AL320" s="447"/>
      <c r="AM320" s="447"/>
      <c r="AN320" s="447"/>
      <c r="AO320" s="447"/>
      <c r="AP320" s="447"/>
      <c r="AQ320" s="447"/>
      <c r="AR320" s="447"/>
      <c r="AS320" s="447"/>
      <c r="AT320" s="447"/>
      <c r="AU320" s="447"/>
      <c r="AV320" s="447"/>
      <c r="AW320" s="447"/>
      <c r="AX320" s="447"/>
      <c r="AY320" s="447"/>
      <c r="AZ320" s="447"/>
      <c r="BA320" s="447"/>
      <c r="BB320" s="447"/>
      <c r="BC320" s="447"/>
      <c r="BD320" s="447"/>
      <c r="BE320" s="447"/>
      <c r="BF320" s="447"/>
      <c r="BG320" s="447"/>
      <c r="BH320" s="447"/>
      <c r="BI320" s="447"/>
      <c r="BJ320" s="447"/>
      <c r="BK320" s="447"/>
      <c r="BL320" s="447"/>
      <c r="BM320" s="448"/>
      <c r="BN320" s="448"/>
    </row>
    <row r="321" spans="1:66" ht="11.25" customHeight="1">
      <c r="A321" s="450"/>
      <c r="B321" s="447"/>
      <c r="C321" s="447"/>
      <c r="D321" s="447"/>
      <c r="E321" s="447"/>
      <c r="F321" s="447"/>
      <c r="G321" s="447"/>
      <c r="H321" s="447"/>
      <c r="I321" s="447"/>
      <c r="J321" s="447"/>
      <c r="K321" s="447"/>
      <c r="L321" s="447"/>
      <c r="M321" s="447"/>
      <c r="N321" s="447"/>
      <c r="O321" s="447"/>
      <c r="P321" s="447"/>
      <c r="Q321" s="447"/>
      <c r="R321" s="447"/>
      <c r="S321" s="447"/>
      <c r="T321" s="447"/>
      <c r="U321" s="447"/>
      <c r="V321" s="447"/>
      <c r="W321" s="447"/>
      <c r="X321" s="447"/>
      <c r="Y321" s="447"/>
      <c r="Z321" s="447"/>
      <c r="AA321" s="447"/>
      <c r="AB321" s="447"/>
      <c r="AC321" s="447"/>
      <c r="AD321" s="447"/>
      <c r="AE321" s="447"/>
      <c r="AF321" s="448"/>
      <c r="AG321" s="448"/>
      <c r="AH321" s="449"/>
      <c r="AI321" s="447"/>
      <c r="AJ321" s="447"/>
      <c r="AK321" s="447"/>
      <c r="AL321" s="447"/>
      <c r="AM321" s="447"/>
      <c r="AN321" s="447"/>
      <c r="AO321" s="447"/>
      <c r="AP321" s="447"/>
      <c r="AQ321" s="447"/>
      <c r="AR321" s="447"/>
      <c r="AS321" s="447"/>
      <c r="AT321" s="447"/>
      <c r="AU321" s="447"/>
      <c r="AV321" s="447"/>
      <c r="AW321" s="447"/>
      <c r="AX321" s="447"/>
      <c r="AY321" s="447"/>
      <c r="AZ321" s="447"/>
      <c r="BA321" s="447"/>
      <c r="BB321" s="447"/>
      <c r="BC321" s="447"/>
      <c r="BD321" s="447"/>
      <c r="BE321" s="447"/>
      <c r="BF321" s="447"/>
      <c r="BG321" s="447"/>
      <c r="BH321" s="447"/>
      <c r="BI321" s="447"/>
      <c r="BJ321" s="447"/>
      <c r="BK321" s="447"/>
      <c r="BL321" s="447"/>
      <c r="BM321" s="448"/>
      <c r="BN321" s="448"/>
    </row>
    <row r="322" spans="1:66" ht="11.25" customHeight="1">
      <c r="A322" s="450"/>
      <c r="B322" s="447"/>
      <c r="C322" s="447"/>
      <c r="D322" s="447"/>
      <c r="E322" s="447"/>
      <c r="F322" s="447"/>
      <c r="G322" s="447"/>
      <c r="H322" s="447"/>
      <c r="I322" s="447"/>
      <c r="J322" s="447"/>
      <c r="K322" s="447"/>
      <c r="L322" s="447"/>
      <c r="M322" s="447"/>
      <c r="N322" s="447"/>
      <c r="O322" s="447"/>
      <c r="P322" s="447"/>
      <c r="Q322" s="447"/>
      <c r="R322" s="447"/>
      <c r="S322" s="447"/>
      <c r="T322" s="447"/>
      <c r="U322" s="447"/>
      <c r="V322" s="447"/>
      <c r="W322" s="447"/>
      <c r="X322" s="447"/>
      <c r="Y322" s="447"/>
      <c r="Z322" s="447"/>
      <c r="AA322" s="447"/>
      <c r="AB322" s="447"/>
      <c r="AC322" s="447"/>
      <c r="AD322" s="447"/>
      <c r="AE322" s="447"/>
      <c r="AF322" s="448"/>
      <c r="AG322" s="448"/>
      <c r="AH322" s="449"/>
      <c r="AI322" s="447"/>
      <c r="AJ322" s="447"/>
      <c r="AK322" s="447"/>
      <c r="AL322" s="447"/>
      <c r="AM322" s="447"/>
      <c r="AN322" s="447"/>
      <c r="AO322" s="447"/>
      <c r="AP322" s="447"/>
      <c r="AQ322" s="447"/>
      <c r="AR322" s="447"/>
      <c r="AS322" s="447"/>
      <c r="AT322" s="447"/>
      <c r="AU322" s="447"/>
      <c r="AV322" s="447"/>
      <c r="AW322" s="447"/>
      <c r="AX322" s="447"/>
      <c r="AY322" s="447"/>
      <c r="AZ322" s="447"/>
      <c r="BA322" s="447"/>
      <c r="BB322" s="447"/>
      <c r="BC322" s="447"/>
      <c r="BD322" s="447"/>
      <c r="BE322" s="447"/>
      <c r="BF322" s="447"/>
      <c r="BG322" s="447"/>
      <c r="BH322" s="447"/>
      <c r="BI322" s="447"/>
      <c r="BJ322" s="447"/>
      <c r="BK322" s="447"/>
      <c r="BL322" s="447"/>
      <c r="BM322" s="448"/>
      <c r="BN322" s="448"/>
    </row>
    <row r="323" spans="1:66" ht="11.25" customHeight="1">
      <c r="A323" s="450"/>
      <c r="B323" s="447"/>
      <c r="C323" s="447"/>
      <c r="D323" s="447"/>
      <c r="E323" s="447"/>
      <c r="F323" s="447"/>
      <c r="G323" s="447"/>
      <c r="H323" s="447"/>
      <c r="I323" s="447"/>
      <c r="J323" s="447"/>
      <c r="K323" s="447"/>
      <c r="L323" s="447"/>
      <c r="M323" s="447"/>
      <c r="N323" s="447"/>
      <c r="O323" s="447"/>
      <c r="P323" s="447"/>
      <c r="Q323" s="447"/>
      <c r="R323" s="447"/>
      <c r="S323" s="447"/>
      <c r="T323" s="447"/>
      <c r="U323" s="447"/>
      <c r="V323" s="447"/>
      <c r="W323" s="447"/>
      <c r="X323" s="447"/>
      <c r="Y323" s="447"/>
      <c r="Z323" s="447"/>
      <c r="AA323" s="447"/>
      <c r="AB323" s="447"/>
      <c r="AC323" s="447"/>
      <c r="AD323" s="447"/>
      <c r="AE323" s="447"/>
      <c r="AF323" s="448"/>
      <c r="AG323" s="448"/>
      <c r="AH323" s="449"/>
      <c r="AI323" s="447"/>
      <c r="AJ323" s="447"/>
      <c r="AK323" s="447"/>
      <c r="AL323" s="447"/>
      <c r="AM323" s="447"/>
      <c r="AN323" s="447"/>
      <c r="AO323" s="447"/>
      <c r="AP323" s="447"/>
      <c r="AQ323" s="447"/>
      <c r="AR323" s="447"/>
      <c r="AS323" s="447"/>
      <c r="AT323" s="447"/>
      <c r="AU323" s="447"/>
      <c r="AV323" s="447"/>
      <c r="AW323" s="447"/>
      <c r="AX323" s="447"/>
      <c r="AY323" s="447"/>
      <c r="AZ323" s="447"/>
      <c r="BA323" s="447"/>
      <c r="BB323" s="447"/>
      <c r="BC323" s="447"/>
      <c r="BD323" s="447"/>
      <c r="BE323" s="447"/>
      <c r="BF323" s="447"/>
      <c r="BG323" s="447"/>
      <c r="BH323" s="447"/>
      <c r="BI323" s="447"/>
      <c r="BJ323" s="447"/>
      <c r="BK323" s="447"/>
      <c r="BL323" s="447"/>
      <c r="BM323" s="448"/>
      <c r="BN323" s="448"/>
    </row>
    <row r="324" spans="1:66" ht="11.25" customHeight="1">
      <c r="A324" s="450"/>
      <c r="B324" s="447"/>
      <c r="C324" s="447"/>
      <c r="D324" s="447"/>
      <c r="E324" s="447"/>
      <c r="F324" s="447"/>
      <c r="G324" s="447"/>
      <c r="H324" s="447"/>
      <c r="I324" s="447"/>
      <c r="J324" s="447"/>
      <c r="K324" s="447"/>
      <c r="L324" s="447"/>
      <c r="M324" s="447"/>
      <c r="N324" s="447"/>
      <c r="O324" s="447"/>
      <c r="P324" s="447"/>
      <c r="Q324" s="447"/>
      <c r="R324" s="447"/>
      <c r="S324" s="447"/>
      <c r="T324" s="447"/>
      <c r="U324" s="447"/>
      <c r="V324" s="447"/>
      <c r="W324" s="447"/>
      <c r="X324" s="447"/>
      <c r="Y324" s="447"/>
      <c r="Z324" s="447"/>
      <c r="AA324" s="447"/>
      <c r="AB324" s="447"/>
      <c r="AC324" s="447"/>
      <c r="AD324" s="447"/>
      <c r="AE324" s="447"/>
      <c r="AF324" s="448"/>
      <c r="AG324" s="448"/>
      <c r="AH324" s="449"/>
      <c r="AI324" s="447"/>
      <c r="AJ324" s="447"/>
      <c r="AK324" s="447"/>
      <c r="AL324" s="447"/>
      <c r="AM324" s="447"/>
      <c r="AN324" s="447"/>
      <c r="AO324" s="447"/>
      <c r="AP324" s="447"/>
      <c r="AQ324" s="447"/>
      <c r="AR324" s="447"/>
      <c r="AS324" s="447"/>
      <c r="AT324" s="447"/>
      <c r="AU324" s="447"/>
      <c r="AV324" s="447"/>
      <c r="AW324" s="447"/>
      <c r="AX324" s="447"/>
      <c r="AY324" s="447"/>
      <c r="AZ324" s="447"/>
      <c r="BA324" s="447"/>
      <c r="BB324" s="447"/>
      <c r="BC324" s="447"/>
      <c r="BD324" s="447"/>
      <c r="BE324" s="447"/>
      <c r="BF324" s="447"/>
      <c r="BG324" s="447"/>
      <c r="BH324" s="447"/>
      <c r="BI324" s="447"/>
      <c r="BJ324" s="447"/>
      <c r="BK324" s="447"/>
      <c r="BL324" s="447"/>
      <c r="BM324" s="448"/>
      <c r="BN324" s="448"/>
    </row>
    <row r="325" spans="1:66" ht="11.25" customHeight="1">
      <c r="A325" s="450"/>
      <c r="B325" s="447"/>
      <c r="C325" s="447"/>
      <c r="D325" s="447"/>
      <c r="E325" s="447"/>
      <c r="F325" s="447"/>
      <c r="G325" s="447"/>
      <c r="H325" s="447"/>
      <c r="I325" s="447"/>
      <c r="J325" s="447"/>
      <c r="K325" s="447"/>
      <c r="L325" s="447"/>
      <c r="M325" s="447"/>
      <c r="N325" s="447"/>
      <c r="O325" s="447"/>
      <c r="P325" s="447"/>
      <c r="Q325" s="447"/>
      <c r="R325" s="447"/>
      <c r="S325" s="447"/>
      <c r="T325" s="447"/>
      <c r="U325" s="447"/>
      <c r="V325" s="447"/>
      <c r="W325" s="447"/>
      <c r="X325" s="447"/>
      <c r="Y325" s="447"/>
      <c r="Z325" s="447"/>
      <c r="AA325" s="447"/>
      <c r="AB325" s="447"/>
      <c r="AC325" s="447"/>
      <c r="AD325" s="447"/>
      <c r="AE325" s="447"/>
      <c r="AF325" s="448"/>
      <c r="AG325" s="448"/>
      <c r="AH325" s="449"/>
      <c r="AI325" s="447"/>
      <c r="AJ325" s="447"/>
      <c r="AK325" s="447"/>
      <c r="AL325" s="447"/>
      <c r="AM325" s="447"/>
      <c r="AN325" s="447"/>
      <c r="AO325" s="447"/>
      <c r="AP325" s="447"/>
      <c r="AQ325" s="447"/>
      <c r="AR325" s="447"/>
      <c r="AS325" s="447"/>
      <c r="AT325" s="447"/>
      <c r="AU325" s="447"/>
      <c r="AV325" s="447"/>
      <c r="AW325" s="447"/>
      <c r="AX325" s="447"/>
      <c r="AY325" s="447"/>
      <c r="AZ325" s="447"/>
      <c r="BA325" s="447"/>
      <c r="BB325" s="447"/>
      <c r="BC325" s="447"/>
      <c r="BD325" s="447"/>
      <c r="BE325" s="447"/>
      <c r="BF325" s="447"/>
      <c r="BG325" s="447"/>
      <c r="BH325" s="447"/>
      <c r="BI325" s="447"/>
      <c r="BJ325" s="447"/>
      <c r="BK325" s="447"/>
      <c r="BL325" s="447"/>
      <c r="BM325" s="448"/>
      <c r="BN325" s="448"/>
    </row>
    <row r="326" spans="1:66" ht="11.25" customHeight="1">
      <c r="A326" s="450"/>
      <c r="B326" s="447"/>
      <c r="C326" s="447"/>
      <c r="D326" s="447"/>
      <c r="E326" s="447"/>
      <c r="F326" s="447"/>
      <c r="G326" s="447"/>
      <c r="H326" s="447"/>
      <c r="I326" s="447"/>
      <c r="J326" s="447"/>
      <c r="K326" s="447"/>
      <c r="L326" s="447"/>
      <c r="M326" s="447"/>
      <c r="N326" s="447"/>
      <c r="O326" s="447"/>
      <c r="P326" s="447"/>
      <c r="Q326" s="447"/>
      <c r="R326" s="447"/>
      <c r="S326" s="447"/>
      <c r="T326" s="447"/>
      <c r="U326" s="447"/>
      <c r="V326" s="447"/>
      <c r="W326" s="447"/>
      <c r="X326" s="447"/>
      <c r="Y326" s="447"/>
      <c r="Z326" s="447"/>
      <c r="AA326" s="447"/>
      <c r="AB326" s="447"/>
      <c r="AC326" s="447"/>
      <c r="AD326" s="447"/>
      <c r="AE326" s="447"/>
      <c r="AF326" s="448"/>
      <c r="AG326" s="448"/>
      <c r="AH326" s="449"/>
      <c r="AI326" s="447"/>
      <c r="AJ326" s="447"/>
      <c r="AK326" s="447"/>
      <c r="AL326" s="447"/>
      <c r="AM326" s="447"/>
      <c r="AN326" s="447"/>
      <c r="AO326" s="447"/>
      <c r="AP326" s="447"/>
      <c r="AQ326" s="447"/>
      <c r="AR326" s="447"/>
      <c r="AS326" s="447"/>
      <c r="AT326" s="447"/>
      <c r="AU326" s="447"/>
      <c r="AV326" s="447"/>
      <c r="AW326" s="447"/>
      <c r="AX326" s="447"/>
      <c r="AY326" s="447"/>
      <c r="AZ326" s="447"/>
      <c r="BA326" s="447"/>
      <c r="BB326" s="447"/>
      <c r="BC326" s="447"/>
      <c r="BD326" s="447"/>
      <c r="BE326" s="447"/>
      <c r="BF326" s="447"/>
      <c r="BG326" s="447"/>
      <c r="BH326" s="447"/>
      <c r="BI326" s="447"/>
      <c r="BJ326" s="447"/>
      <c r="BK326" s="447"/>
      <c r="BL326" s="447"/>
      <c r="BM326" s="448"/>
      <c r="BN326" s="448"/>
    </row>
    <row r="327" spans="1:66" ht="11.25" customHeight="1">
      <c r="A327" s="450"/>
      <c r="B327" s="447"/>
      <c r="C327" s="447"/>
      <c r="D327" s="447"/>
      <c r="E327" s="447"/>
      <c r="F327" s="447"/>
      <c r="G327" s="447"/>
      <c r="H327" s="447"/>
      <c r="I327" s="447"/>
      <c r="J327" s="447"/>
      <c r="K327" s="447"/>
      <c r="L327" s="447"/>
      <c r="M327" s="447"/>
      <c r="N327" s="447"/>
      <c r="O327" s="447"/>
      <c r="P327" s="447"/>
      <c r="Q327" s="447"/>
      <c r="R327" s="447"/>
      <c r="S327" s="447"/>
      <c r="T327" s="447"/>
      <c r="U327" s="447"/>
      <c r="V327" s="447"/>
      <c r="W327" s="447"/>
      <c r="X327" s="447"/>
      <c r="Y327" s="447"/>
      <c r="Z327" s="447"/>
      <c r="AA327" s="447"/>
      <c r="AB327" s="447"/>
      <c r="AC327" s="447"/>
      <c r="AD327" s="447"/>
      <c r="AE327" s="447"/>
      <c r="AF327" s="448"/>
      <c r="AG327" s="448"/>
      <c r="AH327" s="449"/>
      <c r="AI327" s="447"/>
      <c r="AJ327" s="447"/>
      <c r="AK327" s="447"/>
      <c r="AL327" s="447"/>
      <c r="AM327" s="447"/>
      <c r="AN327" s="447"/>
      <c r="AO327" s="447"/>
      <c r="AP327" s="447"/>
      <c r="AQ327" s="447"/>
      <c r="AR327" s="447"/>
      <c r="AS327" s="447"/>
      <c r="AT327" s="447"/>
      <c r="AU327" s="447"/>
      <c r="AV327" s="447"/>
      <c r="AW327" s="447"/>
      <c r="AX327" s="447"/>
      <c r="AY327" s="447"/>
      <c r="AZ327" s="447"/>
      <c r="BA327" s="447"/>
      <c r="BB327" s="447"/>
      <c r="BC327" s="447"/>
      <c r="BD327" s="447"/>
      <c r="BE327" s="447"/>
      <c r="BF327" s="447"/>
      <c r="BG327" s="447"/>
      <c r="BH327" s="447"/>
      <c r="BI327" s="447"/>
      <c r="BJ327" s="447"/>
      <c r="BK327" s="447"/>
      <c r="BL327" s="447"/>
      <c r="BM327" s="448"/>
      <c r="BN327" s="448"/>
    </row>
    <row r="328" spans="1:66" ht="11.25" customHeight="1">
      <c r="A328" s="450"/>
      <c r="B328" s="447"/>
      <c r="C328" s="447"/>
      <c r="D328" s="447"/>
      <c r="E328" s="447"/>
      <c r="F328" s="447"/>
      <c r="G328" s="447"/>
      <c r="H328" s="447"/>
      <c r="I328" s="447"/>
      <c r="J328" s="447"/>
      <c r="K328" s="447"/>
      <c r="L328" s="447"/>
      <c r="M328" s="447"/>
      <c r="N328" s="447"/>
      <c r="O328" s="447"/>
      <c r="P328" s="447"/>
      <c r="Q328" s="447"/>
      <c r="R328" s="447"/>
      <c r="S328" s="447"/>
      <c r="T328" s="447"/>
      <c r="U328" s="447"/>
      <c r="V328" s="447"/>
      <c r="W328" s="447"/>
      <c r="X328" s="447"/>
      <c r="Y328" s="447"/>
      <c r="Z328" s="447"/>
      <c r="AA328" s="447"/>
      <c r="AB328" s="447"/>
      <c r="AC328" s="447"/>
      <c r="AD328" s="447"/>
      <c r="AE328" s="447"/>
      <c r="AF328" s="448"/>
      <c r="AG328" s="448"/>
      <c r="AH328" s="449"/>
      <c r="AI328" s="447"/>
      <c r="AJ328" s="447"/>
      <c r="AK328" s="447"/>
      <c r="AL328" s="447"/>
      <c r="AM328" s="447"/>
      <c r="AN328" s="447"/>
      <c r="AO328" s="447"/>
      <c r="AP328" s="447"/>
      <c r="AQ328" s="447"/>
      <c r="AR328" s="447"/>
      <c r="AS328" s="447"/>
      <c r="AT328" s="447"/>
      <c r="AU328" s="447"/>
      <c r="AV328" s="447"/>
      <c r="AW328" s="447"/>
      <c r="AX328" s="447"/>
      <c r="AY328" s="447"/>
      <c r="AZ328" s="447"/>
      <c r="BA328" s="447"/>
      <c r="BB328" s="447"/>
      <c r="BC328" s="447"/>
      <c r="BD328" s="447"/>
      <c r="BE328" s="447"/>
      <c r="BF328" s="447"/>
      <c r="BG328" s="447"/>
      <c r="BH328" s="447"/>
      <c r="BI328" s="447"/>
      <c r="BJ328" s="447"/>
      <c r="BK328" s="447"/>
      <c r="BL328" s="447"/>
      <c r="BM328" s="448"/>
      <c r="BN328" s="448"/>
    </row>
    <row r="329" spans="1:66" ht="11.25" customHeight="1">
      <c r="A329" s="450"/>
      <c r="B329" s="447"/>
      <c r="C329" s="447"/>
      <c r="D329" s="447"/>
      <c r="E329" s="447"/>
      <c r="F329" s="447"/>
      <c r="G329" s="447"/>
      <c r="H329" s="447"/>
      <c r="I329" s="447"/>
      <c r="J329" s="447"/>
      <c r="K329" s="447"/>
      <c r="L329" s="447"/>
      <c r="M329" s="447"/>
      <c r="N329" s="447"/>
      <c r="O329" s="447"/>
      <c r="P329" s="447"/>
      <c r="Q329" s="447"/>
      <c r="R329" s="447"/>
      <c r="S329" s="447"/>
      <c r="T329" s="447"/>
      <c r="U329" s="447"/>
      <c r="V329" s="447"/>
      <c r="W329" s="447"/>
      <c r="X329" s="447"/>
      <c r="Y329" s="447"/>
      <c r="Z329" s="447"/>
      <c r="AA329" s="447"/>
      <c r="AB329" s="447"/>
      <c r="AC329" s="447"/>
      <c r="AD329" s="447"/>
      <c r="AE329" s="447"/>
      <c r="AF329" s="448"/>
      <c r="AG329" s="448"/>
      <c r="AH329" s="449"/>
      <c r="AI329" s="447"/>
      <c r="AJ329" s="447"/>
      <c r="AK329" s="447"/>
      <c r="AL329" s="447"/>
      <c r="AM329" s="447"/>
      <c r="AN329" s="447"/>
      <c r="AO329" s="447"/>
      <c r="AP329" s="447"/>
      <c r="AQ329" s="447"/>
      <c r="AR329" s="447"/>
      <c r="AS329" s="447"/>
      <c r="AT329" s="447"/>
      <c r="AU329" s="447"/>
      <c r="AV329" s="447"/>
      <c r="AW329" s="447"/>
      <c r="AX329" s="447"/>
      <c r="AY329" s="447"/>
      <c r="AZ329" s="447"/>
      <c r="BA329" s="447"/>
      <c r="BB329" s="447"/>
      <c r="BC329" s="447"/>
      <c r="BD329" s="447"/>
      <c r="BE329" s="447"/>
      <c r="BF329" s="447"/>
      <c r="BG329" s="447"/>
      <c r="BH329" s="447"/>
      <c r="BI329" s="447"/>
      <c r="BJ329" s="447"/>
      <c r="BK329" s="447"/>
      <c r="BL329" s="447"/>
      <c r="BM329" s="448"/>
      <c r="BN329" s="448"/>
    </row>
    <row r="330" spans="1:66" ht="11.25" customHeight="1">
      <c r="A330" s="450"/>
      <c r="B330" s="447"/>
      <c r="C330" s="447"/>
      <c r="D330" s="447"/>
      <c r="E330" s="447"/>
      <c r="F330" s="447"/>
      <c r="G330" s="447"/>
      <c r="H330" s="447"/>
      <c r="I330" s="447"/>
      <c r="J330" s="447"/>
      <c r="K330" s="447"/>
      <c r="L330" s="447"/>
      <c r="M330" s="447"/>
      <c r="N330" s="447"/>
      <c r="O330" s="447"/>
      <c r="P330" s="447"/>
      <c r="Q330" s="447"/>
      <c r="R330" s="447"/>
      <c r="S330" s="447"/>
      <c r="T330" s="447"/>
      <c r="U330" s="447"/>
      <c r="V330" s="447"/>
      <c r="W330" s="447"/>
      <c r="X330" s="447"/>
      <c r="Y330" s="447"/>
      <c r="Z330" s="447"/>
      <c r="AA330" s="447"/>
      <c r="AB330" s="447"/>
      <c r="AC330" s="447"/>
      <c r="AD330" s="447"/>
      <c r="AE330" s="447"/>
      <c r="AF330" s="448"/>
      <c r="AG330" s="448"/>
      <c r="AH330" s="449"/>
      <c r="AI330" s="447"/>
      <c r="AJ330" s="447"/>
      <c r="AK330" s="447"/>
      <c r="AL330" s="447"/>
      <c r="AM330" s="447"/>
      <c r="AN330" s="447"/>
      <c r="AO330" s="447"/>
      <c r="AP330" s="447"/>
      <c r="AQ330" s="447"/>
      <c r="AR330" s="447"/>
      <c r="AS330" s="447"/>
      <c r="AT330" s="447"/>
      <c r="AU330" s="447"/>
      <c r="AV330" s="447"/>
      <c r="AW330" s="447"/>
      <c r="AX330" s="447"/>
      <c r="AY330" s="447"/>
      <c r="AZ330" s="447"/>
      <c r="BA330" s="447"/>
      <c r="BB330" s="447"/>
      <c r="BC330" s="447"/>
      <c r="BD330" s="447"/>
      <c r="BE330" s="447"/>
      <c r="BF330" s="447"/>
      <c r="BG330" s="447"/>
      <c r="BH330" s="447"/>
      <c r="BI330" s="447"/>
      <c r="BJ330" s="447"/>
      <c r="BK330" s="447"/>
      <c r="BL330" s="447"/>
      <c r="BM330" s="448"/>
      <c r="BN330" s="448"/>
    </row>
    <row r="331" spans="1:66" ht="11.25" customHeight="1">
      <c r="A331" s="450"/>
      <c r="B331" s="447"/>
      <c r="C331" s="447"/>
      <c r="D331" s="447"/>
      <c r="E331" s="447"/>
      <c r="F331" s="447"/>
      <c r="G331" s="447"/>
      <c r="H331" s="447"/>
      <c r="I331" s="447"/>
      <c r="J331" s="447"/>
      <c r="K331" s="447"/>
      <c r="L331" s="447"/>
      <c r="M331" s="447"/>
      <c r="N331" s="447"/>
      <c r="O331" s="447"/>
      <c r="P331" s="447"/>
      <c r="Q331" s="447"/>
      <c r="R331" s="447"/>
      <c r="S331" s="447"/>
      <c r="T331" s="447"/>
      <c r="U331" s="447"/>
      <c r="V331" s="447"/>
      <c r="W331" s="447"/>
      <c r="X331" s="447"/>
      <c r="Y331" s="447"/>
      <c r="Z331" s="447"/>
      <c r="AA331" s="447"/>
      <c r="AB331" s="447"/>
      <c r="AC331" s="447"/>
      <c r="AD331" s="447"/>
      <c r="AE331" s="447"/>
      <c r="AF331" s="448"/>
      <c r="AG331" s="448"/>
      <c r="AH331" s="449"/>
      <c r="AI331" s="447"/>
      <c r="AJ331" s="447"/>
      <c r="AK331" s="447"/>
      <c r="AL331" s="447"/>
      <c r="AM331" s="447"/>
      <c r="AN331" s="447"/>
      <c r="AO331" s="447"/>
      <c r="AP331" s="447"/>
      <c r="AQ331" s="447"/>
      <c r="AR331" s="447"/>
      <c r="AS331" s="447"/>
      <c r="AT331" s="447"/>
      <c r="AU331" s="447"/>
      <c r="AV331" s="447"/>
      <c r="AW331" s="447"/>
      <c r="AX331" s="447"/>
      <c r="AY331" s="447"/>
      <c r="AZ331" s="447"/>
      <c r="BA331" s="447"/>
      <c r="BB331" s="447"/>
      <c r="BC331" s="447"/>
      <c r="BD331" s="447"/>
      <c r="BE331" s="447"/>
      <c r="BF331" s="447"/>
      <c r="BG331" s="447"/>
      <c r="BH331" s="447"/>
      <c r="BI331" s="447"/>
      <c r="BJ331" s="447"/>
      <c r="BK331" s="447"/>
      <c r="BL331" s="447"/>
      <c r="BM331" s="448"/>
      <c r="BN331" s="448"/>
    </row>
    <row r="332" spans="1:66" ht="11.25" customHeight="1">
      <c r="A332" s="450"/>
      <c r="B332" s="447"/>
      <c r="C332" s="447"/>
      <c r="D332" s="447"/>
      <c r="E332" s="447"/>
      <c r="F332" s="447"/>
      <c r="G332" s="447"/>
      <c r="H332" s="447"/>
      <c r="I332" s="447"/>
      <c r="J332" s="447"/>
      <c r="K332" s="447"/>
      <c r="L332" s="447"/>
      <c r="M332" s="447"/>
      <c r="N332" s="447"/>
      <c r="O332" s="447"/>
      <c r="P332" s="447"/>
      <c r="Q332" s="447"/>
      <c r="R332" s="447"/>
      <c r="S332" s="447"/>
      <c r="T332" s="447"/>
      <c r="U332" s="447"/>
      <c r="V332" s="447"/>
      <c r="W332" s="447"/>
      <c r="X332" s="447"/>
      <c r="Y332" s="447"/>
      <c r="Z332" s="447"/>
      <c r="AA332" s="447"/>
      <c r="AB332" s="447"/>
      <c r="AC332" s="447"/>
      <c r="AD332" s="447"/>
      <c r="AE332" s="447"/>
      <c r="AF332" s="448"/>
      <c r="AG332" s="448"/>
      <c r="AH332" s="449"/>
      <c r="AI332" s="447"/>
      <c r="AJ332" s="447"/>
      <c r="AK332" s="447"/>
      <c r="AL332" s="447"/>
      <c r="AM332" s="447"/>
      <c r="AN332" s="447"/>
      <c r="AO332" s="447"/>
      <c r="AP332" s="447"/>
      <c r="AQ332" s="447"/>
      <c r="AR332" s="447"/>
      <c r="AS332" s="447"/>
      <c r="AT332" s="447"/>
      <c r="AU332" s="447"/>
      <c r="AV332" s="447"/>
      <c r="AW332" s="447"/>
      <c r="AX332" s="447"/>
      <c r="AY332" s="447"/>
      <c r="AZ332" s="447"/>
      <c r="BA332" s="447"/>
      <c r="BB332" s="447"/>
      <c r="BC332" s="447"/>
      <c r="BD332" s="447"/>
      <c r="BE332" s="447"/>
      <c r="BF332" s="447"/>
      <c r="BG332" s="447"/>
      <c r="BH332" s="447"/>
      <c r="BI332" s="447"/>
      <c r="BJ332" s="447"/>
      <c r="BK332" s="447"/>
      <c r="BL332" s="447"/>
      <c r="BM332" s="448"/>
      <c r="BN332" s="448"/>
    </row>
    <row r="333" spans="1:66" ht="11.25" customHeight="1">
      <c r="A333" s="450"/>
      <c r="B333" s="447"/>
      <c r="C333" s="447"/>
      <c r="D333" s="447"/>
      <c r="E333" s="447"/>
      <c r="F333" s="447"/>
      <c r="G333" s="447"/>
      <c r="H333" s="447"/>
      <c r="I333" s="447"/>
      <c r="J333" s="447"/>
      <c r="K333" s="447"/>
      <c r="L333" s="447"/>
      <c r="M333" s="447"/>
      <c r="N333" s="447"/>
      <c r="O333" s="447"/>
      <c r="P333" s="447"/>
      <c r="Q333" s="447"/>
      <c r="R333" s="447"/>
      <c r="S333" s="447"/>
      <c r="T333" s="447"/>
      <c r="U333" s="447"/>
      <c r="V333" s="447"/>
      <c r="W333" s="447"/>
      <c r="X333" s="447"/>
      <c r="Y333" s="447"/>
      <c r="Z333" s="447"/>
      <c r="AA333" s="447"/>
      <c r="AB333" s="447"/>
      <c r="AC333" s="447"/>
      <c r="AD333" s="447"/>
      <c r="AE333" s="447"/>
      <c r="AF333" s="448"/>
      <c r="AG333" s="448"/>
      <c r="AH333" s="449"/>
      <c r="AI333" s="447"/>
      <c r="AJ333" s="447"/>
      <c r="AK333" s="447"/>
      <c r="AL333" s="447"/>
      <c r="AM333" s="447"/>
      <c r="AN333" s="447"/>
      <c r="AO333" s="447"/>
      <c r="AP333" s="447"/>
      <c r="AQ333" s="447"/>
      <c r="AR333" s="447"/>
      <c r="AS333" s="447"/>
      <c r="AT333" s="447"/>
      <c r="AU333" s="447"/>
      <c r="AV333" s="447"/>
      <c r="AW333" s="447"/>
      <c r="AX333" s="447"/>
      <c r="AY333" s="447"/>
      <c r="AZ333" s="447"/>
      <c r="BA333" s="447"/>
      <c r="BB333" s="447"/>
      <c r="BC333" s="447"/>
      <c r="BD333" s="447"/>
      <c r="BE333" s="447"/>
      <c r="BF333" s="447"/>
      <c r="BG333" s="447"/>
      <c r="BH333" s="447"/>
      <c r="BI333" s="447"/>
      <c r="BJ333" s="447"/>
      <c r="BK333" s="447"/>
      <c r="BL333" s="447"/>
      <c r="BM333" s="448"/>
      <c r="BN333" s="448"/>
    </row>
    <row r="334" spans="1:66" ht="11.25" customHeight="1">
      <c r="A334" s="450"/>
      <c r="B334" s="447"/>
      <c r="C334" s="447"/>
      <c r="D334" s="447"/>
      <c r="E334" s="447"/>
      <c r="F334" s="447"/>
      <c r="G334" s="447"/>
      <c r="H334" s="447"/>
      <c r="I334" s="447"/>
      <c r="J334" s="447"/>
      <c r="K334" s="447"/>
      <c r="L334" s="447"/>
      <c r="M334" s="447"/>
      <c r="N334" s="447"/>
      <c r="O334" s="447"/>
      <c r="P334" s="447"/>
      <c r="Q334" s="447"/>
      <c r="R334" s="447"/>
      <c r="S334" s="447"/>
      <c r="T334" s="447"/>
      <c r="U334" s="447"/>
      <c r="V334" s="447"/>
      <c r="W334" s="447"/>
      <c r="X334" s="447"/>
      <c r="Y334" s="447"/>
      <c r="Z334" s="447"/>
      <c r="AA334" s="447"/>
      <c r="AB334" s="447"/>
      <c r="AC334" s="447"/>
      <c r="AD334" s="447"/>
      <c r="AE334" s="447"/>
      <c r="AF334" s="448"/>
      <c r="AG334" s="448"/>
      <c r="AH334" s="449"/>
      <c r="AI334" s="447"/>
      <c r="AJ334" s="447"/>
      <c r="AK334" s="447"/>
      <c r="AL334" s="447"/>
      <c r="AM334" s="447"/>
      <c r="AN334" s="447"/>
      <c r="AO334" s="447"/>
      <c r="AP334" s="447"/>
      <c r="AQ334" s="447"/>
      <c r="AR334" s="447"/>
      <c r="AS334" s="447"/>
      <c r="AT334" s="447"/>
      <c r="AU334" s="447"/>
      <c r="AV334" s="447"/>
      <c r="AW334" s="447"/>
      <c r="AX334" s="447"/>
      <c r="AY334" s="447"/>
      <c r="AZ334" s="447"/>
      <c r="BA334" s="447"/>
      <c r="BB334" s="447"/>
      <c r="BC334" s="447"/>
      <c r="BD334" s="447"/>
      <c r="BE334" s="447"/>
      <c r="BF334" s="447"/>
      <c r="BG334" s="447"/>
      <c r="BH334" s="447"/>
      <c r="BI334" s="447"/>
      <c r="BJ334" s="447"/>
      <c r="BK334" s="447"/>
      <c r="BL334" s="447"/>
      <c r="BM334" s="448"/>
      <c r="BN334" s="448"/>
    </row>
    <row r="335" spans="1:66" ht="11.25" customHeight="1">
      <c r="A335" s="450"/>
      <c r="B335" s="447"/>
      <c r="C335" s="447"/>
      <c r="D335" s="447"/>
      <c r="E335" s="447"/>
      <c r="F335" s="447"/>
      <c r="G335" s="447"/>
      <c r="H335" s="447"/>
      <c r="I335" s="447"/>
      <c r="J335" s="447"/>
      <c r="K335" s="447"/>
      <c r="L335" s="447"/>
      <c r="M335" s="447"/>
      <c r="N335" s="447"/>
      <c r="O335" s="447"/>
      <c r="P335" s="447"/>
      <c r="Q335" s="447"/>
      <c r="R335" s="447"/>
      <c r="S335" s="447"/>
      <c r="T335" s="447"/>
      <c r="U335" s="447"/>
      <c r="V335" s="447"/>
      <c r="W335" s="447"/>
      <c r="X335" s="447"/>
      <c r="Y335" s="447"/>
      <c r="Z335" s="447"/>
      <c r="AA335" s="447"/>
      <c r="AB335" s="447"/>
      <c r="AC335" s="447"/>
      <c r="AD335" s="447"/>
      <c r="AE335" s="447"/>
      <c r="AF335" s="448"/>
      <c r="AG335" s="448"/>
      <c r="AH335" s="449"/>
      <c r="AI335" s="447"/>
      <c r="AJ335" s="447"/>
      <c r="AK335" s="447"/>
      <c r="AL335" s="447"/>
      <c r="AM335" s="447"/>
      <c r="AN335" s="447"/>
      <c r="AO335" s="447"/>
      <c r="AP335" s="447"/>
      <c r="AQ335" s="447"/>
      <c r="AR335" s="447"/>
      <c r="AS335" s="447"/>
      <c r="AT335" s="447"/>
      <c r="AU335" s="447"/>
      <c r="AV335" s="447"/>
      <c r="AW335" s="447"/>
      <c r="AX335" s="447"/>
      <c r="AY335" s="447"/>
      <c r="AZ335" s="447"/>
      <c r="BA335" s="447"/>
      <c r="BB335" s="447"/>
      <c r="BC335" s="447"/>
      <c r="BD335" s="447"/>
      <c r="BE335" s="447"/>
      <c r="BF335" s="447"/>
      <c r="BG335" s="447"/>
      <c r="BH335" s="447"/>
      <c r="BI335" s="447"/>
      <c r="BJ335" s="447"/>
      <c r="BK335" s="447"/>
      <c r="BL335" s="447"/>
      <c r="BM335" s="448"/>
      <c r="BN335" s="448"/>
    </row>
    <row r="336" spans="1:66" ht="11.25" customHeight="1">
      <c r="A336" s="450"/>
      <c r="B336" s="447"/>
      <c r="C336" s="447"/>
      <c r="D336" s="447"/>
      <c r="E336" s="447"/>
      <c r="F336" s="447"/>
      <c r="G336" s="447"/>
      <c r="H336" s="447"/>
      <c r="I336" s="447"/>
      <c r="J336" s="447"/>
      <c r="K336" s="447"/>
      <c r="L336" s="447"/>
      <c r="M336" s="447"/>
      <c r="N336" s="447"/>
      <c r="O336" s="447"/>
      <c r="P336" s="447"/>
      <c r="Q336" s="447"/>
      <c r="R336" s="447"/>
      <c r="S336" s="447"/>
      <c r="T336" s="447"/>
      <c r="U336" s="447"/>
      <c r="V336" s="447"/>
      <c r="W336" s="447"/>
      <c r="X336" s="447"/>
      <c r="Y336" s="447"/>
      <c r="Z336" s="447"/>
      <c r="AA336" s="447"/>
      <c r="AB336" s="447"/>
      <c r="AC336" s="447"/>
      <c r="AD336" s="447"/>
      <c r="AE336" s="447"/>
      <c r="AF336" s="448"/>
      <c r="AG336" s="448"/>
      <c r="AH336" s="449"/>
      <c r="AI336" s="447"/>
      <c r="AJ336" s="447"/>
      <c r="AK336" s="447"/>
      <c r="AL336" s="447"/>
      <c r="AM336" s="447"/>
      <c r="AN336" s="447"/>
      <c r="AO336" s="447"/>
      <c r="AP336" s="447"/>
      <c r="AQ336" s="447"/>
      <c r="AR336" s="447"/>
      <c r="AS336" s="447"/>
      <c r="AT336" s="447"/>
      <c r="AU336" s="447"/>
      <c r="AV336" s="447"/>
      <c r="AW336" s="447"/>
      <c r="AX336" s="447"/>
      <c r="AY336" s="447"/>
      <c r="AZ336" s="447"/>
      <c r="BA336" s="447"/>
      <c r="BB336" s="447"/>
      <c r="BC336" s="447"/>
      <c r="BD336" s="447"/>
      <c r="BE336" s="447"/>
      <c r="BF336" s="447"/>
      <c r="BG336" s="447"/>
      <c r="BH336" s="447"/>
      <c r="BI336" s="447"/>
      <c r="BJ336" s="447"/>
      <c r="BK336" s="447"/>
      <c r="BL336" s="447"/>
      <c r="BM336" s="448"/>
      <c r="BN336" s="448"/>
    </row>
    <row r="337" spans="1:66" ht="11.25" customHeight="1">
      <c r="A337" s="450"/>
      <c r="B337" s="447"/>
      <c r="C337" s="447"/>
      <c r="D337" s="447"/>
      <c r="E337" s="447"/>
      <c r="F337" s="447"/>
      <c r="G337" s="447"/>
      <c r="H337" s="447"/>
      <c r="I337" s="447"/>
      <c r="J337" s="447"/>
      <c r="K337" s="447"/>
      <c r="L337" s="447"/>
      <c r="M337" s="447"/>
      <c r="N337" s="447"/>
      <c r="O337" s="447"/>
      <c r="P337" s="447"/>
      <c r="Q337" s="447"/>
      <c r="R337" s="447"/>
      <c r="S337" s="447"/>
      <c r="T337" s="447"/>
      <c r="U337" s="447"/>
      <c r="V337" s="447"/>
      <c r="W337" s="447"/>
      <c r="X337" s="447"/>
      <c r="Y337" s="447"/>
      <c r="Z337" s="447"/>
      <c r="AA337" s="447"/>
      <c r="AB337" s="447"/>
      <c r="AC337" s="447"/>
      <c r="AD337" s="447"/>
      <c r="AE337" s="447"/>
      <c r="AF337" s="448"/>
      <c r="AG337" s="448"/>
      <c r="AH337" s="449"/>
      <c r="AI337" s="447"/>
      <c r="AJ337" s="447"/>
      <c r="AK337" s="447"/>
      <c r="AL337" s="447"/>
      <c r="AM337" s="447"/>
      <c r="AN337" s="447"/>
      <c r="AO337" s="447"/>
      <c r="AP337" s="447"/>
      <c r="AQ337" s="447"/>
      <c r="AR337" s="447"/>
      <c r="AS337" s="447"/>
      <c r="AT337" s="447"/>
      <c r="AU337" s="447"/>
      <c r="AV337" s="447"/>
      <c r="AW337" s="447"/>
      <c r="AX337" s="447"/>
      <c r="AY337" s="447"/>
      <c r="AZ337" s="447"/>
      <c r="BA337" s="447"/>
      <c r="BB337" s="447"/>
      <c r="BC337" s="447"/>
      <c r="BD337" s="447"/>
      <c r="BE337" s="447"/>
      <c r="BF337" s="447"/>
      <c r="BG337" s="447"/>
      <c r="BH337" s="447"/>
      <c r="BI337" s="447"/>
      <c r="BJ337" s="447"/>
      <c r="BK337" s="447"/>
      <c r="BL337" s="447"/>
      <c r="BM337" s="448"/>
      <c r="BN337" s="448"/>
    </row>
    <row r="338" spans="1:66" ht="11.25" customHeight="1">
      <c r="A338" s="450"/>
      <c r="B338" s="447"/>
      <c r="C338" s="447"/>
      <c r="D338" s="447"/>
      <c r="E338" s="447"/>
      <c r="F338" s="447"/>
      <c r="G338" s="447"/>
      <c r="H338" s="447"/>
      <c r="I338" s="447"/>
      <c r="J338" s="447"/>
      <c r="K338" s="447"/>
      <c r="L338" s="447"/>
      <c r="M338" s="447"/>
      <c r="N338" s="447"/>
      <c r="O338" s="447"/>
      <c r="P338" s="447"/>
      <c r="Q338" s="447"/>
      <c r="R338" s="447"/>
      <c r="S338" s="447"/>
      <c r="T338" s="447"/>
      <c r="U338" s="447"/>
      <c r="V338" s="447"/>
      <c r="W338" s="447"/>
      <c r="X338" s="447"/>
      <c r="Y338" s="447"/>
      <c r="Z338" s="447"/>
      <c r="AA338" s="447"/>
      <c r="AB338" s="447"/>
      <c r="AC338" s="447"/>
      <c r="AD338" s="447"/>
      <c r="AE338" s="447"/>
      <c r="AF338" s="448"/>
      <c r="AG338" s="448"/>
      <c r="AH338" s="449"/>
      <c r="AI338" s="447"/>
      <c r="AJ338" s="447"/>
      <c r="AK338" s="447"/>
      <c r="AL338" s="447"/>
      <c r="AM338" s="447"/>
      <c r="AN338" s="447"/>
      <c r="AO338" s="447"/>
      <c r="AP338" s="447"/>
      <c r="AQ338" s="447"/>
      <c r="AR338" s="447"/>
      <c r="AS338" s="447"/>
      <c r="AT338" s="447"/>
      <c r="AU338" s="447"/>
      <c r="AV338" s="447"/>
      <c r="AW338" s="447"/>
      <c r="AX338" s="447"/>
      <c r="AY338" s="447"/>
      <c r="AZ338" s="447"/>
      <c r="BA338" s="447"/>
      <c r="BB338" s="447"/>
      <c r="BC338" s="447"/>
      <c r="BD338" s="447"/>
      <c r="BE338" s="447"/>
      <c r="BF338" s="447"/>
      <c r="BG338" s="447"/>
      <c r="BH338" s="447"/>
      <c r="BI338" s="447"/>
      <c r="BJ338" s="447"/>
      <c r="BK338" s="447"/>
      <c r="BL338" s="447"/>
      <c r="BM338" s="448"/>
      <c r="BN338" s="448"/>
    </row>
    <row r="339" spans="1:66" ht="11.25" customHeight="1">
      <c r="A339" s="450"/>
      <c r="B339" s="447"/>
      <c r="C339" s="447"/>
      <c r="D339" s="447"/>
      <c r="E339" s="447"/>
      <c r="F339" s="447"/>
      <c r="G339" s="447"/>
      <c r="H339" s="447"/>
      <c r="I339" s="447"/>
      <c r="J339" s="447"/>
      <c r="K339" s="447"/>
      <c r="L339" s="447"/>
      <c r="M339" s="447"/>
      <c r="N339" s="447"/>
      <c r="O339" s="447"/>
      <c r="P339" s="447"/>
      <c r="Q339" s="447"/>
      <c r="R339" s="447"/>
      <c r="S339" s="447"/>
      <c r="T339" s="447"/>
      <c r="U339" s="447"/>
      <c r="V339" s="447"/>
      <c r="W339" s="447"/>
      <c r="X339" s="447"/>
      <c r="Y339" s="447"/>
      <c r="Z339" s="447"/>
      <c r="AA339" s="447"/>
      <c r="AB339" s="447"/>
      <c r="AC339" s="447"/>
      <c r="AD339" s="447"/>
      <c r="AE339" s="447"/>
      <c r="AF339" s="448"/>
      <c r="AG339" s="448"/>
      <c r="AH339" s="449"/>
      <c r="AI339" s="447"/>
      <c r="AJ339" s="447"/>
      <c r="AK339" s="447"/>
      <c r="AL339" s="447"/>
      <c r="AM339" s="447"/>
      <c r="AN339" s="447"/>
      <c r="AO339" s="447"/>
      <c r="AP339" s="447"/>
      <c r="AQ339" s="447"/>
      <c r="AR339" s="447"/>
      <c r="AS339" s="447"/>
      <c r="AT339" s="447"/>
      <c r="AU339" s="447"/>
      <c r="AV339" s="447"/>
      <c r="AW339" s="447"/>
      <c r="AX339" s="447"/>
      <c r="AY339" s="447"/>
      <c r="AZ339" s="447"/>
      <c r="BA339" s="447"/>
      <c r="BB339" s="447"/>
      <c r="BC339" s="447"/>
      <c r="BD339" s="447"/>
      <c r="BE339" s="447"/>
      <c r="BF339" s="447"/>
      <c r="BG339" s="447"/>
      <c r="BH339" s="447"/>
      <c r="BI339" s="447"/>
      <c r="BJ339" s="447"/>
      <c r="BK339" s="447"/>
      <c r="BL339" s="447"/>
      <c r="BM339" s="448"/>
      <c r="BN339" s="448"/>
    </row>
    <row r="340" spans="1:66" ht="11.25" customHeight="1">
      <c r="A340" s="450"/>
      <c r="B340" s="447"/>
      <c r="C340" s="447"/>
      <c r="D340" s="447"/>
      <c r="E340" s="447"/>
      <c r="F340" s="447"/>
      <c r="G340" s="447"/>
      <c r="H340" s="447"/>
      <c r="I340" s="447"/>
      <c r="J340" s="447"/>
      <c r="K340" s="447"/>
      <c r="L340" s="447"/>
      <c r="M340" s="447"/>
      <c r="N340" s="447"/>
      <c r="O340" s="447"/>
      <c r="P340" s="447"/>
      <c r="Q340" s="447"/>
      <c r="R340" s="447"/>
      <c r="S340" s="447"/>
      <c r="T340" s="447"/>
      <c r="U340" s="447"/>
      <c r="V340" s="447"/>
      <c r="W340" s="447"/>
      <c r="X340" s="447"/>
      <c r="Y340" s="447"/>
      <c r="Z340" s="447"/>
      <c r="AA340" s="447"/>
      <c r="AB340" s="447"/>
      <c r="AC340" s="447"/>
      <c r="AD340" s="447"/>
      <c r="AE340" s="447"/>
      <c r="AF340" s="448"/>
      <c r="AG340" s="448"/>
      <c r="AH340" s="449"/>
      <c r="AI340" s="447"/>
      <c r="AJ340" s="447"/>
      <c r="AK340" s="447"/>
      <c r="AL340" s="447"/>
      <c r="AM340" s="447"/>
      <c r="AN340" s="447"/>
      <c r="AO340" s="447"/>
      <c r="AP340" s="447"/>
      <c r="AQ340" s="447"/>
      <c r="AR340" s="447"/>
      <c r="AS340" s="447"/>
      <c r="AT340" s="447"/>
      <c r="AU340" s="447"/>
      <c r="AV340" s="447"/>
      <c r="AW340" s="447"/>
      <c r="AX340" s="447"/>
      <c r="AY340" s="447"/>
      <c r="AZ340" s="447"/>
      <c r="BA340" s="447"/>
      <c r="BB340" s="447"/>
      <c r="BC340" s="447"/>
      <c r="BD340" s="447"/>
      <c r="BE340" s="447"/>
      <c r="BF340" s="447"/>
      <c r="BG340" s="447"/>
      <c r="BH340" s="447"/>
      <c r="BI340" s="447"/>
      <c r="BJ340" s="447"/>
      <c r="BK340" s="447"/>
      <c r="BL340" s="447"/>
      <c r="BM340" s="448"/>
      <c r="BN340" s="448"/>
    </row>
    <row r="341" spans="1:66" ht="11.25" customHeight="1">
      <c r="A341" s="450"/>
      <c r="B341" s="447"/>
      <c r="C341" s="447"/>
      <c r="D341" s="447"/>
      <c r="E341" s="447"/>
      <c r="F341" s="447"/>
      <c r="G341" s="447"/>
      <c r="H341" s="447"/>
      <c r="I341" s="447"/>
      <c r="J341" s="447"/>
      <c r="K341" s="447"/>
      <c r="L341" s="447"/>
      <c r="M341" s="447"/>
      <c r="N341" s="447"/>
      <c r="O341" s="447"/>
      <c r="P341" s="447"/>
      <c r="Q341" s="447"/>
      <c r="R341" s="447"/>
      <c r="S341" s="447"/>
      <c r="T341" s="447"/>
      <c r="U341" s="447"/>
      <c r="V341" s="447"/>
      <c r="W341" s="447"/>
      <c r="X341" s="447"/>
      <c r="Y341" s="447"/>
      <c r="Z341" s="447"/>
      <c r="AA341" s="447"/>
      <c r="AB341" s="447"/>
      <c r="AC341" s="447"/>
      <c r="AD341" s="447"/>
      <c r="AE341" s="447"/>
      <c r="AF341" s="448"/>
      <c r="AG341" s="448"/>
      <c r="AH341" s="449"/>
      <c r="AI341" s="447"/>
      <c r="AJ341" s="447"/>
      <c r="AK341" s="447"/>
      <c r="AL341" s="447"/>
      <c r="AM341" s="447"/>
      <c r="AN341" s="447"/>
      <c r="AO341" s="447"/>
      <c r="AP341" s="447"/>
      <c r="AQ341" s="447"/>
      <c r="AR341" s="447"/>
      <c r="AS341" s="447"/>
      <c r="AT341" s="447"/>
      <c r="AU341" s="447"/>
      <c r="AV341" s="447"/>
      <c r="AW341" s="447"/>
      <c r="AX341" s="447"/>
      <c r="AY341" s="447"/>
      <c r="AZ341" s="447"/>
      <c r="BA341" s="447"/>
      <c r="BB341" s="447"/>
      <c r="BC341" s="447"/>
      <c r="BD341" s="447"/>
      <c r="BE341" s="447"/>
      <c r="BF341" s="447"/>
      <c r="BG341" s="447"/>
      <c r="BH341" s="447"/>
      <c r="BI341" s="447"/>
      <c r="BJ341" s="447"/>
      <c r="BK341" s="447"/>
      <c r="BL341" s="447"/>
      <c r="BM341" s="448"/>
      <c r="BN341" s="448"/>
    </row>
    <row r="342" spans="1:66" ht="11.25" customHeight="1">
      <c r="A342" s="450"/>
      <c r="B342" s="447"/>
      <c r="C342" s="447"/>
      <c r="D342" s="447"/>
      <c r="E342" s="447"/>
      <c r="F342" s="447"/>
      <c r="G342" s="447"/>
      <c r="H342" s="447"/>
      <c r="I342" s="447"/>
      <c r="J342" s="447"/>
      <c r="K342" s="447"/>
      <c r="L342" s="447"/>
      <c r="M342" s="447"/>
      <c r="N342" s="447"/>
      <c r="O342" s="447"/>
      <c r="P342" s="447"/>
      <c r="Q342" s="447"/>
      <c r="R342" s="447"/>
      <c r="S342" s="447"/>
      <c r="T342" s="447"/>
      <c r="U342" s="447"/>
      <c r="V342" s="447"/>
      <c r="W342" s="447"/>
      <c r="X342" s="447"/>
      <c r="Y342" s="447"/>
      <c r="Z342" s="447"/>
      <c r="AA342" s="447"/>
      <c r="AB342" s="447"/>
      <c r="AC342" s="447"/>
      <c r="AD342" s="447"/>
      <c r="AE342" s="447"/>
      <c r="AF342" s="448"/>
      <c r="AG342" s="448"/>
      <c r="AH342" s="449"/>
      <c r="AI342" s="447"/>
      <c r="AJ342" s="447"/>
      <c r="AK342" s="447"/>
      <c r="AL342" s="447"/>
      <c r="AM342" s="447"/>
      <c r="AN342" s="447"/>
      <c r="AO342" s="447"/>
      <c r="AP342" s="447"/>
      <c r="AQ342" s="447"/>
      <c r="AR342" s="447"/>
      <c r="AS342" s="447"/>
      <c r="AT342" s="447"/>
      <c r="AU342" s="447"/>
      <c r="AV342" s="447"/>
      <c r="AW342" s="447"/>
      <c r="AX342" s="447"/>
      <c r="AY342" s="447"/>
      <c r="AZ342" s="447"/>
      <c r="BA342" s="447"/>
      <c r="BB342" s="447"/>
      <c r="BC342" s="447"/>
      <c r="BD342" s="447"/>
      <c r="BE342" s="447"/>
      <c r="BF342" s="447"/>
      <c r="BG342" s="447"/>
      <c r="BH342" s="447"/>
      <c r="BI342" s="447"/>
      <c r="BJ342" s="447"/>
      <c r="BK342" s="447"/>
      <c r="BL342" s="447"/>
      <c r="BM342" s="448"/>
      <c r="BN342" s="448"/>
    </row>
    <row r="343" spans="1:66" ht="11.25" customHeight="1">
      <c r="A343" s="450"/>
      <c r="B343" s="447"/>
      <c r="C343" s="447"/>
      <c r="D343" s="447"/>
      <c r="E343" s="447"/>
      <c r="F343" s="447"/>
      <c r="G343" s="447"/>
      <c r="H343" s="447"/>
      <c r="I343" s="447"/>
      <c r="J343" s="447"/>
      <c r="K343" s="447"/>
      <c r="L343" s="447"/>
      <c r="M343" s="447"/>
      <c r="N343" s="447"/>
      <c r="O343" s="447"/>
      <c r="P343" s="447"/>
      <c r="Q343" s="447"/>
      <c r="R343" s="447"/>
      <c r="S343" s="447"/>
      <c r="T343" s="447"/>
      <c r="U343" s="447"/>
      <c r="V343" s="447"/>
      <c r="W343" s="447"/>
      <c r="X343" s="447"/>
      <c r="Y343" s="447"/>
      <c r="Z343" s="447"/>
      <c r="AA343" s="447"/>
      <c r="AB343" s="447"/>
      <c r="AC343" s="447"/>
      <c r="AD343" s="447"/>
      <c r="AE343" s="447"/>
      <c r="AF343" s="448"/>
      <c r="AG343" s="448"/>
      <c r="AH343" s="449"/>
      <c r="AI343" s="447"/>
      <c r="AJ343" s="447"/>
      <c r="AK343" s="447"/>
      <c r="AL343" s="447"/>
      <c r="AM343" s="447"/>
      <c r="AN343" s="447"/>
      <c r="AO343" s="447"/>
      <c r="AP343" s="447"/>
      <c r="AQ343" s="447"/>
      <c r="AR343" s="447"/>
      <c r="AS343" s="447"/>
      <c r="AT343" s="447"/>
      <c r="AU343" s="447"/>
      <c r="AV343" s="447"/>
      <c r="AW343" s="447"/>
      <c r="AX343" s="447"/>
      <c r="AY343" s="447"/>
      <c r="AZ343" s="447"/>
      <c r="BA343" s="447"/>
      <c r="BB343" s="447"/>
      <c r="BC343" s="447"/>
      <c r="BD343" s="447"/>
      <c r="BE343" s="447"/>
      <c r="BF343" s="447"/>
      <c r="BG343" s="447"/>
      <c r="BH343" s="447"/>
      <c r="BI343" s="447"/>
      <c r="BJ343" s="447"/>
      <c r="BK343" s="447"/>
      <c r="BL343" s="447"/>
      <c r="BM343" s="448"/>
      <c r="BN343" s="448"/>
    </row>
    <row r="344" spans="1:66" ht="11.25" customHeight="1">
      <c r="A344" s="450"/>
      <c r="B344" s="447"/>
      <c r="C344" s="447"/>
      <c r="D344" s="447"/>
      <c r="E344" s="447"/>
      <c r="F344" s="447"/>
      <c r="G344" s="447"/>
      <c r="H344" s="447"/>
      <c r="I344" s="447"/>
      <c r="J344" s="447"/>
      <c r="K344" s="447"/>
      <c r="L344" s="447"/>
      <c r="M344" s="447"/>
      <c r="N344" s="447"/>
      <c r="O344" s="447"/>
      <c r="P344" s="447"/>
      <c r="Q344" s="447"/>
      <c r="R344" s="447"/>
      <c r="S344" s="447"/>
      <c r="T344" s="447"/>
      <c r="U344" s="447"/>
      <c r="V344" s="447"/>
      <c r="W344" s="447"/>
      <c r="X344" s="447"/>
      <c r="Y344" s="447"/>
      <c r="Z344" s="447"/>
      <c r="AA344" s="447"/>
      <c r="AB344" s="447"/>
      <c r="AC344" s="447"/>
      <c r="AD344" s="447"/>
      <c r="AE344" s="447"/>
      <c r="AF344" s="448"/>
      <c r="AG344" s="448"/>
      <c r="AH344" s="449"/>
      <c r="AI344" s="447"/>
      <c r="AJ344" s="447"/>
      <c r="AK344" s="447"/>
      <c r="AL344" s="447"/>
      <c r="AM344" s="447"/>
      <c r="AN344" s="447"/>
      <c r="AO344" s="447"/>
      <c r="AP344" s="447"/>
      <c r="AQ344" s="447"/>
      <c r="AR344" s="447"/>
      <c r="AS344" s="447"/>
      <c r="AT344" s="447"/>
      <c r="AU344" s="447"/>
      <c r="AV344" s="447"/>
      <c r="AW344" s="447"/>
      <c r="AX344" s="447"/>
      <c r="AY344" s="447"/>
      <c r="AZ344" s="447"/>
      <c r="BA344" s="447"/>
      <c r="BB344" s="447"/>
      <c r="BC344" s="447"/>
      <c r="BD344" s="447"/>
      <c r="BE344" s="447"/>
      <c r="BF344" s="447"/>
      <c r="BG344" s="447"/>
      <c r="BH344" s="447"/>
      <c r="BI344" s="447"/>
      <c r="BJ344" s="447"/>
      <c r="BK344" s="447"/>
      <c r="BL344" s="447"/>
      <c r="BM344" s="448"/>
      <c r="BN344" s="448"/>
    </row>
    <row r="345" spans="1:66" ht="11.25" customHeight="1">
      <c r="A345" s="450"/>
      <c r="B345" s="447"/>
      <c r="C345" s="447"/>
      <c r="D345" s="447"/>
      <c r="E345" s="447"/>
      <c r="F345" s="447"/>
      <c r="G345" s="447"/>
      <c r="H345" s="447"/>
      <c r="I345" s="447"/>
      <c r="J345" s="447"/>
      <c r="K345" s="447"/>
      <c r="L345" s="447"/>
      <c r="M345" s="447"/>
      <c r="N345" s="447"/>
      <c r="O345" s="447"/>
      <c r="P345" s="447"/>
      <c r="Q345" s="447"/>
      <c r="R345" s="447"/>
      <c r="S345" s="447"/>
      <c r="T345" s="447"/>
      <c r="U345" s="447"/>
      <c r="V345" s="447"/>
      <c r="W345" s="447"/>
      <c r="X345" s="447"/>
      <c r="Y345" s="447"/>
      <c r="Z345" s="447"/>
      <c r="AA345" s="447"/>
      <c r="AB345" s="447"/>
      <c r="AC345" s="447"/>
      <c r="AD345" s="447"/>
      <c r="AE345" s="447"/>
      <c r="AF345" s="448"/>
      <c r="AG345" s="448"/>
      <c r="AH345" s="449"/>
      <c r="AI345" s="447"/>
      <c r="AJ345" s="447"/>
      <c r="AK345" s="447"/>
      <c r="AL345" s="447"/>
      <c r="AM345" s="447"/>
      <c r="AN345" s="447"/>
      <c r="AO345" s="447"/>
      <c r="AP345" s="447"/>
      <c r="AQ345" s="447"/>
      <c r="AR345" s="447"/>
      <c r="AS345" s="447"/>
      <c r="AT345" s="447"/>
      <c r="AU345" s="447"/>
      <c r="AV345" s="447"/>
      <c r="AW345" s="447"/>
      <c r="AX345" s="447"/>
      <c r="AY345" s="447"/>
      <c r="AZ345" s="447"/>
      <c r="BA345" s="447"/>
      <c r="BB345" s="447"/>
      <c r="BC345" s="447"/>
      <c r="BD345" s="447"/>
      <c r="BE345" s="447"/>
      <c r="BF345" s="447"/>
      <c r="BG345" s="447"/>
      <c r="BH345" s="447"/>
      <c r="BI345" s="447"/>
      <c r="BJ345" s="447"/>
      <c r="BK345" s="447"/>
      <c r="BL345" s="447"/>
      <c r="BM345" s="448"/>
      <c r="BN345" s="448"/>
    </row>
    <row r="346" spans="1:66" ht="11.25" customHeight="1">
      <c r="A346" s="450"/>
      <c r="B346" s="447"/>
      <c r="C346" s="447"/>
      <c r="D346" s="447"/>
      <c r="E346" s="447"/>
      <c r="F346" s="447"/>
      <c r="G346" s="447"/>
      <c r="H346" s="447"/>
      <c r="I346" s="447"/>
      <c r="J346" s="447"/>
      <c r="K346" s="447"/>
      <c r="L346" s="447"/>
      <c r="M346" s="447"/>
      <c r="N346" s="447"/>
      <c r="O346" s="447"/>
      <c r="P346" s="447"/>
      <c r="Q346" s="447"/>
      <c r="R346" s="447"/>
      <c r="S346" s="447"/>
      <c r="T346" s="447"/>
      <c r="U346" s="447"/>
      <c r="V346" s="447"/>
      <c r="W346" s="447"/>
      <c r="X346" s="447"/>
      <c r="Y346" s="447"/>
      <c r="Z346" s="447"/>
      <c r="AA346" s="447"/>
      <c r="AB346" s="447"/>
      <c r="AC346" s="447"/>
      <c r="AD346" s="447"/>
      <c r="AE346" s="447"/>
      <c r="AF346" s="448"/>
      <c r="AG346" s="448"/>
      <c r="AH346" s="449"/>
      <c r="AI346" s="447"/>
      <c r="AJ346" s="447"/>
      <c r="AK346" s="447"/>
      <c r="AL346" s="447"/>
      <c r="AM346" s="447"/>
      <c r="AN346" s="447"/>
      <c r="AO346" s="447"/>
      <c r="AP346" s="447"/>
      <c r="AQ346" s="447"/>
      <c r="AR346" s="447"/>
      <c r="AS346" s="447"/>
      <c r="AT346" s="447"/>
      <c r="AU346" s="447"/>
      <c r="AV346" s="447"/>
      <c r="AW346" s="447"/>
      <c r="AX346" s="447"/>
      <c r="AY346" s="447"/>
      <c r="AZ346" s="447"/>
      <c r="BA346" s="447"/>
      <c r="BB346" s="447"/>
      <c r="BC346" s="447"/>
      <c r="BD346" s="447"/>
      <c r="BE346" s="447"/>
      <c r="BF346" s="447"/>
      <c r="BG346" s="447"/>
      <c r="BH346" s="447"/>
      <c r="BI346" s="447"/>
      <c r="BJ346" s="447"/>
      <c r="BK346" s="447"/>
      <c r="BL346" s="447"/>
      <c r="BM346" s="448"/>
      <c r="BN346" s="448"/>
    </row>
    <row r="347" spans="1:66" ht="11.25" customHeight="1">
      <c r="A347" s="450"/>
      <c r="B347" s="447"/>
      <c r="C347" s="447"/>
      <c r="D347" s="447"/>
      <c r="E347" s="447"/>
      <c r="F347" s="447"/>
      <c r="G347" s="447"/>
      <c r="H347" s="447"/>
      <c r="I347" s="447"/>
      <c r="J347" s="447"/>
      <c r="K347" s="447"/>
      <c r="L347" s="447"/>
      <c r="M347" s="447"/>
      <c r="N347" s="447"/>
      <c r="O347" s="447"/>
      <c r="P347" s="447"/>
      <c r="Q347" s="447"/>
      <c r="R347" s="447"/>
      <c r="S347" s="447"/>
      <c r="T347" s="447"/>
      <c r="U347" s="447"/>
      <c r="V347" s="447"/>
      <c r="W347" s="447"/>
      <c r="X347" s="447"/>
      <c r="Y347" s="447"/>
      <c r="Z347" s="447"/>
      <c r="AA347" s="447"/>
      <c r="AB347" s="447"/>
      <c r="AC347" s="447"/>
      <c r="AD347" s="447"/>
      <c r="AE347" s="447"/>
      <c r="AF347" s="448"/>
      <c r="AG347" s="448"/>
      <c r="AH347" s="449"/>
      <c r="AI347" s="447"/>
      <c r="AJ347" s="447"/>
      <c r="AK347" s="447"/>
      <c r="AL347" s="447"/>
      <c r="AM347" s="447"/>
      <c r="AN347" s="447"/>
      <c r="AO347" s="447"/>
      <c r="AP347" s="447"/>
      <c r="AQ347" s="447"/>
      <c r="AR347" s="447"/>
      <c r="AS347" s="447"/>
      <c r="AT347" s="447"/>
      <c r="AU347" s="447"/>
      <c r="AV347" s="447"/>
      <c r="AW347" s="447"/>
      <c r="AX347" s="447"/>
      <c r="AY347" s="447"/>
      <c r="AZ347" s="447"/>
      <c r="BA347" s="447"/>
      <c r="BB347" s="447"/>
      <c r="BC347" s="447"/>
      <c r="BD347" s="447"/>
      <c r="BE347" s="447"/>
      <c r="BF347" s="447"/>
      <c r="BG347" s="447"/>
      <c r="BH347" s="447"/>
      <c r="BI347" s="447"/>
      <c r="BJ347" s="447"/>
      <c r="BK347" s="447"/>
      <c r="BL347" s="447"/>
      <c r="BM347" s="448"/>
      <c r="BN347" s="448"/>
    </row>
    <row r="348" spans="1:66" ht="11.25" customHeight="1">
      <c r="A348" s="450"/>
      <c r="B348" s="447"/>
      <c r="C348" s="447"/>
      <c r="D348" s="447"/>
      <c r="E348" s="447"/>
      <c r="F348" s="447"/>
      <c r="G348" s="447"/>
      <c r="H348" s="447"/>
      <c r="I348" s="447"/>
      <c r="J348" s="447"/>
      <c r="K348" s="447"/>
      <c r="L348" s="447"/>
      <c r="M348" s="447"/>
      <c r="N348" s="447"/>
      <c r="O348" s="447"/>
      <c r="P348" s="447"/>
      <c r="Q348" s="447"/>
      <c r="R348" s="447"/>
      <c r="S348" s="447"/>
      <c r="T348" s="447"/>
      <c r="U348" s="447"/>
      <c r="V348" s="447"/>
      <c r="W348" s="447"/>
      <c r="X348" s="447"/>
      <c r="Y348" s="447"/>
      <c r="Z348" s="447"/>
      <c r="AA348" s="447"/>
      <c r="AB348" s="447"/>
      <c r="AC348" s="447"/>
      <c r="AD348" s="447"/>
      <c r="AE348" s="447"/>
      <c r="AF348" s="448"/>
      <c r="AG348" s="448"/>
      <c r="AH348" s="449"/>
      <c r="AI348" s="447"/>
      <c r="AJ348" s="447"/>
      <c r="AK348" s="447"/>
      <c r="AL348" s="447"/>
      <c r="AM348" s="447"/>
      <c r="AN348" s="447"/>
      <c r="AO348" s="447"/>
      <c r="AP348" s="447"/>
      <c r="AQ348" s="447"/>
      <c r="AR348" s="447"/>
      <c r="AS348" s="447"/>
      <c r="AT348" s="447"/>
      <c r="AU348" s="447"/>
      <c r="AV348" s="447"/>
      <c r="AW348" s="447"/>
      <c r="AX348" s="447"/>
      <c r="AY348" s="447"/>
      <c r="AZ348" s="447"/>
      <c r="BA348" s="447"/>
      <c r="BB348" s="447"/>
      <c r="BC348" s="447"/>
      <c r="BD348" s="447"/>
      <c r="BE348" s="447"/>
      <c r="BF348" s="447"/>
      <c r="BG348" s="447"/>
      <c r="BH348" s="447"/>
      <c r="BI348" s="447"/>
      <c r="BJ348" s="447"/>
      <c r="BK348" s="447"/>
      <c r="BL348" s="447"/>
      <c r="BM348" s="448"/>
      <c r="BN348" s="448"/>
    </row>
    <row r="349" spans="1:66" ht="11.25" customHeight="1">
      <c r="A349" s="450"/>
      <c r="B349" s="447"/>
      <c r="C349" s="447"/>
      <c r="D349" s="447"/>
      <c r="E349" s="447"/>
      <c r="F349" s="447"/>
      <c r="G349" s="447"/>
      <c r="H349" s="447"/>
      <c r="I349" s="447"/>
      <c r="J349" s="447"/>
      <c r="K349" s="447"/>
      <c r="L349" s="447"/>
      <c r="M349" s="447"/>
      <c r="N349" s="447"/>
      <c r="O349" s="447"/>
      <c r="P349" s="447"/>
      <c r="Q349" s="447"/>
      <c r="R349" s="447"/>
      <c r="S349" s="447"/>
      <c r="T349" s="447"/>
      <c r="U349" s="447"/>
      <c r="V349" s="447"/>
      <c r="W349" s="447"/>
      <c r="X349" s="447"/>
      <c r="Y349" s="447"/>
      <c r="Z349" s="447"/>
      <c r="AA349" s="447"/>
      <c r="AB349" s="447"/>
      <c r="AC349" s="447"/>
      <c r="AD349" s="447"/>
      <c r="AE349" s="447"/>
      <c r="AF349" s="448"/>
      <c r="AG349" s="448"/>
      <c r="AH349" s="449"/>
      <c r="AI349" s="447"/>
      <c r="AJ349" s="447"/>
      <c r="AK349" s="447"/>
      <c r="AL349" s="447"/>
      <c r="AM349" s="447"/>
      <c r="AN349" s="447"/>
      <c r="AO349" s="447"/>
      <c r="AP349" s="447"/>
      <c r="AQ349" s="447"/>
      <c r="AR349" s="447"/>
      <c r="AS349" s="447"/>
      <c r="AT349" s="447"/>
      <c r="AU349" s="447"/>
      <c r="AV349" s="447"/>
      <c r="AW349" s="447"/>
      <c r="AX349" s="447"/>
      <c r="AY349" s="447"/>
      <c r="AZ349" s="447"/>
      <c r="BA349" s="447"/>
      <c r="BB349" s="447"/>
      <c r="BC349" s="447"/>
      <c r="BD349" s="447"/>
      <c r="BE349" s="447"/>
      <c r="BF349" s="447"/>
      <c r="BG349" s="447"/>
      <c r="BH349" s="447"/>
      <c r="BI349" s="447"/>
      <c r="BJ349" s="447"/>
      <c r="BK349" s="447"/>
      <c r="BL349" s="447"/>
      <c r="BM349" s="448"/>
      <c r="BN349" s="448"/>
    </row>
    <row r="350" spans="1:66" ht="11.25" customHeight="1">
      <c r="A350" s="450"/>
      <c r="B350" s="447"/>
      <c r="C350" s="447"/>
      <c r="D350" s="447"/>
      <c r="E350" s="447"/>
      <c r="F350" s="447"/>
      <c r="G350" s="447"/>
      <c r="H350" s="447"/>
      <c r="I350" s="447"/>
      <c r="J350" s="447"/>
      <c r="K350" s="447"/>
      <c r="L350" s="447"/>
      <c r="M350" s="447"/>
      <c r="N350" s="447"/>
      <c r="O350" s="447"/>
      <c r="P350" s="447"/>
      <c r="Q350" s="447"/>
      <c r="R350" s="447"/>
      <c r="S350" s="447"/>
      <c r="T350" s="447"/>
      <c r="U350" s="447"/>
      <c r="V350" s="447"/>
      <c r="W350" s="447"/>
      <c r="X350" s="447"/>
      <c r="Y350" s="447"/>
      <c r="Z350" s="447"/>
      <c r="AA350" s="447"/>
      <c r="AB350" s="447"/>
      <c r="AC350" s="447"/>
      <c r="AD350" s="447"/>
      <c r="AE350" s="447"/>
      <c r="AF350" s="448"/>
      <c r="AG350" s="448"/>
      <c r="AH350" s="449"/>
      <c r="AI350" s="447"/>
      <c r="AJ350" s="447"/>
      <c r="AK350" s="447"/>
      <c r="AL350" s="447"/>
      <c r="AM350" s="447"/>
      <c r="AN350" s="447"/>
      <c r="AO350" s="447"/>
      <c r="AP350" s="447"/>
      <c r="AQ350" s="447"/>
      <c r="AR350" s="447"/>
      <c r="AS350" s="447"/>
      <c r="AT350" s="447"/>
      <c r="AU350" s="447"/>
      <c r="AV350" s="447"/>
      <c r="AW350" s="447"/>
      <c r="AX350" s="447"/>
      <c r="AY350" s="447"/>
      <c r="AZ350" s="447"/>
      <c r="BA350" s="447"/>
      <c r="BB350" s="447"/>
      <c r="BC350" s="447"/>
      <c r="BD350" s="447"/>
      <c r="BE350" s="447"/>
      <c r="BF350" s="447"/>
      <c r="BG350" s="447"/>
      <c r="BH350" s="447"/>
      <c r="BI350" s="447"/>
      <c r="BJ350" s="447"/>
      <c r="BK350" s="447"/>
      <c r="BL350" s="447"/>
      <c r="BM350" s="448"/>
      <c r="BN350" s="448"/>
    </row>
    <row r="351" spans="1:66" ht="11.25" customHeight="1">
      <c r="A351" s="450"/>
      <c r="B351" s="447"/>
      <c r="C351" s="447"/>
      <c r="D351" s="447"/>
      <c r="E351" s="447"/>
      <c r="F351" s="447"/>
      <c r="G351" s="447"/>
      <c r="H351" s="447"/>
      <c r="I351" s="447"/>
      <c r="J351" s="447"/>
      <c r="K351" s="447"/>
      <c r="L351" s="447"/>
      <c r="M351" s="447"/>
      <c r="N351" s="447"/>
      <c r="O351" s="447"/>
      <c r="P351" s="447"/>
      <c r="Q351" s="447"/>
      <c r="R351" s="447"/>
      <c r="S351" s="447"/>
      <c r="T351" s="447"/>
      <c r="U351" s="447"/>
      <c r="V351" s="447"/>
      <c r="W351" s="447"/>
      <c r="X351" s="447"/>
      <c r="Y351" s="447"/>
      <c r="Z351" s="447"/>
      <c r="AA351" s="447"/>
      <c r="AB351" s="447"/>
      <c r="AC351" s="447"/>
      <c r="AD351" s="447"/>
      <c r="AE351" s="447"/>
      <c r="AF351" s="448"/>
      <c r="AG351" s="448"/>
      <c r="AH351" s="449"/>
      <c r="AI351" s="447"/>
      <c r="AJ351" s="447"/>
      <c r="AK351" s="447"/>
      <c r="AL351" s="447"/>
      <c r="AM351" s="447"/>
      <c r="AN351" s="447"/>
      <c r="AO351" s="447"/>
      <c r="AP351" s="447"/>
      <c r="AQ351" s="447"/>
      <c r="AR351" s="447"/>
      <c r="AS351" s="447"/>
      <c r="AT351" s="447"/>
      <c r="AU351" s="447"/>
      <c r="AV351" s="447"/>
      <c r="AW351" s="447"/>
      <c r="AX351" s="447"/>
      <c r="AY351" s="447"/>
      <c r="AZ351" s="447"/>
      <c r="BA351" s="447"/>
      <c r="BB351" s="447"/>
      <c r="BC351" s="447"/>
      <c r="BD351" s="447"/>
      <c r="BE351" s="447"/>
      <c r="BF351" s="447"/>
      <c r="BG351" s="447"/>
      <c r="BH351" s="447"/>
      <c r="BI351" s="447"/>
      <c r="BJ351" s="447"/>
      <c r="BK351" s="447"/>
      <c r="BL351" s="447"/>
      <c r="BM351" s="448"/>
      <c r="BN351" s="448"/>
    </row>
    <row r="352" spans="1:66" ht="11.25" customHeight="1">
      <c r="A352" s="450"/>
      <c r="B352" s="447"/>
      <c r="C352" s="447"/>
      <c r="D352" s="447"/>
      <c r="E352" s="447"/>
      <c r="F352" s="447"/>
      <c r="G352" s="447"/>
      <c r="H352" s="447"/>
      <c r="I352" s="447"/>
      <c r="J352" s="447"/>
      <c r="K352" s="447"/>
      <c r="L352" s="447"/>
      <c r="M352" s="447"/>
      <c r="N352" s="447"/>
      <c r="O352" s="447"/>
      <c r="P352" s="447"/>
      <c r="Q352" s="447"/>
      <c r="R352" s="447"/>
      <c r="S352" s="447"/>
      <c r="T352" s="447"/>
      <c r="U352" s="447"/>
      <c r="V352" s="447"/>
      <c r="W352" s="447"/>
      <c r="X352" s="447"/>
      <c r="Y352" s="447"/>
      <c r="Z352" s="447"/>
      <c r="AA352" s="447"/>
      <c r="AB352" s="447"/>
      <c r="AC352" s="447"/>
      <c r="AD352" s="447"/>
      <c r="AE352" s="447"/>
      <c r="AF352" s="448"/>
      <c r="AG352" s="448"/>
      <c r="AH352" s="449"/>
      <c r="AI352" s="447"/>
      <c r="AJ352" s="447"/>
      <c r="AK352" s="447"/>
      <c r="AL352" s="447"/>
      <c r="AM352" s="447"/>
      <c r="AN352" s="447"/>
      <c r="AO352" s="447"/>
      <c r="AP352" s="447"/>
      <c r="AQ352" s="447"/>
      <c r="AR352" s="447"/>
      <c r="AS352" s="447"/>
      <c r="AT352" s="447"/>
      <c r="AU352" s="447"/>
      <c r="AV352" s="447"/>
      <c r="AW352" s="447"/>
      <c r="AX352" s="447"/>
      <c r="AY352" s="447"/>
      <c r="AZ352" s="447"/>
      <c r="BA352" s="447"/>
      <c r="BB352" s="447"/>
      <c r="BC352" s="447"/>
      <c r="BD352" s="447"/>
      <c r="BE352" s="447"/>
      <c r="BF352" s="447"/>
      <c r="BG352" s="447"/>
      <c r="BH352" s="447"/>
      <c r="BI352" s="447"/>
      <c r="BJ352" s="447"/>
      <c r="BK352" s="447"/>
      <c r="BL352" s="447"/>
      <c r="BM352" s="448"/>
      <c r="BN352" s="448"/>
    </row>
    <row r="353" spans="1:66" ht="11.25" customHeight="1">
      <c r="A353" s="450"/>
      <c r="B353" s="447"/>
      <c r="C353" s="447"/>
      <c r="D353" s="447"/>
      <c r="E353" s="447"/>
      <c r="F353" s="447"/>
      <c r="G353" s="447"/>
      <c r="H353" s="447"/>
      <c r="I353" s="447"/>
      <c r="J353" s="447"/>
      <c r="K353" s="447"/>
      <c r="L353" s="447"/>
      <c r="M353" s="447"/>
      <c r="N353" s="447"/>
      <c r="O353" s="447"/>
      <c r="P353" s="447"/>
      <c r="Q353" s="447"/>
      <c r="R353" s="447"/>
      <c r="S353" s="447"/>
      <c r="T353" s="447"/>
      <c r="U353" s="447"/>
      <c r="V353" s="447"/>
      <c r="W353" s="447"/>
      <c r="X353" s="447"/>
      <c r="Y353" s="447"/>
      <c r="Z353" s="447"/>
      <c r="AA353" s="447"/>
      <c r="AB353" s="447"/>
      <c r="AC353" s="447"/>
      <c r="AD353" s="447"/>
      <c r="AE353" s="447"/>
      <c r="AF353" s="448"/>
      <c r="AG353" s="448"/>
      <c r="AH353" s="449"/>
      <c r="AI353" s="447"/>
      <c r="AJ353" s="447"/>
      <c r="AK353" s="447"/>
      <c r="AL353" s="447"/>
      <c r="AM353" s="447"/>
      <c r="AN353" s="447"/>
      <c r="AO353" s="447"/>
      <c r="AP353" s="447"/>
      <c r="AQ353" s="447"/>
      <c r="AR353" s="447"/>
      <c r="AS353" s="447"/>
      <c r="AT353" s="447"/>
      <c r="AU353" s="447"/>
      <c r="AV353" s="447"/>
      <c r="AW353" s="447"/>
      <c r="AX353" s="447"/>
      <c r="AY353" s="447"/>
      <c r="AZ353" s="447"/>
      <c r="BA353" s="447"/>
      <c r="BB353" s="447"/>
      <c r="BC353" s="447"/>
      <c r="BD353" s="447"/>
      <c r="BE353" s="447"/>
      <c r="BF353" s="447"/>
      <c r="BG353" s="447"/>
      <c r="BH353" s="447"/>
      <c r="BI353" s="447"/>
      <c r="BJ353" s="447"/>
      <c r="BK353" s="447"/>
      <c r="BL353" s="447"/>
      <c r="BM353" s="448"/>
      <c r="BN353" s="448"/>
    </row>
    <row r="354" spans="1:66" ht="11.25" customHeight="1">
      <c r="A354" s="450"/>
      <c r="B354" s="447"/>
      <c r="C354" s="447"/>
      <c r="D354" s="447"/>
      <c r="E354" s="447"/>
      <c r="F354" s="447"/>
      <c r="G354" s="447"/>
      <c r="H354" s="447"/>
      <c r="I354" s="447"/>
      <c r="J354" s="447"/>
      <c r="K354" s="447"/>
      <c r="L354" s="447"/>
      <c r="M354" s="447"/>
      <c r="N354" s="447"/>
      <c r="O354" s="447"/>
      <c r="P354" s="447"/>
      <c r="Q354" s="447"/>
      <c r="R354" s="447"/>
      <c r="S354" s="447"/>
      <c r="T354" s="447"/>
      <c r="U354" s="447"/>
      <c r="V354" s="447"/>
      <c r="W354" s="447"/>
      <c r="X354" s="447"/>
      <c r="Y354" s="447"/>
      <c r="Z354" s="447"/>
      <c r="AA354" s="447"/>
      <c r="AB354" s="447"/>
      <c r="AC354" s="447"/>
      <c r="AD354" s="447"/>
      <c r="AE354" s="447"/>
      <c r="AF354" s="448"/>
      <c r="AG354" s="448"/>
      <c r="AH354" s="449"/>
      <c r="AI354" s="447"/>
      <c r="AJ354" s="447"/>
      <c r="AK354" s="447"/>
      <c r="AL354" s="447"/>
      <c r="AM354" s="447"/>
      <c r="AN354" s="447"/>
      <c r="AO354" s="447"/>
      <c r="AP354" s="447"/>
      <c r="AQ354" s="447"/>
      <c r="AR354" s="447"/>
      <c r="AS354" s="447"/>
      <c r="AT354" s="447"/>
      <c r="AU354" s="447"/>
      <c r="AV354" s="447"/>
      <c r="AW354" s="447"/>
      <c r="AX354" s="447"/>
      <c r="AY354" s="447"/>
      <c r="AZ354" s="447"/>
      <c r="BA354" s="447"/>
      <c r="BB354" s="447"/>
      <c r="BC354" s="447"/>
      <c r="BD354" s="447"/>
      <c r="BE354" s="447"/>
      <c r="BF354" s="447"/>
      <c r="BG354" s="447"/>
      <c r="BH354" s="447"/>
      <c r="BI354" s="447"/>
      <c r="BJ354" s="447"/>
      <c r="BK354" s="447"/>
      <c r="BL354" s="447"/>
      <c r="BM354" s="448"/>
      <c r="BN354" s="448"/>
    </row>
    <row r="355" spans="1:66" ht="11.25" customHeight="1">
      <c r="A355" s="450"/>
      <c r="B355" s="447"/>
      <c r="C355" s="447"/>
      <c r="D355" s="447"/>
      <c r="E355" s="447"/>
      <c r="F355" s="447"/>
      <c r="G355" s="447"/>
      <c r="H355" s="447"/>
      <c r="I355" s="447"/>
      <c r="J355" s="447"/>
      <c r="K355" s="447"/>
      <c r="L355" s="447"/>
      <c r="M355" s="447"/>
      <c r="N355" s="447"/>
      <c r="O355" s="447"/>
      <c r="P355" s="447"/>
      <c r="Q355" s="447"/>
      <c r="R355" s="447"/>
      <c r="S355" s="447"/>
      <c r="T355" s="447"/>
      <c r="U355" s="447"/>
      <c r="V355" s="447"/>
      <c r="W355" s="447"/>
      <c r="X355" s="447"/>
      <c r="Y355" s="447"/>
      <c r="Z355" s="447"/>
      <c r="AA355" s="447"/>
      <c r="AB355" s="447"/>
      <c r="AC355" s="447"/>
      <c r="AD355" s="447"/>
      <c r="AE355" s="447"/>
      <c r="AF355" s="448"/>
      <c r="AG355" s="448"/>
      <c r="AH355" s="449"/>
      <c r="AI355" s="447"/>
      <c r="AJ355" s="447"/>
      <c r="AK355" s="447"/>
      <c r="AL355" s="447"/>
      <c r="AM355" s="447"/>
      <c r="AN355" s="447"/>
      <c r="AO355" s="447"/>
      <c r="AP355" s="447"/>
      <c r="AQ355" s="447"/>
      <c r="AR355" s="447"/>
      <c r="AS355" s="447"/>
      <c r="AT355" s="447"/>
      <c r="AU355" s="447"/>
      <c r="AV355" s="447"/>
      <c r="AW355" s="447"/>
      <c r="AX355" s="447"/>
      <c r="AY355" s="447"/>
      <c r="AZ355" s="447"/>
      <c r="BA355" s="447"/>
      <c r="BB355" s="447"/>
      <c r="BC355" s="447"/>
      <c r="BD355" s="447"/>
      <c r="BE355" s="447"/>
      <c r="BF355" s="447"/>
      <c r="BG355" s="447"/>
      <c r="BH355" s="447"/>
      <c r="BI355" s="447"/>
      <c r="BJ355" s="447"/>
      <c r="BK355" s="447"/>
      <c r="BL355" s="447"/>
      <c r="BM355" s="448"/>
      <c r="BN355" s="448"/>
    </row>
    <row r="356" spans="1:66" ht="11.25" customHeight="1">
      <c r="A356" s="450"/>
      <c r="B356" s="447"/>
      <c r="C356" s="447"/>
      <c r="D356" s="447"/>
      <c r="E356" s="447"/>
      <c r="F356" s="447"/>
      <c r="G356" s="447"/>
      <c r="H356" s="447"/>
      <c r="I356" s="447"/>
      <c r="J356" s="447"/>
      <c r="K356" s="447"/>
      <c r="L356" s="447"/>
      <c r="M356" s="447"/>
      <c r="N356" s="447"/>
      <c r="O356" s="447"/>
      <c r="P356" s="447"/>
      <c r="Q356" s="447"/>
      <c r="R356" s="447"/>
      <c r="S356" s="447"/>
      <c r="T356" s="447"/>
      <c r="U356" s="447"/>
      <c r="V356" s="447"/>
      <c r="W356" s="447"/>
      <c r="X356" s="447"/>
      <c r="Y356" s="447"/>
      <c r="Z356" s="447"/>
      <c r="AA356" s="447"/>
      <c r="AB356" s="447"/>
      <c r="AC356" s="447"/>
      <c r="AD356" s="447"/>
      <c r="AE356" s="447"/>
      <c r="AF356" s="448"/>
      <c r="AG356" s="448"/>
      <c r="AH356" s="449"/>
      <c r="AI356" s="447"/>
      <c r="AJ356" s="447"/>
      <c r="AK356" s="447"/>
      <c r="AL356" s="447"/>
      <c r="AM356" s="447"/>
      <c r="AN356" s="447"/>
      <c r="AO356" s="447"/>
      <c r="AP356" s="447"/>
      <c r="AQ356" s="447"/>
      <c r="AR356" s="447"/>
      <c r="AS356" s="447"/>
      <c r="AT356" s="447"/>
      <c r="AU356" s="447"/>
      <c r="AV356" s="447"/>
      <c r="AW356" s="447"/>
      <c r="AX356" s="447"/>
      <c r="AY356" s="447"/>
      <c r="AZ356" s="447"/>
      <c r="BA356" s="447"/>
      <c r="BB356" s="447"/>
      <c r="BC356" s="447"/>
      <c r="BD356" s="447"/>
      <c r="BE356" s="447"/>
      <c r="BF356" s="447"/>
      <c r="BG356" s="447"/>
      <c r="BH356" s="447"/>
      <c r="BI356" s="447"/>
      <c r="BJ356" s="447"/>
      <c r="BK356" s="447"/>
      <c r="BL356" s="447"/>
      <c r="BM356" s="448"/>
      <c r="BN356" s="448"/>
    </row>
    <row r="357" spans="1:66" ht="11.25" customHeight="1">
      <c r="A357" s="450"/>
      <c r="B357" s="447"/>
      <c r="C357" s="447"/>
      <c r="D357" s="447"/>
      <c r="E357" s="447"/>
      <c r="F357" s="447"/>
      <c r="G357" s="447"/>
      <c r="H357" s="447"/>
      <c r="I357" s="447"/>
      <c r="J357" s="447"/>
      <c r="K357" s="447"/>
      <c r="L357" s="447"/>
      <c r="M357" s="447"/>
      <c r="N357" s="447"/>
      <c r="O357" s="447"/>
      <c r="P357" s="447"/>
      <c r="Q357" s="447"/>
      <c r="R357" s="447"/>
      <c r="S357" s="447"/>
      <c r="T357" s="447"/>
      <c r="U357" s="447"/>
      <c r="V357" s="447"/>
      <c r="W357" s="447"/>
      <c r="X357" s="447"/>
      <c r="Y357" s="447"/>
      <c r="Z357" s="447"/>
      <c r="AA357" s="447"/>
      <c r="AB357" s="447"/>
      <c r="AC357" s="447"/>
      <c r="AD357" s="447"/>
      <c r="AE357" s="447"/>
      <c r="AF357" s="448"/>
      <c r="AG357" s="448"/>
      <c r="AH357" s="449"/>
      <c r="AI357" s="447"/>
      <c r="AJ357" s="447"/>
      <c r="AK357" s="447"/>
      <c r="AL357" s="447"/>
      <c r="AM357" s="447"/>
      <c r="AN357" s="447"/>
      <c r="AO357" s="447"/>
      <c r="AP357" s="447"/>
      <c r="AQ357" s="447"/>
      <c r="AR357" s="447"/>
      <c r="AS357" s="447"/>
      <c r="AT357" s="447"/>
      <c r="AU357" s="447"/>
      <c r="AV357" s="447"/>
      <c r="AW357" s="447"/>
      <c r="AX357" s="447"/>
      <c r="AY357" s="447"/>
      <c r="AZ357" s="447"/>
      <c r="BA357" s="447"/>
      <c r="BB357" s="447"/>
      <c r="BC357" s="447"/>
      <c r="BD357" s="447"/>
      <c r="BE357" s="447"/>
      <c r="BF357" s="447"/>
      <c r="BG357" s="447"/>
      <c r="BH357" s="447"/>
      <c r="BI357" s="447"/>
      <c r="BJ357" s="447"/>
      <c r="BK357" s="447"/>
      <c r="BL357" s="447"/>
      <c r="BM357" s="448"/>
      <c r="BN357" s="448"/>
    </row>
    <row r="358" spans="1:66" ht="11.25" customHeight="1">
      <c r="A358" s="450"/>
      <c r="B358" s="447"/>
      <c r="C358" s="447"/>
      <c r="D358" s="447"/>
      <c r="E358" s="447"/>
      <c r="F358" s="447"/>
      <c r="G358" s="447"/>
      <c r="H358" s="447"/>
      <c r="I358" s="447"/>
      <c r="J358" s="447"/>
      <c r="K358" s="447"/>
      <c r="L358" s="447"/>
      <c r="M358" s="447"/>
      <c r="N358" s="447"/>
      <c r="O358" s="447"/>
      <c r="P358" s="447"/>
      <c r="Q358" s="447"/>
      <c r="R358" s="447"/>
      <c r="S358" s="447"/>
      <c r="T358" s="447"/>
      <c r="U358" s="447"/>
      <c r="V358" s="447"/>
      <c r="W358" s="447"/>
      <c r="X358" s="447"/>
      <c r="Y358" s="447"/>
      <c r="Z358" s="447"/>
      <c r="AA358" s="447"/>
      <c r="AB358" s="447"/>
      <c r="AC358" s="447"/>
      <c r="AD358" s="447"/>
      <c r="AE358" s="447"/>
      <c r="AF358" s="448"/>
      <c r="AG358" s="448"/>
      <c r="AH358" s="449"/>
      <c r="AI358" s="447"/>
      <c r="AJ358" s="447"/>
      <c r="AK358" s="447"/>
      <c r="AL358" s="447"/>
      <c r="AM358" s="447"/>
      <c r="AN358" s="447"/>
      <c r="AO358" s="447"/>
      <c r="AP358" s="447"/>
      <c r="AQ358" s="447"/>
      <c r="AR358" s="447"/>
      <c r="AS358" s="447"/>
      <c r="AT358" s="447"/>
      <c r="AU358" s="447"/>
      <c r="AV358" s="447"/>
      <c r="AW358" s="447"/>
      <c r="AX358" s="447"/>
      <c r="AY358" s="447"/>
      <c r="AZ358" s="447"/>
      <c r="BA358" s="447"/>
      <c r="BB358" s="447"/>
      <c r="BC358" s="447"/>
      <c r="BD358" s="447"/>
      <c r="BE358" s="447"/>
      <c r="BF358" s="447"/>
      <c r="BG358" s="447"/>
      <c r="BH358" s="447"/>
      <c r="BI358" s="447"/>
      <c r="BJ358" s="447"/>
      <c r="BK358" s="447"/>
      <c r="BL358" s="447"/>
      <c r="BM358" s="448"/>
      <c r="BN358" s="448"/>
    </row>
    <row r="359" spans="1:66" ht="11.25" customHeight="1">
      <c r="A359" s="450"/>
      <c r="B359" s="447"/>
      <c r="C359" s="447"/>
      <c r="D359" s="447"/>
      <c r="E359" s="447"/>
      <c r="F359" s="447"/>
      <c r="G359" s="447"/>
      <c r="H359" s="447"/>
      <c r="I359" s="447"/>
      <c r="J359" s="447"/>
      <c r="K359" s="447"/>
      <c r="L359" s="447"/>
      <c r="M359" s="447"/>
      <c r="N359" s="447"/>
      <c r="O359" s="447"/>
      <c r="P359" s="447"/>
      <c r="Q359" s="447"/>
      <c r="R359" s="447"/>
      <c r="S359" s="447"/>
      <c r="T359" s="447"/>
      <c r="U359" s="447"/>
      <c r="V359" s="447"/>
      <c r="W359" s="447"/>
      <c r="X359" s="447"/>
      <c r="Y359" s="447"/>
      <c r="Z359" s="447"/>
      <c r="AA359" s="447"/>
      <c r="AB359" s="447"/>
      <c r="AC359" s="447"/>
      <c r="AD359" s="447"/>
      <c r="AE359" s="447"/>
      <c r="AF359" s="448"/>
      <c r="AG359" s="448"/>
      <c r="AH359" s="449"/>
      <c r="AI359" s="447"/>
      <c r="AJ359" s="447"/>
      <c r="AK359" s="447"/>
      <c r="AL359" s="447"/>
      <c r="AM359" s="447"/>
      <c r="AN359" s="447"/>
      <c r="AO359" s="447"/>
      <c r="AP359" s="447"/>
      <c r="AQ359" s="447"/>
      <c r="AR359" s="447"/>
      <c r="AS359" s="447"/>
      <c r="AT359" s="447"/>
      <c r="AU359" s="447"/>
      <c r="AV359" s="447"/>
      <c r="AW359" s="447"/>
      <c r="AX359" s="447"/>
      <c r="AY359" s="447"/>
      <c r="AZ359" s="447"/>
      <c r="BA359" s="447"/>
      <c r="BB359" s="447"/>
      <c r="BC359" s="447"/>
      <c r="BD359" s="447"/>
      <c r="BE359" s="447"/>
      <c r="BF359" s="447"/>
      <c r="BG359" s="447"/>
      <c r="BH359" s="447"/>
      <c r="BI359" s="447"/>
      <c r="BJ359" s="447"/>
      <c r="BK359" s="447"/>
      <c r="BL359" s="447"/>
      <c r="BM359" s="448"/>
      <c r="BN359" s="448"/>
    </row>
    <row r="360" spans="1:66" ht="11.25" customHeight="1">
      <c r="A360" s="450"/>
      <c r="B360" s="447"/>
      <c r="C360" s="447"/>
      <c r="D360" s="447"/>
      <c r="E360" s="447"/>
      <c r="F360" s="447"/>
      <c r="G360" s="447"/>
      <c r="H360" s="447"/>
      <c r="I360" s="447"/>
      <c r="J360" s="447"/>
      <c r="K360" s="447"/>
      <c r="L360" s="447"/>
      <c r="M360" s="447"/>
      <c r="N360" s="447"/>
      <c r="O360" s="447"/>
      <c r="P360" s="447"/>
      <c r="Q360" s="447"/>
      <c r="R360" s="447"/>
      <c r="S360" s="447"/>
      <c r="T360" s="447"/>
      <c r="U360" s="447"/>
      <c r="V360" s="447"/>
      <c r="W360" s="447"/>
      <c r="X360" s="447"/>
      <c r="Y360" s="447"/>
      <c r="Z360" s="447"/>
      <c r="AA360" s="447"/>
      <c r="AB360" s="447"/>
      <c r="AC360" s="447"/>
      <c r="AD360" s="447"/>
      <c r="AE360" s="447"/>
      <c r="AF360" s="448"/>
      <c r="AG360" s="448"/>
      <c r="AH360" s="449"/>
      <c r="AI360" s="447"/>
      <c r="AJ360" s="447"/>
      <c r="AK360" s="447"/>
      <c r="AL360" s="447"/>
      <c r="AM360" s="447"/>
      <c r="AN360" s="447"/>
      <c r="AO360" s="447"/>
      <c r="AP360" s="447"/>
      <c r="AQ360" s="447"/>
      <c r="AR360" s="447"/>
      <c r="AS360" s="447"/>
      <c r="AT360" s="447"/>
      <c r="AU360" s="447"/>
      <c r="AV360" s="447"/>
      <c r="AW360" s="447"/>
      <c r="AX360" s="447"/>
      <c r="AY360" s="447"/>
      <c r="AZ360" s="447"/>
      <c r="BA360" s="447"/>
      <c r="BB360" s="447"/>
      <c r="BC360" s="447"/>
      <c r="BD360" s="447"/>
      <c r="BE360" s="447"/>
      <c r="BF360" s="447"/>
      <c r="BG360" s="447"/>
      <c r="BH360" s="447"/>
      <c r="BI360" s="447"/>
      <c r="BJ360" s="447"/>
      <c r="BK360" s="447"/>
      <c r="BL360" s="447"/>
      <c r="BM360" s="448"/>
      <c r="BN360" s="448"/>
    </row>
    <row r="361" spans="1:66" ht="11.25" customHeight="1">
      <c r="A361" s="450"/>
      <c r="B361" s="447"/>
      <c r="C361" s="447"/>
      <c r="D361" s="447"/>
      <c r="E361" s="447"/>
      <c r="F361" s="447"/>
      <c r="G361" s="447"/>
      <c r="H361" s="447"/>
      <c r="I361" s="447"/>
      <c r="J361" s="447"/>
      <c r="K361" s="447"/>
      <c r="L361" s="447"/>
      <c r="M361" s="447"/>
      <c r="N361" s="447"/>
      <c r="O361" s="447"/>
      <c r="P361" s="447"/>
      <c r="Q361" s="447"/>
      <c r="R361" s="447"/>
      <c r="S361" s="447"/>
      <c r="T361" s="447"/>
      <c r="U361" s="447"/>
      <c r="V361" s="447"/>
      <c r="W361" s="447"/>
      <c r="X361" s="447"/>
      <c r="Y361" s="447"/>
      <c r="Z361" s="447"/>
      <c r="AA361" s="447"/>
      <c r="AB361" s="447"/>
      <c r="AC361" s="447"/>
      <c r="AD361" s="447"/>
      <c r="AE361" s="447"/>
      <c r="AF361" s="448"/>
      <c r="AG361" s="448"/>
      <c r="AH361" s="449"/>
      <c r="AI361" s="447"/>
      <c r="AJ361" s="447"/>
      <c r="AK361" s="447"/>
      <c r="AL361" s="447"/>
      <c r="AM361" s="447"/>
      <c r="AN361" s="447"/>
      <c r="AO361" s="447"/>
      <c r="AP361" s="447"/>
      <c r="AQ361" s="447"/>
      <c r="AR361" s="447"/>
      <c r="AS361" s="447"/>
      <c r="AT361" s="447"/>
      <c r="AU361" s="447"/>
      <c r="AV361" s="447"/>
      <c r="AW361" s="447"/>
      <c r="AX361" s="447"/>
      <c r="AY361" s="447"/>
      <c r="AZ361" s="447"/>
      <c r="BA361" s="447"/>
      <c r="BB361" s="447"/>
      <c r="BC361" s="447"/>
      <c r="BD361" s="447"/>
      <c r="BE361" s="447"/>
      <c r="BF361" s="447"/>
      <c r="BG361" s="447"/>
      <c r="BH361" s="447"/>
      <c r="BI361" s="447"/>
      <c r="BJ361" s="447"/>
      <c r="BK361" s="447"/>
      <c r="BL361" s="447"/>
      <c r="BM361" s="448"/>
      <c r="BN361" s="448"/>
    </row>
    <row r="362" spans="1:66" ht="11.25" customHeight="1">
      <c r="A362" s="450"/>
      <c r="B362" s="447"/>
      <c r="C362" s="447"/>
      <c r="D362" s="447"/>
      <c r="E362" s="447"/>
      <c r="F362" s="447"/>
      <c r="G362" s="447"/>
      <c r="H362" s="447"/>
      <c r="I362" s="447"/>
      <c r="J362" s="447"/>
      <c r="K362" s="447"/>
      <c r="L362" s="447"/>
      <c r="M362" s="447"/>
      <c r="N362" s="447"/>
      <c r="O362" s="447"/>
      <c r="P362" s="447"/>
      <c r="Q362" s="447"/>
      <c r="R362" s="447"/>
      <c r="S362" s="447"/>
      <c r="T362" s="447"/>
      <c r="U362" s="447"/>
      <c r="V362" s="447"/>
      <c r="W362" s="447"/>
      <c r="X362" s="447"/>
      <c r="Y362" s="447"/>
      <c r="Z362" s="447"/>
      <c r="AA362" s="447"/>
      <c r="AB362" s="447"/>
      <c r="AC362" s="447"/>
      <c r="AD362" s="447"/>
      <c r="AE362" s="447"/>
      <c r="AF362" s="448"/>
      <c r="AG362" s="448"/>
      <c r="AH362" s="449"/>
      <c r="AI362" s="447"/>
      <c r="AJ362" s="447"/>
      <c r="AK362" s="447"/>
      <c r="AL362" s="447"/>
      <c r="AM362" s="447"/>
      <c r="AN362" s="447"/>
      <c r="AO362" s="447"/>
      <c r="AP362" s="447"/>
      <c r="AQ362" s="447"/>
      <c r="AR362" s="447"/>
      <c r="AS362" s="447"/>
      <c r="AT362" s="447"/>
      <c r="AU362" s="447"/>
      <c r="AV362" s="447"/>
      <c r="AW362" s="447"/>
      <c r="AX362" s="447"/>
      <c r="AY362" s="447"/>
      <c r="AZ362" s="447"/>
      <c r="BA362" s="447"/>
      <c r="BB362" s="447"/>
      <c r="BC362" s="447"/>
      <c r="BD362" s="447"/>
      <c r="BE362" s="447"/>
      <c r="BF362" s="447"/>
      <c r="BG362" s="447"/>
      <c r="BH362" s="447"/>
      <c r="BI362" s="447"/>
      <c r="BJ362" s="447"/>
      <c r="BK362" s="447"/>
      <c r="BL362" s="447"/>
      <c r="BM362" s="448"/>
      <c r="BN362" s="448"/>
    </row>
    <row r="363" spans="1:66" ht="11.25" customHeight="1">
      <c r="A363" s="450"/>
      <c r="B363" s="447"/>
      <c r="C363" s="447"/>
      <c r="D363" s="447"/>
      <c r="E363" s="447"/>
      <c r="F363" s="447"/>
      <c r="G363" s="447"/>
      <c r="H363" s="447"/>
      <c r="I363" s="447"/>
      <c r="J363" s="447"/>
      <c r="K363" s="447"/>
      <c r="L363" s="447"/>
      <c r="M363" s="447"/>
      <c r="N363" s="447"/>
      <c r="O363" s="447"/>
      <c r="P363" s="447"/>
      <c r="Q363" s="447"/>
      <c r="R363" s="447"/>
      <c r="S363" s="447"/>
      <c r="T363" s="447"/>
      <c r="U363" s="447"/>
      <c r="V363" s="447"/>
      <c r="W363" s="447"/>
      <c r="X363" s="447"/>
      <c r="Y363" s="447"/>
      <c r="Z363" s="447"/>
      <c r="AA363" s="447"/>
      <c r="AB363" s="447"/>
      <c r="AC363" s="447"/>
      <c r="AD363" s="447"/>
      <c r="AE363" s="447"/>
      <c r="AF363" s="448"/>
      <c r="AG363" s="448"/>
      <c r="AH363" s="449"/>
      <c r="AI363" s="447"/>
      <c r="AJ363" s="447"/>
      <c r="AK363" s="447"/>
      <c r="AL363" s="447"/>
      <c r="AM363" s="447"/>
      <c r="AN363" s="447"/>
      <c r="AO363" s="447"/>
      <c r="AP363" s="447"/>
      <c r="AQ363" s="447"/>
      <c r="AR363" s="447"/>
      <c r="AS363" s="447"/>
      <c r="AT363" s="447"/>
      <c r="AU363" s="447"/>
      <c r="AV363" s="447"/>
      <c r="AW363" s="447"/>
      <c r="AX363" s="447"/>
      <c r="AY363" s="447"/>
      <c r="AZ363" s="447"/>
      <c r="BA363" s="447"/>
      <c r="BB363" s="447"/>
      <c r="BC363" s="447"/>
      <c r="BD363" s="447"/>
      <c r="BE363" s="447"/>
      <c r="BF363" s="447"/>
      <c r="BG363" s="447"/>
      <c r="BH363" s="447"/>
      <c r="BI363" s="447"/>
      <c r="BJ363" s="447"/>
      <c r="BK363" s="447"/>
      <c r="BL363" s="447"/>
      <c r="BM363" s="448"/>
      <c r="BN363" s="448"/>
    </row>
    <row r="364" spans="1:66" ht="11.25" customHeight="1">
      <c r="A364" s="450"/>
      <c r="B364" s="447"/>
      <c r="C364" s="447"/>
      <c r="D364" s="447"/>
      <c r="E364" s="447"/>
      <c r="F364" s="447"/>
      <c r="G364" s="447"/>
      <c r="H364" s="447"/>
      <c r="I364" s="447"/>
      <c r="J364" s="447"/>
      <c r="K364" s="447"/>
      <c r="L364" s="447"/>
      <c r="M364" s="447"/>
      <c r="N364" s="447"/>
      <c r="O364" s="447"/>
      <c r="P364" s="447"/>
      <c r="Q364" s="447"/>
      <c r="R364" s="447"/>
      <c r="S364" s="447"/>
      <c r="T364" s="447"/>
      <c r="U364" s="447"/>
      <c r="V364" s="447"/>
      <c r="W364" s="447"/>
      <c r="X364" s="447"/>
      <c r="Y364" s="447"/>
      <c r="Z364" s="447"/>
      <c r="AA364" s="447"/>
      <c r="AB364" s="447"/>
      <c r="AC364" s="447"/>
      <c r="AD364" s="447"/>
      <c r="AE364" s="447"/>
      <c r="AF364" s="448"/>
      <c r="AG364" s="448"/>
      <c r="AH364" s="449"/>
      <c r="AI364" s="447"/>
      <c r="AJ364" s="447"/>
      <c r="AK364" s="447"/>
      <c r="AL364" s="447"/>
      <c r="AM364" s="447"/>
      <c r="AN364" s="447"/>
      <c r="AO364" s="447"/>
      <c r="AP364" s="447"/>
      <c r="AQ364" s="447"/>
      <c r="AR364" s="447"/>
      <c r="AS364" s="447"/>
      <c r="AT364" s="447"/>
      <c r="AU364" s="447"/>
      <c r="AV364" s="447"/>
      <c r="AW364" s="447"/>
      <c r="AX364" s="447"/>
      <c r="AY364" s="447"/>
      <c r="AZ364" s="447"/>
      <c r="BA364" s="447"/>
      <c r="BB364" s="447"/>
      <c r="BC364" s="447"/>
      <c r="BD364" s="447"/>
      <c r="BE364" s="447"/>
      <c r="BF364" s="447"/>
      <c r="BG364" s="447"/>
      <c r="BH364" s="447"/>
      <c r="BI364" s="447"/>
      <c r="BJ364" s="447"/>
      <c r="BK364" s="447"/>
      <c r="BL364" s="447"/>
      <c r="BM364" s="448"/>
      <c r="BN364" s="448"/>
    </row>
    <row r="365" spans="1:66" ht="11.25" customHeight="1">
      <c r="A365" s="450"/>
      <c r="B365" s="447"/>
      <c r="C365" s="447"/>
      <c r="D365" s="447"/>
      <c r="E365" s="447"/>
      <c r="F365" s="447"/>
      <c r="G365" s="447"/>
      <c r="H365" s="447"/>
      <c r="I365" s="447"/>
      <c r="J365" s="447"/>
      <c r="K365" s="447"/>
      <c r="L365" s="447"/>
      <c r="M365" s="447"/>
      <c r="N365" s="447"/>
      <c r="O365" s="447"/>
      <c r="P365" s="447"/>
      <c r="Q365" s="447"/>
      <c r="R365" s="447"/>
      <c r="S365" s="447"/>
      <c r="T365" s="447"/>
      <c r="U365" s="447"/>
      <c r="V365" s="447"/>
      <c r="W365" s="447"/>
      <c r="X365" s="447"/>
      <c r="Y365" s="447"/>
      <c r="Z365" s="447"/>
      <c r="AA365" s="447"/>
      <c r="AB365" s="447"/>
      <c r="AC365" s="447"/>
      <c r="AD365" s="447"/>
      <c r="AE365" s="447"/>
      <c r="AF365" s="448"/>
      <c r="AG365" s="448"/>
      <c r="AH365" s="449"/>
      <c r="AI365" s="447"/>
      <c r="AJ365" s="447"/>
      <c r="AK365" s="447"/>
      <c r="AL365" s="447"/>
      <c r="AM365" s="447"/>
      <c r="AN365" s="447"/>
      <c r="AO365" s="447"/>
      <c r="AP365" s="447"/>
      <c r="AQ365" s="447"/>
      <c r="AR365" s="447"/>
      <c r="AS365" s="447"/>
      <c r="AT365" s="447"/>
      <c r="AU365" s="447"/>
      <c r="AV365" s="447"/>
      <c r="AW365" s="447"/>
      <c r="AX365" s="447"/>
      <c r="AY365" s="447"/>
      <c r="AZ365" s="447"/>
      <c r="BA365" s="447"/>
      <c r="BB365" s="447"/>
      <c r="BC365" s="447"/>
      <c r="BD365" s="447"/>
      <c r="BE365" s="447"/>
      <c r="BF365" s="447"/>
      <c r="BG365" s="447"/>
      <c r="BH365" s="447"/>
      <c r="BI365" s="447"/>
      <c r="BJ365" s="447"/>
      <c r="BK365" s="447"/>
      <c r="BL365" s="447"/>
      <c r="BM365" s="448"/>
      <c r="BN365" s="448"/>
    </row>
    <row r="366" spans="1:66" ht="11.25" customHeight="1">
      <c r="A366" s="450"/>
      <c r="B366" s="447"/>
      <c r="C366" s="447"/>
      <c r="D366" s="447"/>
      <c r="E366" s="447"/>
      <c r="F366" s="447"/>
      <c r="G366" s="447"/>
      <c r="H366" s="447"/>
      <c r="I366" s="447"/>
      <c r="J366" s="447"/>
      <c r="K366" s="447"/>
      <c r="L366" s="447"/>
      <c r="M366" s="447"/>
      <c r="N366" s="447"/>
      <c r="O366" s="447"/>
      <c r="P366" s="447"/>
      <c r="Q366" s="447"/>
      <c r="R366" s="447"/>
      <c r="S366" s="447"/>
      <c r="T366" s="447"/>
      <c r="U366" s="447"/>
      <c r="V366" s="447"/>
      <c r="W366" s="447"/>
      <c r="X366" s="447"/>
      <c r="Y366" s="447"/>
      <c r="Z366" s="447"/>
      <c r="AA366" s="447"/>
      <c r="AB366" s="447"/>
      <c r="AC366" s="447"/>
      <c r="AD366" s="447"/>
      <c r="AE366" s="447"/>
      <c r="AF366" s="448"/>
      <c r="AG366" s="448"/>
      <c r="AH366" s="449"/>
      <c r="AI366" s="447"/>
      <c r="AJ366" s="447"/>
      <c r="AK366" s="447"/>
      <c r="AL366" s="447"/>
      <c r="AM366" s="447"/>
      <c r="AN366" s="447"/>
      <c r="AO366" s="447"/>
      <c r="AP366" s="447"/>
      <c r="AQ366" s="447"/>
      <c r="AR366" s="447"/>
      <c r="AS366" s="447"/>
      <c r="AT366" s="447"/>
      <c r="AU366" s="447"/>
      <c r="AV366" s="447"/>
      <c r="AW366" s="447"/>
      <c r="AX366" s="447"/>
      <c r="AY366" s="447"/>
      <c r="AZ366" s="447"/>
      <c r="BA366" s="447"/>
      <c r="BB366" s="447"/>
      <c r="BC366" s="447"/>
      <c r="BD366" s="447"/>
      <c r="BE366" s="447"/>
      <c r="BF366" s="447"/>
      <c r="BG366" s="447"/>
      <c r="BH366" s="447"/>
      <c r="BI366" s="447"/>
      <c r="BJ366" s="447"/>
      <c r="BK366" s="447"/>
      <c r="BL366" s="447"/>
      <c r="BM366" s="448"/>
      <c r="BN366" s="448"/>
    </row>
    <row r="367" spans="1:66" ht="11.25" customHeight="1">
      <c r="A367" s="450"/>
      <c r="B367" s="447"/>
      <c r="C367" s="447"/>
      <c r="D367" s="447"/>
      <c r="E367" s="447"/>
      <c r="F367" s="447"/>
      <c r="G367" s="447"/>
      <c r="H367" s="447"/>
      <c r="I367" s="447"/>
      <c r="J367" s="447"/>
      <c r="K367" s="447"/>
      <c r="L367" s="447"/>
      <c r="M367" s="447"/>
      <c r="N367" s="447"/>
      <c r="O367" s="447"/>
      <c r="P367" s="447"/>
      <c r="Q367" s="447"/>
      <c r="R367" s="447"/>
      <c r="S367" s="447"/>
      <c r="T367" s="447"/>
      <c r="U367" s="447"/>
      <c r="V367" s="447"/>
      <c r="W367" s="447"/>
      <c r="X367" s="447"/>
      <c r="Y367" s="447"/>
      <c r="Z367" s="447"/>
      <c r="AA367" s="447"/>
      <c r="AB367" s="447"/>
      <c r="AC367" s="447"/>
      <c r="AD367" s="447"/>
      <c r="AE367" s="447"/>
      <c r="AF367" s="448"/>
      <c r="AG367" s="448"/>
      <c r="AH367" s="449"/>
      <c r="AI367" s="447"/>
      <c r="AJ367" s="447"/>
      <c r="AK367" s="447"/>
      <c r="AL367" s="447"/>
      <c r="AM367" s="447"/>
      <c r="AN367" s="447"/>
      <c r="AO367" s="447"/>
      <c r="AP367" s="447"/>
      <c r="AQ367" s="447"/>
      <c r="AR367" s="447"/>
      <c r="AS367" s="447"/>
      <c r="AT367" s="447"/>
      <c r="AU367" s="447"/>
      <c r="AV367" s="447"/>
      <c r="AW367" s="447"/>
      <c r="AX367" s="447"/>
      <c r="AY367" s="447"/>
      <c r="AZ367" s="447"/>
      <c r="BA367" s="447"/>
      <c r="BB367" s="447"/>
      <c r="BC367" s="447"/>
      <c r="BD367" s="447"/>
      <c r="BE367" s="447"/>
      <c r="BF367" s="447"/>
      <c r="BG367" s="447"/>
      <c r="BH367" s="447"/>
      <c r="BI367" s="447"/>
      <c r="BJ367" s="447"/>
      <c r="BK367" s="447"/>
      <c r="BL367" s="447"/>
      <c r="BM367" s="448"/>
      <c r="BN367" s="448"/>
    </row>
    <row r="368" spans="1:66" ht="11.25" customHeight="1">
      <c r="A368" s="450"/>
      <c r="B368" s="447"/>
      <c r="C368" s="447"/>
      <c r="D368" s="447"/>
      <c r="E368" s="447"/>
      <c r="F368" s="447"/>
      <c r="G368" s="447"/>
      <c r="H368" s="447"/>
      <c r="I368" s="447"/>
      <c r="J368" s="447"/>
      <c r="K368" s="447"/>
      <c r="L368" s="447"/>
      <c r="M368" s="447"/>
      <c r="N368" s="447"/>
      <c r="O368" s="447"/>
      <c r="P368" s="447"/>
      <c r="Q368" s="447"/>
      <c r="R368" s="447"/>
      <c r="S368" s="447"/>
      <c r="T368" s="447"/>
      <c r="U368" s="447"/>
      <c r="V368" s="447"/>
      <c r="W368" s="447"/>
      <c r="X368" s="447"/>
      <c r="Y368" s="447"/>
      <c r="Z368" s="447"/>
      <c r="AA368" s="447"/>
      <c r="AB368" s="447"/>
      <c r="AC368" s="447"/>
      <c r="AD368" s="447"/>
      <c r="AE368" s="447"/>
      <c r="AF368" s="448"/>
      <c r="AG368" s="448"/>
      <c r="AH368" s="449"/>
      <c r="AI368" s="447"/>
      <c r="AJ368" s="447"/>
      <c r="AK368" s="447"/>
      <c r="AL368" s="447"/>
      <c r="AM368" s="447"/>
      <c r="AN368" s="447"/>
      <c r="AO368" s="447"/>
      <c r="AP368" s="447"/>
      <c r="AQ368" s="447"/>
      <c r="AR368" s="447"/>
      <c r="AS368" s="447"/>
      <c r="AT368" s="447"/>
      <c r="AU368" s="447"/>
      <c r="AV368" s="447"/>
      <c r="AW368" s="447"/>
      <c r="AX368" s="447"/>
      <c r="AY368" s="447"/>
      <c r="AZ368" s="447"/>
      <c r="BA368" s="447"/>
      <c r="BB368" s="447"/>
      <c r="BC368" s="447"/>
      <c r="BD368" s="447"/>
      <c r="BE368" s="447"/>
      <c r="BF368" s="447"/>
      <c r="BG368" s="447"/>
      <c r="BH368" s="447"/>
      <c r="BI368" s="447"/>
      <c r="BJ368" s="447"/>
      <c r="BK368" s="447"/>
      <c r="BL368" s="447"/>
      <c r="BM368" s="448"/>
      <c r="BN368" s="448"/>
    </row>
    <row r="369" spans="1:66" ht="11.25" customHeight="1">
      <c r="A369" s="450"/>
      <c r="B369" s="447"/>
      <c r="C369" s="447"/>
      <c r="D369" s="447"/>
      <c r="E369" s="447"/>
      <c r="F369" s="447"/>
      <c r="G369" s="447"/>
      <c r="H369" s="447"/>
      <c r="I369" s="447"/>
      <c r="J369" s="447"/>
      <c r="K369" s="447"/>
      <c r="L369" s="447"/>
      <c r="M369" s="447"/>
      <c r="N369" s="447"/>
      <c r="O369" s="447"/>
      <c r="P369" s="447"/>
      <c r="Q369" s="447"/>
      <c r="R369" s="447"/>
      <c r="S369" s="447"/>
      <c r="T369" s="447"/>
      <c r="U369" s="447"/>
      <c r="V369" s="447"/>
      <c r="W369" s="447"/>
      <c r="X369" s="447"/>
      <c r="Y369" s="447"/>
      <c r="Z369" s="447"/>
      <c r="AA369" s="447"/>
      <c r="AB369" s="447"/>
      <c r="AC369" s="447"/>
      <c r="AD369" s="447"/>
      <c r="AE369" s="447"/>
      <c r="AF369" s="448"/>
      <c r="AG369" s="448"/>
      <c r="AH369" s="449"/>
      <c r="AI369" s="447"/>
      <c r="AJ369" s="447"/>
      <c r="AK369" s="447"/>
      <c r="AL369" s="447"/>
      <c r="AM369" s="447"/>
      <c r="AN369" s="447"/>
      <c r="AO369" s="447"/>
      <c r="AP369" s="447"/>
      <c r="AQ369" s="447"/>
      <c r="AR369" s="447"/>
      <c r="AS369" s="447"/>
      <c r="AT369" s="447"/>
      <c r="AU369" s="447"/>
      <c r="AV369" s="447"/>
      <c r="AW369" s="447"/>
      <c r="AX369" s="447"/>
      <c r="AY369" s="447"/>
      <c r="AZ369" s="447"/>
      <c r="BA369" s="447"/>
      <c r="BB369" s="447"/>
      <c r="BC369" s="447"/>
      <c r="BD369" s="447"/>
      <c r="BE369" s="447"/>
      <c r="BF369" s="447"/>
      <c r="BG369" s="447"/>
      <c r="BH369" s="447"/>
      <c r="BI369" s="447"/>
      <c r="BJ369" s="447"/>
      <c r="BK369" s="447"/>
      <c r="BL369" s="447"/>
      <c r="BM369" s="448"/>
      <c r="BN369" s="448"/>
    </row>
    <row r="370" spans="1:66" ht="11.25" customHeight="1">
      <c r="A370" s="450"/>
      <c r="B370" s="447"/>
      <c r="C370" s="447"/>
      <c r="D370" s="447"/>
      <c r="E370" s="447"/>
      <c r="F370" s="447"/>
      <c r="G370" s="447"/>
      <c r="H370" s="447"/>
      <c r="I370" s="447"/>
      <c r="J370" s="447"/>
      <c r="K370" s="447"/>
      <c r="L370" s="447"/>
      <c r="M370" s="447"/>
      <c r="N370" s="447"/>
      <c r="O370" s="447"/>
      <c r="P370" s="447"/>
      <c r="Q370" s="447"/>
      <c r="R370" s="447"/>
      <c r="S370" s="447"/>
      <c r="T370" s="447"/>
      <c r="U370" s="447"/>
      <c r="V370" s="447"/>
      <c r="W370" s="447"/>
      <c r="X370" s="447"/>
      <c r="Y370" s="447"/>
      <c r="Z370" s="447"/>
      <c r="AA370" s="447"/>
      <c r="AB370" s="447"/>
      <c r="AC370" s="447"/>
      <c r="AD370" s="447"/>
      <c r="AE370" s="447"/>
      <c r="AF370" s="448"/>
      <c r="AG370" s="448"/>
      <c r="AH370" s="449"/>
      <c r="AI370" s="447"/>
      <c r="AJ370" s="447"/>
      <c r="AK370" s="447"/>
      <c r="AL370" s="447"/>
      <c r="AM370" s="447"/>
      <c r="AN370" s="447"/>
      <c r="AO370" s="447"/>
      <c r="AP370" s="447"/>
      <c r="AQ370" s="447"/>
      <c r="AR370" s="447"/>
      <c r="AS370" s="447"/>
      <c r="AT370" s="447"/>
      <c r="AU370" s="447"/>
      <c r="AV370" s="447"/>
      <c r="AW370" s="447"/>
      <c r="AX370" s="447"/>
      <c r="AY370" s="447"/>
      <c r="AZ370" s="447"/>
      <c r="BA370" s="447"/>
      <c r="BB370" s="447"/>
      <c r="BC370" s="447"/>
      <c r="BD370" s="447"/>
      <c r="BE370" s="447"/>
      <c r="BF370" s="447"/>
      <c r="BG370" s="447"/>
      <c r="BH370" s="447"/>
      <c r="BI370" s="447"/>
      <c r="BJ370" s="447"/>
      <c r="BK370" s="447"/>
      <c r="BL370" s="447"/>
      <c r="BM370" s="448"/>
      <c r="BN370" s="448"/>
    </row>
    <row r="371" spans="1:66" ht="11.25" customHeight="1">
      <c r="A371" s="450"/>
      <c r="B371" s="447"/>
      <c r="C371" s="447"/>
      <c r="D371" s="447"/>
      <c r="E371" s="447"/>
      <c r="F371" s="447"/>
      <c r="G371" s="447"/>
      <c r="H371" s="447"/>
      <c r="I371" s="447"/>
      <c r="J371" s="447"/>
      <c r="K371" s="447"/>
      <c r="L371" s="447"/>
      <c r="M371" s="447"/>
      <c r="N371" s="447"/>
      <c r="O371" s="447"/>
      <c r="P371" s="447"/>
      <c r="Q371" s="447"/>
      <c r="R371" s="447"/>
      <c r="S371" s="447"/>
      <c r="T371" s="447"/>
      <c r="U371" s="447"/>
      <c r="V371" s="447"/>
      <c r="W371" s="447"/>
      <c r="X371" s="447"/>
      <c r="Y371" s="447"/>
      <c r="Z371" s="447"/>
      <c r="AA371" s="447"/>
      <c r="AB371" s="447"/>
      <c r="AC371" s="447"/>
      <c r="AD371" s="447"/>
      <c r="AE371" s="447"/>
      <c r="AF371" s="448"/>
      <c r="AG371" s="448"/>
      <c r="AH371" s="449"/>
      <c r="AI371" s="447"/>
      <c r="AJ371" s="447"/>
      <c r="AK371" s="447"/>
      <c r="AL371" s="447"/>
      <c r="AM371" s="447"/>
      <c r="AN371" s="447"/>
      <c r="AO371" s="447"/>
      <c r="AP371" s="447"/>
      <c r="AQ371" s="447"/>
      <c r="AR371" s="447"/>
      <c r="AS371" s="447"/>
      <c r="AT371" s="447"/>
      <c r="AU371" s="447"/>
      <c r="AV371" s="447"/>
      <c r="AW371" s="447"/>
      <c r="AX371" s="447"/>
      <c r="AY371" s="447"/>
      <c r="AZ371" s="447"/>
      <c r="BA371" s="447"/>
      <c r="BB371" s="447"/>
      <c r="BC371" s="447"/>
      <c r="BD371" s="447"/>
      <c r="BE371" s="447"/>
      <c r="BF371" s="447"/>
      <c r="BG371" s="447"/>
      <c r="BH371" s="447"/>
      <c r="BI371" s="447"/>
      <c r="BJ371" s="447"/>
      <c r="BK371" s="447"/>
      <c r="BL371" s="447"/>
      <c r="BM371" s="448"/>
      <c r="BN371" s="448"/>
    </row>
    <row r="372" spans="1:66" ht="11.25" customHeight="1">
      <c r="A372" s="450"/>
      <c r="B372" s="447"/>
      <c r="C372" s="447"/>
      <c r="D372" s="447"/>
      <c r="E372" s="447"/>
      <c r="F372" s="447"/>
      <c r="G372" s="447"/>
      <c r="H372" s="447"/>
      <c r="I372" s="447"/>
      <c r="J372" s="447"/>
      <c r="K372" s="447"/>
      <c r="L372" s="447"/>
      <c r="M372" s="447"/>
      <c r="N372" s="447"/>
      <c r="O372" s="447"/>
      <c r="P372" s="447"/>
      <c r="Q372" s="447"/>
      <c r="R372" s="447"/>
      <c r="S372" s="447"/>
      <c r="T372" s="447"/>
      <c r="U372" s="447"/>
      <c r="V372" s="447"/>
      <c r="W372" s="447"/>
      <c r="X372" s="447"/>
      <c r="Y372" s="447"/>
      <c r="Z372" s="447"/>
      <c r="AA372" s="447"/>
      <c r="AB372" s="447"/>
      <c r="AC372" s="447"/>
      <c r="AD372" s="447"/>
      <c r="AE372" s="447"/>
      <c r="AF372" s="448"/>
      <c r="AG372" s="448"/>
      <c r="AH372" s="449"/>
      <c r="AI372" s="447"/>
      <c r="AJ372" s="447"/>
      <c r="AK372" s="447"/>
      <c r="AL372" s="447"/>
      <c r="AM372" s="447"/>
      <c r="AN372" s="447"/>
      <c r="AO372" s="447"/>
      <c r="AP372" s="447"/>
      <c r="AQ372" s="447"/>
      <c r="AR372" s="447"/>
      <c r="AS372" s="447"/>
      <c r="AT372" s="447"/>
      <c r="AU372" s="447"/>
      <c r="AV372" s="447"/>
      <c r="AW372" s="447"/>
      <c r="AX372" s="447"/>
      <c r="AY372" s="447"/>
      <c r="AZ372" s="447"/>
      <c r="BA372" s="447"/>
      <c r="BB372" s="447"/>
      <c r="BC372" s="447"/>
      <c r="BD372" s="447"/>
      <c r="BE372" s="447"/>
      <c r="BF372" s="447"/>
      <c r="BG372" s="447"/>
      <c r="BH372" s="447"/>
      <c r="BI372" s="447"/>
      <c r="BJ372" s="447"/>
      <c r="BK372" s="447"/>
      <c r="BL372" s="447"/>
      <c r="BM372" s="448"/>
      <c r="BN372" s="448"/>
    </row>
    <row r="373" spans="1:66" ht="11.25" customHeight="1">
      <c r="A373" s="450"/>
      <c r="B373" s="447"/>
      <c r="C373" s="447"/>
      <c r="D373" s="447"/>
      <c r="E373" s="447"/>
      <c r="F373" s="447"/>
      <c r="G373" s="447"/>
      <c r="H373" s="447"/>
      <c r="I373" s="447"/>
      <c r="J373" s="447"/>
      <c r="K373" s="447"/>
      <c r="L373" s="447"/>
      <c r="M373" s="447"/>
      <c r="N373" s="447"/>
      <c r="O373" s="447"/>
      <c r="P373" s="447"/>
      <c r="Q373" s="447"/>
      <c r="R373" s="447"/>
      <c r="S373" s="447"/>
      <c r="T373" s="447"/>
      <c r="U373" s="447"/>
      <c r="V373" s="447"/>
      <c r="W373" s="447"/>
      <c r="X373" s="447"/>
      <c r="Y373" s="447"/>
      <c r="Z373" s="447"/>
      <c r="AA373" s="447"/>
      <c r="AB373" s="447"/>
      <c r="AC373" s="447"/>
      <c r="AD373" s="447"/>
      <c r="AE373" s="447"/>
      <c r="AF373" s="448"/>
      <c r="AG373" s="448"/>
      <c r="AH373" s="449"/>
      <c r="AI373" s="447"/>
      <c r="AJ373" s="447"/>
      <c r="AK373" s="447"/>
      <c r="AL373" s="447"/>
      <c r="AM373" s="447"/>
      <c r="AN373" s="447"/>
      <c r="AO373" s="447"/>
      <c r="AP373" s="447"/>
      <c r="AQ373" s="447"/>
      <c r="AR373" s="447"/>
      <c r="AS373" s="447"/>
      <c r="AT373" s="447"/>
      <c r="AU373" s="447"/>
      <c r="AV373" s="447"/>
      <c r="AW373" s="447"/>
      <c r="AX373" s="447"/>
      <c r="AY373" s="447"/>
      <c r="AZ373" s="447"/>
      <c r="BA373" s="447"/>
      <c r="BB373" s="447"/>
      <c r="BC373" s="447"/>
      <c r="BD373" s="447"/>
      <c r="BE373" s="447"/>
      <c r="BF373" s="447"/>
      <c r="BG373" s="447"/>
      <c r="BH373" s="447"/>
      <c r="BI373" s="447"/>
      <c r="BJ373" s="447"/>
      <c r="BK373" s="447"/>
      <c r="BL373" s="447"/>
      <c r="BM373" s="448"/>
      <c r="BN373" s="448"/>
    </row>
    <row r="374" spans="1:66" ht="11.25" customHeight="1">
      <c r="A374" s="450"/>
      <c r="B374" s="447"/>
      <c r="C374" s="447"/>
      <c r="D374" s="447"/>
      <c r="E374" s="447"/>
      <c r="F374" s="447"/>
      <c r="G374" s="447"/>
      <c r="H374" s="447"/>
      <c r="I374" s="447"/>
      <c r="J374" s="447"/>
      <c r="K374" s="447"/>
      <c r="L374" s="447"/>
      <c r="M374" s="447"/>
      <c r="N374" s="447"/>
      <c r="O374" s="447"/>
      <c r="P374" s="447"/>
      <c r="Q374" s="447"/>
      <c r="R374" s="447"/>
      <c r="S374" s="447"/>
      <c r="T374" s="447"/>
      <c r="U374" s="447"/>
      <c r="V374" s="447"/>
      <c r="W374" s="447"/>
      <c r="X374" s="447"/>
      <c r="Y374" s="447"/>
      <c r="Z374" s="447"/>
      <c r="AA374" s="447"/>
      <c r="AB374" s="447"/>
      <c r="AC374" s="447"/>
      <c r="AD374" s="447"/>
      <c r="AE374" s="447"/>
      <c r="AF374" s="448"/>
      <c r="AG374" s="448"/>
      <c r="AH374" s="449"/>
      <c r="AI374" s="447"/>
      <c r="AJ374" s="447"/>
      <c r="AK374" s="447"/>
      <c r="AL374" s="447"/>
      <c r="AM374" s="447"/>
      <c r="AN374" s="447"/>
      <c r="AO374" s="447"/>
      <c r="AP374" s="447"/>
      <c r="AQ374" s="447"/>
      <c r="AR374" s="447"/>
      <c r="AS374" s="447"/>
      <c r="AT374" s="447"/>
      <c r="AU374" s="447"/>
      <c r="AV374" s="447"/>
      <c r="AW374" s="447"/>
      <c r="AX374" s="447"/>
      <c r="AY374" s="447"/>
      <c r="AZ374" s="447"/>
      <c r="BA374" s="447"/>
      <c r="BB374" s="447"/>
      <c r="BC374" s="447"/>
      <c r="BD374" s="447"/>
      <c r="BE374" s="447"/>
      <c r="BF374" s="447"/>
      <c r="BG374" s="447"/>
      <c r="BH374" s="447"/>
      <c r="BI374" s="447"/>
      <c r="BJ374" s="447"/>
      <c r="BK374" s="447"/>
      <c r="BL374" s="447"/>
      <c r="BM374" s="448"/>
      <c r="BN374" s="448"/>
    </row>
    <row r="375" spans="1:66" ht="11.25" customHeight="1">
      <c r="A375" s="450"/>
      <c r="B375" s="447"/>
      <c r="C375" s="447"/>
      <c r="D375" s="447"/>
      <c r="E375" s="447"/>
      <c r="F375" s="447"/>
      <c r="G375" s="447"/>
      <c r="H375" s="447"/>
      <c r="I375" s="447"/>
      <c r="J375" s="447"/>
      <c r="K375" s="447"/>
      <c r="L375" s="447"/>
      <c r="M375" s="447"/>
      <c r="N375" s="447"/>
      <c r="O375" s="447"/>
      <c r="P375" s="447"/>
      <c r="Q375" s="447"/>
      <c r="R375" s="447"/>
      <c r="S375" s="447"/>
      <c r="T375" s="447"/>
      <c r="U375" s="447"/>
      <c r="V375" s="447"/>
      <c r="W375" s="447"/>
      <c r="X375" s="447"/>
      <c r="Y375" s="447"/>
      <c r="Z375" s="447"/>
      <c r="AA375" s="447"/>
      <c r="AB375" s="447"/>
      <c r="AC375" s="447"/>
      <c r="AD375" s="447"/>
      <c r="AE375" s="447"/>
      <c r="AF375" s="448"/>
      <c r="AG375" s="448"/>
      <c r="AH375" s="449"/>
      <c r="AI375" s="447"/>
      <c r="AJ375" s="447"/>
      <c r="AK375" s="447"/>
      <c r="AL375" s="447"/>
      <c r="AM375" s="447"/>
      <c r="AN375" s="447"/>
      <c r="AO375" s="447"/>
      <c r="AP375" s="447"/>
      <c r="AQ375" s="447"/>
      <c r="AR375" s="447"/>
      <c r="AS375" s="447"/>
      <c r="AT375" s="447"/>
      <c r="AU375" s="447"/>
      <c r="AV375" s="447"/>
      <c r="AW375" s="447"/>
      <c r="AX375" s="447"/>
      <c r="AY375" s="447"/>
      <c r="AZ375" s="447"/>
      <c r="BA375" s="447"/>
      <c r="BB375" s="447"/>
      <c r="BC375" s="447"/>
      <c r="BD375" s="447"/>
      <c r="BE375" s="447"/>
      <c r="BF375" s="447"/>
      <c r="BG375" s="447"/>
      <c r="BH375" s="447"/>
      <c r="BI375" s="447"/>
      <c r="BJ375" s="447"/>
      <c r="BK375" s="447"/>
      <c r="BL375" s="447"/>
      <c r="BM375" s="448"/>
      <c r="BN375" s="448"/>
    </row>
    <row r="376" spans="1:66" ht="11.25" customHeight="1">
      <c r="A376" s="450"/>
      <c r="B376" s="447"/>
      <c r="C376" s="447"/>
      <c r="D376" s="447"/>
      <c r="E376" s="447"/>
      <c r="F376" s="447"/>
      <c r="G376" s="447"/>
      <c r="H376" s="447"/>
      <c r="I376" s="447"/>
      <c r="J376" s="447"/>
      <c r="K376" s="447"/>
      <c r="L376" s="447"/>
      <c r="M376" s="447"/>
      <c r="N376" s="447"/>
      <c r="O376" s="447"/>
      <c r="P376" s="447"/>
      <c r="Q376" s="447"/>
      <c r="R376" s="447"/>
      <c r="S376" s="447"/>
      <c r="T376" s="447"/>
      <c r="U376" s="447"/>
      <c r="V376" s="447"/>
      <c r="W376" s="447"/>
      <c r="X376" s="447"/>
      <c r="Y376" s="447"/>
      <c r="Z376" s="447"/>
      <c r="AA376" s="447"/>
      <c r="AB376" s="447"/>
      <c r="AC376" s="447"/>
      <c r="AD376" s="447"/>
      <c r="AE376" s="447"/>
      <c r="AF376" s="448"/>
      <c r="AG376" s="448"/>
      <c r="AH376" s="449"/>
      <c r="AI376" s="447"/>
      <c r="AJ376" s="447"/>
      <c r="AK376" s="447"/>
      <c r="AL376" s="447"/>
      <c r="AM376" s="447"/>
      <c r="AN376" s="447"/>
      <c r="AO376" s="447"/>
      <c r="AP376" s="447"/>
      <c r="AQ376" s="447"/>
      <c r="AR376" s="447"/>
      <c r="AS376" s="447"/>
      <c r="AT376" s="447"/>
      <c r="AU376" s="447"/>
      <c r="AV376" s="447"/>
      <c r="AW376" s="447"/>
      <c r="AX376" s="447"/>
      <c r="AY376" s="447"/>
      <c r="AZ376" s="447"/>
      <c r="BA376" s="447"/>
      <c r="BB376" s="447"/>
      <c r="BC376" s="447"/>
      <c r="BD376" s="447"/>
      <c r="BE376" s="447"/>
      <c r="BF376" s="447"/>
      <c r="BG376" s="447"/>
      <c r="BH376" s="447"/>
      <c r="BI376" s="447"/>
      <c r="BJ376" s="447"/>
      <c r="BK376" s="447"/>
      <c r="BL376" s="447"/>
      <c r="BM376" s="448"/>
      <c r="BN376" s="448"/>
    </row>
    <row r="377" spans="1:66" ht="11.25" customHeight="1">
      <c r="A377" s="450"/>
      <c r="B377" s="447"/>
      <c r="C377" s="447"/>
      <c r="D377" s="447"/>
      <c r="E377" s="447"/>
      <c r="F377" s="447"/>
      <c r="G377" s="447"/>
      <c r="H377" s="447"/>
      <c r="I377" s="447"/>
      <c r="J377" s="447"/>
      <c r="K377" s="447"/>
      <c r="L377" s="447"/>
      <c r="M377" s="447"/>
      <c r="N377" s="447"/>
      <c r="O377" s="447"/>
      <c r="P377" s="447"/>
      <c r="Q377" s="447"/>
      <c r="R377" s="447"/>
      <c r="S377" s="447"/>
      <c r="T377" s="447"/>
      <c r="U377" s="447"/>
      <c r="V377" s="447"/>
      <c r="W377" s="447"/>
      <c r="X377" s="447"/>
      <c r="Y377" s="447"/>
      <c r="Z377" s="447"/>
      <c r="AA377" s="447"/>
      <c r="AB377" s="447"/>
      <c r="AC377" s="447"/>
      <c r="AD377" s="447"/>
      <c r="AE377" s="447"/>
      <c r="AF377" s="448"/>
      <c r="AG377" s="448"/>
      <c r="AH377" s="449"/>
      <c r="AI377" s="447"/>
      <c r="AJ377" s="447"/>
      <c r="AK377" s="447"/>
      <c r="AL377" s="447"/>
      <c r="AM377" s="447"/>
      <c r="AN377" s="447"/>
      <c r="AO377" s="447"/>
      <c r="AP377" s="447"/>
      <c r="AQ377" s="447"/>
      <c r="AR377" s="447"/>
      <c r="AS377" s="447"/>
      <c r="AT377" s="447"/>
      <c r="AU377" s="447"/>
      <c r="AV377" s="447"/>
      <c r="AW377" s="447"/>
      <c r="AX377" s="447"/>
      <c r="AY377" s="447"/>
      <c r="AZ377" s="447"/>
      <c r="BA377" s="447"/>
      <c r="BB377" s="447"/>
      <c r="BC377" s="447"/>
      <c r="BD377" s="447"/>
      <c r="BE377" s="447"/>
      <c r="BF377" s="447"/>
      <c r="BG377" s="447"/>
      <c r="BH377" s="447"/>
      <c r="BI377" s="447"/>
      <c r="BJ377" s="447"/>
      <c r="BK377" s="447"/>
      <c r="BL377" s="447"/>
      <c r="BM377" s="448"/>
      <c r="BN377" s="448"/>
    </row>
    <row r="378" spans="1:66" ht="11.25" customHeight="1">
      <c r="A378" s="450"/>
      <c r="B378" s="447"/>
      <c r="C378" s="447"/>
      <c r="D378" s="447"/>
      <c r="E378" s="447"/>
      <c r="F378" s="447"/>
      <c r="G378" s="447"/>
      <c r="H378" s="447"/>
      <c r="I378" s="447"/>
      <c r="J378" s="447"/>
      <c r="K378" s="447"/>
      <c r="L378" s="447"/>
      <c r="M378" s="447"/>
      <c r="N378" s="447"/>
      <c r="O378" s="447"/>
      <c r="P378" s="447"/>
      <c r="Q378" s="447"/>
      <c r="R378" s="447"/>
      <c r="S378" s="447"/>
      <c r="T378" s="447"/>
      <c r="U378" s="447"/>
      <c r="V378" s="447"/>
      <c r="W378" s="447"/>
      <c r="X378" s="447"/>
      <c r="Y378" s="447"/>
      <c r="Z378" s="447"/>
      <c r="AA378" s="447"/>
      <c r="AB378" s="447"/>
      <c r="AC378" s="447"/>
      <c r="AD378" s="447"/>
      <c r="AE378" s="447"/>
      <c r="AF378" s="448"/>
      <c r="AG378" s="448"/>
      <c r="AH378" s="449"/>
      <c r="AI378" s="447"/>
      <c r="AJ378" s="447"/>
      <c r="AK378" s="447"/>
      <c r="AL378" s="447"/>
      <c r="AM378" s="447"/>
      <c r="AN378" s="447"/>
      <c r="AO378" s="447"/>
      <c r="AP378" s="447"/>
      <c r="AQ378" s="447"/>
      <c r="AR378" s="447"/>
      <c r="AS378" s="447"/>
      <c r="AT378" s="447"/>
      <c r="AU378" s="447"/>
      <c r="AV378" s="447"/>
      <c r="AW378" s="447"/>
      <c r="AX378" s="447"/>
      <c r="AY378" s="447"/>
      <c r="AZ378" s="447"/>
      <c r="BA378" s="447"/>
      <c r="BB378" s="447"/>
      <c r="BC378" s="447"/>
      <c r="BD378" s="447"/>
      <c r="BE378" s="447"/>
      <c r="BF378" s="447"/>
      <c r="BG378" s="447"/>
      <c r="BH378" s="447"/>
      <c r="BI378" s="447"/>
      <c r="BJ378" s="447"/>
      <c r="BK378" s="447"/>
      <c r="BL378" s="447"/>
      <c r="BM378" s="448"/>
      <c r="BN378" s="448"/>
    </row>
    <row r="379" spans="1:66" ht="11.25" customHeight="1">
      <c r="A379" s="450"/>
      <c r="B379" s="447"/>
      <c r="C379" s="447"/>
      <c r="D379" s="447"/>
      <c r="E379" s="447"/>
      <c r="F379" s="447"/>
      <c r="G379" s="447"/>
      <c r="H379" s="447"/>
      <c r="I379" s="447"/>
      <c r="J379" s="447"/>
      <c r="K379" s="447"/>
      <c r="L379" s="447"/>
      <c r="M379" s="447"/>
      <c r="N379" s="447"/>
      <c r="O379" s="447"/>
      <c r="P379" s="447"/>
      <c r="Q379" s="447"/>
      <c r="R379" s="447"/>
      <c r="S379" s="447"/>
      <c r="T379" s="447"/>
      <c r="U379" s="447"/>
      <c r="V379" s="447"/>
      <c r="W379" s="447"/>
      <c r="X379" s="447"/>
      <c r="Y379" s="447"/>
      <c r="Z379" s="447"/>
      <c r="AA379" s="447"/>
      <c r="AB379" s="447"/>
      <c r="AC379" s="447"/>
      <c r="AD379" s="447"/>
      <c r="AE379" s="447"/>
      <c r="AF379" s="448"/>
      <c r="AG379" s="448"/>
      <c r="AH379" s="449"/>
      <c r="AI379" s="447"/>
      <c r="AJ379" s="447"/>
      <c r="AK379" s="447"/>
      <c r="AL379" s="447"/>
      <c r="AM379" s="447"/>
      <c r="AN379" s="447"/>
      <c r="AO379" s="447"/>
      <c r="AP379" s="447"/>
      <c r="AQ379" s="447"/>
      <c r="AR379" s="447"/>
      <c r="AS379" s="447"/>
      <c r="AT379" s="447"/>
      <c r="AU379" s="447"/>
      <c r="AV379" s="447"/>
      <c r="AW379" s="447"/>
      <c r="AX379" s="447"/>
      <c r="AY379" s="447"/>
      <c r="AZ379" s="447"/>
      <c r="BA379" s="447"/>
      <c r="BB379" s="447"/>
      <c r="BC379" s="447"/>
      <c r="BD379" s="447"/>
      <c r="BE379" s="447"/>
      <c r="BF379" s="447"/>
      <c r="BG379" s="447"/>
      <c r="BH379" s="447"/>
      <c r="BI379" s="447"/>
      <c r="BJ379" s="447"/>
      <c r="BK379" s="447"/>
      <c r="BL379" s="447"/>
      <c r="BM379" s="448"/>
      <c r="BN379" s="448"/>
    </row>
    <row r="380" spans="1:66" ht="11.25" customHeight="1">
      <c r="A380" s="450"/>
      <c r="B380" s="447"/>
      <c r="C380" s="447"/>
      <c r="D380" s="447"/>
      <c r="E380" s="447"/>
      <c r="F380" s="447"/>
      <c r="G380" s="447"/>
      <c r="H380" s="447"/>
      <c r="I380" s="447"/>
      <c r="J380" s="447"/>
      <c r="K380" s="447"/>
      <c r="L380" s="447"/>
      <c r="M380" s="447"/>
      <c r="N380" s="447"/>
      <c r="O380" s="447"/>
      <c r="P380" s="447"/>
      <c r="Q380" s="447"/>
      <c r="R380" s="447"/>
      <c r="S380" s="447"/>
      <c r="T380" s="447"/>
      <c r="U380" s="447"/>
      <c r="V380" s="447"/>
      <c r="W380" s="447"/>
      <c r="X380" s="447"/>
      <c r="Y380" s="447"/>
      <c r="Z380" s="447"/>
      <c r="AA380" s="447"/>
      <c r="AB380" s="447"/>
      <c r="AC380" s="447"/>
      <c r="AD380" s="447"/>
      <c r="AE380" s="447"/>
      <c r="AF380" s="448"/>
      <c r="AG380" s="448"/>
      <c r="AH380" s="449"/>
      <c r="AI380" s="447"/>
      <c r="AJ380" s="447"/>
      <c r="AK380" s="447"/>
      <c r="AL380" s="447"/>
      <c r="AM380" s="447"/>
      <c r="AN380" s="447"/>
      <c r="AO380" s="447"/>
      <c r="AP380" s="447"/>
      <c r="AQ380" s="447"/>
      <c r="AR380" s="447"/>
      <c r="AS380" s="447"/>
      <c r="AT380" s="447"/>
      <c r="AU380" s="447"/>
      <c r="AV380" s="447"/>
      <c r="AW380" s="447"/>
      <c r="AX380" s="447"/>
      <c r="AY380" s="447"/>
      <c r="AZ380" s="447"/>
      <c r="BA380" s="447"/>
      <c r="BB380" s="447"/>
      <c r="BC380" s="447"/>
      <c r="BD380" s="447"/>
      <c r="BE380" s="447"/>
      <c r="BF380" s="447"/>
      <c r="BG380" s="447"/>
      <c r="BH380" s="447"/>
      <c r="BI380" s="447"/>
      <c r="BJ380" s="447"/>
      <c r="BK380" s="447"/>
      <c r="BL380" s="447"/>
      <c r="BM380" s="448"/>
      <c r="BN380" s="448"/>
    </row>
    <row r="381" spans="1:66" ht="11.25" customHeight="1">
      <c r="A381" s="450"/>
      <c r="B381" s="447"/>
      <c r="C381" s="447"/>
      <c r="D381" s="447"/>
      <c r="E381" s="447"/>
      <c r="F381" s="447"/>
      <c r="G381" s="447"/>
      <c r="H381" s="447"/>
      <c r="I381" s="447"/>
      <c r="J381" s="447"/>
      <c r="K381" s="447"/>
      <c r="L381" s="447"/>
      <c r="M381" s="447"/>
      <c r="N381" s="447"/>
      <c r="O381" s="447"/>
      <c r="P381" s="447"/>
      <c r="Q381" s="447"/>
      <c r="R381" s="447"/>
      <c r="S381" s="447"/>
      <c r="T381" s="447"/>
      <c r="U381" s="447"/>
      <c r="V381" s="447"/>
      <c r="W381" s="447"/>
      <c r="X381" s="447"/>
      <c r="Y381" s="447"/>
      <c r="Z381" s="447"/>
      <c r="AA381" s="447"/>
      <c r="AB381" s="447"/>
      <c r="AC381" s="447"/>
      <c r="AD381" s="447"/>
      <c r="AE381" s="447"/>
      <c r="AF381" s="448"/>
      <c r="AG381" s="448"/>
      <c r="AH381" s="449"/>
      <c r="AI381" s="447"/>
      <c r="AJ381" s="447"/>
      <c r="AK381" s="447"/>
      <c r="AL381" s="447"/>
      <c r="AM381" s="447"/>
      <c r="AN381" s="447"/>
      <c r="AO381" s="447"/>
      <c r="AP381" s="447"/>
      <c r="AQ381" s="447"/>
      <c r="AR381" s="447"/>
      <c r="AS381" s="447"/>
      <c r="AT381" s="447"/>
      <c r="AU381" s="447"/>
      <c r="AV381" s="447"/>
      <c r="AW381" s="447"/>
      <c r="AX381" s="447"/>
      <c r="AY381" s="447"/>
      <c r="AZ381" s="447"/>
      <c r="BA381" s="447"/>
      <c r="BB381" s="447"/>
      <c r="BC381" s="447"/>
      <c r="BD381" s="447"/>
      <c r="BE381" s="447"/>
      <c r="BF381" s="447"/>
      <c r="BG381" s="447"/>
      <c r="BH381" s="447"/>
      <c r="BI381" s="447"/>
      <c r="BJ381" s="447"/>
      <c r="BK381" s="447"/>
      <c r="BL381" s="447"/>
      <c r="BM381" s="448"/>
      <c r="BN381" s="448"/>
    </row>
    <row r="382" spans="1:66" ht="11.25" customHeight="1">
      <c r="A382" s="450"/>
      <c r="B382" s="447"/>
      <c r="C382" s="447"/>
      <c r="D382" s="447"/>
      <c r="E382" s="447"/>
      <c r="F382" s="447"/>
      <c r="G382" s="447"/>
      <c r="H382" s="447"/>
      <c r="I382" s="447"/>
      <c r="J382" s="447"/>
      <c r="K382" s="447"/>
      <c r="L382" s="447"/>
      <c r="M382" s="447"/>
      <c r="N382" s="447"/>
      <c r="O382" s="447"/>
      <c r="P382" s="447"/>
      <c r="Q382" s="447"/>
      <c r="R382" s="447"/>
      <c r="S382" s="447"/>
      <c r="T382" s="447"/>
      <c r="U382" s="447"/>
      <c r="V382" s="447"/>
      <c r="W382" s="447"/>
      <c r="X382" s="447"/>
      <c r="Y382" s="447"/>
      <c r="Z382" s="447"/>
      <c r="AA382" s="447"/>
      <c r="AB382" s="447"/>
      <c r="AC382" s="447"/>
      <c r="AD382" s="447"/>
      <c r="AE382" s="447"/>
      <c r="AF382" s="448"/>
      <c r="AG382" s="448"/>
      <c r="AH382" s="449"/>
      <c r="AI382" s="447"/>
      <c r="AJ382" s="447"/>
      <c r="AK382" s="447"/>
      <c r="AL382" s="447"/>
      <c r="AM382" s="447"/>
      <c r="AN382" s="447"/>
      <c r="AO382" s="447"/>
      <c r="AP382" s="447"/>
      <c r="AQ382" s="447"/>
      <c r="AR382" s="447"/>
      <c r="AS382" s="447"/>
      <c r="AT382" s="447"/>
      <c r="AU382" s="447"/>
      <c r="AV382" s="447"/>
      <c r="AW382" s="447"/>
      <c r="AX382" s="447"/>
      <c r="AY382" s="447"/>
      <c r="AZ382" s="447"/>
      <c r="BA382" s="447"/>
      <c r="BB382" s="447"/>
      <c r="BC382" s="447"/>
      <c r="BD382" s="447"/>
      <c r="BE382" s="447"/>
      <c r="BF382" s="447"/>
      <c r="BG382" s="447"/>
      <c r="BH382" s="447"/>
      <c r="BI382" s="447"/>
      <c r="BJ382" s="447"/>
      <c r="BK382" s="447"/>
      <c r="BL382" s="447"/>
      <c r="BM382" s="448"/>
      <c r="BN382" s="448"/>
    </row>
    <row r="383" spans="1:66" ht="11.25" customHeight="1">
      <c r="A383" s="450"/>
      <c r="B383" s="447"/>
      <c r="C383" s="447"/>
      <c r="D383" s="447"/>
      <c r="E383" s="447"/>
      <c r="F383" s="447"/>
      <c r="G383" s="447"/>
      <c r="H383" s="447"/>
      <c r="I383" s="447"/>
      <c r="J383" s="447"/>
      <c r="K383" s="447"/>
      <c r="L383" s="447"/>
      <c r="M383" s="447"/>
      <c r="N383" s="447"/>
      <c r="O383" s="447"/>
      <c r="P383" s="447"/>
      <c r="Q383" s="447"/>
      <c r="R383" s="447"/>
      <c r="S383" s="447"/>
      <c r="T383" s="447"/>
      <c r="U383" s="447"/>
      <c r="V383" s="447"/>
      <c r="W383" s="447"/>
      <c r="X383" s="447"/>
      <c r="Y383" s="447"/>
      <c r="Z383" s="447"/>
      <c r="AA383" s="447"/>
      <c r="AB383" s="447"/>
      <c r="AC383" s="447"/>
      <c r="AD383" s="447"/>
      <c r="AE383" s="447"/>
      <c r="AF383" s="448"/>
      <c r="AG383" s="448"/>
      <c r="AH383" s="449"/>
      <c r="AI383" s="447"/>
      <c r="AJ383" s="447"/>
      <c r="AK383" s="447"/>
      <c r="AL383" s="447"/>
      <c r="AM383" s="447"/>
      <c r="AN383" s="447"/>
      <c r="AO383" s="447"/>
      <c r="AP383" s="447"/>
      <c r="AQ383" s="447"/>
      <c r="AR383" s="447"/>
      <c r="AS383" s="447"/>
      <c r="AT383" s="447"/>
      <c r="AU383" s="447"/>
      <c r="AV383" s="447"/>
      <c r="AW383" s="447"/>
      <c r="AX383" s="447"/>
      <c r="AY383" s="447"/>
      <c r="AZ383" s="447"/>
      <c r="BA383" s="447"/>
      <c r="BB383" s="447"/>
      <c r="BC383" s="447"/>
      <c r="BD383" s="447"/>
      <c r="BE383" s="447"/>
      <c r="BF383" s="447"/>
      <c r="BG383" s="447"/>
      <c r="BH383" s="447"/>
      <c r="BI383" s="447"/>
      <c r="BJ383" s="447"/>
      <c r="BK383" s="447"/>
      <c r="BL383" s="447"/>
      <c r="BM383" s="448"/>
      <c r="BN383" s="448"/>
    </row>
    <row r="384" spans="1:66" ht="11.25" customHeight="1">
      <c r="A384" s="450"/>
      <c r="B384" s="447"/>
      <c r="C384" s="447"/>
      <c r="D384" s="447"/>
      <c r="E384" s="447"/>
      <c r="F384" s="447"/>
      <c r="G384" s="447"/>
      <c r="H384" s="447"/>
      <c r="I384" s="447"/>
      <c r="J384" s="447"/>
      <c r="K384" s="447"/>
      <c r="L384" s="447"/>
      <c r="M384" s="447"/>
      <c r="N384" s="447"/>
      <c r="O384" s="447"/>
      <c r="P384" s="447"/>
      <c r="Q384" s="447"/>
      <c r="R384" s="447"/>
      <c r="S384" s="447"/>
      <c r="T384" s="447"/>
      <c r="U384" s="447"/>
      <c r="V384" s="447"/>
      <c r="W384" s="447"/>
      <c r="X384" s="447"/>
      <c r="Y384" s="447"/>
      <c r="Z384" s="447"/>
      <c r="AA384" s="447"/>
      <c r="AB384" s="447"/>
      <c r="AC384" s="447"/>
      <c r="AD384" s="447"/>
      <c r="AE384" s="447"/>
      <c r="AF384" s="448"/>
      <c r="AG384" s="448"/>
      <c r="AH384" s="449"/>
      <c r="AI384" s="447"/>
      <c r="AJ384" s="447"/>
      <c r="AK384" s="447"/>
      <c r="AL384" s="447"/>
      <c r="AM384" s="447"/>
      <c r="AN384" s="447"/>
      <c r="AO384" s="447"/>
      <c r="AP384" s="447"/>
      <c r="AQ384" s="447"/>
      <c r="AR384" s="447"/>
      <c r="AS384" s="447"/>
      <c r="AT384" s="447"/>
      <c r="AU384" s="447"/>
      <c r="AV384" s="447"/>
      <c r="AW384" s="447"/>
      <c r="AX384" s="447"/>
      <c r="AY384" s="447"/>
      <c r="AZ384" s="447"/>
      <c r="BA384" s="447"/>
      <c r="BB384" s="447"/>
      <c r="BC384" s="447"/>
      <c r="BD384" s="447"/>
      <c r="BE384" s="447"/>
      <c r="BF384" s="447"/>
      <c r="BG384" s="447"/>
      <c r="BH384" s="447"/>
      <c r="BI384" s="447"/>
      <c r="BJ384" s="447"/>
      <c r="BK384" s="447"/>
      <c r="BL384" s="447"/>
      <c r="BM384" s="448"/>
      <c r="BN384" s="448"/>
    </row>
    <row r="385" spans="1:66" ht="11.25" customHeight="1">
      <c r="A385" s="450"/>
      <c r="B385" s="447"/>
      <c r="C385" s="447"/>
      <c r="D385" s="447"/>
      <c r="E385" s="447"/>
      <c r="F385" s="447"/>
      <c r="G385" s="447"/>
      <c r="H385" s="447"/>
      <c r="I385" s="447"/>
      <c r="J385" s="447"/>
      <c r="K385" s="447"/>
      <c r="L385" s="447"/>
      <c r="M385" s="447"/>
      <c r="N385" s="447"/>
      <c r="O385" s="447"/>
      <c r="P385" s="447"/>
      <c r="Q385" s="447"/>
      <c r="R385" s="447"/>
      <c r="S385" s="447"/>
      <c r="T385" s="447"/>
      <c r="U385" s="447"/>
      <c r="V385" s="447"/>
      <c r="W385" s="447"/>
      <c r="X385" s="447"/>
      <c r="Y385" s="447"/>
      <c r="Z385" s="447"/>
      <c r="AA385" s="447"/>
      <c r="AB385" s="447"/>
      <c r="AC385" s="447"/>
      <c r="AD385" s="447"/>
      <c r="AE385" s="447"/>
      <c r="AF385" s="448"/>
      <c r="AG385" s="448"/>
      <c r="AH385" s="449"/>
      <c r="AI385" s="447"/>
      <c r="AJ385" s="447"/>
      <c r="AK385" s="447"/>
      <c r="AL385" s="447"/>
      <c r="AM385" s="447"/>
      <c r="AN385" s="447"/>
      <c r="AO385" s="447"/>
      <c r="AP385" s="447"/>
      <c r="AQ385" s="447"/>
      <c r="AR385" s="447"/>
      <c r="AS385" s="447"/>
      <c r="AT385" s="447"/>
      <c r="AU385" s="447"/>
      <c r="AV385" s="447"/>
      <c r="AW385" s="447"/>
      <c r="AX385" s="447"/>
      <c r="AY385" s="447"/>
      <c r="AZ385" s="447"/>
      <c r="BA385" s="447"/>
      <c r="BB385" s="447"/>
      <c r="BC385" s="447"/>
      <c r="BD385" s="447"/>
      <c r="BE385" s="447"/>
      <c r="BF385" s="447"/>
      <c r="BG385" s="447"/>
      <c r="BH385" s="447"/>
      <c r="BI385" s="447"/>
      <c r="BJ385" s="447"/>
      <c r="BK385" s="447"/>
      <c r="BL385" s="447"/>
      <c r="BM385" s="448"/>
      <c r="BN385" s="448"/>
    </row>
    <row r="386" spans="1:66" ht="11.25" customHeight="1">
      <c r="A386" s="450"/>
      <c r="B386" s="447"/>
      <c r="C386" s="447"/>
      <c r="D386" s="447"/>
      <c r="E386" s="447"/>
      <c r="F386" s="447"/>
      <c r="G386" s="447"/>
      <c r="H386" s="447"/>
      <c r="I386" s="447"/>
      <c r="J386" s="447"/>
      <c r="K386" s="447"/>
      <c r="L386" s="447"/>
      <c r="M386" s="447"/>
      <c r="N386" s="447"/>
      <c r="O386" s="447"/>
      <c r="P386" s="447"/>
      <c r="Q386" s="447"/>
      <c r="R386" s="447"/>
      <c r="S386" s="447"/>
      <c r="T386" s="447"/>
      <c r="U386" s="447"/>
      <c r="V386" s="447"/>
      <c r="W386" s="447"/>
      <c r="X386" s="447"/>
      <c r="Y386" s="447"/>
      <c r="Z386" s="447"/>
      <c r="AA386" s="447"/>
      <c r="AB386" s="447"/>
      <c r="AC386" s="447"/>
      <c r="AD386" s="447"/>
      <c r="AE386" s="447"/>
      <c r="AF386" s="448"/>
      <c r="AG386" s="448"/>
      <c r="AH386" s="449"/>
      <c r="AI386" s="447"/>
      <c r="AJ386" s="447"/>
      <c r="AK386" s="447"/>
      <c r="AL386" s="447"/>
      <c r="AM386" s="447"/>
      <c r="AN386" s="447"/>
      <c r="AO386" s="447"/>
      <c r="AP386" s="447"/>
      <c r="AQ386" s="447"/>
      <c r="AR386" s="447"/>
      <c r="AS386" s="447"/>
      <c r="AT386" s="447"/>
      <c r="AU386" s="447"/>
      <c r="AV386" s="447"/>
      <c r="AW386" s="447"/>
      <c r="AX386" s="447"/>
      <c r="AY386" s="447"/>
      <c r="AZ386" s="447"/>
      <c r="BA386" s="447"/>
      <c r="BB386" s="447"/>
      <c r="BC386" s="447"/>
      <c r="BD386" s="447"/>
      <c r="BE386" s="447"/>
      <c r="BF386" s="447"/>
      <c r="BG386" s="447"/>
      <c r="BH386" s="447"/>
      <c r="BI386" s="447"/>
      <c r="BJ386" s="447"/>
      <c r="BK386" s="447"/>
      <c r="BL386" s="447"/>
      <c r="BM386" s="448"/>
      <c r="BN386" s="448"/>
    </row>
    <row r="387" spans="1:66" ht="11.25" customHeight="1">
      <c r="A387" s="450"/>
      <c r="B387" s="447"/>
      <c r="C387" s="447"/>
      <c r="D387" s="447"/>
      <c r="E387" s="447"/>
      <c r="F387" s="447"/>
      <c r="G387" s="447"/>
      <c r="H387" s="447"/>
      <c r="I387" s="447"/>
      <c r="J387" s="447"/>
      <c r="K387" s="447"/>
      <c r="L387" s="447"/>
      <c r="M387" s="447"/>
      <c r="N387" s="447"/>
      <c r="O387" s="447"/>
      <c r="P387" s="447"/>
      <c r="Q387" s="447"/>
      <c r="R387" s="447"/>
      <c r="S387" s="447"/>
      <c r="T387" s="447"/>
      <c r="U387" s="447"/>
      <c r="V387" s="447"/>
      <c r="W387" s="447"/>
      <c r="X387" s="447"/>
      <c r="Y387" s="447"/>
      <c r="Z387" s="447"/>
      <c r="AA387" s="447"/>
      <c r="AB387" s="447"/>
      <c r="AC387" s="447"/>
      <c r="AD387" s="447"/>
      <c r="AE387" s="447"/>
      <c r="AF387" s="448"/>
      <c r="AG387" s="448"/>
      <c r="AH387" s="449"/>
      <c r="AI387" s="447"/>
      <c r="AJ387" s="447"/>
      <c r="AK387" s="447"/>
      <c r="AL387" s="447"/>
      <c r="AM387" s="447"/>
      <c r="AN387" s="447"/>
      <c r="AO387" s="447"/>
      <c r="AP387" s="447"/>
      <c r="AQ387" s="447"/>
      <c r="AR387" s="447"/>
      <c r="AS387" s="447"/>
      <c r="AT387" s="447"/>
      <c r="AU387" s="447"/>
      <c r="AV387" s="447"/>
      <c r="AW387" s="447"/>
      <c r="AX387" s="447"/>
      <c r="AY387" s="447"/>
      <c r="AZ387" s="447"/>
      <c r="BA387" s="447"/>
      <c r="BB387" s="447"/>
      <c r="BC387" s="447"/>
      <c r="BD387" s="447"/>
      <c r="BE387" s="447"/>
      <c r="BF387" s="447"/>
      <c r="BG387" s="447"/>
      <c r="BH387" s="447"/>
      <c r="BI387" s="447"/>
      <c r="BJ387" s="447"/>
      <c r="BK387" s="447"/>
      <c r="BL387" s="447"/>
      <c r="BM387" s="448"/>
      <c r="BN387" s="448"/>
    </row>
    <row r="388" spans="1:66" ht="11.25" customHeight="1">
      <c r="A388" s="450"/>
      <c r="B388" s="447"/>
      <c r="C388" s="447"/>
      <c r="D388" s="447"/>
      <c r="E388" s="447"/>
      <c r="F388" s="447"/>
      <c r="G388" s="447"/>
      <c r="H388" s="447"/>
      <c r="I388" s="447"/>
      <c r="J388" s="447"/>
      <c r="K388" s="447"/>
      <c r="L388" s="447"/>
      <c r="M388" s="447"/>
      <c r="N388" s="447"/>
      <c r="O388" s="447"/>
      <c r="P388" s="447"/>
      <c r="Q388" s="447"/>
      <c r="R388" s="447"/>
      <c r="S388" s="447"/>
      <c r="T388" s="447"/>
      <c r="U388" s="447"/>
      <c r="V388" s="447"/>
      <c r="W388" s="447"/>
      <c r="X388" s="447"/>
      <c r="Y388" s="447"/>
      <c r="Z388" s="447"/>
      <c r="AA388" s="447"/>
      <c r="AB388" s="447"/>
      <c r="AC388" s="447"/>
      <c r="AD388" s="447"/>
      <c r="AE388" s="447"/>
      <c r="AF388" s="448"/>
      <c r="AG388" s="448"/>
      <c r="AH388" s="449"/>
      <c r="AI388" s="447"/>
      <c r="AJ388" s="447"/>
      <c r="AK388" s="447"/>
      <c r="AL388" s="447"/>
      <c r="AM388" s="447"/>
      <c r="AN388" s="447"/>
      <c r="AO388" s="447"/>
      <c r="AP388" s="447"/>
      <c r="AQ388" s="447"/>
      <c r="AR388" s="447"/>
      <c r="AS388" s="447"/>
      <c r="AT388" s="447"/>
      <c r="AU388" s="447"/>
      <c r="AV388" s="447"/>
      <c r="AW388" s="447"/>
      <c r="AX388" s="447"/>
      <c r="AY388" s="447"/>
      <c r="AZ388" s="447"/>
      <c r="BA388" s="447"/>
      <c r="BB388" s="447"/>
      <c r="BC388" s="447"/>
      <c r="BD388" s="447"/>
      <c r="BE388" s="447"/>
      <c r="BF388" s="447"/>
      <c r="BG388" s="447"/>
      <c r="BH388" s="447"/>
      <c r="BI388" s="447"/>
      <c r="BJ388" s="447"/>
      <c r="BK388" s="447"/>
      <c r="BL388" s="447"/>
      <c r="BM388" s="448"/>
      <c r="BN388" s="448"/>
    </row>
    <row r="389" spans="1:66" ht="11.25" customHeight="1">
      <c r="A389" s="450"/>
      <c r="B389" s="447"/>
      <c r="C389" s="447"/>
      <c r="D389" s="447"/>
      <c r="E389" s="447"/>
      <c r="F389" s="447"/>
      <c r="G389" s="447"/>
      <c r="H389" s="447"/>
      <c r="I389" s="447"/>
      <c r="J389" s="447"/>
      <c r="K389" s="447"/>
      <c r="L389" s="447"/>
      <c r="M389" s="447"/>
      <c r="N389" s="447"/>
      <c r="O389" s="447"/>
      <c r="P389" s="447"/>
      <c r="Q389" s="447"/>
      <c r="R389" s="447"/>
      <c r="S389" s="447"/>
      <c r="T389" s="447"/>
      <c r="U389" s="447"/>
      <c r="V389" s="447"/>
      <c r="W389" s="447"/>
      <c r="X389" s="447"/>
      <c r="Y389" s="447"/>
      <c r="Z389" s="447"/>
      <c r="AA389" s="447"/>
      <c r="AB389" s="447"/>
      <c r="AC389" s="447"/>
      <c r="AD389" s="447"/>
      <c r="AE389" s="447"/>
      <c r="AF389" s="448"/>
      <c r="AG389" s="448"/>
      <c r="AH389" s="449"/>
      <c r="AI389" s="447"/>
      <c r="AJ389" s="447"/>
      <c r="AK389" s="447"/>
      <c r="AL389" s="447"/>
      <c r="AM389" s="447"/>
      <c r="AN389" s="447"/>
      <c r="AO389" s="447"/>
      <c r="AP389" s="447"/>
      <c r="AQ389" s="447"/>
      <c r="AR389" s="447"/>
      <c r="AS389" s="447"/>
      <c r="AT389" s="447"/>
      <c r="AU389" s="447"/>
      <c r="AV389" s="447"/>
      <c r="AW389" s="447"/>
      <c r="AX389" s="447"/>
      <c r="AY389" s="447"/>
      <c r="AZ389" s="447"/>
      <c r="BA389" s="447"/>
      <c r="BB389" s="447"/>
      <c r="BC389" s="447"/>
      <c r="BD389" s="447"/>
      <c r="BE389" s="447"/>
      <c r="BF389" s="447"/>
      <c r="BG389" s="447"/>
      <c r="BH389" s="447"/>
      <c r="BI389" s="447"/>
      <c r="BJ389" s="447"/>
      <c r="BK389" s="447"/>
      <c r="BL389" s="447"/>
      <c r="BM389" s="448"/>
      <c r="BN389" s="448"/>
    </row>
    <row r="390" spans="1:66" ht="11.25" customHeight="1">
      <c r="A390" s="450"/>
      <c r="B390" s="447"/>
      <c r="C390" s="447"/>
      <c r="D390" s="447"/>
      <c r="E390" s="447"/>
      <c r="F390" s="447"/>
      <c r="G390" s="447"/>
      <c r="H390" s="447"/>
      <c r="I390" s="447"/>
      <c r="J390" s="447"/>
      <c r="K390" s="447"/>
      <c r="L390" s="447"/>
      <c r="M390" s="447"/>
      <c r="N390" s="447"/>
      <c r="O390" s="447"/>
      <c r="P390" s="447"/>
      <c r="Q390" s="447"/>
      <c r="R390" s="447"/>
      <c r="S390" s="447"/>
      <c r="T390" s="447"/>
      <c r="U390" s="447"/>
      <c r="V390" s="447"/>
      <c r="W390" s="447"/>
      <c r="X390" s="447"/>
      <c r="Y390" s="447"/>
      <c r="Z390" s="447"/>
      <c r="AA390" s="447"/>
      <c r="AB390" s="447"/>
      <c r="AC390" s="447"/>
      <c r="AD390" s="447"/>
      <c r="AE390" s="447"/>
      <c r="AF390" s="448"/>
      <c r="AG390" s="448"/>
      <c r="AH390" s="449"/>
      <c r="AI390" s="447"/>
      <c r="AJ390" s="447"/>
      <c r="AK390" s="447"/>
      <c r="AL390" s="447"/>
      <c r="AM390" s="447"/>
      <c r="AN390" s="447"/>
      <c r="AO390" s="447"/>
      <c r="AP390" s="447"/>
      <c r="AQ390" s="447"/>
      <c r="AR390" s="447"/>
      <c r="AS390" s="447"/>
      <c r="AT390" s="447"/>
      <c r="AU390" s="447"/>
      <c r="AV390" s="447"/>
      <c r="AW390" s="447"/>
      <c r="AX390" s="447"/>
      <c r="AY390" s="447"/>
      <c r="AZ390" s="447"/>
      <c r="BA390" s="447"/>
      <c r="BB390" s="447"/>
      <c r="BC390" s="447"/>
      <c r="BD390" s="447"/>
      <c r="BE390" s="447"/>
      <c r="BF390" s="447"/>
      <c r="BG390" s="447"/>
      <c r="BH390" s="447"/>
      <c r="BI390" s="447"/>
      <c r="BJ390" s="447"/>
      <c r="BK390" s="447"/>
      <c r="BL390" s="447"/>
      <c r="BM390" s="448"/>
      <c r="BN390" s="448"/>
    </row>
    <row r="391" spans="1:66" ht="11.25" customHeight="1">
      <c r="A391" s="450"/>
      <c r="B391" s="447"/>
      <c r="C391" s="447"/>
      <c r="D391" s="447"/>
      <c r="E391" s="447"/>
      <c r="F391" s="447"/>
      <c r="G391" s="447"/>
      <c r="H391" s="447"/>
      <c r="I391" s="447"/>
      <c r="J391" s="447"/>
      <c r="K391" s="447"/>
      <c r="L391" s="447"/>
      <c r="M391" s="447"/>
      <c r="N391" s="447"/>
      <c r="O391" s="447"/>
      <c r="P391" s="447"/>
      <c r="Q391" s="447"/>
      <c r="R391" s="447"/>
      <c r="S391" s="447"/>
      <c r="T391" s="447"/>
      <c r="U391" s="447"/>
      <c r="V391" s="447"/>
      <c r="W391" s="447"/>
      <c r="X391" s="447"/>
      <c r="Y391" s="447"/>
      <c r="Z391" s="447"/>
      <c r="AA391" s="447"/>
      <c r="AB391" s="447"/>
      <c r="AC391" s="447"/>
      <c r="AD391" s="447"/>
      <c r="AE391" s="447"/>
      <c r="AF391" s="448"/>
      <c r="AG391" s="448"/>
      <c r="AH391" s="449"/>
      <c r="AI391" s="447"/>
      <c r="AJ391" s="447"/>
      <c r="AK391" s="447"/>
      <c r="AL391" s="447"/>
      <c r="AM391" s="447"/>
      <c r="AN391" s="447"/>
      <c r="AO391" s="447"/>
      <c r="AP391" s="447"/>
      <c r="AQ391" s="447"/>
      <c r="AR391" s="447"/>
      <c r="AS391" s="447"/>
      <c r="AT391" s="447"/>
      <c r="AU391" s="447"/>
      <c r="AV391" s="447"/>
      <c r="AW391" s="447"/>
      <c r="AX391" s="447"/>
      <c r="AY391" s="447"/>
      <c r="AZ391" s="447"/>
      <c r="BA391" s="447"/>
      <c r="BB391" s="447"/>
      <c r="BC391" s="447"/>
      <c r="BD391" s="447"/>
      <c r="BE391" s="447"/>
      <c r="BF391" s="447"/>
      <c r="BG391" s="447"/>
      <c r="BH391" s="447"/>
      <c r="BI391" s="447"/>
      <c r="BJ391" s="447"/>
      <c r="BK391" s="447"/>
      <c r="BL391" s="447"/>
      <c r="BM391" s="448"/>
      <c r="BN391" s="448"/>
    </row>
    <row r="392" spans="1:66" ht="11.25" customHeight="1">
      <c r="A392" s="450"/>
      <c r="B392" s="447"/>
      <c r="C392" s="447"/>
      <c r="D392" s="447"/>
      <c r="E392" s="447"/>
      <c r="F392" s="447"/>
      <c r="G392" s="447"/>
      <c r="H392" s="447"/>
      <c r="I392" s="447"/>
      <c r="J392" s="447"/>
      <c r="K392" s="447"/>
      <c r="L392" s="447"/>
      <c r="M392" s="447"/>
      <c r="N392" s="447"/>
      <c r="O392" s="447"/>
      <c r="P392" s="447"/>
      <c r="Q392" s="447"/>
      <c r="R392" s="447"/>
      <c r="S392" s="447"/>
      <c r="T392" s="447"/>
      <c r="U392" s="447"/>
      <c r="V392" s="447"/>
      <c r="W392" s="447"/>
      <c r="X392" s="447"/>
      <c r="Y392" s="447"/>
      <c r="Z392" s="447"/>
      <c r="AA392" s="447"/>
      <c r="AB392" s="447"/>
      <c r="AC392" s="447"/>
      <c r="AD392" s="447"/>
      <c r="AE392" s="447"/>
      <c r="AF392" s="448"/>
      <c r="AG392" s="448"/>
      <c r="AH392" s="449"/>
      <c r="AI392" s="447"/>
      <c r="AJ392" s="447"/>
      <c r="AK392" s="447"/>
      <c r="AL392" s="447"/>
      <c r="AM392" s="447"/>
      <c r="AN392" s="447"/>
      <c r="AO392" s="447"/>
      <c r="AP392" s="447"/>
      <c r="AQ392" s="447"/>
      <c r="AR392" s="447"/>
      <c r="AS392" s="447"/>
      <c r="AT392" s="447"/>
      <c r="AU392" s="447"/>
      <c r="AV392" s="447"/>
      <c r="AW392" s="447"/>
      <c r="AX392" s="447"/>
      <c r="AY392" s="447"/>
      <c r="AZ392" s="447"/>
      <c r="BA392" s="447"/>
      <c r="BB392" s="447"/>
      <c r="BC392" s="447"/>
      <c r="BD392" s="447"/>
      <c r="BE392" s="447"/>
      <c r="BF392" s="447"/>
      <c r="BG392" s="447"/>
      <c r="BH392" s="447"/>
      <c r="BI392" s="447"/>
      <c r="BJ392" s="447"/>
      <c r="BK392" s="447"/>
      <c r="BL392" s="447"/>
      <c r="BM392" s="448"/>
      <c r="BN392" s="448"/>
    </row>
    <row r="393" spans="1:66" ht="11.25" customHeight="1">
      <c r="A393" s="450"/>
      <c r="B393" s="447"/>
      <c r="C393" s="447"/>
      <c r="D393" s="447"/>
      <c r="E393" s="447"/>
      <c r="F393" s="447"/>
      <c r="G393" s="447"/>
      <c r="H393" s="447"/>
      <c r="I393" s="447"/>
      <c r="J393" s="447"/>
      <c r="K393" s="447"/>
      <c r="L393" s="447"/>
      <c r="M393" s="447"/>
      <c r="N393" s="447"/>
      <c r="O393" s="447"/>
      <c r="P393" s="447"/>
      <c r="Q393" s="447"/>
      <c r="R393" s="447"/>
      <c r="S393" s="447"/>
      <c r="T393" s="447"/>
      <c r="U393" s="447"/>
      <c r="V393" s="447"/>
      <c r="W393" s="447"/>
      <c r="X393" s="447"/>
      <c r="Y393" s="447"/>
      <c r="Z393" s="447"/>
      <c r="AA393" s="447"/>
      <c r="AB393" s="447"/>
      <c r="AC393" s="447"/>
      <c r="AD393" s="447"/>
      <c r="AE393" s="447"/>
      <c r="AF393" s="448"/>
      <c r="AG393" s="448"/>
      <c r="AH393" s="449"/>
      <c r="AI393" s="447"/>
      <c r="AJ393" s="447"/>
      <c r="AK393" s="447"/>
      <c r="AL393" s="447"/>
      <c r="AM393" s="447"/>
      <c r="AN393" s="447"/>
      <c r="AO393" s="447"/>
      <c r="AP393" s="447"/>
      <c r="AQ393" s="447"/>
      <c r="AR393" s="447"/>
      <c r="AS393" s="447"/>
      <c r="AT393" s="447"/>
      <c r="AU393" s="447"/>
      <c r="AV393" s="447"/>
      <c r="AW393" s="447"/>
      <c r="AX393" s="447"/>
      <c r="AY393" s="447"/>
      <c r="AZ393" s="447"/>
      <c r="BA393" s="447"/>
      <c r="BB393" s="447"/>
      <c r="BC393" s="447"/>
      <c r="BD393" s="447"/>
      <c r="BE393" s="447"/>
      <c r="BF393" s="447"/>
      <c r="BG393" s="447"/>
      <c r="BH393" s="447"/>
      <c r="BI393" s="447"/>
      <c r="BJ393" s="447"/>
      <c r="BK393" s="447"/>
      <c r="BL393" s="447"/>
      <c r="BM393" s="448"/>
      <c r="BN393" s="448"/>
    </row>
    <row r="394" spans="1:66" ht="11.25" customHeight="1">
      <c r="A394" s="450"/>
      <c r="B394" s="447"/>
      <c r="C394" s="447"/>
      <c r="D394" s="447"/>
      <c r="E394" s="447"/>
      <c r="F394" s="447"/>
      <c r="G394" s="447"/>
      <c r="H394" s="447"/>
      <c r="I394" s="447"/>
      <c r="J394" s="447"/>
      <c r="K394" s="447"/>
      <c r="L394" s="447"/>
      <c r="M394" s="447"/>
      <c r="N394" s="447"/>
      <c r="O394" s="447"/>
      <c r="P394" s="447"/>
      <c r="Q394" s="447"/>
      <c r="R394" s="447"/>
      <c r="S394" s="447"/>
      <c r="T394" s="447"/>
      <c r="U394" s="447"/>
      <c r="V394" s="447"/>
      <c r="W394" s="447"/>
      <c r="X394" s="447"/>
      <c r="Y394" s="447"/>
      <c r="Z394" s="447"/>
      <c r="AA394" s="447"/>
      <c r="AB394" s="447"/>
      <c r="AC394" s="447"/>
      <c r="AD394" s="447"/>
      <c r="AE394" s="447"/>
      <c r="AF394" s="448"/>
      <c r="AG394" s="448"/>
      <c r="AH394" s="449"/>
      <c r="AI394" s="447"/>
      <c r="AJ394" s="447"/>
      <c r="AK394" s="447"/>
      <c r="AL394" s="447"/>
      <c r="AM394" s="447"/>
      <c r="AN394" s="447"/>
      <c r="AO394" s="447"/>
      <c r="AP394" s="447"/>
      <c r="AQ394" s="447"/>
      <c r="AR394" s="447"/>
      <c r="AS394" s="447"/>
      <c r="AT394" s="447"/>
      <c r="AU394" s="447"/>
      <c r="AV394" s="447"/>
      <c r="AW394" s="447"/>
      <c r="AX394" s="447"/>
      <c r="AY394" s="447"/>
      <c r="AZ394" s="447"/>
      <c r="BA394" s="447"/>
      <c r="BB394" s="447"/>
      <c r="BC394" s="447"/>
      <c r="BD394" s="447"/>
      <c r="BE394" s="447"/>
      <c r="BF394" s="447"/>
      <c r="BG394" s="447"/>
      <c r="BH394" s="447"/>
      <c r="BI394" s="447"/>
      <c r="BJ394" s="447"/>
      <c r="BK394" s="447"/>
      <c r="BL394" s="447"/>
      <c r="BM394" s="448"/>
      <c r="BN394" s="448"/>
    </row>
    <row r="395" spans="1:66" ht="11.25" customHeight="1">
      <c r="A395" s="450"/>
      <c r="B395" s="447"/>
      <c r="C395" s="447"/>
      <c r="D395" s="447"/>
      <c r="E395" s="447"/>
      <c r="F395" s="447"/>
      <c r="G395" s="447"/>
      <c r="H395" s="447"/>
      <c r="I395" s="447"/>
      <c r="J395" s="447"/>
      <c r="K395" s="447"/>
      <c r="L395" s="447"/>
      <c r="M395" s="447"/>
      <c r="N395" s="447"/>
      <c r="O395" s="447"/>
      <c r="P395" s="447"/>
      <c r="Q395" s="447"/>
      <c r="R395" s="447"/>
      <c r="S395" s="447"/>
      <c r="T395" s="447"/>
      <c r="U395" s="447"/>
      <c r="V395" s="447"/>
      <c r="W395" s="447"/>
      <c r="X395" s="447"/>
      <c r="Y395" s="447"/>
      <c r="Z395" s="447"/>
      <c r="AA395" s="447"/>
      <c r="AB395" s="447"/>
      <c r="AC395" s="447"/>
      <c r="AD395" s="447"/>
      <c r="AE395" s="447"/>
      <c r="AF395" s="448"/>
      <c r="AG395" s="448"/>
      <c r="AH395" s="449"/>
      <c r="AI395" s="447"/>
      <c r="AJ395" s="447"/>
      <c r="AK395" s="447"/>
      <c r="AL395" s="447"/>
      <c r="AM395" s="447"/>
      <c r="AN395" s="447"/>
      <c r="AO395" s="447"/>
      <c r="AP395" s="447"/>
      <c r="AQ395" s="447"/>
      <c r="AR395" s="447"/>
      <c r="AS395" s="447"/>
      <c r="AT395" s="447"/>
      <c r="AU395" s="447"/>
      <c r="AV395" s="447"/>
      <c r="AW395" s="447"/>
      <c r="AX395" s="447"/>
      <c r="AY395" s="447"/>
      <c r="AZ395" s="447"/>
      <c r="BA395" s="447"/>
      <c r="BB395" s="447"/>
      <c r="BC395" s="447"/>
      <c r="BD395" s="447"/>
      <c r="BE395" s="447"/>
      <c r="BF395" s="447"/>
      <c r="BG395" s="447"/>
      <c r="BH395" s="447"/>
      <c r="BI395" s="447"/>
      <c r="BJ395" s="447"/>
      <c r="BK395" s="447"/>
      <c r="BL395" s="447"/>
      <c r="BM395" s="448"/>
      <c r="BN395" s="448"/>
    </row>
    <row r="396" spans="1:66" ht="11.25" customHeight="1">
      <c r="A396" s="450"/>
      <c r="B396" s="447"/>
      <c r="C396" s="447"/>
      <c r="D396" s="447"/>
      <c r="E396" s="447"/>
      <c r="F396" s="447"/>
      <c r="G396" s="447"/>
      <c r="H396" s="447"/>
      <c r="I396" s="447"/>
      <c r="J396" s="447"/>
      <c r="K396" s="447"/>
      <c r="L396" s="447"/>
      <c r="M396" s="447"/>
      <c r="N396" s="447"/>
      <c r="O396" s="447"/>
      <c r="P396" s="447"/>
      <c r="Q396" s="447"/>
      <c r="R396" s="447"/>
      <c r="S396" s="447"/>
      <c r="T396" s="447"/>
      <c r="U396" s="447"/>
      <c r="V396" s="447"/>
      <c r="W396" s="447"/>
      <c r="X396" s="447"/>
      <c r="Y396" s="447"/>
      <c r="Z396" s="447"/>
      <c r="AA396" s="447"/>
      <c r="AB396" s="447"/>
      <c r="AC396" s="447"/>
      <c r="AD396" s="447"/>
      <c r="AE396" s="447"/>
      <c r="AF396" s="448"/>
      <c r="AG396" s="448"/>
      <c r="AH396" s="449"/>
      <c r="AI396" s="447"/>
      <c r="AJ396" s="447"/>
      <c r="AK396" s="447"/>
      <c r="AL396" s="447"/>
      <c r="AM396" s="447"/>
      <c r="AN396" s="447"/>
      <c r="AO396" s="447"/>
      <c r="AP396" s="447"/>
      <c r="AQ396" s="447"/>
      <c r="AR396" s="447"/>
      <c r="AS396" s="447"/>
      <c r="AT396" s="447"/>
      <c r="AU396" s="447"/>
      <c r="AV396" s="447"/>
      <c r="AW396" s="447"/>
      <c r="AX396" s="447"/>
      <c r="AY396" s="447"/>
      <c r="AZ396" s="447"/>
      <c r="BA396" s="447"/>
      <c r="BB396" s="447"/>
      <c r="BC396" s="447"/>
      <c r="BD396" s="447"/>
      <c r="BE396" s="447"/>
      <c r="BF396" s="447"/>
      <c r="BG396" s="447"/>
      <c r="BH396" s="447"/>
      <c r="BI396" s="447"/>
      <c r="BJ396" s="447"/>
      <c r="BK396" s="447"/>
      <c r="BL396" s="447"/>
      <c r="BM396" s="448"/>
      <c r="BN396" s="448"/>
    </row>
    <row r="397" spans="1:66" ht="11.25" customHeight="1">
      <c r="A397" s="450"/>
      <c r="B397" s="447"/>
      <c r="C397" s="447"/>
      <c r="D397" s="447"/>
      <c r="E397" s="447"/>
      <c r="F397" s="447"/>
      <c r="G397" s="447"/>
      <c r="H397" s="447"/>
      <c r="I397" s="447"/>
      <c r="J397" s="447"/>
      <c r="K397" s="447"/>
      <c r="L397" s="447"/>
      <c r="M397" s="447"/>
      <c r="N397" s="447"/>
      <c r="O397" s="447"/>
      <c r="P397" s="447"/>
      <c r="Q397" s="447"/>
      <c r="R397" s="447"/>
      <c r="S397" s="447"/>
      <c r="T397" s="447"/>
      <c r="U397" s="447"/>
      <c r="V397" s="447"/>
      <c r="W397" s="447"/>
      <c r="X397" s="447"/>
      <c r="Y397" s="447"/>
      <c r="Z397" s="447"/>
      <c r="AA397" s="447"/>
      <c r="AB397" s="447"/>
      <c r="AC397" s="447"/>
      <c r="AD397" s="447"/>
      <c r="AE397" s="447"/>
      <c r="AF397" s="448"/>
      <c r="AG397" s="448"/>
      <c r="AH397" s="449"/>
      <c r="AI397" s="447"/>
      <c r="AJ397" s="447"/>
      <c r="AK397" s="447"/>
      <c r="AL397" s="447"/>
      <c r="AM397" s="447"/>
      <c r="AN397" s="447"/>
      <c r="AO397" s="447"/>
      <c r="AP397" s="447"/>
      <c r="AQ397" s="447"/>
      <c r="AR397" s="447"/>
      <c r="AS397" s="447"/>
      <c r="AT397" s="447"/>
      <c r="AU397" s="447"/>
      <c r="AV397" s="447"/>
      <c r="AW397" s="447"/>
      <c r="AX397" s="447"/>
      <c r="AY397" s="447"/>
      <c r="AZ397" s="447"/>
      <c r="BA397" s="447"/>
      <c r="BB397" s="447"/>
      <c r="BC397" s="447"/>
      <c r="BD397" s="447"/>
      <c r="BE397" s="447"/>
      <c r="BF397" s="447"/>
      <c r="BG397" s="447"/>
      <c r="BH397" s="447"/>
      <c r="BI397" s="447"/>
      <c r="BJ397" s="447"/>
      <c r="BK397" s="447"/>
      <c r="BL397" s="447"/>
      <c r="BM397" s="448"/>
      <c r="BN397" s="448"/>
    </row>
    <row r="398" spans="1:66" ht="11.25" customHeight="1">
      <c r="A398" s="450"/>
      <c r="B398" s="447"/>
      <c r="C398" s="447"/>
      <c r="D398" s="447"/>
      <c r="E398" s="447"/>
      <c r="F398" s="447"/>
      <c r="G398" s="447"/>
      <c r="H398" s="447"/>
      <c r="I398" s="447"/>
      <c r="J398" s="447"/>
      <c r="K398" s="447"/>
      <c r="L398" s="447"/>
      <c r="M398" s="447"/>
      <c r="N398" s="447"/>
      <c r="O398" s="447"/>
      <c r="P398" s="447"/>
      <c r="Q398" s="447"/>
      <c r="R398" s="447"/>
      <c r="S398" s="447"/>
      <c r="T398" s="447"/>
      <c r="U398" s="447"/>
      <c r="V398" s="447"/>
      <c r="W398" s="447"/>
      <c r="X398" s="447"/>
      <c r="Y398" s="447"/>
      <c r="Z398" s="447"/>
      <c r="AA398" s="447"/>
      <c r="AB398" s="447"/>
      <c r="AC398" s="447"/>
      <c r="AD398" s="447"/>
      <c r="AE398" s="447"/>
      <c r="AF398" s="448"/>
      <c r="AG398" s="448"/>
      <c r="AH398" s="449"/>
      <c r="AI398" s="447"/>
      <c r="AJ398" s="447"/>
      <c r="AK398" s="447"/>
      <c r="AL398" s="447"/>
      <c r="AM398" s="447"/>
      <c r="AN398" s="447"/>
      <c r="AO398" s="447"/>
      <c r="AP398" s="447"/>
      <c r="AQ398" s="447"/>
      <c r="AR398" s="447"/>
      <c r="AS398" s="447"/>
      <c r="AT398" s="447"/>
      <c r="AU398" s="447"/>
      <c r="AV398" s="447"/>
      <c r="AW398" s="447"/>
      <c r="AX398" s="447"/>
      <c r="AY398" s="447"/>
      <c r="AZ398" s="447"/>
      <c r="BA398" s="447"/>
      <c r="BB398" s="447"/>
      <c r="BC398" s="447"/>
      <c r="BD398" s="447"/>
      <c r="BE398" s="447"/>
      <c r="BF398" s="447"/>
      <c r="BG398" s="447"/>
      <c r="BH398" s="447"/>
      <c r="BI398" s="447"/>
      <c r="BJ398" s="447"/>
      <c r="BK398" s="447"/>
      <c r="BL398" s="447"/>
      <c r="BM398" s="448"/>
      <c r="BN398" s="448"/>
    </row>
    <row r="399" spans="1:66" ht="11.25" customHeight="1">
      <c r="A399" s="450"/>
      <c r="B399" s="447"/>
      <c r="C399" s="447"/>
      <c r="D399" s="447"/>
      <c r="E399" s="447"/>
      <c r="F399" s="447"/>
      <c r="G399" s="447"/>
      <c r="H399" s="447"/>
      <c r="I399" s="447"/>
      <c r="J399" s="447"/>
      <c r="K399" s="447"/>
      <c r="L399" s="447"/>
      <c r="M399" s="447"/>
      <c r="N399" s="447"/>
      <c r="O399" s="447"/>
      <c r="P399" s="447"/>
      <c r="Q399" s="447"/>
      <c r="R399" s="447"/>
      <c r="S399" s="447"/>
      <c r="T399" s="447"/>
      <c r="U399" s="447"/>
      <c r="V399" s="447"/>
      <c r="W399" s="447"/>
      <c r="X399" s="447"/>
      <c r="Y399" s="447"/>
      <c r="Z399" s="447"/>
      <c r="AA399" s="447"/>
      <c r="AB399" s="447"/>
      <c r="AC399" s="447"/>
      <c r="AD399" s="447"/>
      <c r="AE399" s="447"/>
      <c r="AF399" s="448"/>
      <c r="AG399" s="448"/>
      <c r="AH399" s="449"/>
      <c r="AI399" s="447"/>
      <c r="AJ399" s="447"/>
      <c r="AK399" s="447"/>
      <c r="AL399" s="447"/>
      <c r="AM399" s="447"/>
      <c r="AN399" s="447"/>
      <c r="AO399" s="447"/>
      <c r="AP399" s="447"/>
      <c r="AQ399" s="447"/>
      <c r="AR399" s="447"/>
      <c r="AS399" s="447"/>
      <c r="AT399" s="447"/>
      <c r="AU399" s="447"/>
      <c r="AV399" s="447"/>
      <c r="AW399" s="447"/>
      <c r="AX399" s="447"/>
      <c r="AY399" s="447"/>
      <c r="AZ399" s="447"/>
      <c r="BA399" s="447"/>
      <c r="BB399" s="447"/>
      <c r="BC399" s="447"/>
      <c r="BD399" s="447"/>
      <c r="BE399" s="447"/>
      <c r="BF399" s="447"/>
      <c r="BG399" s="447"/>
      <c r="BH399" s="447"/>
      <c r="BI399" s="447"/>
      <c r="BJ399" s="447"/>
      <c r="BK399" s="447"/>
      <c r="BL399" s="447"/>
      <c r="BM399" s="448"/>
      <c r="BN399" s="448"/>
    </row>
    <row r="400" spans="1:66" ht="11.25" customHeight="1">
      <c r="A400" s="450"/>
      <c r="B400" s="447"/>
      <c r="C400" s="447"/>
      <c r="D400" s="447"/>
      <c r="E400" s="447"/>
      <c r="F400" s="447"/>
      <c r="G400" s="447"/>
      <c r="H400" s="447"/>
      <c r="I400" s="447"/>
      <c r="J400" s="447"/>
      <c r="K400" s="447"/>
      <c r="L400" s="447"/>
      <c r="M400" s="447"/>
      <c r="N400" s="447"/>
      <c r="O400" s="447"/>
      <c r="P400" s="447"/>
      <c r="Q400" s="447"/>
      <c r="R400" s="447"/>
      <c r="S400" s="447"/>
      <c r="T400" s="447"/>
      <c r="U400" s="447"/>
      <c r="V400" s="447"/>
      <c r="W400" s="447"/>
      <c r="X400" s="447"/>
      <c r="Y400" s="447"/>
      <c r="Z400" s="447"/>
      <c r="AA400" s="447"/>
      <c r="AB400" s="447"/>
      <c r="AC400" s="447"/>
      <c r="AD400" s="447"/>
      <c r="AE400" s="447"/>
      <c r="AF400" s="448"/>
      <c r="AG400" s="448"/>
      <c r="AH400" s="449"/>
      <c r="AI400" s="447"/>
      <c r="AJ400" s="447"/>
      <c r="AK400" s="447"/>
      <c r="AL400" s="447"/>
      <c r="AM400" s="447"/>
      <c r="AN400" s="447"/>
      <c r="AO400" s="447"/>
      <c r="AP400" s="447"/>
      <c r="AQ400" s="447"/>
      <c r="AR400" s="447"/>
      <c r="AS400" s="447"/>
      <c r="AT400" s="447"/>
      <c r="AU400" s="447"/>
      <c r="AV400" s="447"/>
      <c r="AW400" s="447"/>
      <c r="AX400" s="447"/>
      <c r="AY400" s="447"/>
      <c r="AZ400" s="447"/>
      <c r="BA400" s="447"/>
      <c r="BB400" s="447"/>
      <c r="BC400" s="447"/>
      <c r="BD400" s="447"/>
      <c r="BE400" s="447"/>
      <c r="BF400" s="447"/>
      <c r="BG400" s="447"/>
      <c r="BH400" s="447"/>
      <c r="BI400" s="447"/>
      <c r="BJ400" s="447"/>
      <c r="BK400" s="447"/>
      <c r="BL400" s="447"/>
      <c r="BM400" s="448"/>
      <c r="BN400" s="448"/>
    </row>
    <row r="401" spans="1:66" ht="11.25" customHeight="1">
      <c r="A401" s="450"/>
      <c r="B401" s="447"/>
      <c r="C401" s="447"/>
      <c r="D401" s="447"/>
      <c r="E401" s="447"/>
      <c r="F401" s="447"/>
      <c r="G401" s="447"/>
      <c r="H401" s="447"/>
      <c r="I401" s="447"/>
      <c r="J401" s="447"/>
      <c r="K401" s="447"/>
      <c r="L401" s="447"/>
      <c r="M401" s="447"/>
      <c r="N401" s="447"/>
      <c r="O401" s="447"/>
      <c r="P401" s="447"/>
      <c r="Q401" s="447"/>
      <c r="R401" s="447"/>
      <c r="S401" s="447"/>
      <c r="T401" s="447"/>
      <c r="U401" s="447"/>
      <c r="V401" s="447"/>
      <c r="W401" s="447"/>
      <c r="X401" s="447"/>
      <c r="Y401" s="447"/>
      <c r="Z401" s="447"/>
      <c r="AA401" s="447"/>
      <c r="AB401" s="447"/>
      <c r="AC401" s="447"/>
      <c r="AD401" s="447"/>
      <c r="AE401" s="447"/>
      <c r="AF401" s="448"/>
      <c r="AG401" s="448"/>
      <c r="AH401" s="449"/>
      <c r="AI401" s="447"/>
      <c r="AJ401" s="447"/>
      <c r="AK401" s="447"/>
      <c r="AL401" s="447"/>
      <c r="AM401" s="447"/>
      <c r="AN401" s="447"/>
      <c r="AO401" s="447"/>
      <c r="AP401" s="447"/>
      <c r="AQ401" s="447"/>
      <c r="AR401" s="447"/>
      <c r="AS401" s="447"/>
      <c r="AT401" s="447"/>
      <c r="AU401" s="447"/>
      <c r="AV401" s="447"/>
      <c r="AW401" s="447"/>
      <c r="AX401" s="447"/>
      <c r="AY401" s="447"/>
      <c r="AZ401" s="447"/>
      <c r="BA401" s="447"/>
      <c r="BB401" s="447"/>
      <c r="BC401" s="447"/>
      <c r="BD401" s="447"/>
      <c r="BE401" s="447"/>
      <c r="BF401" s="447"/>
      <c r="BG401" s="447"/>
      <c r="BH401" s="447"/>
      <c r="BI401" s="447"/>
      <c r="BJ401" s="447"/>
      <c r="BK401" s="447"/>
      <c r="BL401" s="447"/>
      <c r="BM401" s="448"/>
      <c r="BN401" s="448"/>
    </row>
    <row r="402" spans="1:66" ht="11.25" customHeight="1">
      <c r="A402" s="450"/>
      <c r="B402" s="447"/>
      <c r="C402" s="447"/>
      <c r="D402" s="447"/>
      <c r="E402" s="447"/>
      <c r="F402" s="447"/>
      <c r="G402" s="447"/>
      <c r="H402" s="447"/>
      <c r="I402" s="447"/>
      <c r="J402" s="447"/>
      <c r="K402" s="447"/>
      <c r="L402" s="447"/>
      <c r="M402" s="447"/>
      <c r="N402" s="447"/>
      <c r="O402" s="447"/>
      <c r="P402" s="447"/>
      <c r="Q402" s="447"/>
      <c r="R402" s="447"/>
      <c r="S402" s="447"/>
      <c r="T402" s="447"/>
      <c r="U402" s="447"/>
      <c r="V402" s="447"/>
      <c r="W402" s="447"/>
      <c r="X402" s="447"/>
      <c r="Y402" s="447"/>
      <c r="Z402" s="447"/>
      <c r="AA402" s="447"/>
      <c r="AB402" s="447"/>
      <c r="AC402" s="447"/>
      <c r="AD402" s="447"/>
      <c r="AE402" s="447"/>
      <c r="AF402" s="448"/>
      <c r="AG402" s="448"/>
      <c r="AH402" s="449"/>
      <c r="AI402" s="447"/>
      <c r="AJ402" s="447"/>
      <c r="AK402" s="447"/>
      <c r="AL402" s="447"/>
      <c r="AM402" s="447"/>
      <c r="AN402" s="447"/>
      <c r="AO402" s="447"/>
      <c r="AP402" s="447"/>
      <c r="AQ402" s="447"/>
      <c r="AR402" s="447"/>
      <c r="AS402" s="447"/>
      <c r="AT402" s="447"/>
      <c r="AU402" s="447"/>
      <c r="AV402" s="447"/>
      <c r="AW402" s="447"/>
      <c r="AX402" s="447"/>
      <c r="AY402" s="447"/>
      <c r="AZ402" s="447"/>
      <c r="BA402" s="447"/>
      <c r="BB402" s="447"/>
      <c r="BC402" s="447"/>
      <c r="BD402" s="447"/>
      <c r="BE402" s="447"/>
      <c r="BF402" s="447"/>
      <c r="BG402" s="447"/>
      <c r="BH402" s="447"/>
      <c r="BI402" s="447"/>
      <c r="BJ402" s="447"/>
      <c r="BK402" s="447"/>
      <c r="BL402" s="447"/>
      <c r="BM402" s="448"/>
      <c r="BN402" s="448"/>
    </row>
    <row r="403" spans="1:66" ht="11.25" customHeight="1">
      <c r="A403" s="450"/>
      <c r="B403" s="447"/>
      <c r="C403" s="447"/>
      <c r="D403" s="447"/>
      <c r="E403" s="447"/>
      <c r="F403" s="447"/>
      <c r="G403" s="447"/>
      <c r="H403" s="447"/>
      <c r="I403" s="447"/>
      <c r="J403" s="447"/>
      <c r="K403" s="447"/>
      <c r="L403" s="447"/>
      <c r="M403" s="447"/>
      <c r="N403" s="447"/>
      <c r="O403" s="447"/>
      <c r="P403" s="447"/>
      <c r="Q403" s="447"/>
      <c r="R403" s="447"/>
      <c r="S403" s="447"/>
      <c r="T403" s="447"/>
      <c r="U403" s="447"/>
      <c r="V403" s="447"/>
      <c r="W403" s="447"/>
      <c r="X403" s="447"/>
      <c r="Y403" s="447"/>
      <c r="Z403" s="447"/>
      <c r="AA403" s="447"/>
      <c r="AB403" s="447"/>
      <c r="AC403" s="447"/>
      <c r="AD403" s="447"/>
      <c r="AE403" s="447"/>
      <c r="AF403" s="448"/>
      <c r="AG403" s="448"/>
      <c r="AH403" s="449"/>
      <c r="AI403" s="447"/>
      <c r="AJ403" s="447"/>
      <c r="AK403" s="447"/>
      <c r="AL403" s="447"/>
      <c r="AM403" s="447"/>
      <c r="AN403" s="447"/>
      <c r="AO403" s="447"/>
      <c r="AP403" s="447"/>
      <c r="AQ403" s="447"/>
      <c r="AR403" s="447"/>
      <c r="AS403" s="447"/>
      <c r="AT403" s="447"/>
      <c r="AU403" s="447"/>
      <c r="AV403" s="447"/>
      <c r="AW403" s="447"/>
      <c r="AX403" s="447"/>
      <c r="AY403" s="447"/>
      <c r="AZ403" s="447"/>
      <c r="BA403" s="447"/>
      <c r="BB403" s="447"/>
      <c r="BC403" s="447"/>
      <c r="BD403" s="447"/>
      <c r="BE403" s="447"/>
      <c r="BF403" s="447"/>
      <c r="BG403" s="447"/>
      <c r="BH403" s="447"/>
      <c r="BI403" s="447"/>
      <c r="BJ403" s="447"/>
      <c r="BK403" s="447"/>
      <c r="BL403" s="447"/>
      <c r="BM403" s="448"/>
      <c r="BN403" s="448"/>
    </row>
    <row r="404" spans="1:66" ht="11.25" customHeight="1">
      <c r="A404" s="450"/>
      <c r="B404" s="447"/>
      <c r="C404" s="447"/>
      <c r="D404" s="447"/>
      <c r="E404" s="447"/>
      <c r="F404" s="447"/>
      <c r="G404" s="447"/>
      <c r="H404" s="447"/>
      <c r="I404" s="447"/>
      <c r="J404" s="447"/>
      <c r="K404" s="447"/>
      <c r="L404" s="447"/>
      <c r="M404" s="447"/>
      <c r="N404" s="447"/>
      <c r="O404" s="447"/>
      <c r="P404" s="447"/>
      <c r="Q404" s="447"/>
      <c r="R404" s="447"/>
      <c r="S404" s="447"/>
      <c r="T404" s="447"/>
      <c r="U404" s="447"/>
      <c r="V404" s="447"/>
      <c r="W404" s="447"/>
      <c r="X404" s="447"/>
      <c r="Y404" s="447"/>
      <c r="Z404" s="447"/>
      <c r="AA404" s="447"/>
      <c r="AB404" s="447"/>
      <c r="AC404" s="447"/>
      <c r="AD404" s="447"/>
      <c r="AE404" s="447"/>
      <c r="AF404" s="448"/>
      <c r="AG404" s="448"/>
      <c r="AH404" s="449"/>
      <c r="AI404" s="447"/>
      <c r="AJ404" s="447"/>
      <c r="AK404" s="447"/>
      <c r="AL404" s="447"/>
      <c r="AM404" s="447"/>
      <c r="AN404" s="447"/>
      <c r="AO404" s="447"/>
      <c r="AP404" s="447"/>
      <c r="AQ404" s="447"/>
      <c r="AR404" s="447"/>
      <c r="AS404" s="447"/>
      <c r="AT404" s="447"/>
      <c r="AU404" s="447"/>
      <c r="AV404" s="447"/>
      <c r="AW404" s="447"/>
      <c r="AX404" s="447"/>
      <c r="AY404" s="447"/>
      <c r="AZ404" s="447"/>
      <c r="BA404" s="447"/>
      <c r="BB404" s="447"/>
      <c r="BC404" s="447"/>
      <c r="BD404" s="447"/>
      <c r="BE404" s="447"/>
      <c r="BF404" s="447"/>
      <c r="BG404" s="447"/>
      <c r="BH404" s="447"/>
      <c r="BI404" s="447"/>
      <c r="BJ404" s="447"/>
      <c r="BK404" s="447"/>
      <c r="BL404" s="447"/>
      <c r="BM404" s="448"/>
      <c r="BN404" s="448"/>
    </row>
    <row r="405" spans="1:66" ht="11.25" customHeight="1">
      <c r="A405" s="450"/>
      <c r="B405" s="447"/>
      <c r="C405" s="447"/>
      <c r="D405" s="447"/>
      <c r="E405" s="447"/>
      <c r="F405" s="447"/>
      <c r="G405" s="447"/>
      <c r="H405" s="447"/>
      <c r="I405" s="447"/>
      <c r="J405" s="447"/>
      <c r="K405" s="447"/>
      <c r="L405" s="447"/>
      <c r="M405" s="447"/>
      <c r="N405" s="447"/>
      <c r="O405" s="447"/>
      <c r="P405" s="447"/>
      <c r="Q405" s="447"/>
      <c r="R405" s="447"/>
      <c r="S405" s="447"/>
      <c r="T405" s="447"/>
      <c r="U405" s="447"/>
      <c r="V405" s="447"/>
      <c r="W405" s="447"/>
      <c r="X405" s="447"/>
      <c r="Y405" s="447"/>
      <c r="Z405" s="447"/>
      <c r="AA405" s="447"/>
      <c r="AB405" s="447"/>
      <c r="AC405" s="447"/>
      <c r="AD405" s="447"/>
      <c r="AE405" s="447"/>
      <c r="AF405" s="448"/>
      <c r="AG405" s="448"/>
      <c r="AH405" s="449"/>
      <c r="AI405" s="447"/>
      <c r="AJ405" s="447"/>
      <c r="AK405" s="447"/>
      <c r="AL405" s="447"/>
      <c r="AM405" s="447"/>
      <c r="AN405" s="447"/>
      <c r="AO405" s="447"/>
      <c r="AP405" s="447"/>
      <c r="AQ405" s="447"/>
      <c r="AR405" s="447"/>
      <c r="AS405" s="447"/>
      <c r="AT405" s="447"/>
      <c r="AU405" s="447"/>
      <c r="AV405" s="447"/>
      <c r="AW405" s="447"/>
      <c r="AX405" s="447"/>
      <c r="AY405" s="447"/>
      <c r="AZ405" s="447"/>
      <c r="BA405" s="447"/>
      <c r="BB405" s="447"/>
      <c r="BC405" s="447"/>
      <c r="BD405" s="447"/>
      <c r="BE405" s="447"/>
      <c r="BF405" s="447"/>
      <c r="BG405" s="447"/>
      <c r="BH405" s="447"/>
      <c r="BI405" s="447"/>
      <c r="BJ405" s="447"/>
      <c r="BK405" s="447"/>
      <c r="BL405" s="447"/>
      <c r="BM405" s="448"/>
      <c r="BN405" s="448"/>
    </row>
    <row r="406" spans="1:66" ht="11.25" customHeight="1">
      <c r="A406" s="450"/>
      <c r="B406" s="447"/>
      <c r="C406" s="447"/>
      <c r="D406" s="447"/>
      <c r="E406" s="447"/>
      <c r="F406" s="447"/>
      <c r="G406" s="447"/>
      <c r="H406" s="447"/>
      <c r="I406" s="447"/>
      <c r="J406" s="447"/>
      <c r="K406" s="447"/>
      <c r="L406" s="447"/>
      <c r="M406" s="447"/>
      <c r="N406" s="447"/>
      <c r="O406" s="447"/>
      <c r="P406" s="447"/>
      <c r="Q406" s="447"/>
      <c r="R406" s="447"/>
      <c r="S406" s="447"/>
      <c r="T406" s="447"/>
      <c r="U406" s="447"/>
      <c r="V406" s="447"/>
      <c r="W406" s="447"/>
      <c r="X406" s="447"/>
      <c r="Y406" s="447"/>
      <c r="Z406" s="447"/>
      <c r="AA406" s="447"/>
      <c r="AB406" s="447"/>
      <c r="AC406" s="447"/>
      <c r="AD406" s="447"/>
      <c r="AE406" s="447"/>
      <c r="AF406" s="448"/>
      <c r="AG406" s="448"/>
      <c r="AH406" s="449"/>
      <c r="AI406" s="447"/>
      <c r="AJ406" s="447"/>
      <c r="AK406" s="447"/>
      <c r="AL406" s="447"/>
      <c r="AM406" s="447"/>
      <c r="AN406" s="447"/>
      <c r="AO406" s="447"/>
      <c r="AP406" s="447"/>
      <c r="AQ406" s="447"/>
      <c r="AR406" s="447"/>
      <c r="AS406" s="447"/>
      <c r="AT406" s="447"/>
      <c r="AU406" s="447"/>
      <c r="AV406" s="447"/>
      <c r="AW406" s="447"/>
      <c r="AX406" s="447"/>
      <c r="AY406" s="447"/>
      <c r="AZ406" s="447"/>
      <c r="BA406" s="447"/>
      <c r="BB406" s="447"/>
      <c r="BC406" s="447"/>
      <c r="BD406" s="447"/>
      <c r="BE406" s="447"/>
      <c r="BF406" s="447"/>
      <c r="BG406" s="447"/>
      <c r="BH406" s="447"/>
      <c r="BI406" s="447"/>
      <c r="BJ406" s="447"/>
      <c r="BK406" s="447"/>
      <c r="BL406" s="447"/>
      <c r="BM406" s="448"/>
      <c r="BN406" s="448"/>
    </row>
    <row r="407" spans="1:66" ht="11.25" customHeight="1">
      <c r="A407" s="450"/>
      <c r="B407" s="447"/>
      <c r="C407" s="447"/>
      <c r="D407" s="447"/>
      <c r="E407" s="447"/>
      <c r="F407" s="447"/>
      <c r="G407" s="447"/>
      <c r="H407" s="447"/>
      <c r="I407" s="447"/>
      <c r="J407" s="447"/>
      <c r="K407" s="447"/>
      <c r="L407" s="447"/>
      <c r="M407" s="447"/>
      <c r="N407" s="447"/>
      <c r="O407" s="447"/>
      <c r="P407" s="447"/>
      <c r="Q407" s="447"/>
      <c r="R407" s="447"/>
      <c r="S407" s="447"/>
      <c r="T407" s="447"/>
      <c r="U407" s="447"/>
      <c r="V407" s="447"/>
      <c r="W407" s="447"/>
      <c r="X407" s="447"/>
      <c r="Y407" s="447"/>
      <c r="Z407" s="447"/>
      <c r="AA407" s="447"/>
      <c r="AB407" s="447"/>
      <c r="AC407" s="447"/>
      <c r="AD407" s="447"/>
      <c r="AE407" s="447"/>
      <c r="AF407" s="448"/>
      <c r="AG407" s="448"/>
      <c r="AH407" s="449"/>
      <c r="AI407" s="447"/>
      <c r="AJ407" s="447"/>
      <c r="AK407" s="447"/>
      <c r="AL407" s="447"/>
      <c r="AM407" s="447"/>
      <c r="AN407" s="447"/>
      <c r="AO407" s="447"/>
      <c r="AP407" s="447"/>
      <c r="AQ407" s="447"/>
      <c r="AR407" s="447"/>
      <c r="AS407" s="447"/>
      <c r="AT407" s="447"/>
      <c r="AU407" s="447"/>
      <c r="AV407" s="447"/>
      <c r="AW407" s="447"/>
      <c r="AX407" s="447"/>
      <c r="AY407" s="447"/>
      <c r="AZ407" s="447"/>
      <c r="BA407" s="447"/>
      <c r="BB407" s="447"/>
      <c r="BC407" s="447"/>
      <c r="BD407" s="447"/>
      <c r="BE407" s="447"/>
      <c r="BF407" s="447"/>
      <c r="BG407" s="447"/>
      <c r="BH407" s="447"/>
      <c r="BI407" s="447"/>
      <c r="BJ407" s="447"/>
      <c r="BK407" s="447"/>
      <c r="BL407" s="447"/>
      <c r="BM407" s="448"/>
      <c r="BN407" s="448"/>
    </row>
    <row r="408" spans="1:66" ht="11.25" customHeight="1">
      <c r="A408" s="450"/>
      <c r="B408" s="447"/>
      <c r="C408" s="447"/>
      <c r="D408" s="447"/>
      <c r="E408" s="447"/>
      <c r="F408" s="447"/>
      <c r="G408" s="447"/>
      <c r="H408" s="447"/>
      <c r="I408" s="447"/>
      <c r="J408" s="447"/>
      <c r="K408" s="447"/>
      <c r="L408" s="447"/>
      <c r="M408" s="447"/>
      <c r="N408" s="447"/>
      <c r="O408" s="447"/>
      <c r="P408" s="447"/>
      <c r="Q408" s="447"/>
      <c r="R408" s="447"/>
      <c r="S408" s="447"/>
      <c r="T408" s="447"/>
      <c r="U408" s="447"/>
      <c r="V408" s="447"/>
      <c r="W408" s="447"/>
      <c r="X408" s="447"/>
      <c r="Y408" s="447"/>
      <c r="Z408" s="447"/>
      <c r="AA408" s="447"/>
      <c r="AB408" s="447"/>
      <c r="AC408" s="447"/>
      <c r="AD408" s="447"/>
      <c r="AE408" s="447"/>
      <c r="AF408" s="448"/>
      <c r="AG408" s="448"/>
      <c r="AH408" s="449"/>
      <c r="AI408" s="447"/>
      <c r="AJ408" s="447"/>
      <c r="AK408" s="447"/>
      <c r="AL408" s="447"/>
      <c r="AM408" s="447"/>
      <c r="AN408" s="447"/>
      <c r="AO408" s="447"/>
      <c r="AP408" s="447"/>
      <c r="AQ408" s="447"/>
      <c r="AR408" s="447"/>
      <c r="AS408" s="447"/>
      <c r="AT408" s="447"/>
      <c r="AU408" s="447"/>
      <c r="AV408" s="447"/>
      <c r="AW408" s="447"/>
      <c r="AX408" s="447"/>
      <c r="AY408" s="447"/>
      <c r="AZ408" s="447"/>
      <c r="BA408" s="447"/>
      <c r="BB408" s="447"/>
      <c r="BC408" s="447"/>
      <c r="BD408" s="447"/>
      <c r="BE408" s="447"/>
      <c r="BF408" s="447"/>
      <c r="BG408" s="447"/>
      <c r="BH408" s="447"/>
      <c r="BI408" s="447"/>
      <c r="BJ408" s="447"/>
      <c r="BK408" s="447"/>
      <c r="BL408" s="447"/>
      <c r="BM408" s="448"/>
      <c r="BN408" s="448"/>
    </row>
    <row r="409" spans="1:66" ht="11.25" customHeight="1">
      <c r="A409" s="450"/>
      <c r="B409" s="447"/>
      <c r="C409" s="447"/>
      <c r="D409" s="447"/>
      <c r="E409" s="447"/>
      <c r="F409" s="447"/>
      <c r="G409" s="447"/>
      <c r="H409" s="447"/>
      <c r="I409" s="447"/>
      <c r="J409" s="447"/>
      <c r="K409" s="447"/>
      <c r="L409" s="447"/>
      <c r="M409" s="447"/>
      <c r="N409" s="447"/>
      <c r="O409" s="447"/>
      <c r="P409" s="447"/>
      <c r="Q409" s="447"/>
      <c r="R409" s="447"/>
      <c r="S409" s="447"/>
      <c r="T409" s="447"/>
      <c r="U409" s="447"/>
      <c r="V409" s="447"/>
      <c r="W409" s="447"/>
      <c r="X409" s="447"/>
      <c r="Y409" s="447"/>
      <c r="Z409" s="447"/>
      <c r="AA409" s="447"/>
      <c r="AB409" s="447"/>
      <c r="AC409" s="447"/>
      <c r="AD409" s="447"/>
      <c r="AE409" s="447"/>
      <c r="AF409" s="448"/>
      <c r="AG409" s="448"/>
      <c r="AH409" s="449"/>
      <c r="AI409" s="447"/>
      <c r="AJ409" s="447"/>
      <c r="AK409" s="447"/>
      <c r="AL409" s="447"/>
      <c r="AM409" s="447"/>
      <c r="AN409" s="447"/>
      <c r="AO409" s="447"/>
      <c r="AP409" s="447"/>
      <c r="AQ409" s="447"/>
      <c r="AR409" s="447"/>
      <c r="AS409" s="447"/>
      <c r="AT409" s="447"/>
      <c r="AU409" s="447"/>
      <c r="AV409" s="447"/>
      <c r="AW409" s="447"/>
      <c r="AX409" s="447"/>
      <c r="AY409" s="447"/>
      <c r="AZ409" s="447"/>
      <c r="BA409" s="447"/>
      <c r="BB409" s="447"/>
      <c r="BC409" s="447"/>
      <c r="BD409" s="447"/>
      <c r="BE409" s="447"/>
      <c r="BF409" s="447"/>
      <c r="BG409" s="447"/>
      <c r="BH409" s="447"/>
      <c r="BI409" s="447"/>
      <c r="BJ409" s="447"/>
      <c r="BK409" s="447"/>
      <c r="BL409" s="447"/>
      <c r="BM409" s="448"/>
      <c r="BN409" s="448"/>
    </row>
    <row r="410" spans="1:66" ht="11.25" customHeight="1">
      <c r="A410" s="450"/>
      <c r="B410" s="447"/>
      <c r="C410" s="447"/>
      <c r="D410" s="447"/>
      <c r="E410" s="447"/>
      <c r="F410" s="447"/>
      <c r="G410" s="447"/>
      <c r="H410" s="447"/>
      <c r="I410" s="447"/>
      <c r="J410" s="447"/>
      <c r="K410" s="447"/>
      <c r="L410" s="447"/>
      <c r="M410" s="447"/>
      <c r="N410" s="447"/>
      <c r="O410" s="447"/>
      <c r="P410" s="447"/>
      <c r="Q410" s="447"/>
      <c r="R410" s="447"/>
      <c r="S410" s="447"/>
      <c r="T410" s="447"/>
      <c r="U410" s="447"/>
      <c r="V410" s="447"/>
      <c r="W410" s="447"/>
      <c r="X410" s="447"/>
      <c r="Y410" s="447"/>
      <c r="Z410" s="447"/>
      <c r="AA410" s="447"/>
      <c r="AB410" s="447"/>
      <c r="AC410" s="447"/>
      <c r="AD410" s="447"/>
      <c r="AE410" s="447"/>
      <c r="AF410" s="448"/>
      <c r="AG410" s="448"/>
      <c r="AH410" s="449"/>
      <c r="AI410" s="447"/>
      <c r="AJ410" s="447"/>
      <c r="AK410" s="447"/>
      <c r="AL410" s="447"/>
      <c r="AM410" s="447"/>
      <c r="AN410" s="447"/>
      <c r="AO410" s="447"/>
      <c r="AP410" s="447"/>
      <c r="AQ410" s="447"/>
      <c r="AR410" s="447"/>
      <c r="AS410" s="447"/>
      <c r="AT410" s="447"/>
      <c r="AU410" s="447"/>
      <c r="AV410" s="447"/>
      <c r="AW410" s="447"/>
      <c r="AX410" s="447"/>
      <c r="AY410" s="447"/>
      <c r="AZ410" s="447"/>
      <c r="BA410" s="447"/>
      <c r="BB410" s="447"/>
      <c r="BC410" s="447"/>
      <c r="BD410" s="447"/>
      <c r="BE410" s="447"/>
      <c r="BF410" s="447"/>
      <c r="BG410" s="447"/>
      <c r="BH410" s="447"/>
      <c r="BI410" s="447"/>
      <c r="BJ410" s="447"/>
      <c r="BK410" s="447"/>
      <c r="BL410" s="447"/>
      <c r="BM410" s="448"/>
      <c r="BN410" s="448"/>
    </row>
    <row r="411" spans="1:66" ht="11.25" customHeight="1">
      <c r="A411" s="450"/>
      <c r="B411" s="447"/>
      <c r="C411" s="447"/>
      <c r="D411" s="447"/>
      <c r="E411" s="447"/>
      <c r="F411" s="447"/>
      <c r="G411" s="447"/>
      <c r="H411" s="447"/>
      <c r="I411" s="447"/>
      <c r="J411" s="447"/>
      <c r="K411" s="447"/>
      <c r="L411" s="447"/>
      <c r="M411" s="447"/>
      <c r="N411" s="447"/>
      <c r="O411" s="447"/>
      <c r="P411" s="447"/>
      <c r="Q411" s="447"/>
      <c r="R411" s="447"/>
      <c r="S411" s="447"/>
      <c r="T411" s="447"/>
      <c r="U411" s="447"/>
      <c r="V411" s="447"/>
      <c r="W411" s="447"/>
      <c r="X411" s="447"/>
      <c r="Y411" s="447"/>
      <c r="Z411" s="447"/>
      <c r="AA411" s="447"/>
      <c r="AB411" s="447"/>
      <c r="AC411" s="447"/>
      <c r="AD411" s="447"/>
      <c r="AE411" s="447"/>
      <c r="AF411" s="448"/>
      <c r="AG411" s="448"/>
      <c r="AH411" s="449"/>
      <c r="AI411" s="447"/>
      <c r="AJ411" s="447"/>
      <c r="AK411" s="447"/>
      <c r="AL411" s="447"/>
      <c r="AM411" s="447"/>
      <c r="AN411" s="447"/>
      <c r="AO411" s="447"/>
      <c r="AP411" s="447"/>
      <c r="AQ411" s="447"/>
      <c r="AR411" s="447"/>
      <c r="AS411" s="447"/>
      <c r="AT411" s="447"/>
      <c r="AU411" s="447"/>
      <c r="AV411" s="447"/>
      <c r="AW411" s="447"/>
      <c r="AX411" s="447"/>
      <c r="AY411" s="447"/>
      <c r="AZ411" s="447"/>
      <c r="BA411" s="447"/>
      <c r="BB411" s="447"/>
      <c r="BC411" s="447"/>
      <c r="BD411" s="447"/>
      <c r="BE411" s="447"/>
      <c r="BF411" s="447"/>
      <c r="BG411" s="447"/>
      <c r="BH411" s="447"/>
      <c r="BI411" s="447"/>
      <c r="BJ411" s="447"/>
      <c r="BK411" s="447"/>
      <c r="BL411" s="447"/>
      <c r="BM411" s="448"/>
      <c r="BN411" s="448"/>
    </row>
    <row r="412" spans="1:66" ht="11.25" customHeight="1">
      <c r="A412" s="450"/>
      <c r="B412" s="447"/>
      <c r="C412" s="447"/>
      <c r="D412" s="447"/>
      <c r="E412" s="447"/>
      <c r="F412" s="447"/>
      <c r="G412" s="447"/>
      <c r="H412" s="447"/>
      <c r="I412" s="447"/>
      <c r="J412" s="447"/>
      <c r="K412" s="447"/>
      <c r="L412" s="447"/>
      <c r="M412" s="447"/>
      <c r="N412" s="447"/>
      <c r="O412" s="447"/>
      <c r="P412" s="447"/>
      <c r="Q412" s="447"/>
      <c r="R412" s="447"/>
      <c r="S412" s="447"/>
      <c r="T412" s="447"/>
      <c r="U412" s="447"/>
      <c r="V412" s="447"/>
      <c r="W412" s="447"/>
      <c r="X412" s="447"/>
      <c r="Y412" s="447"/>
      <c r="Z412" s="447"/>
      <c r="AA412" s="447"/>
      <c r="AB412" s="447"/>
      <c r="AC412" s="447"/>
      <c r="AD412" s="447"/>
      <c r="AE412" s="447"/>
      <c r="AF412" s="448"/>
      <c r="AG412" s="448"/>
      <c r="AH412" s="449"/>
      <c r="AI412" s="447"/>
      <c r="AJ412" s="447"/>
      <c r="AK412" s="447"/>
      <c r="AL412" s="447"/>
      <c r="AM412" s="447"/>
      <c r="AN412" s="447"/>
      <c r="AO412" s="447"/>
      <c r="AP412" s="447"/>
      <c r="AQ412" s="447"/>
      <c r="AR412" s="447"/>
      <c r="AS412" s="447"/>
      <c r="AT412" s="447"/>
      <c r="AU412" s="447"/>
      <c r="AV412" s="447"/>
      <c r="AW412" s="447"/>
      <c r="AX412" s="447"/>
      <c r="AY412" s="447"/>
      <c r="AZ412" s="447"/>
      <c r="BA412" s="447"/>
      <c r="BB412" s="447"/>
      <c r="BC412" s="447"/>
      <c r="BD412" s="447"/>
      <c r="BE412" s="447"/>
      <c r="BF412" s="447"/>
      <c r="BG412" s="447"/>
      <c r="BH412" s="447"/>
      <c r="BI412" s="447"/>
      <c r="BJ412" s="447"/>
      <c r="BK412" s="447"/>
      <c r="BL412" s="447"/>
      <c r="BM412" s="448"/>
      <c r="BN412" s="448"/>
    </row>
    <row r="413" spans="1:66" ht="11.25" customHeight="1">
      <c r="A413" s="450"/>
      <c r="B413" s="447"/>
      <c r="C413" s="447"/>
      <c r="D413" s="447"/>
      <c r="E413" s="447"/>
      <c r="F413" s="447"/>
      <c r="G413" s="447"/>
      <c r="H413" s="447"/>
      <c r="I413" s="447"/>
      <c r="J413" s="447"/>
      <c r="K413" s="447"/>
      <c r="L413" s="447"/>
      <c r="M413" s="447"/>
      <c r="N413" s="447"/>
      <c r="O413" s="447"/>
      <c r="P413" s="447"/>
      <c r="Q413" s="447"/>
      <c r="R413" s="447"/>
      <c r="S413" s="447"/>
      <c r="T413" s="447"/>
      <c r="U413" s="447"/>
      <c r="V413" s="447"/>
      <c r="W413" s="447"/>
      <c r="X413" s="447"/>
      <c r="Y413" s="447"/>
      <c r="Z413" s="447"/>
      <c r="AA413" s="447"/>
      <c r="AB413" s="447"/>
      <c r="AC413" s="447"/>
      <c r="AD413" s="447"/>
      <c r="AE413" s="447"/>
      <c r="AF413" s="448"/>
      <c r="AG413" s="448"/>
      <c r="AH413" s="449"/>
      <c r="AI413" s="447"/>
      <c r="AJ413" s="447"/>
      <c r="AK413" s="447"/>
      <c r="AL413" s="447"/>
      <c r="AM413" s="447"/>
      <c r="AN413" s="447"/>
      <c r="AO413" s="447"/>
      <c r="AP413" s="447"/>
      <c r="AQ413" s="447"/>
      <c r="AR413" s="447"/>
      <c r="AS413" s="447"/>
      <c r="AT413" s="447"/>
      <c r="AU413" s="447"/>
      <c r="AV413" s="447"/>
      <c r="AW413" s="447"/>
      <c r="AX413" s="447"/>
      <c r="AY413" s="447"/>
      <c r="AZ413" s="447"/>
      <c r="BA413" s="447"/>
      <c r="BB413" s="447"/>
      <c r="BC413" s="447"/>
      <c r="BD413" s="447"/>
      <c r="BE413" s="447"/>
      <c r="BF413" s="447"/>
      <c r="BG413" s="447"/>
      <c r="BH413" s="447"/>
      <c r="BI413" s="447"/>
      <c r="BJ413" s="447"/>
      <c r="BK413" s="447"/>
      <c r="BL413" s="447"/>
      <c r="BM413" s="448"/>
      <c r="BN413" s="448"/>
    </row>
    <row r="414" spans="1:66" ht="11.25" customHeight="1">
      <c r="A414" s="450"/>
      <c r="B414" s="447"/>
      <c r="C414" s="447"/>
      <c r="D414" s="447"/>
      <c r="E414" s="447"/>
      <c r="F414" s="447"/>
      <c r="G414" s="447"/>
      <c r="H414" s="447"/>
      <c r="I414" s="447"/>
      <c r="J414" s="447"/>
      <c r="K414" s="447"/>
      <c r="L414" s="447"/>
      <c r="M414" s="447"/>
      <c r="N414" s="447"/>
      <c r="O414" s="447"/>
      <c r="P414" s="447"/>
      <c r="Q414" s="447"/>
      <c r="R414" s="447"/>
      <c r="S414" s="447"/>
      <c r="T414" s="447"/>
      <c r="U414" s="447"/>
      <c r="V414" s="447"/>
      <c r="W414" s="447"/>
      <c r="X414" s="447"/>
      <c r="Y414" s="447"/>
      <c r="Z414" s="447"/>
      <c r="AA414" s="447"/>
      <c r="AB414" s="447"/>
      <c r="AC414" s="447"/>
      <c r="AD414" s="447"/>
      <c r="AE414" s="447"/>
      <c r="AF414" s="448"/>
      <c r="AG414" s="448"/>
      <c r="AH414" s="449"/>
      <c r="AI414" s="447"/>
      <c r="AJ414" s="447"/>
      <c r="AK414" s="447"/>
      <c r="AL414" s="447"/>
      <c r="AM414" s="447"/>
      <c r="AN414" s="447"/>
      <c r="AO414" s="447"/>
      <c r="AP414" s="447"/>
      <c r="AQ414" s="447"/>
      <c r="AR414" s="447"/>
      <c r="AS414" s="447"/>
      <c r="AT414" s="447"/>
      <c r="AU414" s="447"/>
      <c r="AV414" s="447"/>
      <c r="AW414" s="447"/>
      <c r="AX414" s="447"/>
      <c r="AY414" s="447"/>
      <c r="AZ414" s="447"/>
      <c r="BA414" s="447"/>
      <c r="BB414" s="447"/>
      <c r="BC414" s="447"/>
      <c r="BD414" s="447"/>
      <c r="BE414" s="447"/>
      <c r="BF414" s="447"/>
      <c r="BG414" s="447"/>
      <c r="BH414" s="447"/>
      <c r="BI414" s="447"/>
      <c r="BJ414" s="447"/>
      <c r="BK414" s="447"/>
      <c r="BL414" s="447"/>
      <c r="BM414" s="448"/>
      <c r="BN414" s="448"/>
    </row>
    <row r="415" spans="1:66" ht="11.25" customHeight="1">
      <c r="A415" s="450"/>
      <c r="B415" s="447"/>
      <c r="C415" s="447"/>
      <c r="D415" s="447"/>
      <c r="E415" s="447"/>
      <c r="F415" s="447"/>
      <c r="G415" s="447"/>
      <c r="H415" s="447"/>
      <c r="I415" s="447"/>
      <c r="J415" s="447"/>
      <c r="K415" s="447"/>
      <c r="L415" s="447"/>
      <c r="M415" s="447"/>
      <c r="N415" s="447"/>
      <c r="O415" s="447"/>
      <c r="P415" s="447"/>
      <c r="Q415" s="447"/>
      <c r="R415" s="447"/>
      <c r="S415" s="447"/>
      <c r="T415" s="447"/>
      <c r="U415" s="447"/>
      <c r="V415" s="447"/>
      <c r="W415" s="447"/>
      <c r="X415" s="447"/>
      <c r="Y415" s="447"/>
      <c r="Z415" s="447"/>
      <c r="AA415" s="447"/>
      <c r="AB415" s="447"/>
      <c r="AC415" s="447"/>
      <c r="AD415" s="447"/>
      <c r="AE415" s="447"/>
      <c r="AF415" s="448"/>
      <c r="AG415" s="448"/>
      <c r="AH415" s="449"/>
      <c r="AI415" s="447"/>
      <c r="AJ415" s="447"/>
      <c r="AK415" s="447"/>
      <c r="AL415" s="447"/>
      <c r="AM415" s="447"/>
      <c r="AN415" s="447"/>
      <c r="AO415" s="447"/>
      <c r="AP415" s="447"/>
      <c r="AQ415" s="447"/>
      <c r="AR415" s="447"/>
      <c r="AS415" s="447"/>
      <c r="AT415" s="447"/>
      <c r="AU415" s="447"/>
      <c r="AV415" s="447"/>
      <c r="AW415" s="447"/>
      <c r="AX415" s="447"/>
      <c r="AY415" s="447"/>
      <c r="AZ415" s="447"/>
      <c r="BA415" s="447"/>
      <c r="BB415" s="447"/>
      <c r="BC415" s="447"/>
      <c r="BD415" s="447"/>
      <c r="BE415" s="447"/>
      <c r="BF415" s="447"/>
      <c r="BG415" s="447"/>
      <c r="BH415" s="447"/>
      <c r="BI415" s="447"/>
      <c r="BJ415" s="447"/>
      <c r="BK415" s="447"/>
      <c r="BL415" s="447"/>
      <c r="BM415" s="448"/>
      <c r="BN415" s="448"/>
    </row>
    <row r="416" spans="1:66" ht="11.25" customHeight="1">
      <c r="A416" s="450"/>
      <c r="B416" s="447"/>
      <c r="C416" s="447"/>
      <c r="D416" s="447"/>
      <c r="E416" s="447"/>
      <c r="F416" s="447"/>
      <c r="G416" s="447"/>
      <c r="H416" s="447"/>
      <c r="I416" s="447"/>
      <c r="J416" s="447"/>
      <c r="K416" s="447"/>
      <c r="L416" s="447"/>
      <c r="M416" s="447"/>
      <c r="N416" s="447"/>
      <c r="O416" s="447"/>
      <c r="P416" s="447"/>
      <c r="Q416" s="447"/>
      <c r="R416" s="447"/>
      <c r="S416" s="447"/>
      <c r="T416" s="447"/>
      <c r="U416" s="447"/>
      <c r="V416" s="447"/>
      <c r="W416" s="447"/>
      <c r="X416" s="447"/>
      <c r="Y416" s="447"/>
      <c r="Z416" s="447"/>
      <c r="AA416" s="447"/>
      <c r="AB416" s="447"/>
      <c r="AC416" s="447"/>
      <c r="AD416" s="447"/>
      <c r="AE416" s="447"/>
      <c r="AF416" s="448"/>
      <c r="AG416" s="448"/>
      <c r="AH416" s="449"/>
      <c r="AI416" s="447"/>
      <c r="AJ416" s="447"/>
      <c r="AK416" s="447"/>
      <c r="AL416" s="447"/>
      <c r="AM416" s="447"/>
      <c r="AN416" s="447"/>
      <c r="AO416" s="447"/>
      <c r="AP416" s="447"/>
      <c r="AQ416" s="447"/>
      <c r="AR416" s="447"/>
      <c r="AS416" s="447"/>
      <c r="AT416" s="447"/>
      <c r="AU416" s="447"/>
      <c r="AV416" s="447"/>
      <c r="AW416" s="447"/>
      <c r="AX416" s="447"/>
      <c r="AY416" s="447"/>
      <c r="AZ416" s="447"/>
      <c r="BA416" s="447"/>
      <c r="BB416" s="447"/>
      <c r="BC416" s="447"/>
      <c r="BD416" s="447"/>
      <c r="BE416" s="447"/>
      <c r="BF416" s="447"/>
      <c r="BG416" s="447"/>
      <c r="BH416" s="447"/>
      <c r="BI416" s="447"/>
      <c r="BJ416" s="447"/>
      <c r="BK416" s="447"/>
      <c r="BL416" s="447"/>
      <c r="BM416" s="448"/>
      <c r="BN416" s="448"/>
    </row>
    <row r="417" spans="1:66" ht="11.25" customHeight="1">
      <c r="A417" s="450"/>
      <c r="B417" s="447"/>
      <c r="C417" s="447"/>
      <c r="D417" s="447"/>
      <c r="E417" s="447"/>
      <c r="F417" s="447"/>
      <c r="G417" s="447"/>
      <c r="H417" s="447"/>
      <c r="I417" s="447"/>
      <c r="J417" s="447"/>
      <c r="K417" s="447"/>
      <c r="L417" s="447"/>
      <c r="M417" s="447"/>
      <c r="N417" s="447"/>
      <c r="O417" s="447"/>
      <c r="P417" s="447"/>
      <c r="Q417" s="447"/>
      <c r="R417" s="447"/>
      <c r="S417" s="447"/>
      <c r="T417" s="447"/>
      <c r="U417" s="447"/>
      <c r="V417" s="447"/>
      <c r="W417" s="447"/>
      <c r="X417" s="447"/>
      <c r="Y417" s="447"/>
      <c r="Z417" s="447"/>
      <c r="AA417" s="447"/>
      <c r="AB417" s="447"/>
      <c r="AC417" s="447"/>
      <c r="AD417" s="447"/>
      <c r="AE417" s="447"/>
      <c r="AF417" s="448"/>
      <c r="AG417" s="448"/>
      <c r="AH417" s="449"/>
      <c r="AI417" s="447"/>
      <c r="AJ417" s="447"/>
      <c r="AK417" s="447"/>
      <c r="AL417" s="447"/>
      <c r="AM417" s="447"/>
      <c r="AN417" s="447"/>
      <c r="AO417" s="447"/>
      <c r="AP417" s="447"/>
      <c r="AQ417" s="447"/>
      <c r="AR417" s="447"/>
      <c r="AS417" s="447"/>
      <c r="AT417" s="447"/>
      <c r="AU417" s="447"/>
      <c r="AV417" s="447"/>
      <c r="AW417" s="447"/>
      <c r="AX417" s="447"/>
      <c r="AY417" s="447"/>
      <c r="AZ417" s="447"/>
      <c r="BA417" s="447"/>
      <c r="BB417" s="447"/>
      <c r="BC417" s="447"/>
      <c r="BD417" s="447"/>
      <c r="BE417" s="447"/>
      <c r="BF417" s="447"/>
      <c r="BG417" s="447"/>
      <c r="BH417" s="447"/>
      <c r="BI417" s="447"/>
      <c r="BJ417" s="447"/>
      <c r="BK417" s="447"/>
      <c r="BL417" s="447"/>
      <c r="BM417" s="448"/>
      <c r="BN417" s="448"/>
    </row>
    <row r="418" spans="1:66" ht="11.25" customHeight="1">
      <c r="A418" s="450"/>
      <c r="B418" s="447"/>
      <c r="C418" s="447"/>
      <c r="D418" s="447"/>
      <c r="E418" s="447"/>
      <c r="F418" s="447"/>
      <c r="G418" s="447"/>
      <c r="H418" s="447"/>
      <c r="I418" s="447"/>
      <c r="J418" s="447"/>
      <c r="K418" s="447"/>
      <c r="L418" s="447"/>
      <c r="M418" s="447"/>
      <c r="N418" s="447"/>
      <c r="O418" s="447"/>
      <c r="P418" s="447"/>
      <c r="Q418" s="447"/>
      <c r="R418" s="447"/>
      <c r="S418" s="447"/>
      <c r="T418" s="447"/>
      <c r="U418" s="447"/>
      <c r="V418" s="447"/>
      <c r="W418" s="447"/>
      <c r="X418" s="447"/>
      <c r="Y418" s="447"/>
      <c r="Z418" s="447"/>
      <c r="AA418" s="447"/>
      <c r="AB418" s="447"/>
      <c r="AC418" s="447"/>
      <c r="AD418" s="447"/>
      <c r="AE418" s="447"/>
      <c r="AF418" s="448"/>
      <c r="AG418" s="448"/>
      <c r="AH418" s="449"/>
      <c r="AI418" s="447"/>
      <c r="AJ418" s="447"/>
      <c r="AK418" s="447"/>
      <c r="AL418" s="447"/>
      <c r="AM418" s="447"/>
      <c r="AN418" s="447"/>
      <c r="AO418" s="447"/>
      <c r="AP418" s="447"/>
      <c r="AQ418" s="447"/>
      <c r="AR418" s="447"/>
      <c r="AS418" s="447"/>
      <c r="AT418" s="447"/>
      <c r="AU418" s="447"/>
      <c r="AV418" s="447"/>
      <c r="AW418" s="447"/>
      <c r="AX418" s="447"/>
      <c r="AY418" s="447"/>
      <c r="AZ418" s="447"/>
      <c r="BA418" s="447"/>
      <c r="BB418" s="447"/>
      <c r="BC418" s="447"/>
      <c r="BD418" s="447"/>
      <c r="BE418" s="447"/>
      <c r="BF418" s="447"/>
      <c r="BG418" s="447"/>
      <c r="BH418" s="447"/>
      <c r="BI418" s="447"/>
      <c r="BJ418" s="447"/>
      <c r="BK418" s="447"/>
      <c r="BL418" s="447"/>
      <c r="BM418" s="448"/>
      <c r="BN418" s="448"/>
    </row>
    <row r="419" spans="1:66" ht="11.25" customHeight="1">
      <c r="A419" s="450"/>
      <c r="B419" s="447"/>
      <c r="C419" s="447"/>
      <c r="D419" s="447"/>
      <c r="E419" s="447"/>
      <c r="F419" s="447"/>
      <c r="G419" s="447"/>
      <c r="H419" s="447"/>
      <c r="I419" s="447"/>
      <c r="J419" s="447"/>
      <c r="K419" s="447"/>
      <c r="L419" s="447"/>
      <c r="M419" s="447"/>
      <c r="N419" s="447"/>
      <c r="O419" s="447"/>
      <c r="P419" s="447"/>
      <c r="Q419" s="447"/>
      <c r="R419" s="447"/>
      <c r="S419" s="447"/>
      <c r="T419" s="447"/>
      <c r="U419" s="447"/>
      <c r="V419" s="447"/>
      <c r="W419" s="447"/>
      <c r="X419" s="447"/>
      <c r="Y419" s="447"/>
      <c r="Z419" s="447"/>
      <c r="AA419" s="447"/>
      <c r="AB419" s="447"/>
      <c r="AC419" s="447"/>
      <c r="AD419" s="447"/>
      <c r="AE419" s="447"/>
      <c r="AF419" s="448"/>
      <c r="AG419" s="448"/>
      <c r="AH419" s="449"/>
      <c r="AI419" s="447"/>
      <c r="AJ419" s="447"/>
      <c r="AK419" s="447"/>
      <c r="AL419" s="447"/>
      <c r="AM419" s="447"/>
      <c r="AN419" s="447"/>
      <c r="AO419" s="447"/>
      <c r="AP419" s="447"/>
      <c r="AQ419" s="447"/>
      <c r="AR419" s="447"/>
      <c r="AS419" s="447"/>
      <c r="AT419" s="447"/>
      <c r="AU419" s="447"/>
      <c r="AV419" s="447"/>
      <c r="AW419" s="447"/>
      <c r="AX419" s="447"/>
      <c r="AY419" s="447"/>
      <c r="AZ419" s="447"/>
      <c r="BA419" s="447"/>
      <c r="BB419" s="447"/>
      <c r="BC419" s="447"/>
      <c r="BD419" s="447"/>
      <c r="BE419" s="447"/>
      <c r="BF419" s="447"/>
      <c r="BG419" s="447"/>
      <c r="BH419" s="447"/>
      <c r="BI419" s="447"/>
      <c r="BJ419" s="447"/>
      <c r="BK419" s="447"/>
      <c r="BL419" s="447"/>
      <c r="BM419" s="448"/>
      <c r="BN419" s="448"/>
    </row>
    <row r="420" spans="1:66" ht="11.25" customHeight="1">
      <c r="A420" s="450"/>
      <c r="B420" s="447"/>
      <c r="C420" s="447"/>
      <c r="D420" s="447"/>
      <c r="E420" s="447"/>
      <c r="F420" s="447"/>
      <c r="G420" s="447"/>
      <c r="H420" s="447"/>
      <c r="I420" s="447"/>
      <c r="J420" s="447"/>
      <c r="K420" s="447"/>
      <c r="L420" s="447"/>
      <c r="M420" s="447"/>
      <c r="N420" s="447"/>
      <c r="O420" s="447"/>
      <c r="P420" s="447"/>
      <c r="Q420" s="447"/>
      <c r="R420" s="447"/>
      <c r="S420" s="447"/>
      <c r="T420" s="447"/>
      <c r="U420" s="447"/>
      <c r="V420" s="447"/>
      <c r="W420" s="447"/>
      <c r="X420" s="447"/>
      <c r="Y420" s="447"/>
      <c r="Z420" s="447"/>
      <c r="AA420" s="447"/>
      <c r="AB420" s="447"/>
      <c r="AC420" s="447"/>
      <c r="AD420" s="447"/>
      <c r="AE420" s="447"/>
      <c r="AF420" s="448"/>
      <c r="AG420" s="448"/>
      <c r="AH420" s="449"/>
      <c r="AI420" s="447"/>
      <c r="AJ420" s="447"/>
      <c r="AK420" s="447"/>
      <c r="AL420" s="447"/>
      <c r="AM420" s="447"/>
      <c r="AN420" s="447"/>
      <c r="AO420" s="447"/>
      <c r="AP420" s="447"/>
      <c r="AQ420" s="447"/>
      <c r="AR420" s="447"/>
      <c r="AS420" s="447"/>
      <c r="AT420" s="447"/>
      <c r="AU420" s="447"/>
      <c r="AV420" s="447"/>
      <c r="AW420" s="447"/>
      <c r="AX420" s="447"/>
      <c r="AY420" s="447"/>
      <c r="AZ420" s="447"/>
      <c r="BA420" s="447"/>
      <c r="BB420" s="447"/>
      <c r="BC420" s="447"/>
      <c r="BD420" s="447"/>
      <c r="BE420" s="447"/>
      <c r="BF420" s="447"/>
      <c r="BG420" s="447"/>
      <c r="BH420" s="447"/>
      <c r="BI420" s="447"/>
      <c r="BJ420" s="447"/>
      <c r="BK420" s="447"/>
      <c r="BL420" s="447"/>
      <c r="BM420" s="448"/>
      <c r="BN420" s="448"/>
    </row>
    <row r="421" spans="1:66" ht="11.25" customHeight="1">
      <c r="A421" s="450"/>
      <c r="B421" s="447"/>
      <c r="C421" s="447"/>
      <c r="D421" s="447"/>
      <c r="E421" s="447"/>
      <c r="F421" s="447"/>
      <c r="G421" s="447"/>
      <c r="H421" s="447"/>
      <c r="I421" s="447"/>
      <c r="J421" s="447"/>
      <c r="K421" s="447"/>
      <c r="L421" s="447"/>
      <c r="M421" s="447"/>
      <c r="N421" s="447"/>
      <c r="O421" s="447"/>
      <c r="P421" s="447"/>
      <c r="Q421" s="447"/>
      <c r="R421" s="447"/>
      <c r="S421" s="447"/>
      <c r="T421" s="447"/>
      <c r="U421" s="447"/>
      <c r="V421" s="447"/>
      <c r="W421" s="447"/>
      <c r="X421" s="447"/>
      <c r="Y421" s="447"/>
      <c r="Z421" s="447"/>
      <c r="AA421" s="447"/>
      <c r="AB421" s="447"/>
      <c r="AC421" s="447"/>
      <c r="AD421" s="447"/>
      <c r="AE421" s="447"/>
      <c r="AF421" s="448"/>
      <c r="AG421" s="448"/>
      <c r="AH421" s="449"/>
      <c r="AI421" s="447"/>
      <c r="AJ421" s="447"/>
      <c r="AK421" s="447"/>
      <c r="AL421" s="447"/>
      <c r="AM421" s="447"/>
      <c r="AN421" s="447"/>
      <c r="AO421" s="447"/>
      <c r="AP421" s="447"/>
      <c r="AQ421" s="447"/>
      <c r="AR421" s="447"/>
      <c r="AS421" s="447"/>
      <c r="AT421" s="447"/>
      <c r="AU421" s="447"/>
      <c r="AV421" s="447"/>
      <c r="AW421" s="447"/>
      <c r="AX421" s="447"/>
      <c r="AY421" s="447"/>
      <c r="AZ421" s="447"/>
      <c r="BA421" s="447"/>
      <c r="BB421" s="447"/>
      <c r="BC421" s="447"/>
      <c r="BD421" s="447"/>
      <c r="BE421" s="447"/>
      <c r="BF421" s="447"/>
      <c r="BG421" s="447"/>
      <c r="BH421" s="447"/>
      <c r="BI421" s="447"/>
      <c r="BJ421" s="447"/>
      <c r="BK421" s="447"/>
      <c r="BL421" s="447"/>
      <c r="BM421" s="448"/>
      <c r="BN421" s="448"/>
    </row>
    <row r="422" spans="1:66" ht="11.25" customHeight="1">
      <c r="A422" s="450"/>
      <c r="B422" s="447"/>
      <c r="C422" s="447"/>
      <c r="D422" s="447"/>
      <c r="E422" s="447"/>
      <c r="F422" s="447"/>
      <c r="G422" s="447"/>
      <c r="H422" s="447"/>
      <c r="I422" s="447"/>
      <c r="J422" s="447"/>
      <c r="K422" s="447"/>
      <c r="L422" s="447"/>
      <c r="M422" s="447"/>
      <c r="N422" s="447"/>
      <c r="O422" s="447"/>
      <c r="P422" s="447"/>
      <c r="Q422" s="447"/>
      <c r="R422" s="447"/>
      <c r="S422" s="447"/>
      <c r="T422" s="447"/>
      <c r="U422" s="447"/>
      <c r="V422" s="447"/>
      <c r="W422" s="447"/>
      <c r="X422" s="447"/>
      <c r="Y422" s="447"/>
      <c r="Z422" s="447"/>
      <c r="AA422" s="447"/>
      <c r="AB422" s="447"/>
      <c r="AC422" s="447"/>
      <c r="AD422" s="447"/>
      <c r="AE422" s="447"/>
      <c r="AF422" s="448"/>
      <c r="AG422" s="448"/>
      <c r="AH422" s="449"/>
      <c r="AI422" s="447"/>
      <c r="AJ422" s="447"/>
      <c r="AK422" s="447"/>
      <c r="AL422" s="447"/>
      <c r="AM422" s="447"/>
      <c r="AN422" s="447"/>
      <c r="AO422" s="447"/>
      <c r="AP422" s="447"/>
      <c r="AQ422" s="447"/>
      <c r="AR422" s="447"/>
      <c r="AS422" s="447"/>
      <c r="AT422" s="447"/>
      <c r="AU422" s="447"/>
      <c r="AV422" s="447"/>
      <c r="AW422" s="447"/>
      <c r="AX422" s="447"/>
      <c r="AY422" s="447"/>
      <c r="AZ422" s="447"/>
      <c r="BA422" s="447"/>
      <c r="BB422" s="447"/>
      <c r="BC422" s="447"/>
      <c r="BD422" s="447"/>
      <c r="BE422" s="447"/>
      <c r="BF422" s="447"/>
      <c r="BG422" s="447"/>
      <c r="BH422" s="447"/>
      <c r="BI422" s="447"/>
      <c r="BJ422" s="447"/>
      <c r="BK422" s="447"/>
      <c r="BL422" s="447"/>
      <c r="BM422" s="448"/>
      <c r="BN422" s="448"/>
    </row>
    <row r="423" spans="1:66" ht="11.25" customHeight="1">
      <c r="A423" s="450"/>
      <c r="B423" s="447"/>
      <c r="C423" s="447"/>
      <c r="D423" s="447"/>
      <c r="E423" s="447"/>
      <c r="F423" s="447"/>
      <c r="G423" s="447"/>
      <c r="H423" s="447"/>
      <c r="I423" s="447"/>
      <c r="J423" s="447"/>
      <c r="K423" s="447"/>
      <c r="L423" s="447"/>
      <c r="M423" s="447"/>
      <c r="N423" s="447"/>
      <c r="O423" s="447"/>
      <c r="P423" s="447"/>
      <c r="Q423" s="447"/>
      <c r="R423" s="447"/>
      <c r="S423" s="447"/>
      <c r="T423" s="447"/>
      <c r="U423" s="447"/>
      <c r="V423" s="447"/>
      <c r="W423" s="447"/>
      <c r="X423" s="447"/>
      <c r="Y423" s="447"/>
      <c r="Z423" s="447"/>
      <c r="AA423" s="447"/>
      <c r="AB423" s="447"/>
      <c r="AC423" s="447"/>
      <c r="AD423" s="447"/>
      <c r="AE423" s="447"/>
      <c r="AF423" s="448"/>
      <c r="AG423" s="448"/>
      <c r="AH423" s="449"/>
      <c r="AI423" s="447"/>
      <c r="AJ423" s="447"/>
      <c r="AK423" s="447"/>
      <c r="AL423" s="447"/>
      <c r="AM423" s="447"/>
      <c r="AN423" s="447"/>
      <c r="AO423" s="447"/>
      <c r="AP423" s="447"/>
      <c r="AQ423" s="447"/>
      <c r="AR423" s="447"/>
      <c r="AS423" s="447"/>
      <c r="AT423" s="447"/>
      <c r="AU423" s="447"/>
      <c r="AV423" s="447"/>
      <c r="AW423" s="447"/>
      <c r="AX423" s="447"/>
      <c r="AY423" s="447"/>
      <c r="AZ423" s="447"/>
      <c r="BA423" s="447"/>
      <c r="BB423" s="447"/>
      <c r="BC423" s="447"/>
      <c r="BD423" s="447"/>
      <c r="BE423" s="447"/>
      <c r="BF423" s="447"/>
      <c r="BG423" s="447"/>
      <c r="BH423" s="447"/>
      <c r="BI423" s="447"/>
      <c r="BJ423" s="447"/>
      <c r="BK423" s="447"/>
      <c r="BL423" s="447"/>
      <c r="BM423" s="448"/>
      <c r="BN423" s="448"/>
    </row>
    <row r="424" spans="1:66" ht="11.25" customHeight="1">
      <c r="A424" s="450"/>
      <c r="B424" s="447"/>
      <c r="C424" s="447"/>
      <c r="D424" s="447"/>
      <c r="E424" s="447"/>
      <c r="F424" s="447"/>
      <c r="G424" s="447"/>
      <c r="H424" s="447"/>
      <c r="I424" s="447"/>
      <c r="J424" s="447"/>
      <c r="K424" s="447"/>
      <c r="L424" s="447"/>
      <c r="M424" s="447"/>
      <c r="N424" s="447"/>
      <c r="O424" s="447"/>
      <c r="P424" s="447"/>
      <c r="Q424" s="447"/>
      <c r="R424" s="447"/>
      <c r="S424" s="447"/>
      <c r="T424" s="447"/>
      <c r="U424" s="447"/>
      <c r="V424" s="447"/>
      <c r="W424" s="447"/>
      <c r="X424" s="447"/>
      <c r="Y424" s="447"/>
      <c r="Z424" s="447"/>
      <c r="AA424" s="447"/>
      <c r="AB424" s="447"/>
      <c r="AC424" s="447"/>
      <c r="AD424" s="447"/>
      <c r="AE424" s="447"/>
      <c r="AF424" s="448"/>
      <c r="AG424" s="448"/>
      <c r="AH424" s="449"/>
      <c r="AI424" s="447"/>
      <c r="AJ424" s="447"/>
      <c r="AK424" s="447"/>
      <c r="AL424" s="447"/>
      <c r="AM424" s="447"/>
      <c r="AN424" s="447"/>
      <c r="AO424" s="447"/>
      <c r="AP424" s="447"/>
      <c r="AQ424" s="447"/>
      <c r="AR424" s="447"/>
      <c r="AS424" s="447"/>
      <c r="AT424" s="447"/>
      <c r="AU424" s="447"/>
      <c r="AV424" s="447"/>
      <c r="AW424" s="447"/>
      <c r="AX424" s="447"/>
      <c r="AY424" s="447"/>
      <c r="AZ424" s="447"/>
      <c r="BA424" s="447"/>
      <c r="BB424" s="447"/>
      <c r="BC424" s="447"/>
      <c r="BD424" s="447"/>
      <c r="BE424" s="447"/>
      <c r="BF424" s="447"/>
      <c r="BG424" s="447"/>
      <c r="BH424" s="447"/>
      <c r="BI424" s="447"/>
      <c r="BJ424" s="447"/>
      <c r="BK424" s="447"/>
      <c r="BL424" s="447"/>
      <c r="BM424" s="448"/>
      <c r="BN424" s="448"/>
    </row>
    <row r="425" spans="1:66" ht="11.25" customHeight="1">
      <c r="A425" s="450"/>
      <c r="B425" s="447"/>
      <c r="C425" s="447"/>
      <c r="D425" s="447"/>
      <c r="E425" s="447"/>
      <c r="F425" s="447"/>
      <c r="G425" s="447"/>
      <c r="H425" s="447"/>
      <c r="I425" s="447"/>
      <c r="J425" s="447"/>
      <c r="K425" s="447"/>
      <c r="L425" s="447"/>
      <c r="M425" s="447"/>
      <c r="N425" s="447"/>
      <c r="O425" s="447"/>
      <c r="P425" s="447"/>
      <c r="Q425" s="447"/>
      <c r="R425" s="447"/>
      <c r="S425" s="447"/>
      <c r="T425" s="447"/>
      <c r="U425" s="447"/>
      <c r="V425" s="447"/>
      <c r="W425" s="447"/>
      <c r="X425" s="447"/>
      <c r="Y425" s="447"/>
      <c r="Z425" s="447"/>
      <c r="AA425" s="447"/>
      <c r="AB425" s="447"/>
      <c r="AC425" s="447"/>
      <c r="AD425" s="447"/>
      <c r="AE425" s="447"/>
      <c r="AF425" s="448"/>
      <c r="AG425" s="448"/>
      <c r="AH425" s="449"/>
      <c r="AI425" s="447"/>
      <c r="AJ425" s="447"/>
      <c r="AK425" s="447"/>
      <c r="AL425" s="447"/>
      <c r="AM425" s="447"/>
      <c r="AN425" s="447"/>
      <c r="AO425" s="447"/>
      <c r="AP425" s="447"/>
      <c r="AQ425" s="447"/>
      <c r="AR425" s="447"/>
      <c r="AS425" s="447"/>
      <c r="AT425" s="447"/>
      <c r="AU425" s="447"/>
      <c r="AV425" s="447"/>
      <c r="AW425" s="447"/>
      <c r="AX425" s="447"/>
      <c r="AY425" s="447"/>
      <c r="AZ425" s="447"/>
      <c r="BA425" s="447"/>
      <c r="BB425" s="447"/>
      <c r="BC425" s="447"/>
      <c r="BD425" s="447"/>
      <c r="BE425" s="447"/>
      <c r="BF425" s="447"/>
      <c r="BG425" s="447"/>
      <c r="BH425" s="447"/>
      <c r="BI425" s="447"/>
      <c r="BJ425" s="447"/>
      <c r="BK425" s="447"/>
      <c r="BL425" s="447"/>
      <c r="BM425" s="448"/>
      <c r="BN425" s="448"/>
    </row>
    <row r="426" spans="1:66" ht="11.25" customHeight="1">
      <c r="A426" s="450"/>
      <c r="B426" s="447"/>
      <c r="C426" s="447"/>
      <c r="D426" s="447"/>
      <c r="E426" s="447"/>
      <c r="F426" s="447"/>
      <c r="G426" s="447"/>
      <c r="H426" s="447"/>
      <c r="I426" s="447"/>
      <c r="J426" s="447"/>
      <c r="K426" s="447"/>
      <c r="L426" s="447"/>
      <c r="M426" s="447"/>
      <c r="N426" s="447"/>
      <c r="O426" s="447"/>
      <c r="P426" s="447"/>
      <c r="Q426" s="447"/>
      <c r="R426" s="447"/>
      <c r="S426" s="447"/>
      <c r="T426" s="447"/>
      <c r="U426" s="447"/>
      <c r="V426" s="447"/>
      <c r="W426" s="447"/>
      <c r="X426" s="447"/>
      <c r="Y426" s="447"/>
      <c r="Z426" s="447"/>
      <c r="AA426" s="447"/>
      <c r="AB426" s="447"/>
      <c r="AC426" s="447"/>
      <c r="AD426" s="447"/>
      <c r="AE426" s="447"/>
      <c r="AF426" s="448"/>
      <c r="AG426" s="448"/>
      <c r="AH426" s="449"/>
      <c r="AI426" s="447"/>
      <c r="AJ426" s="447"/>
      <c r="AK426" s="447"/>
      <c r="AL426" s="447"/>
      <c r="AM426" s="447"/>
      <c r="AN426" s="447"/>
      <c r="AO426" s="447"/>
      <c r="AP426" s="447"/>
      <c r="AQ426" s="447"/>
      <c r="AR426" s="447"/>
      <c r="AS426" s="447"/>
      <c r="AT426" s="447"/>
      <c r="AU426" s="447"/>
      <c r="AV426" s="447"/>
      <c r="AW426" s="447"/>
      <c r="AX426" s="447"/>
      <c r="AY426" s="447"/>
      <c r="AZ426" s="447"/>
      <c r="BA426" s="447"/>
      <c r="BB426" s="447"/>
      <c r="BC426" s="447"/>
      <c r="BD426" s="447"/>
      <c r="BE426" s="447"/>
      <c r="BF426" s="447"/>
      <c r="BG426" s="447"/>
      <c r="BH426" s="447"/>
      <c r="BI426" s="447"/>
      <c r="BJ426" s="447"/>
      <c r="BK426" s="447"/>
      <c r="BL426" s="447"/>
      <c r="BM426" s="448"/>
      <c r="BN426" s="448"/>
    </row>
    <row r="427" spans="1:66" ht="11.25" customHeight="1">
      <c r="A427" s="450"/>
      <c r="B427" s="447"/>
      <c r="C427" s="447"/>
      <c r="D427" s="447"/>
      <c r="E427" s="447"/>
      <c r="F427" s="447"/>
      <c r="G427" s="447"/>
      <c r="H427" s="447"/>
      <c r="I427" s="447"/>
      <c r="J427" s="447"/>
      <c r="K427" s="447"/>
      <c r="L427" s="447"/>
      <c r="M427" s="447"/>
      <c r="N427" s="447"/>
      <c r="O427" s="447"/>
      <c r="P427" s="447"/>
      <c r="Q427" s="447"/>
      <c r="R427" s="447"/>
      <c r="S427" s="447"/>
      <c r="T427" s="447"/>
      <c r="U427" s="447"/>
      <c r="V427" s="447"/>
      <c r="W427" s="447"/>
      <c r="X427" s="447"/>
      <c r="Y427" s="447"/>
      <c r="Z427" s="447"/>
      <c r="AA427" s="447"/>
      <c r="AB427" s="447"/>
      <c r="AC427" s="447"/>
      <c r="AD427" s="447"/>
      <c r="AE427" s="447"/>
      <c r="AF427" s="448"/>
      <c r="AG427" s="448"/>
      <c r="AH427" s="449"/>
      <c r="AI427" s="447"/>
      <c r="AJ427" s="447"/>
      <c r="AK427" s="447"/>
      <c r="AL427" s="447"/>
      <c r="AM427" s="447"/>
      <c r="AN427" s="447"/>
      <c r="AO427" s="447"/>
      <c r="AP427" s="447"/>
      <c r="AQ427" s="447"/>
      <c r="AR427" s="447"/>
      <c r="AS427" s="447"/>
      <c r="AT427" s="447"/>
      <c r="AU427" s="447"/>
      <c r="AV427" s="447"/>
      <c r="AW427" s="447"/>
      <c r="AX427" s="447"/>
      <c r="AY427" s="447"/>
      <c r="AZ427" s="447"/>
      <c r="BA427" s="447"/>
      <c r="BB427" s="447"/>
      <c r="BC427" s="447"/>
      <c r="BD427" s="447"/>
      <c r="BE427" s="447"/>
      <c r="BF427" s="447"/>
      <c r="BG427" s="447"/>
      <c r="BH427" s="447"/>
      <c r="BI427" s="447"/>
      <c r="BJ427" s="447"/>
      <c r="BK427" s="447"/>
      <c r="BL427" s="447"/>
      <c r="BM427" s="448"/>
      <c r="BN427" s="448"/>
    </row>
    <row r="428" spans="1:66" ht="11.25" customHeight="1">
      <c r="A428" s="450"/>
      <c r="B428" s="447"/>
      <c r="C428" s="447"/>
      <c r="D428" s="447"/>
      <c r="E428" s="447"/>
      <c r="F428" s="447"/>
      <c r="G428" s="447"/>
      <c r="H428" s="447"/>
      <c r="I428" s="447"/>
      <c r="J428" s="447"/>
      <c r="K428" s="447"/>
      <c r="L428" s="447"/>
      <c r="M428" s="447"/>
      <c r="N428" s="447"/>
      <c r="O428" s="447"/>
      <c r="P428" s="447"/>
      <c r="Q428" s="447"/>
      <c r="R428" s="447"/>
      <c r="S428" s="447"/>
      <c r="T428" s="447"/>
      <c r="U428" s="447"/>
      <c r="V428" s="447"/>
      <c r="W428" s="447"/>
      <c r="X428" s="447"/>
      <c r="Y428" s="447"/>
      <c r="Z428" s="447"/>
      <c r="AA428" s="447"/>
      <c r="AB428" s="447"/>
      <c r="AC428" s="447"/>
      <c r="AD428" s="447"/>
      <c r="AE428" s="447"/>
      <c r="AF428" s="448"/>
      <c r="AG428" s="448"/>
      <c r="AH428" s="449"/>
      <c r="AI428" s="447"/>
      <c r="AJ428" s="447"/>
      <c r="AK428" s="447"/>
      <c r="AL428" s="447"/>
      <c r="AM428" s="447"/>
      <c r="AN428" s="447"/>
      <c r="AO428" s="447"/>
      <c r="AP428" s="447"/>
      <c r="AQ428" s="447"/>
      <c r="AR428" s="447"/>
      <c r="AS428" s="447"/>
      <c r="AT428" s="447"/>
      <c r="AU428" s="447"/>
      <c r="AV428" s="447"/>
      <c r="AW428" s="447"/>
      <c r="AX428" s="447"/>
      <c r="AY428" s="447"/>
      <c r="AZ428" s="447"/>
      <c r="BA428" s="447"/>
      <c r="BB428" s="447"/>
      <c r="BC428" s="447"/>
      <c r="BD428" s="447"/>
      <c r="BE428" s="447"/>
      <c r="BF428" s="447"/>
      <c r="BG428" s="447"/>
      <c r="BH428" s="447"/>
      <c r="BI428" s="447"/>
      <c r="BJ428" s="447"/>
      <c r="BK428" s="447"/>
      <c r="BL428" s="447"/>
      <c r="BM428" s="448"/>
      <c r="BN428" s="448"/>
    </row>
    <row r="429" spans="1:66" ht="11.25" customHeight="1">
      <c r="A429" s="450"/>
      <c r="B429" s="447"/>
      <c r="C429" s="447"/>
      <c r="D429" s="447"/>
      <c r="E429" s="447"/>
      <c r="F429" s="447"/>
      <c r="G429" s="447"/>
      <c r="H429" s="447"/>
      <c r="I429" s="447"/>
      <c r="J429" s="447"/>
      <c r="K429" s="447"/>
      <c r="L429" s="447"/>
      <c r="M429" s="447"/>
      <c r="N429" s="447"/>
      <c r="O429" s="447"/>
      <c r="P429" s="447"/>
      <c r="Q429" s="447"/>
      <c r="R429" s="447"/>
      <c r="S429" s="447"/>
      <c r="T429" s="447"/>
      <c r="U429" s="447"/>
      <c r="V429" s="447"/>
      <c r="W429" s="447"/>
      <c r="X429" s="447"/>
      <c r="Y429" s="447"/>
      <c r="Z429" s="447"/>
      <c r="AA429" s="447"/>
      <c r="AB429" s="447"/>
      <c r="AC429" s="447"/>
      <c r="AD429" s="447"/>
      <c r="AE429" s="447"/>
      <c r="AF429" s="448"/>
      <c r="AG429" s="448"/>
      <c r="AH429" s="449"/>
      <c r="AI429" s="447"/>
      <c r="AJ429" s="447"/>
      <c r="AK429" s="447"/>
      <c r="AL429" s="447"/>
      <c r="AM429" s="447"/>
      <c r="AN429" s="447"/>
      <c r="AO429" s="447"/>
      <c r="AP429" s="447"/>
      <c r="AQ429" s="447"/>
      <c r="AR429" s="447"/>
      <c r="AS429" s="447"/>
      <c r="AT429" s="447"/>
      <c r="AU429" s="447"/>
      <c r="AV429" s="447"/>
      <c r="AW429" s="447"/>
      <c r="AX429" s="447"/>
      <c r="AY429" s="447"/>
      <c r="AZ429" s="447"/>
      <c r="BA429" s="447"/>
      <c r="BB429" s="447"/>
      <c r="BC429" s="447"/>
      <c r="BD429" s="447"/>
      <c r="BE429" s="447"/>
      <c r="BF429" s="447"/>
      <c r="BG429" s="447"/>
      <c r="BH429" s="447"/>
      <c r="BI429" s="447"/>
      <c r="BJ429" s="447"/>
      <c r="BK429" s="447"/>
      <c r="BL429" s="447"/>
      <c r="BM429" s="448"/>
      <c r="BN429" s="448"/>
    </row>
    <row r="430" spans="1:66" ht="11.25" customHeight="1">
      <c r="A430" s="450"/>
      <c r="B430" s="447"/>
      <c r="C430" s="447"/>
      <c r="D430" s="447"/>
      <c r="E430" s="447"/>
      <c r="F430" s="447"/>
      <c r="G430" s="447"/>
      <c r="H430" s="447"/>
      <c r="I430" s="447"/>
      <c r="J430" s="447"/>
      <c r="K430" s="447"/>
      <c r="L430" s="447"/>
      <c r="M430" s="447"/>
      <c r="N430" s="447"/>
      <c r="O430" s="447"/>
      <c r="P430" s="447"/>
      <c r="Q430" s="447"/>
      <c r="R430" s="447"/>
      <c r="S430" s="447"/>
      <c r="T430" s="447"/>
      <c r="U430" s="447"/>
      <c r="V430" s="447"/>
      <c r="W430" s="447"/>
      <c r="X430" s="447"/>
      <c r="Y430" s="447"/>
      <c r="Z430" s="447"/>
      <c r="AA430" s="447"/>
      <c r="AB430" s="447"/>
      <c r="AC430" s="447"/>
      <c r="AD430" s="447"/>
      <c r="AE430" s="447"/>
      <c r="AF430" s="448"/>
      <c r="AG430" s="448"/>
      <c r="AH430" s="449"/>
      <c r="AI430" s="447"/>
      <c r="AJ430" s="447"/>
      <c r="AK430" s="447"/>
      <c r="AL430" s="447"/>
      <c r="AM430" s="447"/>
      <c r="AN430" s="447"/>
      <c r="AO430" s="447"/>
      <c r="AP430" s="447"/>
      <c r="AQ430" s="447"/>
      <c r="AR430" s="447"/>
      <c r="AS430" s="447"/>
      <c r="AT430" s="447"/>
      <c r="AU430" s="447"/>
      <c r="AV430" s="447"/>
      <c r="AW430" s="447"/>
      <c r="AX430" s="447"/>
      <c r="AY430" s="447"/>
      <c r="AZ430" s="447"/>
      <c r="BA430" s="447"/>
      <c r="BB430" s="447"/>
      <c r="BC430" s="447"/>
      <c r="BD430" s="447"/>
      <c r="BE430" s="447"/>
      <c r="BF430" s="447"/>
      <c r="BG430" s="447"/>
      <c r="BH430" s="447"/>
      <c r="BI430" s="447"/>
      <c r="BJ430" s="447"/>
      <c r="BK430" s="447"/>
      <c r="BL430" s="447"/>
      <c r="BM430" s="448"/>
      <c r="BN430" s="448"/>
    </row>
    <row r="431" spans="1:66" ht="11.25" customHeight="1">
      <c r="A431" s="450"/>
      <c r="B431" s="447"/>
      <c r="C431" s="447"/>
      <c r="D431" s="447"/>
      <c r="E431" s="447"/>
      <c r="F431" s="447"/>
      <c r="G431" s="447"/>
      <c r="H431" s="447"/>
      <c r="I431" s="447"/>
      <c r="J431" s="447"/>
      <c r="K431" s="447"/>
      <c r="L431" s="447"/>
      <c r="M431" s="447"/>
      <c r="N431" s="447"/>
      <c r="O431" s="447"/>
      <c r="P431" s="447"/>
      <c r="Q431" s="447"/>
      <c r="R431" s="447"/>
      <c r="S431" s="447"/>
      <c r="T431" s="447"/>
      <c r="U431" s="447"/>
      <c r="V431" s="447"/>
      <c r="W431" s="447"/>
      <c r="X431" s="447"/>
      <c r="Y431" s="447"/>
      <c r="Z431" s="447"/>
      <c r="AA431" s="447"/>
      <c r="AB431" s="447"/>
      <c r="AC431" s="447"/>
      <c r="AD431" s="447"/>
      <c r="AE431" s="447"/>
      <c r="AF431" s="448"/>
      <c r="AG431" s="448"/>
      <c r="AH431" s="449"/>
      <c r="AI431" s="447"/>
      <c r="AJ431" s="447"/>
      <c r="AK431" s="447"/>
      <c r="AL431" s="447"/>
      <c r="AM431" s="447"/>
      <c r="AN431" s="447"/>
      <c r="AO431" s="447"/>
      <c r="AP431" s="447"/>
      <c r="AQ431" s="447"/>
      <c r="AR431" s="447"/>
      <c r="AS431" s="447"/>
      <c r="AT431" s="447"/>
      <c r="AU431" s="447"/>
      <c r="AV431" s="447"/>
      <c r="AW431" s="447"/>
      <c r="AX431" s="447"/>
      <c r="AY431" s="447"/>
      <c r="AZ431" s="447"/>
      <c r="BA431" s="447"/>
      <c r="BB431" s="447"/>
      <c r="BC431" s="447"/>
      <c r="BD431" s="447"/>
      <c r="BE431" s="447"/>
      <c r="BF431" s="447"/>
      <c r="BG431" s="447"/>
      <c r="BH431" s="447"/>
      <c r="BI431" s="447"/>
      <c r="BJ431" s="447"/>
      <c r="BK431" s="447"/>
      <c r="BL431" s="447"/>
      <c r="BM431" s="448"/>
      <c r="BN431" s="448"/>
    </row>
    <row r="432" spans="1:66" ht="11.25" customHeight="1">
      <c r="A432" s="450"/>
      <c r="B432" s="447"/>
      <c r="C432" s="447"/>
      <c r="D432" s="447"/>
      <c r="E432" s="447"/>
      <c r="F432" s="447"/>
      <c r="G432" s="447"/>
      <c r="H432" s="447"/>
      <c r="I432" s="447"/>
      <c r="J432" s="447"/>
      <c r="K432" s="447"/>
      <c r="L432" s="447"/>
      <c r="M432" s="447"/>
      <c r="N432" s="447"/>
      <c r="O432" s="447"/>
      <c r="P432" s="447"/>
      <c r="Q432" s="447"/>
      <c r="R432" s="447"/>
      <c r="S432" s="447"/>
      <c r="T432" s="447"/>
      <c r="U432" s="447"/>
      <c r="V432" s="447"/>
      <c r="W432" s="447"/>
      <c r="X432" s="447"/>
      <c r="Y432" s="447"/>
      <c r="Z432" s="447"/>
      <c r="AA432" s="447"/>
      <c r="AB432" s="447"/>
      <c r="AC432" s="447"/>
      <c r="AD432" s="447"/>
      <c r="AE432" s="447"/>
      <c r="AF432" s="448"/>
      <c r="AG432" s="448"/>
      <c r="AH432" s="449"/>
      <c r="AI432" s="447"/>
      <c r="AJ432" s="447"/>
      <c r="AK432" s="447"/>
      <c r="AL432" s="447"/>
      <c r="AM432" s="447"/>
      <c r="AN432" s="447"/>
      <c r="AO432" s="447"/>
      <c r="AP432" s="447"/>
      <c r="AQ432" s="447"/>
      <c r="AR432" s="447"/>
      <c r="AS432" s="447"/>
      <c r="AT432" s="447"/>
      <c r="AU432" s="447"/>
      <c r="AV432" s="447"/>
      <c r="AW432" s="447"/>
      <c r="AX432" s="447"/>
      <c r="AY432" s="447"/>
      <c r="AZ432" s="447"/>
      <c r="BA432" s="447"/>
      <c r="BB432" s="447"/>
      <c r="BC432" s="447"/>
      <c r="BD432" s="447"/>
      <c r="BE432" s="447"/>
      <c r="BF432" s="447"/>
      <c r="BG432" s="447"/>
      <c r="BH432" s="447"/>
      <c r="BI432" s="447"/>
      <c r="BJ432" s="447"/>
      <c r="BK432" s="447"/>
      <c r="BL432" s="447"/>
      <c r="BM432" s="448"/>
      <c r="BN432" s="448"/>
    </row>
    <row r="433" spans="1:66" ht="11.25" customHeight="1">
      <c r="A433" s="450"/>
      <c r="B433" s="447"/>
      <c r="C433" s="447"/>
      <c r="D433" s="447"/>
      <c r="E433" s="447"/>
      <c r="F433" s="447"/>
      <c r="G433" s="447"/>
      <c r="H433" s="447"/>
      <c r="I433" s="447"/>
      <c r="J433" s="447"/>
      <c r="K433" s="447"/>
      <c r="L433" s="447"/>
      <c r="M433" s="447"/>
      <c r="N433" s="447"/>
      <c r="O433" s="447"/>
      <c r="P433" s="447"/>
      <c r="Q433" s="447"/>
      <c r="R433" s="447"/>
      <c r="S433" s="447"/>
      <c r="T433" s="447"/>
      <c r="U433" s="447"/>
      <c r="V433" s="447"/>
      <c r="W433" s="447"/>
      <c r="X433" s="447"/>
      <c r="Y433" s="447"/>
      <c r="Z433" s="447"/>
      <c r="AA433" s="447"/>
      <c r="AB433" s="447"/>
      <c r="AC433" s="447"/>
      <c r="AD433" s="447"/>
      <c r="AE433" s="447"/>
      <c r="AF433" s="448"/>
      <c r="AG433" s="448"/>
      <c r="AH433" s="449"/>
      <c r="AI433" s="447"/>
      <c r="AJ433" s="447"/>
      <c r="AK433" s="447"/>
      <c r="AL433" s="447"/>
      <c r="AM433" s="447"/>
      <c r="AN433" s="447"/>
      <c r="AO433" s="447"/>
      <c r="AP433" s="447"/>
      <c r="AQ433" s="447"/>
      <c r="AR433" s="447"/>
      <c r="AS433" s="447"/>
      <c r="AT433" s="447"/>
      <c r="AU433" s="447"/>
      <c r="AV433" s="447"/>
      <c r="AW433" s="447"/>
      <c r="AX433" s="447"/>
      <c r="AY433" s="447"/>
      <c r="AZ433" s="447"/>
      <c r="BA433" s="447"/>
      <c r="BB433" s="447"/>
      <c r="BC433" s="447"/>
      <c r="BD433" s="447"/>
      <c r="BE433" s="447"/>
      <c r="BF433" s="447"/>
      <c r="BG433" s="447"/>
      <c r="BH433" s="447"/>
      <c r="BI433" s="447"/>
      <c r="BJ433" s="447"/>
      <c r="BK433" s="447"/>
      <c r="BL433" s="447"/>
      <c r="BM433" s="448"/>
      <c r="BN433" s="448"/>
    </row>
    <row r="434" spans="1:66" ht="11.25" customHeight="1">
      <c r="A434" s="450"/>
      <c r="B434" s="447"/>
      <c r="C434" s="447"/>
      <c r="D434" s="447"/>
      <c r="E434" s="447"/>
      <c r="F434" s="447"/>
      <c r="G434" s="447"/>
      <c r="H434" s="447"/>
      <c r="I434" s="447"/>
      <c r="J434" s="447"/>
      <c r="K434" s="447"/>
      <c r="L434" s="447"/>
      <c r="M434" s="447"/>
      <c r="N434" s="447"/>
      <c r="O434" s="447"/>
      <c r="P434" s="447"/>
      <c r="Q434" s="447"/>
      <c r="R434" s="447"/>
      <c r="S434" s="447"/>
      <c r="T434" s="447"/>
      <c r="U434" s="447"/>
      <c r="V434" s="447"/>
      <c r="W434" s="447"/>
      <c r="X434" s="447"/>
      <c r="Y434" s="447"/>
      <c r="Z434" s="447"/>
      <c r="AA434" s="447"/>
      <c r="AB434" s="447"/>
      <c r="AC434" s="447"/>
      <c r="AD434" s="447"/>
      <c r="AE434" s="447"/>
      <c r="AF434" s="448"/>
      <c r="AG434" s="448"/>
      <c r="AH434" s="449"/>
      <c r="AI434" s="447"/>
      <c r="AJ434" s="447"/>
      <c r="AK434" s="447"/>
      <c r="AL434" s="447"/>
      <c r="AM434" s="447"/>
      <c r="AN434" s="447"/>
      <c r="AO434" s="447"/>
      <c r="AP434" s="447"/>
      <c r="AQ434" s="447"/>
      <c r="AR434" s="447"/>
      <c r="AS434" s="447"/>
      <c r="AT434" s="447"/>
      <c r="AU434" s="447"/>
      <c r="AV434" s="447"/>
      <c r="AW434" s="447"/>
      <c r="AX434" s="447"/>
      <c r="AY434" s="447"/>
      <c r="AZ434" s="447"/>
      <c r="BA434" s="447"/>
      <c r="BB434" s="447"/>
      <c r="BC434" s="447"/>
      <c r="BD434" s="447"/>
      <c r="BE434" s="447"/>
      <c r="BF434" s="447"/>
      <c r="BG434" s="447"/>
      <c r="BH434" s="447"/>
      <c r="BI434" s="447"/>
      <c r="BJ434" s="447"/>
      <c r="BK434" s="447"/>
      <c r="BL434" s="447"/>
      <c r="BM434" s="448"/>
      <c r="BN434" s="448"/>
    </row>
    <row r="435" spans="1:66" ht="11.25" customHeight="1">
      <c r="A435" s="450"/>
      <c r="B435" s="447"/>
      <c r="C435" s="447"/>
      <c r="D435" s="447"/>
      <c r="E435" s="447"/>
      <c r="F435" s="447"/>
      <c r="G435" s="447"/>
      <c r="H435" s="447"/>
      <c r="I435" s="447"/>
      <c r="J435" s="447"/>
      <c r="K435" s="447"/>
      <c r="L435" s="447"/>
      <c r="M435" s="447"/>
      <c r="N435" s="447"/>
      <c r="O435" s="447"/>
      <c r="P435" s="447"/>
      <c r="Q435" s="447"/>
      <c r="R435" s="447"/>
      <c r="S435" s="447"/>
      <c r="T435" s="447"/>
      <c r="U435" s="447"/>
      <c r="V435" s="447"/>
      <c r="W435" s="447"/>
      <c r="X435" s="447"/>
      <c r="Y435" s="447"/>
      <c r="Z435" s="447"/>
      <c r="AA435" s="447"/>
      <c r="AB435" s="447"/>
      <c r="AC435" s="447"/>
      <c r="AD435" s="447"/>
      <c r="AE435" s="447"/>
      <c r="AF435" s="448"/>
      <c r="AG435" s="448"/>
      <c r="AH435" s="449"/>
      <c r="AI435" s="447"/>
      <c r="AJ435" s="447"/>
      <c r="AK435" s="447"/>
      <c r="AL435" s="447"/>
      <c r="AM435" s="447"/>
      <c r="AN435" s="447"/>
      <c r="AO435" s="447"/>
      <c r="AP435" s="447"/>
      <c r="AQ435" s="447"/>
      <c r="AR435" s="447"/>
      <c r="AS435" s="447"/>
      <c r="AT435" s="447"/>
      <c r="AU435" s="447"/>
      <c r="AV435" s="447"/>
      <c r="AW435" s="447"/>
      <c r="AX435" s="447"/>
      <c r="AY435" s="447"/>
      <c r="AZ435" s="447"/>
      <c r="BA435" s="447"/>
      <c r="BB435" s="447"/>
      <c r="BC435" s="447"/>
      <c r="BD435" s="447"/>
      <c r="BE435" s="447"/>
      <c r="BF435" s="447"/>
      <c r="BG435" s="447"/>
      <c r="BH435" s="447"/>
      <c r="BI435" s="447"/>
      <c r="BJ435" s="447"/>
      <c r="BK435" s="447"/>
      <c r="BL435" s="447"/>
      <c r="BM435" s="448"/>
      <c r="BN435" s="448"/>
    </row>
    <row r="436" spans="1:66" ht="11.25" customHeight="1">
      <c r="A436" s="450"/>
      <c r="B436" s="447"/>
      <c r="C436" s="447"/>
      <c r="D436" s="447"/>
      <c r="E436" s="447"/>
      <c r="F436" s="447"/>
      <c r="G436" s="447"/>
      <c r="H436" s="447"/>
      <c r="I436" s="447"/>
      <c r="J436" s="447"/>
      <c r="K436" s="447"/>
      <c r="L436" s="447"/>
      <c r="M436" s="447"/>
      <c r="N436" s="447"/>
      <c r="O436" s="447"/>
      <c r="P436" s="447"/>
      <c r="Q436" s="447"/>
      <c r="R436" s="447"/>
      <c r="S436" s="447"/>
      <c r="T436" s="447"/>
      <c r="U436" s="447"/>
      <c r="V436" s="447"/>
      <c r="W436" s="447"/>
      <c r="X436" s="447"/>
      <c r="Y436" s="447"/>
      <c r="Z436" s="447"/>
      <c r="AA436" s="447"/>
      <c r="AB436" s="447"/>
      <c r="AC436" s="447"/>
      <c r="AD436" s="447"/>
      <c r="AE436" s="447"/>
      <c r="AF436" s="448"/>
      <c r="AG436" s="448"/>
      <c r="AH436" s="449"/>
      <c r="AI436" s="447"/>
      <c r="AJ436" s="447"/>
      <c r="AK436" s="447"/>
      <c r="AL436" s="447"/>
      <c r="AM436" s="447"/>
      <c r="AN436" s="447"/>
      <c r="AO436" s="447"/>
      <c r="AP436" s="447"/>
      <c r="AQ436" s="447"/>
      <c r="AR436" s="447"/>
      <c r="AS436" s="447"/>
      <c r="AT436" s="447"/>
      <c r="AU436" s="447"/>
      <c r="AV436" s="447"/>
      <c r="AW436" s="447"/>
      <c r="AX436" s="447"/>
      <c r="AY436" s="447"/>
      <c r="AZ436" s="447"/>
      <c r="BA436" s="447"/>
      <c r="BB436" s="447"/>
      <c r="BC436" s="447"/>
      <c r="BD436" s="447"/>
      <c r="BE436" s="447"/>
      <c r="BF436" s="447"/>
      <c r="BG436" s="447"/>
      <c r="BH436" s="447"/>
      <c r="BI436" s="447"/>
      <c r="BJ436" s="447"/>
      <c r="BK436" s="447"/>
      <c r="BL436" s="447"/>
      <c r="BM436" s="448"/>
      <c r="BN436" s="448"/>
    </row>
    <row r="437" spans="1:66" ht="11.25" customHeight="1">
      <c r="A437" s="450"/>
      <c r="B437" s="447"/>
      <c r="C437" s="447"/>
      <c r="D437" s="447"/>
      <c r="E437" s="447"/>
      <c r="F437" s="447"/>
      <c r="G437" s="447"/>
      <c r="H437" s="447"/>
      <c r="I437" s="447"/>
      <c r="J437" s="447"/>
      <c r="K437" s="447"/>
      <c r="L437" s="447"/>
      <c r="M437" s="447"/>
      <c r="N437" s="447"/>
      <c r="O437" s="447"/>
      <c r="P437" s="447"/>
      <c r="Q437" s="447"/>
      <c r="R437" s="447"/>
      <c r="S437" s="447"/>
      <c r="T437" s="447"/>
      <c r="U437" s="447"/>
      <c r="V437" s="447"/>
      <c r="W437" s="447"/>
      <c r="X437" s="447"/>
      <c r="Y437" s="447"/>
      <c r="Z437" s="447"/>
      <c r="AA437" s="447"/>
      <c r="AB437" s="447"/>
      <c r="AC437" s="447"/>
      <c r="AD437" s="447"/>
      <c r="AE437" s="447"/>
      <c r="AF437" s="448"/>
      <c r="AG437" s="448"/>
      <c r="AH437" s="449"/>
      <c r="AI437" s="447"/>
      <c r="AJ437" s="447"/>
      <c r="AK437" s="447"/>
      <c r="AL437" s="447"/>
      <c r="AM437" s="447"/>
      <c r="AN437" s="447"/>
      <c r="AO437" s="447"/>
      <c r="AP437" s="447"/>
      <c r="AQ437" s="447"/>
      <c r="AR437" s="447"/>
      <c r="AS437" s="447"/>
      <c r="AT437" s="447"/>
      <c r="AU437" s="447"/>
      <c r="AV437" s="447"/>
      <c r="AW437" s="447"/>
      <c r="AX437" s="447"/>
      <c r="AY437" s="447"/>
      <c r="AZ437" s="447"/>
      <c r="BA437" s="447"/>
      <c r="BB437" s="447"/>
      <c r="BC437" s="447"/>
      <c r="BD437" s="447"/>
      <c r="BE437" s="447"/>
      <c r="BF437" s="447"/>
      <c r="BG437" s="447"/>
      <c r="BH437" s="447"/>
      <c r="BI437" s="447"/>
      <c r="BJ437" s="447"/>
      <c r="BK437" s="447"/>
      <c r="BL437" s="447"/>
      <c r="BM437" s="448"/>
      <c r="BN437" s="448"/>
    </row>
    <row r="438" spans="1:66" ht="11.25" customHeight="1">
      <c r="A438" s="450"/>
      <c r="B438" s="447"/>
      <c r="C438" s="447"/>
      <c r="D438" s="447"/>
      <c r="E438" s="447"/>
      <c r="F438" s="447"/>
      <c r="G438" s="447"/>
      <c r="H438" s="447"/>
      <c r="I438" s="447"/>
      <c r="J438" s="447"/>
      <c r="K438" s="447"/>
      <c r="L438" s="447"/>
      <c r="M438" s="447"/>
      <c r="N438" s="447"/>
      <c r="O438" s="447"/>
      <c r="P438" s="447"/>
      <c r="Q438" s="447"/>
      <c r="R438" s="447"/>
      <c r="S438" s="447"/>
      <c r="T438" s="447"/>
      <c r="U438" s="447"/>
      <c r="V438" s="447"/>
      <c r="W438" s="447"/>
      <c r="X438" s="447"/>
      <c r="Y438" s="447"/>
      <c r="Z438" s="447"/>
      <c r="AA438" s="447"/>
      <c r="AB438" s="447"/>
      <c r="AC438" s="447"/>
      <c r="AD438" s="447"/>
      <c r="AE438" s="447"/>
      <c r="AF438" s="448"/>
      <c r="AG438" s="448"/>
      <c r="AH438" s="449"/>
      <c r="AI438" s="447"/>
      <c r="AJ438" s="447"/>
      <c r="AK438" s="447"/>
      <c r="AL438" s="447"/>
      <c r="AM438" s="447"/>
      <c r="AN438" s="447"/>
      <c r="AO438" s="447"/>
      <c r="AP438" s="447"/>
      <c r="AQ438" s="447"/>
      <c r="AR438" s="447"/>
      <c r="AS438" s="447"/>
      <c r="AT438" s="447"/>
      <c r="AU438" s="447"/>
      <c r="AV438" s="447"/>
      <c r="AW438" s="447"/>
      <c r="AX438" s="447"/>
      <c r="AY438" s="447"/>
      <c r="AZ438" s="447"/>
      <c r="BA438" s="447"/>
      <c r="BB438" s="447"/>
      <c r="BC438" s="447"/>
      <c r="BD438" s="447"/>
      <c r="BE438" s="447"/>
      <c r="BF438" s="447"/>
      <c r="BG438" s="447"/>
      <c r="BH438" s="447"/>
      <c r="BI438" s="447"/>
      <c r="BJ438" s="447"/>
      <c r="BK438" s="447"/>
      <c r="BL438" s="447"/>
      <c r="BM438" s="448"/>
      <c r="BN438" s="448"/>
    </row>
    <row r="439" spans="1:66" ht="11.25" customHeight="1">
      <c r="A439" s="450"/>
      <c r="B439" s="447"/>
      <c r="C439" s="447"/>
      <c r="D439" s="447"/>
      <c r="E439" s="447"/>
      <c r="F439" s="447"/>
      <c r="G439" s="447"/>
      <c r="H439" s="447"/>
      <c r="I439" s="447"/>
      <c r="J439" s="447"/>
      <c r="K439" s="447"/>
      <c r="L439" s="447"/>
      <c r="M439" s="447"/>
      <c r="N439" s="447"/>
      <c r="O439" s="447"/>
      <c r="P439" s="447"/>
      <c r="Q439" s="447"/>
      <c r="R439" s="447"/>
      <c r="S439" s="447"/>
      <c r="T439" s="447"/>
      <c r="U439" s="447"/>
      <c r="V439" s="447"/>
      <c r="W439" s="447"/>
      <c r="X439" s="447"/>
      <c r="Y439" s="447"/>
      <c r="Z439" s="447"/>
      <c r="AA439" s="447"/>
      <c r="AB439" s="447"/>
      <c r="AC439" s="447"/>
      <c r="AD439" s="447"/>
      <c r="AE439" s="447"/>
      <c r="AF439" s="448"/>
      <c r="AG439" s="448"/>
      <c r="AH439" s="449"/>
      <c r="AI439" s="447"/>
      <c r="AJ439" s="447"/>
      <c r="AK439" s="447"/>
      <c r="AL439" s="447"/>
      <c r="AM439" s="447"/>
      <c r="AN439" s="447"/>
      <c r="AO439" s="447"/>
      <c r="AP439" s="447"/>
      <c r="AQ439" s="447"/>
      <c r="AR439" s="447"/>
      <c r="AS439" s="447"/>
      <c r="AT439" s="447"/>
      <c r="AU439" s="447"/>
      <c r="AV439" s="447"/>
      <c r="AW439" s="447"/>
      <c r="AX439" s="447"/>
      <c r="AY439" s="447"/>
      <c r="AZ439" s="447"/>
      <c r="BA439" s="447"/>
      <c r="BB439" s="447"/>
      <c r="BC439" s="447"/>
      <c r="BD439" s="447"/>
      <c r="BE439" s="447"/>
      <c r="BF439" s="447"/>
      <c r="BG439" s="447"/>
      <c r="BH439" s="447"/>
      <c r="BI439" s="447"/>
      <c r="BJ439" s="447"/>
      <c r="BK439" s="447"/>
      <c r="BL439" s="447"/>
      <c r="BM439" s="448"/>
      <c r="BN439" s="448"/>
    </row>
    <row r="440" spans="1:66" ht="11.25" customHeight="1">
      <c r="A440" s="450"/>
      <c r="B440" s="447"/>
      <c r="C440" s="447"/>
      <c r="D440" s="447"/>
      <c r="E440" s="447"/>
      <c r="F440" s="447"/>
      <c r="G440" s="447"/>
      <c r="H440" s="447"/>
      <c r="I440" s="447"/>
      <c r="J440" s="447"/>
      <c r="K440" s="447"/>
      <c r="L440" s="447"/>
      <c r="M440" s="447"/>
      <c r="N440" s="447"/>
      <c r="O440" s="447"/>
      <c r="P440" s="447"/>
      <c r="Q440" s="447"/>
      <c r="R440" s="447"/>
      <c r="S440" s="447"/>
      <c r="T440" s="447"/>
      <c r="U440" s="447"/>
      <c r="V440" s="447"/>
      <c r="W440" s="447"/>
      <c r="X440" s="447"/>
      <c r="Y440" s="447"/>
      <c r="Z440" s="447"/>
      <c r="AA440" s="447"/>
      <c r="AB440" s="447"/>
      <c r="AC440" s="447"/>
      <c r="AD440" s="447"/>
      <c r="AE440" s="447"/>
      <c r="AF440" s="448"/>
      <c r="AG440" s="448"/>
      <c r="AH440" s="449"/>
      <c r="AI440" s="447"/>
      <c r="AJ440" s="447"/>
      <c r="AK440" s="447"/>
      <c r="AL440" s="447"/>
      <c r="AM440" s="447"/>
      <c r="AN440" s="447"/>
      <c r="AO440" s="447"/>
      <c r="AP440" s="447"/>
      <c r="AQ440" s="447"/>
      <c r="AR440" s="447"/>
      <c r="AS440" s="447"/>
      <c r="AT440" s="447"/>
      <c r="AU440" s="447"/>
      <c r="AV440" s="447"/>
      <c r="AW440" s="447"/>
      <c r="AX440" s="447"/>
      <c r="AY440" s="447"/>
      <c r="AZ440" s="447"/>
      <c r="BA440" s="447"/>
      <c r="BB440" s="447"/>
      <c r="BC440" s="447"/>
      <c r="BD440" s="447"/>
      <c r="BE440" s="447"/>
      <c r="BF440" s="447"/>
      <c r="BG440" s="447"/>
      <c r="BH440" s="447"/>
      <c r="BI440" s="447"/>
      <c r="BJ440" s="447"/>
      <c r="BK440" s="447"/>
      <c r="BL440" s="447"/>
      <c r="BM440" s="448"/>
      <c r="BN440" s="448"/>
    </row>
    <row r="441" spans="1:66" ht="11.25" customHeight="1">
      <c r="A441" s="450"/>
      <c r="B441" s="447"/>
      <c r="C441" s="447"/>
      <c r="D441" s="447"/>
      <c r="E441" s="447"/>
      <c r="F441" s="447"/>
      <c r="G441" s="447"/>
      <c r="H441" s="447"/>
      <c r="I441" s="447"/>
      <c r="J441" s="447"/>
      <c r="K441" s="447"/>
      <c r="L441" s="447"/>
      <c r="M441" s="447"/>
      <c r="N441" s="447"/>
      <c r="O441" s="447"/>
      <c r="P441" s="447"/>
      <c r="Q441" s="447"/>
      <c r="R441" s="447"/>
      <c r="S441" s="447"/>
      <c r="T441" s="447"/>
      <c r="U441" s="447"/>
      <c r="V441" s="447"/>
      <c r="W441" s="447"/>
      <c r="X441" s="447"/>
      <c r="Y441" s="447"/>
      <c r="Z441" s="447"/>
      <c r="AA441" s="447"/>
      <c r="AB441" s="447"/>
      <c r="AC441" s="447"/>
      <c r="AD441" s="447"/>
      <c r="AE441" s="447"/>
      <c r="AF441" s="448"/>
      <c r="AG441" s="448"/>
      <c r="AH441" s="449"/>
      <c r="AI441" s="447"/>
      <c r="AJ441" s="447"/>
      <c r="AK441" s="447"/>
      <c r="AL441" s="447"/>
      <c r="AM441" s="447"/>
      <c r="AN441" s="447"/>
      <c r="AO441" s="447"/>
      <c r="AP441" s="447"/>
      <c r="AQ441" s="447"/>
      <c r="AR441" s="447"/>
      <c r="AS441" s="447"/>
      <c r="AT441" s="447"/>
      <c r="AU441" s="447"/>
      <c r="AV441" s="447"/>
      <c r="AW441" s="447"/>
      <c r="AX441" s="447"/>
      <c r="AY441" s="447"/>
      <c r="AZ441" s="447"/>
      <c r="BA441" s="447"/>
      <c r="BB441" s="447"/>
      <c r="BC441" s="447"/>
      <c r="BD441" s="447"/>
      <c r="BE441" s="447"/>
      <c r="BF441" s="447"/>
      <c r="BG441" s="447"/>
      <c r="BH441" s="447"/>
      <c r="BI441" s="447"/>
      <c r="BJ441" s="447"/>
      <c r="BK441" s="447"/>
      <c r="BL441" s="447"/>
      <c r="BM441" s="448"/>
      <c r="BN441" s="448"/>
    </row>
    <row r="442" spans="1:66" ht="11.25" customHeight="1">
      <c r="A442" s="450"/>
      <c r="B442" s="447"/>
      <c r="C442" s="447"/>
      <c r="D442" s="447"/>
      <c r="E442" s="447"/>
      <c r="F442" s="447"/>
      <c r="G442" s="447"/>
      <c r="H442" s="447"/>
      <c r="I442" s="447"/>
      <c r="J442" s="447"/>
      <c r="K442" s="447"/>
      <c r="L442" s="447"/>
      <c r="M442" s="447"/>
      <c r="N442" s="447"/>
      <c r="O442" s="447"/>
      <c r="P442" s="447"/>
      <c r="Q442" s="447"/>
      <c r="R442" s="447"/>
      <c r="S442" s="447"/>
      <c r="T442" s="447"/>
      <c r="U442" s="447"/>
      <c r="V442" s="447"/>
      <c r="W442" s="447"/>
      <c r="X442" s="447"/>
      <c r="Y442" s="447"/>
      <c r="Z442" s="447"/>
      <c r="AA442" s="447"/>
      <c r="AB442" s="447"/>
      <c r="AC442" s="447"/>
      <c r="AD442" s="447"/>
      <c r="AE442" s="447"/>
      <c r="AF442" s="448"/>
      <c r="AG442" s="448"/>
      <c r="AH442" s="449"/>
      <c r="AI442" s="447"/>
      <c r="AJ442" s="447"/>
      <c r="AK442" s="447"/>
      <c r="AL442" s="447"/>
      <c r="AM442" s="447"/>
      <c r="AN442" s="447"/>
      <c r="AO442" s="447"/>
      <c r="AP442" s="447"/>
      <c r="AQ442" s="447"/>
      <c r="AR442" s="447"/>
      <c r="AS442" s="447"/>
      <c r="AT442" s="447"/>
      <c r="AU442" s="447"/>
      <c r="AV442" s="447"/>
      <c r="AW442" s="447"/>
      <c r="AX442" s="447"/>
      <c r="AY442" s="447"/>
      <c r="AZ442" s="447"/>
      <c r="BA442" s="447"/>
      <c r="BB442" s="447"/>
      <c r="BC442" s="447"/>
      <c r="BD442" s="447"/>
      <c r="BE442" s="447"/>
      <c r="BF442" s="447"/>
      <c r="BG442" s="447"/>
      <c r="BH442" s="447"/>
      <c r="BI442" s="447"/>
      <c r="BJ442" s="447"/>
      <c r="BK442" s="447"/>
      <c r="BL442" s="447"/>
      <c r="BM442" s="448"/>
      <c r="BN442" s="448"/>
    </row>
    <row r="443" spans="1:66" ht="11.25" customHeight="1">
      <c r="A443" s="450"/>
      <c r="B443" s="447"/>
      <c r="C443" s="447"/>
      <c r="D443" s="447"/>
      <c r="E443" s="447"/>
      <c r="F443" s="447"/>
      <c r="G443" s="447"/>
      <c r="H443" s="447"/>
      <c r="I443" s="447"/>
      <c r="J443" s="447"/>
      <c r="K443" s="447"/>
      <c r="L443" s="447"/>
      <c r="M443" s="447"/>
      <c r="N443" s="447"/>
      <c r="O443" s="447"/>
      <c r="P443" s="447"/>
      <c r="Q443" s="447"/>
      <c r="R443" s="447"/>
      <c r="S443" s="447"/>
      <c r="T443" s="447"/>
      <c r="U443" s="447"/>
      <c r="V443" s="447"/>
      <c r="W443" s="447"/>
      <c r="X443" s="447"/>
      <c r="Y443" s="447"/>
      <c r="Z443" s="447"/>
      <c r="AA443" s="447"/>
      <c r="AB443" s="447"/>
      <c r="AC443" s="447"/>
      <c r="AD443" s="447"/>
      <c r="AE443" s="447"/>
      <c r="AF443" s="448"/>
      <c r="AG443" s="448"/>
      <c r="AH443" s="449"/>
      <c r="AI443" s="447"/>
      <c r="AJ443" s="447"/>
      <c r="AK443" s="447"/>
      <c r="AL443" s="447"/>
      <c r="AM443" s="447"/>
      <c r="AN443" s="447"/>
      <c r="AO443" s="447"/>
      <c r="AP443" s="447"/>
      <c r="AQ443" s="447"/>
      <c r="AR443" s="447"/>
      <c r="AS443" s="447"/>
      <c r="AT443" s="447"/>
      <c r="AU443" s="447"/>
      <c r="AV443" s="447"/>
      <c r="AW443" s="447"/>
      <c r="AX443" s="447"/>
      <c r="AY443" s="447"/>
      <c r="AZ443" s="447"/>
      <c r="BA443" s="447"/>
      <c r="BB443" s="447"/>
      <c r="BC443" s="447"/>
      <c r="BD443" s="447"/>
      <c r="BE443" s="447"/>
      <c r="BF443" s="447"/>
      <c r="BG443" s="447"/>
      <c r="BH443" s="447"/>
      <c r="BI443" s="447"/>
      <c r="BJ443" s="447"/>
      <c r="BK443" s="447"/>
      <c r="BL443" s="447"/>
      <c r="BM443" s="448"/>
      <c r="BN443" s="448"/>
    </row>
    <row r="444" spans="1:66" ht="11.25" customHeight="1">
      <c r="A444" s="450"/>
      <c r="B444" s="447"/>
      <c r="C444" s="447"/>
      <c r="D444" s="447"/>
      <c r="E444" s="447"/>
      <c r="F444" s="447"/>
      <c r="G444" s="447"/>
      <c r="H444" s="447"/>
      <c r="I444" s="447"/>
      <c r="J444" s="447"/>
      <c r="K444" s="447"/>
      <c r="L444" s="447"/>
      <c r="M444" s="447"/>
      <c r="N444" s="447"/>
      <c r="O444" s="447"/>
      <c r="P444" s="447"/>
      <c r="Q444" s="447"/>
      <c r="R444" s="447"/>
      <c r="S444" s="447"/>
      <c r="T444" s="447"/>
      <c r="U444" s="447"/>
      <c r="V444" s="447"/>
      <c r="W444" s="447"/>
      <c r="X444" s="447"/>
      <c r="Y444" s="447"/>
      <c r="Z444" s="447"/>
      <c r="AA444" s="447"/>
      <c r="AB444" s="447"/>
      <c r="AC444" s="447"/>
      <c r="AD444" s="447"/>
      <c r="AE444" s="447"/>
      <c r="AF444" s="448"/>
      <c r="AG444" s="448"/>
      <c r="AH444" s="449"/>
      <c r="AI444" s="447"/>
      <c r="AJ444" s="447"/>
      <c r="AK444" s="447"/>
      <c r="AL444" s="447"/>
      <c r="AM444" s="447"/>
      <c r="AN444" s="447"/>
      <c r="AO444" s="447"/>
      <c r="AP444" s="447"/>
      <c r="AQ444" s="447"/>
      <c r="AR444" s="447"/>
      <c r="AS444" s="447"/>
      <c r="AT444" s="447"/>
      <c r="AU444" s="447"/>
      <c r="AV444" s="447"/>
      <c r="AW444" s="447"/>
      <c r="AX444" s="447"/>
      <c r="AY444" s="447"/>
      <c r="AZ444" s="447"/>
      <c r="BA444" s="447"/>
      <c r="BB444" s="447"/>
      <c r="BC444" s="447"/>
      <c r="BD444" s="447"/>
      <c r="BE444" s="447"/>
      <c r="BF444" s="447"/>
      <c r="BG444" s="447"/>
      <c r="BH444" s="447"/>
      <c r="BI444" s="447"/>
      <c r="BJ444" s="447"/>
      <c r="BK444" s="447"/>
      <c r="BL444" s="447"/>
      <c r="BM444" s="448"/>
      <c r="BN444" s="448"/>
    </row>
    <row r="445" spans="1:66" ht="11.25" customHeight="1">
      <c r="A445" s="450"/>
      <c r="B445" s="447"/>
      <c r="C445" s="447"/>
      <c r="D445" s="447"/>
      <c r="E445" s="447"/>
      <c r="F445" s="447"/>
      <c r="G445" s="447"/>
      <c r="H445" s="447"/>
      <c r="I445" s="447"/>
      <c r="J445" s="447"/>
      <c r="K445" s="447"/>
      <c r="L445" s="447"/>
      <c r="M445" s="447"/>
      <c r="N445" s="447"/>
      <c r="O445" s="447"/>
      <c r="P445" s="447"/>
      <c r="Q445" s="447"/>
      <c r="R445" s="447"/>
      <c r="S445" s="447"/>
      <c r="T445" s="447"/>
      <c r="U445" s="447"/>
      <c r="V445" s="447"/>
      <c r="W445" s="447"/>
      <c r="X445" s="447"/>
      <c r="Y445" s="447"/>
      <c r="Z445" s="447"/>
      <c r="AA445" s="447"/>
      <c r="AB445" s="447"/>
      <c r="AC445" s="447"/>
      <c r="AD445" s="447"/>
      <c r="AE445" s="447"/>
      <c r="AF445" s="448"/>
      <c r="AG445" s="448"/>
      <c r="AH445" s="449"/>
      <c r="AI445" s="447"/>
      <c r="AJ445" s="447"/>
      <c r="AK445" s="447"/>
      <c r="AL445" s="447"/>
      <c r="AM445" s="447"/>
      <c r="AN445" s="447"/>
      <c r="AO445" s="447"/>
      <c r="AP445" s="447"/>
      <c r="AQ445" s="447"/>
      <c r="AR445" s="447"/>
      <c r="AS445" s="447"/>
      <c r="AT445" s="447"/>
      <c r="AU445" s="447"/>
      <c r="AV445" s="447"/>
      <c r="AW445" s="447"/>
      <c r="AX445" s="447"/>
      <c r="AY445" s="447"/>
      <c r="AZ445" s="447"/>
      <c r="BA445" s="447"/>
      <c r="BB445" s="447"/>
      <c r="BC445" s="447"/>
      <c r="BD445" s="447"/>
      <c r="BE445" s="447"/>
      <c r="BF445" s="447"/>
      <c r="BG445" s="447"/>
      <c r="BH445" s="447"/>
      <c r="BI445" s="447"/>
      <c r="BJ445" s="447"/>
      <c r="BK445" s="447"/>
      <c r="BL445" s="447"/>
      <c r="BM445" s="448"/>
      <c r="BN445" s="448"/>
    </row>
    <row r="446" spans="1:66" ht="11.25" customHeight="1">
      <c r="A446" s="450"/>
      <c r="B446" s="447"/>
      <c r="C446" s="447"/>
      <c r="D446" s="447"/>
      <c r="E446" s="447"/>
      <c r="F446" s="447"/>
      <c r="G446" s="447"/>
      <c r="H446" s="447"/>
      <c r="I446" s="447"/>
      <c r="J446" s="447"/>
      <c r="K446" s="447"/>
      <c r="L446" s="447"/>
      <c r="M446" s="447"/>
      <c r="N446" s="447"/>
      <c r="O446" s="447"/>
      <c r="P446" s="447"/>
      <c r="Q446" s="447"/>
      <c r="R446" s="447"/>
      <c r="S446" s="447"/>
      <c r="T446" s="447"/>
      <c r="U446" s="447"/>
      <c r="V446" s="447"/>
      <c r="W446" s="447"/>
      <c r="X446" s="447"/>
      <c r="Y446" s="447"/>
      <c r="Z446" s="447"/>
      <c r="AA446" s="447"/>
      <c r="AB446" s="447"/>
      <c r="AC446" s="447"/>
      <c r="AD446" s="447"/>
      <c r="AE446" s="447"/>
      <c r="AF446" s="448"/>
      <c r="AG446" s="448"/>
      <c r="AH446" s="449"/>
      <c r="AI446" s="447"/>
      <c r="AJ446" s="447"/>
      <c r="AK446" s="447"/>
      <c r="AL446" s="447"/>
      <c r="AM446" s="447"/>
      <c r="AN446" s="447"/>
      <c r="AO446" s="447"/>
      <c r="AP446" s="447"/>
      <c r="AQ446" s="447"/>
      <c r="AR446" s="447"/>
      <c r="AS446" s="447"/>
      <c r="AT446" s="447"/>
      <c r="AU446" s="447"/>
      <c r="AV446" s="447"/>
      <c r="AW446" s="447"/>
      <c r="AX446" s="447"/>
      <c r="AY446" s="447"/>
      <c r="AZ446" s="447"/>
      <c r="BA446" s="447"/>
      <c r="BB446" s="447"/>
      <c r="BC446" s="447"/>
      <c r="BD446" s="447"/>
      <c r="BE446" s="447"/>
      <c r="BF446" s="447"/>
      <c r="BG446" s="447"/>
      <c r="BH446" s="447"/>
      <c r="BI446" s="447"/>
      <c r="BJ446" s="447"/>
      <c r="BK446" s="447"/>
      <c r="BL446" s="447"/>
      <c r="BM446" s="448"/>
      <c r="BN446" s="448"/>
    </row>
    <row r="447" spans="1:66" ht="11.25" customHeight="1">
      <c r="A447" s="450"/>
      <c r="B447" s="447"/>
      <c r="C447" s="447"/>
      <c r="D447" s="447"/>
      <c r="E447" s="447"/>
      <c r="F447" s="447"/>
      <c r="G447" s="447"/>
      <c r="H447" s="447"/>
      <c r="I447" s="447"/>
      <c r="J447" s="447"/>
      <c r="K447" s="447"/>
      <c r="L447" s="447"/>
      <c r="M447" s="447"/>
      <c r="N447" s="447"/>
      <c r="O447" s="447"/>
      <c r="P447" s="447"/>
      <c r="Q447" s="447"/>
      <c r="R447" s="447"/>
      <c r="S447" s="447"/>
      <c r="T447" s="447"/>
      <c r="U447" s="447"/>
      <c r="V447" s="447"/>
      <c r="W447" s="447"/>
      <c r="X447" s="447"/>
      <c r="Y447" s="447"/>
      <c r="Z447" s="447"/>
      <c r="AA447" s="447"/>
      <c r="AB447" s="447"/>
      <c r="AC447" s="447"/>
      <c r="AD447" s="447"/>
      <c r="AE447" s="447"/>
      <c r="AF447" s="448"/>
      <c r="AG447" s="448"/>
      <c r="AH447" s="449"/>
      <c r="AI447" s="447"/>
      <c r="AJ447" s="447"/>
      <c r="AK447" s="447"/>
      <c r="AL447" s="447"/>
      <c r="AM447" s="447"/>
      <c r="AN447" s="447"/>
      <c r="AO447" s="447"/>
      <c r="AP447" s="447"/>
      <c r="AQ447" s="447"/>
      <c r="AR447" s="447"/>
      <c r="AS447" s="447"/>
      <c r="AT447" s="447"/>
      <c r="AU447" s="447"/>
      <c r="AV447" s="447"/>
      <c r="AW447" s="447"/>
      <c r="AX447" s="447"/>
      <c r="AY447" s="447"/>
      <c r="AZ447" s="447"/>
      <c r="BA447" s="447"/>
      <c r="BB447" s="447"/>
      <c r="BC447" s="447"/>
      <c r="BD447" s="447"/>
      <c r="BE447" s="447"/>
      <c r="BF447" s="447"/>
      <c r="BG447" s="447"/>
      <c r="BH447" s="447"/>
      <c r="BI447" s="447"/>
      <c r="BJ447" s="447"/>
      <c r="BK447" s="447"/>
      <c r="BL447" s="447"/>
      <c r="BM447" s="448"/>
      <c r="BN447" s="448"/>
    </row>
    <row r="448" spans="1:66" ht="11.25" customHeight="1">
      <c r="A448" s="450"/>
      <c r="B448" s="447"/>
      <c r="C448" s="447"/>
      <c r="D448" s="447"/>
      <c r="E448" s="447"/>
      <c r="F448" s="447"/>
      <c r="G448" s="447"/>
      <c r="H448" s="447"/>
      <c r="I448" s="447"/>
      <c r="J448" s="447"/>
      <c r="K448" s="447"/>
      <c r="L448" s="447"/>
      <c r="M448" s="447"/>
      <c r="N448" s="447"/>
      <c r="O448" s="447"/>
      <c r="P448" s="447"/>
      <c r="Q448" s="447"/>
      <c r="R448" s="447"/>
      <c r="S448" s="447"/>
      <c r="T448" s="447"/>
      <c r="U448" s="447"/>
      <c r="V448" s="447"/>
      <c r="W448" s="447"/>
      <c r="X448" s="447"/>
      <c r="Y448" s="447"/>
      <c r="Z448" s="447"/>
      <c r="AA448" s="447"/>
      <c r="AB448" s="447"/>
      <c r="AC448" s="447"/>
      <c r="AD448" s="447"/>
      <c r="AE448" s="447"/>
      <c r="AF448" s="448"/>
      <c r="AG448" s="448"/>
      <c r="AH448" s="449"/>
      <c r="AI448" s="447"/>
      <c r="AJ448" s="447"/>
      <c r="AK448" s="447"/>
      <c r="AL448" s="447"/>
      <c r="AM448" s="447"/>
      <c r="AN448" s="447"/>
      <c r="AO448" s="447"/>
      <c r="AP448" s="447"/>
      <c r="AQ448" s="447"/>
      <c r="AR448" s="447"/>
      <c r="AS448" s="447"/>
      <c r="AT448" s="447"/>
      <c r="AU448" s="447"/>
      <c r="AV448" s="447"/>
      <c r="AW448" s="447"/>
      <c r="AX448" s="447"/>
      <c r="AY448" s="447"/>
      <c r="AZ448" s="447"/>
      <c r="BA448" s="447"/>
      <c r="BB448" s="447"/>
      <c r="BC448" s="447"/>
      <c r="BD448" s="447"/>
      <c r="BE448" s="447"/>
      <c r="BF448" s="447"/>
      <c r="BG448" s="447"/>
      <c r="BH448" s="447"/>
      <c r="BI448" s="447"/>
      <c r="BJ448" s="447"/>
      <c r="BK448" s="447"/>
      <c r="BL448" s="447"/>
      <c r="BM448" s="448"/>
      <c r="BN448" s="448"/>
    </row>
    <row r="449" spans="1:66" ht="11.25" customHeight="1">
      <c r="A449" s="450"/>
      <c r="B449" s="447"/>
      <c r="C449" s="447"/>
      <c r="D449" s="447"/>
      <c r="E449" s="447"/>
      <c r="F449" s="447"/>
      <c r="G449" s="447"/>
      <c r="H449" s="447"/>
      <c r="I449" s="447"/>
      <c r="J449" s="447"/>
      <c r="K449" s="447"/>
      <c r="L449" s="447"/>
      <c r="M449" s="447"/>
      <c r="N449" s="447"/>
      <c r="O449" s="447"/>
      <c r="P449" s="447"/>
      <c r="Q449" s="447"/>
      <c r="R449" s="447"/>
      <c r="S449" s="447"/>
      <c r="T449" s="447"/>
      <c r="U449" s="447"/>
      <c r="V449" s="447"/>
      <c r="W449" s="447"/>
      <c r="X449" s="447"/>
      <c r="Y449" s="447"/>
      <c r="Z449" s="447"/>
      <c r="AA449" s="447"/>
      <c r="AB449" s="447"/>
      <c r="AC449" s="447"/>
      <c r="AD449" s="447"/>
      <c r="AE449" s="447"/>
      <c r="AF449" s="448"/>
      <c r="AG449" s="448"/>
      <c r="AH449" s="449"/>
      <c r="AI449" s="447"/>
      <c r="AJ449" s="447"/>
      <c r="AK449" s="447"/>
      <c r="AL449" s="447"/>
      <c r="AM449" s="447"/>
      <c r="AN449" s="447"/>
      <c r="AO449" s="447"/>
      <c r="AP449" s="447"/>
      <c r="AQ449" s="447"/>
      <c r="AR449" s="447"/>
      <c r="AS449" s="447"/>
      <c r="AT449" s="447"/>
      <c r="AU449" s="447"/>
      <c r="AV449" s="447"/>
      <c r="AW449" s="447"/>
      <c r="AX449" s="447"/>
      <c r="AY449" s="447"/>
      <c r="AZ449" s="447"/>
      <c r="BA449" s="447"/>
      <c r="BB449" s="447"/>
      <c r="BC449" s="447"/>
      <c r="BD449" s="447"/>
      <c r="BE449" s="447"/>
      <c r="BF449" s="447"/>
      <c r="BG449" s="447"/>
      <c r="BH449" s="447"/>
      <c r="BI449" s="447"/>
      <c r="BJ449" s="447"/>
      <c r="BK449" s="447"/>
      <c r="BL449" s="447"/>
      <c r="BM449" s="448"/>
      <c r="BN449" s="448"/>
    </row>
    <row r="450" spans="1:66" ht="11.25" customHeight="1">
      <c r="A450" s="450"/>
      <c r="B450" s="447"/>
      <c r="C450" s="447"/>
      <c r="D450" s="447"/>
      <c r="E450" s="447"/>
      <c r="F450" s="447"/>
      <c r="G450" s="447"/>
      <c r="H450" s="447"/>
      <c r="I450" s="447"/>
      <c r="J450" s="447"/>
      <c r="K450" s="447"/>
      <c r="L450" s="447"/>
      <c r="M450" s="447"/>
      <c r="N450" s="447"/>
      <c r="O450" s="447"/>
      <c r="P450" s="447"/>
      <c r="Q450" s="447"/>
      <c r="R450" s="447"/>
      <c r="S450" s="447"/>
      <c r="T450" s="447"/>
      <c r="U450" s="447"/>
      <c r="V450" s="447"/>
      <c r="W450" s="447"/>
      <c r="X450" s="447"/>
      <c r="Y450" s="447"/>
      <c r="Z450" s="447"/>
      <c r="AA450" s="447"/>
      <c r="AB450" s="447"/>
      <c r="AC450" s="447"/>
      <c r="AD450" s="447"/>
      <c r="AE450" s="447"/>
      <c r="AF450" s="448"/>
      <c r="AG450" s="448"/>
      <c r="AH450" s="449"/>
      <c r="AI450" s="447"/>
      <c r="AJ450" s="447"/>
      <c r="AK450" s="447"/>
      <c r="AL450" s="447"/>
      <c r="AM450" s="447"/>
      <c r="AN450" s="447"/>
      <c r="AO450" s="447"/>
      <c r="AP450" s="447"/>
      <c r="AQ450" s="447"/>
      <c r="AR450" s="447"/>
      <c r="AS450" s="447"/>
      <c r="AT450" s="447"/>
      <c r="AU450" s="447"/>
      <c r="AV450" s="447"/>
      <c r="AW450" s="447"/>
      <c r="AX450" s="447"/>
      <c r="AY450" s="447"/>
      <c r="AZ450" s="447"/>
      <c r="BA450" s="447"/>
      <c r="BB450" s="447"/>
      <c r="BC450" s="447"/>
      <c r="BD450" s="447"/>
      <c r="BE450" s="447"/>
      <c r="BF450" s="447"/>
      <c r="BG450" s="447"/>
      <c r="BH450" s="447"/>
      <c r="BI450" s="447"/>
      <c r="BJ450" s="447"/>
      <c r="BK450" s="447"/>
      <c r="BL450" s="447"/>
      <c r="BM450" s="448"/>
      <c r="BN450" s="448"/>
    </row>
    <row r="451" spans="1:66" ht="11.25" customHeight="1">
      <c r="A451" s="450"/>
      <c r="B451" s="447"/>
      <c r="C451" s="447"/>
      <c r="D451" s="447"/>
      <c r="E451" s="447"/>
      <c r="F451" s="447"/>
      <c r="G451" s="447"/>
      <c r="H451" s="447"/>
      <c r="I451" s="447"/>
      <c r="J451" s="447"/>
      <c r="K451" s="447"/>
      <c r="L451" s="447"/>
      <c r="M451" s="447"/>
      <c r="N451" s="447"/>
      <c r="O451" s="447"/>
      <c r="P451" s="447"/>
      <c r="Q451" s="447"/>
      <c r="R451" s="447"/>
      <c r="S451" s="447"/>
      <c r="T451" s="447"/>
      <c r="U451" s="447"/>
      <c r="V451" s="447"/>
      <c r="W451" s="447"/>
      <c r="X451" s="447"/>
      <c r="Y451" s="447"/>
      <c r="Z451" s="447"/>
      <c r="AA451" s="447"/>
      <c r="AB451" s="447"/>
      <c r="AC451" s="447"/>
      <c r="AD451" s="447"/>
      <c r="AE451" s="447"/>
      <c r="AF451" s="448"/>
      <c r="AG451" s="448"/>
      <c r="AH451" s="449"/>
      <c r="AI451" s="447"/>
      <c r="AJ451" s="447"/>
      <c r="AK451" s="447"/>
      <c r="AL451" s="447"/>
      <c r="AM451" s="447"/>
      <c r="AN451" s="447"/>
      <c r="AO451" s="447"/>
      <c r="AP451" s="447"/>
      <c r="AQ451" s="447"/>
      <c r="AR451" s="447"/>
      <c r="AS451" s="447"/>
      <c r="AT451" s="447"/>
      <c r="AU451" s="447"/>
      <c r="AV451" s="447"/>
      <c r="AW451" s="447"/>
      <c r="AX451" s="447"/>
      <c r="AY451" s="447"/>
      <c r="AZ451" s="447"/>
      <c r="BA451" s="447"/>
      <c r="BB451" s="447"/>
      <c r="BC451" s="447"/>
      <c r="BD451" s="447"/>
      <c r="BE451" s="447"/>
      <c r="BF451" s="447"/>
      <c r="BG451" s="447"/>
      <c r="BH451" s="447"/>
      <c r="BI451" s="447"/>
      <c r="BJ451" s="447"/>
      <c r="BK451" s="447"/>
      <c r="BL451" s="447"/>
      <c r="BM451" s="448"/>
      <c r="BN451" s="448"/>
    </row>
    <row r="452" spans="1:66" ht="11.25" customHeight="1">
      <c r="A452" s="450"/>
      <c r="B452" s="447"/>
      <c r="C452" s="447"/>
      <c r="D452" s="447"/>
      <c r="E452" s="447"/>
      <c r="F452" s="447"/>
      <c r="G452" s="447"/>
      <c r="H452" s="447"/>
      <c r="I452" s="447"/>
      <c r="J452" s="447"/>
      <c r="K452" s="447"/>
      <c r="L452" s="447"/>
      <c r="M452" s="447"/>
      <c r="N452" s="447"/>
      <c r="O452" s="447"/>
      <c r="P452" s="447"/>
      <c r="Q452" s="447"/>
      <c r="R452" s="447"/>
      <c r="S452" s="447"/>
      <c r="T452" s="447"/>
      <c r="U452" s="447"/>
      <c r="V452" s="447"/>
      <c r="W452" s="447"/>
      <c r="X452" s="447"/>
      <c r="Y452" s="447"/>
      <c r="Z452" s="447"/>
      <c r="AA452" s="447"/>
      <c r="AB452" s="447"/>
      <c r="AC452" s="447"/>
      <c r="AD452" s="447"/>
      <c r="AE452" s="447"/>
      <c r="AF452" s="448"/>
      <c r="AG452" s="448"/>
      <c r="AH452" s="449"/>
      <c r="AI452" s="447"/>
      <c r="AJ452" s="447"/>
      <c r="AK452" s="447"/>
      <c r="AL452" s="447"/>
      <c r="AM452" s="447"/>
      <c r="AN452" s="447"/>
      <c r="AO452" s="447"/>
      <c r="AP452" s="447"/>
      <c r="AQ452" s="447"/>
      <c r="AR452" s="447"/>
      <c r="AS452" s="447"/>
      <c r="AT452" s="447"/>
      <c r="AU452" s="447"/>
      <c r="AV452" s="447"/>
      <c r="AW452" s="447"/>
      <c r="AX452" s="447"/>
      <c r="AY452" s="447"/>
      <c r="AZ452" s="447"/>
      <c r="BA452" s="447"/>
      <c r="BB452" s="447"/>
      <c r="BC452" s="447"/>
      <c r="BD452" s="447"/>
      <c r="BE452" s="447"/>
      <c r="BF452" s="447"/>
      <c r="BG452" s="447"/>
      <c r="BH452" s="447"/>
      <c r="BI452" s="447"/>
      <c r="BJ452" s="447"/>
      <c r="BK452" s="447"/>
      <c r="BL452" s="447"/>
      <c r="BM452" s="448"/>
      <c r="BN452" s="448"/>
    </row>
    <row r="453" spans="1:66" ht="11.25" customHeight="1">
      <c r="A453" s="450"/>
      <c r="B453" s="447"/>
      <c r="C453" s="447"/>
      <c r="D453" s="447"/>
      <c r="E453" s="447"/>
      <c r="F453" s="447"/>
      <c r="G453" s="447"/>
      <c r="H453" s="447"/>
      <c r="I453" s="447"/>
      <c r="J453" s="447"/>
      <c r="K453" s="447"/>
      <c r="L453" s="447"/>
      <c r="M453" s="447"/>
      <c r="N453" s="447"/>
      <c r="O453" s="447"/>
      <c r="P453" s="447"/>
      <c r="Q453" s="447"/>
      <c r="R453" s="447"/>
      <c r="S453" s="447"/>
      <c r="T453" s="447"/>
      <c r="U453" s="447"/>
      <c r="V453" s="447"/>
      <c r="W453" s="447"/>
      <c r="X453" s="447"/>
      <c r="Y453" s="447"/>
      <c r="Z453" s="447"/>
      <c r="AA453" s="447"/>
      <c r="AB453" s="447"/>
      <c r="AC453" s="447"/>
      <c r="AD453" s="447"/>
      <c r="AE453" s="447"/>
      <c r="AF453" s="448"/>
      <c r="AG453" s="448"/>
      <c r="AH453" s="449"/>
      <c r="AI453" s="447"/>
      <c r="AJ453" s="447"/>
      <c r="AK453" s="447"/>
      <c r="AL453" s="447"/>
      <c r="AM453" s="447"/>
      <c r="AN453" s="447"/>
      <c r="AO453" s="447"/>
      <c r="AP453" s="447"/>
      <c r="AQ453" s="447"/>
      <c r="AR453" s="447"/>
      <c r="AS453" s="447"/>
      <c r="AT453" s="447"/>
      <c r="AU453" s="447"/>
      <c r="AV453" s="447"/>
      <c r="AW453" s="447"/>
      <c r="AX453" s="447"/>
      <c r="AY453" s="447"/>
      <c r="AZ453" s="447"/>
      <c r="BA453" s="447"/>
      <c r="BB453" s="447"/>
      <c r="BC453" s="447"/>
      <c r="BD453" s="447"/>
      <c r="BE453" s="447"/>
      <c r="BF453" s="447"/>
      <c r="BG453" s="447"/>
      <c r="BH453" s="447"/>
      <c r="BI453" s="447"/>
      <c r="BJ453" s="447"/>
      <c r="BK453" s="447"/>
      <c r="BL453" s="447"/>
      <c r="BM453" s="448"/>
      <c r="BN453" s="448"/>
    </row>
    <row r="454" spans="1:66" ht="11.25" customHeight="1">
      <c r="A454" s="450"/>
      <c r="B454" s="447"/>
      <c r="C454" s="447"/>
      <c r="D454" s="447"/>
      <c r="E454" s="447"/>
      <c r="F454" s="447"/>
      <c r="G454" s="447"/>
      <c r="H454" s="447"/>
      <c r="I454" s="447"/>
      <c r="J454" s="447"/>
      <c r="K454" s="447"/>
      <c r="L454" s="447"/>
      <c r="M454" s="447"/>
      <c r="N454" s="447"/>
      <c r="O454" s="447"/>
      <c r="P454" s="447"/>
      <c r="Q454" s="447"/>
      <c r="R454" s="447"/>
      <c r="S454" s="447"/>
      <c r="T454" s="447"/>
      <c r="U454" s="447"/>
      <c r="V454" s="447"/>
      <c r="W454" s="447"/>
      <c r="X454" s="447"/>
      <c r="Y454" s="447"/>
      <c r="Z454" s="447"/>
      <c r="AA454" s="447"/>
      <c r="AB454" s="447"/>
      <c r="AC454" s="447"/>
      <c r="AD454" s="447"/>
      <c r="AE454" s="447"/>
      <c r="AF454" s="448"/>
      <c r="AG454" s="448"/>
      <c r="AH454" s="449"/>
      <c r="AI454" s="447"/>
      <c r="AJ454" s="447"/>
      <c r="AK454" s="447"/>
      <c r="AL454" s="447"/>
      <c r="AM454" s="447"/>
      <c r="AN454" s="447"/>
      <c r="AO454" s="447"/>
      <c r="AP454" s="447"/>
      <c r="AQ454" s="447"/>
      <c r="AR454" s="447"/>
      <c r="AS454" s="447"/>
      <c r="AT454" s="447"/>
      <c r="AU454" s="447"/>
      <c r="AV454" s="447"/>
      <c r="AW454" s="447"/>
      <c r="AX454" s="447"/>
      <c r="AY454" s="447"/>
      <c r="AZ454" s="447"/>
      <c r="BA454" s="447"/>
      <c r="BB454" s="447"/>
      <c r="BC454" s="447"/>
      <c r="BD454" s="447"/>
      <c r="BE454" s="447"/>
      <c r="BF454" s="447"/>
      <c r="BG454" s="447"/>
      <c r="BH454" s="447"/>
      <c r="BI454" s="447"/>
      <c r="BJ454" s="447"/>
      <c r="BK454" s="447"/>
      <c r="BL454" s="447"/>
      <c r="BM454" s="448"/>
      <c r="BN454" s="448"/>
    </row>
    <row r="455" spans="1:66" ht="11.25" customHeight="1">
      <c r="A455" s="450"/>
      <c r="B455" s="447"/>
      <c r="C455" s="447"/>
      <c r="D455" s="447"/>
      <c r="E455" s="447"/>
      <c r="F455" s="447"/>
      <c r="G455" s="447"/>
      <c r="H455" s="447"/>
      <c r="I455" s="447"/>
      <c r="J455" s="447"/>
      <c r="K455" s="447"/>
      <c r="L455" s="447"/>
      <c r="M455" s="447"/>
      <c r="N455" s="447"/>
      <c r="O455" s="447"/>
      <c r="P455" s="447"/>
      <c r="Q455" s="447"/>
      <c r="R455" s="447"/>
      <c r="S455" s="447"/>
      <c r="T455" s="447"/>
      <c r="U455" s="447"/>
      <c r="V455" s="447"/>
      <c r="W455" s="447"/>
      <c r="X455" s="447"/>
      <c r="Y455" s="447"/>
      <c r="Z455" s="447"/>
      <c r="AA455" s="447"/>
      <c r="AB455" s="447"/>
      <c r="AC455" s="447"/>
      <c r="AD455" s="447"/>
      <c r="AE455" s="447"/>
      <c r="AF455" s="448"/>
      <c r="AG455" s="448"/>
      <c r="AH455" s="449"/>
      <c r="AI455" s="447"/>
      <c r="AJ455" s="447"/>
      <c r="AK455" s="447"/>
      <c r="AL455" s="447"/>
      <c r="AM455" s="447"/>
      <c r="AN455" s="447"/>
      <c r="AO455" s="447"/>
      <c r="AP455" s="447"/>
      <c r="AQ455" s="447"/>
      <c r="AR455" s="447"/>
      <c r="AS455" s="447"/>
      <c r="AT455" s="447"/>
      <c r="AU455" s="447"/>
      <c r="AV455" s="447"/>
      <c r="AW455" s="447"/>
      <c r="AX455" s="447"/>
      <c r="AY455" s="447"/>
      <c r="AZ455" s="447"/>
      <c r="BA455" s="447"/>
      <c r="BB455" s="447"/>
      <c r="BC455" s="447"/>
      <c r="BD455" s="447"/>
      <c r="BE455" s="447"/>
      <c r="BF455" s="447"/>
      <c r="BG455" s="447"/>
      <c r="BH455" s="447"/>
      <c r="BI455" s="447"/>
      <c r="BJ455" s="447"/>
      <c r="BK455" s="447"/>
      <c r="BL455" s="447"/>
      <c r="BM455" s="448"/>
      <c r="BN455" s="448"/>
    </row>
    <row r="456" spans="1:66" ht="11.25" customHeight="1">
      <c r="A456" s="450"/>
      <c r="B456" s="447"/>
      <c r="C456" s="447"/>
      <c r="D456" s="447"/>
      <c r="E456" s="447"/>
      <c r="F456" s="447"/>
      <c r="G456" s="447"/>
      <c r="H456" s="447"/>
      <c r="I456" s="447"/>
      <c r="J456" s="447"/>
      <c r="K456" s="447"/>
      <c r="L456" s="447"/>
      <c r="M456" s="447"/>
      <c r="N456" s="447"/>
      <c r="O456" s="447"/>
      <c r="P456" s="447"/>
      <c r="Q456" s="447"/>
      <c r="R456" s="447"/>
      <c r="S456" s="447"/>
      <c r="T456" s="447"/>
      <c r="U456" s="447"/>
      <c r="V456" s="447"/>
      <c r="W456" s="447"/>
      <c r="X456" s="447"/>
      <c r="Y456" s="447"/>
      <c r="Z456" s="447"/>
      <c r="AA456" s="447"/>
      <c r="AB456" s="447"/>
      <c r="AC456" s="447"/>
      <c r="AD456" s="447"/>
      <c r="AE456" s="447"/>
      <c r="AF456" s="448"/>
      <c r="AG456" s="448"/>
      <c r="AH456" s="449"/>
      <c r="AI456" s="447"/>
      <c r="AJ456" s="447"/>
      <c r="AK456" s="447"/>
      <c r="AL456" s="447"/>
      <c r="AM456" s="447"/>
      <c r="AN456" s="447"/>
      <c r="AO456" s="447"/>
      <c r="AP456" s="447"/>
      <c r="AQ456" s="447"/>
      <c r="AR456" s="447"/>
      <c r="AS456" s="447"/>
      <c r="AT456" s="447"/>
      <c r="AU456" s="447"/>
      <c r="AV456" s="447"/>
      <c r="AW456" s="447"/>
      <c r="AX456" s="447"/>
      <c r="AY456" s="447"/>
      <c r="AZ456" s="447"/>
      <c r="BA456" s="447"/>
      <c r="BB456" s="447"/>
      <c r="BC456" s="447"/>
      <c r="BD456" s="447"/>
      <c r="BE456" s="447"/>
      <c r="BF456" s="447"/>
      <c r="BG456" s="447"/>
      <c r="BH456" s="447"/>
      <c r="BI456" s="447"/>
      <c r="BJ456" s="447"/>
      <c r="BK456" s="447"/>
      <c r="BL456" s="447"/>
      <c r="BM456" s="448"/>
      <c r="BN456" s="448"/>
    </row>
    <row r="457" spans="1:66" ht="11.25" customHeight="1">
      <c r="A457" s="450"/>
      <c r="B457" s="447"/>
      <c r="C457" s="447"/>
      <c r="D457" s="447"/>
      <c r="E457" s="447"/>
      <c r="F457" s="447"/>
      <c r="G457" s="447"/>
      <c r="H457" s="447"/>
      <c r="I457" s="447"/>
      <c r="J457" s="447"/>
      <c r="K457" s="447"/>
      <c r="L457" s="447"/>
      <c r="M457" s="447"/>
      <c r="N457" s="447"/>
      <c r="O457" s="447"/>
      <c r="P457" s="447"/>
      <c r="Q457" s="447"/>
      <c r="R457" s="447"/>
      <c r="S457" s="447"/>
      <c r="T457" s="447"/>
      <c r="U457" s="447"/>
      <c r="V457" s="447"/>
      <c r="W457" s="447"/>
      <c r="X457" s="447"/>
      <c r="Y457" s="447"/>
      <c r="Z457" s="447"/>
      <c r="AA457" s="447"/>
      <c r="AB457" s="447"/>
      <c r="AC457" s="447"/>
      <c r="AD457" s="447"/>
      <c r="AE457" s="447"/>
      <c r="AF457" s="448"/>
      <c r="AG457" s="448"/>
      <c r="AH457" s="449"/>
      <c r="AI457" s="447"/>
      <c r="AJ457" s="447"/>
      <c r="AK457" s="447"/>
      <c r="AL457" s="447"/>
      <c r="AM457" s="447"/>
      <c r="AN457" s="447"/>
      <c r="AO457" s="447"/>
      <c r="AP457" s="447"/>
      <c r="AQ457" s="447"/>
      <c r="AR457" s="447"/>
      <c r="AS457" s="447"/>
      <c r="AT457" s="447"/>
      <c r="AU457" s="447"/>
      <c r="AV457" s="447"/>
      <c r="AW457" s="447"/>
      <c r="AX457" s="447"/>
      <c r="AY457" s="447"/>
      <c r="AZ457" s="447"/>
      <c r="BA457" s="447"/>
      <c r="BB457" s="447"/>
      <c r="BC457" s="447"/>
      <c r="BD457" s="447"/>
      <c r="BE457" s="447"/>
      <c r="BF457" s="447"/>
      <c r="BG457" s="447"/>
      <c r="BH457" s="447"/>
      <c r="BI457" s="447"/>
      <c r="BJ457" s="447"/>
      <c r="BK457" s="447"/>
      <c r="BL457" s="447"/>
      <c r="BM457" s="448"/>
      <c r="BN457" s="448"/>
    </row>
    <row r="458" spans="1:66" ht="11.25" customHeight="1">
      <c r="A458" s="450"/>
      <c r="B458" s="447"/>
      <c r="C458" s="447"/>
      <c r="D458" s="447"/>
      <c r="E458" s="447"/>
      <c r="F458" s="447"/>
      <c r="G458" s="447"/>
      <c r="H458" s="447"/>
      <c r="I458" s="447"/>
      <c r="J458" s="447"/>
      <c r="K458" s="447"/>
      <c r="L458" s="447"/>
      <c r="M458" s="447"/>
      <c r="N458" s="447"/>
      <c r="O458" s="447"/>
      <c r="P458" s="447"/>
      <c r="Q458" s="447"/>
      <c r="R458" s="447"/>
      <c r="S458" s="447"/>
      <c r="T458" s="447"/>
      <c r="U458" s="447"/>
      <c r="V458" s="447"/>
      <c r="W458" s="447"/>
      <c r="X458" s="447"/>
      <c r="Y458" s="447"/>
      <c r="Z458" s="447"/>
      <c r="AA458" s="447"/>
      <c r="AB458" s="447"/>
      <c r="AC458" s="447"/>
      <c r="AD458" s="447"/>
      <c r="AE458" s="447"/>
      <c r="AF458" s="448"/>
      <c r="AG458" s="448"/>
      <c r="AH458" s="449"/>
      <c r="AI458" s="447"/>
      <c r="AJ458" s="447"/>
      <c r="AK458" s="447"/>
      <c r="AL458" s="447"/>
      <c r="AM458" s="447"/>
      <c r="AN458" s="447"/>
      <c r="AO458" s="447"/>
      <c r="AP458" s="447"/>
      <c r="AQ458" s="447"/>
      <c r="AR458" s="447"/>
      <c r="AS458" s="447"/>
      <c r="AT458" s="447"/>
      <c r="AU458" s="447"/>
      <c r="AV458" s="447"/>
      <c r="AW458" s="447"/>
      <c r="AX458" s="447"/>
      <c r="AY458" s="447"/>
      <c r="AZ458" s="447"/>
      <c r="BA458" s="447"/>
      <c r="BB458" s="447"/>
      <c r="BC458" s="447"/>
      <c r="BD458" s="447"/>
      <c r="BE458" s="447"/>
      <c r="BF458" s="447"/>
      <c r="BG458" s="447"/>
      <c r="BH458" s="447"/>
      <c r="BI458" s="447"/>
      <c r="BJ458" s="447"/>
      <c r="BK458" s="447"/>
      <c r="BL458" s="447"/>
      <c r="BM458" s="448"/>
      <c r="BN458" s="448"/>
    </row>
    <row r="459" spans="1:66" ht="11.25" customHeight="1">
      <c r="A459" s="450"/>
      <c r="B459" s="447"/>
      <c r="C459" s="447"/>
      <c r="D459" s="447"/>
      <c r="E459" s="447"/>
      <c r="F459" s="447"/>
      <c r="G459" s="447"/>
      <c r="H459" s="447"/>
      <c r="I459" s="447"/>
      <c r="J459" s="447"/>
      <c r="K459" s="447"/>
      <c r="L459" s="447"/>
      <c r="M459" s="447"/>
      <c r="N459" s="447"/>
      <c r="O459" s="447"/>
      <c r="P459" s="447"/>
      <c r="Q459" s="447"/>
      <c r="R459" s="447"/>
      <c r="S459" s="447"/>
      <c r="T459" s="447"/>
      <c r="U459" s="447"/>
      <c r="V459" s="447"/>
      <c r="W459" s="447"/>
      <c r="X459" s="447"/>
      <c r="Y459" s="447"/>
      <c r="Z459" s="447"/>
      <c r="AA459" s="447"/>
      <c r="AB459" s="447"/>
      <c r="AC459" s="447"/>
      <c r="AD459" s="447"/>
      <c r="AE459" s="447"/>
      <c r="AF459" s="448"/>
      <c r="AG459" s="448"/>
      <c r="AH459" s="449"/>
      <c r="AI459" s="447"/>
      <c r="AJ459" s="447"/>
      <c r="AK459" s="447"/>
      <c r="AL459" s="447"/>
      <c r="AM459" s="447"/>
      <c r="AN459" s="447"/>
      <c r="AO459" s="447"/>
      <c r="AP459" s="447"/>
      <c r="AQ459" s="447"/>
      <c r="AR459" s="447"/>
      <c r="AS459" s="447"/>
      <c r="AT459" s="447"/>
      <c r="AU459" s="447"/>
      <c r="AV459" s="447"/>
      <c r="AW459" s="447"/>
      <c r="AX459" s="447"/>
      <c r="AY459" s="447"/>
      <c r="AZ459" s="447"/>
      <c r="BA459" s="447"/>
      <c r="BB459" s="447"/>
      <c r="BC459" s="447"/>
      <c r="BD459" s="447"/>
      <c r="BE459" s="447"/>
      <c r="BF459" s="447"/>
      <c r="BG459" s="447"/>
      <c r="BH459" s="447"/>
      <c r="BI459" s="447"/>
      <c r="BJ459" s="447"/>
      <c r="BK459" s="447"/>
      <c r="BL459" s="447"/>
      <c r="BM459" s="448"/>
      <c r="BN459" s="448"/>
    </row>
    <row r="460" spans="1:66" ht="11.25" customHeight="1">
      <c r="A460" s="450"/>
      <c r="B460" s="447"/>
      <c r="C460" s="447"/>
      <c r="D460" s="447"/>
      <c r="E460" s="447"/>
      <c r="F460" s="447"/>
      <c r="G460" s="447"/>
      <c r="H460" s="447"/>
      <c r="I460" s="447"/>
      <c r="J460" s="447"/>
      <c r="K460" s="447"/>
      <c r="L460" s="447"/>
      <c r="M460" s="447"/>
      <c r="N460" s="447"/>
      <c r="O460" s="447"/>
      <c r="P460" s="447"/>
      <c r="Q460" s="447"/>
      <c r="R460" s="447"/>
      <c r="S460" s="447"/>
      <c r="T460" s="447"/>
      <c r="U460" s="447"/>
      <c r="V460" s="447"/>
      <c r="W460" s="447"/>
      <c r="X460" s="447"/>
      <c r="Y460" s="447"/>
      <c r="Z460" s="447"/>
      <c r="AA460" s="447"/>
      <c r="AB460" s="447"/>
      <c r="AC460" s="447"/>
      <c r="AD460" s="447"/>
      <c r="AE460" s="447"/>
      <c r="AF460" s="448"/>
      <c r="AG460" s="448"/>
      <c r="AH460" s="449"/>
      <c r="AI460" s="447"/>
      <c r="AJ460" s="447"/>
      <c r="AK460" s="447"/>
      <c r="AL460" s="447"/>
      <c r="AM460" s="447"/>
      <c r="AN460" s="447"/>
      <c r="AO460" s="447"/>
      <c r="AP460" s="447"/>
      <c r="AQ460" s="447"/>
      <c r="AR460" s="447"/>
      <c r="AS460" s="447"/>
      <c r="AT460" s="447"/>
      <c r="AU460" s="447"/>
      <c r="AV460" s="447"/>
      <c r="AW460" s="447"/>
      <c r="AX460" s="447"/>
      <c r="AY460" s="447"/>
      <c r="AZ460" s="447"/>
      <c r="BA460" s="447"/>
      <c r="BB460" s="447"/>
      <c r="BC460" s="447"/>
      <c r="BD460" s="447"/>
      <c r="BE460" s="447"/>
      <c r="BF460" s="447"/>
      <c r="BG460" s="447"/>
      <c r="BH460" s="447"/>
      <c r="BI460" s="447"/>
      <c r="BJ460" s="447"/>
      <c r="BK460" s="447"/>
      <c r="BL460" s="447"/>
      <c r="BM460" s="448"/>
      <c r="BN460" s="448"/>
    </row>
    <row r="461" spans="1:66" ht="11.25" customHeight="1">
      <c r="A461" s="450"/>
      <c r="B461" s="447"/>
      <c r="C461" s="447"/>
      <c r="D461" s="447"/>
      <c r="E461" s="447"/>
      <c r="F461" s="447"/>
      <c r="G461" s="447"/>
      <c r="H461" s="447"/>
      <c r="I461" s="447"/>
      <c r="J461" s="447"/>
      <c r="K461" s="447"/>
      <c r="L461" s="447"/>
      <c r="M461" s="447"/>
      <c r="N461" s="447"/>
      <c r="O461" s="447"/>
      <c r="P461" s="447"/>
      <c r="Q461" s="447"/>
      <c r="R461" s="447"/>
      <c r="S461" s="447"/>
      <c r="T461" s="447"/>
      <c r="U461" s="447"/>
      <c r="V461" s="447"/>
      <c r="W461" s="447"/>
      <c r="X461" s="447"/>
      <c r="Y461" s="447"/>
      <c r="Z461" s="447"/>
      <c r="AA461" s="447"/>
      <c r="AB461" s="447"/>
      <c r="AC461" s="447"/>
      <c r="AD461" s="447"/>
      <c r="AE461" s="447"/>
      <c r="AF461" s="448"/>
      <c r="AG461" s="448"/>
      <c r="AH461" s="449"/>
      <c r="AI461" s="447"/>
      <c r="AJ461" s="447"/>
      <c r="AK461" s="447"/>
      <c r="AL461" s="447"/>
      <c r="AM461" s="447"/>
      <c r="AN461" s="447"/>
      <c r="AO461" s="447"/>
      <c r="AP461" s="447"/>
      <c r="AQ461" s="447"/>
      <c r="AR461" s="447"/>
      <c r="AS461" s="447"/>
      <c r="AT461" s="447"/>
      <c r="AU461" s="447"/>
      <c r="AV461" s="447"/>
      <c r="AW461" s="447"/>
      <c r="AX461" s="447"/>
      <c r="AY461" s="447"/>
      <c r="AZ461" s="447"/>
      <c r="BA461" s="447"/>
      <c r="BB461" s="447"/>
      <c r="BC461" s="447"/>
      <c r="BD461" s="447"/>
      <c r="BE461" s="447"/>
      <c r="BF461" s="447"/>
      <c r="BG461" s="447"/>
      <c r="BH461" s="447"/>
      <c r="BI461" s="447"/>
      <c r="BJ461" s="447"/>
      <c r="BK461" s="447"/>
      <c r="BL461" s="447"/>
      <c r="BM461" s="448"/>
      <c r="BN461" s="448"/>
    </row>
    <row r="462" spans="1:66" ht="11.25" customHeight="1">
      <c r="A462" s="450"/>
      <c r="B462" s="447"/>
      <c r="C462" s="447"/>
      <c r="D462" s="447"/>
      <c r="E462" s="447"/>
      <c r="F462" s="447"/>
      <c r="G462" s="447"/>
      <c r="H462" s="447"/>
      <c r="I462" s="447"/>
      <c r="J462" s="447"/>
      <c r="K462" s="447"/>
      <c r="L462" s="447"/>
      <c r="M462" s="447"/>
      <c r="N462" s="447"/>
      <c r="O462" s="447"/>
      <c r="P462" s="447"/>
      <c r="Q462" s="447"/>
      <c r="R462" s="447"/>
      <c r="S462" s="447"/>
      <c r="T462" s="447"/>
      <c r="U462" s="447"/>
      <c r="V462" s="447"/>
      <c r="W462" s="447"/>
      <c r="X462" s="447"/>
      <c r="Y462" s="447"/>
      <c r="Z462" s="447"/>
      <c r="AA462" s="447"/>
      <c r="AB462" s="447"/>
      <c r="AC462" s="447"/>
      <c r="AD462" s="447"/>
      <c r="AE462" s="447"/>
      <c r="AF462" s="448"/>
      <c r="AG462" s="448"/>
      <c r="AH462" s="449"/>
      <c r="AI462" s="447"/>
      <c r="AJ462" s="447"/>
      <c r="AK462" s="447"/>
      <c r="AL462" s="447"/>
      <c r="AM462" s="447"/>
      <c r="AN462" s="447"/>
      <c r="AO462" s="447"/>
      <c r="AP462" s="447"/>
      <c r="AQ462" s="447"/>
      <c r="AR462" s="447"/>
      <c r="AS462" s="447"/>
      <c r="AT462" s="447"/>
      <c r="AU462" s="447"/>
      <c r="AV462" s="447"/>
      <c r="AW462" s="447"/>
      <c r="AX462" s="447"/>
      <c r="AY462" s="447"/>
      <c r="AZ462" s="447"/>
      <c r="BA462" s="447"/>
      <c r="BB462" s="447"/>
      <c r="BC462" s="447"/>
      <c r="BD462" s="447"/>
      <c r="BE462" s="447"/>
      <c r="BF462" s="447"/>
      <c r="BG462" s="447"/>
      <c r="BH462" s="447"/>
      <c r="BI462" s="447"/>
      <c r="BJ462" s="447"/>
      <c r="BK462" s="447"/>
      <c r="BL462" s="447"/>
      <c r="BM462" s="448"/>
      <c r="BN462" s="448"/>
    </row>
    <row r="463" spans="1:66" ht="11.25" customHeight="1">
      <c r="A463" s="450"/>
      <c r="B463" s="447"/>
      <c r="C463" s="447"/>
      <c r="D463" s="447"/>
      <c r="E463" s="447"/>
      <c r="F463" s="447"/>
      <c r="G463" s="447"/>
      <c r="H463" s="447"/>
      <c r="I463" s="447"/>
      <c r="J463" s="447"/>
      <c r="K463" s="447"/>
      <c r="L463" s="447"/>
      <c r="M463" s="447"/>
      <c r="N463" s="447"/>
      <c r="O463" s="447"/>
      <c r="P463" s="447"/>
      <c r="Q463" s="447"/>
      <c r="R463" s="447"/>
      <c r="S463" s="447"/>
      <c r="T463" s="447"/>
      <c r="U463" s="447"/>
      <c r="V463" s="447"/>
      <c r="W463" s="447"/>
      <c r="X463" s="447"/>
      <c r="Y463" s="447"/>
      <c r="Z463" s="447"/>
      <c r="AA463" s="447"/>
      <c r="AB463" s="447"/>
      <c r="AC463" s="447"/>
      <c r="AD463" s="447"/>
      <c r="AE463" s="447"/>
      <c r="AF463" s="448"/>
      <c r="AG463" s="448"/>
      <c r="AH463" s="449"/>
      <c r="AI463" s="447"/>
      <c r="AJ463" s="447"/>
      <c r="AK463" s="447"/>
      <c r="AL463" s="447"/>
      <c r="AM463" s="447"/>
      <c r="AN463" s="447"/>
      <c r="AO463" s="447"/>
      <c r="AP463" s="447"/>
      <c r="AQ463" s="447"/>
      <c r="AR463" s="447"/>
      <c r="AS463" s="447"/>
      <c r="AT463" s="447"/>
      <c r="AU463" s="447"/>
      <c r="AV463" s="447"/>
      <c r="AW463" s="447"/>
      <c r="AX463" s="447"/>
      <c r="AY463" s="447"/>
      <c r="AZ463" s="447"/>
      <c r="BA463" s="447"/>
      <c r="BB463" s="447"/>
      <c r="BC463" s="447"/>
      <c r="BD463" s="447"/>
      <c r="BE463" s="447"/>
      <c r="BF463" s="447"/>
      <c r="BG463" s="447"/>
      <c r="BH463" s="447"/>
      <c r="BI463" s="447"/>
      <c r="BJ463" s="447"/>
      <c r="BK463" s="447"/>
      <c r="BL463" s="447"/>
      <c r="BM463" s="448"/>
      <c r="BN463" s="448"/>
    </row>
    <row r="464" spans="1:66" ht="11.25" customHeight="1">
      <c r="A464" s="450"/>
      <c r="B464" s="447"/>
      <c r="C464" s="447"/>
      <c r="D464" s="447"/>
      <c r="E464" s="447"/>
      <c r="F464" s="447"/>
      <c r="G464" s="447"/>
      <c r="H464" s="447"/>
      <c r="I464" s="447"/>
      <c r="J464" s="447"/>
      <c r="K464" s="447"/>
      <c r="L464" s="447"/>
      <c r="M464" s="447"/>
      <c r="N464" s="447"/>
      <c r="O464" s="447"/>
      <c r="P464" s="447"/>
      <c r="Q464" s="447"/>
      <c r="R464" s="447"/>
      <c r="S464" s="447"/>
      <c r="T464" s="447"/>
      <c r="U464" s="447"/>
      <c r="V464" s="447"/>
      <c r="W464" s="447"/>
      <c r="X464" s="447"/>
      <c r="Y464" s="447"/>
      <c r="Z464" s="447"/>
      <c r="AA464" s="447"/>
      <c r="AB464" s="447"/>
      <c r="AC464" s="447"/>
      <c r="AD464" s="447"/>
      <c r="AE464" s="447"/>
      <c r="AF464" s="448"/>
      <c r="AG464" s="448"/>
      <c r="AH464" s="449"/>
      <c r="AI464" s="447"/>
      <c r="AJ464" s="447"/>
      <c r="AK464" s="447"/>
      <c r="AL464" s="447"/>
      <c r="AM464" s="447"/>
      <c r="AN464" s="447"/>
      <c r="AO464" s="447"/>
      <c r="AP464" s="447"/>
      <c r="AQ464" s="447"/>
      <c r="AR464" s="447"/>
      <c r="AS464" s="447"/>
      <c r="AT464" s="447"/>
      <c r="AU464" s="447"/>
      <c r="AV464" s="447"/>
      <c r="AW464" s="447"/>
      <c r="AX464" s="447"/>
      <c r="AY464" s="447"/>
      <c r="AZ464" s="447"/>
      <c r="BA464" s="447"/>
      <c r="BB464" s="447"/>
      <c r="BC464" s="447"/>
      <c r="BD464" s="447"/>
      <c r="BE464" s="447"/>
      <c r="BF464" s="447"/>
      <c r="BG464" s="447"/>
      <c r="BH464" s="447"/>
      <c r="BI464" s="447"/>
      <c r="BJ464" s="447"/>
      <c r="BK464" s="447"/>
      <c r="BL464" s="447"/>
      <c r="BM464" s="448"/>
      <c r="BN464" s="448"/>
    </row>
    <row r="465" spans="1:66" ht="11.25" customHeight="1">
      <c r="A465" s="450"/>
      <c r="B465" s="447"/>
      <c r="C465" s="447"/>
      <c r="D465" s="447"/>
      <c r="E465" s="447"/>
      <c r="F465" s="447"/>
      <c r="G465" s="447"/>
      <c r="H465" s="447"/>
      <c r="I465" s="447"/>
      <c r="J465" s="447"/>
      <c r="K465" s="447"/>
      <c r="L465" s="447"/>
      <c r="M465" s="447"/>
      <c r="N465" s="447"/>
      <c r="O465" s="447"/>
      <c r="P465" s="447"/>
      <c r="Q465" s="447"/>
      <c r="R465" s="447"/>
      <c r="S465" s="447"/>
      <c r="T465" s="447"/>
      <c r="U465" s="447"/>
      <c r="V465" s="447"/>
      <c r="W465" s="447"/>
      <c r="X465" s="447"/>
      <c r="Y465" s="447"/>
      <c r="Z465" s="447"/>
      <c r="AA465" s="447"/>
      <c r="AB465" s="447"/>
      <c r="AC465" s="447"/>
      <c r="AD465" s="447"/>
      <c r="AE465" s="447"/>
      <c r="AF465" s="448"/>
      <c r="AG465" s="448"/>
      <c r="AH465" s="449"/>
      <c r="AI465" s="447"/>
      <c r="AJ465" s="447"/>
      <c r="AK465" s="447"/>
      <c r="AL465" s="447"/>
      <c r="AM465" s="447"/>
      <c r="AN465" s="447"/>
      <c r="AO465" s="447"/>
      <c r="AP465" s="447"/>
      <c r="AQ465" s="447"/>
      <c r="AR465" s="447"/>
      <c r="AS465" s="447"/>
      <c r="AT465" s="447"/>
      <c r="AU465" s="447"/>
      <c r="AV465" s="447"/>
      <c r="AW465" s="447"/>
      <c r="AX465" s="447"/>
      <c r="AY465" s="447"/>
      <c r="AZ465" s="447"/>
      <c r="BA465" s="447"/>
      <c r="BB465" s="447"/>
      <c r="BC465" s="447"/>
      <c r="BD465" s="447"/>
      <c r="BE465" s="447"/>
      <c r="BF465" s="447"/>
      <c r="BG465" s="447"/>
      <c r="BH465" s="447"/>
      <c r="BI465" s="447"/>
      <c r="BJ465" s="447"/>
      <c r="BK465" s="447"/>
      <c r="BL465" s="447"/>
      <c r="BM465" s="448"/>
      <c r="BN465" s="448"/>
    </row>
    <row r="466" spans="1:66" ht="11.25" customHeight="1">
      <c r="A466" s="450"/>
      <c r="B466" s="447"/>
      <c r="C466" s="447"/>
      <c r="D466" s="447"/>
      <c r="E466" s="447"/>
      <c r="F466" s="447"/>
      <c r="G466" s="447"/>
      <c r="H466" s="447"/>
      <c r="I466" s="447"/>
      <c r="J466" s="447"/>
      <c r="K466" s="447"/>
      <c r="L466" s="447"/>
      <c r="M466" s="447"/>
      <c r="N466" s="447"/>
      <c r="O466" s="447"/>
      <c r="P466" s="447"/>
      <c r="Q466" s="447"/>
      <c r="R466" s="447"/>
      <c r="S466" s="447"/>
      <c r="T466" s="447"/>
      <c r="U466" s="447"/>
      <c r="V466" s="447"/>
      <c r="W466" s="447"/>
      <c r="X466" s="447"/>
      <c r="Y466" s="447"/>
      <c r="Z466" s="447"/>
      <c r="AA466" s="447"/>
      <c r="AB466" s="447"/>
      <c r="AC466" s="447"/>
      <c r="AD466" s="447"/>
      <c r="AE466" s="447"/>
      <c r="AF466" s="448"/>
      <c r="AG466" s="448"/>
      <c r="AH466" s="449"/>
      <c r="AI466" s="447"/>
      <c r="AJ466" s="447"/>
      <c r="AK466" s="447"/>
      <c r="AL466" s="447"/>
      <c r="AM466" s="447"/>
      <c r="AN466" s="447"/>
      <c r="AO466" s="447"/>
      <c r="AP466" s="447"/>
      <c r="AQ466" s="447"/>
      <c r="AR466" s="447"/>
      <c r="AS466" s="447"/>
      <c r="AT466" s="447"/>
      <c r="AU466" s="447"/>
      <c r="AV466" s="447"/>
      <c r="AW466" s="447"/>
      <c r="AX466" s="447"/>
      <c r="AY466" s="447"/>
      <c r="AZ466" s="447"/>
      <c r="BA466" s="447"/>
      <c r="BB466" s="447"/>
      <c r="BC466" s="447"/>
      <c r="BD466" s="447"/>
      <c r="BE466" s="447"/>
      <c r="BF466" s="447"/>
      <c r="BG466" s="447"/>
      <c r="BH466" s="447"/>
      <c r="BI466" s="447"/>
      <c r="BJ466" s="447"/>
      <c r="BK466" s="447"/>
      <c r="BL466" s="447"/>
      <c r="BM466" s="448"/>
      <c r="BN466" s="448"/>
    </row>
    <row r="467" spans="1:66" ht="11.25" customHeight="1">
      <c r="A467" s="450"/>
      <c r="B467" s="447"/>
      <c r="C467" s="447"/>
      <c r="D467" s="447"/>
      <c r="E467" s="447"/>
      <c r="F467" s="447"/>
      <c r="G467" s="447"/>
      <c r="H467" s="447"/>
      <c r="I467" s="447"/>
      <c r="J467" s="447"/>
      <c r="K467" s="447"/>
      <c r="L467" s="447"/>
      <c r="M467" s="447"/>
      <c r="N467" s="447"/>
      <c r="O467" s="447"/>
      <c r="P467" s="447"/>
      <c r="Q467" s="447"/>
      <c r="R467" s="447"/>
      <c r="S467" s="447"/>
      <c r="T467" s="447"/>
      <c r="U467" s="447"/>
      <c r="V467" s="447"/>
      <c r="W467" s="447"/>
      <c r="X467" s="447"/>
      <c r="Y467" s="447"/>
      <c r="Z467" s="447"/>
      <c r="AA467" s="447"/>
      <c r="AB467" s="447"/>
      <c r="AC467" s="447"/>
      <c r="AD467" s="447"/>
      <c r="AE467" s="447"/>
      <c r="AF467" s="448"/>
      <c r="AG467" s="448"/>
      <c r="AH467" s="449"/>
      <c r="AI467" s="447"/>
      <c r="AJ467" s="447"/>
      <c r="AK467" s="447"/>
      <c r="AL467" s="447"/>
      <c r="AM467" s="447"/>
      <c r="AN467" s="447"/>
      <c r="AO467" s="447"/>
      <c r="AP467" s="447"/>
      <c r="AQ467" s="447"/>
      <c r="AR467" s="447"/>
      <c r="AS467" s="447"/>
      <c r="AT467" s="447"/>
      <c r="AU467" s="447"/>
      <c r="AV467" s="447"/>
      <c r="AW467" s="447"/>
      <c r="AX467" s="447"/>
      <c r="AY467" s="447"/>
      <c r="AZ467" s="447"/>
      <c r="BA467" s="447"/>
      <c r="BB467" s="447"/>
      <c r="BC467" s="447"/>
      <c r="BD467" s="447"/>
      <c r="BE467" s="447"/>
      <c r="BF467" s="447"/>
      <c r="BG467" s="447"/>
      <c r="BH467" s="447"/>
      <c r="BI467" s="447"/>
      <c r="BJ467" s="447"/>
      <c r="BK467" s="447"/>
      <c r="BL467" s="447"/>
      <c r="BM467" s="448"/>
      <c r="BN467" s="448"/>
    </row>
    <row r="468" spans="1:66" ht="11.25" customHeight="1">
      <c r="A468" s="450"/>
      <c r="B468" s="447"/>
      <c r="C468" s="447"/>
      <c r="D468" s="447"/>
      <c r="E468" s="447"/>
      <c r="F468" s="447"/>
      <c r="G468" s="447"/>
      <c r="H468" s="447"/>
      <c r="I468" s="447"/>
      <c r="J468" s="447"/>
      <c r="K468" s="447"/>
      <c r="L468" s="447"/>
      <c r="M468" s="447"/>
      <c r="N468" s="447"/>
      <c r="O468" s="447"/>
      <c r="P468" s="447"/>
      <c r="Q468" s="447"/>
      <c r="R468" s="447"/>
      <c r="S468" s="447"/>
      <c r="T468" s="447"/>
      <c r="U468" s="447"/>
      <c r="V468" s="447"/>
      <c r="W468" s="447"/>
      <c r="X468" s="447"/>
      <c r="Y468" s="447"/>
      <c r="Z468" s="447"/>
      <c r="AA468" s="447"/>
      <c r="AB468" s="447"/>
      <c r="AC468" s="447"/>
      <c r="AD468" s="447"/>
      <c r="AE468" s="447"/>
      <c r="AF468" s="448"/>
      <c r="AG468" s="448"/>
      <c r="AH468" s="449"/>
      <c r="AI468" s="447"/>
      <c r="AJ468" s="447"/>
      <c r="AK468" s="447"/>
      <c r="AL468" s="447"/>
      <c r="AM468" s="447"/>
      <c r="AN468" s="447"/>
      <c r="AO468" s="447"/>
      <c r="AP468" s="447"/>
      <c r="AQ468" s="447"/>
      <c r="AR468" s="447"/>
      <c r="AS468" s="447"/>
      <c r="AT468" s="447"/>
      <c r="AU468" s="447"/>
      <c r="AV468" s="447"/>
      <c r="AW468" s="447"/>
      <c r="AX468" s="447"/>
      <c r="AY468" s="447"/>
      <c r="AZ468" s="447"/>
      <c r="BA468" s="447"/>
      <c r="BB468" s="447"/>
      <c r="BC468" s="447"/>
      <c r="BD468" s="447"/>
      <c r="BE468" s="447"/>
      <c r="BF468" s="447"/>
      <c r="BG468" s="447"/>
      <c r="BH468" s="447"/>
      <c r="BI468" s="447"/>
      <c r="BJ468" s="447"/>
      <c r="BK468" s="447"/>
      <c r="BL468" s="447"/>
      <c r="BM468" s="448"/>
      <c r="BN468" s="448"/>
    </row>
    <row r="469" spans="1:66" ht="11.25" customHeight="1">
      <c r="A469" s="450"/>
      <c r="B469" s="447"/>
      <c r="C469" s="447"/>
      <c r="D469" s="447"/>
      <c r="E469" s="447"/>
      <c r="F469" s="447"/>
      <c r="G469" s="447"/>
      <c r="H469" s="447"/>
      <c r="I469" s="447"/>
      <c r="J469" s="447"/>
      <c r="K469" s="447"/>
      <c r="L469" s="447"/>
      <c r="M469" s="447"/>
      <c r="N469" s="447"/>
      <c r="O469" s="447"/>
      <c r="P469" s="447"/>
      <c r="Q469" s="447"/>
      <c r="R469" s="447"/>
      <c r="S469" s="447"/>
      <c r="T469" s="447"/>
      <c r="U469" s="447"/>
      <c r="V469" s="447"/>
      <c r="W469" s="447"/>
      <c r="X469" s="447"/>
      <c r="Y469" s="447"/>
      <c r="Z469" s="447"/>
      <c r="AA469" s="447"/>
      <c r="AB469" s="447"/>
      <c r="AC469" s="447"/>
      <c r="AD469" s="447"/>
      <c r="AE469" s="447"/>
      <c r="AF469" s="448"/>
      <c r="AG469" s="448"/>
      <c r="AH469" s="449"/>
      <c r="AI469" s="447"/>
      <c r="AJ469" s="447"/>
      <c r="AK469" s="447"/>
      <c r="AL469" s="447"/>
      <c r="AM469" s="447"/>
      <c r="AN469" s="447"/>
      <c r="AO469" s="447"/>
      <c r="AP469" s="447"/>
      <c r="AQ469" s="447"/>
      <c r="AR469" s="447"/>
      <c r="AS469" s="447"/>
      <c r="AT469" s="447"/>
      <c r="AU469" s="447"/>
      <c r="AV469" s="447"/>
      <c r="AW469" s="447"/>
      <c r="AX469" s="447"/>
      <c r="AY469" s="447"/>
      <c r="AZ469" s="447"/>
      <c r="BA469" s="447"/>
      <c r="BB469" s="447"/>
      <c r="BC469" s="447"/>
      <c r="BD469" s="447"/>
      <c r="BE469" s="447"/>
      <c r="BF469" s="447"/>
      <c r="BG469" s="447"/>
      <c r="BH469" s="447"/>
      <c r="BI469" s="447"/>
      <c r="BJ469" s="447"/>
      <c r="BK469" s="447"/>
      <c r="BL469" s="447"/>
      <c r="BM469" s="448"/>
      <c r="BN469" s="448"/>
    </row>
    <row r="470" spans="1:66" ht="11.25" customHeight="1">
      <c r="A470" s="450"/>
      <c r="B470" s="447"/>
      <c r="C470" s="447"/>
      <c r="D470" s="447"/>
      <c r="E470" s="447"/>
      <c r="F470" s="447"/>
      <c r="G470" s="447"/>
      <c r="H470" s="447"/>
      <c r="I470" s="447"/>
      <c r="J470" s="447"/>
      <c r="K470" s="447"/>
      <c r="L470" s="447"/>
      <c r="M470" s="447"/>
      <c r="N470" s="447"/>
      <c r="O470" s="447"/>
      <c r="P470" s="447"/>
      <c r="Q470" s="447"/>
      <c r="R470" s="447"/>
      <c r="S470" s="447"/>
      <c r="T470" s="447"/>
      <c r="U470" s="447"/>
      <c r="V470" s="447"/>
      <c r="W470" s="447"/>
      <c r="X470" s="447"/>
      <c r="Y470" s="447"/>
      <c r="Z470" s="447"/>
      <c r="AA470" s="447"/>
      <c r="AB470" s="447"/>
      <c r="AC470" s="447"/>
      <c r="AD470" s="447"/>
      <c r="AE470" s="447"/>
      <c r="AF470" s="448"/>
      <c r="AG470" s="448"/>
      <c r="AH470" s="449"/>
      <c r="AI470" s="447"/>
      <c r="AJ470" s="447"/>
      <c r="AK470" s="447"/>
      <c r="AL470" s="447"/>
      <c r="AM470" s="447"/>
      <c r="AN470" s="447"/>
      <c r="AO470" s="447"/>
      <c r="AP470" s="447"/>
      <c r="AQ470" s="447"/>
      <c r="AR470" s="447"/>
      <c r="AS470" s="447"/>
      <c r="AT470" s="447"/>
      <c r="AU470" s="447"/>
      <c r="AV470" s="447"/>
      <c r="AW470" s="447"/>
      <c r="AX470" s="447"/>
      <c r="AY470" s="447"/>
      <c r="AZ470" s="447"/>
      <c r="BA470" s="447"/>
      <c r="BB470" s="447"/>
      <c r="BC470" s="447"/>
      <c r="BD470" s="447"/>
      <c r="BE470" s="447"/>
      <c r="BF470" s="447"/>
      <c r="BG470" s="447"/>
      <c r="BH470" s="447"/>
      <c r="BI470" s="447"/>
      <c r="BJ470" s="447"/>
      <c r="BK470" s="447"/>
      <c r="BL470" s="447"/>
      <c r="BM470" s="448"/>
      <c r="BN470" s="448"/>
    </row>
    <row r="471" spans="1:66" ht="11.25" customHeight="1">
      <c r="A471" s="450"/>
      <c r="B471" s="447"/>
      <c r="C471" s="447"/>
      <c r="D471" s="447"/>
      <c r="E471" s="447"/>
      <c r="F471" s="447"/>
      <c r="G471" s="447"/>
      <c r="H471" s="447"/>
      <c r="I471" s="447"/>
      <c r="J471" s="447"/>
      <c r="K471" s="447"/>
      <c r="L471" s="447"/>
      <c r="M471" s="447"/>
      <c r="N471" s="447"/>
      <c r="O471" s="447"/>
      <c r="P471" s="447"/>
      <c r="Q471" s="447"/>
      <c r="R471" s="447"/>
      <c r="S471" s="447"/>
      <c r="T471" s="447"/>
      <c r="U471" s="447"/>
      <c r="V471" s="447"/>
      <c r="W471" s="447"/>
      <c r="X471" s="447"/>
      <c r="Y471" s="447"/>
      <c r="Z471" s="447"/>
      <c r="AA471" s="447"/>
      <c r="AB471" s="447"/>
      <c r="AC471" s="447"/>
      <c r="AD471" s="447"/>
      <c r="AE471" s="447"/>
      <c r="AF471" s="448"/>
      <c r="AG471" s="448"/>
      <c r="AH471" s="449"/>
      <c r="AI471" s="447"/>
      <c r="AJ471" s="447"/>
      <c r="AK471" s="447"/>
      <c r="AL471" s="447"/>
      <c r="AM471" s="447"/>
      <c r="AN471" s="447"/>
      <c r="AO471" s="447"/>
      <c r="AP471" s="447"/>
      <c r="AQ471" s="447"/>
      <c r="AR471" s="447"/>
      <c r="AS471" s="447"/>
      <c r="AT471" s="447"/>
      <c r="AU471" s="447"/>
      <c r="AV471" s="447"/>
      <c r="AW471" s="447"/>
      <c r="AX471" s="447"/>
      <c r="AY471" s="447"/>
      <c r="AZ471" s="447"/>
      <c r="BA471" s="447"/>
      <c r="BB471" s="447"/>
      <c r="BC471" s="447"/>
      <c r="BD471" s="447"/>
      <c r="BE471" s="447"/>
      <c r="BF471" s="447"/>
      <c r="BG471" s="447"/>
      <c r="BH471" s="447"/>
      <c r="BI471" s="447"/>
      <c r="BJ471" s="447"/>
      <c r="BK471" s="447"/>
      <c r="BL471" s="447"/>
      <c r="BM471" s="448"/>
      <c r="BN471" s="448"/>
    </row>
    <row r="472" spans="1:66" ht="11.25" customHeight="1">
      <c r="A472" s="450"/>
      <c r="B472" s="447"/>
      <c r="C472" s="447"/>
      <c r="D472" s="447"/>
      <c r="E472" s="447"/>
      <c r="F472" s="447"/>
      <c r="G472" s="447"/>
      <c r="H472" s="447"/>
      <c r="I472" s="447"/>
      <c r="J472" s="447"/>
      <c r="K472" s="447"/>
      <c r="L472" s="447"/>
      <c r="M472" s="447"/>
      <c r="N472" s="447"/>
      <c r="O472" s="447"/>
      <c r="P472" s="447"/>
      <c r="Q472" s="447"/>
      <c r="R472" s="447"/>
      <c r="S472" s="447"/>
      <c r="T472" s="447"/>
      <c r="U472" s="447"/>
      <c r="V472" s="447"/>
      <c r="W472" s="447"/>
      <c r="X472" s="447"/>
      <c r="Y472" s="447"/>
      <c r="Z472" s="447"/>
      <c r="AA472" s="447"/>
      <c r="AB472" s="447"/>
      <c r="AC472" s="447"/>
      <c r="AD472" s="447"/>
      <c r="AE472" s="447"/>
      <c r="AF472" s="448"/>
      <c r="AG472" s="448"/>
      <c r="AH472" s="449"/>
      <c r="AI472" s="447"/>
      <c r="AJ472" s="447"/>
      <c r="AK472" s="447"/>
      <c r="AL472" s="447"/>
      <c r="AM472" s="447"/>
      <c r="AN472" s="447"/>
      <c r="AO472" s="447"/>
      <c r="AP472" s="447"/>
      <c r="AQ472" s="447"/>
      <c r="AR472" s="447"/>
      <c r="AS472" s="447"/>
      <c r="AT472" s="447"/>
      <c r="AU472" s="447"/>
      <c r="AV472" s="447"/>
      <c r="AW472" s="447"/>
      <c r="AX472" s="447"/>
      <c r="AY472" s="447"/>
      <c r="AZ472" s="447"/>
      <c r="BA472" s="447"/>
      <c r="BB472" s="447"/>
      <c r="BC472" s="447"/>
      <c r="BD472" s="447"/>
      <c r="BE472" s="447"/>
      <c r="BF472" s="447"/>
      <c r="BG472" s="447"/>
      <c r="BH472" s="447"/>
      <c r="BI472" s="447"/>
      <c r="BJ472" s="447"/>
      <c r="BK472" s="447"/>
      <c r="BL472" s="447"/>
      <c r="BM472" s="448"/>
      <c r="BN472" s="448"/>
    </row>
    <row r="473" spans="1:66" ht="11.25" customHeight="1">
      <c r="A473" s="450"/>
      <c r="B473" s="447"/>
      <c r="C473" s="447"/>
      <c r="D473" s="447"/>
      <c r="E473" s="447"/>
      <c r="F473" s="447"/>
      <c r="G473" s="447"/>
      <c r="H473" s="447"/>
      <c r="I473" s="447"/>
      <c r="J473" s="447"/>
      <c r="K473" s="447"/>
      <c r="L473" s="447"/>
      <c r="M473" s="447"/>
      <c r="N473" s="447"/>
      <c r="O473" s="447"/>
      <c r="P473" s="447"/>
      <c r="Q473" s="447"/>
      <c r="R473" s="447"/>
      <c r="S473" s="447"/>
      <c r="T473" s="447"/>
      <c r="U473" s="447"/>
      <c r="V473" s="447"/>
      <c r="W473" s="447"/>
      <c r="X473" s="447"/>
      <c r="Y473" s="447"/>
      <c r="Z473" s="447"/>
      <c r="AA473" s="447"/>
      <c r="AB473" s="447"/>
      <c r="AC473" s="447"/>
      <c r="AD473" s="447"/>
      <c r="AE473" s="447"/>
      <c r="AF473" s="448"/>
      <c r="AG473" s="448"/>
      <c r="AH473" s="449"/>
      <c r="AI473" s="447"/>
      <c r="AJ473" s="447"/>
      <c r="AK473" s="447"/>
      <c r="AL473" s="447"/>
      <c r="AM473" s="447"/>
      <c r="AN473" s="447"/>
      <c r="AO473" s="447"/>
      <c r="AP473" s="447"/>
      <c r="AQ473" s="447"/>
      <c r="AR473" s="447"/>
      <c r="AS473" s="447"/>
      <c r="AT473" s="447"/>
      <c r="AU473" s="447"/>
      <c r="AV473" s="447"/>
      <c r="AW473" s="447"/>
      <c r="AX473" s="447"/>
      <c r="AY473" s="447"/>
      <c r="AZ473" s="447"/>
      <c r="BA473" s="447"/>
      <c r="BB473" s="447"/>
      <c r="BC473" s="447"/>
      <c r="BD473" s="447"/>
      <c r="BE473" s="447"/>
      <c r="BF473" s="447"/>
      <c r="BG473" s="447"/>
      <c r="BH473" s="447"/>
      <c r="BI473" s="447"/>
      <c r="BJ473" s="447"/>
      <c r="BK473" s="447"/>
      <c r="BL473" s="447"/>
      <c r="BM473" s="448"/>
      <c r="BN473" s="448"/>
    </row>
    <row r="474" spans="1:66" ht="11.25" customHeight="1">
      <c r="A474" s="450"/>
      <c r="B474" s="447"/>
      <c r="C474" s="447"/>
      <c r="D474" s="447"/>
      <c r="E474" s="447"/>
      <c r="F474" s="447"/>
      <c r="G474" s="447"/>
      <c r="H474" s="447"/>
      <c r="I474" s="447"/>
      <c r="J474" s="447"/>
      <c r="K474" s="447"/>
      <c r="L474" s="447"/>
      <c r="M474" s="447"/>
      <c r="N474" s="447"/>
      <c r="O474" s="447"/>
      <c r="P474" s="447"/>
      <c r="Q474" s="447"/>
      <c r="R474" s="447"/>
      <c r="S474" s="447"/>
      <c r="T474" s="447"/>
      <c r="U474" s="447"/>
      <c r="V474" s="447"/>
      <c r="W474" s="447"/>
      <c r="X474" s="447"/>
      <c r="Y474" s="447"/>
      <c r="Z474" s="447"/>
      <c r="AA474" s="447"/>
      <c r="AB474" s="447"/>
      <c r="AC474" s="447"/>
      <c r="AD474" s="447"/>
      <c r="AE474" s="447"/>
      <c r="AF474" s="448"/>
      <c r="AG474" s="448"/>
      <c r="AH474" s="449"/>
      <c r="AI474" s="447"/>
      <c r="AJ474" s="447"/>
      <c r="AK474" s="447"/>
      <c r="AL474" s="447"/>
      <c r="AM474" s="447"/>
      <c r="AN474" s="447"/>
      <c r="AO474" s="447"/>
      <c r="AP474" s="447"/>
      <c r="AQ474" s="447"/>
      <c r="AR474" s="447"/>
      <c r="AS474" s="447"/>
      <c r="AT474" s="447"/>
      <c r="AU474" s="447"/>
      <c r="AV474" s="447"/>
      <c r="AW474" s="447"/>
      <c r="AX474" s="447"/>
      <c r="AY474" s="447"/>
      <c r="AZ474" s="447"/>
      <c r="BA474" s="447"/>
      <c r="BB474" s="447"/>
      <c r="BC474" s="447"/>
      <c r="BD474" s="447"/>
      <c r="BE474" s="447"/>
      <c r="BF474" s="447"/>
      <c r="BG474" s="447"/>
      <c r="BH474" s="447"/>
      <c r="BI474" s="447"/>
      <c r="BJ474" s="447"/>
      <c r="BK474" s="447"/>
      <c r="BL474" s="447"/>
      <c r="BM474" s="448"/>
      <c r="BN474" s="448"/>
    </row>
    <row r="475" spans="1:66" ht="11.25" customHeight="1">
      <c r="A475" s="450"/>
      <c r="B475" s="447"/>
      <c r="C475" s="447"/>
      <c r="D475" s="447"/>
      <c r="E475" s="447"/>
      <c r="F475" s="447"/>
      <c r="G475" s="447"/>
      <c r="H475" s="447"/>
      <c r="I475" s="447"/>
      <c r="J475" s="447"/>
      <c r="K475" s="447"/>
      <c r="L475" s="447"/>
      <c r="M475" s="447"/>
      <c r="N475" s="447"/>
      <c r="O475" s="447"/>
      <c r="P475" s="447"/>
      <c r="Q475" s="447"/>
      <c r="R475" s="447"/>
      <c r="S475" s="447"/>
      <c r="T475" s="447"/>
      <c r="U475" s="447"/>
      <c r="V475" s="447"/>
      <c r="W475" s="447"/>
      <c r="X475" s="447"/>
      <c r="Y475" s="447"/>
      <c r="Z475" s="447"/>
      <c r="AA475" s="447"/>
      <c r="AB475" s="447"/>
      <c r="AC475" s="447"/>
      <c r="AD475" s="447"/>
      <c r="AE475" s="447"/>
      <c r="AF475" s="448"/>
      <c r="AG475" s="448"/>
      <c r="AH475" s="449"/>
      <c r="AI475" s="447"/>
      <c r="AJ475" s="447"/>
      <c r="AK475" s="447"/>
      <c r="AL475" s="447"/>
      <c r="AM475" s="447"/>
      <c r="AN475" s="447"/>
      <c r="AO475" s="447"/>
      <c r="AP475" s="447"/>
      <c r="AQ475" s="447"/>
      <c r="AR475" s="447"/>
      <c r="AS475" s="447"/>
      <c r="AT475" s="447"/>
      <c r="AU475" s="447"/>
      <c r="AV475" s="447"/>
      <c r="AW475" s="447"/>
      <c r="AX475" s="447"/>
      <c r="AY475" s="447"/>
      <c r="AZ475" s="447"/>
      <c r="BA475" s="447"/>
      <c r="BB475" s="447"/>
      <c r="BC475" s="447"/>
      <c r="BD475" s="447"/>
      <c r="BE475" s="447"/>
      <c r="BF475" s="447"/>
      <c r="BG475" s="447"/>
      <c r="BH475" s="447"/>
      <c r="BI475" s="447"/>
      <c r="BJ475" s="447"/>
      <c r="BK475" s="447"/>
      <c r="BL475" s="447"/>
      <c r="BM475" s="448"/>
      <c r="BN475" s="448"/>
    </row>
    <row r="476" spans="1:66" ht="11.25" customHeight="1">
      <c r="A476" s="450"/>
      <c r="B476" s="447"/>
      <c r="C476" s="447"/>
      <c r="D476" s="447"/>
      <c r="E476" s="447"/>
      <c r="F476" s="447"/>
      <c r="G476" s="447"/>
      <c r="H476" s="447"/>
      <c r="I476" s="447"/>
      <c r="J476" s="447"/>
      <c r="K476" s="447"/>
      <c r="L476" s="447"/>
      <c r="M476" s="447"/>
      <c r="N476" s="447"/>
      <c r="O476" s="447"/>
      <c r="P476" s="447"/>
      <c r="Q476" s="447"/>
      <c r="R476" s="447"/>
      <c r="S476" s="447"/>
      <c r="T476" s="447"/>
      <c r="U476" s="447"/>
      <c r="V476" s="447"/>
      <c r="W476" s="447"/>
      <c r="X476" s="447"/>
      <c r="Y476" s="447"/>
      <c r="Z476" s="447"/>
      <c r="AA476" s="447"/>
      <c r="AB476" s="447"/>
      <c r="AC476" s="447"/>
      <c r="AD476" s="447"/>
      <c r="AE476" s="447"/>
      <c r="AF476" s="448"/>
      <c r="AG476" s="448"/>
      <c r="AH476" s="449"/>
      <c r="AI476" s="447"/>
      <c r="AJ476" s="447"/>
      <c r="AK476" s="447"/>
      <c r="AL476" s="447"/>
      <c r="AM476" s="447"/>
      <c r="AN476" s="447"/>
      <c r="AO476" s="447"/>
      <c r="AP476" s="447"/>
      <c r="AQ476" s="447"/>
      <c r="AR476" s="447"/>
      <c r="AS476" s="447"/>
      <c r="AT476" s="447"/>
      <c r="AU476" s="447"/>
      <c r="AV476" s="447"/>
      <c r="AW476" s="447"/>
      <c r="AX476" s="447"/>
      <c r="AY476" s="447"/>
      <c r="AZ476" s="447"/>
      <c r="BA476" s="447"/>
      <c r="BB476" s="447"/>
      <c r="BC476" s="447"/>
      <c r="BD476" s="447"/>
      <c r="BE476" s="447"/>
      <c r="BF476" s="447"/>
      <c r="BG476" s="447"/>
      <c r="BH476" s="447"/>
      <c r="BI476" s="447"/>
      <c r="BJ476" s="447"/>
      <c r="BK476" s="447"/>
      <c r="BL476" s="447"/>
      <c r="BM476" s="448"/>
      <c r="BN476" s="448"/>
    </row>
    <row r="477" spans="1:66" ht="11.25" customHeight="1">
      <c r="A477" s="450"/>
      <c r="B477" s="447"/>
      <c r="C477" s="447"/>
      <c r="D477" s="447"/>
      <c r="E477" s="447"/>
      <c r="F477" s="447"/>
      <c r="G477" s="447"/>
      <c r="H477" s="447"/>
      <c r="I477" s="447"/>
      <c r="J477" s="447"/>
      <c r="K477" s="447"/>
      <c r="L477" s="447"/>
      <c r="M477" s="447"/>
      <c r="N477" s="447"/>
      <c r="O477" s="447"/>
      <c r="P477" s="447"/>
      <c r="Q477" s="447"/>
      <c r="R477" s="447"/>
      <c r="S477" s="447"/>
      <c r="T477" s="447"/>
      <c r="U477" s="447"/>
      <c r="V477" s="447"/>
      <c r="W477" s="447"/>
      <c r="X477" s="447"/>
      <c r="Y477" s="447"/>
      <c r="Z477" s="447"/>
      <c r="AA477" s="447"/>
      <c r="AB477" s="447"/>
      <c r="AC477" s="447"/>
      <c r="AD477" s="447"/>
      <c r="AE477" s="447"/>
      <c r="AF477" s="448"/>
      <c r="AG477" s="448"/>
      <c r="AH477" s="449"/>
      <c r="AI477" s="447"/>
      <c r="AJ477" s="447"/>
      <c r="AK477" s="447"/>
      <c r="AL477" s="447"/>
      <c r="AM477" s="447"/>
      <c r="AN477" s="447"/>
      <c r="AO477" s="447"/>
      <c r="AP477" s="447"/>
      <c r="AQ477" s="447"/>
      <c r="AR477" s="447"/>
      <c r="AS477" s="447"/>
      <c r="AT477" s="447"/>
      <c r="AU477" s="447"/>
      <c r="AV477" s="447"/>
      <c r="AW477" s="447"/>
      <c r="AX477" s="447"/>
      <c r="AY477" s="447"/>
      <c r="AZ477" s="447"/>
      <c r="BA477" s="447"/>
      <c r="BB477" s="447"/>
      <c r="BC477" s="447"/>
      <c r="BD477" s="447"/>
      <c r="BE477" s="447"/>
      <c r="BF477" s="447"/>
      <c r="BG477" s="447"/>
      <c r="BH477" s="447"/>
      <c r="BI477" s="447"/>
      <c r="BJ477" s="447"/>
      <c r="BK477" s="447"/>
      <c r="BL477" s="447"/>
      <c r="BM477" s="448"/>
      <c r="BN477" s="448"/>
    </row>
    <row r="478" spans="1:66" ht="11.25" customHeight="1">
      <c r="A478" s="450"/>
      <c r="B478" s="447"/>
      <c r="C478" s="447"/>
      <c r="D478" s="447"/>
      <c r="E478" s="447"/>
      <c r="F478" s="447"/>
      <c r="G478" s="447"/>
      <c r="H478" s="447"/>
      <c r="I478" s="447"/>
      <c r="J478" s="447"/>
      <c r="K478" s="447"/>
      <c r="L478" s="447"/>
      <c r="M478" s="447"/>
      <c r="N478" s="447"/>
      <c r="O478" s="447"/>
      <c r="P478" s="447"/>
      <c r="Q478" s="447"/>
      <c r="R478" s="447"/>
      <c r="S478" s="447"/>
      <c r="T478" s="447"/>
      <c r="U478" s="447"/>
      <c r="V478" s="447"/>
      <c r="W478" s="447"/>
      <c r="X478" s="447"/>
      <c r="Y478" s="447"/>
      <c r="Z478" s="447"/>
      <c r="AA478" s="447"/>
      <c r="AB478" s="447"/>
      <c r="AC478" s="447"/>
      <c r="AD478" s="447"/>
      <c r="AE478" s="447"/>
      <c r="AF478" s="448"/>
      <c r="AG478" s="448"/>
      <c r="AH478" s="449"/>
      <c r="AI478" s="447"/>
      <c r="AJ478" s="447"/>
      <c r="AK478" s="447"/>
      <c r="AL478" s="447"/>
      <c r="AM478" s="447"/>
      <c r="AN478" s="447"/>
      <c r="AO478" s="447"/>
      <c r="AP478" s="447"/>
      <c r="AQ478" s="447"/>
      <c r="AR478" s="447"/>
      <c r="AS478" s="447"/>
      <c r="AT478" s="447"/>
      <c r="AU478" s="447"/>
      <c r="AV478" s="447"/>
      <c r="AW478" s="447"/>
      <c r="AX478" s="447"/>
      <c r="AY478" s="447"/>
      <c r="AZ478" s="447"/>
      <c r="BA478" s="447"/>
      <c r="BB478" s="447"/>
      <c r="BC478" s="447"/>
      <c r="BD478" s="447"/>
      <c r="BE478" s="447"/>
      <c r="BF478" s="447"/>
      <c r="BG478" s="447"/>
      <c r="BH478" s="447"/>
      <c r="BI478" s="447"/>
      <c r="BJ478" s="447"/>
      <c r="BK478" s="447"/>
      <c r="BL478" s="447"/>
      <c r="BM478" s="448"/>
      <c r="BN478" s="448"/>
    </row>
    <row r="479" spans="1:66" ht="11.25" customHeight="1">
      <c r="A479" s="450"/>
      <c r="B479" s="447"/>
      <c r="C479" s="447"/>
      <c r="D479" s="447"/>
      <c r="E479" s="447"/>
      <c r="F479" s="447"/>
      <c r="G479" s="447"/>
      <c r="H479" s="447"/>
      <c r="I479" s="447"/>
      <c r="J479" s="447"/>
      <c r="K479" s="447"/>
      <c r="L479" s="447"/>
      <c r="M479" s="447"/>
      <c r="N479" s="447"/>
      <c r="O479" s="447"/>
      <c r="P479" s="447"/>
      <c r="Q479" s="447"/>
      <c r="R479" s="447"/>
      <c r="S479" s="447"/>
      <c r="T479" s="447"/>
      <c r="U479" s="447"/>
      <c r="V479" s="447"/>
      <c r="W479" s="447"/>
      <c r="X479" s="447"/>
      <c r="Y479" s="447"/>
      <c r="Z479" s="447"/>
      <c r="AA479" s="447"/>
      <c r="AB479" s="447"/>
      <c r="AC479" s="447"/>
      <c r="AD479" s="447"/>
      <c r="AE479" s="447"/>
      <c r="AF479" s="448"/>
      <c r="AG479" s="448"/>
      <c r="AH479" s="449"/>
      <c r="AI479" s="447"/>
      <c r="AJ479" s="447"/>
      <c r="AK479" s="447"/>
      <c r="AL479" s="447"/>
      <c r="AM479" s="447"/>
      <c r="AN479" s="447"/>
      <c r="AO479" s="447"/>
      <c r="AP479" s="447"/>
      <c r="AQ479" s="447"/>
      <c r="AR479" s="447"/>
      <c r="AS479" s="447"/>
      <c r="AT479" s="447"/>
      <c r="AU479" s="447"/>
      <c r="AV479" s="447"/>
      <c r="AW479" s="447"/>
      <c r="AX479" s="447"/>
      <c r="AY479" s="447"/>
      <c r="AZ479" s="447"/>
      <c r="BA479" s="447"/>
      <c r="BB479" s="447"/>
      <c r="BC479" s="447"/>
      <c r="BD479" s="447"/>
      <c r="BE479" s="447"/>
      <c r="BF479" s="447"/>
      <c r="BG479" s="447"/>
      <c r="BH479" s="447"/>
      <c r="BI479" s="447"/>
      <c r="BJ479" s="447"/>
      <c r="BK479" s="447"/>
      <c r="BL479" s="447"/>
      <c r="BM479" s="448"/>
      <c r="BN479" s="448"/>
    </row>
    <row r="480" spans="1:66" ht="11.25" customHeight="1">
      <c r="A480" s="450"/>
      <c r="B480" s="447"/>
      <c r="C480" s="447"/>
      <c r="D480" s="447"/>
      <c r="E480" s="447"/>
      <c r="F480" s="447"/>
      <c r="G480" s="447"/>
      <c r="H480" s="447"/>
      <c r="I480" s="447"/>
      <c r="J480" s="447"/>
      <c r="K480" s="447"/>
      <c r="L480" s="447"/>
      <c r="M480" s="447"/>
      <c r="N480" s="447"/>
      <c r="O480" s="447"/>
      <c r="P480" s="447"/>
      <c r="Q480" s="447"/>
      <c r="R480" s="447"/>
      <c r="S480" s="447"/>
      <c r="T480" s="447"/>
      <c r="U480" s="447"/>
      <c r="V480" s="447"/>
      <c r="W480" s="447"/>
      <c r="X480" s="447"/>
      <c r="Y480" s="447"/>
      <c r="Z480" s="447"/>
      <c r="AA480" s="447"/>
      <c r="AB480" s="447"/>
      <c r="AC480" s="447"/>
      <c r="AD480" s="447"/>
      <c r="AE480" s="447"/>
      <c r="AF480" s="448"/>
      <c r="AG480" s="448"/>
      <c r="AH480" s="449"/>
      <c r="AI480" s="447"/>
      <c r="AJ480" s="447"/>
      <c r="AK480" s="447"/>
      <c r="AL480" s="447"/>
      <c r="AM480" s="447"/>
      <c r="AN480" s="447"/>
      <c r="AO480" s="447"/>
      <c r="AP480" s="447"/>
      <c r="AQ480" s="447"/>
      <c r="AR480" s="447"/>
      <c r="AS480" s="447"/>
      <c r="AT480" s="447"/>
      <c r="AU480" s="447"/>
      <c r="AV480" s="447"/>
      <c r="AW480" s="447"/>
      <c r="AX480" s="447"/>
      <c r="AY480" s="447"/>
      <c r="AZ480" s="447"/>
      <c r="BA480" s="447"/>
      <c r="BB480" s="447"/>
      <c r="BC480" s="447"/>
      <c r="BD480" s="447"/>
      <c r="BE480" s="447"/>
      <c r="BF480" s="447"/>
      <c r="BG480" s="447"/>
      <c r="BH480" s="447"/>
      <c r="BI480" s="447"/>
      <c r="BJ480" s="447"/>
      <c r="BK480" s="447"/>
      <c r="BL480" s="447"/>
      <c r="BM480" s="448"/>
      <c r="BN480" s="448"/>
    </row>
    <row r="481" spans="1:66" ht="11.25" customHeight="1">
      <c r="A481" s="450"/>
      <c r="B481" s="447"/>
      <c r="C481" s="447"/>
      <c r="D481" s="447"/>
      <c r="E481" s="447"/>
      <c r="F481" s="447"/>
      <c r="G481" s="447"/>
      <c r="H481" s="447"/>
      <c r="I481" s="447"/>
      <c r="J481" s="447"/>
      <c r="K481" s="447"/>
      <c r="L481" s="447"/>
      <c r="M481" s="447"/>
      <c r="N481" s="447"/>
      <c r="O481" s="447"/>
      <c r="P481" s="447"/>
      <c r="Q481" s="447"/>
      <c r="R481" s="447"/>
      <c r="S481" s="447"/>
      <c r="T481" s="447"/>
      <c r="U481" s="447"/>
      <c r="V481" s="447"/>
      <c r="W481" s="447"/>
      <c r="X481" s="447"/>
      <c r="Y481" s="447"/>
      <c r="Z481" s="447"/>
      <c r="AA481" s="447"/>
      <c r="AB481" s="447"/>
      <c r="AC481" s="447"/>
      <c r="AD481" s="447"/>
      <c r="AE481" s="447"/>
      <c r="AF481" s="448"/>
      <c r="AG481" s="448"/>
      <c r="AH481" s="449"/>
      <c r="AI481" s="447"/>
      <c r="AJ481" s="447"/>
      <c r="AK481" s="447"/>
      <c r="AL481" s="447"/>
      <c r="AM481" s="447"/>
      <c r="AN481" s="447"/>
      <c r="AO481" s="447"/>
      <c r="AP481" s="447"/>
      <c r="AQ481" s="447"/>
      <c r="AR481" s="447"/>
      <c r="AS481" s="447"/>
      <c r="AT481" s="447"/>
      <c r="AU481" s="447"/>
      <c r="AV481" s="447"/>
      <c r="AW481" s="447"/>
      <c r="AX481" s="447"/>
      <c r="AY481" s="447"/>
      <c r="AZ481" s="447"/>
      <c r="BA481" s="447"/>
      <c r="BB481" s="447"/>
      <c r="BC481" s="447"/>
      <c r="BD481" s="447"/>
      <c r="BE481" s="447"/>
      <c r="BF481" s="447"/>
      <c r="BG481" s="447"/>
      <c r="BH481" s="447"/>
      <c r="BI481" s="447"/>
      <c r="BJ481" s="447"/>
      <c r="BK481" s="447"/>
      <c r="BL481" s="447"/>
      <c r="BM481" s="448"/>
      <c r="BN481" s="448"/>
    </row>
    <row r="482" spans="1:66" ht="11.25" customHeight="1">
      <c r="A482" s="450"/>
      <c r="B482" s="447"/>
      <c r="C482" s="447"/>
      <c r="D482" s="447"/>
      <c r="E482" s="447"/>
      <c r="F482" s="447"/>
      <c r="G482" s="447"/>
      <c r="H482" s="447"/>
      <c r="I482" s="447"/>
      <c r="J482" s="447"/>
      <c r="K482" s="447"/>
      <c r="L482" s="447"/>
      <c r="M482" s="447"/>
      <c r="N482" s="447"/>
      <c r="O482" s="447"/>
      <c r="P482" s="447"/>
      <c r="Q482" s="447"/>
      <c r="R482" s="447"/>
      <c r="S482" s="447"/>
      <c r="T482" s="447"/>
      <c r="U482" s="447"/>
      <c r="V482" s="447"/>
      <c r="W482" s="447"/>
      <c r="X482" s="447"/>
      <c r="Y482" s="447"/>
      <c r="Z482" s="447"/>
      <c r="AA482" s="447"/>
      <c r="AB482" s="447"/>
      <c r="AC482" s="447"/>
      <c r="AD482" s="447"/>
      <c r="AE482" s="447"/>
      <c r="AF482" s="448"/>
      <c r="AG482" s="448"/>
      <c r="AH482" s="449"/>
      <c r="AI482" s="447"/>
      <c r="AJ482" s="447"/>
      <c r="AK482" s="447"/>
      <c r="AL482" s="447"/>
      <c r="AM482" s="447"/>
      <c r="AN482" s="447"/>
      <c r="AO482" s="447"/>
      <c r="AP482" s="447"/>
      <c r="AQ482" s="447"/>
      <c r="AR482" s="447"/>
      <c r="AS482" s="447"/>
      <c r="AT482" s="447"/>
      <c r="AU482" s="447"/>
      <c r="AV482" s="447"/>
      <c r="AW482" s="447"/>
      <c r="AX482" s="447"/>
      <c r="AY482" s="447"/>
      <c r="AZ482" s="447"/>
      <c r="BA482" s="447"/>
      <c r="BB482" s="447"/>
      <c r="BC482" s="447"/>
      <c r="BD482" s="447"/>
      <c r="BE482" s="447"/>
      <c r="BF482" s="447"/>
      <c r="BG482" s="447"/>
      <c r="BH482" s="447"/>
      <c r="BI482" s="447"/>
      <c r="BJ482" s="447"/>
      <c r="BK482" s="447"/>
      <c r="BL482" s="447"/>
      <c r="BM482" s="448"/>
      <c r="BN482" s="448"/>
    </row>
    <row r="483" spans="1:66" ht="11.25" customHeight="1">
      <c r="A483" s="450"/>
      <c r="B483" s="447"/>
      <c r="C483" s="447"/>
      <c r="D483" s="447"/>
      <c r="E483" s="447"/>
      <c r="F483" s="447"/>
      <c r="G483" s="447"/>
      <c r="H483" s="447"/>
      <c r="I483" s="447"/>
      <c r="J483" s="447"/>
      <c r="K483" s="447"/>
      <c r="L483" s="447"/>
      <c r="M483" s="447"/>
      <c r="N483" s="447"/>
      <c r="O483" s="447"/>
      <c r="P483" s="447"/>
      <c r="Q483" s="447"/>
      <c r="R483" s="447"/>
      <c r="S483" s="447"/>
      <c r="T483" s="447"/>
      <c r="U483" s="447"/>
      <c r="V483" s="447"/>
      <c r="W483" s="447"/>
      <c r="X483" s="447"/>
      <c r="Y483" s="447"/>
      <c r="Z483" s="447"/>
      <c r="AA483" s="447"/>
      <c r="AB483" s="447"/>
      <c r="AC483" s="447"/>
      <c r="AD483" s="447"/>
      <c r="AE483" s="447"/>
      <c r="AF483" s="448"/>
      <c r="AG483" s="448"/>
      <c r="AH483" s="449"/>
      <c r="AI483" s="447"/>
      <c r="AJ483" s="447"/>
      <c r="AK483" s="447"/>
      <c r="AL483" s="447"/>
      <c r="AM483" s="447"/>
      <c r="AN483" s="447"/>
      <c r="AO483" s="447"/>
      <c r="AP483" s="447"/>
      <c r="AQ483" s="447"/>
      <c r="AR483" s="447"/>
      <c r="AS483" s="447"/>
      <c r="AT483" s="447"/>
      <c r="AU483" s="447"/>
      <c r="AV483" s="447"/>
      <c r="AW483" s="447"/>
      <c r="AX483" s="447"/>
      <c r="AY483" s="447"/>
      <c r="AZ483" s="447"/>
      <c r="BA483" s="447"/>
      <c r="BB483" s="447"/>
      <c r="BC483" s="447"/>
      <c r="BD483" s="447"/>
      <c r="BE483" s="447"/>
      <c r="BF483" s="447"/>
      <c r="BG483" s="447"/>
      <c r="BH483" s="447"/>
      <c r="BI483" s="447"/>
      <c r="BJ483" s="447"/>
      <c r="BK483" s="447"/>
      <c r="BL483" s="447"/>
      <c r="BM483" s="448"/>
      <c r="BN483" s="448"/>
    </row>
    <row r="484" spans="1:66" ht="11.25" customHeight="1">
      <c r="A484" s="450"/>
      <c r="B484" s="447"/>
      <c r="C484" s="447"/>
      <c r="D484" s="447"/>
      <c r="E484" s="447"/>
      <c r="F484" s="447"/>
      <c r="G484" s="447"/>
      <c r="H484" s="447"/>
      <c r="I484" s="447"/>
      <c r="J484" s="447"/>
      <c r="K484" s="447"/>
      <c r="L484" s="447"/>
      <c r="M484" s="447"/>
      <c r="N484" s="447"/>
      <c r="O484" s="447"/>
      <c r="P484" s="447"/>
      <c r="Q484" s="447"/>
      <c r="R484" s="447"/>
      <c r="S484" s="447"/>
      <c r="T484" s="447"/>
      <c r="U484" s="447"/>
      <c r="V484" s="447"/>
      <c r="W484" s="447"/>
      <c r="X484" s="447"/>
      <c r="Y484" s="447"/>
      <c r="Z484" s="447"/>
      <c r="AA484" s="447"/>
      <c r="AB484" s="447"/>
      <c r="AC484" s="447"/>
      <c r="AD484" s="447"/>
      <c r="AE484" s="447"/>
      <c r="AF484" s="448"/>
      <c r="AG484" s="448"/>
      <c r="AH484" s="449"/>
      <c r="AI484" s="447"/>
      <c r="AJ484" s="447"/>
      <c r="AK484" s="447"/>
      <c r="AL484" s="447"/>
      <c r="AM484" s="447"/>
      <c r="AN484" s="447"/>
      <c r="AO484" s="447"/>
      <c r="AP484" s="447"/>
      <c r="AQ484" s="447"/>
      <c r="AR484" s="447"/>
      <c r="AS484" s="447"/>
      <c r="AT484" s="447"/>
      <c r="AU484" s="447"/>
      <c r="AV484" s="447"/>
      <c r="AW484" s="447"/>
      <c r="AX484" s="447"/>
      <c r="AY484" s="447"/>
      <c r="AZ484" s="447"/>
      <c r="BA484" s="447"/>
      <c r="BB484" s="447"/>
      <c r="BC484" s="447"/>
      <c r="BD484" s="447"/>
      <c r="BE484" s="447"/>
      <c r="BF484" s="447"/>
      <c r="BG484" s="447"/>
      <c r="BH484" s="447"/>
      <c r="BI484" s="447"/>
      <c r="BJ484" s="447"/>
      <c r="BK484" s="447"/>
      <c r="BL484" s="447"/>
      <c r="BM484" s="448"/>
      <c r="BN484" s="448"/>
    </row>
    <row r="485" spans="1:66" ht="11.25" customHeight="1">
      <c r="A485" s="450"/>
      <c r="B485" s="447"/>
      <c r="C485" s="447"/>
      <c r="D485" s="447"/>
      <c r="E485" s="447"/>
      <c r="F485" s="447"/>
      <c r="G485" s="447"/>
      <c r="H485" s="447"/>
      <c r="I485" s="447"/>
      <c r="J485" s="447"/>
      <c r="K485" s="447"/>
      <c r="L485" s="447"/>
      <c r="M485" s="447"/>
      <c r="N485" s="447"/>
      <c r="O485" s="447"/>
      <c r="P485" s="447"/>
      <c r="Q485" s="447"/>
      <c r="R485" s="447"/>
      <c r="S485" s="447"/>
      <c r="T485" s="447"/>
      <c r="U485" s="447"/>
      <c r="V485" s="447"/>
      <c r="W485" s="447"/>
      <c r="X485" s="447"/>
      <c r="Y485" s="447"/>
      <c r="Z485" s="447"/>
      <c r="AA485" s="447"/>
      <c r="AB485" s="447"/>
      <c r="AC485" s="447"/>
      <c r="AD485" s="447"/>
      <c r="AE485" s="447"/>
      <c r="AF485" s="448"/>
      <c r="AG485" s="448"/>
      <c r="AH485" s="449"/>
      <c r="AI485" s="447"/>
      <c r="AJ485" s="447"/>
      <c r="AK485" s="447"/>
      <c r="AL485" s="447"/>
      <c r="AM485" s="447"/>
      <c r="AN485" s="447"/>
      <c r="AO485" s="447"/>
      <c r="AP485" s="447"/>
      <c r="AQ485" s="447"/>
      <c r="AR485" s="447"/>
      <c r="AS485" s="447"/>
      <c r="AT485" s="447"/>
      <c r="AU485" s="447"/>
      <c r="AV485" s="447"/>
      <c r="AW485" s="447"/>
      <c r="AX485" s="447"/>
      <c r="AY485" s="447"/>
      <c r="AZ485" s="447"/>
      <c r="BA485" s="447"/>
      <c r="BB485" s="447"/>
      <c r="BC485" s="447"/>
      <c r="BD485" s="447"/>
      <c r="BE485" s="447"/>
      <c r="BF485" s="447"/>
      <c r="BG485" s="447"/>
      <c r="BH485" s="447"/>
      <c r="BI485" s="447"/>
      <c r="BJ485" s="447"/>
      <c r="BK485" s="447"/>
      <c r="BL485" s="447"/>
      <c r="BM485" s="448"/>
      <c r="BN485" s="448"/>
    </row>
    <row r="486" spans="1:66" ht="11.25" customHeight="1">
      <c r="A486" s="450"/>
      <c r="B486" s="447"/>
      <c r="C486" s="447"/>
      <c r="D486" s="447"/>
      <c r="E486" s="447"/>
      <c r="F486" s="447"/>
      <c r="G486" s="447"/>
      <c r="H486" s="447"/>
      <c r="I486" s="447"/>
      <c r="J486" s="447"/>
      <c r="K486" s="447"/>
      <c r="L486" s="447"/>
      <c r="M486" s="447"/>
      <c r="N486" s="447"/>
      <c r="O486" s="447"/>
      <c r="P486" s="447"/>
      <c r="Q486" s="447"/>
      <c r="R486" s="447"/>
      <c r="S486" s="447"/>
      <c r="T486" s="447"/>
      <c r="U486" s="447"/>
      <c r="V486" s="447"/>
      <c r="W486" s="447"/>
      <c r="X486" s="447"/>
      <c r="Y486" s="447"/>
      <c r="Z486" s="447"/>
      <c r="AA486" s="447"/>
      <c r="AB486" s="447"/>
      <c r="AC486" s="447"/>
      <c r="AD486" s="447"/>
      <c r="AE486" s="447"/>
      <c r="AF486" s="448"/>
      <c r="AG486" s="448"/>
      <c r="AH486" s="449"/>
      <c r="AI486" s="447"/>
      <c r="AJ486" s="447"/>
      <c r="AK486" s="447"/>
      <c r="AL486" s="447"/>
      <c r="AM486" s="447"/>
      <c r="AN486" s="447"/>
      <c r="AO486" s="447"/>
      <c r="AP486" s="447"/>
      <c r="AQ486" s="447"/>
      <c r="AR486" s="447"/>
      <c r="AS486" s="447"/>
      <c r="AT486" s="447"/>
      <c r="AU486" s="447"/>
      <c r="AV486" s="447"/>
      <c r="AW486" s="447"/>
      <c r="AX486" s="447"/>
      <c r="AY486" s="447"/>
      <c r="AZ486" s="447"/>
      <c r="BA486" s="447"/>
      <c r="BB486" s="447"/>
      <c r="BC486" s="447"/>
      <c r="BD486" s="447"/>
      <c r="BE486" s="447"/>
      <c r="BF486" s="447"/>
      <c r="BG486" s="447"/>
      <c r="BH486" s="447"/>
      <c r="BI486" s="447"/>
      <c r="BJ486" s="447"/>
      <c r="BK486" s="447"/>
      <c r="BL486" s="447"/>
      <c r="BM486" s="448"/>
      <c r="BN486" s="448"/>
    </row>
    <row r="487" spans="1:66" ht="11.25" customHeight="1">
      <c r="A487" s="450"/>
      <c r="B487" s="447"/>
      <c r="C487" s="447"/>
      <c r="D487" s="447"/>
      <c r="E487" s="447"/>
      <c r="F487" s="447"/>
      <c r="G487" s="447"/>
      <c r="H487" s="447"/>
      <c r="I487" s="447"/>
      <c r="J487" s="447"/>
      <c r="K487" s="447"/>
      <c r="L487" s="447"/>
      <c r="M487" s="447"/>
      <c r="N487" s="447"/>
      <c r="O487" s="447"/>
      <c r="P487" s="447"/>
      <c r="Q487" s="447"/>
      <c r="R487" s="447"/>
      <c r="S487" s="447"/>
      <c r="T487" s="447"/>
      <c r="U487" s="447"/>
      <c r="V487" s="447"/>
      <c r="W487" s="447"/>
      <c r="X487" s="447"/>
      <c r="Y487" s="447"/>
      <c r="Z487" s="447"/>
      <c r="AA487" s="447"/>
      <c r="AB487" s="447"/>
      <c r="AC487" s="447"/>
      <c r="AD487" s="447"/>
      <c r="AE487" s="447"/>
      <c r="AF487" s="448"/>
      <c r="AG487" s="448"/>
      <c r="AH487" s="449"/>
      <c r="AI487" s="447"/>
      <c r="AJ487" s="447"/>
      <c r="AK487" s="447"/>
      <c r="AL487" s="447"/>
      <c r="AM487" s="447"/>
      <c r="AN487" s="447"/>
      <c r="AO487" s="447"/>
      <c r="AP487" s="447"/>
      <c r="AQ487" s="447"/>
      <c r="AR487" s="447"/>
      <c r="AS487" s="447"/>
      <c r="AT487" s="447"/>
      <c r="AU487" s="447"/>
      <c r="AV487" s="447"/>
      <c r="AW487" s="447"/>
      <c r="AX487" s="447"/>
      <c r="AY487" s="447"/>
      <c r="AZ487" s="447"/>
      <c r="BA487" s="447"/>
      <c r="BB487" s="447"/>
      <c r="BC487" s="447"/>
      <c r="BD487" s="447"/>
      <c r="BE487" s="447"/>
      <c r="BF487" s="447"/>
      <c r="BG487" s="447"/>
      <c r="BH487" s="447"/>
      <c r="BI487" s="447"/>
      <c r="BJ487" s="447"/>
      <c r="BK487" s="447"/>
      <c r="BL487" s="447"/>
      <c r="BM487" s="448"/>
      <c r="BN487" s="448"/>
    </row>
    <row r="488" spans="1:66" ht="11.25" customHeight="1">
      <c r="A488" s="450"/>
      <c r="B488" s="447"/>
      <c r="C488" s="447"/>
      <c r="D488" s="447"/>
      <c r="E488" s="447"/>
      <c r="F488" s="447"/>
      <c r="G488" s="447"/>
      <c r="H488" s="447"/>
      <c r="I488" s="447"/>
      <c r="J488" s="447"/>
      <c r="K488" s="447"/>
      <c r="L488" s="447"/>
      <c r="M488" s="447"/>
      <c r="N488" s="447"/>
      <c r="O488" s="447"/>
      <c r="P488" s="447"/>
      <c r="Q488" s="447"/>
      <c r="R488" s="447"/>
      <c r="S488" s="447"/>
      <c r="T488" s="447"/>
      <c r="U488" s="447"/>
      <c r="V488" s="447"/>
      <c r="W488" s="447"/>
      <c r="X488" s="447"/>
      <c r="Y488" s="447"/>
      <c r="Z488" s="447"/>
      <c r="AA488" s="447"/>
      <c r="AB488" s="447"/>
      <c r="AC488" s="447"/>
      <c r="AD488" s="447"/>
      <c r="AE488" s="447"/>
      <c r="AF488" s="448"/>
      <c r="AG488" s="448"/>
      <c r="AH488" s="449"/>
      <c r="AI488" s="447"/>
      <c r="AJ488" s="447"/>
      <c r="AK488" s="447"/>
      <c r="AL488" s="447"/>
      <c r="AM488" s="447"/>
      <c r="AN488" s="447"/>
      <c r="AO488" s="447"/>
      <c r="AP488" s="447"/>
      <c r="AQ488" s="447"/>
      <c r="AR488" s="447"/>
      <c r="AS488" s="447"/>
      <c r="AT488" s="447"/>
      <c r="AU488" s="447"/>
      <c r="AV488" s="447"/>
      <c r="AW488" s="447"/>
      <c r="AX488" s="447"/>
      <c r="AY488" s="447"/>
      <c r="AZ488" s="447"/>
      <c r="BA488" s="447"/>
      <c r="BB488" s="447"/>
      <c r="BC488" s="447"/>
      <c r="BD488" s="447"/>
      <c r="BE488" s="447"/>
      <c r="BF488" s="447"/>
      <c r="BG488" s="447"/>
      <c r="BH488" s="447"/>
      <c r="BI488" s="447"/>
      <c r="BJ488" s="447"/>
      <c r="BK488" s="447"/>
      <c r="BL488" s="447"/>
      <c r="BM488" s="448"/>
      <c r="BN488" s="448"/>
    </row>
    <row r="489" spans="1:66" ht="11.25" customHeight="1">
      <c r="A489" s="450"/>
      <c r="B489" s="447"/>
      <c r="C489" s="447"/>
      <c r="D489" s="447"/>
      <c r="E489" s="447"/>
      <c r="F489" s="447"/>
      <c r="G489" s="447"/>
      <c r="H489" s="447"/>
      <c r="I489" s="447"/>
      <c r="J489" s="447"/>
      <c r="K489" s="447"/>
      <c r="L489" s="447"/>
      <c r="M489" s="447"/>
      <c r="N489" s="447"/>
      <c r="O489" s="447"/>
      <c r="P489" s="447"/>
      <c r="Q489" s="447"/>
      <c r="R489" s="447"/>
      <c r="S489" s="447"/>
      <c r="T489" s="447"/>
      <c r="U489" s="447"/>
      <c r="V489" s="447"/>
      <c r="W489" s="447"/>
      <c r="X489" s="447"/>
      <c r="Y489" s="447"/>
      <c r="Z489" s="447"/>
      <c r="AA489" s="447"/>
      <c r="AB489" s="447"/>
      <c r="AC489" s="447"/>
      <c r="AD489" s="447"/>
      <c r="AE489" s="447"/>
      <c r="AF489" s="448"/>
      <c r="AG489" s="448"/>
      <c r="AH489" s="449"/>
      <c r="AI489" s="447"/>
      <c r="AJ489" s="447"/>
      <c r="AK489" s="447"/>
      <c r="AL489" s="447"/>
      <c r="AM489" s="447"/>
      <c r="AN489" s="447"/>
      <c r="AO489" s="447"/>
      <c r="AP489" s="447"/>
      <c r="AQ489" s="447"/>
      <c r="AR489" s="447"/>
      <c r="AS489" s="447"/>
      <c r="AT489" s="447"/>
      <c r="AU489" s="447"/>
      <c r="AV489" s="447"/>
      <c r="AW489" s="447"/>
      <c r="AX489" s="447"/>
      <c r="AY489" s="447"/>
      <c r="AZ489" s="447"/>
      <c r="BA489" s="447"/>
      <c r="BB489" s="447"/>
      <c r="BC489" s="447"/>
      <c r="BD489" s="447"/>
      <c r="BE489" s="447"/>
      <c r="BF489" s="447"/>
      <c r="BG489" s="447"/>
      <c r="BH489" s="447"/>
      <c r="BI489" s="447"/>
      <c r="BJ489" s="447"/>
      <c r="BK489" s="447"/>
      <c r="BL489" s="447"/>
      <c r="BM489" s="448"/>
      <c r="BN489" s="448"/>
    </row>
    <row r="490" spans="1:66" ht="11.25" customHeight="1">
      <c r="A490" s="450"/>
      <c r="B490" s="447"/>
      <c r="C490" s="447"/>
      <c r="D490" s="447"/>
      <c r="E490" s="447"/>
      <c r="F490" s="447"/>
      <c r="G490" s="447"/>
      <c r="H490" s="447"/>
      <c r="I490" s="447"/>
      <c r="J490" s="447"/>
      <c r="K490" s="447"/>
      <c r="L490" s="447"/>
      <c r="M490" s="447"/>
      <c r="N490" s="447"/>
      <c r="O490" s="447"/>
      <c r="P490" s="447"/>
      <c r="Q490" s="447"/>
      <c r="R490" s="447"/>
      <c r="S490" s="447"/>
      <c r="T490" s="447"/>
      <c r="U490" s="447"/>
      <c r="V490" s="447"/>
      <c r="W490" s="447"/>
      <c r="X490" s="447"/>
      <c r="Y490" s="447"/>
      <c r="Z490" s="447"/>
      <c r="AA490" s="447"/>
      <c r="AB490" s="447"/>
      <c r="AC490" s="447"/>
      <c r="AD490" s="447"/>
      <c r="AE490" s="447"/>
      <c r="AF490" s="448"/>
      <c r="AG490" s="448"/>
      <c r="AH490" s="449"/>
      <c r="AI490" s="447"/>
      <c r="AJ490" s="447"/>
      <c r="AK490" s="447"/>
      <c r="AL490" s="447"/>
      <c r="AM490" s="447"/>
      <c r="AN490" s="447"/>
      <c r="AO490" s="447"/>
      <c r="AP490" s="447"/>
      <c r="AQ490" s="447"/>
      <c r="AR490" s="447"/>
      <c r="AS490" s="447"/>
      <c r="AT490" s="447"/>
      <c r="AU490" s="447"/>
      <c r="AV490" s="447"/>
      <c r="AW490" s="447"/>
      <c r="AX490" s="447"/>
      <c r="AY490" s="447"/>
      <c r="AZ490" s="447"/>
      <c r="BA490" s="447"/>
      <c r="BB490" s="447"/>
      <c r="BC490" s="447"/>
      <c r="BD490" s="447"/>
      <c r="BE490" s="447"/>
      <c r="BF490" s="447"/>
      <c r="BG490" s="447"/>
      <c r="BH490" s="447"/>
      <c r="BI490" s="447"/>
      <c r="BJ490" s="447"/>
      <c r="BK490" s="447"/>
      <c r="BL490" s="447"/>
      <c r="BM490" s="448"/>
      <c r="BN490" s="448"/>
    </row>
    <row r="491" spans="1:66" ht="11.25" customHeight="1">
      <c r="A491" s="450"/>
      <c r="B491" s="447"/>
      <c r="C491" s="447"/>
      <c r="D491" s="447"/>
      <c r="E491" s="447"/>
      <c r="F491" s="447"/>
      <c r="G491" s="447"/>
      <c r="H491" s="447"/>
      <c r="I491" s="447"/>
      <c r="J491" s="447"/>
      <c r="K491" s="447"/>
      <c r="L491" s="447"/>
      <c r="M491" s="447"/>
      <c r="N491" s="447"/>
      <c r="O491" s="447"/>
      <c r="P491" s="447"/>
      <c r="Q491" s="447"/>
      <c r="R491" s="447"/>
      <c r="S491" s="447"/>
      <c r="T491" s="447"/>
      <c r="U491" s="447"/>
      <c r="V491" s="447"/>
      <c r="W491" s="447"/>
      <c r="X491" s="447"/>
      <c r="Y491" s="447"/>
      <c r="Z491" s="447"/>
      <c r="AA491" s="447"/>
      <c r="AB491" s="447"/>
      <c r="AC491" s="447"/>
      <c r="AD491" s="447"/>
      <c r="AE491" s="447"/>
      <c r="AF491" s="448"/>
      <c r="AG491" s="448"/>
      <c r="AH491" s="449"/>
      <c r="AI491" s="447"/>
      <c r="AJ491" s="447"/>
      <c r="AK491" s="447"/>
      <c r="AL491" s="447"/>
      <c r="AM491" s="447"/>
      <c r="AN491" s="447"/>
      <c r="AO491" s="447"/>
      <c r="AP491" s="447"/>
      <c r="AQ491" s="447"/>
      <c r="AR491" s="447"/>
      <c r="AS491" s="447"/>
      <c r="AT491" s="447"/>
      <c r="AU491" s="447"/>
      <c r="AV491" s="447"/>
      <c r="AW491" s="447"/>
      <c r="AX491" s="447"/>
      <c r="AY491" s="447"/>
      <c r="AZ491" s="447"/>
      <c r="BA491" s="447"/>
      <c r="BB491" s="447"/>
      <c r="BC491" s="447"/>
      <c r="BD491" s="447"/>
      <c r="BE491" s="447"/>
      <c r="BF491" s="447"/>
      <c r="BG491" s="447"/>
      <c r="BH491" s="447"/>
      <c r="BI491" s="447"/>
      <c r="BJ491" s="447"/>
      <c r="BK491" s="447"/>
      <c r="BL491" s="447"/>
      <c r="BM491" s="448"/>
      <c r="BN491" s="448"/>
    </row>
    <row r="492" spans="1:66" ht="11.25" customHeight="1">
      <c r="A492" s="450"/>
      <c r="B492" s="447"/>
      <c r="C492" s="447"/>
      <c r="D492" s="447"/>
      <c r="E492" s="447"/>
      <c r="F492" s="447"/>
      <c r="G492" s="447"/>
      <c r="H492" s="447"/>
      <c r="I492" s="447"/>
      <c r="J492" s="447"/>
      <c r="K492" s="447"/>
      <c r="L492" s="447"/>
      <c r="M492" s="447"/>
      <c r="N492" s="447"/>
      <c r="O492" s="447"/>
      <c r="P492" s="447"/>
      <c r="Q492" s="447"/>
      <c r="R492" s="447"/>
      <c r="S492" s="447"/>
      <c r="T492" s="447"/>
      <c r="U492" s="447"/>
      <c r="V492" s="447"/>
      <c r="W492" s="447"/>
      <c r="X492" s="447"/>
      <c r="Y492" s="447"/>
      <c r="Z492" s="447"/>
      <c r="AA492" s="447"/>
      <c r="AB492" s="447"/>
      <c r="AC492" s="447"/>
      <c r="AD492" s="447"/>
      <c r="AE492" s="447"/>
      <c r="AF492" s="448"/>
      <c r="AG492" s="448"/>
      <c r="AH492" s="449"/>
      <c r="AI492" s="447"/>
      <c r="AJ492" s="447"/>
      <c r="AK492" s="447"/>
      <c r="AL492" s="447"/>
      <c r="AM492" s="447"/>
      <c r="AN492" s="447"/>
      <c r="AO492" s="447"/>
      <c r="AP492" s="447"/>
      <c r="AQ492" s="447"/>
      <c r="AR492" s="447"/>
      <c r="AS492" s="447"/>
      <c r="AT492" s="447"/>
      <c r="AU492" s="447"/>
      <c r="AV492" s="447"/>
      <c r="AW492" s="447"/>
      <c r="AX492" s="447"/>
      <c r="AY492" s="447"/>
      <c r="AZ492" s="447"/>
      <c r="BA492" s="447"/>
      <c r="BB492" s="447"/>
      <c r="BC492" s="447"/>
      <c r="BD492" s="447"/>
      <c r="BE492" s="447"/>
      <c r="BF492" s="447"/>
      <c r="BG492" s="447"/>
      <c r="BH492" s="447"/>
      <c r="BI492" s="447"/>
      <c r="BJ492" s="447"/>
      <c r="BK492" s="447"/>
      <c r="BL492" s="447"/>
      <c r="BM492" s="448"/>
      <c r="BN492" s="448"/>
    </row>
    <row r="493" spans="1:66" ht="11.25" customHeight="1">
      <c r="A493" s="450"/>
      <c r="B493" s="447"/>
      <c r="C493" s="447"/>
      <c r="D493" s="447"/>
      <c r="E493" s="447"/>
      <c r="F493" s="447"/>
      <c r="G493" s="447"/>
      <c r="H493" s="447"/>
      <c r="I493" s="447"/>
      <c r="J493" s="447"/>
      <c r="K493" s="447"/>
      <c r="L493" s="447"/>
      <c r="M493" s="447"/>
      <c r="N493" s="447"/>
      <c r="O493" s="447"/>
      <c r="P493" s="447"/>
      <c r="Q493" s="447"/>
      <c r="R493" s="447"/>
      <c r="S493" s="447"/>
      <c r="T493" s="447"/>
      <c r="U493" s="447"/>
      <c r="V493" s="447"/>
      <c r="W493" s="447"/>
      <c r="X493" s="447"/>
      <c r="Y493" s="447"/>
      <c r="Z493" s="447"/>
      <c r="AA493" s="447"/>
      <c r="AB493" s="447"/>
      <c r="AC493" s="447"/>
      <c r="AD493" s="447"/>
      <c r="AE493" s="447"/>
      <c r="AF493" s="448"/>
      <c r="AG493" s="448"/>
      <c r="AH493" s="449"/>
      <c r="AI493" s="447"/>
      <c r="AJ493" s="447"/>
      <c r="AK493" s="447"/>
      <c r="AL493" s="447"/>
      <c r="AM493" s="447"/>
      <c r="AN493" s="447"/>
      <c r="AO493" s="447"/>
      <c r="AP493" s="447"/>
      <c r="AQ493" s="447"/>
      <c r="AR493" s="447"/>
      <c r="AS493" s="447"/>
      <c r="AT493" s="447"/>
      <c r="AU493" s="447"/>
      <c r="AV493" s="447"/>
      <c r="AW493" s="447"/>
      <c r="AX493" s="447"/>
      <c r="AY493" s="447"/>
      <c r="AZ493" s="447"/>
      <c r="BA493" s="447"/>
      <c r="BB493" s="447"/>
      <c r="BC493" s="447"/>
      <c r="BD493" s="447"/>
      <c r="BE493" s="447"/>
      <c r="BF493" s="447"/>
      <c r="BG493" s="447"/>
      <c r="BH493" s="447"/>
      <c r="BI493" s="447"/>
      <c r="BJ493" s="447"/>
      <c r="BK493" s="447"/>
      <c r="BL493" s="447"/>
      <c r="BM493" s="448"/>
      <c r="BN493" s="448"/>
    </row>
    <row r="494" spans="1:66" ht="11.25" customHeight="1">
      <c r="A494" s="450"/>
      <c r="B494" s="447"/>
      <c r="C494" s="447"/>
      <c r="D494" s="447"/>
      <c r="E494" s="447"/>
      <c r="F494" s="447"/>
      <c r="G494" s="447"/>
      <c r="H494" s="447"/>
      <c r="I494" s="447"/>
      <c r="J494" s="447"/>
      <c r="K494" s="447"/>
      <c r="L494" s="447"/>
      <c r="M494" s="447"/>
      <c r="N494" s="447"/>
      <c r="O494" s="447"/>
      <c r="P494" s="447"/>
      <c r="Q494" s="447"/>
      <c r="R494" s="447"/>
      <c r="S494" s="447"/>
      <c r="T494" s="447"/>
      <c r="U494" s="447"/>
      <c r="V494" s="447"/>
      <c r="W494" s="447"/>
      <c r="X494" s="447"/>
      <c r="Y494" s="447"/>
      <c r="Z494" s="447"/>
      <c r="AA494" s="447"/>
      <c r="AB494" s="447"/>
      <c r="AC494" s="447"/>
      <c r="AD494" s="447"/>
      <c r="AE494" s="447"/>
      <c r="AF494" s="448"/>
      <c r="AG494" s="448"/>
      <c r="AH494" s="449"/>
      <c r="AI494" s="447"/>
      <c r="AJ494" s="447"/>
      <c r="AK494" s="447"/>
      <c r="AL494" s="447"/>
      <c r="AM494" s="447"/>
      <c r="AN494" s="447"/>
      <c r="AO494" s="447"/>
      <c r="AP494" s="447"/>
      <c r="AQ494" s="447"/>
      <c r="AR494" s="447"/>
      <c r="AS494" s="447"/>
      <c r="AT494" s="447"/>
      <c r="AU494" s="447"/>
      <c r="AV494" s="447"/>
      <c r="AW494" s="447"/>
      <c r="AX494" s="447"/>
      <c r="AY494" s="447"/>
      <c r="AZ494" s="447"/>
      <c r="BA494" s="447"/>
      <c r="BB494" s="447"/>
      <c r="BC494" s="447"/>
      <c r="BD494" s="447"/>
      <c r="BE494" s="447"/>
      <c r="BF494" s="447"/>
      <c r="BG494" s="447"/>
      <c r="BH494" s="447"/>
      <c r="BI494" s="447"/>
      <c r="BJ494" s="447"/>
      <c r="BK494" s="447"/>
      <c r="BL494" s="447"/>
      <c r="BM494" s="448"/>
      <c r="BN494" s="448"/>
    </row>
    <row r="495" spans="1:66" ht="11.25" customHeight="1">
      <c r="A495" s="450"/>
      <c r="B495" s="447"/>
      <c r="C495" s="447"/>
      <c r="D495" s="447"/>
      <c r="E495" s="447"/>
      <c r="F495" s="447"/>
      <c r="G495" s="447"/>
      <c r="H495" s="447"/>
      <c r="I495" s="447"/>
      <c r="J495" s="447"/>
      <c r="K495" s="447"/>
      <c r="L495" s="447"/>
      <c r="M495" s="447"/>
      <c r="N495" s="447"/>
      <c r="O495" s="447"/>
      <c r="P495" s="447"/>
      <c r="Q495" s="447"/>
      <c r="R495" s="447"/>
      <c r="S495" s="447"/>
      <c r="T495" s="447"/>
      <c r="U495" s="447"/>
      <c r="V495" s="447"/>
      <c r="W495" s="447"/>
      <c r="X495" s="447"/>
      <c r="Y495" s="447"/>
      <c r="Z495" s="447"/>
      <c r="AA495" s="447"/>
      <c r="AB495" s="447"/>
      <c r="AC495" s="447"/>
      <c r="AD495" s="447"/>
      <c r="AE495" s="447"/>
      <c r="AF495" s="448"/>
      <c r="AG495" s="448"/>
      <c r="AH495" s="449"/>
      <c r="AI495" s="447"/>
      <c r="AJ495" s="447"/>
      <c r="AK495" s="447"/>
      <c r="AL495" s="447"/>
      <c r="AM495" s="447"/>
      <c r="AN495" s="447"/>
      <c r="AO495" s="447"/>
      <c r="AP495" s="447"/>
      <c r="AQ495" s="447"/>
      <c r="AR495" s="447"/>
      <c r="AS495" s="447"/>
      <c r="AT495" s="447"/>
      <c r="AU495" s="447"/>
      <c r="AV495" s="447"/>
      <c r="AW495" s="447"/>
      <c r="AX495" s="447"/>
      <c r="AY495" s="447"/>
      <c r="AZ495" s="447"/>
      <c r="BA495" s="447"/>
      <c r="BB495" s="447"/>
      <c r="BC495" s="447"/>
      <c r="BD495" s="447"/>
      <c r="BE495" s="447"/>
      <c r="BF495" s="447"/>
      <c r="BG495" s="447"/>
      <c r="BH495" s="447"/>
      <c r="BI495" s="447"/>
      <c r="BJ495" s="447"/>
      <c r="BK495" s="447"/>
      <c r="BL495" s="447"/>
      <c r="BM495" s="448"/>
      <c r="BN495" s="448"/>
    </row>
    <row r="496" spans="1:66" ht="11.25" customHeight="1">
      <c r="A496" s="450"/>
      <c r="B496" s="447"/>
      <c r="C496" s="447"/>
      <c r="D496" s="447"/>
      <c r="E496" s="447"/>
      <c r="F496" s="447"/>
      <c r="G496" s="447"/>
      <c r="H496" s="447"/>
      <c r="I496" s="447"/>
      <c r="J496" s="447"/>
      <c r="K496" s="447"/>
      <c r="L496" s="447"/>
      <c r="M496" s="447"/>
      <c r="N496" s="447"/>
      <c r="O496" s="447"/>
      <c r="P496" s="447"/>
      <c r="Q496" s="447"/>
      <c r="R496" s="447"/>
      <c r="S496" s="447"/>
      <c r="T496" s="447"/>
      <c r="U496" s="447"/>
      <c r="V496" s="447"/>
      <c r="W496" s="447"/>
      <c r="X496" s="447"/>
      <c r="Y496" s="447"/>
      <c r="Z496" s="447"/>
      <c r="AA496" s="447"/>
      <c r="AB496" s="447"/>
      <c r="AC496" s="447"/>
      <c r="AD496" s="447"/>
      <c r="AE496" s="447"/>
      <c r="AF496" s="448"/>
      <c r="AG496" s="448"/>
      <c r="AH496" s="449"/>
      <c r="AI496" s="447"/>
      <c r="AJ496" s="447"/>
      <c r="AK496" s="447"/>
      <c r="AL496" s="447"/>
      <c r="AM496" s="447"/>
      <c r="AN496" s="447"/>
      <c r="AO496" s="447"/>
      <c r="AP496" s="447"/>
      <c r="AQ496" s="447"/>
      <c r="AR496" s="447"/>
      <c r="AS496" s="447"/>
      <c r="AT496" s="447"/>
      <c r="AU496" s="447"/>
      <c r="AV496" s="447"/>
      <c r="AW496" s="447"/>
      <c r="AX496" s="447"/>
      <c r="AY496" s="447"/>
      <c r="AZ496" s="447"/>
      <c r="BA496" s="447"/>
      <c r="BB496" s="447"/>
      <c r="BC496" s="447"/>
      <c r="BD496" s="447"/>
      <c r="BE496" s="447"/>
      <c r="BF496" s="447"/>
      <c r="BG496" s="447"/>
      <c r="BH496" s="447"/>
      <c r="BI496" s="447"/>
      <c r="BJ496" s="447"/>
      <c r="BK496" s="447"/>
      <c r="BL496" s="447"/>
      <c r="BM496" s="448"/>
      <c r="BN496" s="448"/>
    </row>
    <row r="497" spans="1:66" ht="11.25" customHeight="1">
      <c r="A497" s="450"/>
      <c r="B497" s="447"/>
      <c r="C497" s="447"/>
      <c r="D497" s="447"/>
      <c r="E497" s="447"/>
      <c r="F497" s="447"/>
      <c r="G497" s="447"/>
      <c r="H497" s="447"/>
      <c r="I497" s="447"/>
      <c r="J497" s="447"/>
      <c r="K497" s="447"/>
      <c r="L497" s="447"/>
      <c r="M497" s="447"/>
      <c r="N497" s="447"/>
      <c r="O497" s="447"/>
      <c r="P497" s="447"/>
      <c r="Q497" s="447"/>
      <c r="R497" s="447"/>
      <c r="S497" s="447"/>
      <c r="T497" s="447"/>
      <c r="U497" s="447"/>
      <c r="V497" s="447"/>
      <c r="W497" s="447"/>
      <c r="X497" s="447"/>
      <c r="Y497" s="447"/>
      <c r="Z497" s="447"/>
      <c r="AA497" s="447"/>
      <c r="AB497" s="447"/>
      <c r="AC497" s="447"/>
      <c r="AD497" s="447"/>
      <c r="AE497" s="447"/>
      <c r="AF497" s="448"/>
      <c r="AG497" s="448"/>
      <c r="AH497" s="449"/>
      <c r="AI497" s="447"/>
      <c r="AJ497" s="447"/>
      <c r="AK497" s="447"/>
      <c r="AL497" s="447"/>
      <c r="AM497" s="447"/>
      <c r="AN497" s="447"/>
      <c r="AO497" s="447"/>
      <c r="AP497" s="447"/>
      <c r="AQ497" s="447"/>
      <c r="AR497" s="447"/>
      <c r="AS497" s="447"/>
      <c r="AT497" s="447"/>
      <c r="AU497" s="447"/>
      <c r="AV497" s="447"/>
      <c r="AW497" s="447"/>
      <c r="AX497" s="447"/>
      <c r="AY497" s="447"/>
      <c r="AZ497" s="447"/>
      <c r="BA497" s="447"/>
      <c r="BB497" s="447"/>
      <c r="BC497" s="447"/>
      <c r="BD497" s="447"/>
      <c r="BE497" s="447"/>
      <c r="BF497" s="447"/>
      <c r="BG497" s="447"/>
      <c r="BH497" s="447"/>
      <c r="BI497" s="447"/>
      <c r="BJ497" s="447"/>
      <c r="BK497" s="447"/>
      <c r="BL497" s="447"/>
      <c r="BM497" s="448"/>
      <c r="BN497" s="448"/>
    </row>
    <row r="498" spans="1:66" ht="11.25" customHeight="1">
      <c r="A498" s="450"/>
      <c r="B498" s="447"/>
      <c r="C498" s="447"/>
      <c r="D498" s="447"/>
      <c r="E498" s="447"/>
      <c r="F498" s="447"/>
      <c r="G498" s="447"/>
      <c r="H498" s="447"/>
      <c r="I498" s="447"/>
      <c r="J498" s="447"/>
      <c r="K498" s="447"/>
      <c r="L498" s="447"/>
      <c r="M498" s="447"/>
      <c r="N498" s="447"/>
      <c r="O498" s="447"/>
      <c r="P498" s="447"/>
      <c r="Q498" s="447"/>
      <c r="R498" s="447"/>
      <c r="S498" s="447"/>
      <c r="T498" s="447"/>
      <c r="U498" s="447"/>
      <c r="V498" s="447"/>
      <c r="W498" s="447"/>
      <c r="X498" s="447"/>
      <c r="Y498" s="447"/>
      <c r="Z498" s="447"/>
      <c r="AA498" s="447"/>
      <c r="AB498" s="447"/>
      <c r="AC498" s="447"/>
      <c r="AD498" s="447"/>
      <c r="AE498" s="447"/>
      <c r="AF498" s="448"/>
      <c r="AG498" s="448"/>
      <c r="AH498" s="449"/>
      <c r="AI498" s="447"/>
      <c r="AJ498" s="447"/>
      <c r="AK498" s="447"/>
      <c r="AL498" s="447"/>
      <c r="AM498" s="447"/>
      <c r="AN498" s="447"/>
      <c r="AO498" s="447"/>
      <c r="AP498" s="447"/>
      <c r="AQ498" s="447"/>
      <c r="AR498" s="447"/>
      <c r="AS498" s="447"/>
      <c r="AT498" s="447"/>
      <c r="AU498" s="447"/>
      <c r="AV498" s="447"/>
      <c r="AW498" s="447"/>
      <c r="AX498" s="447"/>
      <c r="AY498" s="447"/>
      <c r="AZ498" s="447"/>
      <c r="BA498" s="447"/>
      <c r="BB498" s="447"/>
      <c r="BC498" s="447"/>
      <c r="BD498" s="447"/>
      <c r="BE498" s="447"/>
      <c r="BF498" s="447"/>
      <c r="BG498" s="447"/>
      <c r="BH498" s="447"/>
      <c r="BI498" s="447"/>
      <c r="BJ498" s="447"/>
      <c r="BK498" s="447"/>
      <c r="BL498" s="447"/>
      <c r="BM498" s="448"/>
      <c r="BN498" s="448"/>
    </row>
    <row r="499" spans="1:66" ht="11.25" customHeight="1">
      <c r="A499" s="450"/>
      <c r="B499" s="447"/>
      <c r="C499" s="447"/>
      <c r="D499" s="447"/>
      <c r="E499" s="447"/>
      <c r="F499" s="447"/>
      <c r="G499" s="447"/>
      <c r="H499" s="447"/>
      <c r="I499" s="447"/>
      <c r="J499" s="447"/>
      <c r="K499" s="447"/>
      <c r="L499" s="447"/>
      <c r="M499" s="447"/>
      <c r="N499" s="447"/>
      <c r="O499" s="447"/>
      <c r="P499" s="447"/>
      <c r="Q499" s="447"/>
      <c r="R499" s="447"/>
      <c r="S499" s="447"/>
      <c r="T499" s="447"/>
      <c r="U499" s="447"/>
      <c r="V499" s="447"/>
      <c r="W499" s="447"/>
      <c r="X499" s="447"/>
      <c r="Y499" s="447"/>
      <c r="Z499" s="447"/>
      <c r="AA499" s="447"/>
      <c r="AB499" s="447"/>
      <c r="AC499" s="447"/>
      <c r="AD499" s="447"/>
      <c r="AE499" s="447"/>
      <c r="AF499" s="448"/>
      <c r="AG499" s="448"/>
      <c r="AH499" s="449"/>
      <c r="AI499" s="447"/>
      <c r="AJ499" s="447"/>
      <c r="AK499" s="447"/>
      <c r="AL499" s="447"/>
      <c r="AM499" s="447"/>
      <c r="AN499" s="447"/>
      <c r="AO499" s="447"/>
      <c r="AP499" s="447"/>
      <c r="AQ499" s="447"/>
      <c r="AR499" s="447"/>
      <c r="AS499" s="447"/>
      <c r="AT499" s="447"/>
      <c r="AU499" s="447"/>
      <c r="AV499" s="447"/>
      <c r="AW499" s="447"/>
      <c r="AX499" s="447"/>
      <c r="AY499" s="447"/>
      <c r="AZ499" s="447"/>
      <c r="BA499" s="447"/>
      <c r="BB499" s="447"/>
      <c r="BC499" s="447"/>
      <c r="BD499" s="447"/>
      <c r="BE499" s="447"/>
      <c r="BF499" s="447"/>
      <c r="BG499" s="447"/>
      <c r="BH499" s="447"/>
      <c r="BI499" s="447"/>
      <c r="BJ499" s="447"/>
      <c r="BK499" s="447"/>
      <c r="BL499" s="447"/>
      <c r="BM499" s="448"/>
      <c r="BN499" s="448"/>
    </row>
    <row r="500" spans="1:66" ht="11.25" customHeight="1">
      <c r="A500" s="450"/>
      <c r="B500" s="447"/>
      <c r="C500" s="447"/>
      <c r="D500" s="447"/>
      <c r="E500" s="447"/>
      <c r="F500" s="447"/>
      <c r="G500" s="447"/>
      <c r="H500" s="447"/>
      <c r="I500" s="447"/>
      <c r="J500" s="447"/>
      <c r="K500" s="447"/>
      <c r="L500" s="447"/>
      <c r="M500" s="447"/>
      <c r="N500" s="447"/>
      <c r="O500" s="447"/>
      <c r="P500" s="447"/>
      <c r="Q500" s="447"/>
      <c r="R500" s="447"/>
      <c r="S500" s="447"/>
      <c r="T500" s="447"/>
      <c r="U500" s="447"/>
      <c r="V500" s="447"/>
      <c r="W500" s="447"/>
      <c r="X500" s="447"/>
      <c r="Y500" s="447"/>
      <c r="Z500" s="447"/>
      <c r="AA500" s="447"/>
      <c r="AB500" s="447"/>
      <c r="AC500" s="447"/>
      <c r="AD500" s="447"/>
      <c r="AE500" s="447"/>
      <c r="AF500" s="448"/>
      <c r="AG500" s="448"/>
      <c r="AH500" s="449"/>
      <c r="AI500" s="447"/>
      <c r="AJ500" s="447"/>
      <c r="AK500" s="447"/>
      <c r="AL500" s="447"/>
      <c r="AM500" s="447"/>
      <c r="AN500" s="447"/>
      <c r="AO500" s="447"/>
      <c r="AP500" s="447"/>
      <c r="AQ500" s="447"/>
      <c r="AR500" s="447"/>
      <c r="AS500" s="447"/>
      <c r="AT500" s="447"/>
      <c r="AU500" s="447"/>
      <c r="AV500" s="447"/>
      <c r="AW500" s="447"/>
      <c r="AX500" s="447"/>
      <c r="AY500" s="447"/>
      <c r="AZ500" s="447"/>
      <c r="BA500" s="447"/>
      <c r="BB500" s="447"/>
      <c r="BC500" s="447"/>
      <c r="BD500" s="447"/>
      <c r="BE500" s="447"/>
      <c r="BF500" s="447"/>
      <c r="BG500" s="447"/>
      <c r="BH500" s="447"/>
      <c r="BI500" s="447"/>
      <c r="BJ500" s="447"/>
      <c r="BK500" s="447"/>
      <c r="BL500" s="447"/>
      <c r="BM500" s="448"/>
      <c r="BN500" s="448"/>
    </row>
    <row r="501" spans="1:66" ht="11.25" customHeight="1">
      <c r="A501" s="450"/>
      <c r="B501" s="447"/>
      <c r="C501" s="447"/>
      <c r="D501" s="447"/>
      <c r="E501" s="447"/>
      <c r="F501" s="447"/>
      <c r="G501" s="447"/>
      <c r="H501" s="447"/>
      <c r="I501" s="447"/>
      <c r="J501" s="447"/>
      <c r="K501" s="447"/>
      <c r="L501" s="447"/>
      <c r="M501" s="447"/>
      <c r="N501" s="447"/>
      <c r="O501" s="447"/>
      <c r="P501" s="447"/>
      <c r="Q501" s="447"/>
      <c r="R501" s="447"/>
      <c r="S501" s="447"/>
      <c r="T501" s="447"/>
      <c r="U501" s="447"/>
      <c r="V501" s="447"/>
      <c r="W501" s="447"/>
      <c r="X501" s="447"/>
      <c r="Y501" s="447"/>
      <c r="Z501" s="447"/>
      <c r="AA501" s="447"/>
      <c r="AB501" s="447"/>
      <c r="AC501" s="447"/>
      <c r="AD501" s="447"/>
      <c r="AE501" s="447"/>
      <c r="AF501" s="448"/>
      <c r="AG501" s="448"/>
      <c r="AH501" s="449"/>
      <c r="AI501" s="447"/>
      <c r="AJ501" s="447"/>
      <c r="AK501" s="447"/>
      <c r="AL501" s="447"/>
      <c r="AM501" s="447"/>
      <c r="AN501" s="447"/>
      <c r="AO501" s="447"/>
      <c r="AP501" s="447"/>
      <c r="AQ501" s="447"/>
      <c r="AR501" s="447"/>
      <c r="AS501" s="447"/>
      <c r="AT501" s="447"/>
      <c r="AU501" s="447"/>
      <c r="AV501" s="447"/>
      <c r="AW501" s="447"/>
      <c r="AX501" s="447"/>
      <c r="AY501" s="447"/>
      <c r="AZ501" s="447"/>
      <c r="BA501" s="447"/>
      <c r="BB501" s="447"/>
      <c r="BC501" s="447"/>
      <c r="BD501" s="447"/>
      <c r="BE501" s="447"/>
      <c r="BF501" s="447"/>
      <c r="BG501" s="447"/>
      <c r="BH501" s="447"/>
      <c r="BI501" s="447"/>
      <c r="BJ501" s="447"/>
      <c r="BK501" s="447"/>
      <c r="BL501" s="447"/>
      <c r="BM501" s="448"/>
      <c r="BN501" s="448"/>
    </row>
    <row r="502" spans="1:66" ht="11.25" customHeight="1">
      <c r="A502" s="450"/>
      <c r="B502" s="447"/>
      <c r="C502" s="447"/>
      <c r="D502" s="447"/>
      <c r="E502" s="447"/>
      <c r="F502" s="447"/>
      <c r="G502" s="447"/>
      <c r="H502" s="447"/>
      <c r="I502" s="447"/>
      <c r="J502" s="447"/>
      <c r="K502" s="447"/>
      <c r="L502" s="447"/>
      <c r="M502" s="447"/>
      <c r="N502" s="447"/>
      <c r="O502" s="447"/>
      <c r="P502" s="447"/>
      <c r="Q502" s="447"/>
      <c r="R502" s="447"/>
      <c r="S502" s="447"/>
      <c r="T502" s="447"/>
      <c r="U502" s="447"/>
      <c r="V502" s="447"/>
      <c r="W502" s="447"/>
      <c r="X502" s="447"/>
      <c r="Y502" s="447"/>
      <c r="Z502" s="447"/>
      <c r="AA502" s="447"/>
      <c r="AB502" s="447"/>
      <c r="AC502" s="447"/>
      <c r="AD502" s="447"/>
      <c r="AE502" s="447"/>
      <c r="AF502" s="448"/>
      <c r="AG502" s="448"/>
      <c r="AH502" s="449"/>
      <c r="AI502" s="447"/>
      <c r="AJ502" s="447"/>
      <c r="AK502" s="447"/>
      <c r="AL502" s="447"/>
      <c r="AM502" s="447"/>
      <c r="AN502" s="447"/>
      <c r="AO502" s="447"/>
      <c r="AP502" s="447"/>
      <c r="AQ502" s="447"/>
      <c r="AR502" s="447"/>
      <c r="AS502" s="447"/>
      <c r="AT502" s="447"/>
      <c r="AU502" s="447"/>
      <c r="AV502" s="447"/>
      <c r="AW502" s="447"/>
      <c r="AX502" s="447"/>
      <c r="AY502" s="447"/>
      <c r="AZ502" s="447"/>
      <c r="BA502" s="447"/>
      <c r="BB502" s="447"/>
      <c r="BC502" s="447"/>
      <c r="BD502" s="447"/>
      <c r="BE502" s="447"/>
      <c r="BF502" s="447"/>
      <c r="BG502" s="447"/>
      <c r="BH502" s="447"/>
      <c r="BI502" s="447"/>
      <c r="BJ502" s="447"/>
      <c r="BK502" s="447"/>
      <c r="BL502" s="447"/>
      <c r="BM502" s="448"/>
      <c r="BN502" s="448"/>
    </row>
    <row r="503" spans="1:66" ht="11.25" customHeight="1">
      <c r="A503" s="450"/>
      <c r="B503" s="447"/>
      <c r="C503" s="447"/>
      <c r="D503" s="447"/>
      <c r="E503" s="447"/>
      <c r="F503" s="447"/>
      <c r="G503" s="447"/>
      <c r="H503" s="447"/>
      <c r="I503" s="447"/>
      <c r="J503" s="447"/>
      <c r="K503" s="447"/>
      <c r="L503" s="447"/>
      <c r="M503" s="447"/>
      <c r="N503" s="447"/>
      <c r="O503" s="447"/>
      <c r="P503" s="447"/>
      <c r="Q503" s="447"/>
      <c r="R503" s="447"/>
      <c r="S503" s="447"/>
      <c r="T503" s="447"/>
      <c r="U503" s="447"/>
      <c r="V503" s="447"/>
      <c r="W503" s="447"/>
      <c r="X503" s="447"/>
      <c r="Y503" s="447"/>
      <c r="Z503" s="447"/>
      <c r="AA503" s="447"/>
      <c r="AB503" s="447"/>
      <c r="AC503" s="447"/>
      <c r="AD503" s="447"/>
      <c r="AE503" s="447"/>
      <c r="AF503" s="448"/>
      <c r="AG503" s="448"/>
      <c r="AH503" s="449"/>
      <c r="AI503" s="447"/>
      <c r="AJ503" s="447"/>
      <c r="AK503" s="447"/>
      <c r="AL503" s="447"/>
      <c r="AM503" s="447"/>
      <c r="AN503" s="447"/>
      <c r="AO503" s="447"/>
      <c r="AP503" s="447"/>
      <c r="AQ503" s="447"/>
      <c r="AR503" s="447"/>
      <c r="AS503" s="447"/>
      <c r="AT503" s="447"/>
      <c r="AU503" s="447"/>
      <c r="AV503" s="447"/>
      <c r="AW503" s="447"/>
      <c r="AX503" s="447"/>
      <c r="AY503" s="447"/>
      <c r="AZ503" s="447"/>
      <c r="BA503" s="447"/>
      <c r="BB503" s="447"/>
      <c r="BC503" s="447"/>
      <c r="BD503" s="447"/>
      <c r="BE503" s="447"/>
      <c r="BF503" s="447"/>
      <c r="BG503" s="447"/>
      <c r="BH503" s="447"/>
      <c r="BI503" s="447"/>
      <c r="BJ503" s="447"/>
      <c r="BK503" s="447"/>
      <c r="BL503" s="447"/>
      <c r="BM503" s="448"/>
      <c r="BN503" s="448"/>
    </row>
    <row r="504" spans="1:66" ht="11.25" customHeight="1">
      <c r="A504" s="450"/>
      <c r="B504" s="447"/>
      <c r="C504" s="447"/>
      <c r="D504" s="447"/>
      <c r="E504" s="447"/>
      <c r="F504" s="447"/>
      <c r="G504" s="447"/>
      <c r="H504" s="447"/>
      <c r="I504" s="447"/>
      <c r="J504" s="447"/>
      <c r="K504" s="447"/>
      <c r="L504" s="447"/>
      <c r="M504" s="447"/>
      <c r="N504" s="447"/>
      <c r="O504" s="447"/>
      <c r="P504" s="447"/>
      <c r="Q504" s="447"/>
      <c r="R504" s="447"/>
      <c r="S504" s="447"/>
      <c r="T504" s="447"/>
      <c r="U504" s="447"/>
      <c r="V504" s="447"/>
      <c r="W504" s="447"/>
      <c r="X504" s="447"/>
      <c r="Y504" s="447"/>
      <c r="Z504" s="447"/>
      <c r="AA504" s="447"/>
      <c r="AB504" s="447"/>
      <c r="AC504" s="447"/>
      <c r="AD504" s="447"/>
      <c r="AE504" s="447"/>
      <c r="AF504" s="448"/>
      <c r="AG504" s="448"/>
      <c r="AH504" s="449"/>
      <c r="AI504" s="447"/>
      <c r="AJ504" s="447"/>
      <c r="AK504" s="447"/>
      <c r="AL504" s="447"/>
      <c r="AM504" s="447"/>
      <c r="AN504" s="447"/>
      <c r="AO504" s="447"/>
      <c r="AP504" s="447"/>
      <c r="AQ504" s="447"/>
      <c r="AR504" s="447"/>
      <c r="AS504" s="447"/>
      <c r="AT504" s="447"/>
      <c r="AU504" s="447"/>
      <c r="AV504" s="447"/>
      <c r="AW504" s="447"/>
      <c r="AX504" s="447"/>
      <c r="AY504" s="447"/>
      <c r="AZ504" s="447"/>
      <c r="BA504" s="447"/>
      <c r="BB504" s="447"/>
      <c r="BC504" s="447"/>
      <c r="BD504" s="447"/>
      <c r="BE504" s="447"/>
      <c r="BF504" s="447"/>
      <c r="BG504" s="447"/>
      <c r="BH504" s="447"/>
      <c r="BI504" s="447"/>
      <c r="BJ504" s="447"/>
      <c r="BK504" s="447"/>
      <c r="BL504" s="447"/>
      <c r="BM504" s="448"/>
      <c r="BN504" s="448"/>
    </row>
    <row r="505" spans="1:66" ht="11.25" customHeight="1">
      <c r="A505" s="450"/>
      <c r="B505" s="447"/>
      <c r="C505" s="447"/>
      <c r="D505" s="447"/>
      <c r="E505" s="447"/>
      <c r="F505" s="447"/>
      <c r="G505" s="447"/>
      <c r="H505" s="447"/>
      <c r="I505" s="447"/>
      <c r="J505" s="447"/>
      <c r="K505" s="447"/>
      <c r="L505" s="447"/>
      <c r="M505" s="447"/>
      <c r="N505" s="447"/>
      <c r="O505" s="447"/>
      <c r="P505" s="447"/>
      <c r="Q505" s="447"/>
      <c r="R505" s="447"/>
      <c r="S505" s="447"/>
      <c r="T505" s="447"/>
      <c r="U505" s="447"/>
      <c r="V505" s="447"/>
      <c r="W505" s="447"/>
      <c r="X505" s="447"/>
      <c r="Y505" s="447"/>
      <c r="Z505" s="447"/>
      <c r="AA505" s="447"/>
      <c r="AB505" s="447"/>
      <c r="AC505" s="447"/>
      <c r="AD505" s="447"/>
      <c r="AE505" s="447"/>
      <c r="AF505" s="448"/>
      <c r="AG505" s="448"/>
      <c r="AH505" s="449"/>
      <c r="AI505" s="447"/>
      <c r="AJ505" s="447"/>
      <c r="AK505" s="447"/>
      <c r="AL505" s="447"/>
      <c r="AM505" s="447"/>
      <c r="AN505" s="447"/>
      <c r="AO505" s="447"/>
      <c r="AP505" s="447"/>
      <c r="AQ505" s="447"/>
      <c r="AR505" s="447"/>
      <c r="AS505" s="447"/>
      <c r="AT505" s="447"/>
      <c r="AU505" s="447"/>
      <c r="AV505" s="447"/>
      <c r="AW505" s="447"/>
      <c r="AX505" s="447"/>
      <c r="AY505" s="447"/>
      <c r="AZ505" s="447"/>
      <c r="BA505" s="447"/>
      <c r="BB505" s="447"/>
      <c r="BC505" s="447"/>
      <c r="BD505" s="447"/>
      <c r="BE505" s="447"/>
      <c r="BF505" s="447"/>
      <c r="BG505" s="447"/>
      <c r="BH505" s="447"/>
      <c r="BI505" s="447"/>
      <c r="BJ505" s="447"/>
      <c r="BK505" s="447"/>
      <c r="BL505" s="447"/>
      <c r="BM505" s="448"/>
      <c r="BN505" s="448"/>
    </row>
    <row r="506" spans="1:66" ht="11.25" customHeight="1">
      <c r="A506" s="450"/>
      <c r="B506" s="447"/>
      <c r="C506" s="447"/>
      <c r="D506" s="447"/>
      <c r="E506" s="447"/>
      <c r="F506" s="447"/>
      <c r="G506" s="447"/>
      <c r="H506" s="447"/>
      <c r="I506" s="447"/>
      <c r="J506" s="447"/>
      <c r="K506" s="447"/>
      <c r="L506" s="447"/>
      <c r="M506" s="447"/>
      <c r="N506" s="447"/>
      <c r="O506" s="447"/>
      <c r="P506" s="447"/>
      <c r="Q506" s="447"/>
      <c r="R506" s="447"/>
      <c r="S506" s="447"/>
      <c r="T506" s="447"/>
      <c r="U506" s="447"/>
      <c r="V506" s="447"/>
      <c r="W506" s="447"/>
      <c r="X506" s="447"/>
      <c r="Y506" s="447"/>
      <c r="Z506" s="447"/>
      <c r="AA506" s="447"/>
      <c r="AB506" s="447"/>
      <c r="AC506" s="447"/>
      <c r="AD506" s="447"/>
      <c r="AE506" s="447"/>
      <c r="AF506" s="448"/>
      <c r="AG506" s="448"/>
      <c r="AH506" s="449"/>
      <c r="AI506" s="447"/>
      <c r="AJ506" s="447"/>
      <c r="AK506" s="447"/>
      <c r="AL506" s="447"/>
      <c r="AM506" s="447"/>
      <c r="AN506" s="447"/>
      <c r="AO506" s="447"/>
      <c r="AP506" s="447"/>
      <c r="AQ506" s="447"/>
      <c r="AR506" s="447"/>
      <c r="AS506" s="447"/>
      <c r="AT506" s="447"/>
      <c r="AU506" s="447"/>
      <c r="AV506" s="447"/>
      <c r="AW506" s="447"/>
      <c r="AX506" s="447"/>
      <c r="AY506" s="447"/>
      <c r="AZ506" s="447"/>
      <c r="BA506" s="447"/>
      <c r="BB506" s="447"/>
      <c r="BC506" s="447"/>
      <c r="BD506" s="447"/>
      <c r="BE506" s="447"/>
      <c r="BF506" s="447"/>
      <c r="BG506" s="447"/>
      <c r="BH506" s="447"/>
      <c r="BI506" s="447"/>
      <c r="BJ506" s="447"/>
      <c r="BK506" s="447"/>
      <c r="BL506" s="447"/>
      <c r="BM506" s="448"/>
      <c r="BN506" s="448"/>
    </row>
    <row r="507" spans="1:66" ht="11.25" customHeight="1">
      <c r="A507" s="450"/>
      <c r="B507" s="447"/>
      <c r="C507" s="447"/>
      <c r="D507" s="447"/>
      <c r="E507" s="447"/>
      <c r="F507" s="447"/>
      <c r="G507" s="447"/>
      <c r="H507" s="447"/>
      <c r="I507" s="447"/>
      <c r="J507" s="447"/>
      <c r="K507" s="447"/>
      <c r="L507" s="447"/>
      <c r="M507" s="447"/>
      <c r="N507" s="447"/>
      <c r="O507" s="447"/>
      <c r="P507" s="447"/>
      <c r="Q507" s="447"/>
      <c r="R507" s="447"/>
      <c r="S507" s="447"/>
      <c r="T507" s="447"/>
      <c r="U507" s="447"/>
      <c r="V507" s="447"/>
      <c r="W507" s="447"/>
      <c r="X507" s="447"/>
      <c r="Y507" s="447"/>
      <c r="Z507" s="447"/>
      <c r="AA507" s="447"/>
      <c r="AB507" s="447"/>
      <c r="AC507" s="447"/>
      <c r="AD507" s="447"/>
      <c r="AE507" s="447"/>
      <c r="AF507" s="448"/>
      <c r="AG507" s="448"/>
      <c r="AH507" s="449"/>
      <c r="AI507" s="447"/>
      <c r="AJ507" s="447"/>
      <c r="AK507" s="447"/>
      <c r="AL507" s="447"/>
      <c r="AM507" s="447"/>
      <c r="AN507" s="447"/>
      <c r="AO507" s="447"/>
      <c r="AP507" s="447"/>
      <c r="AQ507" s="447"/>
      <c r="AR507" s="447"/>
      <c r="AS507" s="447"/>
      <c r="AT507" s="447"/>
      <c r="AU507" s="447"/>
      <c r="AV507" s="447"/>
      <c r="AW507" s="447"/>
      <c r="AX507" s="447"/>
      <c r="AY507" s="447"/>
      <c r="AZ507" s="447"/>
      <c r="BA507" s="447"/>
      <c r="BB507" s="447"/>
      <c r="BC507" s="447"/>
      <c r="BD507" s="447"/>
      <c r="BE507" s="447"/>
      <c r="BF507" s="447"/>
      <c r="BG507" s="447"/>
      <c r="BH507" s="447"/>
      <c r="BI507" s="447"/>
      <c r="BJ507" s="447"/>
      <c r="BK507" s="447"/>
      <c r="BL507" s="447"/>
      <c r="BM507" s="448"/>
      <c r="BN507" s="448"/>
    </row>
    <row r="508" spans="1:66" ht="11.25" customHeight="1">
      <c r="A508" s="450"/>
      <c r="B508" s="447"/>
      <c r="C508" s="447"/>
      <c r="D508" s="447"/>
      <c r="E508" s="447"/>
      <c r="F508" s="447"/>
      <c r="G508" s="447"/>
      <c r="H508" s="447"/>
      <c r="I508" s="447"/>
      <c r="J508" s="447"/>
      <c r="K508" s="447"/>
      <c r="L508" s="447"/>
      <c r="M508" s="447"/>
      <c r="N508" s="447"/>
      <c r="O508" s="447"/>
      <c r="P508" s="447"/>
      <c r="Q508" s="447"/>
      <c r="R508" s="447"/>
      <c r="S508" s="447"/>
      <c r="T508" s="447"/>
      <c r="U508" s="447"/>
      <c r="V508" s="447"/>
      <c r="W508" s="447"/>
      <c r="X508" s="447"/>
      <c r="Y508" s="447"/>
      <c r="Z508" s="447"/>
      <c r="AA508" s="447"/>
      <c r="AB508" s="447"/>
      <c r="AC508" s="447"/>
      <c r="AD508" s="447"/>
      <c r="AE508" s="447"/>
      <c r="AF508" s="448"/>
      <c r="AG508" s="448"/>
      <c r="AH508" s="449"/>
      <c r="AI508" s="447"/>
      <c r="AJ508" s="447"/>
      <c r="AK508" s="447"/>
      <c r="AL508" s="447"/>
      <c r="AM508" s="447"/>
      <c r="AN508" s="447"/>
      <c r="AO508" s="447"/>
      <c r="AP508" s="447"/>
      <c r="AQ508" s="447"/>
      <c r="AR508" s="447"/>
      <c r="AS508" s="447"/>
      <c r="AT508" s="447"/>
      <c r="AU508" s="447"/>
      <c r="AV508" s="447"/>
      <c r="AW508" s="447"/>
      <c r="AX508" s="447"/>
      <c r="AY508" s="447"/>
      <c r="AZ508" s="447"/>
      <c r="BA508" s="447"/>
      <c r="BB508" s="447"/>
      <c r="BC508" s="447"/>
      <c r="BD508" s="447"/>
      <c r="BE508" s="447"/>
      <c r="BF508" s="447"/>
      <c r="BG508" s="447"/>
      <c r="BH508" s="447"/>
      <c r="BI508" s="447"/>
      <c r="BJ508" s="447"/>
      <c r="BK508" s="447"/>
      <c r="BL508" s="447"/>
      <c r="BM508" s="448"/>
      <c r="BN508" s="448"/>
    </row>
    <row r="509" spans="1:66" ht="11.25" customHeight="1">
      <c r="A509" s="450"/>
      <c r="B509" s="447"/>
      <c r="C509" s="447"/>
      <c r="D509" s="447"/>
      <c r="E509" s="447"/>
      <c r="F509" s="447"/>
      <c r="G509" s="447"/>
      <c r="H509" s="447"/>
      <c r="I509" s="447"/>
      <c r="J509" s="447"/>
      <c r="K509" s="447"/>
      <c r="L509" s="447"/>
      <c r="M509" s="447"/>
      <c r="N509" s="447"/>
      <c r="O509" s="447"/>
      <c r="P509" s="447"/>
      <c r="Q509" s="447"/>
      <c r="R509" s="447"/>
      <c r="S509" s="447"/>
      <c r="T509" s="447"/>
      <c r="U509" s="447"/>
      <c r="V509" s="447"/>
      <c r="W509" s="447"/>
      <c r="X509" s="447"/>
      <c r="Y509" s="447"/>
      <c r="Z509" s="447"/>
      <c r="AA509" s="447"/>
      <c r="AB509" s="447"/>
      <c r="AC509" s="447"/>
      <c r="AD509" s="447"/>
      <c r="AE509" s="447"/>
      <c r="AF509" s="448"/>
      <c r="AG509" s="448"/>
      <c r="AH509" s="449"/>
      <c r="AI509" s="447"/>
      <c r="AJ509" s="447"/>
      <c r="AK509" s="447"/>
      <c r="AL509" s="447"/>
      <c r="AM509" s="447"/>
      <c r="AN509" s="447"/>
      <c r="AO509" s="447"/>
      <c r="AP509" s="447"/>
      <c r="AQ509" s="447"/>
      <c r="AR509" s="447"/>
      <c r="AS509" s="447"/>
      <c r="AT509" s="447"/>
      <c r="AU509" s="447"/>
      <c r="AV509" s="447"/>
      <c r="AW509" s="447"/>
      <c r="AX509" s="447"/>
      <c r="AY509" s="447"/>
      <c r="AZ509" s="447"/>
      <c r="BA509" s="447"/>
      <c r="BB509" s="447"/>
      <c r="BC509" s="447"/>
      <c r="BD509" s="447"/>
      <c r="BE509" s="447"/>
      <c r="BF509" s="447"/>
      <c r="BG509" s="447"/>
      <c r="BH509" s="447"/>
      <c r="BI509" s="447"/>
      <c r="BJ509" s="447"/>
      <c r="BK509" s="447"/>
      <c r="BL509" s="447"/>
      <c r="BM509" s="448"/>
      <c r="BN509" s="448"/>
    </row>
    <row r="510" spans="1:66" ht="11.25" customHeight="1">
      <c r="A510" s="450"/>
      <c r="B510" s="447"/>
      <c r="C510" s="447"/>
      <c r="D510" s="447"/>
      <c r="E510" s="447"/>
      <c r="F510" s="447"/>
      <c r="G510" s="447"/>
      <c r="H510" s="447"/>
      <c r="I510" s="447"/>
      <c r="J510" s="447"/>
      <c r="K510" s="447"/>
      <c r="L510" s="447"/>
      <c r="M510" s="447"/>
      <c r="N510" s="447"/>
      <c r="O510" s="447"/>
      <c r="P510" s="447"/>
      <c r="Q510" s="447"/>
      <c r="R510" s="447"/>
      <c r="S510" s="447"/>
      <c r="T510" s="447"/>
      <c r="U510" s="447"/>
      <c r="V510" s="447"/>
      <c r="W510" s="447"/>
      <c r="X510" s="447"/>
      <c r="Y510" s="447"/>
      <c r="Z510" s="447"/>
      <c r="AA510" s="447"/>
      <c r="AB510" s="447"/>
      <c r="AC510" s="447"/>
      <c r="AD510" s="447"/>
      <c r="AE510" s="447"/>
      <c r="AF510" s="448"/>
      <c r="AG510" s="448"/>
      <c r="AH510" s="449"/>
      <c r="AI510" s="447"/>
      <c r="AJ510" s="447"/>
      <c r="AK510" s="447"/>
      <c r="AL510" s="447"/>
      <c r="AM510" s="447"/>
      <c r="AN510" s="447"/>
      <c r="AO510" s="447"/>
      <c r="AP510" s="447"/>
      <c r="AQ510" s="447"/>
      <c r="AR510" s="447"/>
      <c r="AS510" s="447"/>
      <c r="AT510" s="447"/>
      <c r="AU510" s="447"/>
      <c r="AV510" s="447"/>
      <c r="AW510" s="447"/>
      <c r="AX510" s="447"/>
      <c r="AY510" s="447"/>
      <c r="AZ510" s="447"/>
      <c r="BA510" s="447"/>
      <c r="BB510" s="447"/>
      <c r="BC510" s="447"/>
      <c r="BD510" s="447"/>
      <c r="BE510" s="447"/>
      <c r="BF510" s="447"/>
      <c r="BG510" s="447"/>
      <c r="BH510" s="447"/>
      <c r="BI510" s="447"/>
      <c r="BJ510" s="447"/>
      <c r="BK510" s="447"/>
      <c r="BL510" s="447"/>
      <c r="BM510" s="448"/>
      <c r="BN510" s="448"/>
    </row>
    <row r="511" spans="1:66" ht="11.25" customHeight="1">
      <c r="A511" s="450"/>
      <c r="B511" s="447"/>
      <c r="C511" s="447"/>
      <c r="D511" s="447"/>
      <c r="E511" s="447"/>
      <c r="F511" s="447"/>
      <c r="G511" s="447"/>
      <c r="H511" s="447"/>
      <c r="I511" s="447"/>
      <c r="J511" s="447"/>
      <c r="K511" s="447"/>
      <c r="L511" s="447"/>
      <c r="M511" s="447"/>
      <c r="N511" s="447"/>
      <c r="O511" s="447"/>
      <c r="P511" s="447"/>
      <c r="Q511" s="447"/>
      <c r="R511" s="447"/>
      <c r="S511" s="447"/>
      <c r="T511" s="447"/>
      <c r="U511" s="447"/>
      <c r="V511" s="447"/>
      <c r="W511" s="447"/>
      <c r="X511" s="447"/>
      <c r="Y511" s="447"/>
      <c r="Z511" s="447"/>
      <c r="AA511" s="447"/>
      <c r="AB511" s="447"/>
      <c r="AC511" s="447"/>
      <c r="AD511" s="447"/>
      <c r="AE511" s="447"/>
      <c r="AF511" s="448"/>
      <c r="AG511" s="448"/>
      <c r="AH511" s="449"/>
      <c r="AI511" s="447"/>
      <c r="AJ511" s="447"/>
      <c r="AK511" s="447"/>
      <c r="AL511" s="447"/>
      <c r="AM511" s="447"/>
      <c r="AN511" s="447"/>
      <c r="AO511" s="447"/>
      <c r="AP511" s="447"/>
      <c r="AQ511" s="447"/>
      <c r="AR511" s="447"/>
      <c r="AS511" s="447"/>
      <c r="AT511" s="447"/>
      <c r="AU511" s="447"/>
      <c r="AV511" s="447"/>
      <c r="AW511" s="447"/>
      <c r="AX511" s="447"/>
      <c r="AY511" s="447"/>
      <c r="AZ511" s="447"/>
      <c r="BA511" s="447"/>
      <c r="BB511" s="447"/>
      <c r="BC511" s="447"/>
      <c r="BD511" s="447"/>
      <c r="BE511" s="447"/>
      <c r="BF511" s="447"/>
      <c r="BG511" s="447"/>
      <c r="BH511" s="447"/>
      <c r="BI511" s="447"/>
      <c r="BJ511" s="447"/>
      <c r="BK511" s="447"/>
      <c r="BL511" s="447"/>
      <c r="BM511" s="448"/>
      <c r="BN511" s="448"/>
    </row>
    <row r="512" spans="1:66" ht="11.25" customHeight="1">
      <c r="A512" s="450"/>
      <c r="B512" s="447"/>
      <c r="C512" s="447"/>
      <c r="D512" s="447"/>
      <c r="E512" s="447"/>
      <c r="F512" s="447"/>
      <c r="G512" s="447"/>
      <c r="H512" s="447"/>
      <c r="I512" s="447"/>
      <c r="J512" s="447"/>
      <c r="K512" s="447"/>
      <c r="L512" s="447"/>
      <c r="M512" s="447"/>
      <c r="N512" s="447"/>
      <c r="O512" s="447"/>
      <c r="P512" s="447"/>
      <c r="Q512" s="447"/>
      <c r="R512" s="447"/>
      <c r="S512" s="447"/>
      <c r="T512" s="447"/>
      <c r="U512" s="447"/>
      <c r="V512" s="447"/>
      <c r="W512" s="447"/>
      <c r="X512" s="447"/>
      <c r="Y512" s="447"/>
      <c r="Z512" s="447"/>
      <c r="AA512" s="447"/>
      <c r="AB512" s="447"/>
      <c r="AC512" s="447"/>
      <c r="AD512" s="447"/>
      <c r="AE512" s="447"/>
      <c r="AF512" s="448"/>
      <c r="AG512" s="448"/>
      <c r="AH512" s="449"/>
      <c r="AI512" s="447"/>
      <c r="AJ512" s="447"/>
      <c r="AK512" s="447"/>
      <c r="AL512" s="447"/>
      <c r="AM512" s="447"/>
      <c r="AN512" s="447"/>
      <c r="AO512" s="447"/>
      <c r="AP512" s="447"/>
      <c r="AQ512" s="447"/>
      <c r="AR512" s="447"/>
      <c r="AS512" s="447"/>
      <c r="AT512" s="447"/>
      <c r="AU512" s="447"/>
      <c r="AV512" s="447"/>
      <c r="AW512" s="447"/>
      <c r="AX512" s="447"/>
      <c r="AY512" s="447"/>
      <c r="AZ512" s="447"/>
      <c r="BA512" s="447"/>
      <c r="BB512" s="447"/>
      <c r="BC512" s="447"/>
      <c r="BD512" s="447"/>
      <c r="BE512" s="447"/>
      <c r="BF512" s="447"/>
      <c r="BG512" s="447"/>
      <c r="BH512" s="447"/>
      <c r="BI512" s="447"/>
      <c r="BJ512" s="447"/>
      <c r="BK512" s="447"/>
      <c r="BL512" s="447"/>
      <c r="BM512" s="448"/>
      <c r="BN512" s="448"/>
    </row>
    <row r="513" spans="1:66" ht="11.25" customHeight="1">
      <c r="A513" s="450"/>
      <c r="B513" s="447"/>
      <c r="C513" s="447"/>
      <c r="D513" s="447"/>
      <c r="E513" s="447"/>
      <c r="F513" s="447"/>
      <c r="G513" s="447"/>
      <c r="H513" s="447"/>
      <c r="I513" s="447"/>
      <c r="J513" s="447"/>
      <c r="K513" s="447"/>
      <c r="L513" s="447"/>
      <c r="M513" s="447"/>
      <c r="N513" s="447"/>
      <c r="O513" s="447"/>
      <c r="P513" s="447"/>
      <c r="Q513" s="447"/>
      <c r="R513" s="447"/>
      <c r="S513" s="447"/>
      <c r="T513" s="447"/>
      <c r="U513" s="447"/>
      <c r="V513" s="447"/>
      <c r="W513" s="447"/>
      <c r="X513" s="447"/>
      <c r="Y513" s="447"/>
      <c r="Z513" s="447"/>
      <c r="AA513" s="447"/>
      <c r="AB513" s="447"/>
      <c r="AC513" s="447"/>
      <c r="AD513" s="447"/>
      <c r="AE513" s="447"/>
      <c r="AF513" s="448"/>
      <c r="AG513" s="448"/>
      <c r="AH513" s="449"/>
      <c r="AI513" s="447"/>
      <c r="AJ513" s="447"/>
      <c r="AK513" s="447"/>
      <c r="AL513" s="447"/>
      <c r="AM513" s="447"/>
      <c r="AN513" s="447"/>
      <c r="AO513" s="447"/>
      <c r="AP513" s="447"/>
      <c r="AQ513" s="447"/>
      <c r="AR513" s="447"/>
      <c r="AS513" s="447"/>
      <c r="AT513" s="447"/>
      <c r="AU513" s="447"/>
      <c r="AV513" s="447"/>
      <c r="AW513" s="447"/>
      <c r="AX513" s="447"/>
      <c r="AY513" s="447"/>
      <c r="AZ513" s="447"/>
      <c r="BA513" s="447"/>
      <c r="BB513" s="447"/>
      <c r="BC513" s="447"/>
      <c r="BD513" s="447"/>
      <c r="BE513" s="447"/>
      <c r="BF513" s="447"/>
      <c r="BG513" s="447"/>
      <c r="BH513" s="447"/>
      <c r="BI513" s="447"/>
      <c r="BJ513" s="447"/>
      <c r="BK513" s="447"/>
      <c r="BL513" s="447"/>
      <c r="BM513" s="448"/>
      <c r="BN513" s="448"/>
    </row>
    <row r="514" spans="1:66" ht="11.25" customHeight="1">
      <c r="A514" s="450"/>
      <c r="B514" s="447"/>
      <c r="C514" s="447"/>
      <c r="D514" s="447"/>
      <c r="E514" s="447"/>
      <c r="F514" s="447"/>
      <c r="G514" s="447"/>
      <c r="H514" s="447"/>
      <c r="I514" s="447"/>
      <c r="J514" s="447"/>
      <c r="K514" s="447"/>
      <c r="L514" s="447"/>
      <c r="M514" s="447"/>
      <c r="N514" s="447"/>
      <c r="O514" s="447"/>
      <c r="P514" s="447"/>
      <c r="Q514" s="447"/>
      <c r="R514" s="447"/>
      <c r="S514" s="447"/>
      <c r="T514" s="447"/>
      <c r="U514" s="447"/>
      <c r="V514" s="447"/>
      <c r="W514" s="447"/>
      <c r="X514" s="447"/>
      <c r="Y514" s="447"/>
      <c r="Z514" s="447"/>
      <c r="AA514" s="447"/>
      <c r="AB514" s="447"/>
      <c r="AC514" s="447"/>
      <c r="AD514" s="447"/>
      <c r="AE514" s="447"/>
      <c r="AF514" s="448"/>
      <c r="AG514" s="448"/>
      <c r="AH514" s="449"/>
      <c r="AI514" s="447"/>
      <c r="AJ514" s="447"/>
      <c r="AK514" s="447"/>
      <c r="AL514" s="447"/>
      <c r="AM514" s="447"/>
      <c r="AN514" s="447"/>
      <c r="AO514" s="447"/>
      <c r="AP514" s="447"/>
      <c r="AQ514" s="447"/>
      <c r="AR514" s="447"/>
      <c r="AS514" s="447"/>
      <c r="AT514" s="447"/>
      <c r="AU514" s="447"/>
      <c r="AV514" s="447"/>
      <c r="AW514" s="447"/>
      <c r="AX514" s="447"/>
      <c r="AY514" s="447"/>
      <c r="AZ514" s="447"/>
      <c r="BA514" s="447"/>
      <c r="BB514" s="447"/>
      <c r="BC514" s="447"/>
      <c r="BD514" s="447"/>
      <c r="BE514" s="447"/>
      <c r="BF514" s="447"/>
      <c r="BG514" s="447"/>
      <c r="BH514" s="447"/>
      <c r="BI514" s="447"/>
      <c r="BJ514" s="447"/>
      <c r="BK514" s="447"/>
      <c r="BL514" s="447"/>
      <c r="BM514" s="448"/>
      <c r="BN514" s="448"/>
    </row>
    <row r="515" spans="1:66" ht="11.25" customHeight="1">
      <c r="A515" s="450"/>
      <c r="B515" s="447"/>
      <c r="C515" s="447"/>
      <c r="D515" s="447"/>
      <c r="E515" s="447"/>
      <c r="F515" s="447"/>
      <c r="G515" s="447"/>
      <c r="H515" s="447"/>
      <c r="I515" s="447"/>
      <c r="J515" s="447"/>
      <c r="K515" s="447"/>
      <c r="L515" s="447"/>
      <c r="M515" s="447"/>
      <c r="N515" s="447"/>
      <c r="O515" s="447"/>
      <c r="P515" s="447"/>
      <c r="Q515" s="447"/>
      <c r="R515" s="447"/>
      <c r="S515" s="447"/>
      <c r="T515" s="447"/>
      <c r="U515" s="447"/>
      <c r="V515" s="447"/>
      <c r="W515" s="447"/>
      <c r="X515" s="447"/>
      <c r="Y515" s="447"/>
      <c r="Z515" s="447"/>
      <c r="AA515" s="447"/>
      <c r="AB515" s="447"/>
      <c r="AC515" s="447"/>
      <c r="AD515" s="447"/>
      <c r="AE515" s="447"/>
      <c r="AF515" s="448"/>
      <c r="AG515" s="448"/>
      <c r="AH515" s="449"/>
      <c r="AI515" s="447"/>
      <c r="AJ515" s="447"/>
      <c r="AK515" s="447"/>
      <c r="AL515" s="447"/>
      <c r="AM515" s="447"/>
      <c r="AN515" s="447"/>
      <c r="AO515" s="447"/>
      <c r="AP515" s="447"/>
      <c r="AQ515" s="447"/>
      <c r="AR515" s="447"/>
      <c r="AS515" s="447"/>
      <c r="AT515" s="447"/>
      <c r="AU515" s="447"/>
      <c r="AV515" s="447"/>
      <c r="AW515" s="447"/>
      <c r="AX515" s="447"/>
      <c r="AY515" s="447"/>
      <c r="AZ515" s="447"/>
      <c r="BA515" s="447"/>
      <c r="BB515" s="447"/>
      <c r="BC515" s="447"/>
      <c r="BD515" s="447"/>
      <c r="BE515" s="447"/>
      <c r="BF515" s="447"/>
      <c r="BG515" s="447"/>
      <c r="BH515" s="447"/>
      <c r="BI515" s="447"/>
      <c r="BJ515" s="447"/>
      <c r="BK515" s="447"/>
      <c r="BL515" s="447"/>
      <c r="BM515" s="448"/>
      <c r="BN515" s="448"/>
    </row>
    <row r="516" spans="1:66" ht="11.25" customHeight="1">
      <c r="A516" s="450"/>
      <c r="B516" s="447"/>
      <c r="C516" s="447"/>
      <c r="D516" s="447"/>
      <c r="E516" s="447"/>
      <c r="F516" s="447"/>
      <c r="G516" s="447"/>
      <c r="H516" s="447"/>
      <c r="I516" s="447"/>
      <c r="J516" s="447"/>
      <c r="K516" s="447"/>
      <c r="L516" s="447"/>
      <c r="M516" s="447"/>
      <c r="N516" s="447"/>
      <c r="O516" s="447"/>
      <c r="P516" s="447"/>
      <c r="Q516" s="447"/>
      <c r="R516" s="447"/>
      <c r="S516" s="447"/>
      <c r="T516" s="447"/>
      <c r="U516" s="447"/>
      <c r="V516" s="447"/>
      <c r="W516" s="447"/>
      <c r="X516" s="447"/>
      <c r="Y516" s="447"/>
      <c r="Z516" s="447"/>
      <c r="AA516" s="447"/>
      <c r="AB516" s="447"/>
      <c r="AC516" s="447"/>
      <c r="AD516" s="447"/>
      <c r="AE516" s="447"/>
      <c r="AF516" s="448"/>
      <c r="AG516" s="448"/>
      <c r="AH516" s="449"/>
      <c r="AI516" s="447"/>
      <c r="AJ516" s="447"/>
      <c r="AK516" s="447"/>
      <c r="AL516" s="447"/>
      <c r="AM516" s="447"/>
      <c r="AN516" s="447"/>
      <c r="AO516" s="447"/>
      <c r="AP516" s="447"/>
      <c r="AQ516" s="447"/>
      <c r="AR516" s="447"/>
      <c r="AS516" s="447"/>
      <c r="AT516" s="447"/>
      <c r="AU516" s="447"/>
      <c r="AV516" s="447"/>
      <c r="AW516" s="447"/>
      <c r="AX516" s="447"/>
      <c r="AY516" s="447"/>
      <c r="AZ516" s="447"/>
      <c r="BA516" s="447"/>
      <c r="BB516" s="447"/>
      <c r="BC516" s="447"/>
      <c r="BD516" s="447"/>
      <c r="BE516" s="447"/>
      <c r="BF516" s="447"/>
      <c r="BG516" s="447"/>
      <c r="BH516" s="447"/>
      <c r="BI516" s="447"/>
      <c r="BJ516" s="447"/>
      <c r="BK516" s="447"/>
      <c r="BL516" s="447"/>
      <c r="BM516" s="448"/>
      <c r="BN516" s="448"/>
    </row>
    <row r="517" spans="1:66" ht="11.25" customHeight="1">
      <c r="A517" s="450"/>
      <c r="B517" s="447"/>
      <c r="C517" s="447"/>
      <c r="D517" s="447"/>
      <c r="E517" s="447"/>
      <c r="F517" s="447"/>
      <c r="G517" s="447"/>
      <c r="H517" s="447"/>
      <c r="I517" s="447"/>
      <c r="J517" s="447"/>
      <c r="K517" s="447"/>
      <c r="L517" s="447"/>
      <c r="M517" s="447"/>
      <c r="N517" s="447"/>
      <c r="O517" s="447"/>
      <c r="P517" s="447"/>
      <c r="Q517" s="447"/>
      <c r="R517" s="447"/>
      <c r="S517" s="447"/>
      <c r="T517" s="447"/>
      <c r="U517" s="447"/>
      <c r="V517" s="447"/>
      <c r="W517" s="447"/>
      <c r="X517" s="447"/>
      <c r="Y517" s="447"/>
      <c r="Z517" s="447"/>
      <c r="AA517" s="447"/>
      <c r="AB517" s="447"/>
      <c r="AC517" s="447"/>
      <c r="AD517" s="447"/>
      <c r="AE517" s="447"/>
      <c r="AF517" s="448"/>
      <c r="AG517" s="448"/>
      <c r="AH517" s="449"/>
      <c r="AI517" s="447"/>
      <c r="AJ517" s="447"/>
      <c r="AK517" s="447"/>
      <c r="AL517" s="447"/>
      <c r="AM517" s="447"/>
      <c r="AN517" s="447"/>
      <c r="AO517" s="447"/>
      <c r="AP517" s="447"/>
      <c r="AQ517" s="447"/>
      <c r="AR517" s="447"/>
      <c r="AS517" s="447"/>
      <c r="AT517" s="447"/>
      <c r="AU517" s="447"/>
      <c r="AV517" s="447"/>
      <c r="AW517" s="447"/>
      <c r="AX517" s="447"/>
      <c r="AY517" s="447"/>
      <c r="AZ517" s="447"/>
      <c r="BA517" s="447"/>
      <c r="BB517" s="447"/>
      <c r="BC517" s="447"/>
      <c r="BD517" s="447"/>
      <c r="BE517" s="447"/>
      <c r="BF517" s="447"/>
      <c r="BG517" s="447"/>
      <c r="BH517" s="447"/>
      <c r="BI517" s="447"/>
      <c r="BJ517" s="447"/>
      <c r="BK517" s="447"/>
      <c r="BL517" s="447"/>
      <c r="BM517" s="448"/>
      <c r="BN517" s="448"/>
    </row>
    <row r="518" spans="1:66" ht="11.25" customHeight="1">
      <c r="A518" s="450"/>
      <c r="B518" s="447"/>
      <c r="C518" s="447"/>
      <c r="D518" s="447"/>
      <c r="E518" s="447"/>
      <c r="F518" s="447"/>
      <c r="G518" s="447"/>
      <c r="H518" s="447"/>
      <c r="I518" s="447"/>
      <c r="J518" s="447"/>
      <c r="K518" s="447"/>
      <c r="L518" s="447"/>
      <c r="M518" s="447"/>
      <c r="N518" s="447"/>
      <c r="O518" s="447"/>
      <c r="P518" s="447"/>
      <c r="Q518" s="447"/>
      <c r="R518" s="447"/>
      <c r="S518" s="447"/>
      <c r="T518" s="447"/>
      <c r="U518" s="447"/>
      <c r="V518" s="447"/>
      <c r="W518" s="447"/>
      <c r="X518" s="447"/>
      <c r="Y518" s="447"/>
      <c r="Z518" s="447"/>
      <c r="AA518" s="447"/>
      <c r="AB518" s="447"/>
      <c r="AC518" s="447"/>
      <c r="AD518" s="447"/>
      <c r="AE518" s="447"/>
      <c r="AF518" s="448"/>
      <c r="AG518" s="448"/>
      <c r="AH518" s="449"/>
      <c r="AI518" s="447"/>
      <c r="AJ518" s="447"/>
      <c r="AK518" s="447"/>
      <c r="AL518" s="447"/>
      <c r="AM518" s="447"/>
      <c r="AN518" s="447"/>
      <c r="AO518" s="447"/>
      <c r="AP518" s="447"/>
      <c r="AQ518" s="447"/>
      <c r="AR518" s="447"/>
      <c r="AS518" s="447"/>
      <c r="AT518" s="447"/>
      <c r="AU518" s="447"/>
      <c r="AV518" s="447"/>
      <c r="AW518" s="447"/>
      <c r="AX518" s="447"/>
      <c r="AY518" s="447"/>
      <c r="AZ518" s="447"/>
      <c r="BA518" s="447"/>
      <c r="BB518" s="447"/>
      <c r="BC518" s="447"/>
      <c r="BD518" s="447"/>
      <c r="BE518" s="447"/>
      <c r="BF518" s="447"/>
      <c r="BG518" s="447"/>
      <c r="BH518" s="447"/>
      <c r="BI518" s="447"/>
      <c r="BJ518" s="447"/>
      <c r="BK518" s="447"/>
      <c r="BL518" s="447"/>
      <c r="BM518" s="448"/>
      <c r="BN518" s="448"/>
    </row>
    <row r="519" spans="1:66" ht="11.25" customHeight="1">
      <c r="A519" s="450"/>
      <c r="B519" s="447"/>
      <c r="C519" s="447"/>
      <c r="D519" s="447"/>
      <c r="E519" s="447"/>
      <c r="F519" s="447"/>
      <c r="G519" s="447"/>
      <c r="H519" s="447"/>
      <c r="I519" s="447"/>
      <c r="J519" s="447"/>
      <c r="K519" s="447"/>
      <c r="L519" s="447"/>
      <c r="M519" s="447"/>
      <c r="N519" s="447"/>
      <c r="O519" s="447"/>
      <c r="P519" s="447"/>
      <c r="Q519" s="447"/>
      <c r="R519" s="447"/>
      <c r="S519" s="447"/>
      <c r="T519" s="447"/>
      <c r="U519" s="447"/>
      <c r="V519" s="447"/>
      <c r="W519" s="447"/>
      <c r="X519" s="447"/>
      <c r="Y519" s="447"/>
      <c r="Z519" s="447"/>
      <c r="AA519" s="447"/>
      <c r="AB519" s="447"/>
      <c r="AC519" s="447"/>
      <c r="AD519" s="447"/>
      <c r="AE519" s="447"/>
      <c r="AF519" s="448"/>
      <c r="AG519" s="448"/>
      <c r="AH519" s="449"/>
      <c r="AI519" s="447"/>
      <c r="AJ519" s="447"/>
      <c r="AK519" s="447"/>
      <c r="AL519" s="447"/>
      <c r="AM519" s="447"/>
      <c r="AN519" s="447"/>
      <c r="AO519" s="447"/>
      <c r="AP519" s="447"/>
      <c r="AQ519" s="447"/>
      <c r="AR519" s="447"/>
      <c r="AS519" s="447"/>
      <c r="AT519" s="447"/>
      <c r="AU519" s="447"/>
      <c r="AV519" s="447"/>
      <c r="AW519" s="447"/>
      <c r="AX519" s="447"/>
      <c r="AY519" s="447"/>
      <c r="AZ519" s="447"/>
      <c r="BA519" s="447"/>
      <c r="BB519" s="447"/>
      <c r="BC519" s="447"/>
      <c r="BD519" s="447"/>
      <c r="BE519" s="447"/>
      <c r="BF519" s="447"/>
      <c r="BG519" s="447"/>
      <c r="BH519" s="447"/>
      <c r="BI519" s="447"/>
      <c r="BJ519" s="447"/>
      <c r="BK519" s="447"/>
      <c r="BL519" s="447"/>
      <c r="BM519" s="448"/>
      <c r="BN519" s="448"/>
    </row>
    <row r="520" spans="1:66" ht="11.25" customHeight="1">
      <c r="A520" s="450"/>
      <c r="B520" s="447"/>
      <c r="C520" s="447"/>
      <c r="D520" s="447"/>
      <c r="E520" s="447"/>
      <c r="F520" s="447"/>
      <c r="G520" s="447"/>
      <c r="H520" s="447"/>
      <c r="I520" s="447"/>
      <c r="J520" s="447"/>
      <c r="K520" s="447"/>
      <c r="L520" s="447"/>
      <c r="M520" s="447"/>
      <c r="N520" s="447"/>
      <c r="O520" s="447"/>
      <c r="P520" s="447"/>
      <c r="Q520" s="447"/>
      <c r="R520" s="447"/>
      <c r="S520" s="447"/>
      <c r="T520" s="447"/>
      <c r="U520" s="447"/>
      <c r="V520" s="447"/>
      <c r="W520" s="447"/>
      <c r="X520" s="447"/>
      <c r="Y520" s="447"/>
      <c r="Z520" s="447"/>
      <c r="AA520" s="447"/>
      <c r="AB520" s="447"/>
      <c r="AC520" s="447"/>
      <c r="AD520" s="447"/>
      <c r="AE520" s="447"/>
      <c r="AF520" s="448"/>
      <c r="AG520" s="448"/>
      <c r="AH520" s="449"/>
      <c r="AI520" s="447"/>
      <c r="AJ520" s="447"/>
      <c r="AK520" s="447"/>
      <c r="AL520" s="447"/>
      <c r="AM520" s="447"/>
      <c r="AN520" s="447"/>
      <c r="AO520" s="447"/>
      <c r="AP520" s="447"/>
      <c r="AQ520" s="447"/>
      <c r="AR520" s="447"/>
      <c r="AS520" s="447"/>
      <c r="AT520" s="447"/>
      <c r="AU520" s="447"/>
      <c r="AV520" s="447"/>
      <c r="AW520" s="447"/>
      <c r="AX520" s="447"/>
      <c r="AY520" s="447"/>
      <c r="AZ520" s="447"/>
      <c r="BA520" s="447"/>
      <c r="BB520" s="447"/>
      <c r="BC520" s="447"/>
      <c r="BD520" s="447"/>
      <c r="BE520" s="447"/>
      <c r="BF520" s="447"/>
      <c r="BG520" s="447"/>
      <c r="BH520" s="447"/>
      <c r="BI520" s="447"/>
      <c r="BJ520" s="447"/>
      <c r="BK520" s="447"/>
      <c r="BL520" s="447"/>
      <c r="BM520" s="448"/>
      <c r="BN520" s="448"/>
    </row>
    <row r="521" spans="1:66" ht="11.25" customHeight="1">
      <c r="A521" s="450"/>
      <c r="B521" s="447"/>
      <c r="C521" s="447"/>
      <c r="D521" s="447"/>
      <c r="E521" s="447"/>
      <c r="F521" s="447"/>
      <c r="G521" s="447"/>
      <c r="H521" s="447"/>
      <c r="I521" s="447"/>
      <c r="J521" s="447"/>
      <c r="K521" s="447"/>
      <c r="L521" s="447"/>
      <c r="M521" s="447"/>
      <c r="N521" s="447"/>
      <c r="O521" s="447"/>
      <c r="P521" s="447"/>
      <c r="Q521" s="447"/>
      <c r="R521" s="447"/>
      <c r="S521" s="447"/>
      <c r="T521" s="447"/>
      <c r="U521" s="447"/>
      <c r="V521" s="447"/>
      <c r="W521" s="447"/>
      <c r="X521" s="447"/>
      <c r="Y521" s="447"/>
      <c r="Z521" s="447"/>
      <c r="AA521" s="447"/>
      <c r="AB521" s="447"/>
      <c r="AC521" s="447"/>
      <c r="AD521" s="447"/>
      <c r="AE521" s="447"/>
      <c r="AF521" s="448"/>
      <c r="AG521" s="448"/>
      <c r="AH521" s="449"/>
      <c r="AI521" s="447"/>
      <c r="AJ521" s="447"/>
      <c r="AK521" s="447"/>
      <c r="AL521" s="447"/>
      <c r="AM521" s="447"/>
      <c r="AN521" s="447"/>
      <c r="AO521" s="447"/>
      <c r="AP521" s="447"/>
      <c r="AQ521" s="447"/>
      <c r="AR521" s="447"/>
      <c r="AS521" s="447"/>
      <c r="AT521" s="447"/>
      <c r="AU521" s="447"/>
      <c r="AV521" s="447"/>
      <c r="AW521" s="447"/>
      <c r="AX521" s="447"/>
      <c r="AY521" s="447"/>
      <c r="AZ521" s="447"/>
      <c r="BA521" s="447"/>
      <c r="BB521" s="447"/>
      <c r="BC521" s="447"/>
      <c r="BD521" s="447"/>
      <c r="BE521" s="447"/>
      <c r="BF521" s="447"/>
      <c r="BG521" s="447"/>
      <c r="BH521" s="447"/>
      <c r="BI521" s="447"/>
      <c r="BJ521" s="447"/>
      <c r="BK521" s="447"/>
      <c r="BL521" s="447"/>
      <c r="BM521" s="448"/>
      <c r="BN521" s="448"/>
    </row>
    <row r="522" spans="1:66" ht="11.25" customHeight="1">
      <c r="A522" s="450"/>
      <c r="B522" s="447"/>
      <c r="C522" s="447"/>
      <c r="D522" s="447"/>
      <c r="E522" s="447"/>
      <c r="F522" s="447"/>
      <c r="G522" s="447"/>
      <c r="H522" s="447"/>
      <c r="I522" s="447"/>
      <c r="J522" s="447"/>
      <c r="K522" s="447"/>
      <c r="L522" s="447"/>
      <c r="M522" s="447"/>
      <c r="N522" s="447"/>
      <c r="O522" s="447"/>
      <c r="P522" s="447"/>
      <c r="Q522" s="447"/>
      <c r="R522" s="447"/>
      <c r="S522" s="447"/>
      <c r="T522" s="447"/>
      <c r="U522" s="447"/>
      <c r="V522" s="447"/>
      <c r="W522" s="447"/>
      <c r="X522" s="447"/>
      <c r="Y522" s="447"/>
      <c r="Z522" s="447"/>
      <c r="AA522" s="447"/>
      <c r="AB522" s="447"/>
      <c r="AC522" s="447"/>
      <c r="AD522" s="447"/>
      <c r="AE522" s="447"/>
      <c r="AF522" s="448"/>
      <c r="AG522" s="448"/>
      <c r="AH522" s="449"/>
      <c r="AI522" s="447"/>
      <c r="AJ522" s="447"/>
      <c r="AK522" s="447"/>
      <c r="AL522" s="447"/>
      <c r="AM522" s="447"/>
      <c r="AN522" s="447"/>
      <c r="AO522" s="447"/>
      <c r="AP522" s="447"/>
      <c r="AQ522" s="447"/>
      <c r="AR522" s="447"/>
      <c r="AS522" s="447"/>
      <c r="AT522" s="447"/>
      <c r="AU522" s="447"/>
      <c r="AV522" s="447"/>
      <c r="AW522" s="447"/>
      <c r="AX522" s="447"/>
      <c r="AY522" s="447"/>
      <c r="AZ522" s="447"/>
      <c r="BA522" s="447"/>
      <c r="BB522" s="447"/>
      <c r="BC522" s="447"/>
      <c r="BD522" s="447"/>
      <c r="BE522" s="447"/>
      <c r="BF522" s="447"/>
      <c r="BG522" s="447"/>
      <c r="BH522" s="447"/>
      <c r="BI522" s="447"/>
      <c r="BJ522" s="447"/>
      <c r="BK522" s="447"/>
      <c r="BL522" s="447"/>
      <c r="BM522" s="448"/>
      <c r="BN522" s="448"/>
    </row>
    <row r="523" spans="1:66" ht="11.25" customHeight="1">
      <c r="A523" s="450"/>
      <c r="B523" s="447"/>
      <c r="C523" s="447"/>
      <c r="D523" s="447"/>
      <c r="E523" s="447"/>
      <c r="F523" s="447"/>
      <c r="G523" s="447"/>
      <c r="H523" s="447"/>
      <c r="I523" s="447"/>
      <c r="J523" s="447"/>
      <c r="K523" s="447"/>
      <c r="L523" s="447"/>
      <c r="M523" s="447"/>
      <c r="N523" s="447"/>
      <c r="O523" s="447"/>
      <c r="P523" s="447"/>
      <c r="Q523" s="447"/>
      <c r="R523" s="447"/>
      <c r="S523" s="447"/>
      <c r="T523" s="447"/>
      <c r="U523" s="447"/>
      <c r="V523" s="447"/>
      <c r="W523" s="447"/>
      <c r="X523" s="447"/>
      <c r="Y523" s="447"/>
      <c r="Z523" s="447"/>
      <c r="AA523" s="447"/>
      <c r="AB523" s="447"/>
      <c r="AC523" s="447"/>
      <c r="AD523" s="447"/>
      <c r="AE523" s="447"/>
      <c r="AF523" s="448"/>
      <c r="AG523" s="448"/>
      <c r="AH523" s="449"/>
      <c r="AI523" s="447"/>
      <c r="AJ523" s="447"/>
      <c r="AK523" s="447"/>
      <c r="AL523" s="447"/>
      <c r="AM523" s="447"/>
      <c r="AN523" s="447"/>
      <c r="AO523" s="447"/>
      <c r="AP523" s="447"/>
      <c r="AQ523" s="447"/>
      <c r="AR523" s="447"/>
      <c r="AS523" s="447"/>
      <c r="AT523" s="447"/>
      <c r="AU523" s="447"/>
      <c r="AV523" s="447"/>
      <c r="AW523" s="447"/>
      <c r="AX523" s="447"/>
      <c r="AY523" s="447"/>
      <c r="AZ523" s="447"/>
      <c r="BA523" s="447"/>
      <c r="BB523" s="447"/>
      <c r="BC523" s="447"/>
      <c r="BD523" s="447"/>
      <c r="BE523" s="447"/>
      <c r="BF523" s="447"/>
      <c r="BG523" s="447"/>
      <c r="BH523" s="447"/>
      <c r="BI523" s="447"/>
      <c r="BJ523" s="447"/>
      <c r="BK523" s="447"/>
      <c r="BL523" s="447"/>
      <c r="BM523" s="448"/>
      <c r="BN523" s="448"/>
    </row>
    <row r="524" spans="1:66" ht="11.25" customHeight="1">
      <c r="A524" s="450"/>
      <c r="B524" s="447"/>
      <c r="C524" s="447"/>
      <c r="D524" s="447"/>
      <c r="E524" s="447"/>
      <c r="F524" s="447"/>
      <c r="G524" s="447"/>
      <c r="H524" s="447"/>
      <c r="I524" s="447"/>
      <c r="J524" s="447"/>
      <c r="K524" s="447"/>
      <c r="L524" s="447"/>
      <c r="M524" s="447"/>
      <c r="N524" s="447"/>
      <c r="O524" s="447"/>
      <c r="P524" s="447"/>
      <c r="Q524" s="447"/>
      <c r="R524" s="447"/>
      <c r="S524" s="447"/>
      <c r="T524" s="447"/>
      <c r="U524" s="447"/>
      <c r="V524" s="447"/>
      <c r="W524" s="447"/>
      <c r="X524" s="447"/>
      <c r="Y524" s="447"/>
      <c r="Z524" s="447"/>
      <c r="AA524" s="447"/>
      <c r="AB524" s="447"/>
      <c r="AC524" s="447"/>
      <c r="AD524" s="447"/>
      <c r="AE524" s="447"/>
      <c r="AF524" s="448"/>
      <c r="AG524" s="448"/>
      <c r="AH524" s="449"/>
      <c r="AI524" s="447"/>
      <c r="AJ524" s="447"/>
      <c r="AK524" s="447"/>
      <c r="AL524" s="447"/>
      <c r="AM524" s="447"/>
      <c r="AN524" s="447"/>
      <c r="AO524" s="447"/>
      <c r="AP524" s="447"/>
      <c r="AQ524" s="447"/>
      <c r="AR524" s="447"/>
      <c r="AS524" s="447"/>
      <c r="AT524" s="447"/>
      <c r="AU524" s="447"/>
      <c r="AV524" s="447"/>
      <c r="AW524" s="447"/>
      <c r="AX524" s="447"/>
      <c r="AY524" s="447"/>
      <c r="AZ524" s="447"/>
      <c r="BA524" s="447"/>
      <c r="BB524" s="447"/>
      <c r="BC524" s="447"/>
      <c r="BD524" s="447"/>
      <c r="BE524" s="447"/>
      <c r="BF524" s="447"/>
      <c r="BG524" s="447"/>
      <c r="BH524" s="447"/>
      <c r="BI524" s="447"/>
      <c r="BJ524" s="447"/>
      <c r="BK524" s="447"/>
      <c r="BL524" s="447"/>
      <c r="BM524" s="448"/>
      <c r="BN524" s="448"/>
    </row>
    <row r="525" spans="1:66" ht="11.25" customHeight="1">
      <c r="A525" s="450"/>
      <c r="B525" s="447"/>
      <c r="C525" s="447"/>
      <c r="D525" s="447"/>
      <c r="E525" s="447"/>
      <c r="F525" s="447"/>
      <c r="G525" s="447"/>
      <c r="H525" s="447"/>
      <c r="I525" s="447"/>
      <c r="J525" s="447"/>
      <c r="K525" s="447"/>
      <c r="L525" s="447"/>
      <c r="M525" s="447"/>
      <c r="N525" s="447"/>
      <c r="O525" s="447"/>
      <c r="P525" s="447"/>
      <c r="Q525" s="447"/>
      <c r="R525" s="447"/>
      <c r="S525" s="447"/>
      <c r="T525" s="447"/>
      <c r="U525" s="447"/>
      <c r="V525" s="447"/>
      <c r="W525" s="447"/>
      <c r="X525" s="447"/>
      <c r="Y525" s="447"/>
      <c r="Z525" s="447"/>
      <c r="AA525" s="447"/>
      <c r="AB525" s="447"/>
      <c r="AC525" s="447"/>
      <c r="AD525" s="447"/>
      <c r="AE525" s="447"/>
      <c r="AF525" s="448"/>
      <c r="AG525" s="448"/>
      <c r="AH525" s="449"/>
      <c r="AI525" s="447"/>
      <c r="AJ525" s="447"/>
      <c r="AK525" s="447"/>
      <c r="AL525" s="447"/>
      <c r="AM525" s="447"/>
      <c r="AN525" s="447"/>
      <c r="AO525" s="447"/>
      <c r="AP525" s="447"/>
      <c r="AQ525" s="447"/>
      <c r="AR525" s="447"/>
      <c r="AS525" s="447"/>
      <c r="AT525" s="447"/>
      <c r="AU525" s="447"/>
      <c r="AV525" s="447"/>
      <c r="AW525" s="447"/>
      <c r="AX525" s="447"/>
      <c r="AY525" s="447"/>
      <c r="AZ525" s="447"/>
      <c r="BA525" s="447"/>
      <c r="BB525" s="447"/>
      <c r="BC525" s="447"/>
      <c r="BD525" s="447"/>
      <c r="BE525" s="447"/>
      <c r="BF525" s="447"/>
      <c r="BG525" s="447"/>
      <c r="BH525" s="447"/>
      <c r="BI525" s="447"/>
      <c r="BJ525" s="447"/>
      <c r="BK525" s="447"/>
      <c r="BL525" s="447"/>
      <c r="BM525" s="448"/>
      <c r="BN525" s="448"/>
    </row>
    <row r="526" spans="1:66" ht="11.25" customHeight="1">
      <c r="A526" s="450"/>
      <c r="B526" s="447"/>
      <c r="C526" s="447"/>
      <c r="D526" s="447"/>
      <c r="E526" s="447"/>
      <c r="F526" s="447"/>
      <c r="G526" s="447"/>
      <c r="H526" s="447"/>
      <c r="I526" s="447"/>
      <c r="J526" s="447"/>
      <c r="K526" s="447"/>
      <c r="L526" s="447"/>
      <c r="M526" s="447"/>
      <c r="N526" s="447"/>
      <c r="O526" s="447"/>
      <c r="P526" s="447"/>
      <c r="Q526" s="447"/>
      <c r="R526" s="447"/>
      <c r="S526" s="447"/>
      <c r="T526" s="447"/>
      <c r="U526" s="447"/>
      <c r="V526" s="447"/>
      <c r="W526" s="447"/>
      <c r="X526" s="447"/>
      <c r="Y526" s="447"/>
      <c r="Z526" s="447"/>
      <c r="AA526" s="447"/>
      <c r="AB526" s="447"/>
      <c r="AC526" s="447"/>
      <c r="AD526" s="447"/>
      <c r="AE526" s="447"/>
      <c r="AF526" s="448"/>
      <c r="AG526" s="448"/>
      <c r="AH526" s="449"/>
      <c r="AI526" s="447"/>
      <c r="AJ526" s="447"/>
      <c r="AK526" s="447"/>
      <c r="AL526" s="447"/>
      <c r="AM526" s="447"/>
      <c r="AN526" s="447"/>
      <c r="AO526" s="447"/>
      <c r="AP526" s="447"/>
      <c r="AQ526" s="447"/>
      <c r="AR526" s="447"/>
      <c r="AS526" s="447"/>
      <c r="AT526" s="447"/>
      <c r="AU526" s="447"/>
      <c r="AV526" s="447"/>
      <c r="AW526" s="447"/>
      <c r="AX526" s="447"/>
      <c r="AY526" s="447"/>
      <c r="AZ526" s="447"/>
      <c r="BA526" s="447"/>
      <c r="BB526" s="447"/>
      <c r="BC526" s="447"/>
      <c r="BD526" s="447"/>
      <c r="BE526" s="447"/>
      <c r="BF526" s="447"/>
      <c r="BG526" s="447"/>
      <c r="BH526" s="447"/>
      <c r="BI526" s="447"/>
      <c r="BJ526" s="447"/>
      <c r="BK526" s="447"/>
      <c r="BL526" s="447"/>
      <c r="BM526" s="448"/>
      <c r="BN526" s="448"/>
    </row>
    <row r="527" spans="1:66" ht="11.25" customHeight="1">
      <c r="A527" s="450"/>
      <c r="B527" s="447"/>
      <c r="C527" s="447"/>
      <c r="D527" s="447"/>
      <c r="E527" s="447"/>
      <c r="F527" s="447"/>
      <c r="G527" s="447"/>
      <c r="H527" s="447"/>
      <c r="I527" s="447"/>
      <c r="J527" s="447"/>
      <c r="K527" s="447"/>
      <c r="L527" s="447"/>
      <c r="M527" s="447"/>
      <c r="N527" s="447"/>
      <c r="O527" s="447"/>
      <c r="P527" s="447"/>
      <c r="Q527" s="447"/>
      <c r="R527" s="447"/>
      <c r="S527" s="447"/>
      <c r="T527" s="447"/>
      <c r="U527" s="447"/>
      <c r="V527" s="447"/>
      <c r="W527" s="447"/>
      <c r="X527" s="447"/>
      <c r="Y527" s="447"/>
      <c r="Z527" s="447"/>
      <c r="AA527" s="447"/>
      <c r="AB527" s="447"/>
      <c r="AC527" s="447"/>
      <c r="AD527" s="447"/>
      <c r="AE527" s="447"/>
      <c r="AF527" s="448"/>
      <c r="AG527" s="448"/>
      <c r="AH527" s="449"/>
      <c r="AI527" s="447"/>
      <c r="AJ527" s="447"/>
      <c r="AK527" s="447"/>
      <c r="AL527" s="447"/>
      <c r="AM527" s="447"/>
      <c r="AN527" s="447"/>
      <c r="AO527" s="447"/>
      <c r="AP527" s="447"/>
      <c r="AQ527" s="447"/>
      <c r="AR527" s="447"/>
      <c r="AS527" s="447"/>
      <c r="AT527" s="447"/>
      <c r="AU527" s="447"/>
      <c r="AV527" s="447"/>
      <c r="AW527" s="447"/>
      <c r="AX527" s="447"/>
      <c r="AY527" s="447"/>
      <c r="AZ527" s="447"/>
      <c r="BA527" s="447"/>
      <c r="BB527" s="447"/>
      <c r="BC527" s="447"/>
      <c r="BD527" s="447"/>
      <c r="BE527" s="447"/>
      <c r="BF527" s="447"/>
      <c r="BG527" s="447"/>
      <c r="BH527" s="447"/>
      <c r="BI527" s="447"/>
      <c r="BJ527" s="447"/>
      <c r="BK527" s="447"/>
      <c r="BL527" s="447"/>
      <c r="BM527" s="448"/>
      <c r="BN527" s="448"/>
    </row>
    <row r="528" spans="1:66" ht="11.25" customHeight="1">
      <c r="A528" s="450"/>
      <c r="B528" s="447"/>
      <c r="C528" s="447"/>
      <c r="D528" s="447"/>
      <c r="E528" s="447"/>
      <c r="F528" s="447"/>
      <c r="G528" s="447"/>
      <c r="H528" s="447"/>
      <c r="I528" s="447"/>
      <c r="J528" s="447"/>
      <c r="K528" s="447"/>
      <c r="L528" s="447"/>
      <c r="M528" s="447"/>
      <c r="N528" s="447"/>
      <c r="O528" s="447"/>
      <c r="P528" s="447"/>
      <c r="Q528" s="447"/>
      <c r="R528" s="447"/>
      <c r="S528" s="447"/>
      <c r="T528" s="447"/>
      <c r="U528" s="447"/>
      <c r="V528" s="447"/>
      <c r="W528" s="447"/>
      <c r="X528" s="447"/>
      <c r="Y528" s="447"/>
      <c r="Z528" s="447"/>
      <c r="AA528" s="447"/>
      <c r="AB528" s="447"/>
      <c r="AC528" s="447"/>
      <c r="AD528" s="447"/>
      <c r="AE528" s="447"/>
      <c r="AF528" s="448"/>
      <c r="AG528" s="448"/>
      <c r="AH528" s="449"/>
      <c r="AI528" s="447"/>
      <c r="AJ528" s="447"/>
      <c r="AK528" s="447"/>
      <c r="AL528" s="447"/>
      <c r="AM528" s="447"/>
      <c r="AN528" s="447"/>
      <c r="AO528" s="447"/>
      <c r="AP528" s="447"/>
      <c r="AQ528" s="447"/>
      <c r="AR528" s="447"/>
      <c r="AS528" s="447"/>
      <c r="AT528" s="447"/>
      <c r="AU528" s="447"/>
      <c r="AV528" s="447"/>
      <c r="AW528" s="447"/>
      <c r="AX528" s="447"/>
      <c r="AY528" s="447"/>
      <c r="AZ528" s="447"/>
      <c r="BA528" s="447"/>
      <c r="BB528" s="447"/>
      <c r="BC528" s="447"/>
      <c r="BD528" s="447"/>
      <c r="BE528" s="447"/>
      <c r="BF528" s="447"/>
      <c r="BG528" s="447"/>
      <c r="BH528" s="447"/>
      <c r="BI528" s="447"/>
      <c r="BJ528" s="447"/>
      <c r="BK528" s="447"/>
      <c r="BL528" s="447"/>
      <c r="BM528" s="448"/>
      <c r="BN528" s="448"/>
    </row>
    <row r="529" spans="1:66" ht="11.25" customHeight="1">
      <c r="A529" s="450"/>
      <c r="B529" s="447"/>
      <c r="C529" s="447"/>
      <c r="D529" s="447"/>
      <c r="E529" s="447"/>
      <c r="F529" s="447"/>
      <c r="G529" s="447"/>
      <c r="H529" s="447"/>
      <c r="I529" s="447"/>
      <c r="J529" s="447"/>
      <c r="K529" s="447"/>
      <c r="L529" s="447"/>
      <c r="M529" s="447"/>
      <c r="N529" s="447"/>
      <c r="O529" s="447"/>
      <c r="P529" s="447"/>
      <c r="Q529" s="447"/>
      <c r="R529" s="447"/>
      <c r="S529" s="447"/>
      <c r="T529" s="447"/>
      <c r="U529" s="447"/>
      <c r="V529" s="447"/>
      <c r="W529" s="447"/>
      <c r="X529" s="447"/>
      <c r="Y529" s="447"/>
      <c r="Z529" s="447"/>
      <c r="AA529" s="447"/>
      <c r="AB529" s="447"/>
      <c r="AC529" s="447"/>
      <c r="AD529" s="447"/>
      <c r="AE529" s="447"/>
      <c r="AF529" s="448"/>
      <c r="AG529" s="448"/>
      <c r="AH529" s="449"/>
      <c r="AI529" s="447"/>
      <c r="AJ529" s="447"/>
      <c r="AK529" s="447"/>
      <c r="AL529" s="447"/>
      <c r="AM529" s="447"/>
      <c r="AN529" s="447"/>
      <c r="AO529" s="447"/>
      <c r="AP529" s="447"/>
      <c r="AQ529" s="447"/>
      <c r="AR529" s="447"/>
      <c r="AS529" s="447"/>
      <c r="AT529" s="447"/>
      <c r="AU529" s="447"/>
      <c r="AV529" s="447"/>
      <c r="AW529" s="447"/>
      <c r="AX529" s="447"/>
      <c r="AY529" s="447"/>
      <c r="AZ529" s="447"/>
      <c r="BA529" s="447"/>
      <c r="BB529" s="447"/>
      <c r="BC529" s="447"/>
      <c r="BD529" s="447"/>
      <c r="BE529" s="447"/>
      <c r="BF529" s="447"/>
      <c r="BG529" s="447"/>
      <c r="BH529" s="447"/>
      <c r="BI529" s="447"/>
      <c r="BJ529" s="447"/>
      <c r="BK529" s="447"/>
      <c r="BL529" s="447"/>
      <c r="BM529" s="448"/>
      <c r="BN529" s="448"/>
    </row>
    <row r="530" spans="1:66" ht="11.25" customHeight="1">
      <c r="A530" s="450"/>
      <c r="B530" s="447"/>
      <c r="C530" s="447"/>
      <c r="D530" s="447"/>
      <c r="E530" s="447"/>
      <c r="F530" s="447"/>
      <c r="G530" s="447"/>
      <c r="H530" s="447"/>
      <c r="I530" s="447"/>
      <c r="J530" s="447"/>
      <c r="K530" s="447"/>
      <c r="L530" s="447"/>
      <c r="M530" s="447"/>
      <c r="N530" s="447"/>
      <c r="O530" s="447"/>
      <c r="P530" s="447"/>
      <c r="Q530" s="447"/>
      <c r="R530" s="447"/>
      <c r="S530" s="447"/>
      <c r="T530" s="447"/>
      <c r="U530" s="447"/>
      <c r="V530" s="447"/>
      <c r="W530" s="447"/>
      <c r="X530" s="447"/>
      <c r="Y530" s="447"/>
      <c r="Z530" s="447"/>
      <c r="AA530" s="447"/>
      <c r="AB530" s="447"/>
      <c r="AC530" s="447"/>
      <c r="AD530" s="447"/>
      <c r="AE530" s="447"/>
      <c r="AF530" s="448"/>
      <c r="AG530" s="448"/>
      <c r="AH530" s="449"/>
      <c r="AI530" s="447"/>
      <c r="AJ530" s="447"/>
      <c r="AK530" s="447"/>
      <c r="AL530" s="447"/>
      <c r="AM530" s="447"/>
      <c r="AN530" s="447"/>
      <c r="AO530" s="447"/>
      <c r="AP530" s="447"/>
      <c r="AQ530" s="447"/>
      <c r="AR530" s="447"/>
      <c r="AS530" s="447"/>
      <c r="AT530" s="447"/>
      <c r="AU530" s="447"/>
      <c r="AV530" s="447"/>
      <c r="AW530" s="447"/>
      <c r="AX530" s="447"/>
      <c r="AY530" s="447"/>
      <c r="AZ530" s="447"/>
      <c r="BA530" s="447"/>
      <c r="BB530" s="447"/>
      <c r="BC530" s="447"/>
      <c r="BD530" s="447"/>
      <c r="BE530" s="447"/>
      <c r="BF530" s="447"/>
      <c r="BG530" s="447"/>
      <c r="BH530" s="447"/>
      <c r="BI530" s="447"/>
      <c r="BJ530" s="447"/>
      <c r="BK530" s="447"/>
      <c r="BL530" s="447"/>
      <c r="BM530" s="448"/>
      <c r="BN530" s="448"/>
    </row>
    <row r="531" spans="1:66" ht="11.25" customHeight="1">
      <c r="A531" s="450"/>
      <c r="B531" s="447"/>
      <c r="C531" s="447"/>
      <c r="D531" s="447"/>
      <c r="E531" s="447"/>
      <c r="F531" s="447"/>
      <c r="G531" s="447"/>
      <c r="H531" s="447"/>
      <c r="I531" s="447"/>
      <c r="J531" s="447"/>
      <c r="K531" s="447"/>
      <c r="L531" s="447"/>
      <c r="M531" s="447"/>
      <c r="N531" s="447"/>
      <c r="O531" s="447"/>
      <c r="P531" s="447"/>
      <c r="Q531" s="447"/>
      <c r="R531" s="447"/>
      <c r="S531" s="447"/>
      <c r="T531" s="447"/>
      <c r="U531" s="447"/>
      <c r="V531" s="447"/>
      <c r="W531" s="447"/>
      <c r="X531" s="447"/>
      <c r="Y531" s="447"/>
      <c r="Z531" s="447"/>
      <c r="AA531" s="447"/>
      <c r="AB531" s="447"/>
      <c r="AC531" s="447"/>
      <c r="AD531" s="447"/>
      <c r="AE531" s="447"/>
      <c r="AF531" s="448"/>
      <c r="AG531" s="448"/>
      <c r="AH531" s="449"/>
      <c r="AI531" s="447"/>
      <c r="AJ531" s="447"/>
      <c r="AK531" s="447"/>
      <c r="AL531" s="447"/>
      <c r="AM531" s="447"/>
      <c r="AN531" s="447"/>
      <c r="AO531" s="447"/>
      <c r="AP531" s="447"/>
      <c r="AQ531" s="447"/>
      <c r="AR531" s="447"/>
      <c r="AS531" s="447"/>
      <c r="AT531" s="447"/>
      <c r="AU531" s="447"/>
      <c r="AV531" s="447"/>
      <c r="AW531" s="447"/>
      <c r="AX531" s="447"/>
      <c r="AY531" s="447"/>
      <c r="AZ531" s="447"/>
      <c r="BA531" s="447"/>
      <c r="BB531" s="447"/>
      <c r="BC531" s="447"/>
      <c r="BD531" s="447"/>
      <c r="BE531" s="447"/>
      <c r="BF531" s="447"/>
      <c r="BG531" s="447"/>
      <c r="BH531" s="447"/>
      <c r="BI531" s="447"/>
      <c r="BJ531" s="447"/>
      <c r="BK531" s="447"/>
      <c r="BL531" s="447"/>
      <c r="BM531" s="448"/>
      <c r="BN531" s="448"/>
    </row>
    <row r="532" spans="1:66" ht="11.25" customHeight="1">
      <c r="A532" s="450"/>
      <c r="B532" s="447"/>
      <c r="C532" s="447"/>
      <c r="D532" s="447"/>
      <c r="E532" s="447"/>
      <c r="F532" s="447"/>
      <c r="G532" s="447"/>
      <c r="H532" s="447"/>
      <c r="I532" s="447"/>
      <c r="J532" s="447"/>
      <c r="K532" s="447"/>
      <c r="L532" s="447"/>
      <c r="M532" s="447"/>
      <c r="N532" s="447"/>
      <c r="O532" s="447"/>
      <c r="P532" s="447"/>
      <c r="Q532" s="447"/>
      <c r="R532" s="447"/>
      <c r="S532" s="447"/>
      <c r="T532" s="447"/>
      <c r="U532" s="447"/>
      <c r="V532" s="447"/>
      <c r="W532" s="447"/>
      <c r="X532" s="447"/>
      <c r="Y532" s="447"/>
      <c r="Z532" s="447"/>
      <c r="AA532" s="447"/>
      <c r="AB532" s="447"/>
      <c r="AC532" s="447"/>
      <c r="AD532" s="447"/>
      <c r="AE532" s="447"/>
      <c r="AF532" s="448"/>
      <c r="AG532" s="448"/>
      <c r="AH532" s="449"/>
      <c r="AI532" s="447"/>
      <c r="AJ532" s="447"/>
      <c r="AK532" s="447"/>
      <c r="AL532" s="447"/>
      <c r="AM532" s="447"/>
      <c r="AN532" s="447"/>
      <c r="AO532" s="447"/>
      <c r="AP532" s="447"/>
      <c r="AQ532" s="447"/>
      <c r="AR532" s="447"/>
      <c r="AS532" s="447"/>
      <c r="AT532" s="447"/>
      <c r="AU532" s="447"/>
      <c r="AV532" s="447"/>
      <c r="AW532" s="447"/>
      <c r="AX532" s="447"/>
      <c r="AY532" s="447"/>
      <c r="AZ532" s="447"/>
      <c r="BA532" s="447"/>
      <c r="BB532" s="447"/>
      <c r="BC532" s="447"/>
      <c r="BD532" s="447"/>
      <c r="BE532" s="447"/>
      <c r="BF532" s="447"/>
      <c r="BG532" s="447"/>
      <c r="BH532" s="447"/>
      <c r="BI532" s="447"/>
      <c r="BJ532" s="447"/>
      <c r="BK532" s="447"/>
      <c r="BL532" s="447"/>
      <c r="BM532" s="448"/>
      <c r="BN532" s="448"/>
    </row>
    <row r="533" spans="1:66" ht="11.25" customHeight="1">
      <c r="A533" s="450"/>
      <c r="B533" s="447"/>
      <c r="C533" s="447"/>
      <c r="D533" s="447"/>
      <c r="E533" s="447"/>
      <c r="F533" s="447"/>
      <c r="G533" s="447"/>
      <c r="H533" s="447"/>
      <c r="I533" s="447"/>
      <c r="J533" s="447"/>
      <c r="K533" s="447"/>
      <c r="L533" s="447"/>
      <c r="M533" s="447"/>
      <c r="N533" s="447"/>
      <c r="O533" s="447"/>
      <c r="P533" s="447"/>
      <c r="Q533" s="447"/>
      <c r="R533" s="447"/>
      <c r="S533" s="447"/>
      <c r="T533" s="447"/>
      <c r="U533" s="447"/>
      <c r="V533" s="447"/>
      <c r="W533" s="447"/>
      <c r="X533" s="447"/>
      <c r="Y533" s="447"/>
      <c r="Z533" s="447"/>
      <c r="AA533" s="447"/>
      <c r="AB533" s="447"/>
      <c r="AC533" s="447"/>
      <c r="AD533" s="447"/>
      <c r="AE533" s="447"/>
      <c r="AF533" s="448"/>
      <c r="AG533" s="448"/>
      <c r="AH533" s="449"/>
      <c r="AI533" s="447"/>
      <c r="AJ533" s="447"/>
      <c r="AK533" s="447"/>
      <c r="AL533" s="447"/>
      <c r="AM533" s="447"/>
      <c r="AN533" s="447"/>
      <c r="AO533" s="447"/>
      <c r="AP533" s="447"/>
      <c r="AQ533" s="447"/>
      <c r="AR533" s="447"/>
      <c r="AS533" s="447"/>
      <c r="AT533" s="447"/>
      <c r="AU533" s="447"/>
      <c r="AV533" s="447"/>
      <c r="AW533" s="447"/>
      <c r="AX533" s="447"/>
      <c r="AY533" s="447"/>
      <c r="AZ533" s="447"/>
      <c r="BA533" s="447"/>
      <c r="BB533" s="447"/>
      <c r="BC533" s="447"/>
      <c r="BD533" s="447"/>
      <c r="BE533" s="447"/>
      <c r="BF533" s="447"/>
      <c r="BG533" s="447"/>
      <c r="BH533" s="447"/>
      <c r="BI533" s="447"/>
      <c r="BJ533" s="447"/>
      <c r="BK533" s="447"/>
      <c r="BL533" s="447"/>
      <c r="BM533" s="448"/>
      <c r="BN533" s="448"/>
    </row>
    <row r="534" spans="1:66" ht="11.25" customHeight="1">
      <c r="A534" s="450"/>
      <c r="B534" s="447"/>
      <c r="C534" s="447"/>
      <c r="D534" s="447"/>
      <c r="E534" s="447"/>
      <c r="F534" s="447"/>
      <c r="G534" s="447"/>
      <c r="H534" s="447"/>
      <c r="I534" s="447"/>
      <c r="J534" s="447"/>
      <c r="K534" s="447"/>
      <c r="L534" s="447"/>
      <c r="M534" s="447"/>
      <c r="N534" s="447"/>
      <c r="O534" s="447"/>
      <c r="P534" s="447"/>
      <c r="Q534" s="447"/>
      <c r="R534" s="447"/>
      <c r="S534" s="447"/>
      <c r="T534" s="447"/>
      <c r="U534" s="447"/>
      <c r="V534" s="447"/>
      <c r="W534" s="447"/>
      <c r="X534" s="447"/>
      <c r="Y534" s="447"/>
      <c r="Z534" s="447"/>
      <c r="AA534" s="447"/>
      <c r="AB534" s="447"/>
      <c r="AC534" s="447"/>
      <c r="AD534" s="447"/>
      <c r="AE534" s="447"/>
      <c r="AF534" s="448"/>
      <c r="AG534" s="448"/>
      <c r="AH534" s="449"/>
      <c r="AI534" s="447"/>
      <c r="AJ534" s="447"/>
      <c r="AK534" s="447"/>
      <c r="AL534" s="447"/>
      <c r="AM534" s="447"/>
      <c r="AN534" s="447"/>
      <c r="AO534" s="447"/>
      <c r="AP534" s="447"/>
      <c r="AQ534" s="447"/>
      <c r="AR534" s="447"/>
      <c r="AS534" s="447"/>
      <c r="AT534" s="447"/>
      <c r="AU534" s="447"/>
      <c r="AV534" s="447"/>
      <c r="AW534" s="447"/>
      <c r="AX534" s="447"/>
      <c r="AY534" s="447"/>
      <c r="AZ534" s="447"/>
      <c r="BA534" s="447"/>
      <c r="BB534" s="447"/>
      <c r="BC534" s="447"/>
      <c r="BD534" s="447"/>
      <c r="BE534" s="447"/>
      <c r="BF534" s="447"/>
      <c r="BG534" s="447"/>
      <c r="BH534" s="447"/>
      <c r="BI534" s="447"/>
      <c r="BJ534" s="447"/>
      <c r="BK534" s="447"/>
      <c r="BL534" s="447"/>
      <c r="BM534" s="448"/>
      <c r="BN534" s="448"/>
    </row>
    <row r="535" spans="1:66" ht="11.25" customHeight="1">
      <c r="A535" s="450"/>
      <c r="B535" s="447"/>
      <c r="C535" s="447"/>
      <c r="D535" s="447"/>
      <c r="E535" s="447"/>
      <c r="F535" s="447"/>
      <c r="G535" s="447"/>
      <c r="H535" s="447"/>
      <c r="I535" s="447"/>
      <c r="J535" s="447"/>
      <c r="K535" s="447"/>
      <c r="L535" s="447"/>
      <c r="M535" s="447"/>
      <c r="N535" s="447"/>
      <c r="O535" s="447"/>
      <c r="P535" s="447"/>
      <c r="Q535" s="447"/>
      <c r="R535" s="447"/>
      <c r="S535" s="447"/>
      <c r="T535" s="447"/>
      <c r="U535" s="447"/>
      <c r="V535" s="447"/>
      <c r="W535" s="447"/>
      <c r="X535" s="447"/>
      <c r="Y535" s="447"/>
      <c r="Z535" s="447"/>
      <c r="AA535" s="447"/>
      <c r="AB535" s="447"/>
      <c r="AC535" s="447"/>
      <c r="AD535" s="447"/>
      <c r="AE535" s="447"/>
      <c r="AF535" s="448"/>
      <c r="AG535" s="448"/>
      <c r="AH535" s="449"/>
      <c r="AI535" s="447"/>
      <c r="AJ535" s="447"/>
      <c r="AK535" s="447"/>
      <c r="AL535" s="447"/>
      <c r="AM535" s="447"/>
      <c r="AN535" s="447"/>
      <c r="AO535" s="447"/>
      <c r="AP535" s="447"/>
      <c r="AQ535" s="447"/>
      <c r="AR535" s="447"/>
      <c r="AS535" s="447"/>
      <c r="AT535" s="447"/>
      <c r="AU535" s="447"/>
      <c r="AV535" s="447"/>
      <c r="AW535" s="447"/>
      <c r="AX535" s="447"/>
      <c r="AY535" s="447"/>
      <c r="AZ535" s="447"/>
      <c r="BA535" s="447"/>
      <c r="BB535" s="447"/>
      <c r="BC535" s="447"/>
      <c r="BD535" s="447"/>
      <c r="BE535" s="447"/>
      <c r="BF535" s="447"/>
      <c r="BG535" s="447"/>
      <c r="BH535" s="447"/>
      <c r="BI535" s="447"/>
      <c r="BJ535" s="447"/>
      <c r="BK535" s="447"/>
      <c r="BL535" s="447"/>
      <c r="BM535" s="448"/>
      <c r="BN535" s="448"/>
    </row>
    <row r="536" spans="1:66" ht="11.25" customHeight="1">
      <c r="A536" s="450"/>
      <c r="B536" s="447"/>
      <c r="C536" s="447"/>
      <c r="D536" s="447"/>
      <c r="E536" s="447"/>
      <c r="F536" s="447"/>
      <c r="G536" s="447"/>
      <c r="H536" s="447"/>
      <c r="I536" s="447"/>
      <c r="J536" s="447"/>
      <c r="K536" s="447"/>
      <c r="L536" s="447"/>
      <c r="M536" s="447"/>
      <c r="N536" s="447"/>
      <c r="O536" s="447"/>
      <c r="P536" s="447"/>
      <c r="Q536" s="447"/>
      <c r="R536" s="447"/>
      <c r="S536" s="447"/>
      <c r="T536" s="447"/>
      <c r="U536" s="447"/>
      <c r="V536" s="447"/>
      <c r="W536" s="447"/>
      <c r="X536" s="447"/>
      <c r="Y536" s="447"/>
      <c r="Z536" s="447"/>
      <c r="AA536" s="447"/>
      <c r="AB536" s="447"/>
      <c r="AC536" s="447"/>
      <c r="AD536" s="447"/>
      <c r="AE536" s="447"/>
      <c r="AF536" s="448"/>
      <c r="AG536" s="448"/>
      <c r="AH536" s="449"/>
      <c r="AI536" s="447"/>
      <c r="AJ536" s="447"/>
      <c r="AK536" s="447"/>
      <c r="AL536" s="447"/>
      <c r="AM536" s="447"/>
      <c r="AN536" s="447"/>
      <c r="AO536" s="447"/>
      <c r="AP536" s="447"/>
      <c r="AQ536" s="447"/>
      <c r="AR536" s="447"/>
      <c r="AS536" s="447"/>
      <c r="AT536" s="447"/>
      <c r="AU536" s="447"/>
      <c r="AV536" s="447"/>
      <c r="AW536" s="447"/>
      <c r="AX536" s="447"/>
      <c r="AY536" s="447"/>
      <c r="AZ536" s="447"/>
      <c r="BA536" s="447"/>
      <c r="BB536" s="447"/>
      <c r="BC536" s="447"/>
      <c r="BD536" s="447"/>
      <c r="BE536" s="447"/>
      <c r="BF536" s="447"/>
      <c r="BG536" s="447"/>
      <c r="BH536" s="447"/>
      <c r="BI536" s="447"/>
      <c r="BJ536" s="447"/>
      <c r="BK536" s="447"/>
      <c r="BL536" s="447"/>
      <c r="BM536" s="448"/>
      <c r="BN536" s="448"/>
    </row>
    <row r="537" spans="1:66" ht="11.25" customHeight="1">
      <c r="A537" s="450"/>
      <c r="B537" s="447"/>
      <c r="C537" s="447"/>
      <c r="D537" s="447"/>
      <c r="E537" s="447"/>
      <c r="F537" s="447"/>
      <c r="G537" s="447"/>
      <c r="H537" s="447"/>
      <c r="I537" s="447"/>
      <c r="J537" s="447"/>
      <c r="K537" s="447"/>
      <c r="L537" s="447"/>
      <c r="M537" s="447"/>
      <c r="N537" s="447"/>
      <c r="O537" s="447"/>
      <c r="P537" s="447"/>
      <c r="Q537" s="447"/>
      <c r="R537" s="447"/>
      <c r="S537" s="447"/>
      <c r="T537" s="447"/>
      <c r="U537" s="447"/>
      <c r="V537" s="447"/>
      <c r="W537" s="447"/>
      <c r="X537" s="447"/>
      <c r="Y537" s="447"/>
      <c r="Z537" s="447"/>
      <c r="AA537" s="447"/>
      <c r="AB537" s="447"/>
      <c r="AC537" s="447"/>
      <c r="AD537" s="447"/>
      <c r="AE537" s="447"/>
      <c r="AF537" s="448"/>
      <c r="AG537" s="448"/>
      <c r="AH537" s="449"/>
      <c r="AI537" s="447"/>
      <c r="AJ537" s="447"/>
      <c r="AK537" s="447"/>
      <c r="AL537" s="447"/>
      <c r="AM537" s="447"/>
      <c r="AN537" s="447"/>
      <c r="AO537" s="447"/>
      <c r="AP537" s="447"/>
      <c r="AQ537" s="447"/>
      <c r="AR537" s="447"/>
      <c r="AS537" s="447"/>
      <c r="AT537" s="447"/>
      <c r="AU537" s="447"/>
      <c r="AV537" s="447"/>
      <c r="AW537" s="447"/>
      <c r="AX537" s="447"/>
      <c r="AY537" s="447"/>
      <c r="AZ537" s="447"/>
      <c r="BA537" s="447"/>
      <c r="BB537" s="447"/>
      <c r="BC537" s="447"/>
      <c r="BD537" s="447"/>
      <c r="BE537" s="447"/>
      <c r="BF537" s="447"/>
      <c r="BG537" s="447"/>
      <c r="BH537" s="447"/>
      <c r="BI537" s="447"/>
      <c r="BJ537" s="447"/>
      <c r="BK537" s="447"/>
      <c r="BL537" s="447"/>
      <c r="BM537" s="448"/>
      <c r="BN537" s="448"/>
    </row>
    <row r="538" spans="1:66" ht="11.25" customHeight="1">
      <c r="A538" s="450"/>
      <c r="B538" s="447"/>
      <c r="C538" s="447"/>
      <c r="D538" s="447"/>
      <c r="E538" s="447"/>
      <c r="F538" s="447"/>
      <c r="G538" s="447"/>
      <c r="H538" s="447"/>
      <c r="I538" s="447"/>
      <c r="J538" s="447"/>
      <c r="K538" s="447"/>
      <c r="L538" s="447"/>
      <c r="M538" s="447"/>
      <c r="N538" s="447"/>
      <c r="O538" s="447"/>
      <c r="P538" s="447"/>
      <c r="Q538" s="447"/>
      <c r="R538" s="447"/>
      <c r="S538" s="447"/>
      <c r="T538" s="447"/>
      <c r="U538" s="447"/>
      <c r="V538" s="447"/>
      <c r="W538" s="447"/>
      <c r="X538" s="447"/>
      <c r="Y538" s="447"/>
      <c r="Z538" s="447"/>
      <c r="AA538" s="447"/>
      <c r="AB538" s="447"/>
      <c r="AC538" s="447"/>
      <c r="AD538" s="447"/>
      <c r="AE538" s="447"/>
      <c r="AF538" s="448"/>
      <c r="AG538" s="448"/>
      <c r="AH538" s="449"/>
      <c r="AI538" s="447"/>
      <c r="AJ538" s="447"/>
      <c r="AK538" s="447"/>
      <c r="AL538" s="447"/>
      <c r="AM538" s="447"/>
      <c r="AN538" s="447"/>
      <c r="AO538" s="447"/>
      <c r="AP538" s="447"/>
      <c r="AQ538" s="447"/>
      <c r="AR538" s="447"/>
      <c r="AS538" s="447"/>
      <c r="AT538" s="447"/>
      <c r="AU538" s="447"/>
      <c r="AV538" s="447"/>
      <c r="AW538" s="447"/>
      <c r="AX538" s="447"/>
      <c r="AY538" s="447"/>
      <c r="AZ538" s="447"/>
      <c r="BA538" s="447"/>
      <c r="BB538" s="447"/>
      <c r="BC538" s="447"/>
      <c r="BD538" s="447"/>
      <c r="BE538" s="447"/>
      <c r="BF538" s="447"/>
      <c r="BG538" s="447"/>
      <c r="BH538" s="447"/>
      <c r="BI538" s="447"/>
      <c r="BJ538" s="447"/>
      <c r="BK538" s="447"/>
      <c r="BL538" s="447"/>
      <c r="BM538" s="448"/>
      <c r="BN538" s="448"/>
    </row>
    <row r="539" spans="1:66" ht="11.25" customHeight="1">
      <c r="A539" s="450"/>
      <c r="B539" s="447"/>
      <c r="C539" s="447"/>
      <c r="D539" s="447"/>
      <c r="E539" s="447"/>
      <c r="F539" s="447"/>
      <c r="G539" s="447"/>
      <c r="H539" s="447"/>
      <c r="I539" s="447"/>
      <c r="J539" s="447"/>
      <c r="K539" s="447"/>
      <c r="L539" s="447"/>
      <c r="M539" s="447"/>
      <c r="N539" s="447"/>
      <c r="O539" s="447"/>
      <c r="P539" s="447"/>
      <c r="Q539" s="447"/>
      <c r="R539" s="447"/>
      <c r="S539" s="447"/>
      <c r="T539" s="447"/>
      <c r="U539" s="447"/>
      <c r="V539" s="447"/>
      <c r="W539" s="447"/>
      <c r="X539" s="447"/>
      <c r="Y539" s="447"/>
      <c r="Z539" s="447"/>
      <c r="AA539" s="447"/>
      <c r="AB539" s="447"/>
      <c r="AC539" s="447"/>
      <c r="AD539" s="447"/>
      <c r="AE539" s="447"/>
      <c r="AF539" s="448"/>
      <c r="AG539" s="448"/>
      <c r="AH539" s="449"/>
      <c r="AI539" s="447"/>
      <c r="AJ539" s="447"/>
      <c r="AK539" s="447"/>
      <c r="AL539" s="447"/>
      <c r="AM539" s="447"/>
      <c r="AN539" s="447"/>
      <c r="AO539" s="447"/>
      <c r="AP539" s="447"/>
      <c r="AQ539" s="447"/>
      <c r="AR539" s="447"/>
      <c r="AS539" s="447"/>
      <c r="AT539" s="447"/>
      <c r="AU539" s="447"/>
      <c r="AV539" s="447"/>
      <c r="AW539" s="447"/>
      <c r="AX539" s="447"/>
      <c r="AY539" s="447"/>
      <c r="AZ539" s="447"/>
      <c r="BA539" s="447"/>
      <c r="BB539" s="447"/>
      <c r="BC539" s="447"/>
      <c r="BD539" s="447"/>
      <c r="BE539" s="447"/>
      <c r="BF539" s="447"/>
      <c r="BG539" s="447"/>
      <c r="BH539" s="447"/>
      <c r="BI539" s="447"/>
      <c r="BJ539" s="447"/>
      <c r="BK539" s="447"/>
      <c r="BL539" s="447"/>
      <c r="BM539" s="448"/>
      <c r="BN539" s="448"/>
    </row>
    <row r="540" spans="1:66" ht="11.25" customHeight="1">
      <c r="A540" s="450"/>
      <c r="B540" s="447"/>
      <c r="C540" s="447"/>
      <c r="D540" s="447"/>
      <c r="E540" s="447"/>
      <c r="F540" s="447"/>
      <c r="G540" s="447"/>
      <c r="H540" s="447"/>
      <c r="I540" s="447"/>
      <c r="J540" s="447"/>
      <c r="K540" s="447"/>
      <c r="L540" s="447"/>
      <c r="M540" s="447"/>
      <c r="N540" s="447"/>
      <c r="O540" s="447"/>
      <c r="P540" s="447"/>
      <c r="Q540" s="447"/>
      <c r="R540" s="447"/>
      <c r="S540" s="447"/>
      <c r="T540" s="447"/>
      <c r="U540" s="447"/>
      <c r="V540" s="447"/>
      <c r="W540" s="447"/>
      <c r="X540" s="447"/>
      <c r="Y540" s="447"/>
      <c r="Z540" s="447"/>
      <c r="AA540" s="447"/>
      <c r="AB540" s="447"/>
      <c r="AC540" s="447"/>
      <c r="AD540" s="447"/>
      <c r="AE540" s="447"/>
      <c r="AF540" s="448"/>
      <c r="AG540" s="448"/>
      <c r="AH540" s="449"/>
      <c r="AI540" s="447"/>
      <c r="AJ540" s="447"/>
      <c r="AK540" s="447"/>
      <c r="AL540" s="447"/>
      <c r="AM540" s="447"/>
      <c r="AN540" s="447"/>
      <c r="AO540" s="447"/>
      <c r="AP540" s="447"/>
      <c r="AQ540" s="447"/>
      <c r="AR540" s="447"/>
      <c r="AS540" s="447"/>
      <c r="AT540" s="447"/>
      <c r="AU540" s="447"/>
      <c r="AV540" s="447"/>
      <c r="AW540" s="447"/>
      <c r="AX540" s="447"/>
      <c r="AY540" s="447"/>
      <c r="AZ540" s="447"/>
      <c r="BA540" s="447"/>
      <c r="BB540" s="447"/>
      <c r="BC540" s="447"/>
      <c r="BD540" s="447"/>
      <c r="BE540" s="447"/>
      <c r="BF540" s="447"/>
      <c r="BG540" s="447"/>
      <c r="BH540" s="447"/>
      <c r="BI540" s="447"/>
      <c r="BJ540" s="447"/>
      <c r="BK540" s="447"/>
      <c r="BL540" s="447"/>
      <c r="BM540" s="448"/>
      <c r="BN540" s="448"/>
    </row>
    <row r="541" spans="1:66" ht="11.25" customHeight="1">
      <c r="A541" s="450"/>
      <c r="B541" s="447"/>
      <c r="C541" s="447"/>
      <c r="D541" s="447"/>
      <c r="E541" s="447"/>
      <c r="F541" s="447"/>
      <c r="G541" s="447"/>
      <c r="H541" s="447"/>
      <c r="I541" s="447"/>
      <c r="J541" s="447"/>
      <c r="K541" s="447"/>
      <c r="L541" s="447"/>
      <c r="M541" s="447"/>
      <c r="N541" s="447"/>
      <c r="O541" s="447"/>
      <c r="P541" s="447"/>
      <c r="Q541" s="447"/>
      <c r="R541" s="447"/>
      <c r="S541" s="447"/>
      <c r="T541" s="447"/>
      <c r="U541" s="447"/>
      <c r="V541" s="447"/>
      <c r="W541" s="447"/>
      <c r="X541" s="447"/>
      <c r="Y541" s="447"/>
      <c r="Z541" s="447"/>
      <c r="AA541" s="447"/>
      <c r="AB541" s="447"/>
      <c r="AC541" s="447"/>
      <c r="AD541" s="447"/>
      <c r="AE541" s="447"/>
      <c r="AF541" s="448"/>
      <c r="AG541" s="448"/>
      <c r="AH541" s="449"/>
      <c r="AI541" s="447"/>
      <c r="AJ541" s="447"/>
      <c r="AK541" s="447"/>
      <c r="AL541" s="447"/>
      <c r="AM541" s="447"/>
      <c r="AN541" s="447"/>
      <c r="AO541" s="447"/>
      <c r="AP541" s="447"/>
      <c r="AQ541" s="447"/>
      <c r="AR541" s="447"/>
      <c r="AS541" s="447"/>
      <c r="AT541" s="447"/>
      <c r="AU541" s="447"/>
      <c r="AV541" s="447"/>
      <c r="AW541" s="447"/>
      <c r="AX541" s="447"/>
      <c r="AY541" s="447"/>
      <c r="AZ541" s="447"/>
      <c r="BA541" s="447"/>
      <c r="BB541" s="447"/>
      <c r="BC541" s="447"/>
      <c r="BD541" s="447"/>
      <c r="BE541" s="447"/>
      <c r="BF541" s="447"/>
      <c r="BG541" s="447"/>
      <c r="BH541" s="447"/>
      <c r="BI541" s="447"/>
      <c r="BJ541" s="447"/>
      <c r="BK541" s="447"/>
      <c r="BL541" s="447"/>
      <c r="BM541" s="448"/>
      <c r="BN541" s="448"/>
    </row>
    <row r="542" spans="1:66" ht="11.25" customHeight="1">
      <c r="A542" s="450"/>
      <c r="B542" s="447"/>
      <c r="C542" s="447"/>
      <c r="D542" s="447"/>
      <c r="E542" s="447"/>
      <c r="F542" s="447"/>
      <c r="G542" s="447"/>
      <c r="H542" s="447"/>
      <c r="I542" s="447"/>
      <c r="J542" s="447"/>
      <c r="K542" s="447"/>
      <c r="L542" s="447"/>
      <c r="M542" s="447"/>
      <c r="N542" s="447"/>
      <c r="O542" s="447"/>
      <c r="P542" s="447"/>
      <c r="Q542" s="447"/>
      <c r="R542" s="447"/>
      <c r="S542" s="447"/>
      <c r="T542" s="447"/>
      <c r="U542" s="447"/>
      <c r="V542" s="447"/>
      <c r="W542" s="447"/>
      <c r="X542" s="447"/>
      <c r="Y542" s="447"/>
      <c r="Z542" s="447"/>
      <c r="AA542" s="447"/>
      <c r="AB542" s="447"/>
      <c r="AC542" s="447"/>
      <c r="AD542" s="447"/>
      <c r="AE542" s="447"/>
      <c r="AF542" s="448"/>
      <c r="AG542" s="448"/>
      <c r="AH542" s="449"/>
      <c r="AI542" s="447"/>
      <c r="AJ542" s="447"/>
      <c r="AK542" s="447"/>
      <c r="AL542" s="447"/>
      <c r="AM542" s="447"/>
      <c r="AN542" s="447"/>
      <c r="AO542" s="447"/>
      <c r="AP542" s="447"/>
      <c r="AQ542" s="447"/>
      <c r="AR542" s="447"/>
      <c r="AS542" s="447"/>
      <c r="AT542" s="447"/>
      <c r="AU542" s="447"/>
      <c r="AV542" s="447"/>
      <c r="AW542" s="447"/>
      <c r="AX542" s="447"/>
      <c r="AY542" s="447"/>
      <c r="AZ542" s="447"/>
      <c r="BA542" s="447"/>
      <c r="BB542" s="447"/>
      <c r="BC542" s="447"/>
      <c r="BD542" s="447"/>
      <c r="BE542" s="447"/>
      <c r="BF542" s="447"/>
      <c r="BG542" s="447"/>
      <c r="BH542" s="447"/>
      <c r="BI542" s="447"/>
      <c r="BJ542" s="447"/>
      <c r="BK542" s="447"/>
      <c r="BL542" s="447"/>
      <c r="BM542" s="448"/>
      <c r="BN542" s="448"/>
    </row>
    <row r="543" spans="1:66" ht="11.25" customHeight="1">
      <c r="A543" s="450"/>
      <c r="B543" s="447"/>
      <c r="C543" s="447"/>
      <c r="D543" s="447"/>
      <c r="E543" s="447"/>
      <c r="F543" s="447"/>
      <c r="G543" s="447"/>
      <c r="H543" s="447"/>
      <c r="I543" s="447"/>
      <c r="J543" s="447"/>
      <c r="K543" s="447"/>
      <c r="L543" s="447"/>
      <c r="M543" s="447"/>
      <c r="N543" s="447"/>
      <c r="O543" s="447"/>
      <c r="P543" s="447"/>
      <c r="Q543" s="447"/>
      <c r="R543" s="447"/>
      <c r="S543" s="447"/>
      <c r="T543" s="447"/>
      <c r="U543" s="447"/>
      <c r="V543" s="447"/>
      <c r="W543" s="447"/>
      <c r="X543" s="447"/>
      <c r="Y543" s="447"/>
      <c r="Z543" s="447"/>
      <c r="AA543" s="447"/>
      <c r="AB543" s="447"/>
      <c r="AC543" s="447"/>
      <c r="AD543" s="447"/>
      <c r="AE543" s="447"/>
      <c r="AF543" s="448"/>
      <c r="AG543" s="448"/>
      <c r="AH543" s="449"/>
      <c r="AI543" s="447"/>
      <c r="AJ543" s="447"/>
      <c r="AK543" s="447"/>
      <c r="AL543" s="447"/>
      <c r="AM543" s="447"/>
      <c r="AN543" s="447"/>
      <c r="AO543" s="447"/>
      <c r="AP543" s="447"/>
      <c r="AQ543" s="447"/>
      <c r="AR543" s="447"/>
      <c r="AS543" s="447"/>
      <c r="AT543" s="447"/>
      <c r="AU543" s="447"/>
      <c r="AV543" s="447"/>
      <c r="AW543" s="447"/>
      <c r="AX543" s="447"/>
      <c r="AY543" s="447"/>
      <c r="AZ543" s="447"/>
      <c r="BA543" s="447"/>
      <c r="BB543" s="447"/>
      <c r="BC543" s="447"/>
      <c r="BD543" s="447"/>
      <c r="BE543" s="447"/>
      <c r="BF543" s="447"/>
      <c r="BG543" s="447"/>
      <c r="BH543" s="447"/>
      <c r="BI543" s="447"/>
      <c r="BJ543" s="447"/>
      <c r="BK543" s="447"/>
      <c r="BL543" s="447"/>
      <c r="BM543" s="448"/>
      <c r="BN543" s="448"/>
    </row>
    <row r="544" spans="1:66" ht="11.25" customHeight="1">
      <c r="A544" s="450"/>
      <c r="B544" s="447"/>
      <c r="C544" s="447"/>
      <c r="D544" s="447"/>
      <c r="E544" s="447"/>
      <c r="F544" s="447"/>
      <c r="G544" s="447"/>
      <c r="H544" s="447"/>
      <c r="I544" s="447"/>
      <c r="J544" s="447"/>
      <c r="K544" s="447"/>
      <c r="L544" s="447"/>
      <c r="M544" s="447"/>
      <c r="N544" s="447"/>
      <c r="O544" s="447"/>
      <c r="P544" s="447"/>
      <c r="Q544" s="447"/>
      <c r="R544" s="447"/>
      <c r="S544" s="447"/>
      <c r="T544" s="447"/>
      <c r="U544" s="447"/>
      <c r="V544" s="447"/>
      <c r="W544" s="447"/>
      <c r="X544" s="447"/>
      <c r="Y544" s="447"/>
      <c r="Z544" s="447"/>
      <c r="AA544" s="447"/>
      <c r="AB544" s="447"/>
      <c r="AC544" s="447"/>
      <c r="AD544" s="447"/>
      <c r="AE544" s="447"/>
      <c r="AF544" s="448"/>
      <c r="AG544" s="448"/>
      <c r="AH544" s="449"/>
      <c r="AI544" s="447"/>
      <c r="AJ544" s="447"/>
      <c r="AK544" s="447"/>
      <c r="AL544" s="447"/>
      <c r="AM544" s="447"/>
      <c r="AN544" s="447"/>
      <c r="AO544" s="447"/>
      <c r="AP544" s="447"/>
      <c r="AQ544" s="447"/>
      <c r="AR544" s="447"/>
      <c r="AS544" s="447"/>
      <c r="AT544" s="447"/>
      <c r="AU544" s="447"/>
      <c r="AV544" s="447"/>
      <c r="AW544" s="447"/>
      <c r="AX544" s="447"/>
      <c r="AY544" s="447"/>
      <c r="AZ544" s="447"/>
      <c r="BA544" s="447"/>
      <c r="BB544" s="447"/>
      <c r="BC544" s="447"/>
      <c r="BD544" s="447"/>
      <c r="BE544" s="447"/>
      <c r="BF544" s="447"/>
      <c r="BG544" s="447"/>
      <c r="BH544" s="447"/>
      <c r="BI544" s="447"/>
      <c r="BJ544" s="447"/>
      <c r="BK544" s="447"/>
      <c r="BL544" s="447"/>
      <c r="BM544" s="448"/>
      <c r="BN544" s="448"/>
    </row>
    <row r="545" spans="1:66" ht="11.25" customHeight="1">
      <c r="A545" s="450"/>
      <c r="B545" s="447"/>
      <c r="C545" s="447"/>
      <c r="D545" s="447"/>
      <c r="E545" s="447"/>
      <c r="F545" s="447"/>
      <c r="G545" s="447"/>
      <c r="H545" s="447"/>
      <c r="I545" s="447"/>
      <c r="J545" s="447"/>
      <c r="K545" s="447"/>
      <c r="L545" s="447"/>
      <c r="M545" s="447"/>
      <c r="N545" s="447"/>
      <c r="O545" s="447"/>
      <c r="P545" s="447"/>
      <c r="Q545" s="447"/>
      <c r="R545" s="447"/>
      <c r="S545" s="447"/>
      <c r="T545" s="447"/>
      <c r="U545" s="447"/>
      <c r="V545" s="447"/>
      <c r="W545" s="447"/>
      <c r="X545" s="447"/>
      <c r="Y545" s="447"/>
      <c r="Z545" s="447"/>
      <c r="AA545" s="447"/>
      <c r="AB545" s="447"/>
      <c r="AC545" s="447"/>
      <c r="AD545" s="447"/>
      <c r="AE545" s="447"/>
      <c r="AF545" s="448"/>
      <c r="AG545" s="448"/>
      <c r="AH545" s="449"/>
      <c r="AI545" s="447"/>
      <c r="AJ545" s="447"/>
      <c r="AK545" s="447"/>
      <c r="AL545" s="447"/>
      <c r="AM545" s="447"/>
      <c r="AN545" s="447"/>
      <c r="AO545" s="447"/>
      <c r="AP545" s="447"/>
      <c r="AQ545" s="447"/>
      <c r="AR545" s="447"/>
      <c r="AS545" s="447"/>
      <c r="AT545" s="447"/>
      <c r="AU545" s="447"/>
      <c r="AV545" s="447"/>
      <c r="AW545" s="447"/>
      <c r="AX545" s="447"/>
      <c r="AY545" s="447"/>
      <c r="AZ545" s="447"/>
      <c r="BA545" s="447"/>
      <c r="BB545" s="447"/>
      <c r="BC545" s="447"/>
      <c r="BD545" s="447"/>
      <c r="BE545" s="447"/>
      <c r="BF545" s="447"/>
      <c r="BG545" s="447"/>
      <c r="BH545" s="447"/>
      <c r="BI545" s="447"/>
      <c r="BJ545" s="447"/>
      <c r="BK545" s="447"/>
      <c r="BL545" s="447"/>
      <c r="BM545" s="448"/>
      <c r="BN545" s="448"/>
    </row>
    <row r="546" spans="1:66" ht="11.25" customHeight="1">
      <c r="A546" s="450"/>
      <c r="B546" s="447"/>
      <c r="C546" s="447"/>
      <c r="D546" s="447"/>
      <c r="E546" s="447"/>
      <c r="F546" s="447"/>
      <c r="G546" s="447"/>
      <c r="H546" s="447"/>
      <c r="I546" s="447"/>
      <c r="J546" s="447"/>
      <c r="K546" s="447"/>
      <c r="L546" s="447"/>
      <c r="M546" s="447"/>
      <c r="N546" s="447"/>
      <c r="O546" s="447"/>
      <c r="P546" s="447"/>
      <c r="Q546" s="447"/>
      <c r="R546" s="447"/>
      <c r="S546" s="447"/>
      <c r="T546" s="447"/>
      <c r="U546" s="447"/>
      <c r="V546" s="447"/>
      <c r="W546" s="447"/>
      <c r="X546" s="447"/>
      <c r="Y546" s="447"/>
      <c r="Z546" s="447"/>
      <c r="AA546" s="447"/>
      <c r="AB546" s="447"/>
      <c r="AC546" s="447"/>
      <c r="AD546" s="447"/>
      <c r="AE546" s="447"/>
      <c r="AF546" s="448"/>
      <c r="AG546" s="448"/>
      <c r="AH546" s="449"/>
      <c r="AI546" s="447"/>
      <c r="AJ546" s="447"/>
      <c r="AK546" s="447"/>
      <c r="AL546" s="447"/>
      <c r="AM546" s="447"/>
      <c r="AN546" s="447"/>
      <c r="AO546" s="447"/>
      <c r="AP546" s="447"/>
      <c r="AQ546" s="447"/>
      <c r="AR546" s="447"/>
      <c r="AS546" s="447"/>
      <c r="AT546" s="447"/>
      <c r="AU546" s="447"/>
      <c r="AV546" s="447"/>
      <c r="AW546" s="447"/>
      <c r="AX546" s="447"/>
      <c r="AY546" s="447"/>
      <c r="AZ546" s="447"/>
      <c r="BA546" s="447"/>
      <c r="BB546" s="447"/>
      <c r="BC546" s="447"/>
      <c r="BD546" s="447"/>
      <c r="BE546" s="447"/>
      <c r="BF546" s="447"/>
      <c r="BG546" s="447"/>
      <c r="BH546" s="447"/>
      <c r="BI546" s="447"/>
      <c r="BJ546" s="447"/>
      <c r="BK546" s="447"/>
      <c r="BL546" s="447"/>
      <c r="BM546" s="448"/>
      <c r="BN546" s="448"/>
    </row>
    <row r="547" spans="1:66" ht="11.25" customHeight="1">
      <c r="A547" s="450"/>
      <c r="B547" s="447"/>
      <c r="C547" s="447"/>
      <c r="D547" s="447"/>
      <c r="E547" s="447"/>
      <c r="F547" s="447"/>
      <c r="G547" s="447"/>
      <c r="H547" s="447"/>
      <c r="I547" s="447"/>
      <c r="J547" s="447"/>
      <c r="K547" s="447"/>
      <c r="L547" s="447"/>
      <c r="M547" s="447"/>
      <c r="N547" s="447"/>
      <c r="O547" s="447"/>
      <c r="P547" s="447"/>
      <c r="Q547" s="447"/>
      <c r="R547" s="447"/>
      <c r="S547" s="447"/>
      <c r="T547" s="447"/>
      <c r="U547" s="447"/>
      <c r="V547" s="447"/>
      <c r="W547" s="447"/>
      <c r="X547" s="447"/>
      <c r="Y547" s="447"/>
      <c r="Z547" s="447"/>
      <c r="AA547" s="447"/>
      <c r="AB547" s="447"/>
      <c r="AC547" s="447"/>
      <c r="AD547" s="447"/>
      <c r="AE547" s="447"/>
      <c r="AF547" s="448"/>
      <c r="AG547" s="448"/>
      <c r="AH547" s="449"/>
      <c r="AI547" s="447"/>
      <c r="AJ547" s="447"/>
      <c r="AK547" s="447"/>
      <c r="AL547" s="447"/>
      <c r="AM547" s="447"/>
      <c r="AN547" s="447"/>
      <c r="AO547" s="447"/>
      <c r="AP547" s="447"/>
      <c r="AQ547" s="447"/>
      <c r="AR547" s="447"/>
      <c r="AS547" s="447"/>
      <c r="AT547" s="447"/>
      <c r="AU547" s="447"/>
      <c r="AV547" s="447"/>
      <c r="AW547" s="447"/>
      <c r="AX547" s="447"/>
      <c r="AY547" s="447"/>
      <c r="AZ547" s="447"/>
      <c r="BA547" s="447"/>
      <c r="BB547" s="447"/>
      <c r="BC547" s="447"/>
      <c r="BD547" s="447"/>
      <c r="BE547" s="447"/>
      <c r="BF547" s="447"/>
      <c r="BG547" s="447"/>
      <c r="BH547" s="447"/>
      <c r="BI547" s="447"/>
      <c r="BJ547" s="447"/>
      <c r="BK547" s="447"/>
      <c r="BL547" s="447"/>
      <c r="BM547" s="448"/>
      <c r="BN547" s="448"/>
    </row>
    <row r="548" spans="1:66" ht="11.25" customHeight="1">
      <c r="A548" s="450"/>
      <c r="B548" s="447"/>
      <c r="C548" s="447"/>
      <c r="D548" s="447"/>
      <c r="E548" s="447"/>
      <c r="F548" s="447"/>
      <c r="G548" s="447"/>
      <c r="H548" s="447"/>
      <c r="I548" s="447"/>
      <c r="J548" s="447"/>
      <c r="K548" s="447"/>
      <c r="L548" s="447"/>
      <c r="M548" s="447"/>
      <c r="N548" s="447"/>
      <c r="O548" s="447"/>
      <c r="P548" s="447"/>
      <c r="Q548" s="447"/>
      <c r="R548" s="447"/>
      <c r="S548" s="447"/>
      <c r="T548" s="447"/>
      <c r="U548" s="447"/>
      <c r="V548" s="447"/>
      <c r="W548" s="447"/>
      <c r="X548" s="447"/>
      <c r="Y548" s="447"/>
      <c r="Z548" s="447"/>
      <c r="AA548" s="447"/>
      <c r="AB548" s="447"/>
      <c r="AC548" s="447"/>
      <c r="AD548" s="447"/>
      <c r="AE548" s="447"/>
      <c r="AF548" s="448"/>
      <c r="AG548" s="448"/>
      <c r="AH548" s="449"/>
      <c r="AI548" s="447"/>
      <c r="AJ548" s="447"/>
      <c r="AK548" s="447"/>
      <c r="AL548" s="447"/>
      <c r="AM548" s="447"/>
      <c r="AN548" s="447"/>
      <c r="AO548" s="447"/>
      <c r="AP548" s="447"/>
      <c r="AQ548" s="447"/>
      <c r="AR548" s="447"/>
      <c r="AS548" s="447"/>
      <c r="AT548" s="447"/>
      <c r="AU548" s="447"/>
      <c r="AV548" s="447"/>
      <c r="AW548" s="447"/>
      <c r="AX548" s="447"/>
      <c r="AY548" s="447"/>
      <c r="AZ548" s="447"/>
      <c r="BA548" s="447"/>
      <c r="BB548" s="447"/>
      <c r="BC548" s="447"/>
      <c r="BD548" s="447"/>
      <c r="BE548" s="447"/>
      <c r="BF548" s="447"/>
      <c r="BG548" s="447"/>
      <c r="BH548" s="447"/>
      <c r="BI548" s="447"/>
      <c r="BJ548" s="447"/>
      <c r="BK548" s="447"/>
      <c r="BL548" s="447"/>
      <c r="BM548" s="448"/>
      <c r="BN548" s="448"/>
    </row>
    <row r="549" spans="1:66" ht="11.25" customHeight="1">
      <c r="A549" s="450"/>
      <c r="B549" s="447"/>
      <c r="C549" s="447"/>
      <c r="D549" s="447"/>
      <c r="E549" s="447"/>
      <c r="F549" s="447"/>
      <c r="G549" s="447"/>
      <c r="H549" s="447"/>
      <c r="I549" s="447"/>
      <c r="J549" s="447"/>
      <c r="K549" s="447"/>
      <c r="L549" s="447"/>
      <c r="M549" s="447"/>
      <c r="N549" s="447"/>
      <c r="O549" s="447"/>
      <c r="P549" s="447"/>
      <c r="Q549" s="447"/>
      <c r="R549" s="447"/>
      <c r="S549" s="447"/>
      <c r="T549" s="447"/>
      <c r="U549" s="447"/>
      <c r="V549" s="447"/>
      <c r="W549" s="447"/>
      <c r="X549" s="447"/>
      <c r="Y549" s="447"/>
      <c r="Z549" s="447"/>
      <c r="AA549" s="447"/>
      <c r="AB549" s="447"/>
      <c r="AC549" s="447"/>
      <c r="AD549" s="447"/>
      <c r="AE549" s="447"/>
      <c r="AF549" s="448"/>
      <c r="AG549" s="448"/>
      <c r="AH549" s="449"/>
      <c r="AI549" s="447"/>
      <c r="AJ549" s="447"/>
      <c r="AK549" s="447"/>
      <c r="AL549" s="447"/>
      <c r="AM549" s="447"/>
      <c r="AN549" s="447"/>
      <c r="AO549" s="447"/>
      <c r="AP549" s="447"/>
      <c r="AQ549" s="447"/>
      <c r="AR549" s="447"/>
      <c r="AS549" s="447"/>
      <c r="AT549" s="447"/>
      <c r="AU549" s="447"/>
      <c r="AV549" s="447"/>
      <c r="AW549" s="447"/>
      <c r="AX549" s="447"/>
      <c r="AY549" s="447"/>
      <c r="AZ549" s="447"/>
      <c r="BA549" s="447"/>
      <c r="BB549" s="447"/>
      <c r="BC549" s="447"/>
      <c r="BD549" s="447"/>
      <c r="BE549" s="447"/>
      <c r="BF549" s="447"/>
      <c r="BG549" s="447"/>
      <c r="BH549" s="447"/>
      <c r="BI549" s="447"/>
      <c r="BJ549" s="447"/>
      <c r="BK549" s="447"/>
      <c r="BL549" s="447"/>
      <c r="BM549" s="448"/>
      <c r="BN549" s="448"/>
    </row>
    <row r="550" spans="1:66" ht="11.25" customHeight="1">
      <c r="A550" s="450"/>
      <c r="B550" s="447"/>
      <c r="C550" s="447"/>
      <c r="D550" s="447"/>
      <c r="E550" s="447"/>
      <c r="F550" s="447"/>
      <c r="G550" s="447"/>
      <c r="H550" s="447"/>
      <c r="I550" s="447"/>
      <c r="J550" s="447"/>
      <c r="K550" s="447"/>
      <c r="L550" s="447"/>
      <c r="M550" s="447"/>
      <c r="N550" s="447"/>
      <c r="O550" s="447"/>
      <c r="P550" s="447"/>
      <c r="Q550" s="447"/>
      <c r="R550" s="447"/>
      <c r="S550" s="447"/>
      <c r="T550" s="447"/>
      <c r="U550" s="447"/>
      <c r="V550" s="447"/>
      <c r="W550" s="447"/>
      <c r="X550" s="447"/>
      <c r="Y550" s="447"/>
      <c r="Z550" s="447"/>
      <c r="AA550" s="447"/>
      <c r="AB550" s="447"/>
      <c r="AC550" s="447"/>
      <c r="AD550" s="447"/>
      <c r="AE550" s="447"/>
      <c r="AF550" s="448"/>
      <c r="AG550" s="448"/>
      <c r="AH550" s="449"/>
      <c r="AI550" s="447"/>
      <c r="AJ550" s="447"/>
      <c r="AK550" s="447"/>
      <c r="AL550" s="447"/>
      <c r="AM550" s="447"/>
      <c r="AN550" s="447"/>
      <c r="AO550" s="447"/>
      <c r="AP550" s="447"/>
      <c r="AQ550" s="447"/>
      <c r="AR550" s="447"/>
      <c r="AS550" s="447"/>
      <c r="AT550" s="447"/>
      <c r="AU550" s="447"/>
      <c r="AV550" s="447"/>
      <c r="AW550" s="447"/>
      <c r="AX550" s="447"/>
      <c r="AY550" s="447"/>
      <c r="AZ550" s="447"/>
      <c r="BA550" s="447"/>
      <c r="BB550" s="447"/>
      <c r="BC550" s="447"/>
      <c r="BD550" s="447"/>
      <c r="BE550" s="447"/>
      <c r="BF550" s="447"/>
      <c r="BG550" s="447"/>
      <c r="BH550" s="447"/>
      <c r="BI550" s="447"/>
      <c r="BJ550" s="447"/>
      <c r="BK550" s="447"/>
      <c r="BL550" s="447"/>
      <c r="BM550" s="448"/>
      <c r="BN550" s="448"/>
    </row>
    <row r="551" spans="1:66" ht="11.25" customHeight="1">
      <c r="A551" s="450"/>
      <c r="B551" s="447"/>
      <c r="C551" s="447"/>
      <c r="D551" s="447"/>
      <c r="E551" s="447"/>
      <c r="F551" s="447"/>
      <c r="G551" s="447"/>
      <c r="H551" s="447"/>
      <c r="I551" s="447"/>
      <c r="J551" s="447"/>
      <c r="K551" s="447"/>
      <c r="L551" s="447"/>
      <c r="M551" s="447"/>
      <c r="N551" s="447"/>
      <c r="O551" s="447"/>
      <c r="P551" s="447"/>
      <c r="Q551" s="447"/>
      <c r="R551" s="447"/>
      <c r="S551" s="447"/>
      <c r="T551" s="447"/>
      <c r="U551" s="447"/>
      <c r="V551" s="447"/>
      <c r="W551" s="447"/>
      <c r="X551" s="447"/>
      <c r="Y551" s="447"/>
      <c r="Z551" s="447"/>
      <c r="AA551" s="447"/>
      <c r="AB551" s="447"/>
      <c r="AC551" s="447"/>
      <c r="AD551" s="447"/>
      <c r="AE551" s="447"/>
      <c r="AF551" s="448"/>
      <c r="AG551" s="448"/>
      <c r="AH551" s="449"/>
      <c r="AI551" s="447"/>
      <c r="AJ551" s="447"/>
      <c r="AK551" s="447"/>
      <c r="AL551" s="447"/>
      <c r="AM551" s="447"/>
      <c r="AN551" s="447"/>
      <c r="AO551" s="447"/>
      <c r="AP551" s="447"/>
      <c r="AQ551" s="447"/>
      <c r="AR551" s="447"/>
      <c r="AS551" s="447"/>
      <c r="AT551" s="447"/>
      <c r="AU551" s="447"/>
      <c r="AV551" s="447"/>
      <c r="AW551" s="447"/>
      <c r="AX551" s="447"/>
      <c r="AY551" s="447"/>
      <c r="AZ551" s="447"/>
      <c r="BA551" s="447"/>
      <c r="BB551" s="447"/>
      <c r="BC551" s="447"/>
      <c r="BD551" s="447"/>
      <c r="BE551" s="447"/>
      <c r="BF551" s="447"/>
      <c r="BG551" s="447"/>
      <c r="BH551" s="447"/>
      <c r="BI551" s="447"/>
      <c r="BJ551" s="447"/>
      <c r="BK551" s="447"/>
      <c r="BL551" s="447"/>
      <c r="BM551" s="448"/>
      <c r="BN551" s="448"/>
    </row>
    <row r="552" spans="1:66" ht="11.25" customHeight="1">
      <c r="A552" s="450"/>
      <c r="B552" s="447"/>
      <c r="C552" s="447"/>
      <c r="D552" s="447"/>
      <c r="E552" s="447"/>
      <c r="F552" s="447"/>
      <c r="G552" s="447"/>
      <c r="H552" s="447"/>
      <c r="I552" s="447"/>
      <c r="J552" s="447"/>
      <c r="K552" s="447"/>
      <c r="L552" s="447"/>
      <c r="M552" s="447"/>
      <c r="N552" s="447"/>
      <c r="O552" s="447"/>
      <c r="P552" s="447"/>
      <c r="Q552" s="447"/>
      <c r="R552" s="447"/>
      <c r="S552" s="447"/>
      <c r="T552" s="447"/>
      <c r="U552" s="447"/>
      <c r="V552" s="447"/>
      <c r="W552" s="447"/>
      <c r="X552" s="447"/>
      <c r="Y552" s="447"/>
      <c r="Z552" s="447"/>
      <c r="AA552" s="447"/>
      <c r="AB552" s="447"/>
      <c r="AC552" s="447"/>
      <c r="AD552" s="447"/>
      <c r="AE552" s="447"/>
      <c r="AF552" s="448"/>
      <c r="AG552" s="448"/>
      <c r="AH552" s="449"/>
      <c r="AI552" s="447"/>
      <c r="AJ552" s="447"/>
      <c r="AK552" s="447"/>
      <c r="AL552" s="447"/>
      <c r="AM552" s="447"/>
      <c r="AN552" s="447"/>
      <c r="AO552" s="447"/>
      <c r="AP552" s="447"/>
      <c r="AQ552" s="447"/>
      <c r="AR552" s="447"/>
      <c r="AS552" s="447"/>
      <c r="AT552" s="447"/>
      <c r="AU552" s="447"/>
      <c r="AV552" s="447"/>
      <c r="AW552" s="447"/>
      <c r="AX552" s="447"/>
      <c r="AY552" s="447"/>
      <c r="AZ552" s="447"/>
      <c r="BA552" s="447"/>
      <c r="BB552" s="447"/>
      <c r="BC552" s="447"/>
      <c r="BD552" s="447"/>
      <c r="BE552" s="447"/>
      <c r="BF552" s="447"/>
      <c r="BG552" s="447"/>
      <c r="BH552" s="447"/>
      <c r="BI552" s="447"/>
      <c r="BJ552" s="447"/>
      <c r="BK552" s="447"/>
      <c r="BL552" s="447"/>
      <c r="BM552" s="448"/>
      <c r="BN552" s="448"/>
    </row>
    <row r="553" spans="1:66" ht="11.25" customHeight="1">
      <c r="A553" s="450"/>
      <c r="B553" s="447"/>
      <c r="C553" s="447"/>
      <c r="D553" s="447"/>
      <c r="E553" s="447"/>
      <c r="F553" s="447"/>
      <c r="G553" s="447"/>
      <c r="H553" s="447"/>
      <c r="I553" s="447"/>
      <c r="J553" s="447"/>
      <c r="K553" s="447"/>
      <c r="L553" s="447"/>
      <c r="M553" s="447"/>
      <c r="N553" s="447"/>
      <c r="O553" s="447"/>
      <c r="P553" s="447"/>
      <c r="Q553" s="447"/>
      <c r="R553" s="447"/>
      <c r="S553" s="447"/>
      <c r="T553" s="447"/>
      <c r="U553" s="447"/>
      <c r="V553" s="447"/>
      <c r="W553" s="447"/>
      <c r="X553" s="447"/>
      <c r="Y553" s="447"/>
      <c r="Z553" s="447"/>
      <c r="AA553" s="447"/>
      <c r="AB553" s="447"/>
      <c r="AC553" s="447"/>
      <c r="AD553" s="447"/>
      <c r="AE553" s="447"/>
      <c r="AF553" s="448"/>
      <c r="AG553" s="448"/>
      <c r="AH553" s="449"/>
      <c r="AI553" s="447"/>
      <c r="AJ553" s="447"/>
      <c r="AK553" s="447"/>
      <c r="AL553" s="447"/>
      <c r="AM553" s="447"/>
      <c r="AN553" s="447"/>
      <c r="AO553" s="447"/>
      <c r="AP553" s="447"/>
      <c r="AQ553" s="447"/>
      <c r="AR553" s="447"/>
      <c r="AS553" s="447"/>
      <c r="AT553" s="447"/>
      <c r="AU553" s="447"/>
      <c r="AV553" s="447"/>
      <c r="AW553" s="447"/>
      <c r="AX553" s="447"/>
      <c r="AY553" s="447"/>
      <c r="AZ553" s="447"/>
      <c r="BA553" s="447"/>
      <c r="BB553" s="447"/>
      <c r="BC553" s="447"/>
      <c r="BD553" s="447"/>
      <c r="BE553" s="447"/>
      <c r="BF553" s="447"/>
      <c r="BG553" s="447"/>
      <c r="BH553" s="447"/>
      <c r="BI553" s="447"/>
      <c r="BJ553" s="447"/>
      <c r="BK553" s="447"/>
      <c r="BL553" s="447"/>
      <c r="BM553" s="448"/>
      <c r="BN553" s="448"/>
    </row>
    <row r="554" spans="1:66" ht="11.25" customHeight="1">
      <c r="A554" s="450"/>
      <c r="B554" s="447"/>
      <c r="C554" s="447"/>
      <c r="D554" s="447"/>
      <c r="E554" s="447"/>
      <c r="F554" s="447"/>
      <c r="G554" s="447"/>
      <c r="H554" s="447"/>
      <c r="I554" s="447"/>
      <c r="J554" s="447"/>
      <c r="K554" s="447"/>
      <c r="L554" s="447"/>
      <c r="M554" s="447"/>
      <c r="N554" s="447"/>
      <c r="O554" s="447"/>
      <c r="P554" s="447"/>
      <c r="Q554" s="447"/>
      <c r="R554" s="447"/>
      <c r="S554" s="447"/>
      <c r="T554" s="447"/>
      <c r="U554" s="447"/>
      <c r="V554" s="447"/>
      <c r="W554" s="447"/>
      <c r="X554" s="447"/>
      <c r="Y554" s="447"/>
      <c r="Z554" s="447"/>
      <c r="AA554" s="447"/>
      <c r="AB554" s="447"/>
      <c r="AC554" s="447"/>
      <c r="AD554" s="447"/>
      <c r="AE554" s="447"/>
      <c r="AF554" s="448"/>
      <c r="AG554" s="448"/>
      <c r="AH554" s="449"/>
      <c r="AI554" s="447"/>
      <c r="AJ554" s="447"/>
      <c r="AK554" s="447"/>
      <c r="AL554" s="447"/>
      <c r="AM554" s="447"/>
      <c r="AN554" s="447"/>
      <c r="AO554" s="447"/>
      <c r="AP554" s="447"/>
      <c r="AQ554" s="447"/>
      <c r="AR554" s="447"/>
      <c r="AS554" s="447"/>
      <c r="AT554" s="447"/>
      <c r="AU554" s="447"/>
      <c r="AV554" s="447"/>
      <c r="AW554" s="447"/>
      <c r="AX554" s="447"/>
      <c r="AY554" s="447"/>
      <c r="AZ554" s="447"/>
      <c r="BA554" s="447"/>
      <c r="BB554" s="447"/>
      <c r="BC554" s="447"/>
      <c r="BD554" s="447"/>
      <c r="BE554" s="447"/>
      <c r="BF554" s="447"/>
      <c r="BG554" s="447"/>
      <c r="BH554" s="447"/>
      <c r="BI554" s="447"/>
      <c r="BJ554" s="447"/>
      <c r="BK554" s="447"/>
      <c r="BL554" s="447"/>
      <c r="BM554" s="448"/>
      <c r="BN554" s="448"/>
    </row>
    <row r="555" spans="1:66" ht="11.25" customHeight="1">
      <c r="A555" s="450"/>
      <c r="B555" s="447"/>
      <c r="C555" s="447"/>
      <c r="D555" s="447"/>
      <c r="E555" s="447"/>
      <c r="F555" s="447"/>
      <c r="G555" s="447"/>
      <c r="H555" s="447"/>
      <c r="I555" s="447"/>
      <c r="J555" s="447"/>
      <c r="K555" s="447"/>
      <c r="L555" s="447"/>
      <c r="M555" s="447"/>
      <c r="N555" s="447"/>
      <c r="O555" s="447"/>
      <c r="P555" s="447"/>
      <c r="Q555" s="447"/>
      <c r="R555" s="447"/>
      <c r="S555" s="447"/>
      <c r="T555" s="447"/>
      <c r="U555" s="447"/>
      <c r="V555" s="447"/>
      <c r="W555" s="447"/>
      <c r="X555" s="447"/>
      <c r="Y555" s="447"/>
      <c r="Z555" s="447"/>
      <c r="AA555" s="447"/>
      <c r="AB555" s="447"/>
      <c r="AC555" s="447"/>
      <c r="AD555" s="447"/>
      <c r="AE555" s="447"/>
      <c r="AF555" s="448"/>
      <c r="AG555" s="448"/>
      <c r="AH555" s="449"/>
      <c r="AI555" s="447"/>
      <c r="AJ555" s="447"/>
      <c r="AK555" s="447"/>
      <c r="AL555" s="447"/>
      <c r="AM555" s="447"/>
      <c r="AN555" s="447"/>
      <c r="AO555" s="447"/>
      <c r="AP555" s="447"/>
      <c r="AQ555" s="447"/>
      <c r="AR555" s="447"/>
      <c r="AS555" s="447"/>
      <c r="AT555" s="447"/>
      <c r="AU555" s="447"/>
      <c r="AV555" s="447"/>
      <c r="AW555" s="447"/>
      <c r="AX555" s="447"/>
      <c r="AY555" s="447"/>
      <c r="AZ555" s="447"/>
      <c r="BA555" s="447"/>
      <c r="BB555" s="447"/>
      <c r="BC555" s="447"/>
      <c r="BD555" s="447"/>
      <c r="BE555" s="447"/>
      <c r="BF555" s="447"/>
      <c r="BG555" s="447"/>
      <c r="BH555" s="447"/>
      <c r="BI555" s="447"/>
      <c r="BJ555" s="447"/>
      <c r="BK555" s="447"/>
      <c r="BL555" s="447"/>
      <c r="BM555" s="448"/>
      <c r="BN555" s="448"/>
    </row>
    <row r="556" spans="1:66" ht="11.25" customHeight="1">
      <c r="A556" s="450"/>
      <c r="B556" s="447"/>
      <c r="C556" s="447"/>
      <c r="D556" s="447"/>
      <c r="E556" s="447"/>
      <c r="F556" s="447"/>
      <c r="G556" s="447"/>
      <c r="H556" s="447"/>
      <c r="I556" s="447"/>
      <c r="J556" s="447"/>
      <c r="K556" s="447"/>
      <c r="L556" s="447"/>
      <c r="M556" s="447"/>
      <c r="N556" s="447"/>
      <c r="O556" s="447"/>
      <c r="P556" s="447"/>
      <c r="Q556" s="447"/>
      <c r="R556" s="447"/>
      <c r="S556" s="447"/>
      <c r="T556" s="447"/>
      <c r="U556" s="447"/>
      <c r="V556" s="447"/>
      <c r="W556" s="447"/>
      <c r="X556" s="447"/>
      <c r="Y556" s="447"/>
      <c r="Z556" s="447"/>
      <c r="AA556" s="447"/>
      <c r="AB556" s="447"/>
      <c r="AC556" s="447"/>
      <c r="AD556" s="447"/>
      <c r="AE556" s="447"/>
      <c r="AF556" s="448"/>
      <c r="AG556" s="448"/>
      <c r="AH556" s="449"/>
      <c r="AI556" s="447"/>
      <c r="AJ556" s="447"/>
      <c r="AK556" s="447"/>
      <c r="AL556" s="447"/>
      <c r="AM556" s="447"/>
      <c r="AN556" s="447"/>
      <c r="AO556" s="447"/>
      <c r="AP556" s="447"/>
      <c r="AQ556" s="447"/>
      <c r="AR556" s="447"/>
      <c r="AS556" s="447"/>
      <c r="AT556" s="447"/>
      <c r="AU556" s="447"/>
      <c r="AV556" s="447"/>
      <c r="AW556" s="447"/>
      <c r="AX556" s="447"/>
      <c r="AY556" s="447"/>
      <c r="AZ556" s="447"/>
      <c r="BA556" s="447"/>
      <c r="BB556" s="447"/>
      <c r="BC556" s="447"/>
      <c r="BD556" s="447"/>
      <c r="BE556" s="447"/>
      <c r="BF556" s="447"/>
      <c r="BG556" s="447"/>
      <c r="BH556" s="447"/>
      <c r="BI556" s="447"/>
      <c r="BJ556" s="447"/>
      <c r="BK556" s="447"/>
      <c r="BL556" s="447"/>
      <c r="BM556" s="448"/>
      <c r="BN556" s="448"/>
    </row>
    <row r="557" spans="1:66" ht="11.25" customHeight="1">
      <c r="A557" s="450"/>
      <c r="B557" s="447"/>
      <c r="C557" s="447"/>
      <c r="D557" s="447"/>
      <c r="E557" s="447"/>
      <c r="F557" s="447"/>
      <c r="G557" s="447"/>
      <c r="H557" s="447"/>
      <c r="I557" s="447"/>
      <c r="J557" s="447"/>
      <c r="K557" s="447"/>
      <c r="L557" s="447"/>
      <c r="M557" s="447"/>
      <c r="N557" s="447"/>
      <c r="O557" s="447"/>
      <c r="P557" s="447"/>
      <c r="Q557" s="447"/>
      <c r="R557" s="447"/>
      <c r="S557" s="447"/>
      <c r="T557" s="447"/>
      <c r="U557" s="447"/>
      <c r="V557" s="447"/>
      <c r="W557" s="447"/>
      <c r="X557" s="447"/>
      <c r="Y557" s="447"/>
      <c r="Z557" s="447"/>
      <c r="AA557" s="447"/>
      <c r="AB557" s="447"/>
      <c r="AC557" s="447"/>
      <c r="AD557" s="447"/>
      <c r="AE557" s="447"/>
      <c r="AF557" s="448"/>
      <c r="AG557" s="448"/>
      <c r="AH557" s="449"/>
      <c r="AI557" s="447"/>
      <c r="AJ557" s="447"/>
      <c r="AK557" s="447"/>
      <c r="AL557" s="447"/>
      <c r="AM557" s="447"/>
      <c r="AN557" s="447"/>
      <c r="AO557" s="447"/>
      <c r="AP557" s="447"/>
      <c r="AQ557" s="447"/>
      <c r="AR557" s="447"/>
      <c r="AS557" s="447"/>
      <c r="AT557" s="447"/>
      <c r="AU557" s="447"/>
      <c r="AV557" s="447"/>
      <c r="AW557" s="447"/>
      <c r="AX557" s="447"/>
      <c r="AY557" s="447"/>
      <c r="AZ557" s="447"/>
      <c r="BA557" s="447"/>
      <c r="BB557" s="447"/>
      <c r="BC557" s="447"/>
      <c r="BD557" s="447"/>
      <c r="BE557" s="447"/>
      <c r="BF557" s="447"/>
      <c r="BG557" s="447"/>
      <c r="BH557" s="447"/>
      <c r="BI557" s="447"/>
      <c r="BJ557" s="447"/>
      <c r="BK557" s="447"/>
      <c r="BL557" s="447"/>
      <c r="BM557" s="448"/>
      <c r="BN557" s="448"/>
    </row>
    <row r="558" spans="1:66" ht="11.25" customHeight="1">
      <c r="A558" s="450"/>
      <c r="B558" s="447"/>
      <c r="C558" s="447"/>
      <c r="D558" s="447"/>
      <c r="E558" s="447"/>
      <c r="F558" s="447"/>
      <c r="G558" s="447"/>
      <c r="H558" s="447"/>
      <c r="I558" s="447"/>
      <c r="J558" s="447"/>
      <c r="K558" s="447"/>
      <c r="L558" s="447"/>
      <c r="M558" s="447"/>
      <c r="N558" s="447"/>
      <c r="O558" s="447"/>
      <c r="P558" s="447"/>
      <c r="Q558" s="447"/>
      <c r="R558" s="447"/>
      <c r="S558" s="447"/>
      <c r="T558" s="447"/>
      <c r="U558" s="447"/>
      <c r="V558" s="447"/>
      <c r="W558" s="447"/>
      <c r="X558" s="447"/>
      <c r="Y558" s="447"/>
      <c r="Z558" s="447"/>
      <c r="AA558" s="447"/>
      <c r="AB558" s="447"/>
      <c r="AC558" s="447"/>
      <c r="AD558" s="447"/>
      <c r="AE558" s="447"/>
      <c r="AF558" s="448"/>
      <c r="AG558" s="448"/>
      <c r="AH558" s="449"/>
      <c r="AI558" s="447"/>
      <c r="AJ558" s="447"/>
      <c r="AK558" s="447"/>
      <c r="AL558" s="447"/>
      <c r="AM558" s="447"/>
      <c r="AN558" s="447"/>
      <c r="AO558" s="447"/>
      <c r="AP558" s="447"/>
      <c r="AQ558" s="447"/>
      <c r="AR558" s="447"/>
      <c r="AS558" s="447"/>
      <c r="AT558" s="447"/>
      <c r="AU558" s="447"/>
      <c r="AV558" s="447"/>
      <c r="AW558" s="447"/>
      <c r="AX558" s="447"/>
      <c r="AY558" s="447"/>
      <c r="AZ558" s="447"/>
      <c r="BA558" s="447"/>
      <c r="BB558" s="447"/>
      <c r="BC558" s="447"/>
      <c r="BD558" s="447"/>
      <c r="BE558" s="447"/>
      <c r="BF558" s="447"/>
      <c r="BG558" s="447"/>
      <c r="BH558" s="447"/>
      <c r="BI558" s="447"/>
      <c r="BJ558" s="447"/>
      <c r="BK558" s="447"/>
      <c r="BL558" s="447"/>
      <c r="BM558" s="448"/>
      <c r="BN558" s="448"/>
    </row>
    <row r="559" spans="1:66" ht="11.25" customHeight="1">
      <c r="A559" s="450"/>
      <c r="B559" s="447"/>
      <c r="C559" s="447"/>
      <c r="D559" s="447"/>
      <c r="E559" s="447"/>
      <c r="F559" s="447"/>
      <c r="G559" s="447"/>
      <c r="H559" s="447"/>
      <c r="I559" s="447"/>
      <c r="J559" s="447"/>
      <c r="K559" s="447"/>
      <c r="L559" s="447"/>
      <c r="M559" s="447"/>
      <c r="N559" s="447"/>
      <c r="O559" s="447"/>
      <c r="P559" s="447"/>
      <c r="Q559" s="447"/>
      <c r="R559" s="447"/>
      <c r="S559" s="447"/>
      <c r="T559" s="447"/>
      <c r="U559" s="447"/>
      <c r="V559" s="447"/>
      <c r="W559" s="447"/>
      <c r="X559" s="447"/>
      <c r="Y559" s="447"/>
      <c r="Z559" s="447"/>
      <c r="AA559" s="447"/>
      <c r="AB559" s="447"/>
      <c r="AC559" s="447"/>
      <c r="AD559" s="447"/>
      <c r="AE559" s="447"/>
      <c r="AF559" s="448"/>
      <c r="AG559" s="448"/>
      <c r="AH559" s="449"/>
      <c r="AI559" s="447"/>
      <c r="AJ559" s="447"/>
      <c r="AK559" s="447"/>
      <c r="AL559" s="447"/>
      <c r="AM559" s="447"/>
      <c r="AN559" s="447"/>
      <c r="AO559" s="447"/>
      <c r="AP559" s="447"/>
      <c r="AQ559" s="447"/>
      <c r="AR559" s="447"/>
      <c r="AS559" s="447"/>
      <c r="AT559" s="447"/>
      <c r="AU559" s="447"/>
      <c r="AV559" s="447"/>
      <c r="AW559" s="447"/>
      <c r="AX559" s="447"/>
      <c r="AY559" s="447"/>
      <c r="AZ559" s="447"/>
      <c r="BA559" s="447"/>
      <c r="BB559" s="447"/>
      <c r="BC559" s="447"/>
      <c r="BD559" s="447"/>
      <c r="BE559" s="447"/>
      <c r="BF559" s="447"/>
      <c r="BG559" s="447"/>
      <c r="BH559" s="447"/>
      <c r="BI559" s="447"/>
      <c r="BJ559" s="447"/>
      <c r="BK559" s="447"/>
      <c r="BL559" s="447"/>
      <c r="BM559" s="448"/>
      <c r="BN559" s="448"/>
    </row>
    <row r="560" spans="1:66" ht="11.25" customHeight="1">
      <c r="A560" s="450"/>
      <c r="B560" s="447"/>
      <c r="C560" s="447"/>
      <c r="D560" s="447"/>
      <c r="E560" s="447"/>
      <c r="F560" s="447"/>
      <c r="G560" s="447"/>
      <c r="H560" s="447"/>
      <c r="I560" s="447"/>
      <c r="J560" s="447"/>
      <c r="K560" s="447"/>
      <c r="L560" s="447"/>
      <c r="M560" s="447"/>
      <c r="N560" s="447"/>
      <c r="O560" s="447"/>
      <c r="P560" s="447"/>
      <c r="Q560" s="447"/>
      <c r="R560" s="447"/>
      <c r="S560" s="447"/>
      <c r="T560" s="447"/>
      <c r="U560" s="447"/>
      <c r="V560" s="447"/>
      <c r="W560" s="447"/>
      <c r="X560" s="447"/>
      <c r="Y560" s="447"/>
      <c r="Z560" s="447"/>
      <c r="AA560" s="447"/>
      <c r="AB560" s="447"/>
      <c r="AC560" s="447"/>
      <c r="AD560" s="447"/>
      <c r="AE560" s="447"/>
      <c r="AF560" s="448"/>
      <c r="AG560" s="448"/>
      <c r="AH560" s="449"/>
      <c r="AI560" s="447"/>
      <c r="AJ560" s="447"/>
      <c r="AK560" s="447"/>
      <c r="AL560" s="447"/>
      <c r="AM560" s="447"/>
      <c r="AN560" s="447"/>
      <c r="AO560" s="447"/>
      <c r="AP560" s="447"/>
      <c r="AQ560" s="447"/>
      <c r="AR560" s="447"/>
      <c r="AS560" s="447"/>
      <c r="AT560" s="447"/>
      <c r="AU560" s="447"/>
      <c r="AV560" s="447"/>
      <c r="AW560" s="447"/>
      <c r="AX560" s="447"/>
      <c r="AY560" s="447"/>
      <c r="AZ560" s="447"/>
      <c r="BA560" s="447"/>
      <c r="BB560" s="447"/>
      <c r="BC560" s="447"/>
      <c r="BD560" s="447"/>
      <c r="BE560" s="447"/>
      <c r="BF560" s="447"/>
      <c r="BG560" s="447"/>
      <c r="BH560" s="447"/>
      <c r="BI560" s="447"/>
      <c r="BJ560" s="447"/>
      <c r="BK560" s="447"/>
      <c r="BL560" s="447"/>
      <c r="BM560" s="448"/>
      <c r="BN560" s="448"/>
    </row>
    <row r="561" spans="1:66" ht="11.25" customHeight="1">
      <c r="A561" s="450"/>
      <c r="B561" s="447"/>
      <c r="C561" s="447"/>
      <c r="D561" s="447"/>
      <c r="E561" s="447"/>
      <c r="F561" s="447"/>
      <c r="G561" s="447"/>
      <c r="H561" s="447"/>
      <c r="I561" s="447"/>
      <c r="J561" s="447"/>
      <c r="K561" s="447"/>
      <c r="L561" s="447"/>
      <c r="M561" s="447"/>
      <c r="N561" s="447"/>
      <c r="O561" s="447"/>
      <c r="P561" s="447"/>
      <c r="Q561" s="447"/>
      <c r="R561" s="447"/>
      <c r="S561" s="447"/>
      <c r="T561" s="447"/>
      <c r="U561" s="447"/>
      <c r="V561" s="447"/>
      <c r="W561" s="447"/>
      <c r="X561" s="447"/>
      <c r="Y561" s="447"/>
      <c r="Z561" s="447"/>
      <c r="AA561" s="447"/>
      <c r="AB561" s="447"/>
      <c r="AC561" s="447"/>
      <c r="AD561" s="447"/>
      <c r="AE561" s="447"/>
      <c r="AF561" s="448"/>
      <c r="AG561" s="448"/>
      <c r="AH561" s="449"/>
      <c r="AI561" s="447"/>
      <c r="AJ561" s="447"/>
      <c r="AK561" s="447"/>
      <c r="AL561" s="447"/>
      <c r="AM561" s="447"/>
      <c r="AN561" s="447"/>
      <c r="AO561" s="447"/>
      <c r="AP561" s="447"/>
      <c r="AQ561" s="447"/>
      <c r="AR561" s="447"/>
      <c r="AS561" s="447"/>
      <c r="AT561" s="447"/>
      <c r="AU561" s="447"/>
      <c r="AV561" s="447"/>
      <c r="AW561" s="447"/>
      <c r="AX561" s="447"/>
      <c r="AY561" s="447"/>
      <c r="AZ561" s="447"/>
      <c r="BA561" s="447"/>
      <c r="BB561" s="447"/>
      <c r="BC561" s="447"/>
      <c r="BD561" s="447"/>
      <c r="BE561" s="447"/>
      <c r="BF561" s="447"/>
      <c r="BG561" s="447"/>
      <c r="BH561" s="447"/>
      <c r="BI561" s="447"/>
      <c r="BJ561" s="447"/>
      <c r="BK561" s="447"/>
      <c r="BL561" s="447"/>
      <c r="BM561" s="448"/>
      <c r="BN561" s="448"/>
    </row>
    <row r="562" spans="1:66" ht="11.25" customHeight="1">
      <c r="A562" s="450"/>
      <c r="B562" s="447"/>
      <c r="C562" s="447"/>
      <c r="D562" s="447"/>
      <c r="E562" s="447"/>
      <c r="F562" s="447"/>
      <c r="G562" s="447"/>
      <c r="H562" s="447"/>
      <c r="I562" s="447"/>
      <c r="J562" s="447"/>
      <c r="K562" s="447"/>
      <c r="L562" s="447"/>
      <c r="M562" s="447"/>
      <c r="N562" s="447"/>
      <c r="O562" s="447"/>
      <c r="P562" s="447"/>
      <c r="Q562" s="447"/>
      <c r="R562" s="447"/>
      <c r="S562" s="447"/>
      <c r="T562" s="447"/>
      <c r="U562" s="447"/>
      <c r="V562" s="447"/>
      <c r="W562" s="447"/>
      <c r="X562" s="447"/>
      <c r="Y562" s="447"/>
      <c r="Z562" s="447"/>
      <c r="AA562" s="447"/>
      <c r="AB562" s="447"/>
      <c r="AC562" s="447"/>
      <c r="AD562" s="447"/>
      <c r="AE562" s="447"/>
      <c r="AF562" s="448"/>
      <c r="AG562" s="448"/>
      <c r="AH562" s="449"/>
      <c r="AI562" s="447"/>
      <c r="AJ562" s="447"/>
      <c r="AK562" s="447"/>
      <c r="AL562" s="447"/>
      <c r="AM562" s="447"/>
      <c r="AN562" s="447"/>
      <c r="AO562" s="447"/>
      <c r="AP562" s="447"/>
      <c r="AQ562" s="447"/>
      <c r="AR562" s="447"/>
      <c r="AS562" s="447"/>
      <c r="AT562" s="447"/>
      <c r="AU562" s="447"/>
      <c r="AV562" s="447"/>
      <c r="AW562" s="447"/>
      <c r="AX562" s="447"/>
      <c r="AY562" s="447"/>
      <c r="AZ562" s="447"/>
      <c r="BA562" s="447"/>
      <c r="BB562" s="447"/>
      <c r="BC562" s="447"/>
      <c r="BD562" s="447"/>
      <c r="BE562" s="447"/>
      <c r="BF562" s="447"/>
      <c r="BG562" s="447"/>
      <c r="BH562" s="447"/>
      <c r="BI562" s="447"/>
      <c r="BJ562" s="447"/>
      <c r="BK562" s="447"/>
      <c r="BL562" s="447"/>
      <c r="BM562" s="448"/>
      <c r="BN562" s="448"/>
    </row>
    <row r="563" spans="1:66" ht="11.25" customHeight="1">
      <c r="A563" s="450"/>
      <c r="B563" s="447"/>
      <c r="C563" s="447"/>
      <c r="D563" s="447"/>
      <c r="E563" s="447"/>
      <c r="F563" s="447"/>
      <c r="G563" s="447"/>
      <c r="H563" s="447"/>
      <c r="I563" s="447"/>
      <c r="J563" s="447"/>
      <c r="K563" s="447"/>
      <c r="L563" s="447"/>
      <c r="M563" s="447"/>
      <c r="N563" s="447"/>
      <c r="O563" s="447"/>
      <c r="P563" s="447"/>
      <c r="Q563" s="447"/>
      <c r="R563" s="447"/>
      <c r="S563" s="447"/>
      <c r="T563" s="447"/>
      <c r="U563" s="447"/>
      <c r="V563" s="447"/>
      <c r="W563" s="447"/>
      <c r="X563" s="447"/>
      <c r="Y563" s="447"/>
      <c r="Z563" s="447"/>
      <c r="AA563" s="447"/>
      <c r="AB563" s="447"/>
      <c r="AC563" s="447"/>
      <c r="AD563" s="447"/>
      <c r="AE563" s="447"/>
      <c r="AF563" s="448"/>
      <c r="AG563" s="448"/>
      <c r="AH563" s="449"/>
      <c r="AI563" s="447"/>
      <c r="AJ563" s="447"/>
      <c r="AK563" s="447"/>
      <c r="AL563" s="447"/>
      <c r="AM563" s="447"/>
      <c r="AN563" s="447"/>
      <c r="AO563" s="447"/>
      <c r="AP563" s="447"/>
      <c r="AQ563" s="447"/>
      <c r="AR563" s="447"/>
      <c r="AS563" s="447"/>
      <c r="AT563" s="447"/>
      <c r="AU563" s="447"/>
      <c r="AV563" s="447"/>
      <c r="AW563" s="447"/>
      <c r="AX563" s="447"/>
      <c r="AY563" s="447"/>
      <c r="AZ563" s="447"/>
      <c r="BA563" s="447"/>
      <c r="BB563" s="447"/>
      <c r="BC563" s="447"/>
      <c r="BD563" s="447"/>
      <c r="BE563" s="447"/>
      <c r="BF563" s="447"/>
      <c r="BG563" s="447"/>
      <c r="BH563" s="447"/>
      <c r="BI563" s="447"/>
      <c r="BJ563" s="447"/>
      <c r="BK563" s="447"/>
      <c r="BL563" s="447"/>
      <c r="BM563" s="448"/>
      <c r="BN563" s="448"/>
    </row>
    <row r="564" spans="1:66" ht="11.25" customHeight="1">
      <c r="A564" s="450"/>
      <c r="B564" s="447"/>
      <c r="C564" s="447"/>
      <c r="D564" s="447"/>
      <c r="E564" s="447"/>
      <c r="F564" s="447"/>
      <c r="G564" s="447"/>
      <c r="H564" s="447"/>
      <c r="I564" s="447"/>
      <c r="J564" s="447"/>
      <c r="K564" s="447"/>
      <c r="L564" s="447"/>
      <c r="M564" s="447"/>
      <c r="N564" s="447"/>
      <c r="O564" s="447"/>
      <c r="P564" s="447"/>
      <c r="Q564" s="447"/>
      <c r="R564" s="447"/>
      <c r="S564" s="447"/>
      <c r="T564" s="447"/>
      <c r="U564" s="447"/>
      <c r="V564" s="447"/>
      <c r="W564" s="447"/>
      <c r="X564" s="447"/>
      <c r="Y564" s="447"/>
      <c r="Z564" s="447"/>
      <c r="AA564" s="447"/>
      <c r="AB564" s="447"/>
      <c r="AC564" s="447"/>
      <c r="AD564" s="447"/>
      <c r="AE564" s="447"/>
      <c r="AF564" s="448"/>
      <c r="AG564" s="448"/>
      <c r="AH564" s="449"/>
      <c r="AI564" s="447"/>
      <c r="AJ564" s="447"/>
      <c r="AK564" s="447"/>
      <c r="AL564" s="447"/>
      <c r="AM564" s="447"/>
      <c r="AN564" s="447"/>
      <c r="AO564" s="447"/>
      <c r="AP564" s="447"/>
      <c r="AQ564" s="447"/>
      <c r="AR564" s="447"/>
      <c r="AS564" s="447"/>
      <c r="AT564" s="447"/>
      <c r="AU564" s="447"/>
      <c r="AV564" s="447"/>
      <c r="AW564" s="447"/>
      <c r="AX564" s="447"/>
      <c r="AY564" s="447"/>
      <c r="AZ564" s="447"/>
      <c r="BA564" s="447"/>
      <c r="BB564" s="447"/>
      <c r="BC564" s="447"/>
      <c r="BD564" s="447"/>
      <c r="BE564" s="447"/>
      <c r="BF564" s="447"/>
      <c r="BG564" s="447"/>
      <c r="BH564" s="447"/>
      <c r="BI564" s="447"/>
      <c r="BJ564" s="447"/>
      <c r="BK564" s="447"/>
      <c r="BL564" s="447"/>
      <c r="BM564" s="448"/>
      <c r="BN564" s="448"/>
    </row>
    <row r="565" spans="1:66" ht="11.25" customHeight="1">
      <c r="A565" s="450"/>
      <c r="B565" s="447"/>
      <c r="C565" s="447"/>
      <c r="D565" s="447"/>
      <c r="E565" s="447"/>
      <c r="F565" s="447"/>
      <c r="G565" s="447"/>
      <c r="H565" s="447"/>
      <c r="I565" s="447"/>
      <c r="J565" s="447"/>
      <c r="K565" s="447"/>
      <c r="L565" s="447"/>
      <c r="M565" s="447"/>
      <c r="N565" s="447"/>
      <c r="O565" s="447"/>
      <c r="P565" s="447"/>
      <c r="Q565" s="447"/>
      <c r="R565" s="447"/>
      <c r="S565" s="447"/>
      <c r="T565" s="447"/>
      <c r="U565" s="447"/>
      <c r="V565" s="447"/>
      <c r="W565" s="447"/>
      <c r="X565" s="447"/>
      <c r="Y565" s="447"/>
      <c r="Z565" s="447"/>
      <c r="AA565" s="447"/>
      <c r="AB565" s="447"/>
      <c r="AC565" s="447"/>
      <c r="AD565" s="447"/>
      <c r="AE565" s="447"/>
      <c r="AF565" s="448"/>
      <c r="AG565" s="448"/>
      <c r="AH565" s="449"/>
      <c r="AI565" s="447"/>
      <c r="AJ565" s="447"/>
      <c r="AK565" s="447"/>
      <c r="AL565" s="447"/>
      <c r="AM565" s="447"/>
      <c r="AN565" s="447"/>
      <c r="AO565" s="447"/>
      <c r="AP565" s="447"/>
      <c r="AQ565" s="447"/>
      <c r="AR565" s="447"/>
      <c r="AS565" s="447"/>
      <c r="AT565" s="447"/>
      <c r="AU565" s="447"/>
      <c r="AV565" s="447"/>
      <c r="AW565" s="447"/>
      <c r="AX565" s="447"/>
      <c r="AY565" s="447"/>
      <c r="AZ565" s="447"/>
      <c r="BA565" s="447"/>
      <c r="BB565" s="447"/>
      <c r="BC565" s="447"/>
      <c r="BD565" s="447"/>
      <c r="BE565" s="447"/>
      <c r="BF565" s="447"/>
      <c r="BG565" s="447"/>
      <c r="BH565" s="447"/>
      <c r="BI565" s="447"/>
      <c r="BJ565" s="447"/>
      <c r="BK565" s="447"/>
      <c r="BL565" s="447"/>
      <c r="BM565" s="448"/>
      <c r="BN565" s="448"/>
    </row>
    <row r="566" spans="1:66" ht="11.25" customHeight="1">
      <c r="A566" s="450"/>
      <c r="B566" s="447"/>
      <c r="C566" s="447"/>
      <c r="D566" s="447"/>
      <c r="E566" s="447"/>
      <c r="F566" s="447"/>
      <c r="G566" s="447"/>
      <c r="H566" s="447"/>
      <c r="I566" s="447"/>
      <c r="J566" s="447"/>
      <c r="K566" s="447"/>
      <c r="L566" s="447"/>
      <c r="M566" s="447"/>
      <c r="N566" s="447"/>
      <c r="O566" s="447"/>
      <c r="P566" s="447"/>
      <c r="Q566" s="447"/>
      <c r="R566" s="447"/>
      <c r="S566" s="447"/>
      <c r="T566" s="447"/>
      <c r="U566" s="447"/>
      <c r="V566" s="447"/>
      <c r="W566" s="447"/>
      <c r="X566" s="447"/>
      <c r="Y566" s="447"/>
      <c r="Z566" s="447"/>
      <c r="AA566" s="447"/>
      <c r="AB566" s="447"/>
      <c r="AC566" s="447"/>
      <c r="AD566" s="447"/>
      <c r="AE566" s="447"/>
      <c r="AF566" s="448"/>
      <c r="AG566" s="448"/>
      <c r="AH566" s="449"/>
      <c r="AI566" s="447"/>
      <c r="AJ566" s="447"/>
      <c r="AK566" s="447"/>
      <c r="AL566" s="447"/>
      <c r="AM566" s="447"/>
      <c r="AN566" s="447"/>
      <c r="AO566" s="447"/>
      <c r="AP566" s="447"/>
      <c r="AQ566" s="447"/>
      <c r="AR566" s="447"/>
      <c r="AS566" s="447"/>
      <c r="AT566" s="447"/>
      <c r="AU566" s="447"/>
      <c r="AV566" s="447"/>
      <c r="AW566" s="447"/>
      <c r="AX566" s="447"/>
      <c r="AY566" s="447"/>
      <c r="AZ566" s="447"/>
      <c r="BA566" s="447"/>
      <c r="BB566" s="447"/>
      <c r="BC566" s="447"/>
      <c r="BD566" s="447"/>
      <c r="BE566" s="447"/>
      <c r="BF566" s="447"/>
      <c r="BG566" s="447"/>
      <c r="BH566" s="447"/>
      <c r="BI566" s="447"/>
      <c r="BJ566" s="447"/>
      <c r="BK566" s="447"/>
      <c r="BL566" s="447"/>
      <c r="BM566" s="448"/>
      <c r="BN566" s="448"/>
    </row>
    <row r="567" spans="1:66" ht="11.25" customHeight="1">
      <c r="A567" s="450"/>
      <c r="B567" s="447"/>
      <c r="C567" s="447"/>
      <c r="D567" s="447"/>
      <c r="E567" s="447"/>
      <c r="F567" s="447"/>
      <c r="G567" s="447"/>
      <c r="H567" s="447"/>
      <c r="I567" s="447"/>
      <c r="J567" s="447"/>
      <c r="K567" s="447"/>
      <c r="L567" s="447"/>
      <c r="M567" s="447"/>
      <c r="N567" s="447"/>
      <c r="O567" s="447"/>
      <c r="P567" s="447"/>
      <c r="Q567" s="447"/>
      <c r="R567" s="447"/>
      <c r="S567" s="447"/>
      <c r="T567" s="447"/>
      <c r="U567" s="447"/>
      <c r="V567" s="447"/>
      <c r="W567" s="447"/>
      <c r="X567" s="447"/>
      <c r="Y567" s="447"/>
      <c r="Z567" s="447"/>
      <c r="AA567" s="447"/>
      <c r="AB567" s="447"/>
      <c r="AC567" s="447"/>
      <c r="AD567" s="447"/>
      <c r="AE567" s="447"/>
      <c r="AF567" s="448"/>
      <c r="AG567" s="448"/>
      <c r="AH567" s="449"/>
      <c r="AI567" s="447"/>
      <c r="AJ567" s="447"/>
      <c r="AK567" s="447"/>
      <c r="AL567" s="447"/>
      <c r="AM567" s="447"/>
      <c r="AN567" s="447"/>
      <c r="AO567" s="447"/>
      <c r="AP567" s="447"/>
      <c r="AQ567" s="447"/>
      <c r="AR567" s="447"/>
      <c r="AS567" s="447"/>
      <c r="AT567" s="447"/>
      <c r="AU567" s="447"/>
      <c r="AV567" s="447"/>
      <c r="AW567" s="447"/>
      <c r="AX567" s="447"/>
      <c r="AY567" s="447"/>
      <c r="AZ567" s="447"/>
      <c r="BA567" s="447"/>
      <c r="BB567" s="447"/>
      <c r="BC567" s="447"/>
      <c r="BD567" s="447"/>
      <c r="BE567" s="447"/>
      <c r="BF567" s="447"/>
      <c r="BG567" s="447"/>
      <c r="BH567" s="447"/>
      <c r="BI567" s="447"/>
      <c r="BJ567" s="447"/>
      <c r="BK567" s="447"/>
      <c r="BL567" s="447"/>
      <c r="BM567" s="448"/>
      <c r="BN567" s="448"/>
    </row>
    <row r="568" spans="1:66" ht="11.25" customHeight="1">
      <c r="A568" s="450"/>
      <c r="B568" s="447"/>
      <c r="C568" s="447"/>
      <c r="D568" s="447"/>
      <c r="E568" s="447"/>
      <c r="F568" s="447"/>
      <c r="G568" s="447"/>
      <c r="H568" s="447"/>
      <c r="I568" s="447"/>
      <c r="J568" s="447"/>
      <c r="K568" s="447"/>
      <c r="L568" s="447"/>
      <c r="M568" s="447"/>
      <c r="N568" s="447"/>
      <c r="O568" s="447"/>
      <c r="P568" s="447"/>
      <c r="Q568" s="447"/>
      <c r="R568" s="447"/>
      <c r="S568" s="447"/>
      <c r="T568" s="447"/>
      <c r="U568" s="447"/>
      <c r="V568" s="447"/>
      <c r="W568" s="447"/>
      <c r="X568" s="447"/>
      <c r="Y568" s="447"/>
      <c r="Z568" s="447"/>
      <c r="AA568" s="447"/>
      <c r="AB568" s="447"/>
      <c r="AC568" s="447"/>
      <c r="AD568" s="447"/>
      <c r="AE568" s="447"/>
      <c r="AF568" s="448"/>
      <c r="AG568" s="448"/>
      <c r="AH568" s="449"/>
      <c r="AI568" s="447"/>
      <c r="AJ568" s="447"/>
      <c r="AK568" s="447"/>
      <c r="AL568" s="447"/>
      <c r="AM568" s="447"/>
      <c r="AN568" s="447"/>
      <c r="AO568" s="447"/>
      <c r="AP568" s="447"/>
      <c r="AQ568" s="447"/>
      <c r="AR568" s="447"/>
      <c r="AS568" s="447"/>
      <c r="AT568" s="447"/>
      <c r="AU568" s="447"/>
      <c r="AV568" s="447"/>
      <c r="AW568" s="447"/>
      <c r="AX568" s="447"/>
      <c r="AY568" s="447"/>
      <c r="AZ568" s="447"/>
      <c r="BA568" s="447"/>
      <c r="BB568" s="447"/>
      <c r="BC568" s="447"/>
      <c r="BD568" s="447"/>
      <c r="BE568" s="447"/>
      <c r="BF568" s="447"/>
      <c r="BG568" s="447"/>
      <c r="BH568" s="447"/>
      <c r="BI568" s="447"/>
      <c r="BJ568" s="447"/>
      <c r="BK568" s="447"/>
      <c r="BL568" s="447"/>
      <c r="BM568" s="448"/>
      <c r="BN568" s="448"/>
    </row>
    <row r="569" spans="1:66" ht="11.25" customHeight="1">
      <c r="A569" s="450"/>
      <c r="B569" s="447"/>
      <c r="C569" s="447"/>
      <c r="D569" s="447"/>
      <c r="E569" s="447"/>
      <c r="F569" s="447"/>
      <c r="G569" s="447"/>
      <c r="H569" s="447"/>
      <c r="I569" s="447"/>
      <c r="J569" s="447"/>
      <c r="K569" s="447"/>
      <c r="L569" s="447"/>
      <c r="M569" s="447"/>
      <c r="N569" s="447"/>
      <c r="O569" s="447"/>
      <c r="P569" s="447"/>
      <c r="Q569" s="447"/>
      <c r="R569" s="447"/>
      <c r="S569" s="447"/>
      <c r="T569" s="447"/>
      <c r="U569" s="447"/>
      <c r="V569" s="447"/>
      <c r="W569" s="447"/>
      <c r="X569" s="447"/>
      <c r="Y569" s="447"/>
      <c r="Z569" s="447"/>
      <c r="AA569" s="447"/>
      <c r="AB569" s="447"/>
      <c r="AC569" s="447"/>
      <c r="AD569" s="447"/>
      <c r="AE569" s="447"/>
      <c r="AF569" s="448"/>
      <c r="AG569" s="448"/>
      <c r="AH569" s="449"/>
      <c r="AI569" s="447"/>
      <c r="AJ569" s="447"/>
      <c r="AK569" s="447"/>
      <c r="AL569" s="447"/>
      <c r="AM569" s="447"/>
      <c r="AN569" s="447"/>
      <c r="AO569" s="447"/>
      <c r="AP569" s="447"/>
      <c r="AQ569" s="447"/>
      <c r="AR569" s="447"/>
      <c r="AS569" s="447"/>
      <c r="AT569" s="447"/>
      <c r="AU569" s="447"/>
      <c r="AV569" s="447"/>
      <c r="AW569" s="447"/>
      <c r="AX569" s="447"/>
      <c r="AY569" s="447"/>
      <c r="AZ569" s="447"/>
      <c r="BA569" s="447"/>
      <c r="BB569" s="447"/>
      <c r="BC569" s="447"/>
      <c r="BD569" s="447"/>
      <c r="BE569" s="447"/>
      <c r="BF569" s="447"/>
      <c r="BG569" s="447"/>
      <c r="BH569" s="447"/>
      <c r="BI569" s="447"/>
      <c r="BJ569" s="447"/>
      <c r="BK569" s="447"/>
      <c r="BL569" s="447"/>
      <c r="BM569" s="448"/>
      <c r="BN569" s="448"/>
    </row>
    <row r="570" spans="1:66" ht="11.25" customHeight="1">
      <c r="A570" s="450"/>
      <c r="B570" s="447"/>
      <c r="C570" s="447"/>
      <c r="D570" s="447"/>
      <c r="E570" s="447"/>
      <c r="F570" s="447"/>
      <c r="G570" s="447"/>
      <c r="H570" s="447"/>
      <c r="I570" s="447"/>
      <c r="J570" s="447"/>
      <c r="K570" s="447"/>
      <c r="L570" s="447"/>
      <c r="M570" s="447"/>
      <c r="N570" s="447"/>
      <c r="O570" s="447"/>
      <c r="P570" s="447"/>
      <c r="Q570" s="447"/>
      <c r="R570" s="447"/>
      <c r="S570" s="447"/>
      <c r="T570" s="447"/>
      <c r="U570" s="447"/>
      <c r="V570" s="447"/>
      <c r="W570" s="447"/>
      <c r="X570" s="447"/>
      <c r="Y570" s="447"/>
      <c r="Z570" s="447"/>
      <c r="AA570" s="447"/>
      <c r="AB570" s="447"/>
      <c r="AC570" s="447"/>
      <c r="AD570" s="447"/>
      <c r="AE570" s="447"/>
      <c r="AF570" s="448"/>
      <c r="AG570" s="448"/>
      <c r="AH570" s="449"/>
      <c r="AI570" s="447"/>
      <c r="AJ570" s="447"/>
      <c r="AK570" s="447"/>
      <c r="AL570" s="447"/>
      <c r="AM570" s="447"/>
      <c r="AN570" s="447"/>
      <c r="AO570" s="447"/>
      <c r="AP570" s="447"/>
      <c r="AQ570" s="447"/>
      <c r="AR570" s="447"/>
      <c r="AS570" s="447"/>
      <c r="AT570" s="447"/>
      <c r="AU570" s="447"/>
      <c r="AV570" s="447"/>
      <c r="AW570" s="447"/>
      <c r="AX570" s="447"/>
      <c r="AY570" s="447"/>
      <c r="AZ570" s="447"/>
      <c r="BA570" s="447"/>
      <c r="BB570" s="447"/>
      <c r="BC570" s="447"/>
      <c r="BD570" s="447"/>
      <c r="BE570" s="447"/>
      <c r="BF570" s="447"/>
      <c r="BG570" s="447"/>
      <c r="BH570" s="447"/>
      <c r="BI570" s="447"/>
      <c r="BJ570" s="447"/>
      <c r="BK570" s="447"/>
      <c r="BL570" s="447"/>
      <c r="BM570" s="448"/>
      <c r="BN570" s="448"/>
    </row>
    <row r="571" spans="1:66" ht="11.25" customHeight="1">
      <c r="A571" s="450"/>
      <c r="B571" s="447"/>
      <c r="C571" s="447"/>
      <c r="D571" s="447"/>
      <c r="E571" s="447"/>
      <c r="F571" s="447"/>
      <c r="G571" s="447"/>
      <c r="H571" s="447"/>
      <c r="I571" s="447"/>
      <c r="J571" s="447"/>
      <c r="K571" s="447"/>
      <c r="L571" s="447"/>
      <c r="M571" s="447"/>
      <c r="N571" s="447"/>
      <c r="O571" s="447"/>
      <c r="P571" s="447"/>
      <c r="Q571" s="447"/>
      <c r="R571" s="447"/>
      <c r="S571" s="447"/>
      <c r="T571" s="447"/>
      <c r="U571" s="447"/>
      <c r="V571" s="447"/>
      <c r="W571" s="447"/>
      <c r="X571" s="447"/>
      <c r="Y571" s="447"/>
      <c r="Z571" s="447"/>
      <c r="AA571" s="447"/>
      <c r="AB571" s="447"/>
      <c r="AC571" s="447"/>
      <c r="AD571" s="447"/>
      <c r="AE571" s="447"/>
      <c r="AF571" s="448"/>
      <c r="AG571" s="448"/>
      <c r="AH571" s="449"/>
      <c r="AI571" s="447"/>
      <c r="AJ571" s="447"/>
      <c r="AK571" s="447"/>
      <c r="AL571" s="447"/>
      <c r="AM571" s="447"/>
      <c r="AN571" s="447"/>
      <c r="AO571" s="447"/>
      <c r="AP571" s="447"/>
      <c r="AQ571" s="447"/>
      <c r="AR571" s="447"/>
      <c r="AS571" s="447"/>
      <c r="AT571" s="447"/>
      <c r="AU571" s="447"/>
      <c r="AV571" s="447"/>
      <c r="AW571" s="447"/>
      <c r="AX571" s="447"/>
      <c r="AY571" s="447"/>
      <c r="AZ571" s="447"/>
      <c r="BA571" s="447"/>
      <c r="BB571" s="447"/>
      <c r="BC571" s="447"/>
      <c r="BD571" s="447"/>
      <c r="BE571" s="447"/>
      <c r="BF571" s="447"/>
      <c r="BG571" s="447"/>
      <c r="BH571" s="447"/>
      <c r="BI571" s="447"/>
      <c r="BJ571" s="447"/>
      <c r="BK571" s="447"/>
      <c r="BL571" s="447"/>
      <c r="BM571" s="448"/>
      <c r="BN571" s="448"/>
    </row>
    <row r="572" spans="1:66" ht="11.25" customHeight="1">
      <c r="A572" s="450"/>
      <c r="B572" s="447"/>
      <c r="C572" s="447"/>
      <c r="D572" s="447"/>
      <c r="E572" s="447"/>
      <c r="F572" s="447"/>
      <c r="G572" s="447"/>
      <c r="H572" s="447"/>
      <c r="I572" s="447"/>
      <c r="J572" s="447"/>
      <c r="K572" s="447"/>
      <c r="L572" s="447"/>
      <c r="M572" s="447"/>
      <c r="N572" s="447"/>
      <c r="O572" s="447"/>
      <c r="P572" s="447"/>
      <c r="Q572" s="447"/>
      <c r="R572" s="447"/>
      <c r="S572" s="447"/>
      <c r="T572" s="447"/>
      <c r="U572" s="447"/>
      <c r="V572" s="447"/>
      <c r="W572" s="447"/>
      <c r="X572" s="447"/>
      <c r="Y572" s="447"/>
      <c r="Z572" s="447"/>
      <c r="AA572" s="447"/>
      <c r="AB572" s="447"/>
      <c r="AC572" s="447"/>
      <c r="AD572" s="447"/>
      <c r="AE572" s="447"/>
      <c r="AF572" s="448"/>
      <c r="AG572" s="448"/>
      <c r="AH572" s="449"/>
      <c r="AI572" s="447"/>
      <c r="AJ572" s="447"/>
      <c r="AK572" s="447"/>
      <c r="AL572" s="447"/>
      <c r="AM572" s="447"/>
      <c r="AN572" s="447"/>
      <c r="AO572" s="447"/>
      <c r="AP572" s="447"/>
      <c r="AQ572" s="447"/>
      <c r="AR572" s="447"/>
      <c r="AS572" s="447"/>
      <c r="AT572" s="447"/>
      <c r="AU572" s="447"/>
      <c r="AV572" s="447"/>
      <c r="AW572" s="447"/>
      <c r="AX572" s="447"/>
      <c r="AY572" s="447"/>
      <c r="AZ572" s="447"/>
      <c r="BA572" s="447"/>
      <c r="BB572" s="447"/>
      <c r="BC572" s="447"/>
      <c r="BD572" s="447"/>
      <c r="BE572" s="447"/>
      <c r="BF572" s="447"/>
      <c r="BG572" s="447"/>
      <c r="BH572" s="447"/>
      <c r="BI572" s="447"/>
      <c r="BJ572" s="447"/>
      <c r="BK572" s="447"/>
      <c r="BL572" s="447"/>
      <c r="BM572" s="448"/>
      <c r="BN572" s="448"/>
    </row>
    <row r="573" spans="1:66" ht="11.25" customHeight="1">
      <c r="A573" s="450"/>
      <c r="B573" s="447"/>
      <c r="C573" s="447"/>
      <c r="D573" s="447"/>
      <c r="E573" s="447"/>
      <c r="F573" s="447"/>
      <c r="G573" s="447"/>
      <c r="H573" s="447"/>
      <c r="I573" s="447"/>
      <c r="J573" s="447"/>
      <c r="K573" s="447"/>
      <c r="L573" s="447"/>
      <c r="M573" s="447"/>
      <c r="N573" s="447"/>
      <c r="O573" s="447"/>
      <c r="P573" s="447"/>
      <c r="Q573" s="447"/>
      <c r="R573" s="447"/>
      <c r="S573" s="447"/>
      <c r="T573" s="447"/>
      <c r="U573" s="447"/>
      <c r="V573" s="447"/>
      <c r="W573" s="447"/>
      <c r="X573" s="447"/>
      <c r="Y573" s="447"/>
      <c r="Z573" s="447"/>
      <c r="AA573" s="447"/>
      <c r="AB573" s="447"/>
      <c r="AC573" s="447"/>
      <c r="AD573" s="447"/>
      <c r="AE573" s="447"/>
      <c r="AF573" s="448"/>
      <c r="AG573" s="448"/>
      <c r="AH573" s="449"/>
      <c r="AI573" s="447"/>
      <c r="AJ573" s="447"/>
      <c r="AK573" s="447"/>
      <c r="AL573" s="447"/>
      <c r="AM573" s="447"/>
      <c r="AN573" s="447"/>
      <c r="AO573" s="447"/>
      <c r="AP573" s="447"/>
      <c r="AQ573" s="447"/>
      <c r="AR573" s="447"/>
      <c r="AS573" s="447"/>
      <c r="AT573" s="447"/>
      <c r="AU573" s="447"/>
      <c r="AV573" s="447"/>
      <c r="AW573" s="447"/>
      <c r="AX573" s="447"/>
      <c r="AY573" s="447"/>
      <c r="AZ573" s="447"/>
      <c r="BA573" s="447"/>
      <c r="BB573" s="447"/>
      <c r="BC573" s="447"/>
      <c r="BD573" s="447"/>
      <c r="BE573" s="447"/>
      <c r="BF573" s="447"/>
      <c r="BG573" s="447"/>
      <c r="BH573" s="447"/>
      <c r="BI573" s="447"/>
      <c r="BJ573" s="447"/>
      <c r="BK573" s="447"/>
      <c r="BL573" s="447"/>
      <c r="BM573" s="448"/>
      <c r="BN573" s="448"/>
    </row>
    <row r="574" spans="1:66" ht="11.25" customHeight="1">
      <c r="A574" s="450"/>
      <c r="B574" s="447"/>
      <c r="C574" s="447"/>
      <c r="D574" s="447"/>
      <c r="E574" s="447"/>
      <c r="F574" s="447"/>
      <c r="G574" s="447"/>
      <c r="H574" s="447"/>
      <c r="I574" s="447"/>
      <c r="J574" s="447"/>
      <c r="K574" s="447"/>
      <c r="L574" s="447"/>
      <c r="M574" s="447"/>
      <c r="N574" s="447"/>
      <c r="O574" s="447"/>
      <c r="P574" s="447"/>
      <c r="Q574" s="447"/>
      <c r="R574" s="447"/>
      <c r="S574" s="447"/>
      <c r="T574" s="447"/>
      <c r="U574" s="447"/>
      <c r="V574" s="447"/>
      <c r="W574" s="447"/>
      <c r="X574" s="447"/>
      <c r="Y574" s="447"/>
      <c r="Z574" s="447"/>
      <c r="AA574" s="447"/>
      <c r="AB574" s="447"/>
      <c r="AC574" s="447"/>
      <c r="AD574" s="447"/>
      <c r="AE574" s="447"/>
      <c r="AF574" s="448"/>
      <c r="AG574" s="448"/>
      <c r="AH574" s="449"/>
      <c r="AI574" s="447"/>
      <c r="AJ574" s="447"/>
      <c r="AK574" s="447"/>
      <c r="AL574" s="447"/>
      <c r="AM574" s="447"/>
      <c r="AN574" s="447"/>
      <c r="AO574" s="447"/>
      <c r="AP574" s="447"/>
      <c r="AQ574" s="447"/>
      <c r="AR574" s="447"/>
      <c r="AS574" s="447"/>
      <c r="AT574" s="447"/>
      <c r="AU574" s="447"/>
      <c r="AV574" s="447"/>
      <c r="AW574" s="447"/>
      <c r="AX574" s="447"/>
      <c r="AY574" s="447"/>
      <c r="AZ574" s="447"/>
      <c r="BA574" s="447"/>
      <c r="BB574" s="447"/>
      <c r="BC574" s="447"/>
      <c r="BD574" s="447"/>
      <c r="BE574" s="447"/>
      <c r="BF574" s="447"/>
      <c r="BG574" s="447"/>
      <c r="BH574" s="447"/>
      <c r="BI574" s="447"/>
      <c r="BJ574" s="447"/>
      <c r="BK574" s="447"/>
      <c r="BL574" s="447"/>
      <c r="BM574" s="448"/>
      <c r="BN574" s="448"/>
    </row>
    <row r="575" spans="1:66" ht="11.25" customHeight="1">
      <c r="A575" s="450"/>
      <c r="B575" s="447"/>
      <c r="C575" s="447"/>
      <c r="D575" s="447"/>
      <c r="E575" s="447"/>
      <c r="F575" s="447"/>
      <c r="G575" s="447"/>
      <c r="H575" s="447"/>
      <c r="I575" s="447"/>
      <c r="J575" s="447"/>
      <c r="K575" s="447"/>
      <c r="L575" s="447"/>
      <c r="M575" s="447"/>
      <c r="N575" s="447"/>
      <c r="O575" s="447"/>
      <c r="P575" s="447"/>
      <c r="Q575" s="447"/>
      <c r="R575" s="447"/>
      <c r="S575" s="447"/>
      <c r="T575" s="447"/>
      <c r="U575" s="447"/>
      <c r="V575" s="447"/>
      <c r="W575" s="447"/>
      <c r="X575" s="447"/>
      <c r="Y575" s="447"/>
      <c r="Z575" s="447"/>
      <c r="AA575" s="447"/>
      <c r="AB575" s="447"/>
      <c r="AC575" s="447"/>
      <c r="AD575" s="447"/>
      <c r="AE575" s="447"/>
      <c r="AF575" s="448"/>
      <c r="AG575" s="448"/>
      <c r="AH575" s="449"/>
      <c r="AI575" s="447"/>
      <c r="AJ575" s="447"/>
      <c r="AK575" s="447"/>
      <c r="AL575" s="447"/>
      <c r="AM575" s="447"/>
      <c r="AN575" s="447"/>
      <c r="AO575" s="447"/>
      <c r="AP575" s="447"/>
      <c r="AQ575" s="447"/>
      <c r="AR575" s="447"/>
      <c r="AS575" s="447"/>
      <c r="AT575" s="447"/>
      <c r="AU575" s="447"/>
      <c r="AV575" s="447"/>
      <c r="AW575" s="447"/>
      <c r="AX575" s="447"/>
      <c r="AY575" s="447"/>
      <c r="AZ575" s="447"/>
      <c r="BA575" s="447"/>
      <c r="BB575" s="447"/>
      <c r="BC575" s="447"/>
      <c r="BD575" s="447"/>
      <c r="BE575" s="447"/>
      <c r="BF575" s="447"/>
      <c r="BG575" s="447"/>
      <c r="BH575" s="447"/>
      <c r="BI575" s="447"/>
      <c r="BJ575" s="447"/>
      <c r="BK575" s="447"/>
      <c r="BL575" s="447"/>
      <c r="BM575" s="448"/>
      <c r="BN575" s="448"/>
    </row>
    <row r="576" spans="1:66" ht="11.25" customHeight="1">
      <c r="A576" s="450"/>
      <c r="B576" s="447"/>
      <c r="C576" s="447"/>
      <c r="D576" s="447"/>
      <c r="E576" s="447"/>
      <c r="F576" s="447"/>
      <c r="G576" s="447"/>
      <c r="H576" s="447"/>
      <c r="I576" s="447"/>
      <c r="J576" s="447"/>
      <c r="K576" s="447"/>
      <c r="L576" s="447"/>
      <c r="M576" s="447"/>
      <c r="N576" s="447"/>
      <c r="O576" s="447"/>
      <c r="P576" s="447"/>
      <c r="Q576" s="447"/>
      <c r="R576" s="447"/>
      <c r="S576" s="447"/>
      <c r="T576" s="447"/>
      <c r="U576" s="447"/>
      <c r="V576" s="447"/>
      <c r="W576" s="447"/>
      <c r="X576" s="447"/>
      <c r="Y576" s="447"/>
      <c r="Z576" s="447"/>
      <c r="AA576" s="447"/>
      <c r="AB576" s="447"/>
      <c r="AC576" s="447"/>
      <c r="AD576" s="447"/>
      <c r="AE576" s="447"/>
      <c r="AF576" s="448"/>
      <c r="AG576" s="448"/>
      <c r="AH576" s="449"/>
      <c r="AI576" s="447"/>
      <c r="AJ576" s="447"/>
      <c r="AK576" s="447"/>
      <c r="AL576" s="447"/>
      <c r="AM576" s="447"/>
      <c r="AN576" s="447"/>
      <c r="AO576" s="447"/>
      <c r="AP576" s="447"/>
      <c r="AQ576" s="447"/>
      <c r="AR576" s="447"/>
      <c r="AS576" s="447"/>
      <c r="AT576" s="447"/>
      <c r="AU576" s="447"/>
      <c r="AV576" s="447"/>
      <c r="AW576" s="447"/>
      <c r="AX576" s="447"/>
      <c r="AY576" s="447"/>
      <c r="AZ576" s="447"/>
      <c r="BA576" s="447"/>
      <c r="BB576" s="447"/>
      <c r="BC576" s="447"/>
      <c r="BD576" s="447"/>
      <c r="BE576" s="447"/>
      <c r="BF576" s="447"/>
      <c r="BG576" s="447"/>
      <c r="BH576" s="447"/>
      <c r="BI576" s="447"/>
      <c r="BJ576" s="447"/>
      <c r="BK576" s="447"/>
      <c r="BL576" s="447"/>
      <c r="BM576" s="448"/>
      <c r="BN576" s="448"/>
    </row>
    <row r="577" spans="1:66" ht="11.25" customHeight="1">
      <c r="A577" s="450"/>
      <c r="B577" s="447"/>
      <c r="C577" s="447"/>
      <c r="D577" s="447"/>
      <c r="E577" s="447"/>
      <c r="F577" s="447"/>
      <c r="G577" s="447"/>
      <c r="H577" s="447"/>
      <c r="I577" s="447"/>
      <c r="J577" s="447"/>
      <c r="K577" s="447"/>
      <c r="L577" s="447"/>
      <c r="M577" s="447"/>
      <c r="N577" s="447"/>
      <c r="O577" s="447"/>
      <c r="P577" s="447"/>
      <c r="Q577" s="447"/>
      <c r="R577" s="447"/>
      <c r="S577" s="447"/>
      <c r="T577" s="447"/>
      <c r="U577" s="447"/>
      <c r="V577" s="447"/>
      <c r="W577" s="447"/>
      <c r="X577" s="447"/>
      <c r="Y577" s="447"/>
      <c r="Z577" s="447"/>
      <c r="AA577" s="447"/>
      <c r="AB577" s="447"/>
      <c r="AC577" s="447"/>
      <c r="AD577" s="447"/>
      <c r="AE577" s="447"/>
      <c r="AF577" s="448"/>
      <c r="AG577" s="448"/>
      <c r="AH577" s="449"/>
      <c r="AI577" s="447"/>
      <c r="AJ577" s="447"/>
      <c r="AK577" s="447"/>
      <c r="AL577" s="447"/>
      <c r="AM577" s="447"/>
      <c r="AN577" s="447"/>
      <c r="AO577" s="447"/>
      <c r="AP577" s="447"/>
      <c r="AQ577" s="447"/>
      <c r="AR577" s="447"/>
      <c r="AS577" s="447"/>
      <c r="AT577" s="447"/>
      <c r="AU577" s="447"/>
      <c r="AV577" s="447"/>
      <c r="AW577" s="447"/>
      <c r="AX577" s="447"/>
      <c r="AY577" s="447"/>
      <c r="AZ577" s="447"/>
      <c r="BA577" s="447"/>
      <c r="BB577" s="447"/>
      <c r="BC577" s="447"/>
      <c r="BD577" s="447"/>
      <c r="BE577" s="447"/>
      <c r="BF577" s="447"/>
      <c r="BG577" s="447"/>
      <c r="BH577" s="447"/>
      <c r="BI577" s="447"/>
      <c r="BJ577" s="447"/>
      <c r="BK577" s="447"/>
      <c r="BL577" s="447"/>
      <c r="BM577" s="448"/>
      <c r="BN577" s="448"/>
    </row>
    <row r="578" spans="1:66" ht="11.25" customHeight="1">
      <c r="A578" s="450"/>
      <c r="B578" s="447"/>
      <c r="C578" s="447"/>
      <c r="D578" s="447"/>
      <c r="E578" s="447"/>
      <c r="F578" s="447"/>
      <c r="G578" s="447"/>
      <c r="H578" s="447"/>
      <c r="I578" s="447"/>
      <c r="J578" s="447"/>
      <c r="K578" s="447"/>
      <c r="L578" s="447"/>
      <c r="M578" s="447"/>
      <c r="N578" s="447"/>
      <c r="O578" s="447"/>
      <c r="P578" s="447"/>
      <c r="Q578" s="447"/>
      <c r="R578" s="447"/>
      <c r="S578" s="447"/>
      <c r="T578" s="447"/>
      <c r="U578" s="447"/>
      <c r="V578" s="447"/>
      <c r="W578" s="447"/>
      <c r="X578" s="447"/>
      <c r="Y578" s="447"/>
      <c r="Z578" s="447"/>
      <c r="AA578" s="447"/>
      <c r="AB578" s="447"/>
      <c r="AC578" s="447"/>
      <c r="AD578" s="447"/>
      <c r="AE578" s="447"/>
      <c r="AF578" s="448"/>
      <c r="AG578" s="448"/>
      <c r="AH578" s="449"/>
      <c r="AI578" s="447"/>
      <c r="AJ578" s="447"/>
      <c r="AK578" s="447"/>
      <c r="AL578" s="447"/>
      <c r="AM578" s="447"/>
      <c r="AN578" s="447"/>
      <c r="AO578" s="447"/>
      <c r="AP578" s="447"/>
      <c r="AQ578" s="447"/>
      <c r="AR578" s="447"/>
      <c r="AS578" s="447"/>
      <c r="AT578" s="447"/>
      <c r="AU578" s="447"/>
      <c r="AV578" s="447"/>
      <c r="AW578" s="447"/>
      <c r="AX578" s="447"/>
      <c r="AY578" s="447"/>
      <c r="AZ578" s="447"/>
      <c r="BA578" s="447"/>
      <c r="BB578" s="447"/>
      <c r="BC578" s="447"/>
      <c r="BD578" s="447"/>
      <c r="BE578" s="447"/>
      <c r="BF578" s="447"/>
      <c r="BG578" s="447"/>
      <c r="BH578" s="447"/>
      <c r="BI578" s="447"/>
      <c r="BJ578" s="447"/>
      <c r="BK578" s="447"/>
      <c r="BL578" s="447"/>
      <c r="BM578" s="448"/>
      <c r="BN578" s="448"/>
    </row>
    <row r="579" spans="1:66" ht="11.25" customHeight="1">
      <c r="A579" s="450"/>
      <c r="B579" s="447"/>
      <c r="C579" s="447"/>
      <c r="D579" s="447"/>
      <c r="E579" s="447"/>
      <c r="F579" s="447"/>
      <c r="G579" s="447"/>
      <c r="H579" s="447"/>
      <c r="I579" s="447"/>
      <c r="J579" s="447"/>
      <c r="K579" s="447"/>
      <c r="L579" s="447"/>
      <c r="M579" s="447"/>
      <c r="N579" s="447"/>
      <c r="O579" s="447"/>
      <c r="P579" s="447"/>
      <c r="Q579" s="447"/>
      <c r="R579" s="447"/>
      <c r="S579" s="447"/>
      <c r="T579" s="447"/>
      <c r="U579" s="447"/>
      <c r="V579" s="447"/>
      <c r="W579" s="447"/>
      <c r="X579" s="447"/>
      <c r="Y579" s="447"/>
      <c r="Z579" s="447"/>
      <c r="AA579" s="447"/>
      <c r="AB579" s="447"/>
      <c r="AC579" s="447"/>
      <c r="AD579" s="447"/>
      <c r="AE579" s="447"/>
      <c r="AF579" s="448"/>
      <c r="AG579" s="448"/>
      <c r="AH579" s="449"/>
      <c r="AI579" s="447"/>
      <c r="AJ579" s="447"/>
      <c r="AK579" s="447"/>
      <c r="AL579" s="447"/>
      <c r="AM579" s="447"/>
      <c r="AN579" s="447"/>
      <c r="AO579" s="447"/>
      <c r="AP579" s="447"/>
      <c r="AQ579" s="447"/>
      <c r="AR579" s="447"/>
      <c r="AS579" s="447"/>
      <c r="AT579" s="447"/>
      <c r="AU579" s="447"/>
      <c r="AV579" s="447"/>
      <c r="AW579" s="447"/>
      <c r="AX579" s="447"/>
      <c r="AY579" s="447"/>
      <c r="AZ579" s="447"/>
      <c r="BA579" s="447"/>
      <c r="BB579" s="447"/>
      <c r="BC579" s="447"/>
      <c r="BD579" s="447"/>
      <c r="BE579" s="447"/>
      <c r="BF579" s="447"/>
      <c r="BG579" s="447"/>
      <c r="BH579" s="447"/>
      <c r="BI579" s="447"/>
      <c r="BJ579" s="447"/>
      <c r="BK579" s="447"/>
      <c r="BL579" s="447"/>
      <c r="BM579" s="448"/>
      <c r="BN579" s="448"/>
    </row>
    <row r="580" spans="1:66" ht="11.25" customHeight="1">
      <c r="A580" s="450"/>
      <c r="B580" s="447"/>
      <c r="C580" s="447"/>
      <c r="D580" s="447"/>
      <c r="E580" s="447"/>
      <c r="F580" s="447"/>
      <c r="G580" s="447"/>
      <c r="H580" s="447"/>
      <c r="I580" s="447"/>
      <c r="J580" s="447"/>
      <c r="K580" s="447"/>
      <c r="L580" s="447"/>
      <c r="M580" s="447"/>
      <c r="N580" s="447"/>
      <c r="O580" s="447"/>
      <c r="P580" s="447"/>
      <c r="Q580" s="447"/>
      <c r="R580" s="447"/>
      <c r="S580" s="447"/>
      <c r="T580" s="447"/>
      <c r="U580" s="447"/>
      <c r="V580" s="447"/>
      <c r="W580" s="447"/>
      <c r="X580" s="447"/>
      <c r="Y580" s="447"/>
      <c r="Z580" s="447"/>
      <c r="AA580" s="447"/>
      <c r="AB580" s="447"/>
      <c r="AC580" s="447"/>
      <c r="AD580" s="447"/>
      <c r="AE580" s="447"/>
      <c r="AF580" s="448"/>
      <c r="AG580" s="448"/>
      <c r="AH580" s="449"/>
      <c r="AI580" s="447"/>
      <c r="AJ580" s="447"/>
      <c r="AK580" s="447"/>
      <c r="AL580" s="447"/>
      <c r="AM580" s="447"/>
      <c r="AN580" s="447"/>
      <c r="AO580" s="447"/>
      <c r="AP580" s="447"/>
      <c r="AQ580" s="447"/>
      <c r="AR580" s="447"/>
      <c r="AS580" s="447"/>
      <c r="AT580" s="447"/>
      <c r="AU580" s="447"/>
      <c r="AV580" s="447"/>
      <c r="AW580" s="447"/>
      <c r="AX580" s="447"/>
      <c r="AY580" s="447"/>
      <c r="AZ580" s="447"/>
      <c r="BA580" s="447"/>
      <c r="BB580" s="447"/>
      <c r="BC580" s="447"/>
      <c r="BD580" s="447"/>
      <c r="BE580" s="447"/>
      <c r="BF580" s="447"/>
      <c r="BG580" s="447"/>
      <c r="BH580" s="447"/>
      <c r="BI580" s="447"/>
      <c r="BJ580" s="447"/>
      <c r="BK580" s="447"/>
      <c r="BL580" s="447"/>
      <c r="BM580" s="448"/>
      <c r="BN580" s="448"/>
    </row>
    <row r="581" spans="1:66" ht="11.25" customHeight="1">
      <c r="A581" s="450"/>
      <c r="B581" s="447"/>
      <c r="C581" s="447"/>
      <c r="D581" s="447"/>
      <c r="E581" s="447"/>
      <c r="F581" s="447"/>
      <c r="G581" s="447"/>
      <c r="H581" s="447"/>
      <c r="I581" s="447"/>
      <c r="J581" s="447"/>
      <c r="K581" s="447"/>
      <c r="L581" s="447"/>
      <c r="M581" s="447"/>
      <c r="N581" s="447"/>
      <c r="O581" s="447"/>
      <c r="P581" s="447"/>
      <c r="Q581" s="447"/>
      <c r="R581" s="447"/>
      <c r="S581" s="447"/>
      <c r="T581" s="447"/>
      <c r="U581" s="447"/>
      <c r="V581" s="447"/>
      <c r="W581" s="447"/>
      <c r="X581" s="447"/>
      <c r="Y581" s="447"/>
      <c r="Z581" s="447"/>
      <c r="AA581" s="447"/>
      <c r="AB581" s="447"/>
      <c r="AC581" s="447"/>
      <c r="AD581" s="447"/>
      <c r="AE581" s="447"/>
      <c r="AF581" s="448"/>
      <c r="AG581" s="448"/>
      <c r="AH581" s="449"/>
      <c r="AI581" s="447"/>
      <c r="AJ581" s="447"/>
      <c r="AK581" s="447"/>
      <c r="AL581" s="447"/>
      <c r="AM581" s="447"/>
      <c r="AN581" s="447"/>
      <c r="AO581" s="447"/>
      <c r="AP581" s="447"/>
      <c r="AQ581" s="447"/>
      <c r="AR581" s="447"/>
      <c r="AS581" s="447"/>
      <c r="AT581" s="447"/>
      <c r="AU581" s="447"/>
      <c r="AV581" s="447"/>
      <c r="AW581" s="447"/>
      <c r="AX581" s="447"/>
      <c r="AY581" s="447"/>
      <c r="AZ581" s="447"/>
      <c r="BA581" s="447"/>
      <c r="BB581" s="447"/>
      <c r="BC581" s="447"/>
      <c r="BD581" s="447"/>
      <c r="BE581" s="447"/>
      <c r="BF581" s="447"/>
      <c r="BG581" s="447"/>
      <c r="BH581" s="447"/>
      <c r="BI581" s="447"/>
      <c r="BJ581" s="447"/>
      <c r="BK581" s="447"/>
      <c r="BL581" s="447"/>
      <c r="BM581" s="448"/>
      <c r="BN581" s="448"/>
    </row>
    <row r="582" spans="1:66" ht="11.25" customHeight="1">
      <c r="A582" s="450"/>
      <c r="B582" s="447"/>
      <c r="C582" s="447"/>
      <c r="D582" s="447"/>
      <c r="E582" s="447"/>
      <c r="F582" s="447"/>
      <c r="G582" s="447"/>
      <c r="H582" s="447"/>
      <c r="I582" s="447"/>
      <c r="J582" s="447"/>
      <c r="K582" s="447"/>
      <c r="L582" s="447"/>
      <c r="M582" s="447"/>
      <c r="N582" s="447"/>
      <c r="O582" s="447"/>
      <c r="P582" s="447"/>
      <c r="Q582" s="447"/>
      <c r="R582" s="447"/>
      <c r="S582" s="447"/>
      <c r="T582" s="447"/>
      <c r="U582" s="447"/>
      <c r="V582" s="447"/>
      <c r="W582" s="447"/>
      <c r="X582" s="447"/>
      <c r="Y582" s="447"/>
      <c r="Z582" s="447"/>
      <c r="AA582" s="447"/>
      <c r="AB582" s="447"/>
      <c r="AC582" s="447"/>
      <c r="AD582" s="447"/>
      <c r="AE582" s="447"/>
      <c r="AF582" s="448"/>
      <c r="AG582" s="448"/>
      <c r="AH582" s="449"/>
      <c r="AI582" s="447"/>
      <c r="AJ582" s="447"/>
      <c r="AK582" s="447"/>
      <c r="AL582" s="447"/>
      <c r="AM582" s="447"/>
      <c r="AN582" s="447"/>
      <c r="AO582" s="447"/>
      <c r="AP582" s="447"/>
      <c r="AQ582" s="447"/>
      <c r="AR582" s="447"/>
      <c r="AS582" s="447"/>
      <c r="AT582" s="447"/>
      <c r="AU582" s="447"/>
      <c r="AV582" s="447"/>
      <c r="AW582" s="447"/>
      <c r="AX582" s="447"/>
      <c r="AY582" s="447"/>
      <c r="AZ582" s="447"/>
      <c r="BA582" s="447"/>
      <c r="BB582" s="447"/>
      <c r="BC582" s="447"/>
      <c r="BD582" s="447"/>
      <c r="BE582" s="447"/>
      <c r="BF582" s="447"/>
      <c r="BG582" s="447"/>
      <c r="BH582" s="447"/>
      <c r="BI582" s="447"/>
      <c r="BJ582" s="447"/>
      <c r="BK582" s="447"/>
      <c r="BL582" s="447"/>
      <c r="BM582" s="448"/>
      <c r="BN582" s="448"/>
    </row>
    <row r="583" spans="1:66" ht="11.25" customHeight="1">
      <c r="A583" s="450"/>
      <c r="B583" s="447"/>
      <c r="C583" s="447"/>
      <c r="D583" s="447"/>
      <c r="E583" s="447"/>
      <c r="F583" s="447"/>
      <c r="G583" s="447"/>
      <c r="H583" s="447"/>
      <c r="I583" s="447"/>
      <c r="J583" s="447"/>
      <c r="K583" s="447"/>
      <c r="L583" s="447"/>
      <c r="M583" s="447"/>
      <c r="N583" s="447"/>
      <c r="O583" s="447"/>
      <c r="P583" s="447"/>
      <c r="Q583" s="447"/>
      <c r="R583" s="447"/>
      <c r="S583" s="447"/>
      <c r="T583" s="447"/>
      <c r="U583" s="447"/>
      <c r="V583" s="447"/>
      <c r="W583" s="447"/>
      <c r="X583" s="447"/>
      <c r="Y583" s="447"/>
      <c r="Z583" s="447"/>
      <c r="AA583" s="447"/>
      <c r="AB583" s="447"/>
      <c r="AC583" s="447"/>
      <c r="AD583" s="447"/>
      <c r="AE583" s="447"/>
      <c r="AF583" s="448"/>
      <c r="AG583" s="448"/>
      <c r="AH583" s="449"/>
      <c r="AI583" s="447"/>
      <c r="AJ583" s="447"/>
      <c r="AK583" s="447"/>
      <c r="AL583" s="447"/>
      <c r="AM583" s="447"/>
      <c r="AN583" s="447"/>
      <c r="AO583" s="447"/>
      <c r="AP583" s="447"/>
      <c r="AQ583" s="447"/>
      <c r="AR583" s="447"/>
      <c r="AS583" s="447"/>
      <c r="AT583" s="447"/>
      <c r="AU583" s="447"/>
      <c r="AV583" s="447"/>
      <c r="AW583" s="447"/>
      <c r="AX583" s="447"/>
      <c r="AY583" s="447"/>
      <c r="AZ583" s="447"/>
      <c r="BA583" s="447"/>
      <c r="BB583" s="447"/>
      <c r="BC583" s="447"/>
      <c r="BD583" s="447"/>
      <c r="BE583" s="447"/>
      <c r="BF583" s="447"/>
      <c r="BG583" s="447"/>
      <c r="BH583" s="447"/>
      <c r="BI583" s="447"/>
      <c r="BJ583" s="447"/>
      <c r="BK583" s="447"/>
      <c r="BL583" s="447"/>
      <c r="BM583" s="448"/>
      <c r="BN583" s="448"/>
    </row>
    <row r="584" spans="1:66" ht="11.25" customHeight="1">
      <c r="A584" s="450"/>
      <c r="B584" s="447"/>
      <c r="C584" s="447"/>
      <c r="D584" s="447"/>
      <c r="E584" s="447"/>
      <c r="F584" s="447"/>
      <c r="G584" s="447"/>
      <c r="H584" s="447"/>
      <c r="I584" s="447"/>
      <c r="J584" s="447"/>
      <c r="K584" s="447"/>
      <c r="L584" s="447"/>
      <c r="M584" s="447"/>
      <c r="N584" s="447"/>
      <c r="O584" s="447"/>
      <c r="P584" s="447"/>
      <c r="Q584" s="447"/>
      <c r="R584" s="447"/>
      <c r="S584" s="447"/>
      <c r="T584" s="447"/>
      <c r="U584" s="447"/>
      <c r="V584" s="447"/>
      <c r="W584" s="447"/>
      <c r="X584" s="447"/>
      <c r="Y584" s="447"/>
      <c r="Z584" s="447"/>
      <c r="AA584" s="447"/>
      <c r="AB584" s="447"/>
      <c r="AC584" s="447"/>
      <c r="AD584" s="447"/>
      <c r="AE584" s="447"/>
      <c r="AF584" s="448"/>
      <c r="AG584" s="448"/>
      <c r="AH584" s="449"/>
      <c r="AI584" s="447"/>
      <c r="AJ584" s="447"/>
      <c r="AK584" s="447"/>
      <c r="AL584" s="447"/>
      <c r="AM584" s="447"/>
      <c r="AN584" s="447"/>
      <c r="AO584" s="447"/>
      <c r="AP584" s="447"/>
      <c r="AQ584" s="447"/>
      <c r="AR584" s="447"/>
      <c r="AS584" s="447"/>
      <c r="AT584" s="447"/>
      <c r="AU584" s="447"/>
      <c r="AV584" s="447"/>
      <c r="AW584" s="447"/>
      <c r="AX584" s="447"/>
      <c r="AY584" s="447"/>
      <c r="AZ584" s="447"/>
      <c r="BA584" s="447"/>
      <c r="BB584" s="447"/>
      <c r="BC584" s="447"/>
      <c r="BD584" s="447"/>
      <c r="BE584" s="447"/>
      <c r="BF584" s="447"/>
      <c r="BG584" s="447"/>
      <c r="BH584" s="447"/>
      <c r="BI584" s="447"/>
      <c r="BJ584" s="447"/>
      <c r="BK584" s="447"/>
      <c r="BL584" s="447"/>
      <c r="BM584" s="448"/>
      <c r="BN584" s="448"/>
    </row>
    <row r="585" spans="1:66" ht="11.25" customHeight="1">
      <c r="A585" s="450"/>
      <c r="B585" s="447"/>
      <c r="C585" s="447"/>
      <c r="D585" s="447"/>
      <c r="E585" s="447"/>
      <c r="F585" s="447"/>
      <c r="G585" s="447"/>
      <c r="H585" s="447"/>
      <c r="I585" s="447"/>
      <c r="J585" s="447"/>
      <c r="K585" s="447"/>
      <c r="L585" s="447"/>
      <c r="M585" s="447"/>
      <c r="N585" s="447"/>
      <c r="O585" s="447"/>
      <c r="P585" s="447"/>
      <c r="Q585" s="447"/>
      <c r="R585" s="447"/>
      <c r="S585" s="447"/>
      <c r="T585" s="447"/>
      <c r="U585" s="447"/>
      <c r="V585" s="447"/>
      <c r="W585" s="447"/>
      <c r="X585" s="447"/>
      <c r="Y585" s="447"/>
      <c r="Z585" s="447"/>
      <c r="AA585" s="447"/>
      <c r="AB585" s="447"/>
      <c r="AC585" s="447"/>
      <c r="AD585" s="447"/>
      <c r="AE585" s="447"/>
      <c r="AF585" s="448"/>
      <c r="AG585" s="448"/>
      <c r="AH585" s="449"/>
      <c r="AI585" s="447"/>
      <c r="AJ585" s="447"/>
      <c r="AK585" s="447"/>
      <c r="AL585" s="447"/>
      <c r="AM585" s="447"/>
      <c r="AN585" s="447"/>
      <c r="AO585" s="447"/>
      <c r="AP585" s="447"/>
      <c r="AQ585" s="447"/>
      <c r="AR585" s="447"/>
      <c r="AS585" s="447"/>
      <c r="AT585" s="447"/>
      <c r="AU585" s="447"/>
      <c r="AV585" s="447"/>
      <c r="AW585" s="447"/>
      <c r="AX585" s="447"/>
      <c r="AY585" s="447"/>
      <c r="AZ585" s="447"/>
      <c r="BA585" s="447"/>
      <c r="BB585" s="447"/>
      <c r="BC585" s="447"/>
      <c r="BD585" s="447"/>
      <c r="BE585" s="447"/>
      <c r="BF585" s="447"/>
      <c r="BG585" s="447"/>
      <c r="BH585" s="447"/>
      <c r="BI585" s="447"/>
      <c r="BJ585" s="447"/>
      <c r="BK585" s="447"/>
      <c r="BL585" s="447"/>
      <c r="BM585" s="448"/>
      <c r="BN585" s="448"/>
    </row>
    <row r="586" spans="1:66" ht="11.25" customHeight="1">
      <c r="A586" s="450"/>
      <c r="B586" s="447"/>
      <c r="C586" s="447"/>
      <c r="D586" s="447"/>
      <c r="E586" s="447"/>
      <c r="F586" s="447"/>
      <c r="G586" s="447"/>
      <c r="H586" s="447"/>
      <c r="I586" s="447"/>
      <c r="J586" s="447"/>
      <c r="K586" s="447"/>
      <c r="L586" s="447"/>
      <c r="M586" s="447"/>
      <c r="N586" s="447"/>
      <c r="O586" s="447"/>
      <c r="P586" s="447"/>
      <c r="Q586" s="447"/>
      <c r="R586" s="447"/>
      <c r="S586" s="447"/>
      <c r="T586" s="447"/>
      <c r="U586" s="447"/>
      <c r="V586" s="447"/>
      <c r="W586" s="447"/>
      <c r="X586" s="447"/>
      <c r="Y586" s="447"/>
      <c r="Z586" s="447"/>
      <c r="AA586" s="447"/>
      <c r="AB586" s="447"/>
      <c r="AC586" s="447"/>
      <c r="AD586" s="447"/>
      <c r="AE586" s="447"/>
      <c r="AF586" s="448"/>
      <c r="AG586" s="448"/>
      <c r="AH586" s="449"/>
      <c r="AI586" s="447"/>
      <c r="AJ586" s="447"/>
      <c r="AK586" s="447"/>
      <c r="AL586" s="447"/>
      <c r="AM586" s="447"/>
      <c r="AN586" s="447"/>
      <c r="AO586" s="447"/>
      <c r="AP586" s="447"/>
      <c r="AQ586" s="447"/>
      <c r="AR586" s="447"/>
      <c r="AS586" s="447"/>
      <c r="AT586" s="447"/>
      <c r="AU586" s="447"/>
      <c r="AV586" s="447"/>
      <c r="AW586" s="447"/>
      <c r="AX586" s="447"/>
      <c r="AY586" s="447"/>
      <c r="AZ586" s="447"/>
      <c r="BA586" s="447"/>
      <c r="BB586" s="447"/>
      <c r="BC586" s="447"/>
      <c r="BD586" s="447"/>
      <c r="BE586" s="447"/>
      <c r="BF586" s="447"/>
      <c r="BG586" s="447"/>
      <c r="BH586" s="447"/>
      <c r="BI586" s="447"/>
      <c r="BJ586" s="447"/>
      <c r="BK586" s="447"/>
      <c r="BL586" s="447"/>
      <c r="BM586" s="448"/>
      <c r="BN586" s="448"/>
    </row>
    <row r="587" spans="1:66" ht="11.25" customHeight="1">
      <c r="A587" s="450"/>
      <c r="B587" s="447"/>
      <c r="C587" s="447"/>
      <c r="D587" s="447"/>
      <c r="E587" s="447"/>
      <c r="F587" s="447"/>
      <c r="G587" s="447"/>
      <c r="H587" s="447"/>
      <c r="I587" s="447"/>
      <c r="J587" s="447"/>
      <c r="K587" s="447"/>
      <c r="L587" s="447"/>
      <c r="M587" s="447"/>
      <c r="N587" s="447"/>
      <c r="O587" s="447"/>
      <c r="P587" s="447"/>
      <c r="Q587" s="447"/>
      <c r="R587" s="447"/>
      <c r="S587" s="447"/>
      <c r="T587" s="447"/>
      <c r="U587" s="447"/>
      <c r="V587" s="447"/>
      <c r="W587" s="447"/>
      <c r="X587" s="447"/>
      <c r="Y587" s="447"/>
      <c r="Z587" s="447"/>
      <c r="AA587" s="447"/>
      <c r="AB587" s="447"/>
      <c r="AC587" s="447"/>
      <c r="AD587" s="447"/>
      <c r="AE587" s="447"/>
      <c r="AF587" s="448"/>
      <c r="AG587" s="448"/>
      <c r="AH587" s="449"/>
      <c r="AI587" s="447"/>
      <c r="AJ587" s="447"/>
      <c r="AK587" s="447"/>
      <c r="AL587" s="447"/>
      <c r="AM587" s="447"/>
      <c r="AN587" s="447"/>
      <c r="AO587" s="447"/>
      <c r="AP587" s="447"/>
      <c r="AQ587" s="447"/>
      <c r="AR587" s="447"/>
      <c r="AS587" s="447"/>
      <c r="AT587" s="447"/>
      <c r="AU587" s="447"/>
      <c r="AV587" s="447"/>
      <c r="AW587" s="447"/>
      <c r="AX587" s="447"/>
      <c r="AY587" s="447"/>
      <c r="AZ587" s="447"/>
      <c r="BA587" s="447"/>
      <c r="BB587" s="447"/>
      <c r="BC587" s="447"/>
      <c r="BD587" s="447"/>
      <c r="BE587" s="447"/>
      <c r="BF587" s="447"/>
      <c r="BG587" s="447"/>
      <c r="BH587" s="447"/>
      <c r="BI587" s="447"/>
      <c r="BJ587" s="447"/>
      <c r="BK587" s="447"/>
      <c r="BL587" s="447"/>
      <c r="BM587" s="448"/>
      <c r="BN587" s="448"/>
    </row>
    <row r="588" spans="1:66" ht="11.25" customHeight="1">
      <c r="A588" s="450"/>
      <c r="B588" s="447"/>
      <c r="C588" s="447"/>
      <c r="D588" s="447"/>
      <c r="E588" s="447"/>
      <c r="F588" s="447"/>
      <c r="G588" s="447"/>
      <c r="H588" s="447"/>
      <c r="I588" s="447"/>
      <c r="J588" s="447"/>
      <c r="K588" s="447"/>
      <c r="L588" s="447"/>
      <c r="M588" s="447"/>
      <c r="N588" s="447"/>
      <c r="O588" s="447"/>
      <c r="P588" s="447"/>
      <c r="Q588" s="447"/>
      <c r="R588" s="447"/>
      <c r="S588" s="447"/>
      <c r="T588" s="447"/>
      <c r="U588" s="447"/>
      <c r="V588" s="447"/>
      <c r="W588" s="447"/>
      <c r="X588" s="447"/>
      <c r="Y588" s="447"/>
      <c r="Z588" s="447"/>
      <c r="AA588" s="447"/>
      <c r="AB588" s="447"/>
      <c r="AC588" s="447"/>
      <c r="AD588" s="447"/>
      <c r="AE588" s="447"/>
      <c r="AF588" s="448"/>
      <c r="AG588" s="448"/>
      <c r="AH588" s="449"/>
      <c r="AI588" s="447"/>
      <c r="AJ588" s="447"/>
      <c r="AK588" s="447"/>
      <c r="AL588" s="447"/>
      <c r="AM588" s="447"/>
      <c r="AN588" s="447"/>
      <c r="AO588" s="447"/>
      <c r="AP588" s="447"/>
      <c r="AQ588" s="447"/>
      <c r="AR588" s="447"/>
      <c r="AS588" s="447"/>
      <c r="AT588" s="447"/>
      <c r="AU588" s="447"/>
      <c r="AV588" s="447"/>
      <c r="AW588" s="447"/>
      <c r="AX588" s="447"/>
      <c r="AY588" s="447"/>
      <c r="AZ588" s="447"/>
      <c r="BA588" s="447"/>
      <c r="BB588" s="447"/>
      <c r="BC588" s="447"/>
      <c r="BD588" s="447"/>
      <c r="BE588" s="447"/>
      <c r="BF588" s="447"/>
      <c r="BG588" s="447"/>
      <c r="BH588" s="447"/>
      <c r="BI588" s="447"/>
      <c r="BJ588" s="447"/>
      <c r="BK588" s="447"/>
      <c r="BL588" s="447"/>
      <c r="BM588" s="448"/>
      <c r="BN588" s="448"/>
    </row>
    <row r="589" spans="1:66" ht="11.25" customHeight="1">
      <c r="A589" s="450"/>
      <c r="B589" s="447"/>
      <c r="C589" s="447"/>
      <c r="D589" s="447"/>
      <c r="E589" s="447"/>
      <c r="F589" s="447"/>
      <c r="G589" s="447"/>
      <c r="H589" s="447"/>
      <c r="I589" s="447"/>
      <c r="J589" s="447"/>
      <c r="K589" s="447"/>
      <c r="L589" s="447"/>
      <c r="M589" s="447"/>
      <c r="N589" s="447"/>
      <c r="O589" s="447"/>
      <c r="P589" s="447"/>
      <c r="Q589" s="447"/>
      <c r="R589" s="447"/>
      <c r="S589" s="447"/>
      <c r="T589" s="447"/>
      <c r="U589" s="447"/>
      <c r="V589" s="447"/>
      <c r="W589" s="447"/>
      <c r="X589" s="447"/>
      <c r="Y589" s="447"/>
      <c r="Z589" s="447"/>
      <c r="AA589" s="447"/>
      <c r="AB589" s="447"/>
      <c r="AC589" s="447"/>
      <c r="AD589" s="447"/>
      <c r="AE589" s="447"/>
      <c r="AF589" s="448"/>
      <c r="AG589" s="448"/>
      <c r="AH589" s="449"/>
      <c r="AI589" s="447"/>
      <c r="AJ589" s="447"/>
      <c r="AK589" s="447"/>
      <c r="AL589" s="447"/>
      <c r="AM589" s="447"/>
      <c r="AN589" s="447"/>
      <c r="AO589" s="447"/>
      <c r="AP589" s="447"/>
      <c r="AQ589" s="447"/>
      <c r="AR589" s="447"/>
      <c r="AS589" s="447"/>
      <c r="AT589" s="447"/>
      <c r="AU589" s="447"/>
      <c r="AV589" s="447"/>
      <c r="AW589" s="447"/>
      <c r="AX589" s="447"/>
      <c r="AY589" s="447"/>
      <c r="AZ589" s="447"/>
      <c r="BA589" s="447"/>
      <c r="BB589" s="447"/>
      <c r="BC589" s="447"/>
      <c r="BD589" s="447"/>
      <c r="BE589" s="447"/>
      <c r="BF589" s="447"/>
      <c r="BG589" s="447"/>
      <c r="BH589" s="447"/>
      <c r="BI589" s="447"/>
      <c r="BJ589" s="447"/>
      <c r="BK589" s="447"/>
      <c r="BL589" s="447"/>
      <c r="BM589" s="448"/>
      <c r="BN589" s="448"/>
    </row>
    <row r="590" spans="1:66" ht="11.25" customHeight="1">
      <c r="A590" s="450"/>
      <c r="B590" s="447"/>
      <c r="C590" s="447"/>
      <c r="D590" s="447"/>
      <c r="E590" s="447"/>
      <c r="F590" s="447"/>
      <c r="G590" s="447"/>
      <c r="H590" s="447"/>
      <c r="I590" s="447"/>
      <c r="J590" s="447"/>
      <c r="K590" s="447"/>
      <c r="L590" s="447"/>
      <c r="M590" s="447"/>
      <c r="N590" s="447"/>
      <c r="O590" s="447"/>
      <c r="P590" s="447"/>
      <c r="Q590" s="447"/>
      <c r="R590" s="447"/>
      <c r="S590" s="447"/>
      <c r="T590" s="447"/>
      <c r="U590" s="447"/>
      <c r="V590" s="447"/>
      <c r="W590" s="447"/>
      <c r="X590" s="447"/>
      <c r="Y590" s="447"/>
      <c r="Z590" s="447"/>
      <c r="AA590" s="447"/>
      <c r="AB590" s="447"/>
      <c r="AC590" s="447"/>
      <c r="AD590" s="447"/>
      <c r="AE590" s="447"/>
      <c r="AF590" s="448"/>
      <c r="AG590" s="448"/>
      <c r="AH590" s="449"/>
      <c r="AI590" s="447"/>
      <c r="AJ590" s="447"/>
      <c r="AK590" s="447"/>
      <c r="AL590" s="447"/>
      <c r="AM590" s="447"/>
      <c r="AN590" s="447"/>
      <c r="AO590" s="447"/>
      <c r="AP590" s="447"/>
      <c r="AQ590" s="447"/>
      <c r="AR590" s="447"/>
      <c r="AS590" s="447"/>
      <c r="AT590" s="447"/>
      <c r="AU590" s="447"/>
      <c r="AV590" s="447"/>
      <c r="AW590" s="447"/>
      <c r="AX590" s="447"/>
      <c r="AY590" s="447"/>
      <c r="AZ590" s="447"/>
      <c r="BA590" s="447"/>
      <c r="BB590" s="447"/>
      <c r="BC590" s="447"/>
      <c r="BD590" s="447"/>
      <c r="BE590" s="447"/>
      <c r="BF590" s="447"/>
      <c r="BG590" s="447"/>
      <c r="BH590" s="447"/>
      <c r="BI590" s="447"/>
      <c r="BJ590" s="447"/>
      <c r="BK590" s="447"/>
      <c r="BL590" s="447"/>
      <c r="BM590" s="448"/>
      <c r="BN590" s="448"/>
    </row>
    <row r="591" spans="1:66" ht="11.25" customHeight="1">
      <c r="A591" s="450"/>
      <c r="B591" s="447"/>
      <c r="C591" s="447"/>
      <c r="D591" s="447"/>
      <c r="E591" s="447"/>
      <c r="F591" s="447"/>
      <c r="G591" s="447"/>
      <c r="H591" s="447"/>
      <c r="I591" s="447"/>
      <c r="J591" s="447"/>
      <c r="K591" s="447"/>
      <c r="L591" s="447"/>
      <c r="M591" s="447"/>
      <c r="N591" s="447"/>
      <c r="O591" s="447"/>
      <c r="P591" s="447"/>
      <c r="Q591" s="447"/>
      <c r="R591" s="447"/>
      <c r="S591" s="447"/>
      <c r="T591" s="447"/>
      <c r="U591" s="447"/>
      <c r="V591" s="447"/>
      <c r="W591" s="447"/>
      <c r="X591" s="447"/>
      <c r="Y591" s="447"/>
      <c r="Z591" s="447"/>
      <c r="AA591" s="447"/>
      <c r="AB591" s="447"/>
      <c r="AC591" s="447"/>
      <c r="AD591" s="447"/>
      <c r="AE591" s="447"/>
      <c r="AF591" s="448"/>
      <c r="AG591" s="448"/>
      <c r="AH591" s="449"/>
      <c r="AI591" s="447"/>
      <c r="AJ591" s="447"/>
      <c r="AK591" s="447"/>
      <c r="AL591" s="447"/>
      <c r="AM591" s="447"/>
      <c r="AN591" s="447"/>
      <c r="AO591" s="447"/>
      <c r="AP591" s="447"/>
      <c r="AQ591" s="447"/>
      <c r="AR591" s="447"/>
      <c r="AS591" s="447"/>
      <c r="AT591" s="447"/>
      <c r="AU591" s="447"/>
      <c r="AV591" s="447"/>
      <c r="AW591" s="447"/>
      <c r="AX591" s="447"/>
      <c r="AY591" s="447"/>
      <c r="AZ591" s="447"/>
      <c r="BA591" s="447"/>
      <c r="BB591" s="447"/>
      <c r="BC591" s="447"/>
      <c r="BD591" s="447"/>
      <c r="BE591" s="447"/>
      <c r="BF591" s="447"/>
      <c r="BG591" s="447"/>
      <c r="BH591" s="447"/>
      <c r="BI591" s="447"/>
      <c r="BJ591" s="447"/>
      <c r="BK591" s="447"/>
      <c r="BL591" s="447"/>
      <c r="BM591" s="448"/>
      <c r="BN591" s="448"/>
    </row>
    <row r="592" spans="1:66" ht="11.25" customHeight="1">
      <c r="A592" s="450"/>
      <c r="B592" s="447"/>
      <c r="C592" s="447"/>
      <c r="D592" s="447"/>
      <c r="E592" s="447"/>
      <c r="F592" s="447"/>
      <c r="G592" s="447"/>
      <c r="H592" s="447"/>
      <c r="I592" s="447"/>
      <c r="J592" s="447"/>
      <c r="K592" s="447"/>
      <c r="L592" s="447"/>
      <c r="M592" s="447"/>
      <c r="N592" s="447"/>
      <c r="O592" s="447"/>
      <c r="P592" s="447"/>
      <c r="Q592" s="447"/>
      <c r="R592" s="447"/>
      <c r="S592" s="447"/>
      <c r="T592" s="447"/>
      <c r="U592" s="447"/>
      <c r="V592" s="447"/>
      <c r="W592" s="447"/>
      <c r="X592" s="447"/>
      <c r="Y592" s="447"/>
      <c r="Z592" s="447"/>
      <c r="AA592" s="447"/>
      <c r="AB592" s="447"/>
      <c r="AC592" s="447"/>
      <c r="AD592" s="447"/>
      <c r="AE592" s="447"/>
      <c r="AF592" s="448"/>
      <c r="AG592" s="448"/>
      <c r="AH592" s="449"/>
      <c r="AI592" s="447"/>
      <c r="AJ592" s="447"/>
      <c r="AK592" s="447"/>
      <c r="AL592" s="447"/>
      <c r="AM592" s="447"/>
      <c r="AN592" s="447"/>
      <c r="AO592" s="447"/>
      <c r="AP592" s="447"/>
      <c r="AQ592" s="447"/>
      <c r="AR592" s="447"/>
      <c r="AS592" s="447"/>
      <c r="AT592" s="447"/>
      <c r="AU592" s="447"/>
      <c r="AV592" s="447"/>
      <c r="AW592" s="447"/>
      <c r="AX592" s="447"/>
      <c r="AY592" s="447"/>
      <c r="AZ592" s="447"/>
      <c r="BA592" s="447"/>
      <c r="BB592" s="447"/>
      <c r="BC592" s="447"/>
      <c r="BD592" s="447"/>
      <c r="BE592" s="447"/>
      <c r="BF592" s="447"/>
      <c r="BG592" s="447"/>
      <c r="BH592" s="447"/>
      <c r="BI592" s="447"/>
      <c r="BJ592" s="447"/>
      <c r="BK592" s="447"/>
      <c r="BL592" s="447"/>
      <c r="BM592" s="448"/>
      <c r="BN592" s="448"/>
    </row>
    <row r="593" spans="1:66" ht="11.25" customHeight="1">
      <c r="A593" s="450"/>
      <c r="B593" s="447"/>
      <c r="C593" s="447"/>
      <c r="D593" s="447"/>
      <c r="E593" s="447"/>
      <c r="F593" s="447"/>
      <c r="G593" s="447"/>
      <c r="H593" s="447"/>
      <c r="I593" s="447"/>
      <c r="J593" s="447"/>
      <c r="K593" s="447"/>
      <c r="L593" s="447"/>
      <c r="M593" s="447"/>
      <c r="N593" s="447"/>
      <c r="O593" s="447"/>
      <c r="P593" s="447"/>
      <c r="Q593" s="447"/>
      <c r="R593" s="447"/>
      <c r="S593" s="447"/>
      <c r="T593" s="447"/>
      <c r="U593" s="447"/>
      <c r="V593" s="447"/>
      <c r="W593" s="447"/>
      <c r="X593" s="447"/>
      <c r="Y593" s="447"/>
      <c r="Z593" s="447"/>
      <c r="AA593" s="447"/>
      <c r="AB593" s="447"/>
      <c r="AC593" s="447"/>
      <c r="AD593" s="447"/>
      <c r="AE593" s="447"/>
      <c r="AF593" s="448"/>
      <c r="AG593" s="448"/>
      <c r="AH593" s="449"/>
      <c r="AI593" s="447"/>
      <c r="AJ593" s="447"/>
      <c r="AK593" s="447"/>
      <c r="AL593" s="447"/>
      <c r="AM593" s="447"/>
      <c r="AN593" s="447"/>
      <c r="AO593" s="447"/>
      <c r="AP593" s="447"/>
      <c r="AQ593" s="447"/>
      <c r="AR593" s="447"/>
      <c r="AS593" s="447"/>
      <c r="AT593" s="447"/>
      <c r="AU593" s="447"/>
      <c r="AV593" s="447"/>
      <c r="AW593" s="447"/>
      <c r="AX593" s="447"/>
      <c r="AY593" s="447"/>
      <c r="AZ593" s="447"/>
      <c r="BA593" s="447"/>
      <c r="BB593" s="447"/>
      <c r="BC593" s="447"/>
      <c r="BD593" s="447"/>
      <c r="BE593" s="447"/>
      <c r="BF593" s="447"/>
      <c r="BG593" s="447"/>
      <c r="BH593" s="447"/>
      <c r="BI593" s="447"/>
      <c r="BJ593" s="447"/>
      <c r="BK593" s="447"/>
      <c r="BL593" s="447"/>
      <c r="BM593" s="448"/>
      <c r="BN593" s="448"/>
    </row>
    <row r="594" spans="1:66" ht="11.25" customHeight="1">
      <c r="A594" s="450"/>
      <c r="B594" s="447"/>
      <c r="C594" s="447"/>
      <c r="D594" s="447"/>
      <c r="E594" s="447"/>
      <c r="F594" s="447"/>
      <c r="G594" s="447"/>
      <c r="H594" s="447"/>
      <c r="I594" s="447"/>
      <c r="J594" s="447"/>
      <c r="K594" s="447"/>
      <c r="L594" s="447"/>
      <c r="M594" s="447"/>
      <c r="N594" s="447"/>
      <c r="O594" s="447"/>
      <c r="P594" s="447"/>
      <c r="Q594" s="447"/>
      <c r="R594" s="447"/>
      <c r="S594" s="447"/>
      <c r="T594" s="447"/>
      <c r="U594" s="447"/>
      <c r="V594" s="447"/>
      <c r="W594" s="447"/>
      <c r="X594" s="447"/>
      <c r="Y594" s="447"/>
      <c r="Z594" s="447"/>
      <c r="AA594" s="447"/>
      <c r="AB594" s="447"/>
      <c r="AC594" s="447"/>
      <c r="AD594" s="447"/>
      <c r="AE594" s="447"/>
      <c r="AF594" s="448"/>
      <c r="AG594" s="448"/>
      <c r="AH594" s="449"/>
      <c r="AI594" s="447"/>
      <c r="AJ594" s="447"/>
      <c r="AK594" s="447"/>
      <c r="AL594" s="447"/>
      <c r="AM594" s="447"/>
      <c r="AN594" s="447"/>
      <c r="AO594" s="447"/>
      <c r="AP594" s="447"/>
      <c r="AQ594" s="447"/>
      <c r="AR594" s="447"/>
      <c r="AS594" s="447"/>
      <c r="AT594" s="447"/>
      <c r="AU594" s="447"/>
      <c r="AV594" s="447"/>
      <c r="AW594" s="447"/>
      <c r="AX594" s="447"/>
      <c r="AY594" s="447"/>
      <c r="AZ594" s="447"/>
      <c r="BA594" s="447"/>
      <c r="BB594" s="447"/>
      <c r="BC594" s="447"/>
      <c r="BD594" s="447"/>
      <c r="BE594" s="447"/>
      <c r="BF594" s="447"/>
      <c r="BG594" s="447"/>
      <c r="BH594" s="447"/>
      <c r="BI594" s="447"/>
      <c r="BJ594" s="447"/>
      <c r="BK594" s="447"/>
      <c r="BL594" s="447"/>
      <c r="BM594" s="448"/>
      <c r="BN594" s="448"/>
    </row>
    <row r="595" spans="1:66" ht="11.25" customHeight="1">
      <c r="A595" s="450"/>
      <c r="B595" s="447"/>
      <c r="C595" s="447"/>
      <c r="D595" s="447"/>
      <c r="E595" s="447"/>
      <c r="F595" s="447"/>
      <c r="G595" s="447"/>
      <c r="H595" s="447"/>
      <c r="I595" s="447"/>
      <c r="J595" s="447"/>
      <c r="K595" s="447"/>
      <c r="L595" s="447"/>
      <c r="M595" s="447"/>
      <c r="N595" s="447"/>
      <c r="O595" s="447"/>
      <c r="P595" s="447"/>
      <c r="Q595" s="447"/>
      <c r="R595" s="447"/>
      <c r="S595" s="447"/>
      <c r="T595" s="447"/>
      <c r="U595" s="447"/>
      <c r="V595" s="447"/>
      <c r="W595" s="447"/>
      <c r="X595" s="447"/>
      <c r="Y595" s="447"/>
      <c r="Z595" s="447"/>
      <c r="AA595" s="447"/>
      <c r="AB595" s="447"/>
      <c r="AC595" s="447"/>
      <c r="AD595" s="447"/>
      <c r="AE595" s="447"/>
      <c r="AF595" s="448"/>
      <c r="AG595" s="448"/>
      <c r="AH595" s="449"/>
      <c r="AI595" s="447"/>
      <c r="AJ595" s="447"/>
      <c r="AK595" s="447"/>
      <c r="AL595" s="447"/>
      <c r="AM595" s="447"/>
      <c r="AN595" s="447"/>
      <c r="AO595" s="447"/>
      <c r="AP595" s="447"/>
      <c r="AQ595" s="447"/>
      <c r="AR595" s="447"/>
      <c r="AS595" s="447"/>
      <c r="AT595" s="447"/>
      <c r="AU595" s="447"/>
      <c r="AV595" s="447"/>
      <c r="AW595" s="447"/>
      <c r="AX595" s="447"/>
      <c r="AY595" s="447"/>
      <c r="AZ595" s="447"/>
      <c r="BA595" s="447"/>
      <c r="BB595" s="447"/>
      <c r="BC595" s="447"/>
      <c r="BD595" s="447"/>
      <c r="BE595" s="447"/>
      <c r="BF595" s="447"/>
      <c r="BG595" s="447"/>
      <c r="BH595" s="447"/>
      <c r="BI595" s="447"/>
      <c r="BJ595" s="447"/>
      <c r="BK595" s="447"/>
      <c r="BL595" s="447"/>
      <c r="BM595" s="448"/>
      <c r="BN595" s="448"/>
    </row>
    <row r="596" spans="1:66" ht="11.25" customHeight="1">
      <c r="A596" s="450"/>
      <c r="B596" s="447"/>
      <c r="C596" s="447"/>
      <c r="D596" s="447"/>
      <c r="E596" s="447"/>
      <c r="F596" s="447"/>
      <c r="G596" s="447"/>
      <c r="H596" s="447"/>
      <c r="I596" s="447"/>
      <c r="J596" s="447"/>
      <c r="K596" s="447"/>
      <c r="L596" s="447"/>
      <c r="M596" s="447"/>
      <c r="N596" s="447"/>
      <c r="O596" s="447"/>
      <c r="P596" s="447"/>
      <c r="Q596" s="447"/>
      <c r="R596" s="447"/>
      <c r="S596" s="447"/>
      <c r="T596" s="447"/>
      <c r="U596" s="447"/>
      <c r="V596" s="447"/>
      <c r="W596" s="447"/>
      <c r="X596" s="447"/>
      <c r="Y596" s="447"/>
      <c r="Z596" s="447"/>
      <c r="AA596" s="447"/>
      <c r="AB596" s="447"/>
      <c r="AC596" s="447"/>
      <c r="AD596" s="447"/>
      <c r="AE596" s="447"/>
      <c r="AF596" s="448"/>
      <c r="AG596" s="448"/>
      <c r="AH596" s="449"/>
      <c r="AI596" s="447"/>
      <c r="AJ596" s="447"/>
      <c r="AK596" s="447"/>
      <c r="AL596" s="447"/>
      <c r="AM596" s="447"/>
      <c r="AN596" s="447"/>
      <c r="AO596" s="447"/>
      <c r="AP596" s="447"/>
      <c r="AQ596" s="447"/>
      <c r="AR596" s="447"/>
      <c r="AS596" s="447"/>
      <c r="AT596" s="447"/>
      <c r="AU596" s="447"/>
      <c r="AV596" s="447"/>
      <c r="AW596" s="447"/>
      <c r="AX596" s="447"/>
      <c r="AY596" s="447"/>
      <c r="AZ596" s="447"/>
      <c r="BA596" s="447"/>
      <c r="BB596" s="447"/>
      <c r="BC596" s="447"/>
      <c r="BD596" s="447"/>
      <c r="BE596" s="447"/>
      <c r="BF596" s="447"/>
      <c r="BG596" s="447"/>
      <c r="BH596" s="447"/>
      <c r="BI596" s="447"/>
      <c r="BJ596" s="447"/>
      <c r="BK596" s="447"/>
      <c r="BL596" s="447"/>
      <c r="BM596" s="448"/>
      <c r="BN596" s="448"/>
    </row>
    <row r="597" spans="1:66" ht="11.25" customHeight="1">
      <c r="A597" s="450"/>
      <c r="B597" s="447"/>
      <c r="C597" s="447"/>
      <c r="D597" s="447"/>
      <c r="E597" s="447"/>
      <c r="F597" s="447"/>
      <c r="G597" s="447"/>
      <c r="H597" s="447"/>
      <c r="I597" s="447"/>
      <c r="J597" s="447"/>
      <c r="K597" s="447"/>
      <c r="L597" s="447"/>
      <c r="M597" s="447"/>
      <c r="N597" s="447"/>
      <c r="O597" s="447"/>
      <c r="P597" s="447"/>
      <c r="Q597" s="447"/>
      <c r="R597" s="447"/>
      <c r="S597" s="447"/>
      <c r="T597" s="447"/>
      <c r="U597" s="447"/>
      <c r="V597" s="447"/>
      <c r="W597" s="447"/>
      <c r="X597" s="447"/>
      <c r="Y597" s="447"/>
      <c r="Z597" s="447"/>
      <c r="AA597" s="447"/>
      <c r="AB597" s="447"/>
      <c r="AC597" s="447"/>
      <c r="AD597" s="447"/>
      <c r="AE597" s="447"/>
      <c r="AF597" s="448"/>
      <c r="AG597" s="448"/>
      <c r="AH597" s="449"/>
      <c r="AI597" s="447"/>
      <c r="AJ597" s="447"/>
      <c r="AK597" s="447"/>
      <c r="AL597" s="447"/>
      <c r="AM597" s="447"/>
      <c r="AN597" s="447"/>
      <c r="AO597" s="447"/>
      <c r="AP597" s="447"/>
      <c r="AQ597" s="447"/>
      <c r="AR597" s="447"/>
      <c r="AS597" s="447"/>
      <c r="AT597" s="447"/>
      <c r="AU597" s="447"/>
      <c r="AV597" s="447"/>
      <c r="AW597" s="447"/>
      <c r="AX597" s="447"/>
      <c r="AY597" s="447"/>
      <c r="AZ597" s="447"/>
      <c r="BA597" s="447"/>
      <c r="BB597" s="447"/>
      <c r="BC597" s="447"/>
      <c r="BD597" s="447"/>
      <c r="BE597" s="447"/>
      <c r="BF597" s="447"/>
      <c r="BG597" s="447"/>
      <c r="BH597" s="447"/>
      <c r="BI597" s="447"/>
      <c r="BJ597" s="447"/>
      <c r="BK597" s="447"/>
      <c r="BL597" s="447"/>
      <c r="BM597" s="448"/>
      <c r="BN597" s="448"/>
    </row>
    <row r="598" spans="1:66" ht="11.25" customHeight="1">
      <c r="A598" s="450"/>
      <c r="B598" s="447"/>
      <c r="C598" s="447"/>
      <c r="D598" s="447"/>
      <c r="E598" s="447"/>
      <c r="F598" s="447"/>
      <c r="G598" s="447"/>
      <c r="H598" s="447"/>
      <c r="I598" s="447"/>
      <c r="J598" s="447"/>
      <c r="K598" s="447"/>
      <c r="L598" s="447"/>
      <c r="M598" s="447"/>
      <c r="N598" s="447"/>
      <c r="O598" s="447"/>
      <c r="P598" s="447"/>
      <c r="Q598" s="447"/>
      <c r="R598" s="447"/>
      <c r="S598" s="447"/>
      <c r="T598" s="447"/>
      <c r="U598" s="447"/>
      <c r="V598" s="447"/>
      <c r="W598" s="447"/>
      <c r="X598" s="447"/>
      <c r="Y598" s="447"/>
      <c r="Z598" s="447"/>
      <c r="AA598" s="447"/>
      <c r="AB598" s="447"/>
      <c r="AC598" s="447"/>
      <c r="AD598" s="447"/>
      <c r="AE598" s="447"/>
      <c r="AF598" s="448"/>
      <c r="AG598" s="448"/>
      <c r="AH598" s="449"/>
      <c r="AI598" s="447"/>
      <c r="AJ598" s="447"/>
      <c r="AK598" s="447"/>
      <c r="AL598" s="447"/>
      <c r="AM598" s="447"/>
      <c r="AN598" s="447"/>
      <c r="AO598" s="447"/>
      <c r="AP598" s="447"/>
      <c r="AQ598" s="447"/>
      <c r="AR598" s="447"/>
      <c r="AS598" s="447"/>
      <c r="AT598" s="447"/>
      <c r="AU598" s="447"/>
      <c r="AV598" s="447"/>
      <c r="AW598" s="447"/>
      <c r="AX598" s="447"/>
      <c r="AY598" s="447"/>
      <c r="AZ598" s="447"/>
      <c r="BA598" s="447"/>
      <c r="BB598" s="447"/>
      <c r="BC598" s="447"/>
      <c r="BD598" s="447"/>
      <c r="BE598" s="447"/>
      <c r="BF598" s="447"/>
      <c r="BG598" s="447"/>
      <c r="BH598" s="447"/>
      <c r="BI598" s="447"/>
      <c r="BJ598" s="447"/>
      <c r="BK598" s="447"/>
      <c r="BL598" s="447"/>
      <c r="BM598" s="448"/>
      <c r="BN598" s="448"/>
    </row>
    <row r="599" spans="1:66" ht="11.25" customHeight="1">
      <c r="A599" s="450"/>
      <c r="B599" s="447"/>
      <c r="C599" s="447"/>
      <c r="D599" s="447"/>
      <c r="E599" s="447"/>
      <c r="F599" s="447"/>
      <c r="G599" s="447"/>
      <c r="H599" s="447"/>
      <c r="I599" s="447"/>
      <c r="J599" s="447"/>
      <c r="K599" s="447"/>
      <c r="L599" s="447"/>
      <c r="M599" s="447"/>
      <c r="N599" s="447"/>
      <c r="O599" s="447"/>
      <c r="P599" s="447"/>
      <c r="Q599" s="447"/>
      <c r="R599" s="447"/>
      <c r="S599" s="447"/>
      <c r="T599" s="447"/>
      <c r="U599" s="447"/>
      <c r="V599" s="447"/>
      <c r="W599" s="447"/>
      <c r="X599" s="447"/>
      <c r="Y599" s="447"/>
      <c r="Z599" s="447"/>
      <c r="AA599" s="447"/>
      <c r="AB599" s="447"/>
      <c r="AC599" s="447"/>
      <c r="AD599" s="447"/>
      <c r="AE599" s="447"/>
      <c r="AF599" s="448"/>
      <c r="AG599" s="448"/>
      <c r="AH599" s="449"/>
      <c r="AI599" s="447"/>
      <c r="AJ599" s="447"/>
      <c r="AK599" s="447"/>
      <c r="AL599" s="447"/>
      <c r="AM599" s="447"/>
      <c r="AN599" s="447"/>
      <c r="AO599" s="447"/>
      <c r="AP599" s="447"/>
      <c r="AQ599" s="447"/>
      <c r="AR599" s="447"/>
      <c r="AS599" s="447"/>
      <c r="AT599" s="447"/>
      <c r="AU599" s="447"/>
      <c r="AV599" s="447"/>
      <c r="AW599" s="447"/>
      <c r="AX599" s="447"/>
      <c r="AY599" s="447"/>
      <c r="AZ599" s="447"/>
      <c r="BA599" s="447"/>
      <c r="BB599" s="447"/>
      <c r="BC599" s="447"/>
      <c r="BD599" s="447"/>
      <c r="BE599" s="447"/>
      <c r="BF599" s="447"/>
      <c r="BG599" s="447"/>
      <c r="BH599" s="447"/>
      <c r="BI599" s="447"/>
      <c r="BJ599" s="447"/>
      <c r="BK599" s="447"/>
      <c r="BL599" s="447"/>
      <c r="BM599" s="448"/>
      <c r="BN599" s="448"/>
    </row>
    <row r="600" spans="1:66" ht="11.25" customHeight="1">
      <c r="A600" s="450"/>
      <c r="B600" s="447"/>
      <c r="C600" s="447"/>
      <c r="D600" s="447"/>
      <c r="E600" s="447"/>
      <c r="F600" s="447"/>
      <c r="G600" s="447"/>
      <c r="H600" s="447"/>
      <c r="I600" s="447"/>
      <c r="J600" s="447"/>
      <c r="K600" s="447"/>
      <c r="L600" s="447"/>
      <c r="M600" s="447"/>
      <c r="N600" s="447"/>
      <c r="O600" s="447"/>
      <c r="P600" s="447"/>
      <c r="Q600" s="447"/>
      <c r="R600" s="447"/>
      <c r="S600" s="447"/>
      <c r="T600" s="447"/>
      <c r="U600" s="447"/>
      <c r="V600" s="447"/>
      <c r="W600" s="447"/>
      <c r="X600" s="447"/>
      <c r="Y600" s="447"/>
      <c r="Z600" s="447"/>
      <c r="AA600" s="447"/>
      <c r="AB600" s="447"/>
      <c r="AC600" s="447"/>
      <c r="AD600" s="447"/>
      <c r="AE600" s="447"/>
      <c r="AF600" s="448"/>
      <c r="AG600" s="448"/>
      <c r="AH600" s="449"/>
      <c r="AI600" s="447"/>
      <c r="AJ600" s="447"/>
      <c r="AK600" s="447"/>
      <c r="AL600" s="447"/>
      <c r="AM600" s="447"/>
      <c r="AN600" s="447"/>
      <c r="AO600" s="447"/>
      <c r="AP600" s="447"/>
      <c r="AQ600" s="447"/>
      <c r="AR600" s="447"/>
      <c r="AS600" s="447"/>
      <c r="AT600" s="447"/>
      <c r="AU600" s="447"/>
      <c r="AV600" s="447"/>
      <c r="AW600" s="447"/>
      <c r="AX600" s="447"/>
      <c r="AY600" s="447"/>
      <c r="AZ600" s="447"/>
      <c r="BA600" s="447"/>
      <c r="BB600" s="447"/>
      <c r="BC600" s="447"/>
      <c r="BD600" s="447"/>
      <c r="BE600" s="447"/>
      <c r="BF600" s="447"/>
      <c r="BG600" s="447"/>
      <c r="BH600" s="447"/>
      <c r="BI600" s="447"/>
      <c r="BJ600" s="447"/>
      <c r="BK600" s="447"/>
      <c r="BL600" s="447"/>
      <c r="BM600" s="448"/>
      <c r="BN600" s="448"/>
    </row>
    <row r="601" spans="1:66" ht="11.25" customHeight="1">
      <c r="A601" s="450"/>
      <c r="B601" s="447"/>
      <c r="C601" s="447"/>
      <c r="D601" s="447"/>
      <c r="E601" s="447"/>
      <c r="F601" s="447"/>
      <c r="G601" s="447"/>
      <c r="H601" s="447"/>
      <c r="I601" s="447"/>
      <c r="J601" s="447"/>
      <c r="K601" s="447"/>
      <c r="L601" s="447"/>
      <c r="M601" s="447"/>
      <c r="N601" s="447"/>
      <c r="O601" s="447"/>
      <c r="P601" s="447"/>
      <c r="Q601" s="447"/>
      <c r="R601" s="447"/>
      <c r="S601" s="447"/>
      <c r="T601" s="447"/>
      <c r="U601" s="447"/>
      <c r="V601" s="447"/>
      <c r="W601" s="447"/>
      <c r="X601" s="447"/>
      <c r="Y601" s="447"/>
      <c r="Z601" s="447"/>
      <c r="AA601" s="447"/>
      <c r="AB601" s="447"/>
      <c r="AC601" s="447"/>
      <c r="AD601" s="447"/>
      <c r="AE601" s="447"/>
      <c r="AF601" s="448"/>
      <c r="AG601" s="448"/>
      <c r="AH601" s="449"/>
      <c r="AI601" s="447"/>
      <c r="AJ601" s="447"/>
      <c r="AK601" s="447"/>
      <c r="AL601" s="447"/>
      <c r="AM601" s="447"/>
      <c r="AN601" s="447"/>
      <c r="AO601" s="447"/>
      <c r="AP601" s="447"/>
      <c r="AQ601" s="447"/>
      <c r="AR601" s="447"/>
      <c r="AS601" s="447"/>
      <c r="AT601" s="447"/>
      <c r="AU601" s="447"/>
      <c r="AV601" s="447"/>
      <c r="AW601" s="447"/>
      <c r="AX601" s="447"/>
      <c r="AY601" s="447"/>
      <c r="AZ601" s="447"/>
      <c r="BA601" s="447"/>
      <c r="BB601" s="447"/>
      <c r="BC601" s="447"/>
      <c r="BD601" s="447"/>
      <c r="BE601" s="447"/>
      <c r="BF601" s="447"/>
      <c r="BG601" s="447"/>
      <c r="BH601" s="447"/>
      <c r="BI601" s="447"/>
      <c r="BJ601" s="447"/>
      <c r="BK601" s="447"/>
      <c r="BL601" s="447"/>
      <c r="BM601" s="448"/>
      <c r="BN601" s="448"/>
    </row>
    <row r="602" spans="1:66" ht="11.25" customHeight="1">
      <c r="A602" s="450"/>
      <c r="B602" s="447"/>
      <c r="C602" s="447"/>
      <c r="D602" s="447"/>
      <c r="E602" s="447"/>
      <c r="F602" s="447"/>
      <c r="G602" s="447"/>
      <c r="H602" s="447"/>
      <c r="I602" s="447"/>
      <c r="J602" s="447"/>
      <c r="K602" s="447"/>
      <c r="L602" s="447"/>
      <c r="M602" s="447"/>
      <c r="N602" s="447"/>
      <c r="O602" s="447"/>
      <c r="P602" s="447"/>
      <c r="Q602" s="447"/>
      <c r="R602" s="447"/>
      <c r="S602" s="447"/>
      <c r="T602" s="447"/>
      <c r="U602" s="447"/>
      <c r="V602" s="447"/>
      <c r="W602" s="447"/>
      <c r="X602" s="447"/>
      <c r="Y602" s="447"/>
      <c r="Z602" s="447"/>
      <c r="AA602" s="447"/>
      <c r="AB602" s="447"/>
      <c r="AC602" s="447"/>
      <c r="AD602" s="447"/>
      <c r="AE602" s="447"/>
      <c r="AF602" s="448"/>
      <c r="AG602" s="448"/>
      <c r="AH602" s="449"/>
      <c r="AI602" s="447"/>
      <c r="AJ602" s="447"/>
      <c r="AK602" s="447"/>
      <c r="AL602" s="447"/>
      <c r="AM602" s="447"/>
      <c r="AN602" s="447"/>
      <c r="AO602" s="447"/>
      <c r="AP602" s="447"/>
      <c r="AQ602" s="447"/>
      <c r="AR602" s="447"/>
      <c r="AS602" s="447"/>
      <c r="AT602" s="447"/>
      <c r="AU602" s="447"/>
      <c r="AV602" s="447"/>
      <c r="AW602" s="447"/>
      <c r="AX602" s="447"/>
      <c r="AY602" s="447"/>
      <c r="AZ602" s="447"/>
      <c r="BA602" s="447"/>
      <c r="BB602" s="447"/>
      <c r="BC602" s="447"/>
      <c r="BD602" s="447"/>
      <c r="BE602" s="447"/>
      <c r="BF602" s="447"/>
      <c r="BG602" s="447"/>
      <c r="BH602" s="447"/>
      <c r="BI602" s="447"/>
      <c r="BJ602" s="447"/>
      <c r="BK602" s="447"/>
      <c r="BL602" s="447"/>
      <c r="BM602" s="448"/>
      <c r="BN602" s="448"/>
    </row>
    <row r="603" spans="1:66" ht="11.25" customHeight="1">
      <c r="A603" s="450"/>
      <c r="B603" s="447"/>
      <c r="C603" s="447"/>
      <c r="D603" s="447"/>
      <c r="E603" s="447"/>
      <c r="F603" s="447"/>
      <c r="G603" s="447"/>
      <c r="H603" s="447"/>
      <c r="I603" s="447"/>
      <c r="J603" s="447"/>
      <c r="K603" s="447"/>
      <c r="L603" s="447"/>
      <c r="M603" s="447"/>
      <c r="N603" s="447"/>
      <c r="O603" s="447"/>
      <c r="P603" s="447"/>
      <c r="Q603" s="447"/>
      <c r="R603" s="447"/>
      <c r="S603" s="447"/>
      <c r="T603" s="447"/>
      <c r="U603" s="447"/>
      <c r="V603" s="447"/>
      <c r="W603" s="447"/>
      <c r="X603" s="447"/>
      <c r="Y603" s="447"/>
      <c r="Z603" s="447"/>
      <c r="AA603" s="447"/>
      <c r="AB603" s="447"/>
      <c r="AC603" s="447"/>
      <c r="AD603" s="447"/>
      <c r="AE603" s="447"/>
      <c r="AF603" s="448"/>
      <c r="AG603" s="448"/>
      <c r="AH603" s="449"/>
      <c r="AI603" s="447"/>
      <c r="AJ603" s="447"/>
      <c r="AK603" s="447"/>
      <c r="AL603" s="447"/>
      <c r="AM603" s="447"/>
      <c r="AN603" s="447"/>
      <c r="AO603" s="447"/>
      <c r="AP603" s="447"/>
      <c r="AQ603" s="447"/>
      <c r="AR603" s="447"/>
      <c r="AS603" s="447"/>
      <c r="AT603" s="447"/>
      <c r="AU603" s="447"/>
      <c r="AV603" s="447"/>
      <c r="AW603" s="447"/>
      <c r="AX603" s="447"/>
      <c r="AY603" s="447"/>
      <c r="AZ603" s="447"/>
      <c r="BA603" s="447"/>
      <c r="BB603" s="447"/>
      <c r="BC603" s="447"/>
      <c r="BD603" s="447"/>
      <c r="BE603" s="447"/>
      <c r="BF603" s="447"/>
      <c r="BG603" s="447"/>
      <c r="BH603" s="447"/>
      <c r="BI603" s="447"/>
      <c r="BJ603" s="447"/>
      <c r="BK603" s="447"/>
      <c r="BL603" s="447"/>
      <c r="BM603" s="448"/>
      <c r="BN603" s="448"/>
    </row>
    <row r="604" spans="1:66" ht="11.25" customHeight="1">
      <c r="A604" s="450"/>
      <c r="B604" s="447"/>
      <c r="C604" s="447"/>
      <c r="D604" s="447"/>
      <c r="E604" s="447"/>
      <c r="F604" s="447"/>
      <c r="G604" s="447"/>
      <c r="H604" s="447"/>
      <c r="I604" s="447"/>
      <c r="J604" s="447"/>
      <c r="K604" s="447"/>
      <c r="L604" s="447"/>
      <c r="M604" s="447"/>
      <c r="N604" s="447"/>
      <c r="O604" s="447"/>
      <c r="P604" s="447"/>
      <c r="Q604" s="447"/>
      <c r="R604" s="447"/>
      <c r="S604" s="447"/>
      <c r="T604" s="447"/>
      <c r="U604" s="447"/>
      <c r="V604" s="447"/>
      <c r="W604" s="447"/>
      <c r="X604" s="447"/>
      <c r="Y604" s="447"/>
      <c r="Z604" s="447"/>
      <c r="AA604" s="447"/>
      <c r="AB604" s="447"/>
      <c r="AC604" s="447"/>
      <c r="AD604" s="447"/>
      <c r="AE604" s="447"/>
      <c r="AF604" s="448"/>
      <c r="AG604" s="448"/>
      <c r="AH604" s="449"/>
      <c r="AI604" s="447"/>
      <c r="AJ604" s="447"/>
      <c r="AK604" s="447"/>
      <c r="AL604" s="447"/>
      <c r="AM604" s="447"/>
      <c r="AN604" s="447"/>
      <c r="AO604" s="447"/>
      <c r="AP604" s="447"/>
      <c r="AQ604" s="447"/>
      <c r="AR604" s="447"/>
      <c r="AS604" s="447"/>
      <c r="AT604" s="447"/>
      <c r="AU604" s="447"/>
      <c r="AV604" s="447"/>
      <c r="AW604" s="447"/>
      <c r="AX604" s="447"/>
      <c r="AY604" s="447"/>
      <c r="AZ604" s="447"/>
      <c r="BA604" s="447"/>
      <c r="BB604" s="447"/>
      <c r="BC604" s="447"/>
      <c r="BD604" s="447"/>
      <c r="BE604" s="447"/>
      <c r="BF604" s="447"/>
      <c r="BG604" s="447"/>
      <c r="BH604" s="447"/>
      <c r="BI604" s="447"/>
      <c r="BJ604" s="447"/>
      <c r="BK604" s="447"/>
      <c r="BL604" s="447"/>
      <c r="BM604" s="448"/>
      <c r="BN604" s="448"/>
    </row>
    <row r="605" spans="1:66" ht="11.25" customHeight="1">
      <c r="A605" s="450"/>
      <c r="B605" s="447"/>
      <c r="C605" s="447"/>
      <c r="D605" s="447"/>
      <c r="E605" s="447"/>
      <c r="F605" s="447"/>
      <c r="G605" s="447"/>
      <c r="H605" s="447"/>
      <c r="I605" s="447"/>
      <c r="J605" s="447"/>
      <c r="K605" s="447"/>
      <c r="L605" s="447"/>
      <c r="M605" s="447"/>
      <c r="N605" s="447"/>
      <c r="O605" s="447"/>
      <c r="P605" s="447"/>
      <c r="Q605" s="447"/>
      <c r="R605" s="447"/>
      <c r="S605" s="447"/>
      <c r="T605" s="447"/>
      <c r="U605" s="447"/>
      <c r="V605" s="447"/>
      <c r="W605" s="447"/>
      <c r="X605" s="447"/>
      <c r="Y605" s="447"/>
      <c r="Z605" s="447"/>
      <c r="AA605" s="447"/>
      <c r="AB605" s="447"/>
      <c r="AC605" s="447"/>
      <c r="AD605" s="447"/>
      <c r="AE605" s="447"/>
      <c r="AF605" s="448"/>
      <c r="AG605" s="448"/>
      <c r="AH605" s="449"/>
      <c r="AI605" s="447"/>
      <c r="AJ605" s="447"/>
      <c r="AK605" s="447"/>
      <c r="AL605" s="447"/>
      <c r="AM605" s="447"/>
      <c r="AN605" s="447"/>
      <c r="AO605" s="447"/>
      <c r="AP605" s="447"/>
      <c r="AQ605" s="447"/>
      <c r="AR605" s="447"/>
      <c r="AS605" s="447"/>
      <c r="AT605" s="447"/>
      <c r="AU605" s="447"/>
      <c r="AV605" s="447"/>
      <c r="AW605" s="447"/>
      <c r="AX605" s="447"/>
      <c r="AY605" s="447"/>
      <c r="AZ605" s="447"/>
      <c r="BA605" s="447"/>
      <c r="BB605" s="447"/>
      <c r="BC605" s="447"/>
      <c r="BD605" s="447"/>
      <c r="BE605" s="447"/>
      <c r="BF605" s="447"/>
      <c r="BG605" s="447"/>
      <c r="BH605" s="447"/>
      <c r="BI605" s="447"/>
      <c r="BJ605" s="447"/>
      <c r="BK605" s="447"/>
      <c r="BL605" s="447"/>
      <c r="BM605" s="448"/>
      <c r="BN605" s="448"/>
    </row>
    <row r="606" spans="1:66" ht="11.25" customHeight="1">
      <c r="A606" s="450"/>
      <c r="B606" s="447"/>
      <c r="C606" s="447"/>
      <c r="D606" s="447"/>
      <c r="E606" s="447"/>
      <c r="F606" s="447"/>
      <c r="G606" s="447"/>
      <c r="H606" s="447"/>
      <c r="I606" s="447"/>
      <c r="J606" s="447"/>
      <c r="K606" s="447"/>
      <c r="L606" s="447"/>
      <c r="M606" s="447"/>
      <c r="N606" s="447"/>
      <c r="O606" s="447"/>
      <c r="P606" s="447"/>
      <c r="Q606" s="447"/>
      <c r="R606" s="447"/>
      <c r="S606" s="447"/>
      <c r="T606" s="447"/>
      <c r="U606" s="447"/>
      <c r="V606" s="447"/>
      <c r="W606" s="447"/>
      <c r="X606" s="447"/>
      <c r="Y606" s="447"/>
      <c r="Z606" s="447"/>
      <c r="AA606" s="447"/>
      <c r="AB606" s="447"/>
      <c r="AC606" s="447"/>
      <c r="AD606" s="447"/>
      <c r="AE606" s="447"/>
      <c r="AF606" s="448"/>
      <c r="AG606" s="448"/>
      <c r="AH606" s="449"/>
      <c r="AI606" s="447"/>
      <c r="AJ606" s="447"/>
      <c r="AK606" s="447"/>
      <c r="AL606" s="447"/>
      <c r="AM606" s="447"/>
      <c r="AN606" s="447"/>
      <c r="AO606" s="447"/>
      <c r="AP606" s="447"/>
      <c r="AQ606" s="447"/>
      <c r="AR606" s="447"/>
      <c r="AS606" s="447"/>
      <c r="AT606" s="447"/>
      <c r="AU606" s="447"/>
      <c r="AV606" s="447"/>
      <c r="AW606" s="447"/>
      <c r="AX606" s="447"/>
      <c r="AY606" s="447"/>
      <c r="AZ606" s="447"/>
      <c r="BA606" s="447"/>
      <c r="BB606" s="447"/>
      <c r="BC606" s="447"/>
      <c r="BD606" s="447"/>
      <c r="BE606" s="447"/>
      <c r="BF606" s="447"/>
      <c r="BG606" s="447"/>
      <c r="BH606" s="447"/>
      <c r="BI606" s="447"/>
      <c r="BJ606" s="447"/>
      <c r="BK606" s="447"/>
      <c r="BL606" s="447"/>
      <c r="BM606" s="448"/>
      <c r="BN606" s="448"/>
    </row>
    <row r="607" spans="1:66" ht="11.25" customHeight="1">
      <c r="A607" s="450"/>
      <c r="B607" s="447"/>
      <c r="C607" s="447"/>
      <c r="D607" s="447"/>
      <c r="E607" s="447"/>
      <c r="F607" s="447"/>
      <c r="G607" s="447"/>
      <c r="H607" s="447"/>
      <c r="I607" s="447"/>
      <c r="J607" s="447"/>
      <c r="K607" s="447"/>
      <c r="L607" s="447"/>
      <c r="M607" s="447"/>
      <c r="N607" s="447"/>
      <c r="O607" s="447"/>
      <c r="P607" s="447"/>
      <c r="Q607" s="447"/>
      <c r="R607" s="447"/>
      <c r="S607" s="447"/>
      <c r="T607" s="447"/>
      <c r="U607" s="447"/>
      <c r="V607" s="447"/>
      <c r="W607" s="447"/>
      <c r="X607" s="447"/>
      <c r="Y607" s="447"/>
      <c r="Z607" s="447"/>
      <c r="AA607" s="447"/>
      <c r="AB607" s="447"/>
      <c r="AC607" s="447"/>
      <c r="AD607" s="447"/>
      <c r="AE607" s="447"/>
      <c r="AF607" s="448"/>
      <c r="AG607" s="448"/>
      <c r="AH607" s="449"/>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8"/>
      <c r="BN607" s="448"/>
    </row>
    <row r="608" spans="1:66" ht="11.25" customHeight="1">
      <c r="A608" s="450"/>
      <c r="B608" s="447"/>
      <c r="C608" s="447"/>
      <c r="D608" s="447"/>
      <c r="E608" s="447"/>
      <c r="F608" s="447"/>
      <c r="G608" s="447"/>
      <c r="H608" s="447"/>
      <c r="I608" s="447"/>
      <c r="J608" s="447"/>
      <c r="K608" s="447"/>
      <c r="L608" s="447"/>
      <c r="M608" s="447"/>
      <c r="N608" s="447"/>
      <c r="O608" s="447"/>
      <c r="P608" s="447"/>
      <c r="Q608" s="447"/>
      <c r="R608" s="447"/>
      <c r="S608" s="447"/>
      <c r="T608" s="447"/>
      <c r="U608" s="447"/>
      <c r="V608" s="447"/>
      <c r="W608" s="447"/>
      <c r="X608" s="447"/>
      <c r="Y608" s="447"/>
      <c r="Z608" s="447"/>
      <c r="AA608" s="447"/>
      <c r="AB608" s="447"/>
      <c r="AC608" s="447"/>
      <c r="AD608" s="447"/>
      <c r="AE608" s="447"/>
      <c r="AF608" s="448"/>
      <c r="AG608" s="448"/>
      <c r="AH608" s="449"/>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8"/>
      <c r="BN608" s="448"/>
    </row>
    <row r="609" spans="1:66" ht="11.25" customHeight="1">
      <c r="A609" s="450"/>
      <c r="B609" s="447"/>
      <c r="C609" s="447"/>
      <c r="D609" s="447"/>
      <c r="E609" s="447"/>
      <c r="F609" s="447"/>
      <c r="G609" s="447"/>
      <c r="H609" s="447"/>
      <c r="I609" s="447"/>
      <c r="J609" s="447"/>
      <c r="K609" s="447"/>
      <c r="L609" s="447"/>
      <c r="M609" s="447"/>
      <c r="N609" s="447"/>
      <c r="O609" s="447"/>
      <c r="P609" s="447"/>
      <c r="Q609" s="447"/>
      <c r="R609" s="447"/>
      <c r="S609" s="447"/>
      <c r="T609" s="447"/>
      <c r="U609" s="447"/>
      <c r="V609" s="447"/>
      <c r="W609" s="447"/>
      <c r="X609" s="447"/>
      <c r="Y609" s="447"/>
      <c r="Z609" s="447"/>
      <c r="AA609" s="447"/>
      <c r="AB609" s="447"/>
      <c r="AC609" s="447"/>
      <c r="AD609" s="447"/>
      <c r="AE609" s="447"/>
      <c r="AF609" s="448"/>
      <c r="AG609" s="448"/>
      <c r="AH609" s="449"/>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8"/>
      <c r="BN609" s="448"/>
    </row>
    <row r="610" spans="1:66" ht="11.25" customHeight="1">
      <c r="A610" s="450"/>
      <c r="B610" s="447"/>
      <c r="C610" s="447"/>
      <c r="D610" s="447"/>
      <c r="E610" s="447"/>
      <c r="F610" s="447"/>
      <c r="G610" s="447"/>
      <c r="H610" s="447"/>
      <c r="I610" s="447"/>
      <c r="J610" s="447"/>
      <c r="K610" s="447"/>
      <c r="L610" s="447"/>
      <c r="M610" s="447"/>
      <c r="N610" s="447"/>
      <c r="O610" s="447"/>
      <c r="P610" s="447"/>
      <c r="Q610" s="447"/>
      <c r="R610" s="447"/>
      <c r="S610" s="447"/>
      <c r="T610" s="447"/>
      <c r="U610" s="447"/>
      <c r="V610" s="447"/>
      <c r="W610" s="447"/>
      <c r="X610" s="447"/>
      <c r="Y610" s="447"/>
      <c r="Z610" s="447"/>
      <c r="AA610" s="447"/>
      <c r="AB610" s="447"/>
      <c r="AC610" s="447"/>
      <c r="AD610" s="447"/>
      <c r="AE610" s="447"/>
      <c r="AF610" s="448"/>
      <c r="AG610" s="448"/>
      <c r="AH610" s="449"/>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8"/>
      <c r="BN610" s="448"/>
    </row>
    <row r="611" spans="1:66" ht="11.25" customHeight="1">
      <c r="A611" s="450"/>
      <c r="B611" s="447"/>
      <c r="C611" s="447"/>
      <c r="D611" s="447"/>
      <c r="E611" s="447"/>
      <c r="F611" s="447"/>
      <c r="G611" s="447"/>
      <c r="H611" s="447"/>
      <c r="I611" s="447"/>
      <c r="J611" s="447"/>
      <c r="K611" s="447"/>
      <c r="L611" s="447"/>
      <c r="M611" s="447"/>
      <c r="N611" s="447"/>
      <c r="O611" s="447"/>
      <c r="P611" s="447"/>
      <c r="Q611" s="447"/>
      <c r="R611" s="447"/>
      <c r="S611" s="447"/>
      <c r="T611" s="447"/>
      <c r="U611" s="447"/>
      <c r="V611" s="447"/>
      <c r="W611" s="447"/>
      <c r="X611" s="447"/>
      <c r="Y611" s="447"/>
      <c r="Z611" s="447"/>
      <c r="AA611" s="447"/>
      <c r="AB611" s="447"/>
      <c r="AC611" s="447"/>
      <c r="AD611" s="447"/>
      <c r="AE611" s="447"/>
      <c r="AF611" s="448"/>
      <c r="AG611" s="448"/>
      <c r="AH611" s="449"/>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8"/>
      <c r="BN611" s="448"/>
    </row>
    <row r="612" spans="1:66" ht="11.25" customHeight="1">
      <c r="A612" s="450"/>
      <c r="B612" s="447"/>
      <c r="C612" s="447"/>
      <c r="D612" s="447"/>
      <c r="E612" s="447"/>
      <c r="F612" s="447"/>
      <c r="G612" s="447"/>
      <c r="H612" s="447"/>
      <c r="I612" s="447"/>
      <c r="J612" s="447"/>
      <c r="K612" s="447"/>
      <c r="L612" s="447"/>
      <c r="M612" s="447"/>
      <c r="N612" s="447"/>
      <c r="O612" s="447"/>
      <c r="P612" s="447"/>
      <c r="Q612" s="447"/>
      <c r="R612" s="447"/>
      <c r="S612" s="447"/>
      <c r="T612" s="447"/>
      <c r="U612" s="447"/>
      <c r="V612" s="447"/>
      <c r="W612" s="447"/>
      <c r="X612" s="447"/>
      <c r="Y612" s="447"/>
      <c r="Z612" s="447"/>
      <c r="AA612" s="447"/>
      <c r="AB612" s="447"/>
      <c r="AC612" s="447"/>
      <c r="AD612" s="447"/>
      <c r="AE612" s="447"/>
      <c r="AF612" s="448"/>
      <c r="AG612" s="448"/>
      <c r="AH612" s="449"/>
      <c r="AI612" s="447"/>
      <c r="AJ612" s="447"/>
      <c r="AK612" s="447"/>
      <c r="AL612" s="447"/>
      <c r="AM612" s="447"/>
      <c r="AN612" s="447"/>
      <c r="AO612" s="447"/>
      <c r="AP612" s="447"/>
      <c r="AQ612" s="447"/>
      <c r="AR612" s="447"/>
      <c r="AS612" s="447"/>
      <c r="AT612" s="447"/>
      <c r="AU612" s="447"/>
      <c r="AV612" s="447"/>
      <c r="AW612" s="447"/>
      <c r="AX612" s="447"/>
      <c r="AY612" s="447"/>
      <c r="AZ612" s="447"/>
      <c r="BA612" s="447"/>
      <c r="BB612" s="447"/>
      <c r="BC612" s="447"/>
      <c r="BD612" s="447"/>
      <c r="BE612" s="447"/>
      <c r="BF612" s="447"/>
      <c r="BG612" s="447"/>
      <c r="BH612" s="447"/>
      <c r="BI612" s="447"/>
      <c r="BJ612" s="447"/>
      <c r="BK612" s="447"/>
      <c r="BL612" s="447"/>
      <c r="BM612" s="448"/>
      <c r="BN612" s="448"/>
    </row>
    <row r="613" spans="1:66" ht="11.25" customHeight="1">
      <c r="A613" s="450"/>
      <c r="B613" s="447"/>
      <c r="C613" s="447"/>
      <c r="D613" s="447"/>
      <c r="E613" s="447"/>
      <c r="F613" s="447"/>
      <c r="G613" s="447"/>
      <c r="H613" s="447"/>
      <c r="I613" s="447"/>
      <c r="J613" s="447"/>
      <c r="K613" s="447"/>
      <c r="L613" s="447"/>
      <c r="M613" s="447"/>
      <c r="N613" s="447"/>
      <c r="O613" s="447"/>
      <c r="P613" s="447"/>
      <c r="Q613" s="447"/>
      <c r="R613" s="447"/>
      <c r="S613" s="447"/>
      <c r="T613" s="447"/>
      <c r="U613" s="447"/>
      <c r="V613" s="447"/>
      <c r="W613" s="447"/>
      <c r="X613" s="447"/>
      <c r="Y613" s="447"/>
      <c r="Z613" s="447"/>
      <c r="AA613" s="447"/>
      <c r="AB613" s="447"/>
      <c r="AC613" s="447"/>
      <c r="AD613" s="447"/>
      <c r="AE613" s="447"/>
      <c r="AF613" s="448"/>
      <c r="AG613" s="448"/>
      <c r="AH613" s="449"/>
      <c r="AI613" s="447"/>
      <c r="AJ613" s="447"/>
      <c r="AK613" s="447"/>
      <c r="AL613" s="447"/>
      <c r="AM613" s="447"/>
      <c r="AN613" s="447"/>
      <c r="AO613" s="447"/>
      <c r="AP613" s="447"/>
      <c r="AQ613" s="447"/>
      <c r="AR613" s="447"/>
      <c r="AS613" s="447"/>
      <c r="AT613" s="447"/>
      <c r="AU613" s="447"/>
      <c r="AV613" s="447"/>
      <c r="AW613" s="447"/>
      <c r="AX613" s="447"/>
      <c r="AY613" s="447"/>
      <c r="AZ613" s="447"/>
      <c r="BA613" s="447"/>
      <c r="BB613" s="447"/>
      <c r="BC613" s="447"/>
      <c r="BD613" s="447"/>
      <c r="BE613" s="447"/>
      <c r="BF613" s="447"/>
      <c r="BG613" s="447"/>
      <c r="BH613" s="447"/>
      <c r="BI613" s="447"/>
      <c r="BJ613" s="447"/>
      <c r="BK613" s="447"/>
      <c r="BL613" s="447"/>
      <c r="BM613" s="448"/>
      <c r="BN613" s="448"/>
    </row>
    <row r="614" spans="1:66" ht="11.25" customHeight="1">
      <c r="A614" s="450"/>
      <c r="B614" s="447"/>
      <c r="C614" s="447"/>
      <c r="D614" s="447"/>
      <c r="E614" s="447"/>
      <c r="F614" s="447"/>
      <c r="G614" s="447"/>
      <c r="H614" s="447"/>
      <c r="I614" s="447"/>
      <c r="J614" s="447"/>
      <c r="K614" s="447"/>
      <c r="L614" s="447"/>
      <c r="M614" s="447"/>
      <c r="N614" s="447"/>
      <c r="O614" s="447"/>
      <c r="P614" s="447"/>
      <c r="Q614" s="447"/>
      <c r="R614" s="447"/>
      <c r="S614" s="447"/>
      <c r="T614" s="447"/>
      <c r="U614" s="447"/>
      <c r="V614" s="447"/>
      <c r="W614" s="447"/>
      <c r="X614" s="447"/>
      <c r="Y614" s="447"/>
      <c r="Z614" s="447"/>
      <c r="AA614" s="447"/>
      <c r="AB614" s="447"/>
      <c r="AC614" s="447"/>
      <c r="AD614" s="447"/>
      <c r="AE614" s="447"/>
      <c r="AF614" s="448"/>
      <c r="AG614" s="448"/>
      <c r="AH614" s="449"/>
      <c r="AI614" s="447"/>
      <c r="AJ614" s="447"/>
      <c r="AK614" s="447"/>
      <c r="AL614" s="447"/>
      <c r="AM614" s="447"/>
      <c r="AN614" s="447"/>
      <c r="AO614" s="447"/>
      <c r="AP614" s="447"/>
      <c r="AQ614" s="447"/>
      <c r="AR614" s="447"/>
      <c r="AS614" s="447"/>
      <c r="AT614" s="447"/>
      <c r="AU614" s="447"/>
      <c r="AV614" s="447"/>
      <c r="AW614" s="447"/>
      <c r="AX614" s="447"/>
      <c r="AY614" s="447"/>
      <c r="AZ614" s="447"/>
      <c r="BA614" s="447"/>
      <c r="BB614" s="447"/>
      <c r="BC614" s="447"/>
      <c r="BD614" s="447"/>
      <c r="BE614" s="447"/>
      <c r="BF614" s="447"/>
      <c r="BG614" s="447"/>
      <c r="BH614" s="447"/>
      <c r="BI614" s="447"/>
      <c r="BJ614" s="447"/>
      <c r="BK614" s="447"/>
      <c r="BL614" s="447"/>
      <c r="BM614" s="448"/>
      <c r="BN614" s="448"/>
    </row>
    <row r="615" spans="1:66" ht="11.25" customHeight="1">
      <c r="A615" s="450"/>
      <c r="B615" s="447"/>
      <c r="C615" s="447"/>
      <c r="D615" s="447"/>
      <c r="E615" s="447"/>
      <c r="F615" s="447"/>
      <c r="G615" s="447"/>
      <c r="H615" s="447"/>
      <c r="I615" s="447"/>
      <c r="J615" s="447"/>
      <c r="K615" s="447"/>
      <c r="L615" s="447"/>
      <c r="M615" s="447"/>
      <c r="N615" s="447"/>
      <c r="O615" s="447"/>
      <c r="P615" s="447"/>
      <c r="Q615" s="447"/>
      <c r="R615" s="447"/>
      <c r="S615" s="447"/>
      <c r="T615" s="447"/>
      <c r="U615" s="447"/>
      <c r="V615" s="447"/>
      <c r="W615" s="447"/>
      <c r="X615" s="447"/>
      <c r="Y615" s="447"/>
      <c r="Z615" s="447"/>
      <c r="AA615" s="447"/>
      <c r="AB615" s="447"/>
      <c r="AC615" s="447"/>
      <c r="AD615" s="447"/>
      <c r="AE615" s="447"/>
      <c r="AF615" s="448"/>
      <c r="AG615" s="448"/>
      <c r="AH615" s="449"/>
      <c r="AI615" s="447"/>
      <c r="AJ615" s="447"/>
      <c r="AK615" s="447"/>
      <c r="AL615" s="447"/>
      <c r="AM615" s="447"/>
      <c r="AN615" s="447"/>
      <c r="AO615" s="447"/>
      <c r="AP615" s="447"/>
      <c r="AQ615" s="447"/>
      <c r="AR615" s="447"/>
      <c r="AS615" s="447"/>
      <c r="AT615" s="447"/>
      <c r="AU615" s="447"/>
      <c r="AV615" s="447"/>
      <c r="AW615" s="447"/>
      <c r="AX615" s="447"/>
      <c r="AY615" s="447"/>
      <c r="AZ615" s="447"/>
      <c r="BA615" s="447"/>
      <c r="BB615" s="447"/>
      <c r="BC615" s="447"/>
      <c r="BD615" s="447"/>
      <c r="BE615" s="447"/>
      <c r="BF615" s="447"/>
      <c r="BG615" s="447"/>
      <c r="BH615" s="447"/>
      <c r="BI615" s="447"/>
      <c r="BJ615" s="447"/>
      <c r="BK615" s="447"/>
      <c r="BL615" s="447"/>
      <c r="BM615" s="448"/>
      <c r="BN615" s="448"/>
    </row>
    <row r="616" spans="1:66" ht="11.25" customHeight="1">
      <c r="A616" s="450"/>
      <c r="B616" s="447"/>
      <c r="C616" s="447"/>
      <c r="D616" s="447"/>
      <c r="E616" s="447"/>
      <c r="F616" s="447"/>
      <c r="G616" s="447"/>
      <c r="H616" s="447"/>
      <c r="I616" s="447"/>
      <c r="J616" s="447"/>
      <c r="K616" s="447"/>
      <c r="L616" s="447"/>
      <c r="M616" s="447"/>
      <c r="N616" s="447"/>
      <c r="O616" s="447"/>
      <c r="P616" s="447"/>
      <c r="Q616" s="447"/>
      <c r="R616" s="447"/>
      <c r="S616" s="447"/>
      <c r="T616" s="447"/>
      <c r="U616" s="447"/>
      <c r="V616" s="447"/>
      <c r="W616" s="447"/>
      <c r="X616" s="447"/>
      <c r="Y616" s="447"/>
      <c r="Z616" s="447"/>
      <c r="AA616" s="447"/>
      <c r="AB616" s="447"/>
      <c r="AC616" s="447"/>
      <c r="AD616" s="447"/>
      <c r="AE616" s="447"/>
      <c r="AF616" s="448"/>
      <c r="AG616" s="448"/>
      <c r="AH616" s="449"/>
      <c r="AI616" s="447"/>
      <c r="AJ616" s="447"/>
      <c r="AK616" s="447"/>
      <c r="AL616" s="447"/>
      <c r="AM616" s="447"/>
      <c r="AN616" s="447"/>
      <c r="AO616" s="447"/>
      <c r="AP616" s="447"/>
      <c r="AQ616" s="447"/>
      <c r="AR616" s="447"/>
      <c r="AS616" s="447"/>
      <c r="AT616" s="447"/>
      <c r="AU616" s="447"/>
      <c r="AV616" s="447"/>
      <c r="AW616" s="447"/>
      <c r="AX616" s="447"/>
      <c r="AY616" s="447"/>
      <c r="AZ616" s="447"/>
      <c r="BA616" s="447"/>
      <c r="BB616" s="447"/>
      <c r="BC616" s="447"/>
      <c r="BD616" s="447"/>
      <c r="BE616" s="447"/>
      <c r="BF616" s="447"/>
      <c r="BG616" s="447"/>
      <c r="BH616" s="447"/>
      <c r="BI616" s="447"/>
      <c r="BJ616" s="447"/>
      <c r="BK616" s="447"/>
      <c r="BL616" s="447"/>
      <c r="BM616" s="448"/>
      <c r="BN616" s="448"/>
    </row>
    <row r="617" spans="1:66" ht="11.25" customHeight="1">
      <c r="A617" s="450"/>
      <c r="B617" s="447"/>
      <c r="C617" s="447"/>
      <c r="D617" s="447"/>
      <c r="E617" s="447"/>
      <c r="F617" s="447"/>
      <c r="G617" s="447"/>
      <c r="H617" s="447"/>
      <c r="I617" s="447"/>
      <c r="J617" s="447"/>
      <c r="K617" s="447"/>
      <c r="L617" s="447"/>
      <c r="M617" s="447"/>
      <c r="N617" s="447"/>
      <c r="O617" s="447"/>
      <c r="P617" s="447"/>
      <c r="Q617" s="447"/>
      <c r="R617" s="447"/>
      <c r="S617" s="447"/>
      <c r="T617" s="447"/>
      <c r="U617" s="447"/>
      <c r="V617" s="447"/>
      <c r="W617" s="447"/>
      <c r="X617" s="447"/>
      <c r="Y617" s="447"/>
      <c r="Z617" s="447"/>
      <c r="AA617" s="447"/>
      <c r="AB617" s="447"/>
      <c r="AC617" s="447"/>
      <c r="AD617" s="447"/>
      <c r="AE617" s="447"/>
      <c r="AF617" s="448"/>
      <c r="AG617" s="448"/>
      <c r="AH617" s="449"/>
      <c r="AI617" s="447"/>
      <c r="AJ617" s="447"/>
      <c r="AK617" s="447"/>
      <c r="AL617" s="447"/>
      <c r="AM617" s="447"/>
      <c r="AN617" s="447"/>
      <c r="AO617" s="447"/>
      <c r="AP617" s="447"/>
      <c r="AQ617" s="447"/>
      <c r="AR617" s="447"/>
      <c r="AS617" s="447"/>
      <c r="AT617" s="447"/>
      <c r="AU617" s="447"/>
      <c r="AV617" s="447"/>
      <c r="AW617" s="447"/>
      <c r="AX617" s="447"/>
      <c r="AY617" s="447"/>
      <c r="AZ617" s="447"/>
      <c r="BA617" s="447"/>
      <c r="BB617" s="447"/>
      <c r="BC617" s="447"/>
      <c r="BD617" s="447"/>
      <c r="BE617" s="447"/>
      <c r="BF617" s="447"/>
      <c r="BG617" s="447"/>
      <c r="BH617" s="447"/>
      <c r="BI617" s="447"/>
      <c r="BJ617" s="447"/>
      <c r="BK617" s="447"/>
      <c r="BL617" s="447"/>
      <c r="BM617" s="448"/>
      <c r="BN617" s="448"/>
    </row>
    <row r="618" spans="1:66" ht="11.25" customHeight="1">
      <c r="A618" s="450"/>
      <c r="B618" s="447"/>
      <c r="C618" s="447"/>
      <c r="D618" s="447"/>
      <c r="E618" s="447"/>
      <c r="F618" s="447"/>
      <c r="G618" s="447"/>
      <c r="H618" s="447"/>
      <c r="I618" s="447"/>
      <c r="J618" s="447"/>
      <c r="K618" s="447"/>
      <c r="L618" s="447"/>
      <c r="M618" s="447"/>
      <c r="N618" s="447"/>
      <c r="O618" s="447"/>
      <c r="P618" s="447"/>
      <c r="Q618" s="447"/>
      <c r="R618" s="447"/>
      <c r="S618" s="447"/>
      <c r="T618" s="447"/>
      <c r="U618" s="447"/>
      <c r="V618" s="447"/>
      <c r="W618" s="447"/>
      <c r="X618" s="447"/>
      <c r="Y618" s="447"/>
      <c r="Z618" s="447"/>
      <c r="AA618" s="447"/>
      <c r="AB618" s="447"/>
      <c r="AC618" s="447"/>
      <c r="AD618" s="447"/>
      <c r="AE618" s="447"/>
      <c r="AF618" s="448"/>
      <c r="AG618" s="448"/>
      <c r="AH618" s="449"/>
      <c r="AI618" s="447"/>
      <c r="AJ618" s="447"/>
      <c r="AK618" s="447"/>
      <c r="AL618" s="447"/>
      <c r="AM618" s="447"/>
      <c r="AN618" s="447"/>
      <c r="AO618" s="447"/>
      <c r="AP618" s="447"/>
      <c r="AQ618" s="447"/>
      <c r="AR618" s="447"/>
      <c r="AS618" s="447"/>
      <c r="AT618" s="447"/>
      <c r="AU618" s="447"/>
      <c r="AV618" s="447"/>
      <c r="AW618" s="447"/>
      <c r="AX618" s="447"/>
      <c r="AY618" s="447"/>
      <c r="AZ618" s="447"/>
      <c r="BA618" s="447"/>
      <c r="BB618" s="447"/>
      <c r="BC618" s="447"/>
      <c r="BD618" s="447"/>
      <c r="BE618" s="447"/>
      <c r="BF618" s="447"/>
      <c r="BG618" s="447"/>
      <c r="BH618" s="447"/>
      <c r="BI618" s="447"/>
      <c r="BJ618" s="447"/>
      <c r="BK618" s="447"/>
      <c r="BL618" s="447"/>
      <c r="BM618" s="448"/>
      <c r="BN618" s="448"/>
    </row>
    <row r="619" spans="1:66" ht="11.25" customHeight="1">
      <c r="A619" s="450"/>
      <c r="B619" s="447"/>
      <c r="C619" s="447"/>
      <c r="D619" s="447"/>
      <c r="E619" s="447"/>
      <c r="F619" s="447"/>
      <c r="G619" s="447"/>
      <c r="H619" s="447"/>
      <c r="I619" s="447"/>
      <c r="J619" s="447"/>
      <c r="K619" s="447"/>
      <c r="L619" s="447"/>
      <c r="M619" s="447"/>
      <c r="N619" s="447"/>
      <c r="O619" s="447"/>
      <c r="P619" s="447"/>
      <c r="Q619" s="447"/>
      <c r="R619" s="447"/>
      <c r="S619" s="447"/>
      <c r="T619" s="447"/>
      <c r="U619" s="447"/>
      <c r="V619" s="447"/>
      <c r="W619" s="447"/>
      <c r="X619" s="447"/>
      <c r="Y619" s="447"/>
      <c r="Z619" s="447"/>
      <c r="AA619" s="447"/>
      <c r="AB619" s="447"/>
      <c r="AC619" s="447"/>
      <c r="AD619" s="447"/>
      <c r="AE619" s="447"/>
      <c r="AF619" s="448"/>
      <c r="AG619" s="448"/>
      <c r="AH619" s="449"/>
      <c r="AI619" s="447"/>
      <c r="AJ619" s="447"/>
      <c r="AK619" s="447"/>
      <c r="AL619" s="447"/>
      <c r="AM619" s="447"/>
      <c r="AN619" s="447"/>
      <c r="AO619" s="447"/>
      <c r="AP619" s="447"/>
      <c r="AQ619" s="447"/>
      <c r="AR619" s="447"/>
      <c r="AS619" s="447"/>
      <c r="AT619" s="447"/>
      <c r="AU619" s="447"/>
      <c r="AV619" s="447"/>
      <c r="AW619" s="447"/>
      <c r="AX619" s="447"/>
      <c r="AY619" s="447"/>
      <c r="AZ619" s="447"/>
      <c r="BA619" s="447"/>
      <c r="BB619" s="447"/>
      <c r="BC619" s="447"/>
      <c r="BD619" s="447"/>
      <c r="BE619" s="447"/>
      <c r="BF619" s="447"/>
      <c r="BG619" s="447"/>
      <c r="BH619" s="447"/>
      <c r="BI619" s="447"/>
      <c r="BJ619" s="447"/>
      <c r="BK619" s="447"/>
      <c r="BL619" s="447"/>
      <c r="BM619" s="448"/>
      <c r="BN619" s="448"/>
    </row>
    <row r="620" spans="1:66" ht="11.25" customHeight="1">
      <c r="A620" s="450"/>
      <c r="B620" s="447"/>
      <c r="C620" s="447"/>
      <c r="D620" s="447"/>
      <c r="E620" s="447"/>
      <c r="F620" s="447"/>
      <c r="G620" s="447"/>
      <c r="H620" s="447"/>
      <c r="I620" s="447"/>
      <c r="J620" s="447"/>
      <c r="K620" s="447"/>
      <c r="L620" s="447"/>
      <c r="M620" s="447"/>
      <c r="N620" s="447"/>
      <c r="O620" s="447"/>
      <c r="P620" s="447"/>
      <c r="Q620" s="447"/>
      <c r="R620" s="447"/>
      <c r="S620" s="447"/>
      <c r="T620" s="447"/>
      <c r="U620" s="447"/>
      <c r="V620" s="447"/>
      <c r="W620" s="447"/>
      <c r="X620" s="447"/>
      <c r="Y620" s="447"/>
      <c r="Z620" s="447"/>
      <c r="AA620" s="447"/>
      <c r="AB620" s="447"/>
      <c r="AC620" s="447"/>
      <c r="AD620" s="447"/>
      <c r="AE620" s="447"/>
      <c r="AF620" s="448"/>
      <c r="AG620" s="448"/>
      <c r="AH620" s="449"/>
      <c r="AI620" s="447"/>
      <c r="AJ620" s="447"/>
      <c r="AK620" s="447"/>
      <c r="AL620" s="447"/>
      <c r="AM620" s="447"/>
      <c r="AN620" s="447"/>
      <c r="AO620" s="447"/>
      <c r="AP620" s="447"/>
      <c r="AQ620" s="447"/>
      <c r="AR620" s="447"/>
      <c r="AS620" s="447"/>
      <c r="AT620" s="447"/>
      <c r="AU620" s="447"/>
      <c r="AV620" s="447"/>
      <c r="AW620" s="447"/>
      <c r="AX620" s="447"/>
      <c r="AY620" s="447"/>
      <c r="AZ620" s="447"/>
      <c r="BA620" s="447"/>
      <c r="BB620" s="447"/>
      <c r="BC620" s="447"/>
      <c r="BD620" s="447"/>
      <c r="BE620" s="447"/>
      <c r="BF620" s="447"/>
      <c r="BG620" s="447"/>
      <c r="BH620" s="447"/>
      <c r="BI620" s="447"/>
      <c r="BJ620" s="447"/>
      <c r="BK620" s="447"/>
      <c r="BL620" s="447"/>
      <c r="BM620" s="448"/>
      <c r="BN620" s="448"/>
    </row>
    <row r="621" spans="1:66" ht="11.25" customHeight="1">
      <c r="A621" s="450"/>
      <c r="B621" s="447"/>
      <c r="C621" s="447"/>
      <c r="D621" s="447"/>
      <c r="E621" s="447"/>
      <c r="F621" s="447"/>
      <c r="G621" s="447"/>
      <c r="H621" s="447"/>
      <c r="I621" s="447"/>
      <c r="J621" s="447"/>
      <c r="K621" s="447"/>
      <c r="L621" s="447"/>
      <c r="M621" s="447"/>
      <c r="N621" s="447"/>
      <c r="O621" s="447"/>
      <c r="P621" s="447"/>
      <c r="Q621" s="447"/>
      <c r="R621" s="447"/>
      <c r="S621" s="447"/>
      <c r="T621" s="447"/>
      <c r="U621" s="447"/>
      <c r="V621" s="447"/>
      <c r="W621" s="447"/>
      <c r="X621" s="447"/>
      <c r="Y621" s="447"/>
      <c r="Z621" s="447"/>
      <c r="AA621" s="447"/>
      <c r="AB621" s="447"/>
      <c r="AC621" s="447"/>
      <c r="AD621" s="447"/>
      <c r="AE621" s="447"/>
      <c r="AF621" s="448"/>
      <c r="AG621" s="448"/>
      <c r="AH621" s="449"/>
      <c r="AI621" s="447"/>
      <c r="AJ621" s="447"/>
      <c r="AK621" s="447"/>
      <c r="AL621" s="447"/>
      <c r="AM621" s="447"/>
      <c r="AN621" s="447"/>
      <c r="AO621" s="447"/>
      <c r="AP621" s="447"/>
      <c r="AQ621" s="447"/>
      <c r="AR621" s="447"/>
      <c r="AS621" s="447"/>
      <c r="AT621" s="447"/>
      <c r="AU621" s="447"/>
      <c r="AV621" s="447"/>
      <c r="AW621" s="447"/>
      <c r="AX621" s="447"/>
      <c r="AY621" s="447"/>
      <c r="AZ621" s="447"/>
      <c r="BA621" s="447"/>
      <c r="BB621" s="447"/>
      <c r="BC621" s="447"/>
      <c r="BD621" s="447"/>
      <c r="BE621" s="447"/>
      <c r="BF621" s="447"/>
      <c r="BG621" s="447"/>
      <c r="BH621" s="447"/>
      <c r="BI621" s="447"/>
      <c r="BJ621" s="447"/>
      <c r="BK621" s="447"/>
      <c r="BL621" s="447"/>
      <c r="BM621" s="448"/>
      <c r="BN621" s="448"/>
    </row>
    <row r="622" spans="1:66" ht="11.25" customHeight="1">
      <c r="A622" s="450"/>
      <c r="B622" s="447"/>
      <c r="C622" s="447"/>
      <c r="D622" s="447"/>
      <c r="E622" s="447"/>
      <c r="F622" s="447"/>
      <c r="G622" s="447"/>
      <c r="H622" s="447"/>
      <c r="I622" s="447"/>
      <c r="J622" s="447"/>
      <c r="K622" s="447"/>
      <c r="L622" s="447"/>
      <c r="M622" s="447"/>
      <c r="N622" s="447"/>
      <c r="O622" s="447"/>
      <c r="P622" s="447"/>
      <c r="Q622" s="447"/>
      <c r="R622" s="447"/>
      <c r="S622" s="447"/>
      <c r="T622" s="447"/>
      <c r="U622" s="447"/>
      <c r="V622" s="447"/>
      <c r="W622" s="447"/>
      <c r="X622" s="447"/>
      <c r="Y622" s="447"/>
      <c r="Z622" s="447"/>
      <c r="AA622" s="447"/>
      <c r="AB622" s="447"/>
      <c r="AC622" s="447"/>
      <c r="AD622" s="447"/>
      <c r="AE622" s="447"/>
      <c r="AF622" s="448"/>
      <c r="AG622" s="448"/>
      <c r="AH622" s="449"/>
      <c r="AI622" s="447"/>
      <c r="AJ622" s="447"/>
      <c r="AK622" s="447"/>
      <c r="AL622" s="447"/>
      <c r="AM622" s="447"/>
      <c r="AN622" s="447"/>
      <c r="AO622" s="447"/>
      <c r="AP622" s="447"/>
      <c r="AQ622" s="447"/>
      <c r="AR622" s="447"/>
      <c r="AS622" s="447"/>
      <c r="AT622" s="447"/>
      <c r="AU622" s="447"/>
      <c r="AV622" s="447"/>
      <c r="AW622" s="447"/>
      <c r="AX622" s="447"/>
      <c r="AY622" s="447"/>
      <c r="AZ622" s="447"/>
      <c r="BA622" s="447"/>
      <c r="BB622" s="447"/>
      <c r="BC622" s="447"/>
      <c r="BD622" s="447"/>
      <c r="BE622" s="447"/>
      <c r="BF622" s="447"/>
      <c r="BG622" s="447"/>
      <c r="BH622" s="447"/>
      <c r="BI622" s="447"/>
      <c r="BJ622" s="447"/>
      <c r="BK622" s="447"/>
      <c r="BL622" s="447"/>
      <c r="BM622" s="448"/>
      <c r="BN622" s="448"/>
    </row>
    <row r="623" spans="1:66" ht="11.25" customHeight="1">
      <c r="A623" s="450"/>
      <c r="B623" s="447"/>
      <c r="C623" s="447"/>
      <c r="D623" s="447"/>
      <c r="E623" s="447"/>
      <c r="F623" s="447"/>
      <c r="G623" s="447"/>
      <c r="H623" s="447"/>
      <c r="I623" s="447"/>
      <c r="J623" s="447"/>
      <c r="K623" s="447"/>
      <c r="L623" s="447"/>
      <c r="M623" s="447"/>
      <c r="N623" s="447"/>
      <c r="O623" s="447"/>
      <c r="P623" s="447"/>
      <c r="Q623" s="447"/>
      <c r="R623" s="447"/>
      <c r="S623" s="447"/>
      <c r="T623" s="447"/>
      <c r="U623" s="447"/>
      <c r="V623" s="447"/>
      <c r="W623" s="447"/>
      <c r="X623" s="447"/>
      <c r="Y623" s="447"/>
      <c r="Z623" s="447"/>
      <c r="AA623" s="447"/>
      <c r="AB623" s="447"/>
      <c r="AC623" s="447"/>
      <c r="AD623" s="447"/>
      <c r="AE623" s="447"/>
      <c r="AF623" s="448"/>
      <c r="AG623" s="448"/>
      <c r="AH623" s="449"/>
      <c r="AI623" s="447"/>
      <c r="AJ623" s="447"/>
      <c r="AK623" s="447"/>
      <c r="AL623" s="447"/>
      <c r="AM623" s="447"/>
      <c r="AN623" s="447"/>
      <c r="AO623" s="447"/>
      <c r="AP623" s="447"/>
      <c r="AQ623" s="447"/>
      <c r="AR623" s="447"/>
      <c r="AS623" s="447"/>
      <c r="AT623" s="447"/>
      <c r="AU623" s="447"/>
      <c r="AV623" s="447"/>
      <c r="AW623" s="447"/>
      <c r="AX623" s="447"/>
      <c r="AY623" s="447"/>
      <c r="AZ623" s="447"/>
      <c r="BA623" s="447"/>
      <c r="BB623" s="447"/>
      <c r="BC623" s="447"/>
      <c r="BD623" s="447"/>
      <c r="BE623" s="447"/>
      <c r="BF623" s="447"/>
      <c r="BG623" s="447"/>
      <c r="BH623" s="447"/>
      <c r="BI623" s="447"/>
      <c r="BJ623" s="447"/>
      <c r="BK623" s="447"/>
      <c r="BL623" s="447"/>
      <c r="BM623" s="448"/>
      <c r="BN623" s="448"/>
    </row>
    <row r="624" spans="1:66" ht="11.25" customHeight="1">
      <c r="A624" s="450"/>
      <c r="B624" s="447"/>
      <c r="C624" s="447"/>
      <c r="D624" s="447"/>
      <c r="E624" s="447"/>
      <c r="F624" s="447"/>
      <c r="G624" s="447"/>
      <c r="H624" s="447"/>
      <c r="I624" s="447"/>
      <c r="J624" s="447"/>
      <c r="K624" s="447"/>
      <c r="L624" s="447"/>
      <c r="M624" s="447"/>
      <c r="N624" s="447"/>
      <c r="O624" s="447"/>
      <c r="P624" s="447"/>
      <c r="Q624" s="447"/>
      <c r="R624" s="447"/>
      <c r="S624" s="447"/>
      <c r="T624" s="447"/>
      <c r="U624" s="447"/>
      <c r="V624" s="447"/>
      <c r="W624" s="447"/>
      <c r="X624" s="447"/>
      <c r="Y624" s="447"/>
      <c r="Z624" s="447"/>
      <c r="AA624" s="447"/>
      <c r="AB624" s="447"/>
      <c r="AC624" s="447"/>
      <c r="AD624" s="447"/>
      <c r="AE624" s="447"/>
      <c r="AF624" s="448"/>
      <c r="AG624" s="448"/>
      <c r="AH624" s="449"/>
      <c r="AI624" s="447"/>
      <c r="AJ624" s="447"/>
      <c r="AK624" s="447"/>
      <c r="AL624" s="447"/>
      <c r="AM624" s="447"/>
      <c r="AN624" s="447"/>
      <c r="AO624" s="447"/>
      <c r="AP624" s="447"/>
      <c r="AQ624" s="447"/>
      <c r="AR624" s="447"/>
      <c r="AS624" s="447"/>
      <c r="AT624" s="447"/>
      <c r="AU624" s="447"/>
      <c r="AV624" s="447"/>
      <c r="AW624" s="447"/>
      <c r="AX624" s="447"/>
      <c r="AY624" s="447"/>
      <c r="AZ624" s="447"/>
      <c r="BA624" s="447"/>
      <c r="BB624" s="447"/>
      <c r="BC624" s="447"/>
      <c r="BD624" s="447"/>
      <c r="BE624" s="447"/>
      <c r="BF624" s="447"/>
      <c r="BG624" s="447"/>
      <c r="BH624" s="447"/>
      <c r="BI624" s="447"/>
      <c r="BJ624" s="447"/>
      <c r="BK624" s="447"/>
      <c r="BL624" s="447"/>
      <c r="BM624" s="448"/>
      <c r="BN624" s="448"/>
    </row>
    <row r="625" spans="1:66" ht="11.25" customHeight="1">
      <c r="A625" s="450"/>
      <c r="B625" s="447"/>
      <c r="C625" s="447"/>
      <c r="D625" s="447"/>
      <c r="E625" s="447"/>
      <c r="F625" s="447"/>
      <c r="G625" s="447"/>
      <c r="H625" s="447"/>
      <c r="I625" s="447"/>
      <c r="J625" s="447"/>
      <c r="K625" s="447"/>
      <c r="L625" s="447"/>
      <c r="M625" s="447"/>
      <c r="N625" s="447"/>
      <c r="O625" s="447"/>
      <c r="P625" s="447"/>
      <c r="Q625" s="447"/>
      <c r="R625" s="447"/>
      <c r="S625" s="447"/>
      <c r="T625" s="447"/>
      <c r="U625" s="447"/>
      <c r="V625" s="447"/>
      <c r="W625" s="447"/>
      <c r="X625" s="447"/>
      <c r="Y625" s="447"/>
      <c r="Z625" s="447"/>
      <c r="AA625" s="447"/>
      <c r="AB625" s="447"/>
      <c r="AC625" s="447"/>
      <c r="AD625" s="447"/>
      <c r="AE625" s="447"/>
      <c r="AF625" s="448"/>
      <c r="AG625" s="448"/>
      <c r="AH625" s="449"/>
      <c r="AI625" s="447"/>
      <c r="AJ625" s="447"/>
      <c r="AK625" s="447"/>
      <c r="AL625" s="447"/>
      <c r="AM625" s="447"/>
      <c r="AN625" s="447"/>
      <c r="AO625" s="447"/>
      <c r="AP625" s="447"/>
      <c r="AQ625" s="447"/>
      <c r="AR625" s="447"/>
      <c r="AS625" s="447"/>
      <c r="AT625" s="447"/>
      <c r="AU625" s="447"/>
      <c r="AV625" s="447"/>
      <c r="AW625" s="447"/>
      <c r="AX625" s="447"/>
      <c r="AY625" s="447"/>
      <c r="AZ625" s="447"/>
      <c r="BA625" s="447"/>
      <c r="BB625" s="447"/>
      <c r="BC625" s="447"/>
      <c r="BD625" s="447"/>
      <c r="BE625" s="447"/>
      <c r="BF625" s="447"/>
      <c r="BG625" s="447"/>
      <c r="BH625" s="447"/>
      <c r="BI625" s="447"/>
      <c r="BJ625" s="447"/>
      <c r="BK625" s="447"/>
      <c r="BL625" s="447"/>
      <c r="BM625" s="448"/>
      <c r="BN625" s="448"/>
    </row>
    <row r="626" spans="1:66" ht="11.25" customHeight="1">
      <c r="A626" s="450"/>
      <c r="B626" s="447"/>
      <c r="C626" s="447"/>
      <c r="D626" s="447"/>
      <c r="E626" s="447"/>
      <c r="F626" s="447"/>
      <c r="G626" s="447"/>
      <c r="H626" s="447"/>
      <c r="I626" s="447"/>
      <c r="J626" s="447"/>
      <c r="K626" s="447"/>
      <c r="L626" s="447"/>
      <c r="M626" s="447"/>
      <c r="N626" s="447"/>
      <c r="O626" s="447"/>
      <c r="P626" s="447"/>
      <c r="Q626" s="447"/>
      <c r="R626" s="447"/>
      <c r="S626" s="447"/>
      <c r="T626" s="447"/>
      <c r="U626" s="447"/>
      <c r="V626" s="447"/>
      <c r="W626" s="447"/>
      <c r="X626" s="447"/>
      <c r="Y626" s="447"/>
      <c r="Z626" s="447"/>
      <c r="AA626" s="447"/>
      <c r="AB626" s="447"/>
      <c r="AC626" s="447"/>
      <c r="AD626" s="447"/>
      <c r="AE626" s="447"/>
      <c r="AF626" s="448"/>
      <c r="AG626" s="448"/>
      <c r="AH626" s="449"/>
      <c r="AI626" s="447"/>
      <c r="AJ626" s="447"/>
      <c r="AK626" s="447"/>
      <c r="AL626" s="447"/>
      <c r="AM626" s="447"/>
      <c r="AN626" s="447"/>
      <c r="AO626" s="447"/>
      <c r="AP626" s="447"/>
      <c r="AQ626" s="447"/>
      <c r="AR626" s="447"/>
      <c r="AS626" s="447"/>
      <c r="AT626" s="447"/>
      <c r="AU626" s="447"/>
      <c r="AV626" s="447"/>
      <c r="AW626" s="447"/>
      <c r="AX626" s="447"/>
      <c r="AY626" s="447"/>
      <c r="AZ626" s="447"/>
      <c r="BA626" s="447"/>
      <c r="BB626" s="447"/>
      <c r="BC626" s="447"/>
      <c r="BD626" s="447"/>
      <c r="BE626" s="447"/>
      <c r="BF626" s="447"/>
      <c r="BG626" s="447"/>
      <c r="BH626" s="447"/>
      <c r="BI626" s="447"/>
      <c r="BJ626" s="447"/>
      <c r="BK626" s="447"/>
      <c r="BL626" s="447"/>
      <c r="BM626" s="448"/>
      <c r="BN626" s="448"/>
    </row>
    <row r="627" spans="1:66" ht="11.25" customHeight="1">
      <c r="A627" s="450"/>
      <c r="B627" s="447"/>
      <c r="C627" s="447"/>
      <c r="D627" s="447"/>
      <c r="E627" s="447"/>
      <c r="F627" s="447"/>
      <c r="G627" s="447"/>
      <c r="H627" s="447"/>
      <c r="I627" s="447"/>
      <c r="J627" s="447"/>
      <c r="K627" s="447"/>
      <c r="L627" s="447"/>
      <c r="M627" s="447"/>
      <c r="N627" s="447"/>
      <c r="O627" s="447"/>
      <c r="P627" s="447"/>
      <c r="Q627" s="447"/>
      <c r="R627" s="447"/>
      <c r="S627" s="447"/>
      <c r="T627" s="447"/>
      <c r="U627" s="447"/>
      <c r="V627" s="447"/>
      <c r="W627" s="447"/>
      <c r="X627" s="447"/>
      <c r="Y627" s="447"/>
      <c r="Z627" s="447"/>
      <c r="AA627" s="447"/>
      <c r="AB627" s="447"/>
      <c r="AC627" s="447"/>
      <c r="AD627" s="447"/>
      <c r="AE627" s="447"/>
      <c r="AF627" s="448"/>
      <c r="AG627" s="448"/>
      <c r="AH627" s="449"/>
      <c r="AI627" s="447"/>
      <c r="AJ627" s="447"/>
      <c r="AK627" s="447"/>
      <c r="AL627" s="447"/>
      <c r="AM627" s="447"/>
      <c r="AN627" s="447"/>
      <c r="AO627" s="447"/>
      <c r="AP627" s="447"/>
      <c r="AQ627" s="447"/>
      <c r="AR627" s="447"/>
      <c r="AS627" s="447"/>
      <c r="AT627" s="447"/>
      <c r="AU627" s="447"/>
      <c r="AV627" s="447"/>
      <c r="AW627" s="447"/>
      <c r="AX627" s="447"/>
      <c r="AY627" s="447"/>
      <c r="AZ627" s="447"/>
      <c r="BA627" s="447"/>
      <c r="BB627" s="447"/>
      <c r="BC627" s="447"/>
      <c r="BD627" s="447"/>
      <c r="BE627" s="447"/>
      <c r="BF627" s="447"/>
      <c r="BG627" s="447"/>
      <c r="BH627" s="447"/>
      <c r="BI627" s="447"/>
      <c r="BJ627" s="447"/>
      <c r="BK627" s="447"/>
      <c r="BL627" s="447"/>
      <c r="BM627" s="448"/>
      <c r="BN627" s="448"/>
    </row>
    <row r="628" spans="1:66" ht="11.25" customHeight="1">
      <c r="A628" s="450"/>
      <c r="B628" s="447"/>
      <c r="C628" s="447"/>
      <c r="D628" s="447"/>
      <c r="E628" s="447"/>
      <c r="F628" s="447"/>
      <c r="G628" s="447"/>
      <c r="H628" s="447"/>
      <c r="I628" s="447"/>
      <c r="J628" s="447"/>
      <c r="K628" s="447"/>
      <c r="L628" s="447"/>
      <c r="M628" s="447"/>
      <c r="N628" s="447"/>
      <c r="O628" s="447"/>
      <c r="P628" s="447"/>
      <c r="Q628" s="447"/>
      <c r="R628" s="447"/>
      <c r="S628" s="447"/>
      <c r="T628" s="447"/>
      <c r="U628" s="447"/>
      <c r="V628" s="447"/>
      <c r="W628" s="447"/>
      <c r="X628" s="447"/>
      <c r="Y628" s="447"/>
      <c r="Z628" s="447"/>
      <c r="AA628" s="447"/>
      <c r="AB628" s="447"/>
      <c r="AC628" s="447"/>
      <c r="AD628" s="447"/>
      <c r="AE628" s="447"/>
      <c r="AF628" s="448"/>
      <c r="AG628" s="448"/>
      <c r="AH628" s="449"/>
      <c r="AI628" s="447"/>
      <c r="AJ628" s="447"/>
      <c r="AK628" s="447"/>
      <c r="AL628" s="447"/>
      <c r="AM628" s="447"/>
      <c r="AN628" s="447"/>
      <c r="AO628" s="447"/>
      <c r="AP628" s="447"/>
      <c r="AQ628" s="447"/>
      <c r="AR628" s="447"/>
      <c r="AS628" s="447"/>
      <c r="AT628" s="447"/>
      <c r="AU628" s="447"/>
      <c r="AV628" s="447"/>
      <c r="AW628" s="447"/>
      <c r="AX628" s="447"/>
      <c r="AY628" s="447"/>
      <c r="AZ628" s="447"/>
      <c r="BA628" s="447"/>
      <c r="BB628" s="447"/>
      <c r="BC628" s="447"/>
      <c r="BD628" s="447"/>
      <c r="BE628" s="447"/>
      <c r="BF628" s="447"/>
      <c r="BG628" s="447"/>
      <c r="BH628" s="447"/>
      <c r="BI628" s="447"/>
      <c r="BJ628" s="447"/>
      <c r="BK628" s="447"/>
      <c r="BL628" s="447"/>
      <c r="BM628" s="448"/>
      <c r="BN628" s="448"/>
    </row>
    <row r="629" spans="1:66" ht="11.25" customHeight="1">
      <c r="A629" s="450"/>
      <c r="B629" s="447"/>
      <c r="C629" s="447"/>
      <c r="D629" s="447"/>
      <c r="E629" s="447"/>
      <c r="F629" s="447"/>
      <c r="G629" s="447"/>
      <c r="H629" s="447"/>
      <c r="I629" s="447"/>
      <c r="J629" s="447"/>
      <c r="K629" s="447"/>
      <c r="L629" s="447"/>
      <c r="M629" s="447"/>
      <c r="N629" s="447"/>
      <c r="O629" s="447"/>
      <c r="P629" s="447"/>
      <c r="Q629" s="447"/>
      <c r="R629" s="447"/>
      <c r="S629" s="447"/>
      <c r="T629" s="447"/>
      <c r="U629" s="447"/>
      <c r="V629" s="447"/>
      <c r="W629" s="447"/>
      <c r="X629" s="447"/>
      <c r="Y629" s="447"/>
      <c r="Z629" s="447"/>
      <c r="AA629" s="447"/>
      <c r="AB629" s="447"/>
      <c r="AC629" s="447"/>
      <c r="AD629" s="447"/>
      <c r="AE629" s="447"/>
      <c r="AF629" s="448"/>
      <c r="AG629" s="448"/>
      <c r="AH629" s="449"/>
      <c r="AI629" s="447"/>
      <c r="AJ629" s="447"/>
      <c r="AK629" s="447"/>
      <c r="AL629" s="447"/>
      <c r="AM629" s="447"/>
      <c r="AN629" s="447"/>
      <c r="AO629" s="447"/>
      <c r="AP629" s="447"/>
      <c r="AQ629" s="447"/>
      <c r="AR629" s="447"/>
      <c r="AS629" s="447"/>
      <c r="AT629" s="447"/>
      <c r="AU629" s="447"/>
      <c r="AV629" s="447"/>
      <c r="AW629" s="447"/>
      <c r="AX629" s="447"/>
      <c r="AY629" s="447"/>
      <c r="AZ629" s="447"/>
      <c r="BA629" s="447"/>
      <c r="BB629" s="447"/>
      <c r="BC629" s="447"/>
      <c r="BD629" s="447"/>
      <c r="BE629" s="447"/>
      <c r="BF629" s="447"/>
      <c r="BG629" s="447"/>
      <c r="BH629" s="447"/>
      <c r="BI629" s="447"/>
      <c r="BJ629" s="447"/>
      <c r="BK629" s="447"/>
      <c r="BL629" s="447"/>
      <c r="BM629" s="448"/>
      <c r="BN629" s="448"/>
    </row>
    <row r="630" spans="1:66" ht="11.25" customHeight="1">
      <c r="A630" s="450"/>
      <c r="B630" s="447"/>
      <c r="C630" s="447"/>
      <c r="D630" s="447"/>
      <c r="E630" s="447"/>
      <c r="F630" s="447"/>
      <c r="G630" s="447"/>
      <c r="H630" s="447"/>
      <c r="I630" s="447"/>
      <c r="J630" s="447"/>
      <c r="K630" s="447"/>
      <c r="L630" s="447"/>
      <c r="M630" s="447"/>
      <c r="N630" s="447"/>
      <c r="O630" s="447"/>
      <c r="P630" s="447"/>
      <c r="Q630" s="447"/>
      <c r="R630" s="447"/>
      <c r="S630" s="447"/>
      <c r="T630" s="447"/>
      <c r="U630" s="447"/>
      <c r="V630" s="447"/>
      <c r="W630" s="447"/>
      <c r="X630" s="447"/>
      <c r="Y630" s="447"/>
      <c r="Z630" s="447"/>
      <c r="AA630" s="447"/>
      <c r="AB630" s="447"/>
      <c r="AC630" s="447"/>
      <c r="AD630" s="447"/>
      <c r="AE630" s="447"/>
      <c r="AF630" s="448"/>
      <c r="AG630" s="448"/>
      <c r="AH630" s="449"/>
      <c r="AI630" s="447"/>
      <c r="AJ630" s="447"/>
      <c r="AK630" s="447"/>
      <c r="AL630" s="447"/>
      <c r="AM630" s="447"/>
      <c r="AN630" s="447"/>
      <c r="AO630" s="447"/>
      <c r="AP630" s="447"/>
      <c r="AQ630" s="447"/>
      <c r="AR630" s="447"/>
      <c r="AS630" s="447"/>
      <c r="AT630" s="447"/>
      <c r="AU630" s="447"/>
      <c r="AV630" s="447"/>
      <c r="AW630" s="447"/>
      <c r="AX630" s="447"/>
      <c r="AY630" s="447"/>
      <c r="AZ630" s="447"/>
      <c r="BA630" s="447"/>
      <c r="BB630" s="447"/>
      <c r="BC630" s="447"/>
      <c r="BD630" s="447"/>
      <c r="BE630" s="447"/>
      <c r="BF630" s="447"/>
      <c r="BG630" s="447"/>
      <c r="BH630" s="447"/>
      <c r="BI630" s="447"/>
      <c r="BJ630" s="447"/>
      <c r="BK630" s="447"/>
      <c r="BL630" s="447"/>
      <c r="BM630" s="448"/>
      <c r="BN630" s="448"/>
    </row>
    <row r="631" spans="1:66" ht="11.25" customHeight="1">
      <c r="A631" s="450"/>
      <c r="B631" s="447"/>
      <c r="C631" s="447"/>
      <c r="D631" s="447"/>
      <c r="E631" s="447"/>
      <c r="F631" s="447"/>
      <c r="G631" s="447"/>
      <c r="H631" s="447"/>
      <c r="I631" s="447"/>
      <c r="J631" s="447"/>
      <c r="K631" s="447"/>
      <c r="L631" s="447"/>
      <c r="M631" s="447"/>
      <c r="N631" s="447"/>
      <c r="O631" s="447"/>
      <c r="P631" s="447"/>
      <c r="Q631" s="447"/>
      <c r="R631" s="447"/>
      <c r="S631" s="447"/>
      <c r="T631" s="447"/>
      <c r="U631" s="447"/>
      <c r="V631" s="447"/>
      <c r="W631" s="447"/>
      <c r="X631" s="447"/>
      <c r="Y631" s="447"/>
      <c r="Z631" s="447"/>
      <c r="AA631" s="447"/>
      <c r="AB631" s="447"/>
      <c r="AC631" s="447"/>
      <c r="AD631" s="447"/>
      <c r="AE631" s="447"/>
      <c r="AF631" s="448"/>
      <c r="AG631" s="448"/>
      <c r="AH631" s="449"/>
      <c r="AI631" s="447"/>
      <c r="AJ631" s="447"/>
      <c r="AK631" s="447"/>
      <c r="AL631" s="447"/>
      <c r="AM631" s="447"/>
      <c r="AN631" s="447"/>
      <c r="AO631" s="447"/>
      <c r="AP631" s="447"/>
      <c r="AQ631" s="447"/>
      <c r="AR631" s="447"/>
      <c r="AS631" s="447"/>
      <c r="AT631" s="447"/>
      <c r="AU631" s="447"/>
      <c r="AV631" s="447"/>
      <c r="AW631" s="447"/>
      <c r="AX631" s="447"/>
      <c r="AY631" s="447"/>
      <c r="AZ631" s="447"/>
      <c r="BA631" s="447"/>
      <c r="BB631" s="447"/>
      <c r="BC631" s="447"/>
      <c r="BD631" s="447"/>
      <c r="BE631" s="447"/>
      <c r="BF631" s="447"/>
      <c r="BG631" s="447"/>
      <c r="BH631" s="447"/>
      <c r="BI631" s="447"/>
      <c r="BJ631" s="447"/>
      <c r="BK631" s="447"/>
      <c r="BL631" s="447"/>
      <c r="BM631" s="448"/>
      <c r="BN631" s="448"/>
    </row>
    <row r="632" spans="1:66" ht="11.25" customHeight="1">
      <c r="A632" s="450"/>
      <c r="B632" s="447"/>
      <c r="C632" s="447"/>
      <c r="D632" s="447"/>
      <c r="E632" s="447"/>
      <c r="F632" s="447"/>
      <c r="G632" s="447"/>
      <c r="H632" s="447"/>
      <c r="I632" s="447"/>
      <c r="J632" s="447"/>
      <c r="K632" s="447"/>
      <c r="L632" s="447"/>
      <c r="M632" s="447"/>
      <c r="N632" s="447"/>
      <c r="O632" s="447"/>
      <c r="P632" s="447"/>
      <c r="Q632" s="447"/>
      <c r="R632" s="447"/>
      <c r="S632" s="447"/>
      <c r="T632" s="447"/>
      <c r="U632" s="447"/>
      <c r="V632" s="447"/>
      <c r="W632" s="447"/>
      <c r="X632" s="447"/>
      <c r="Y632" s="447"/>
      <c r="Z632" s="447"/>
      <c r="AA632" s="447"/>
      <c r="AB632" s="447"/>
      <c r="AC632" s="447"/>
      <c r="AD632" s="447"/>
      <c r="AE632" s="447"/>
      <c r="AF632" s="448"/>
      <c r="AG632" s="448"/>
      <c r="AH632" s="449"/>
      <c r="AI632" s="447"/>
      <c r="AJ632" s="447"/>
      <c r="AK632" s="447"/>
      <c r="AL632" s="447"/>
      <c r="AM632" s="447"/>
      <c r="AN632" s="447"/>
      <c r="AO632" s="447"/>
      <c r="AP632" s="447"/>
      <c r="AQ632" s="447"/>
      <c r="AR632" s="447"/>
      <c r="AS632" s="447"/>
      <c r="AT632" s="447"/>
      <c r="AU632" s="447"/>
      <c r="AV632" s="447"/>
      <c r="AW632" s="447"/>
      <c r="AX632" s="447"/>
      <c r="AY632" s="447"/>
      <c r="AZ632" s="447"/>
      <c r="BA632" s="447"/>
      <c r="BB632" s="447"/>
      <c r="BC632" s="447"/>
      <c r="BD632" s="447"/>
      <c r="BE632" s="447"/>
      <c r="BF632" s="447"/>
      <c r="BG632" s="447"/>
      <c r="BH632" s="447"/>
      <c r="BI632" s="447"/>
      <c r="BJ632" s="447"/>
      <c r="BK632" s="447"/>
      <c r="BL632" s="447"/>
      <c r="BM632" s="448"/>
      <c r="BN632" s="448"/>
    </row>
    <row r="633" spans="1:66" ht="11.25" customHeight="1">
      <c r="A633" s="450"/>
      <c r="B633" s="447"/>
      <c r="C633" s="447"/>
      <c r="D633" s="447"/>
      <c r="E633" s="447"/>
      <c r="F633" s="447"/>
      <c r="G633" s="447"/>
      <c r="H633" s="447"/>
      <c r="I633" s="447"/>
      <c r="J633" s="447"/>
      <c r="K633" s="447"/>
      <c r="L633" s="447"/>
      <c r="M633" s="447"/>
      <c r="N633" s="447"/>
      <c r="O633" s="447"/>
      <c r="P633" s="447"/>
      <c r="Q633" s="447"/>
      <c r="R633" s="447"/>
      <c r="S633" s="447"/>
      <c r="T633" s="447"/>
      <c r="U633" s="447"/>
      <c r="V633" s="447"/>
      <c r="W633" s="447"/>
      <c r="X633" s="447"/>
      <c r="Y633" s="447"/>
      <c r="Z633" s="447"/>
      <c r="AA633" s="447"/>
      <c r="AB633" s="447"/>
      <c r="AC633" s="447"/>
      <c r="AD633" s="447"/>
      <c r="AE633" s="447"/>
      <c r="AF633" s="448"/>
      <c r="AG633" s="448"/>
      <c r="AH633" s="449"/>
      <c r="AI633" s="447"/>
      <c r="AJ633" s="447"/>
      <c r="AK633" s="447"/>
      <c r="AL633" s="447"/>
      <c r="AM633" s="447"/>
      <c r="AN633" s="447"/>
      <c r="AO633" s="447"/>
      <c r="AP633" s="447"/>
      <c r="AQ633" s="447"/>
      <c r="AR633" s="447"/>
      <c r="AS633" s="447"/>
      <c r="AT633" s="447"/>
      <c r="AU633" s="447"/>
      <c r="AV633" s="447"/>
      <c r="AW633" s="447"/>
      <c r="AX633" s="447"/>
      <c r="AY633" s="447"/>
      <c r="AZ633" s="447"/>
      <c r="BA633" s="447"/>
      <c r="BB633" s="447"/>
      <c r="BC633" s="447"/>
      <c r="BD633" s="447"/>
      <c r="BE633" s="447"/>
      <c r="BF633" s="447"/>
      <c r="BG633" s="447"/>
      <c r="BH633" s="447"/>
      <c r="BI633" s="447"/>
      <c r="BJ633" s="447"/>
      <c r="BK633" s="447"/>
      <c r="BL633" s="447"/>
      <c r="BM633" s="448"/>
      <c r="BN633" s="448"/>
    </row>
    <row r="634" spans="1:66" ht="11.25" customHeight="1">
      <c r="A634" s="450"/>
      <c r="B634" s="447"/>
      <c r="C634" s="447"/>
      <c r="D634" s="447"/>
      <c r="E634" s="447"/>
      <c r="F634" s="447"/>
      <c r="G634" s="447"/>
      <c r="H634" s="447"/>
      <c r="I634" s="447"/>
      <c r="J634" s="447"/>
      <c r="K634" s="447"/>
      <c r="L634" s="447"/>
      <c r="M634" s="447"/>
      <c r="N634" s="447"/>
      <c r="O634" s="447"/>
      <c r="P634" s="447"/>
      <c r="Q634" s="447"/>
      <c r="R634" s="447"/>
      <c r="S634" s="447"/>
      <c r="T634" s="447"/>
      <c r="U634" s="447"/>
      <c r="V634" s="447"/>
      <c r="W634" s="447"/>
      <c r="X634" s="447"/>
      <c r="Y634" s="447"/>
      <c r="Z634" s="447"/>
      <c r="AA634" s="447"/>
      <c r="AB634" s="447"/>
      <c r="AC634" s="447"/>
      <c r="AD634" s="447"/>
      <c r="AE634" s="447"/>
      <c r="AF634" s="448"/>
      <c r="AG634" s="448"/>
      <c r="AH634" s="449"/>
      <c r="AI634" s="447"/>
      <c r="AJ634" s="447"/>
      <c r="AK634" s="447"/>
      <c r="AL634" s="447"/>
      <c r="AM634" s="447"/>
      <c r="AN634" s="447"/>
      <c r="AO634" s="447"/>
      <c r="AP634" s="447"/>
      <c r="AQ634" s="447"/>
      <c r="AR634" s="447"/>
      <c r="AS634" s="447"/>
      <c r="AT634" s="447"/>
      <c r="AU634" s="447"/>
      <c r="AV634" s="447"/>
      <c r="AW634" s="447"/>
      <c r="AX634" s="447"/>
      <c r="AY634" s="447"/>
      <c r="AZ634" s="447"/>
      <c r="BA634" s="447"/>
      <c r="BB634" s="447"/>
      <c r="BC634" s="447"/>
      <c r="BD634" s="447"/>
      <c r="BE634" s="447"/>
      <c r="BF634" s="447"/>
      <c r="BG634" s="447"/>
      <c r="BH634" s="447"/>
      <c r="BI634" s="447"/>
      <c r="BJ634" s="447"/>
      <c r="BK634" s="447"/>
      <c r="BL634" s="447"/>
      <c r="BM634" s="448"/>
      <c r="BN634" s="448"/>
    </row>
    <row r="635" spans="1:66" ht="11.25" customHeight="1">
      <c r="A635" s="450"/>
      <c r="B635" s="447"/>
      <c r="C635" s="447"/>
      <c r="D635" s="447"/>
      <c r="E635" s="447"/>
      <c r="F635" s="447"/>
      <c r="G635" s="447"/>
      <c r="H635" s="447"/>
      <c r="I635" s="447"/>
      <c r="J635" s="447"/>
      <c r="K635" s="447"/>
      <c r="L635" s="447"/>
      <c r="M635" s="447"/>
      <c r="N635" s="447"/>
      <c r="O635" s="447"/>
      <c r="P635" s="447"/>
      <c r="Q635" s="447"/>
      <c r="R635" s="447"/>
      <c r="S635" s="447"/>
      <c r="T635" s="447"/>
      <c r="U635" s="447"/>
      <c r="V635" s="447"/>
      <c r="W635" s="447"/>
      <c r="X635" s="447"/>
      <c r="Y635" s="447"/>
      <c r="Z635" s="447"/>
      <c r="AA635" s="447"/>
      <c r="AB635" s="447"/>
      <c r="AC635" s="447"/>
      <c r="AD635" s="447"/>
      <c r="AE635" s="447"/>
      <c r="AF635" s="448"/>
      <c r="AG635" s="448"/>
      <c r="AH635" s="449"/>
      <c r="AI635" s="447"/>
      <c r="AJ635" s="447"/>
      <c r="AK635" s="447"/>
      <c r="AL635" s="447"/>
      <c r="AM635" s="447"/>
      <c r="AN635" s="447"/>
      <c r="AO635" s="447"/>
      <c r="AP635" s="447"/>
      <c r="AQ635" s="447"/>
      <c r="AR635" s="447"/>
      <c r="AS635" s="447"/>
      <c r="AT635" s="447"/>
      <c r="AU635" s="447"/>
      <c r="AV635" s="447"/>
      <c r="AW635" s="447"/>
      <c r="AX635" s="447"/>
      <c r="AY635" s="447"/>
      <c r="AZ635" s="447"/>
      <c r="BA635" s="447"/>
      <c r="BB635" s="447"/>
      <c r="BC635" s="447"/>
      <c r="BD635" s="447"/>
      <c r="BE635" s="447"/>
      <c r="BF635" s="447"/>
      <c r="BG635" s="447"/>
      <c r="BH635" s="447"/>
      <c r="BI635" s="447"/>
      <c r="BJ635" s="447"/>
      <c r="BK635" s="447"/>
      <c r="BL635" s="447"/>
      <c r="BM635" s="448"/>
      <c r="BN635" s="448"/>
    </row>
    <row r="636" spans="1:66" ht="11.25" customHeight="1">
      <c r="A636" s="450"/>
      <c r="B636" s="447"/>
      <c r="C636" s="447"/>
      <c r="D636" s="447"/>
      <c r="E636" s="447"/>
      <c r="F636" s="447"/>
      <c r="G636" s="447"/>
      <c r="H636" s="447"/>
      <c r="I636" s="447"/>
      <c r="J636" s="447"/>
      <c r="K636" s="447"/>
      <c r="L636" s="447"/>
      <c r="M636" s="447"/>
      <c r="N636" s="447"/>
      <c r="O636" s="447"/>
      <c r="P636" s="447"/>
      <c r="Q636" s="447"/>
      <c r="R636" s="447"/>
      <c r="S636" s="447"/>
      <c r="T636" s="447"/>
      <c r="U636" s="447"/>
      <c r="V636" s="447"/>
      <c r="W636" s="447"/>
      <c r="X636" s="447"/>
      <c r="Y636" s="447"/>
      <c r="Z636" s="447"/>
      <c r="AA636" s="447"/>
      <c r="AB636" s="447"/>
      <c r="AC636" s="447"/>
      <c r="AD636" s="447"/>
      <c r="AE636" s="447"/>
      <c r="AF636" s="448"/>
      <c r="AG636" s="448"/>
      <c r="AH636" s="449"/>
      <c r="AI636" s="447"/>
      <c r="AJ636" s="447"/>
      <c r="AK636" s="447"/>
      <c r="AL636" s="447"/>
      <c r="AM636" s="447"/>
      <c r="AN636" s="447"/>
      <c r="AO636" s="447"/>
      <c r="AP636" s="447"/>
      <c r="AQ636" s="447"/>
      <c r="AR636" s="447"/>
      <c r="AS636" s="447"/>
      <c r="AT636" s="447"/>
      <c r="AU636" s="447"/>
      <c r="AV636" s="447"/>
      <c r="AW636" s="447"/>
      <c r="AX636" s="447"/>
      <c r="AY636" s="447"/>
      <c r="AZ636" s="447"/>
      <c r="BA636" s="447"/>
      <c r="BB636" s="447"/>
      <c r="BC636" s="447"/>
      <c r="BD636" s="447"/>
      <c r="BE636" s="447"/>
      <c r="BF636" s="447"/>
      <c r="BG636" s="447"/>
      <c r="BH636" s="447"/>
      <c r="BI636" s="447"/>
      <c r="BJ636" s="447"/>
      <c r="BK636" s="447"/>
      <c r="BL636" s="447"/>
      <c r="BM636" s="448"/>
      <c r="BN636" s="448"/>
    </row>
    <row r="637" spans="1:66" ht="11.25" customHeight="1">
      <c r="A637" s="450"/>
      <c r="B637" s="447"/>
      <c r="C637" s="447"/>
      <c r="D637" s="447"/>
      <c r="E637" s="447"/>
      <c r="F637" s="447"/>
      <c r="G637" s="447"/>
      <c r="H637" s="447"/>
      <c r="I637" s="447"/>
      <c r="J637" s="447"/>
      <c r="K637" s="447"/>
      <c r="L637" s="447"/>
      <c r="M637" s="447"/>
      <c r="N637" s="447"/>
      <c r="O637" s="447"/>
      <c r="P637" s="447"/>
      <c r="Q637" s="447"/>
      <c r="R637" s="447"/>
      <c r="S637" s="447"/>
      <c r="T637" s="447"/>
      <c r="U637" s="447"/>
      <c r="V637" s="447"/>
      <c r="W637" s="447"/>
      <c r="X637" s="447"/>
      <c r="Y637" s="447"/>
      <c r="Z637" s="447"/>
      <c r="AA637" s="447"/>
      <c r="AB637" s="447"/>
      <c r="AC637" s="447"/>
      <c r="AD637" s="447"/>
      <c r="AE637" s="447"/>
      <c r="AF637" s="448"/>
      <c r="AG637" s="448"/>
      <c r="AH637" s="449"/>
      <c r="AI637" s="447"/>
      <c r="AJ637" s="447"/>
      <c r="AK637" s="447"/>
      <c r="AL637" s="447"/>
      <c r="AM637" s="447"/>
      <c r="AN637" s="447"/>
      <c r="AO637" s="447"/>
      <c r="AP637" s="447"/>
      <c r="AQ637" s="447"/>
      <c r="AR637" s="447"/>
      <c r="AS637" s="447"/>
      <c r="AT637" s="447"/>
      <c r="AU637" s="447"/>
      <c r="AV637" s="447"/>
      <c r="AW637" s="447"/>
      <c r="AX637" s="447"/>
      <c r="AY637" s="447"/>
      <c r="AZ637" s="447"/>
      <c r="BA637" s="447"/>
      <c r="BB637" s="447"/>
      <c r="BC637" s="447"/>
      <c r="BD637" s="447"/>
      <c r="BE637" s="447"/>
      <c r="BF637" s="447"/>
      <c r="BG637" s="447"/>
      <c r="BH637" s="447"/>
      <c r="BI637" s="447"/>
      <c r="BJ637" s="447"/>
      <c r="BK637" s="447"/>
      <c r="BL637" s="447"/>
      <c r="BM637" s="448"/>
      <c r="BN637" s="448"/>
    </row>
    <row r="638" spans="1:66" ht="11.25" customHeight="1">
      <c r="A638" s="450"/>
      <c r="B638" s="447"/>
      <c r="C638" s="447"/>
      <c r="D638" s="447"/>
      <c r="E638" s="447"/>
      <c r="F638" s="447"/>
      <c r="G638" s="447"/>
      <c r="H638" s="447"/>
      <c r="I638" s="447"/>
      <c r="J638" s="447"/>
      <c r="K638" s="447"/>
      <c r="L638" s="447"/>
      <c r="M638" s="447"/>
      <c r="N638" s="447"/>
      <c r="O638" s="447"/>
      <c r="P638" s="447"/>
      <c r="Q638" s="447"/>
      <c r="R638" s="447"/>
      <c r="S638" s="447"/>
      <c r="T638" s="447"/>
      <c r="U638" s="447"/>
      <c r="V638" s="447"/>
      <c r="W638" s="447"/>
      <c r="X638" s="447"/>
      <c r="Y638" s="447"/>
      <c r="Z638" s="447"/>
      <c r="AA638" s="447"/>
      <c r="AB638" s="447"/>
      <c r="AC638" s="447"/>
      <c r="AD638" s="447"/>
      <c r="AE638" s="447"/>
      <c r="AF638" s="448"/>
      <c r="AG638" s="448"/>
      <c r="AH638" s="449"/>
      <c r="AI638" s="447"/>
      <c r="AJ638" s="447"/>
      <c r="AK638" s="447"/>
      <c r="AL638" s="447"/>
      <c r="AM638" s="447"/>
      <c r="AN638" s="447"/>
      <c r="AO638" s="447"/>
      <c r="AP638" s="447"/>
      <c r="AQ638" s="447"/>
      <c r="AR638" s="447"/>
      <c r="AS638" s="447"/>
      <c r="AT638" s="447"/>
      <c r="AU638" s="447"/>
      <c r="AV638" s="447"/>
      <c r="AW638" s="447"/>
      <c r="AX638" s="447"/>
      <c r="AY638" s="447"/>
      <c r="AZ638" s="447"/>
      <c r="BA638" s="447"/>
      <c r="BB638" s="447"/>
      <c r="BC638" s="447"/>
      <c r="BD638" s="447"/>
      <c r="BE638" s="447"/>
      <c r="BF638" s="447"/>
      <c r="BG638" s="447"/>
      <c r="BH638" s="447"/>
      <c r="BI638" s="447"/>
      <c r="BJ638" s="447"/>
      <c r="BK638" s="447"/>
      <c r="BL638" s="447"/>
      <c r="BM638" s="448"/>
      <c r="BN638" s="448"/>
    </row>
    <row r="639" spans="1:66" ht="11.25" customHeight="1">
      <c r="A639" s="450"/>
      <c r="B639" s="447"/>
      <c r="C639" s="447"/>
      <c r="D639" s="447"/>
      <c r="E639" s="447"/>
      <c r="F639" s="447"/>
      <c r="G639" s="447"/>
      <c r="H639" s="447"/>
      <c r="I639" s="447"/>
      <c r="J639" s="447"/>
      <c r="K639" s="447"/>
      <c r="L639" s="447"/>
      <c r="M639" s="447"/>
      <c r="N639" s="447"/>
      <c r="O639" s="447"/>
      <c r="P639" s="447"/>
      <c r="Q639" s="447"/>
      <c r="R639" s="447"/>
      <c r="S639" s="447"/>
      <c r="T639" s="447"/>
      <c r="U639" s="447"/>
      <c r="V639" s="447"/>
      <c r="W639" s="447"/>
      <c r="X639" s="447"/>
      <c r="Y639" s="447"/>
      <c r="Z639" s="447"/>
      <c r="AA639" s="447"/>
      <c r="AB639" s="447"/>
      <c r="AC639" s="447"/>
      <c r="AD639" s="447"/>
      <c r="AE639" s="447"/>
      <c r="AF639" s="448"/>
      <c r="AG639" s="448"/>
      <c r="AH639" s="449"/>
      <c r="AI639" s="447"/>
      <c r="AJ639" s="447"/>
      <c r="AK639" s="447"/>
      <c r="AL639" s="447"/>
      <c r="AM639" s="447"/>
      <c r="AN639" s="447"/>
      <c r="AO639" s="447"/>
      <c r="AP639" s="447"/>
      <c r="AQ639" s="447"/>
      <c r="AR639" s="447"/>
      <c r="AS639" s="447"/>
      <c r="AT639" s="447"/>
      <c r="AU639" s="447"/>
      <c r="AV639" s="447"/>
      <c r="AW639" s="447"/>
      <c r="AX639" s="447"/>
      <c r="AY639" s="447"/>
      <c r="AZ639" s="447"/>
      <c r="BA639" s="447"/>
      <c r="BB639" s="447"/>
      <c r="BC639" s="447"/>
      <c r="BD639" s="447"/>
      <c r="BE639" s="447"/>
      <c r="BF639" s="447"/>
      <c r="BG639" s="447"/>
      <c r="BH639" s="447"/>
      <c r="BI639" s="447"/>
      <c r="BJ639" s="447"/>
      <c r="BK639" s="447"/>
      <c r="BL639" s="447"/>
      <c r="BM639" s="448"/>
      <c r="BN639" s="448"/>
    </row>
    <row r="640" spans="1:66" ht="11.25" customHeight="1">
      <c r="A640" s="450"/>
      <c r="B640" s="447"/>
      <c r="C640" s="447"/>
      <c r="D640" s="447"/>
      <c r="E640" s="447"/>
      <c r="F640" s="447"/>
      <c r="G640" s="447"/>
      <c r="H640" s="447"/>
      <c r="I640" s="447"/>
      <c r="J640" s="447"/>
      <c r="K640" s="447"/>
      <c r="L640" s="447"/>
      <c r="M640" s="447"/>
      <c r="N640" s="447"/>
      <c r="O640" s="447"/>
      <c r="P640" s="447"/>
      <c r="Q640" s="447"/>
      <c r="R640" s="447"/>
      <c r="S640" s="447"/>
      <c r="T640" s="447"/>
      <c r="U640" s="447"/>
      <c r="V640" s="447"/>
      <c r="W640" s="447"/>
      <c r="X640" s="447"/>
      <c r="Y640" s="447"/>
      <c r="Z640" s="447"/>
      <c r="AA640" s="447"/>
      <c r="AB640" s="447"/>
      <c r="AC640" s="447"/>
      <c r="AD640" s="447"/>
      <c r="AE640" s="447"/>
      <c r="AF640" s="448"/>
      <c r="AG640" s="448"/>
      <c r="AH640" s="449"/>
      <c r="AI640" s="447"/>
      <c r="AJ640" s="447"/>
      <c r="AK640" s="447"/>
      <c r="AL640" s="447"/>
      <c r="AM640" s="447"/>
      <c r="AN640" s="447"/>
      <c r="AO640" s="447"/>
      <c r="AP640" s="447"/>
      <c r="AQ640" s="447"/>
      <c r="AR640" s="447"/>
      <c r="AS640" s="447"/>
      <c r="AT640" s="447"/>
      <c r="AU640" s="447"/>
      <c r="AV640" s="447"/>
      <c r="AW640" s="447"/>
      <c r="AX640" s="447"/>
      <c r="AY640" s="447"/>
      <c r="AZ640" s="447"/>
      <c r="BA640" s="447"/>
      <c r="BB640" s="447"/>
      <c r="BC640" s="447"/>
      <c r="BD640" s="447"/>
      <c r="BE640" s="447"/>
      <c r="BF640" s="447"/>
      <c r="BG640" s="447"/>
      <c r="BH640" s="447"/>
      <c r="BI640" s="447"/>
      <c r="BJ640" s="447"/>
      <c r="BK640" s="447"/>
      <c r="BL640" s="447"/>
      <c r="BM640" s="448"/>
      <c r="BN640" s="448"/>
    </row>
    <row r="641" spans="1:66" ht="11.25" customHeight="1">
      <c r="A641" s="450"/>
      <c r="B641" s="447"/>
      <c r="C641" s="447"/>
      <c r="D641" s="447"/>
      <c r="E641" s="447"/>
      <c r="F641" s="447"/>
      <c r="G641" s="447"/>
      <c r="H641" s="447"/>
      <c r="I641" s="447"/>
      <c r="J641" s="447"/>
      <c r="K641" s="447"/>
      <c r="L641" s="447"/>
      <c r="M641" s="447"/>
      <c r="N641" s="447"/>
      <c r="O641" s="447"/>
      <c r="P641" s="447"/>
      <c r="Q641" s="447"/>
      <c r="R641" s="447"/>
      <c r="S641" s="447"/>
      <c r="T641" s="447"/>
      <c r="U641" s="447"/>
      <c r="V641" s="447"/>
      <c r="W641" s="447"/>
      <c r="X641" s="447"/>
      <c r="Y641" s="447"/>
      <c r="Z641" s="447"/>
      <c r="AA641" s="447"/>
      <c r="AB641" s="447"/>
      <c r="AC641" s="447"/>
      <c r="AD641" s="447"/>
      <c r="AE641" s="447"/>
      <c r="AF641" s="448"/>
      <c r="AG641" s="448"/>
      <c r="AH641" s="449"/>
      <c r="AI641" s="447"/>
      <c r="AJ641" s="447"/>
      <c r="AK641" s="447"/>
      <c r="AL641" s="447"/>
      <c r="AM641" s="447"/>
      <c r="AN641" s="447"/>
      <c r="AO641" s="447"/>
      <c r="AP641" s="447"/>
      <c r="AQ641" s="447"/>
      <c r="AR641" s="447"/>
      <c r="AS641" s="447"/>
      <c r="AT641" s="447"/>
      <c r="AU641" s="447"/>
      <c r="AV641" s="447"/>
      <c r="AW641" s="447"/>
      <c r="AX641" s="447"/>
      <c r="AY641" s="447"/>
      <c r="AZ641" s="447"/>
      <c r="BA641" s="447"/>
      <c r="BB641" s="447"/>
      <c r="BC641" s="447"/>
      <c r="BD641" s="447"/>
      <c r="BE641" s="447"/>
      <c r="BF641" s="447"/>
      <c r="BG641" s="447"/>
      <c r="BH641" s="447"/>
      <c r="BI641" s="447"/>
      <c r="BJ641" s="447"/>
      <c r="BK641" s="447"/>
      <c r="BL641" s="447"/>
      <c r="BM641" s="448"/>
      <c r="BN641" s="448"/>
    </row>
    <row r="642" spans="1:66" ht="11.25" customHeight="1">
      <c r="A642" s="450"/>
      <c r="B642" s="447"/>
      <c r="C642" s="447"/>
      <c r="D642" s="447"/>
      <c r="E642" s="447"/>
      <c r="F642" s="447"/>
      <c r="G642" s="447"/>
      <c r="H642" s="447"/>
      <c r="I642" s="447"/>
      <c r="J642" s="447"/>
      <c r="K642" s="447"/>
      <c r="L642" s="447"/>
      <c r="M642" s="447"/>
      <c r="N642" s="447"/>
      <c r="O642" s="447"/>
      <c r="P642" s="447"/>
      <c r="Q642" s="447"/>
      <c r="R642" s="447"/>
      <c r="S642" s="447"/>
      <c r="T642" s="447"/>
      <c r="U642" s="447"/>
      <c r="V642" s="447"/>
      <c r="W642" s="447"/>
      <c r="X642" s="447"/>
      <c r="Y642" s="447"/>
      <c r="Z642" s="447"/>
      <c r="AA642" s="447"/>
      <c r="AB642" s="447"/>
      <c r="AC642" s="447"/>
      <c r="AD642" s="447"/>
      <c r="AE642" s="447"/>
      <c r="AF642" s="448"/>
      <c r="AG642" s="448"/>
      <c r="AH642" s="449"/>
      <c r="AI642" s="447"/>
      <c r="AJ642" s="447"/>
      <c r="AK642" s="447"/>
      <c r="AL642" s="447"/>
      <c r="AM642" s="447"/>
      <c r="AN642" s="447"/>
      <c r="AO642" s="447"/>
      <c r="AP642" s="447"/>
      <c r="AQ642" s="447"/>
      <c r="AR642" s="447"/>
      <c r="AS642" s="447"/>
      <c r="AT642" s="447"/>
      <c r="AU642" s="447"/>
      <c r="AV642" s="447"/>
      <c r="AW642" s="447"/>
      <c r="AX642" s="447"/>
      <c r="AY642" s="447"/>
      <c r="AZ642" s="447"/>
      <c r="BA642" s="447"/>
      <c r="BB642" s="447"/>
      <c r="BC642" s="447"/>
      <c r="BD642" s="447"/>
      <c r="BE642" s="447"/>
      <c r="BF642" s="447"/>
      <c r="BG642" s="447"/>
      <c r="BH642" s="447"/>
      <c r="BI642" s="447"/>
      <c r="BJ642" s="447"/>
      <c r="BK642" s="447"/>
      <c r="BL642" s="447"/>
      <c r="BM642" s="448"/>
      <c r="BN642" s="448"/>
    </row>
    <row r="643" spans="1:66" ht="11.25" customHeight="1">
      <c r="A643" s="450"/>
      <c r="B643" s="447"/>
      <c r="C643" s="447"/>
      <c r="D643" s="447"/>
      <c r="E643" s="447"/>
      <c r="F643" s="447"/>
      <c r="G643" s="447"/>
      <c r="H643" s="447"/>
      <c r="I643" s="447"/>
      <c r="J643" s="447"/>
      <c r="K643" s="447"/>
      <c r="L643" s="447"/>
      <c r="M643" s="447"/>
      <c r="N643" s="447"/>
      <c r="O643" s="447"/>
      <c r="P643" s="447"/>
      <c r="Q643" s="447"/>
      <c r="R643" s="447"/>
      <c r="S643" s="447"/>
      <c r="T643" s="447"/>
      <c r="U643" s="447"/>
      <c r="V643" s="447"/>
      <c r="W643" s="447"/>
      <c r="X643" s="447"/>
      <c r="Y643" s="447"/>
      <c r="Z643" s="447"/>
      <c r="AA643" s="447"/>
      <c r="AB643" s="447"/>
      <c r="AC643" s="447"/>
      <c r="AD643" s="447"/>
      <c r="AE643" s="447"/>
      <c r="AF643" s="448"/>
      <c r="AG643" s="448"/>
      <c r="AH643" s="449"/>
      <c r="AI643" s="447"/>
      <c r="AJ643" s="447"/>
      <c r="AK643" s="447"/>
      <c r="AL643" s="447"/>
      <c r="AM643" s="447"/>
      <c r="AN643" s="447"/>
      <c r="AO643" s="447"/>
      <c r="AP643" s="447"/>
      <c r="AQ643" s="447"/>
      <c r="AR643" s="447"/>
      <c r="AS643" s="447"/>
      <c r="AT643" s="447"/>
      <c r="AU643" s="447"/>
      <c r="AV643" s="447"/>
      <c r="AW643" s="447"/>
      <c r="AX643" s="447"/>
      <c r="AY643" s="447"/>
      <c r="AZ643" s="447"/>
      <c r="BA643" s="447"/>
      <c r="BB643" s="447"/>
      <c r="BC643" s="447"/>
      <c r="BD643" s="447"/>
      <c r="BE643" s="447"/>
      <c r="BF643" s="447"/>
      <c r="BG643" s="447"/>
      <c r="BH643" s="447"/>
      <c r="BI643" s="447"/>
      <c r="BJ643" s="447"/>
      <c r="BK643" s="447"/>
      <c r="BL643" s="447"/>
      <c r="BM643" s="448"/>
      <c r="BN643" s="448"/>
    </row>
    <row r="644" spans="1:66" ht="11.25" customHeight="1">
      <c r="A644" s="450"/>
      <c r="B644" s="447"/>
      <c r="C644" s="447"/>
      <c r="D644" s="447"/>
      <c r="E644" s="447"/>
      <c r="F644" s="447"/>
      <c r="G644" s="447"/>
      <c r="H644" s="447"/>
      <c r="I644" s="447"/>
      <c r="J644" s="447"/>
      <c r="K644" s="447"/>
      <c r="L644" s="447"/>
      <c r="M644" s="447"/>
      <c r="N644" s="447"/>
      <c r="O644" s="447"/>
      <c r="P644" s="447"/>
      <c r="Q644" s="447"/>
      <c r="R644" s="447"/>
      <c r="S644" s="447"/>
      <c r="T644" s="447"/>
      <c r="U644" s="447"/>
      <c r="V644" s="447"/>
      <c r="W644" s="447"/>
      <c r="X644" s="447"/>
      <c r="Y644" s="447"/>
      <c r="Z644" s="447"/>
      <c r="AA644" s="447"/>
      <c r="AB644" s="447"/>
      <c r="AC644" s="447"/>
      <c r="AD644" s="447"/>
      <c r="AE644" s="447"/>
      <c r="AF644" s="448"/>
      <c r="AG644" s="448"/>
      <c r="AH644" s="449"/>
      <c r="AI644" s="447"/>
      <c r="AJ644" s="447"/>
      <c r="AK644" s="447"/>
      <c r="AL644" s="447"/>
      <c r="AM644" s="447"/>
      <c r="AN644" s="447"/>
      <c r="AO644" s="447"/>
      <c r="AP644" s="447"/>
      <c r="AQ644" s="447"/>
      <c r="AR644" s="447"/>
      <c r="AS644" s="447"/>
      <c r="AT644" s="447"/>
      <c r="AU644" s="447"/>
      <c r="AV644" s="447"/>
      <c r="AW644" s="447"/>
      <c r="AX644" s="447"/>
      <c r="AY644" s="447"/>
      <c r="AZ644" s="447"/>
      <c r="BA644" s="447"/>
      <c r="BB644" s="447"/>
      <c r="BC644" s="447"/>
      <c r="BD644" s="447"/>
      <c r="BE644" s="447"/>
      <c r="BF644" s="447"/>
      <c r="BG644" s="447"/>
      <c r="BH644" s="447"/>
      <c r="BI644" s="447"/>
      <c r="BJ644" s="447"/>
      <c r="BK644" s="447"/>
      <c r="BL644" s="447"/>
      <c r="BM644" s="448"/>
      <c r="BN644" s="448"/>
    </row>
    <row r="645" spans="1:66" ht="11.25" customHeight="1">
      <c r="A645" s="450"/>
      <c r="B645" s="447"/>
      <c r="C645" s="447"/>
      <c r="D645" s="447"/>
      <c r="E645" s="447"/>
      <c r="F645" s="447"/>
      <c r="G645" s="447"/>
      <c r="H645" s="447"/>
      <c r="I645" s="447"/>
      <c r="J645" s="447"/>
      <c r="K645" s="447"/>
      <c r="L645" s="447"/>
      <c r="M645" s="447"/>
      <c r="N645" s="447"/>
      <c r="O645" s="447"/>
      <c r="P645" s="447"/>
      <c r="Q645" s="447"/>
      <c r="R645" s="447"/>
      <c r="S645" s="447"/>
      <c r="T645" s="447"/>
      <c r="U645" s="447"/>
      <c r="V645" s="447"/>
      <c r="W645" s="447"/>
      <c r="X645" s="447"/>
      <c r="Y645" s="447"/>
      <c r="Z645" s="447"/>
      <c r="AA645" s="447"/>
      <c r="AB645" s="447"/>
      <c r="AC645" s="447"/>
      <c r="AD645" s="447"/>
      <c r="AE645" s="447"/>
      <c r="AF645" s="448"/>
      <c r="AG645" s="448"/>
      <c r="AH645" s="449"/>
      <c r="AI645" s="447"/>
      <c r="AJ645" s="447"/>
      <c r="AK645" s="447"/>
      <c r="AL645" s="447"/>
      <c r="AM645" s="447"/>
      <c r="AN645" s="447"/>
      <c r="AO645" s="447"/>
      <c r="AP645" s="447"/>
      <c r="AQ645" s="447"/>
      <c r="AR645" s="447"/>
      <c r="AS645" s="447"/>
      <c r="AT645" s="447"/>
      <c r="AU645" s="447"/>
      <c r="AV645" s="447"/>
      <c r="AW645" s="447"/>
      <c r="AX645" s="447"/>
      <c r="AY645" s="447"/>
      <c r="AZ645" s="447"/>
      <c r="BA645" s="447"/>
      <c r="BB645" s="447"/>
      <c r="BC645" s="447"/>
      <c r="BD645" s="447"/>
      <c r="BE645" s="447"/>
      <c r="BF645" s="447"/>
      <c r="BG645" s="447"/>
      <c r="BH645" s="447"/>
      <c r="BI645" s="447"/>
      <c r="BJ645" s="447"/>
      <c r="BK645" s="447"/>
      <c r="BL645" s="447"/>
      <c r="BM645" s="448"/>
      <c r="BN645" s="448"/>
    </row>
    <row r="646" spans="1:66" ht="11.25" customHeight="1">
      <c r="A646" s="450"/>
      <c r="B646" s="447"/>
      <c r="C646" s="447"/>
      <c r="D646" s="447"/>
      <c r="E646" s="447"/>
      <c r="F646" s="447"/>
      <c r="G646" s="447"/>
      <c r="H646" s="447"/>
      <c r="I646" s="447"/>
      <c r="J646" s="447"/>
      <c r="K646" s="447"/>
      <c r="L646" s="447"/>
      <c r="M646" s="447"/>
      <c r="N646" s="447"/>
      <c r="O646" s="447"/>
      <c r="P646" s="447"/>
      <c r="Q646" s="447"/>
      <c r="R646" s="447"/>
      <c r="S646" s="447"/>
      <c r="T646" s="447"/>
      <c r="U646" s="447"/>
      <c r="V646" s="447"/>
      <c r="W646" s="447"/>
      <c r="X646" s="447"/>
      <c r="Y646" s="447"/>
      <c r="Z646" s="447"/>
      <c r="AA646" s="447"/>
      <c r="AB646" s="447"/>
      <c r="AC646" s="447"/>
      <c r="AD646" s="447"/>
      <c r="AE646" s="447"/>
      <c r="AF646" s="448"/>
      <c r="AG646" s="448"/>
      <c r="AH646" s="449"/>
      <c r="AI646" s="447"/>
      <c r="AJ646" s="447"/>
      <c r="AK646" s="447"/>
      <c r="AL646" s="447"/>
      <c r="AM646" s="447"/>
      <c r="AN646" s="447"/>
      <c r="AO646" s="447"/>
      <c r="AP646" s="447"/>
      <c r="AQ646" s="447"/>
      <c r="AR646" s="447"/>
      <c r="AS646" s="447"/>
      <c r="AT646" s="447"/>
      <c r="AU646" s="447"/>
      <c r="AV646" s="447"/>
      <c r="AW646" s="447"/>
      <c r="AX646" s="447"/>
      <c r="AY646" s="447"/>
      <c r="AZ646" s="447"/>
      <c r="BA646" s="447"/>
      <c r="BB646" s="447"/>
      <c r="BC646" s="447"/>
      <c r="BD646" s="447"/>
      <c r="BE646" s="447"/>
      <c r="BF646" s="447"/>
      <c r="BG646" s="447"/>
      <c r="BH646" s="447"/>
      <c r="BI646" s="447"/>
      <c r="BJ646" s="447"/>
      <c r="BK646" s="447"/>
      <c r="BL646" s="447"/>
      <c r="BM646" s="448"/>
      <c r="BN646" s="448"/>
    </row>
    <row r="647" spans="1:66" ht="11.25" customHeight="1">
      <c r="A647" s="450"/>
      <c r="B647" s="447"/>
      <c r="C647" s="447"/>
      <c r="D647" s="447"/>
      <c r="E647" s="447"/>
      <c r="F647" s="447"/>
      <c r="G647" s="447"/>
      <c r="H647" s="447"/>
      <c r="I647" s="447"/>
      <c r="J647" s="447"/>
      <c r="K647" s="447"/>
      <c r="L647" s="447"/>
      <c r="M647" s="447"/>
      <c r="N647" s="447"/>
      <c r="O647" s="447"/>
      <c r="P647" s="447"/>
      <c r="Q647" s="447"/>
      <c r="R647" s="447"/>
      <c r="S647" s="447"/>
      <c r="T647" s="447"/>
      <c r="U647" s="447"/>
      <c r="V647" s="447"/>
      <c r="W647" s="447"/>
      <c r="X647" s="447"/>
      <c r="Y647" s="447"/>
      <c r="Z647" s="447"/>
      <c r="AA647" s="447"/>
      <c r="AB647" s="447"/>
      <c r="AC647" s="447"/>
      <c r="AD647" s="447"/>
      <c r="AE647" s="447"/>
      <c r="AF647" s="448"/>
      <c r="AG647" s="448"/>
      <c r="AH647" s="449"/>
      <c r="AI647" s="447"/>
      <c r="AJ647" s="447"/>
      <c r="AK647" s="447"/>
      <c r="AL647" s="447"/>
      <c r="AM647" s="447"/>
      <c r="AN647" s="447"/>
      <c r="AO647" s="447"/>
      <c r="AP647" s="447"/>
      <c r="AQ647" s="447"/>
      <c r="AR647" s="447"/>
      <c r="AS647" s="447"/>
      <c r="AT647" s="447"/>
      <c r="AU647" s="447"/>
      <c r="AV647" s="447"/>
      <c r="AW647" s="447"/>
      <c r="AX647" s="447"/>
      <c r="AY647" s="447"/>
      <c r="AZ647" s="447"/>
      <c r="BA647" s="447"/>
      <c r="BB647" s="447"/>
      <c r="BC647" s="447"/>
      <c r="BD647" s="447"/>
      <c r="BE647" s="447"/>
      <c r="BF647" s="447"/>
      <c r="BG647" s="447"/>
      <c r="BH647" s="447"/>
      <c r="BI647" s="447"/>
      <c r="BJ647" s="447"/>
      <c r="BK647" s="447"/>
      <c r="BL647" s="447"/>
      <c r="BM647" s="448"/>
      <c r="BN647" s="448"/>
    </row>
    <row r="648" spans="1:66" ht="11.25" customHeight="1">
      <c r="A648" s="450"/>
      <c r="B648" s="447"/>
      <c r="C648" s="447"/>
      <c r="D648" s="447"/>
      <c r="E648" s="447"/>
      <c r="F648" s="447"/>
      <c r="G648" s="447"/>
      <c r="H648" s="447"/>
      <c r="I648" s="447"/>
      <c r="J648" s="447"/>
      <c r="K648" s="447"/>
      <c r="L648" s="447"/>
      <c r="M648" s="447"/>
      <c r="N648" s="447"/>
      <c r="O648" s="447"/>
      <c r="P648" s="447"/>
      <c r="Q648" s="447"/>
      <c r="R648" s="447"/>
      <c r="S648" s="447"/>
      <c r="T648" s="447"/>
      <c r="U648" s="447"/>
      <c r="V648" s="447"/>
      <c r="W648" s="447"/>
      <c r="X648" s="447"/>
      <c r="Y648" s="447"/>
      <c r="Z648" s="447"/>
      <c r="AA648" s="447"/>
      <c r="AB648" s="447"/>
      <c r="AC648" s="447"/>
      <c r="AD648" s="447"/>
      <c r="AE648" s="447"/>
      <c r="AF648" s="448"/>
      <c r="AG648" s="448"/>
      <c r="AH648" s="449"/>
      <c r="AI648" s="447"/>
      <c r="AJ648" s="447"/>
      <c r="AK648" s="447"/>
      <c r="AL648" s="447"/>
      <c r="AM648" s="447"/>
      <c r="AN648" s="447"/>
      <c r="AO648" s="447"/>
      <c r="AP648" s="447"/>
      <c r="AQ648" s="447"/>
      <c r="AR648" s="447"/>
      <c r="AS648" s="447"/>
      <c r="AT648" s="447"/>
      <c r="AU648" s="447"/>
      <c r="AV648" s="447"/>
      <c r="AW648" s="447"/>
      <c r="AX648" s="447"/>
      <c r="AY648" s="447"/>
      <c r="AZ648" s="447"/>
      <c r="BA648" s="447"/>
      <c r="BB648" s="447"/>
      <c r="BC648" s="447"/>
      <c r="BD648" s="447"/>
      <c r="BE648" s="447"/>
      <c r="BF648" s="447"/>
      <c r="BG648" s="447"/>
      <c r="BH648" s="447"/>
      <c r="BI648" s="447"/>
      <c r="BJ648" s="447"/>
      <c r="BK648" s="447"/>
      <c r="BL648" s="447"/>
      <c r="BM648" s="448"/>
      <c r="BN648" s="448"/>
    </row>
    <row r="649" spans="1:66" ht="11.25" customHeight="1">
      <c r="A649" s="450"/>
      <c r="B649" s="447"/>
      <c r="C649" s="447"/>
      <c r="D649" s="447"/>
      <c r="E649" s="447"/>
      <c r="F649" s="447"/>
      <c r="G649" s="447"/>
      <c r="H649" s="447"/>
      <c r="I649" s="447"/>
      <c r="J649" s="447"/>
      <c r="K649" s="447"/>
      <c r="L649" s="447"/>
      <c r="M649" s="447"/>
      <c r="N649" s="447"/>
      <c r="O649" s="447"/>
      <c r="P649" s="447"/>
      <c r="Q649" s="447"/>
      <c r="R649" s="447"/>
      <c r="S649" s="447"/>
      <c r="T649" s="447"/>
      <c r="U649" s="447"/>
      <c r="V649" s="447"/>
      <c r="W649" s="447"/>
      <c r="X649" s="447"/>
      <c r="Y649" s="447"/>
      <c r="Z649" s="447"/>
      <c r="AA649" s="447"/>
      <c r="AB649" s="447"/>
      <c r="AC649" s="447"/>
      <c r="AD649" s="447"/>
      <c r="AE649" s="447"/>
      <c r="AF649" s="448"/>
      <c r="AG649" s="448"/>
      <c r="AH649" s="449"/>
      <c r="AI649" s="447"/>
      <c r="AJ649" s="447"/>
      <c r="AK649" s="447"/>
      <c r="AL649" s="447"/>
      <c r="AM649" s="447"/>
      <c r="AN649" s="447"/>
      <c r="AO649" s="447"/>
      <c r="AP649" s="447"/>
      <c r="AQ649" s="447"/>
      <c r="AR649" s="447"/>
      <c r="AS649" s="447"/>
      <c r="AT649" s="447"/>
      <c r="AU649" s="447"/>
      <c r="AV649" s="447"/>
      <c r="AW649" s="447"/>
      <c r="AX649" s="447"/>
      <c r="AY649" s="447"/>
      <c r="AZ649" s="447"/>
      <c r="BA649" s="447"/>
      <c r="BB649" s="447"/>
      <c r="BC649" s="447"/>
      <c r="BD649" s="447"/>
      <c r="BE649" s="447"/>
      <c r="BF649" s="447"/>
      <c r="BG649" s="447"/>
      <c r="BH649" s="447"/>
      <c r="BI649" s="447"/>
      <c r="BJ649" s="447"/>
      <c r="BK649" s="447"/>
      <c r="BL649" s="447"/>
      <c r="BM649" s="448"/>
      <c r="BN649" s="448"/>
    </row>
    <row r="650" spans="1:66" ht="11.25" customHeight="1">
      <c r="A650" s="450"/>
      <c r="B650" s="447"/>
      <c r="C650" s="447"/>
      <c r="D650" s="447"/>
      <c r="E650" s="447"/>
      <c r="F650" s="447"/>
      <c r="G650" s="447"/>
      <c r="H650" s="447"/>
      <c r="I650" s="447"/>
      <c r="J650" s="447"/>
      <c r="K650" s="447"/>
      <c r="L650" s="447"/>
      <c r="M650" s="447"/>
      <c r="N650" s="447"/>
      <c r="O650" s="447"/>
      <c r="P650" s="447"/>
      <c r="Q650" s="447"/>
      <c r="R650" s="447"/>
      <c r="S650" s="447"/>
      <c r="T650" s="447"/>
      <c r="U650" s="447"/>
      <c r="V650" s="447"/>
      <c r="W650" s="447"/>
      <c r="X650" s="447"/>
      <c r="Y650" s="447"/>
      <c r="Z650" s="447"/>
      <c r="AA650" s="447"/>
      <c r="AB650" s="447"/>
      <c r="AC650" s="447"/>
      <c r="AD650" s="447"/>
      <c r="AE650" s="447"/>
      <c r="AF650" s="448"/>
      <c r="AG650" s="448"/>
      <c r="AH650" s="449"/>
      <c r="AI650" s="447"/>
      <c r="AJ650" s="447"/>
      <c r="AK650" s="447"/>
      <c r="AL650" s="447"/>
      <c r="AM650" s="447"/>
      <c r="AN650" s="447"/>
      <c r="AO650" s="447"/>
      <c r="AP650" s="447"/>
      <c r="AQ650" s="447"/>
      <c r="AR650" s="447"/>
      <c r="AS650" s="447"/>
      <c r="AT650" s="447"/>
      <c r="AU650" s="447"/>
      <c r="AV650" s="447"/>
      <c r="AW650" s="447"/>
      <c r="AX650" s="447"/>
      <c r="AY650" s="447"/>
      <c r="AZ650" s="447"/>
      <c r="BA650" s="447"/>
      <c r="BB650" s="447"/>
      <c r="BC650" s="447"/>
      <c r="BD650" s="447"/>
      <c r="BE650" s="447"/>
      <c r="BF650" s="447"/>
      <c r="BG650" s="447"/>
      <c r="BH650" s="447"/>
      <c r="BI650" s="447"/>
      <c r="BJ650" s="447"/>
      <c r="BK650" s="447"/>
      <c r="BL650" s="447"/>
      <c r="BM650" s="448"/>
      <c r="BN650" s="448"/>
    </row>
    <row r="651" spans="1:66" ht="11.25" customHeight="1">
      <c r="A651" s="450"/>
      <c r="B651" s="447"/>
      <c r="C651" s="447"/>
      <c r="D651" s="447"/>
      <c r="E651" s="447"/>
      <c r="F651" s="447"/>
      <c r="G651" s="447"/>
      <c r="H651" s="447"/>
      <c r="I651" s="447"/>
      <c r="J651" s="447"/>
      <c r="K651" s="447"/>
      <c r="L651" s="447"/>
      <c r="M651" s="447"/>
      <c r="N651" s="447"/>
      <c r="O651" s="447"/>
      <c r="P651" s="447"/>
      <c r="Q651" s="447"/>
      <c r="R651" s="447"/>
      <c r="S651" s="447"/>
      <c r="T651" s="447"/>
      <c r="U651" s="447"/>
      <c r="V651" s="447"/>
      <c r="W651" s="447"/>
      <c r="X651" s="447"/>
      <c r="Y651" s="447"/>
      <c r="Z651" s="447"/>
      <c r="AA651" s="447"/>
      <c r="AB651" s="447"/>
      <c r="AC651" s="447"/>
      <c r="AD651" s="447"/>
      <c r="AE651" s="447"/>
      <c r="AF651" s="448"/>
      <c r="AG651" s="448"/>
      <c r="AH651" s="449"/>
      <c r="AI651" s="447"/>
      <c r="AJ651" s="447"/>
      <c r="AK651" s="447"/>
      <c r="AL651" s="447"/>
      <c r="AM651" s="447"/>
      <c r="AN651" s="447"/>
      <c r="AO651" s="447"/>
      <c r="AP651" s="447"/>
      <c r="AQ651" s="447"/>
      <c r="AR651" s="447"/>
      <c r="AS651" s="447"/>
      <c r="AT651" s="447"/>
      <c r="AU651" s="447"/>
      <c r="AV651" s="447"/>
      <c r="AW651" s="447"/>
      <c r="AX651" s="447"/>
      <c r="AY651" s="447"/>
      <c r="AZ651" s="447"/>
      <c r="BA651" s="447"/>
      <c r="BB651" s="447"/>
      <c r="BC651" s="447"/>
      <c r="BD651" s="447"/>
      <c r="BE651" s="447"/>
      <c r="BF651" s="447"/>
      <c r="BG651" s="447"/>
      <c r="BH651" s="447"/>
      <c r="BI651" s="447"/>
      <c r="BJ651" s="447"/>
      <c r="BK651" s="447"/>
      <c r="BL651" s="447"/>
      <c r="BM651" s="448"/>
      <c r="BN651" s="448"/>
    </row>
    <row r="652" spans="1:66" ht="11.25" customHeight="1">
      <c r="A652" s="450"/>
      <c r="B652" s="447"/>
      <c r="C652" s="447"/>
      <c r="D652" s="447"/>
      <c r="E652" s="447"/>
      <c r="F652" s="447"/>
      <c r="G652" s="447"/>
      <c r="H652" s="447"/>
      <c r="I652" s="447"/>
      <c r="J652" s="447"/>
      <c r="K652" s="447"/>
      <c r="L652" s="447"/>
      <c r="M652" s="447"/>
      <c r="N652" s="447"/>
      <c r="O652" s="447"/>
      <c r="P652" s="447"/>
      <c r="Q652" s="447"/>
      <c r="R652" s="447"/>
      <c r="S652" s="447"/>
      <c r="T652" s="447"/>
      <c r="U652" s="447"/>
      <c r="V652" s="447"/>
      <c r="W652" s="447"/>
      <c r="X652" s="447"/>
      <c r="Y652" s="447"/>
      <c r="Z652" s="447"/>
      <c r="AA652" s="447"/>
      <c r="AB652" s="447"/>
      <c r="AC652" s="447"/>
      <c r="AD652" s="447"/>
      <c r="AE652" s="447"/>
      <c r="AF652" s="448"/>
      <c r="AG652" s="448"/>
      <c r="AH652" s="449"/>
      <c r="AI652" s="447"/>
      <c r="AJ652" s="447"/>
      <c r="AK652" s="447"/>
      <c r="AL652" s="447"/>
      <c r="AM652" s="447"/>
      <c r="AN652" s="447"/>
      <c r="AO652" s="447"/>
      <c r="AP652" s="447"/>
      <c r="AQ652" s="447"/>
      <c r="AR652" s="447"/>
      <c r="AS652" s="447"/>
      <c r="AT652" s="447"/>
      <c r="AU652" s="447"/>
      <c r="AV652" s="447"/>
      <c r="AW652" s="447"/>
      <c r="AX652" s="447"/>
      <c r="AY652" s="447"/>
      <c r="AZ652" s="447"/>
      <c r="BA652" s="447"/>
      <c r="BB652" s="447"/>
      <c r="BC652" s="447"/>
      <c r="BD652" s="447"/>
      <c r="BE652" s="447"/>
      <c r="BF652" s="447"/>
      <c r="BG652" s="447"/>
      <c r="BH652" s="447"/>
      <c r="BI652" s="447"/>
      <c r="BJ652" s="447"/>
      <c r="BK652" s="447"/>
      <c r="BL652" s="447"/>
      <c r="BM652" s="448"/>
      <c r="BN652" s="448"/>
    </row>
    <row r="653" spans="1:66" ht="11.25" customHeight="1">
      <c r="A653" s="450"/>
      <c r="B653" s="447"/>
      <c r="C653" s="447"/>
      <c r="D653" s="447"/>
      <c r="E653" s="447"/>
      <c r="F653" s="447"/>
      <c r="G653" s="447"/>
      <c r="H653" s="447"/>
      <c r="I653" s="447"/>
      <c r="J653" s="447"/>
      <c r="K653" s="447"/>
      <c r="L653" s="447"/>
      <c r="M653" s="447"/>
      <c r="N653" s="447"/>
      <c r="O653" s="447"/>
      <c r="P653" s="447"/>
      <c r="Q653" s="447"/>
      <c r="R653" s="447"/>
      <c r="S653" s="447"/>
      <c r="T653" s="447"/>
      <c r="U653" s="447"/>
      <c r="V653" s="447"/>
      <c r="W653" s="447"/>
      <c r="X653" s="447"/>
      <c r="Y653" s="447"/>
      <c r="Z653" s="447"/>
      <c r="AA653" s="447"/>
      <c r="AB653" s="447"/>
      <c r="AC653" s="447"/>
      <c r="AD653" s="447"/>
      <c r="AE653" s="447"/>
      <c r="AF653" s="448"/>
      <c r="AG653" s="448"/>
      <c r="AH653" s="449"/>
      <c r="AI653" s="447"/>
      <c r="AJ653" s="447"/>
      <c r="AK653" s="447"/>
      <c r="AL653" s="447"/>
      <c r="AM653" s="447"/>
      <c r="AN653" s="447"/>
      <c r="AO653" s="447"/>
      <c r="AP653" s="447"/>
      <c r="AQ653" s="447"/>
      <c r="AR653" s="447"/>
      <c r="AS653" s="447"/>
      <c r="AT653" s="447"/>
      <c r="AU653" s="447"/>
      <c r="AV653" s="447"/>
      <c r="AW653" s="447"/>
      <c r="AX653" s="447"/>
      <c r="AY653" s="447"/>
      <c r="AZ653" s="447"/>
      <c r="BA653" s="447"/>
      <c r="BB653" s="447"/>
      <c r="BC653" s="447"/>
      <c r="BD653" s="447"/>
      <c r="BE653" s="447"/>
      <c r="BF653" s="447"/>
      <c r="BG653" s="447"/>
      <c r="BH653" s="447"/>
      <c r="BI653" s="447"/>
      <c r="BJ653" s="447"/>
      <c r="BK653" s="447"/>
      <c r="BL653" s="447"/>
      <c r="BM653" s="448"/>
      <c r="BN653" s="448"/>
    </row>
    <row r="654" spans="1:66" ht="11.25" customHeight="1">
      <c r="A654" s="450"/>
      <c r="B654" s="447"/>
      <c r="C654" s="447"/>
      <c r="D654" s="447"/>
      <c r="E654" s="447"/>
      <c r="F654" s="447"/>
      <c r="G654" s="447"/>
      <c r="H654" s="447"/>
      <c r="I654" s="447"/>
      <c r="J654" s="447"/>
      <c r="K654" s="447"/>
      <c r="L654" s="447"/>
      <c r="M654" s="447"/>
      <c r="N654" s="447"/>
      <c r="O654" s="447"/>
      <c r="P654" s="447"/>
      <c r="Q654" s="447"/>
      <c r="R654" s="447"/>
      <c r="S654" s="447"/>
      <c r="T654" s="447"/>
      <c r="U654" s="447"/>
      <c r="V654" s="447"/>
      <c r="W654" s="447"/>
      <c r="X654" s="447"/>
      <c r="Y654" s="447"/>
      <c r="Z654" s="447"/>
      <c r="AA654" s="447"/>
      <c r="AB654" s="447"/>
      <c r="AC654" s="447"/>
      <c r="AD654" s="447"/>
      <c r="AE654" s="447"/>
      <c r="AF654" s="448"/>
      <c r="AG654" s="448"/>
      <c r="AH654" s="449"/>
      <c r="AI654" s="447"/>
      <c r="AJ654" s="447"/>
      <c r="AK654" s="447"/>
      <c r="AL654" s="447"/>
      <c r="AM654" s="447"/>
      <c r="AN654" s="447"/>
      <c r="AO654" s="447"/>
      <c r="AP654" s="447"/>
      <c r="AQ654" s="447"/>
      <c r="AR654" s="447"/>
      <c r="AS654" s="447"/>
      <c r="AT654" s="447"/>
      <c r="AU654" s="447"/>
      <c r="AV654" s="447"/>
      <c r="AW654" s="447"/>
      <c r="AX654" s="447"/>
      <c r="AY654" s="447"/>
      <c r="AZ654" s="447"/>
      <c r="BA654" s="447"/>
      <c r="BB654" s="447"/>
      <c r="BC654" s="447"/>
      <c r="BD654" s="447"/>
      <c r="BE654" s="447"/>
      <c r="BF654" s="447"/>
      <c r="BG654" s="447"/>
      <c r="BH654" s="447"/>
      <c r="BI654" s="447"/>
      <c r="BJ654" s="447"/>
      <c r="BK654" s="447"/>
      <c r="BL654" s="447"/>
      <c r="BM654" s="448"/>
      <c r="BN654" s="448"/>
    </row>
    <row r="655" spans="1:66" ht="11.25" customHeight="1">
      <c r="A655" s="450"/>
      <c r="B655" s="447"/>
      <c r="C655" s="447"/>
      <c r="D655" s="447"/>
      <c r="E655" s="447"/>
      <c r="F655" s="447"/>
      <c r="G655" s="447"/>
      <c r="H655" s="447"/>
      <c r="I655" s="447"/>
      <c r="J655" s="447"/>
      <c r="K655" s="447"/>
      <c r="L655" s="447"/>
      <c r="M655" s="447"/>
      <c r="N655" s="447"/>
      <c r="O655" s="447"/>
      <c r="P655" s="447"/>
      <c r="Q655" s="447"/>
      <c r="R655" s="447"/>
      <c r="S655" s="447"/>
      <c r="T655" s="447"/>
      <c r="U655" s="447"/>
      <c r="V655" s="447"/>
      <c r="W655" s="447"/>
      <c r="X655" s="447"/>
      <c r="Y655" s="447"/>
      <c r="Z655" s="447"/>
      <c r="AA655" s="447"/>
      <c r="AB655" s="447"/>
      <c r="AC655" s="447"/>
      <c r="AD655" s="447"/>
      <c r="AE655" s="447"/>
      <c r="AF655" s="448"/>
      <c r="AG655" s="448"/>
      <c r="AH655" s="449"/>
      <c r="AI655" s="447"/>
      <c r="AJ655" s="447"/>
      <c r="AK655" s="447"/>
      <c r="AL655" s="447"/>
      <c r="AM655" s="447"/>
      <c r="AN655" s="447"/>
      <c r="AO655" s="447"/>
      <c r="AP655" s="447"/>
      <c r="AQ655" s="447"/>
      <c r="AR655" s="447"/>
      <c r="AS655" s="447"/>
      <c r="AT655" s="447"/>
      <c r="AU655" s="447"/>
      <c r="AV655" s="447"/>
      <c r="AW655" s="447"/>
      <c r="AX655" s="447"/>
      <c r="AY655" s="447"/>
      <c r="AZ655" s="447"/>
      <c r="BA655" s="447"/>
      <c r="BB655" s="447"/>
      <c r="BC655" s="447"/>
      <c r="BD655" s="447"/>
      <c r="BE655" s="447"/>
      <c r="BF655" s="447"/>
      <c r="BG655" s="447"/>
      <c r="BH655" s="447"/>
      <c r="BI655" s="447"/>
      <c r="BJ655" s="447"/>
      <c r="BK655" s="447"/>
      <c r="BL655" s="447"/>
      <c r="BM655" s="448"/>
      <c r="BN655" s="448"/>
    </row>
    <row r="656" spans="1:66" ht="11.25" customHeight="1">
      <c r="A656" s="450"/>
      <c r="B656" s="447"/>
      <c r="C656" s="447"/>
      <c r="D656" s="447"/>
      <c r="E656" s="447"/>
      <c r="F656" s="447"/>
      <c r="G656" s="447"/>
      <c r="H656" s="447"/>
      <c r="I656" s="447"/>
      <c r="J656" s="447"/>
      <c r="K656" s="447"/>
      <c r="L656" s="447"/>
      <c r="M656" s="447"/>
      <c r="N656" s="447"/>
      <c r="O656" s="447"/>
      <c r="P656" s="447"/>
      <c r="Q656" s="447"/>
      <c r="R656" s="447"/>
      <c r="S656" s="447"/>
      <c r="T656" s="447"/>
      <c r="U656" s="447"/>
      <c r="V656" s="447"/>
      <c r="W656" s="447"/>
      <c r="X656" s="447"/>
      <c r="Y656" s="447"/>
      <c r="Z656" s="447"/>
      <c r="AA656" s="447"/>
      <c r="AB656" s="447"/>
      <c r="AC656" s="447"/>
      <c r="AD656" s="447"/>
      <c r="AE656" s="447"/>
      <c r="AF656" s="448"/>
      <c r="AG656" s="448"/>
      <c r="AH656" s="449"/>
      <c r="AI656" s="447"/>
      <c r="AJ656" s="447"/>
      <c r="AK656" s="447"/>
      <c r="AL656" s="447"/>
      <c r="AM656" s="447"/>
      <c r="AN656" s="447"/>
      <c r="AO656" s="447"/>
      <c r="AP656" s="447"/>
      <c r="AQ656" s="447"/>
      <c r="AR656" s="447"/>
      <c r="AS656" s="447"/>
      <c r="AT656" s="447"/>
      <c r="AU656" s="447"/>
      <c r="AV656" s="447"/>
      <c r="AW656" s="447"/>
      <c r="AX656" s="447"/>
      <c r="AY656" s="447"/>
      <c r="AZ656" s="447"/>
      <c r="BA656" s="447"/>
      <c r="BB656" s="447"/>
      <c r="BC656" s="447"/>
      <c r="BD656" s="447"/>
      <c r="BE656" s="447"/>
      <c r="BF656" s="447"/>
      <c r="BG656" s="447"/>
      <c r="BH656" s="447"/>
      <c r="BI656" s="447"/>
      <c r="BJ656" s="447"/>
      <c r="BK656" s="447"/>
      <c r="BL656" s="447"/>
      <c r="BM656" s="448"/>
      <c r="BN656" s="448"/>
    </row>
    <row r="657" spans="1:66" ht="11.25" customHeight="1">
      <c r="A657" s="450"/>
      <c r="B657" s="447"/>
      <c r="C657" s="447"/>
      <c r="D657" s="447"/>
      <c r="E657" s="447"/>
      <c r="F657" s="447"/>
      <c r="G657" s="447"/>
      <c r="H657" s="447"/>
      <c r="I657" s="447"/>
      <c r="J657" s="447"/>
      <c r="K657" s="447"/>
      <c r="L657" s="447"/>
      <c r="M657" s="447"/>
      <c r="N657" s="447"/>
      <c r="O657" s="447"/>
      <c r="P657" s="447"/>
      <c r="Q657" s="447"/>
      <c r="R657" s="447"/>
      <c r="S657" s="447"/>
      <c r="T657" s="447"/>
      <c r="U657" s="447"/>
      <c r="V657" s="447"/>
      <c r="W657" s="447"/>
      <c r="X657" s="447"/>
      <c r="Y657" s="447"/>
      <c r="Z657" s="447"/>
      <c r="AA657" s="447"/>
      <c r="AB657" s="447"/>
      <c r="AC657" s="447"/>
      <c r="AD657" s="447"/>
      <c r="AE657" s="447"/>
      <c r="AF657" s="448"/>
      <c r="AG657" s="448"/>
      <c r="AH657" s="449"/>
      <c r="AI657" s="447"/>
      <c r="AJ657" s="447"/>
      <c r="AK657" s="447"/>
      <c r="AL657" s="447"/>
      <c r="AM657" s="447"/>
      <c r="AN657" s="447"/>
      <c r="AO657" s="447"/>
      <c r="AP657" s="447"/>
      <c r="AQ657" s="447"/>
      <c r="AR657" s="447"/>
      <c r="AS657" s="447"/>
      <c r="AT657" s="447"/>
      <c r="AU657" s="447"/>
      <c r="AV657" s="447"/>
      <c r="AW657" s="447"/>
      <c r="AX657" s="447"/>
      <c r="AY657" s="447"/>
      <c r="AZ657" s="447"/>
      <c r="BA657" s="447"/>
      <c r="BB657" s="447"/>
      <c r="BC657" s="447"/>
      <c r="BD657" s="447"/>
      <c r="BE657" s="447"/>
      <c r="BF657" s="447"/>
      <c r="BG657" s="447"/>
      <c r="BH657" s="447"/>
      <c r="BI657" s="447"/>
      <c r="BJ657" s="447"/>
      <c r="BK657" s="447"/>
      <c r="BL657" s="447"/>
      <c r="BM657" s="448"/>
      <c r="BN657" s="448"/>
    </row>
    <row r="658" spans="1:66" ht="11.25" customHeight="1">
      <c r="A658" s="450"/>
      <c r="B658" s="447"/>
      <c r="C658" s="447"/>
      <c r="D658" s="447"/>
      <c r="E658" s="447"/>
      <c r="F658" s="447"/>
      <c r="G658" s="447"/>
      <c r="H658" s="447"/>
      <c r="I658" s="447"/>
      <c r="J658" s="447"/>
      <c r="K658" s="447"/>
      <c r="L658" s="447"/>
      <c r="M658" s="447"/>
      <c r="N658" s="447"/>
      <c r="O658" s="447"/>
      <c r="P658" s="447"/>
      <c r="Q658" s="447"/>
      <c r="R658" s="447"/>
      <c r="S658" s="447"/>
      <c r="T658" s="447"/>
      <c r="U658" s="447"/>
      <c r="V658" s="447"/>
      <c r="W658" s="447"/>
      <c r="X658" s="447"/>
      <c r="Y658" s="447"/>
      <c r="Z658" s="447"/>
      <c r="AA658" s="447"/>
      <c r="AB658" s="447"/>
      <c r="AC658" s="447"/>
      <c r="AD658" s="447"/>
      <c r="AE658" s="447"/>
      <c r="AF658" s="448"/>
      <c r="AG658" s="448"/>
      <c r="AH658" s="449"/>
      <c r="AI658" s="447"/>
      <c r="AJ658" s="447"/>
      <c r="AK658" s="447"/>
      <c r="AL658" s="447"/>
      <c r="AM658" s="447"/>
      <c r="AN658" s="447"/>
      <c r="AO658" s="447"/>
      <c r="AP658" s="447"/>
      <c r="AQ658" s="447"/>
      <c r="AR658" s="447"/>
      <c r="AS658" s="447"/>
      <c r="AT658" s="447"/>
      <c r="AU658" s="447"/>
      <c r="AV658" s="447"/>
      <c r="AW658" s="447"/>
      <c r="AX658" s="447"/>
      <c r="AY658" s="447"/>
      <c r="AZ658" s="447"/>
      <c r="BA658" s="447"/>
      <c r="BB658" s="447"/>
      <c r="BC658" s="447"/>
      <c r="BD658" s="447"/>
      <c r="BE658" s="447"/>
      <c r="BF658" s="447"/>
      <c r="BG658" s="447"/>
      <c r="BH658" s="447"/>
      <c r="BI658" s="447"/>
      <c r="BJ658" s="447"/>
      <c r="BK658" s="447"/>
      <c r="BL658" s="447"/>
      <c r="BM658" s="448"/>
      <c r="BN658" s="448"/>
    </row>
    <row r="659" spans="1:66" ht="11.25" customHeight="1">
      <c r="A659" s="450"/>
      <c r="B659" s="447"/>
      <c r="C659" s="447"/>
      <c r="D659" s="447"/>
      <c r="E659" s="447"/>
      <c r="F659" s="447"/>
      <c r="G659" s="447"/>
      <c r="H659" s="447"/>
      <c r="I659" s="447"/>
      <c r="J659" s="447"/>
      <c r="K659" s="447"/>
      <c r="L659" s="447"/>
      <c r="M659" s="447"/>
      <c r="N659" s="447"/>
      <c r="O659" s="447"/>
      <c r="P659" s="447"/>
      <c r="Q659" s="447"/>
      <c r="R659" s="447"/>
      <c r="S659" s="447"/>
      <c r="T659" s="447"/>
      <c r="U659" s="447"/>
      <c r="V659" s="447"/>
      <c r="W659" s="447"/>
      <c r="X659" s="447"/>
      <c r="Y659" s="447"/>
      <c r="Z659" s="447"/>
      <c r="AA659" s="447"/>
      <c r="AB659" s="447"/>
      <c r="AC659" s="447"/>
      <c r="AD659" s="447"/>
      <c r="AE659" s="447"/>
      <c r="AF659" s="448"/>
      <c r="AG659" s="448"/>
      <c r="AH659" s="449"/>
      <c r="AI659" s="447"/>
      <c r="AJ659" s="447"/>
      <c r="AK659" s="447"/>
      <c r="AL659" s="447"/>
      <c r="AM659" s="447"/>
      <c r="AN659" s="447"/>
      <c r="AO659" s="447"/>
      <c r="AP659" s="447"/>
      <c r="AQ659" s="447"/>
      <c r="AR659" s="447"/>
      <c r="AS659" s="447"/>
      <c r="AT659" s="447"/>
      <c r="AU659" s="447"/>
      <c r="AV659" s="447"/>
      <c r="AW659" s="447"/>
      <c r="AX659" s="447"/>
      <c r="AY659" s="447"/>
      <c r="AZ659" s="447"/>
      <c r="BA659" s="447"/>
      <c r="BB659" s="447"/>
      <c r="BC659" s="447"/>
      <c r="BD659" s="447"/>
      <c r="BE659" s="447"/>
      <c r="BF659" s="447"/>
      <c r="BG659" s="447"/>
      <c r="BH659" s="447"/>
      <c r="BI659" s="447"/>
      <c r="BJ659" s="447"/>
      <c r="BK659" s="447"/>
      <c r="BL659" s="447"/>
      <c r="BM659" s="448"/>
      <c r="BN659" s="448"/>
    </row>
    <row r="660" spans="1:66" ht="11.25" customHeight="1">
      <c r="A660" s="450"/>
      <c r="B660" s="447"/>
      <c r="C660" s="447"/>
      <c r="D660" s="447"/>
      <c r="E660" s="447"/>
      <c r="F660" s="447"/>
      <c r="G660" s="447"/>
      <c r="H660" s="447"/>
      <c r="I660" s="447"/>
      <c r="J660" s="447"/>
      <c r="K660" s="447"/>
      <c r="L660" s="447"/>
      <c r="M660" s="447"/>
      <c r="N660" s="447"/>
      <c r="O660" s="447"/>
      <c r="P660" s="447"/>
      <c r="Q660" s="447"/>
      <c r="R660" s="447"/>
      <c r="S660" s="447"/>
      <c r="T660" s="447"/>
      <c r="U660" s="447"/>
      <c r="V660" s="447"/>
      <c r="W660" s="447"/>
      <c r="X660" s="447"/>
      <c r="Y660" s="447"/>
      <c r="Z660" s="447"/>
      <c r="AA660" s="447"/>
      <c r="AB660" s="447"/>
      <c r="AC660" s="447"/>
      <c r="AD660" s="447"/>
      <c r="AE660" s="447"/>
      <c r="AF660" s="448"/>
      <c r="AG660" s="448"/>
      <c r="AH660" s="449"/>
      <c r="AI660" s="447"/>
      <c r="AJ660" s="447"/>
      <c r="AK660" s="447"/>
      <c r="AL660" s="447"/>
      <c r="AM660" s="447"/>
      <c r="AN660" s="447"/>
      <c r="AO660" s="447"/>
      <c r="AP660" s="447"/>
      <c r="AQ660" s="447"/>
      <c r="AR660" s="447"/>
      <c r="AS660" s="447"/>
      <c r="AT660" s="447"/>
      <c r="AU660" s="447"/>
      <c r="AV660" s="447"/>
      <c r="AW660" s="447"/>
      <c r="AX660" s="447"/>
      <c r="AY660" s="447"/>
      <c r="AZ660" s="447"/>
      <c r="BA660" s="447"/>
      <c r="BB660" s="447"/>
      <c r="BC660" s="447"/>
      <c r="BD660" s="447"/>
      <c r="BE660" s="447"/>
      <c r="BF660" s="447"/>
      <c r="BG660" s="447"/>
      <c r="BH660" s="447"/>
      <c r="BI660" s="447"/>
      <c r="BJ660" s="447"/>
      <c r="BK660" s="447"/>
      <c r="BL660" s="447"/>
      <c r="BM660" s="448"/>
      <c r="BN660" s="448"/>
    </row>
    <row r="661" spans="1:66" ht="11.25" customHeight="1">
      <c r="A661" s="450"/>
      <c r="B661" s="447"/>
      <c r="C661" s="447"/>
      <c r="D661" s="447"/>
      <c r="E661" s="447"/>
      <c r="F661" s="447"/>
      <c r="G661" s="447"/>
      <c r="H661" s="447"/>
      <c r="I661" s="447"/>
      <c r="J661" s="447"/>
      <c r="K661" s="447"/>
      <c r="L661" s="447"/>
      <c r="M661" s="447"/>
      <c r="N661" s="447"/>
      <c r="O661" s="447"/>
      <c r="P661" s="447"/>
      <c r="Q661" s="447"/>
      <c r="R661" s="447"/>
      <c r="S661" s="447"/>
      <c r="T661" s="447"/>
      <c r="U661" s="447"/>
      <c r="V661" s="447"/>
      <c r="W661" s="447"/>
      <c r="X661" s="447"/>
      <c r="Y661" s="447"/>
      <c r="Z661" s="447"/>
      <c r="AA661" s="447"/>
      <c r="AB661" s="447"/>
      <c r="AC661" s="447"/>
      <c r="AD661" s="447"/>
      <c r="AE661" s="447"/>
      <c r="AF661" s="448"/>
      <c r="AG661" s="448"/>
      <c r="AH661" s="449"/>
      <c r="AI661" s="447"/>
      <c r="AJ661" s="447"/>
      <c r="AK661" s="447"/>
      <c r="AL661" s="447"/>
      <c r="AM661" s="447"/>
      <c r="AN661" s="447"/>
      <c r="AO661" s="447"/>
      <c r="AP661" s="447"/>
      <c r="AQ661" s="447"/>
      <c r="AR661" s="447"/>
      <c r="AS661" s="447"/>
      <c r="AT661" s="447"/>
      <c r="AU661" s="447"/>
      <c r="AV661" s="447"/>
      <c r="AW661" s="447"/>
      <c r="AX661" s="447"/>
      <c r="AY661" s="447"/>
      <c r="AZ661" s="447"/>
      <c r="BA661" s="447"/>
      <c r="BB661" s="447"/>
      <c r="BC661" s="447"/>
      <c r="BD661" s="447"/>
      <c r="BE661" s="447"/>
      <c r="BF661" s="447"/>
      <c r="BG661" s="447"/>
      <c r="BH661" s="447"/>
      <c r="BI661" s="447"/>
      <c r="BJ661" s="447"/>
      <c r="BK661" s="447"/>
      <c r="BL661" s="447"/>
      <c r="BM661" s="448"/>
      <c r="BN661" s="448"/>
    </row>
    <row r="662" spans="1:66" ht="11.25" customHeight="1">
      <c r="A662" s="450"/>
      <c r="B662" s="447"/>
      <c r="C662" s="447"/>
      <c r="D662" s="447"/>
      <c r="E662" s="447"/>
      <c r="F662" s="447"/>
      <c r="G662" s="447"/>
      <c r="H662" s="447"/>
      <c r="I662" s="447"/>
      <c r="J662" s="447"/>
      <c r="K662" s="447"/>
      <c r="L662" s="447"/>
      <c r="M662" s="447"/>
      <c r="N662" s="447"/>
      <c r="O662" s="447"/>
      <c r="P662" s="447"/>
      <c r="Q662" s="447"/>
      <c r="R662" s="447"/>
      <c r="S662" s="447"/>
      <c r="T662" s="447"/>
      <c r="U662" s="447"/>
      <c r="V662" s="447"/>
      <c r="W662" s="447"/>
      <c r="X662" s="447"/>
      <c r="Y662" s="447"/>
      <c r="Z662" s="447"/>
      <c r="AA662" s="447"/>
      <c r="AB662" s="447"/>
      <c r="AC662" s="447"/>
      <c r="AD662" s="447"/>
      <c r="AE662" s="447"/>
      <c r="AF662" s="448"/>
      <c r="AG662" s="448"/>
      <c r="AH662" s="449"/>
      <c r="AI662" s="447"/>
      <c r="AJ662" s="447"/>
      <c r="AK662" s="447"/>
      <c r="AL662" s="447"/>
      <c r="AM662" s="447"/>
      <c r="AN662" s="447"/>
      <c r="AO662" s="447"/>
      <c r="AP662" s="447"/>
      <c r="AQ662" s="447"/>
      <c r="AR662" s="447"/>
      <c r="AS662" s="447"/>
      <c r="AT662" s="447"/>
      <c r="AU662" s="447"/>
      <c r="AV662" s="447"/>
      <c r="AW662" s="447"/>
      <c r="AX662" s="447"/>
      <c r="AY662" s="447"/>
      <c r="AZ662" s="447"/>
      <c r="BA662" s="447"/>
      <c r="BB662" s="447"/>
      <c r="BC662" s="447"/>
      <c r="BD662" s="447"/>
      <c r="BE662" s="447"/>
      <c r="BF662" s="447"/>
      <c r="BG662" s="447"/>
      <c r="BH662" s="447"/>
      <c r="BI662" s="447"/>
      <c r="BJ662" s="447"/>
      <c r="BK662" s="447"/>
      <c r="BL662" s="447"/>
      <c r="BM662" s="448"/>
      <c r="BN662" s="448"/>
    </row>
    <row r="663" spans="1:66" ht="11.25" customHeight="1">
      <c r="A663" s="450"/>
      <c r="B663" s="447"/>
      <c r="C663" s="447"/>
      <c r="D663" s="447"/>
      <c r="E663" s="447"/>
      <c r="F663" s="447"/>
      <c r="G663" s="447"/>
      <c r="H663" s="447"/>
      <c r="I663" s="447"/>
      <c r="J663" s="447"/>
      <c r="K663" s="447"/>
      <c r="L663" s="447"/>
      <c r="M663" s="447"/>
      <c r="N663" s="447"/>
      <c r="O663" s="447"/>
      <c r="P663" s="447"/>
      <c r="Q663" s="447"/>
      <c r="R663" s="447"/>
      <c r="S663" s="447"/>
      <c r="T663" s="447"/>
      <c r="U663" s="447"/>
      <c r="V663" s="447"/>
      <c r="W663" s="447"/>
      <c r="X663" s="447"/>
      <c r="Y663" s="447"/>
      <c r="Z663" s="447"/>
      <c r="AA663" s="447"/>
      <c r="AB663" s="447"/>
      <c r="AC663" s="447"/>
      <c r="AD663" s="447"/>
      <c r="AE663" s="447"/>
      <c r="AF663" s="448"/>
      <c r="AG663" s="448"/>
      <c r="AH663" s="449"/>
      <c r="AI663" s="447"/>
      <c r="AJ663" s="447"/>
      <c r="AK663" s="447"/>
      <c r="AL663" s="447"/>
      <c r="AM663" s="447"/>
      <c r="AN663" s="447"/>
      <c r="AO663" s="447"/>
      <c r="AP663" s="447"/>
      <c r="AQ663" s="447"/>
      <c r="AR663" s="447"/>
      <c r="AS663" s="447"/>
      <c r="AT663" s="447"/>
      <c r="AU663" s="447"/>
      <c r="AV663" s="447"/>
      <c r="AW663" s="447"/>
      <c r="AX663" s="447"/>
      <c r="AY663" s="447"/>
      <c r="AZ663" s="447"/>
      <c r="BA663" s="447"/>
      <c r="BB663" s="447"/>
      <c r="BC663" s="447"/>
      <c r="BD663" s="447"/>
      <c r="BE663" s="447"/>
      <c r="BF663" s="447"/>
      <c r="BG663" s="447"/>
      <c r="BH663" s="447"/>
      <c r="BI663" s="447"/>
      <c r="BJ663" s="447"/>
      <c r="BK663" s="447"/>
      <c r="BL663" s="447"/>
      <c r="BM663" s="448"/>
      <c r="BN663" s="448"/>
    </row>
    <row r="664" spans="1:66" ht="11.25" customHeight="1">
      <c r="A664" s="450"/>
      <c r="B664" s="447"/>
      <c r="C664" s="447"/>
      <c r="D664" s="447"/>
      <c r="E664" s="447"/>
      <c r="F664" s="447"/>
      <c r="G664" s="447"/>
      <c r="H664" s="447"/>
      <c r="I664" s="447"/>
      <c r="J664" s="447"/>
      <c r="K664" s="447"/>
      <c r="L664" s="447"/>
      <c r="M664" s="447"/>
      <c r="N664" s="447"/>
      <c r="O664" s="447"/>
      <c r="P664" s="447"/>
      <c r="Q664" s="447"/>
      <c r="R664" s="447"/>
      <c r="S664" s="447"/>
      <c r="T664" s="447"/>
      <c r="U664" s="447"/>
      <c r="V664" s="447"/>
      <c r="W664" s="447"/>
      <c r="X664" s="447"/>
      <c r="Y664" s="447"/>
      <c r="Z664" s="447"/>
      <c r="AA664" s="447"/>
      <c r="AB664" s="447"/>
      <c r="AC664" s="447"/>
      <c r="AD664" s="447"/>
      <c r="AE664" s="447"/>
      <c r="AF664" s="448"/>
      <c r="AG664" s="448"/>
      <c r="AH664" s="449"/>
      <c r="AI664" s="447"/>
      <c r="AJ664" s="447"/>
      <c r="AK664" s="447"/>
      <c r="AL664" s="447"/>
      <c r="AM664" s="447"/>
      <c r="AN664" s="447"/>
      <c r="AO664" s="447"/>
      <c r="AP664" s="447"/>
      <c r="AQ664" s="447"/>
      <c r="AR664" s="447"/>
      <c r="AS664" s="447"/>
      <c r="AT664" s="447"/>
      <c r="AU664" s="447"/>
      <c r="AV664" s="447"/>
      <c r="AW664" s="447"/>
      <c r="AX664" s="447"/>
      <c r="AY664" s="447"/>
      <c r="AZ664" s="447"/>
      <c r="BA664" s="447"/>
      <c r="BB664" s="447"/>
      <c r="BC664" s="447"/>
      <c r="BD664" s="447"/>
      <c r="BE664" s="447"/>
      <c r="BF664" s="447"/>
      <c r="BG664" s="447"/>
      <c r="BH664" s="447"/>
      <c r="BI664" s="447"/>
      <c r="BJ664" s="447"/>
      <c r="BK664" s="447"/>
      <c r="BL664" s="447"/>
      <c r="BM664" s="448"/>
      <c r="BN664" s="448"/>
    </row>
    <row r="665" spans="1:66" ht="11.25" customHeight="1">
      <c r="A665" s="450"/>
      <c r="B665" s="447"/>
      <c r="C665" s="447"/>
      <c r="D665" s="447"/>
      <c r="E665" s="447"/>
      <c r="F665" s="447"/>
      <c r="G665" s="447"/>
      <c r="H665" s="447"/>
      <c r="I665" s="447"/>
      <c r="J665" s="447"/>
      <c r="K665" s="447"/>
      <c r="L665" s="447"/>
      <c r="M665" s="447"/>
      <c r="N665" s="447"/>
      <c r="O665" s="447"/>
      <c r="P665" s="447"/>
      <c r="Q665" s="447"/>
      <c r="R665" s="447"/>
      <c r="S665" s="447"/>
      <c r="T665" s="447"/>
      <c r="U665" s="447"/>
      <c r="V665" s="447"/>
      <c r="W665" s="447"/>
      <c r="X665" s="447"/>
      <c r="Y665" s="447"/>
      <c r="Z665" s="447"/>
      <c r="AA665" s="447"/>
      <c r="AB665" s="447"/>
      <c r="AC665" s="447"/>
      <c r="AD665" s="447"/>
      <c r="AE665" s="447"/>
      <c r="AF665" s="448"/>
      <c r="AG665" s="448"/>
      <c r="AH665" s="449"/>
      <c r="AI665" s="447"/>
      <c r="AJ665" s="447"/>
      <c r="AK665" s="447"/>
      <c r="AL665" s="447"/>
      <c r="AM665" s="447"/>
      <c r="AN665" s="447"/>
      <c r="AO665" s="447"/>
      <c r="AP665" s="447"/>
      <c r="AQ665" s="447"/>
      <c r="AR665" s="447"/>
      <c r="AS665" s="447"/>
      <c r="AT665" s="447"/>
      <c r="AU665" s="447"/>
      <c r="AV665" s="447"/>
      <c r="AW665" s="447"/>
      <c r="AX665" s="447"/>
      <c r="AY665" s="447"/>
      <c r="AZ665" s="447"/>
      <c r="BA665" s="447"/>
      <c r="BB665" s="447"/>
      <c r="BC665" s="447"/>
      <c r="BD665" s="447"/>
      <c r="BE665" s="447"/>
      <c r="BF665" s="447"/>
      <c r="BG665" s="447"/>
      <c r="BH665" s="447"/>
      <c r="BI665" s="447"/>
      <c r="BJ665" s="447"/>
      <c r="BK665" s="447"/>
      <c r="BL665" s="447"/>
      <c r="BM665" s="448"/>
      <c r="BN665" s="448"/>
    </row>
    <row r="666" spans="1:66" ht="11.25" customHeight="1">
      <c r="A666" s="450"/>
      <c r="B666" s="447"/>
      <c r="C666" s="447"/>
      <c r="D666" s="447"/>
      <c r="E666" s="447"/>
      <c r="F666" s="447"/>
      <c r="G666" s="447"/>
      <c r="H666" s="447"/>
      <c r="I666" s="447"/>
      <c r="J666" s="447"/>
      <c r="K666" s="447"/>
      <c r="L666" s="447"/>
      <c r="M666" s="447"/>
      <c r="N666" s="447"/>
      <c r="O666" s="447"/>
      <c r="P666" s="447"/>
      <c r="Q666" s="447"/>
      <c r="R666" s="447"/>
      <c r="S666" s="447"/>
      <c r="T666" s="447"/>
      <c r="U666" s="447"/>
      <c r="V666" s="447"/>
      <c r="W666" s="447"/>
      <c r="X666" s="447"/>
      <c r="Y666" s="447"/>
      <c r="Z666" s="447"/>
      <c r="AA666" s="447"/>
      <c r="AB666" s="447"/>
      <c r="AC666" s="447"/>
      <c r="AD666" s="447"/>
      <c r="AE666" s="447"/>
      <c r="AF666" s="448"/>
      <c r="AG666" s="448"/>
      <c r="AH666" s="449"/>
      <c r="AI666" s="447"/>
      <c r="AJ666" s="447"/>
      <c r="AK666" s="447"/>
      <c r="AL666" s="447"/>
      <c r="AM666" s="447"/>
      <c r="AN666" s="447"/>
      <c r="AO666" s="447"/>
      <c r="AP666" s="447"/>
      <c r="AQ666" s="447"/>
      <c r="AR666" s="447"/>
      <c r="AS666" s="447"/>
      <c r="AT666" s="447"/>
      <c r="AU666" s="447"/>
      <c r="AV666" s="447"/>
      <c r="AW666" s="447"/>
      <c r="AX666" s="447"/>
      <c r="AY666" s="447"/>
      <c r="AZ666" s="447"/>
      <c r="BA666" s="447"/>
      <c r="BB666" s="447"/>
      <c r="BC666" s="447"/>
      <c r="BD666" s="447"/>
      <c r="BE666" s="447"/>
      <c r="BF666" s="447"/>
      <c r="BG666" s="447"/>
      <c r="BH666" s="447"/>
      <c r="BI666" s="447"/>
      <c r="BJ666" s="447"/>
      <c r="BK666" s="447"/>
      <c r="BL666" s="447"/>
      <c r="BM666" s="448"/>
      <c r="BN666" s="448"/>
    </row>
    <row r="667" spans="1:66" ht="11.25" customHeight="1">
      <c r="A667" s="450"/>
      <c r="B667" s="447"/>
      <c r="C667" s="447"/>
      <c r="D667" s="447"/>
      <c r="E667" s="447"/>
      <c r="F667" s="447"/>
      <c r="G667" s="447"/>
      <c r="H667" s="447"/>
      <c r="I667" s="447"/>
      <c r="J667" s="447"/>
      <c r="K667" s="447"/>
      <c r="L667" s="447"/>
      <c r="M667" s="447"/>
      <c r="N667" s="447"/>
      <c r="O667" s="447"/>
      <c r="P667" s="447"/>
      <c r="Q667" s="447"/>
      <c r="R667" s="447"/>
      <c r="S667" s="447"/>
      <c r="T667" s="447"/>
      <c r="U667" s="447"/>
      <c r="V667" s="447"/>
      <c r="W667" s="447"/>
      <c r="X667" s="447"/>
      <c r="Y667" s="447"/>
      <c r="Z667" s="447"/>
      <c r="AA667" s="447"/>
      <c r="AB667" s="447"/>
      <c r="AC667" s="447"/>
      <c r="AD667" s="447"/>
      <c r="AE667" s="447"/>
      <c r="AF667" s="448"/>
      <c r="AG667" s="448"/>
      <c r="AH667" s="449"/>
      <c r="AI667" s="447"/>
      <c r="AJ667" s="447"/>
      <c r="AK667" s="447"/>
      <c r="AL667" s="447"/>
      <c r="AM667" s="447"/>
      <c r="AN667" s="447"/>
      <c r="AO667" s="447"/>
      <c r="AP667" s="447"/>
      <c r="AQ667" s="447"/>
      <c r="AR667" s="447"/>
      <c r="AS667" s="447"/>
      <c r="AT667" s="447"/>
      <c r="AU667" s="447"/>
      <c r="AV667" s="447"/>
      <c r="AW667" s="447"/>
      <c r="AX667" s="447"/>
      <c r="AY667" s="447"/>
      <c r="AZ667" s="447"/>
      <c r="BA667" s="447"/>
      <c r="BB667" s="447"/>
      <c r="BC667" s="447"/>
      <c r="BD667" s="447"/>
      <c r="BE667" s="447"/>
      <c r="BF667" s="447"/>
      <c r="BG667" s="447"/>
      <c r="BH667" s="447"/>
      <c r="BI667" s="447"/>
      <c r="BJ667" s="447"/>
      <c r="BK667" s="447"/>
      <c r="BL667" s="447"/>
      <c r="BM667" s="448"/>
      <c r="BN667" s="448"/>
    </row>
    <row r="668" spans="1:66" ht="11.25" customHeight="1">
      <c r="A668" s="450"/>
      <c r="B668" s="447"/>
      <c r="C668" s="447"/>
      <c r="D668" s="447"/>
      <c r="E668" s="447"/>
      <c r="F668" s="447"/>
      <c r="G668" s="447"/>
      <c r="H668" s="447"/>
      <c r="I668" s="447"/>
      <c r="J668" s="447"/>
      <c r="K668" s="447"/>
      <c r="L668" s="447"/>
      <c r="M668" s="447"/>
      <c r="N668" s="447"/>
      <c r="O668" s="447"/>
      <c r="P668" s="447"/>
      <c r="Q668" s="447"/>
      <c r="R668" s="447"/>
      <c r="S668" s="447"/>
      <c r="T668" s="447"/>
      <c r="U668" s="447"/>
      <c r="V668" s="447"/>
      <c r="W668" s="447"/>
      <c r="X668" s="447"/>
      <c r="Y668" s="447"/>
      <c r="Z668" s="447"/>
      <c r="AA668" s="447"/>
      <c r="AB668" s="447"/>
      <c r="AC668" s="447"/>
      <c r="AD668" s="447"/>
      <c r="AE668" s="447"/>
      <c r="AF668" s="448"/>
      <c r="AG668" s="448"/>
      <c r="AH668" s="449"/>
      <c r="AI668" s="447"/>
      <c r="AJ668" s="447"/>
      <c r="AK668" s="447"/>
      <c r="AL668" s="447"/>
      <c r="AM668" s="447"/>
      <c r="AN668" s="447"/>
      <c r="AO668" s="447"/>
      <c r="AP668" s="447"/>
      <c r="AQ668" s="447"/>
      <c r="AR668" s="447"/>
      <c r="AS668" s="447"/>
      <c r="AT668" s="447"/>
      <c r="AU668" s="447"/>
      <c r="AV668" s="447"/>
      <c r="AW668" s="447"/>
      <c r="AX668" s="447"/>
      <c r="AY668" s="447"/>
      <c r="AZ668" s="447"/>
      <c r="BA668" s="447"/>
      <c r="BB668" s="447"/>
      <c r="BC668" s="447"/>
      <c r="BD668" s="447"/>
      <c r="BE668" s="447"/>
      <c r="BF668" s="447"/>
      <c r="BG668" s="447"/>
      <c r="BH668" s="447"/>
      <c r="BI668" s="447"/>
      <c r="BJ668" s="447"/>
      <c r="BK668" s="447"/>
      <c r="BL668" s="447"/>
      <c r="BM668" s="448"/>
      <c r="BN668" s="448"/>
    </row>
    <row r="669" spans="1:66" ht="11.25" customHeight="1">
      <c r="A669" s="450"/>
      <c r="B669" s="447"/>
      <c r="C669" s="447"/>
      <c r="D669" s="447"/>
      <c r="E669" s="447"/>
      <c r="F669" s="447"/>
      <c r="G669" s="447"/>
      <c r="H669" s="447"/>
      <c r="I669" s="447"/>
      <c r="J669" s="447"/>
      <c r="K669" s="447"/>
      <c r="L669" s="447"/>
      <c r="M669" s="447"/>
      <c r="N669" s="447"/>
      <c r="O669" s="447"/>
      <c r="P669" s="447"/>
      <c r="Q669" s="447"/>
      <c r="R669" s="447"/>
      <c r="S669" s="447"/>
      <c r="T669" s="447"/>
      <c r="U669" s="447"/>
      <c r="V669" s="447"/>
      <c r="W669" s="447"/>
      <c r="X669" s="447"/>
      <c r="Y669" s="447"/>
      <c r="Z669" s="447"/>
      <c r="AA669" s="447"/>
      <c r="AB669" s="447"/>
      <c r="AC669" s="447"/>
      <c r="AD669" s="447"/>
      <c r="AE669" s="447"/>
      <c r="AF669" s="448"/>
      <c r="AG669" s="448"/>
      <c r="AH669" s="449"/>
      <c r="AI669" s="447"/>
      <c r="AJ669" s="447"/>
      <c r="AK669" s="447"/>
      <c r="AL669" s="447"/>
      <c r="AM669" s="447"/>
      <c r="AN669" s="447"/>
      <c r="AO669" s="447"/>
      <c r="AP669" s="447"/>
      <c r="AQ669" s="447"/>
      <c r="AR669" s="447"/>
      <c r="AS669" s="447"/>
      <c r="AT669" s="447"/>
      <c r="AU669" s="447"/>
      <c r="AV669" s="447"/>
      <c r="AW669" s="447"/>
      <c r="AX669" s="447"/>
      <c r="AY669" s="447"/>
      <c r="AZ669" s="447"/>
      <c r="BA669" s="447"/>
      <c r="BB669" s="447"/>
      <c r="BC669" s="447"/>
      <c r="BD669" s="447"/>
      <c r="BE669" s="447"/>
      <c r="BF669" s="447"/>
      <c r="BG669" s="447"/>
      <c r="BH669" s="447"/>
      <c r="BI669" s="447"/>
      <c r="BJ669" s="447"/>
      <c r="BK669" s="447"/>
      <c r="BL669" s="447"/>
      <c r="BM669" s="448"/>
      <c r="BN669" s="448"/>
    </row>
    <row r="670" spans="1:66" ht="11.25" customHeight="1">
      <c r="A670" s="450"/>
      <c r="B670" s="447"/>
      <c r="C670" s="447"/>
      <c r="D670" s="447"/>
      <c r="E670" s="447"/>
      <c r="F670" s="447"/>
      <c r="G670" s="447"/>
      <c r="H670" s="447"/>
      <c r="I670" s="447"/>
      <c r="J670" s="447"/>
      <c r="K670" s="447"/>
      <c r="L670" s="447"/>
      <c r="M670" s="447"/>
      <c r="N670" s="447"/>
      <c r="O670" s="447"/>
      <c r="P670" s="447"/>
      <c r="Q670" s="447"/>
      <c r="R670" s="447"/>
      <c r="S670" s="447"/>
      <c r="T670" s="447"/>
      <c r="U670" s="447"/>
      <c r="V670" s="447"/>
      <c r="W670" s="447"/>
      <c r="X670" s="447"/>
      <c r="Y670" s="447"/>
      <c r="Z670" s="447"/>
      <c r="AA670" s="447"/>
      <c r="AB670" s="447"/>
      <c r="AC670" s="447"/>
      <c r="AD670" s="447"/>
      <c r="AE670" s="447"/>
      <c r="AF670" s="448"/>
      <c r="AG670" s="448"/>
      <c r="AH670" s="449"/>
      <c r="AI670" s="447"/>
      <c r="AJ670" s="447"/>
      <c r="AK670" s="447"/>
      <c r="AL670" s="447"/>
      <c r="AM670" s="447"/>
      <c r="AN670" s="447"/>
      <c r="AO670" s="447"/>
      <c r="AP670" s="447"/>
      <c r="AQ670" s="447"/>
      <c r="AR670" s="447"/>
      <c r="AS670" s="447"/>
      <c r="AT670" s="447"/>
      <c r="AU670" s="447"/>
      <c r="AV670" s="447"/>
      <c r="AW670" s="447"/>
      <c r="AX670" s="447"/>
      <c r="AY670" s="447"/>
      <c r="AZ670" s="447"/>
      <c r="BA670" s="447"/>
      <c r="BB670" s="447"/>
      <c r="BC670" s="447"/>
      <c r="BD670" s="447"/>
      <c r="BE670" s="447"/>
      <c r="BF670" s="447"/>
      <c r="BG670" s="447"/>
      <c r="BH670" s="447"/>
      <c r="BI670" s="447"/>
      <c r="BJ670" s="447"/>
      <c r="BK670" s="447"/>
      <c r="BL670" s="447"/>
      <c r="BM670" s="448"/>
      <c r="BN670" s="448"/>
    </row>
    <row r="671" spans="1:66" ht="11.25" customHeight="1">
      <c r="A671" s="450"/>
      <c r="B671" s="447"/>
      <c r="C671" s="447"/>
      <c r="D671" s="447"/>
      <c r="E671" s="447"/>
      <c r="F671" s="447"/>
      <c r="G671" s="447"/>
      <c r="H671" s="447"/>
      <c r="I671" s="447"/>
      <c r="J671" s="447"/>
      <c r="K671" s="447"/>
      <c r="L671" s="447"/>
      <c r="M671" s="447"/>
      <c r="N671" s="447"/>
      <c r="O671" s="447"/>
      <c r="P671" s="447"/>
      <c r="Q671" s="447"/>
      <c r="R671" s="447"/>
      <c r="S671" s="447"/>
      <c r="T671" s="447"/>
      <c r="U671" s="447"/>
      <c r="V671" s="447"/>
      <c r="W671" s="447"/>
      <c r="X671" s="447"/>
      <c r="Y671" s="447"/>
      <c r="Z671" s="447"/>
      <c r="AA671" s="447"/>
      <c r="AB671" s="447"/>
      <c r="AC671" s="447"/>
      <c r="AD671" s="447"/>
      <c r="AE671" s="447"/>
      <c r="AF671" s="448"/>
      <c r="AG671" s="448"/>
      <c r="AH671" s="449"/>
      <c r="AI671" s="447"/>
      <c r="AJ671" s="447"/>
      <c r="AK671" s="447"/>
      <c r="AL671" s="447"/>
      <c r="AM671" s="447"/>
      <c r="AN671" s="447"/>
      <c r="AO671" s="447"/>
      <c r="AP671" s="447"/>
      <c r="AQ671" s="447"/>
      <c r="AR671" s="447"/>
      <c r="AS671" s="447"/>
      <c r="AT671" s="447"/>
      <c r="AU671" s="447"/>
      <c r="AV671" s="447"/>
      <c r="AW671" s="447"/>
      <c r="AX671" s="447"/>
      <c r="AY671" s="447"/>
      <c r="AZ671" s="447"/>
      <c r="BA671" s="447"/>
      <c r="BB671" s="447"/>
      <c r="BC671" s="447"/>
      <c r="BD671" s="447"/>
      <c r="BE671" s="447"/>
      <c r="BF671" s="447"/>
      <c r="BG671" s="447"/>
      <c r="BH671" s="447"/>
      <c r="BI671" s="447"/>
      <c r="BJ671" s="447"/>
      <c r="BK671" s="447"/>
      <c r="BL671" s="447"/>
      <c r="BM671" s="448"/>
      <c r="BN671" s="448"/>
    </row>
    <row r="672" spans="1:66" ht="11.25" customHeight="1">
      <c r="A672" s="450"/>
      <c r="B672" s="447"/>
      <c r="C672" s="447"/>
      <c r="D672" s="447"/>
      <c r="E672" s="447"/>
      <c r="F672" s="447"/>
      <c r="G672" s="447"/>
      <c r="H672" s="447"/>
      <c r="I672" s="447"/>
      <c r="J672" s="447"/>
      <c r="K672" s="447"/>
      <c r="L672" s="447"/>
      <c r="M672" s="447"/>
      <c r="N672" s="447"/>
      <c r="O672" s="447"/>
      <c r="P672" s="447"/>
      <c r="Q672" s="447"/>
      <c r="R672" s="447"/>
      <c r="S672" s="447"/>
      <c r="T672" s="447"/>
      <c r="U672" s="447"/>
      <c r="V672" s="447"/>
      <c r="W672" s="447"/>
      <c r="X672" s="447"/>
      <c r="Y672" s="447"/>
      <c r="Z672" s="447"/>
      <c r="AA672" s="447"/>
      <c r="AB672" s="447"/>
      <c r="AC672" s="447"/>
      <c r="AD672" s="447"/>
      <c r="AE672" s="447"/>
      <c r="AF672" s="448"/>
      <c r="AG672" s="448"/>
      <c r="AH672" s="449"/>
      <c r="AI672" s="447"/>
      <c r="AJ672" s="447"/>
      <c r="AK672" s="447"/>
      <c r="AL672" s="447"/>
      <c r="AM672" s="447"/>
      <c r="AN672" s="447"/>
      <c r="AO672" s="447"/>
      <c r="AP672" s="447"/>
      <c r="AQ672" s="447"/>
      <c r="AR672" s="447"/>
      <c r="AS672" s="447"/>
      <c r="AT672" s="447"/>
      <c r="AU672" s="447"/>
      <c r="AV672" s="447"/>
      <c r="AW672" s="447"/>
      <c r="AX672" s="447"/>
      <c r="AY672" s="447"/>
      <c r="AZ672" s="447"/>
      <c r="BA672" s="447"/>
      <c r="BB672" s="447"/>
      <c r="BC672" s="447"/>
      <c r="BD672" s="447"/>
      <c r="BE672" s="447"/>
      <c r="BF672" s="447"/>
      <c r="BG672" s="447"/>
      <c r="BH672" s="447"/>
      <c r="BI672" s="447"/>
      <c r="BJ672" s="447"/>
      <c r="BK672" s="447"/>
      <c r="BL672" s="447"/>
      <c r="BM672" s="448"/>
      <c r="BN672" s="448"/>
    </row>
    <row r="673" spans="1:66" ht="11.25" customHeight="1">
      <c r="A673" s="450"/>
      <c r="B673" s="447"/>
      <c r="C673" s="447"/>
      <c r="D673" s="447"/>
      <c r="E673" s="447"/>
      <c r="F673" s="447"/>
      <c r="G673" s="447"/>
      <c r="H673" s="447"/>
      <c r="I673" s="447"/>
      <c r="J673" s="447"/>
      <c r="K673" s="447"/>
      <c r="L673" s="447"/>
      <c r="M673" s="447"/>
      <c r="N673" s="447"/>
      <c r="O673" s="447"/>
      <c r="P673" s="447"/>
      <c r="Q673" s="447"/>
      <c r="R673" s="447"/>
      <c r="S673" s="447"/>
      <c r="T673" s="447"/>
      <c r="U673" s="447"/>
      <c r="V673" s="447"/>
      <c r="W673" s="447"/>
      <c r="X673" s="447"/>
      <c r="Y673" s="447"/>
      <c r="Z673" s="447"/>
      <c r="AA673" s="447"/>
      <c r="AB673" s="447"/>
      <c r="AC673" s="447"/>
      <c r="AD673" s="447"/>
      <c r="AE673" s="447"/>
      <c r="AF673" s="448"/>
      <c r="AG673" s="448"/>
      <c r="AH673" s="449"/>
      <c r="AI673" s="447"/>
      <c r="AJ673" s="447"/>
      <c r="AK673" s="447"/>
      <c r="AL673" s="447"/>
      <c r="AM673" s="447"/>
      <c r="AN673" s="447"/>
      <c r="AO673" s="447"/>
      <c r="AP673" s="447"/>
      <c r="AQ673" s="447"/>
      <c r="AR673" s="447"/>
      <c r="AS673" s="447"/>
      <c r="AT673" s="447"/>
      <c r="AU673" s="447"/>
      <c r="AV673" s="447"/>
      <c r="AW673" s="447"/>
      <c r="AX673" s="447"/>
      <c r="AY673" s="447"/>
      <c r="AZ673" s="447"/>
      <c r="BA673" s="447"/>
      <c r="BB673" s="447"/>
      <c r="BC673" s="447"/>
      <c r="BD673" s="447"/>
      <c r="BE673" s="447"/>
      <c r="BF673" s="447"/>
      <c r="BG673" s="447"/>
      <c r="BH673" s="447"/>
      <c r="BI673" s="447"/>
      <c r="BJ673" s="447"/>
      <c r="BK673" s="447"/>
      <c r="BL673" s="447"/>
      <c r="BM673" s="448"/>
      <c r="BN673" s="448"/>
    </row>
    <row r="674" spans="1:66" ht="11.25" customHeight="1">
      <c r="A674" s="450"/>
      <c r="B674" s="447"/>
      <c r="C674" s="447"/>
      <c r="D674" s="447"/>
      <c r="E674" s="447"/>
      <c r="F674" s="447"/>
      <c r="G674" s="447"/>
      <c r="H674" s="447"/>
      <c r="I674" s="447"/>
      <c r="J674" s="447"/>
      <c r="K674" s="447"/>
      <c r="L674" s="447"/>
      <c r="M674" s="447"/>
      <c r="N674" s="447"/>
      <c r="O674" s="447"/>
      <c r="P674" s="447"/>
      <c r="Q674" s="447"/>
      <c r="R674" s="447"/>
      <c r="S674" s="447"/>
      <c r="T674" s="447"/>
      <c r="U674" s="447"/>
      <c r="V674" s="447"/>
      <c r="W674" s="447"/>
      <c r="X674" s="447"/>
      <c r="Y674" s="447"/>
      <c r="Z674" s="447"/>
      <c r="AA674" s="447"/>
      <c r="AB674" s="447"/>
      <c r="AC674" s="447"/>
      <c r="AD674" s="447"/>
      <c r="AE674" s="447"/>
      <c r="AF674" s="448"/>
      <c r="AG674" s="448"/>
      <c r="AH674" s="449"/>
      <c r="AI674" s="447"/>
      <c r="AJ674" s="447"/>
      <c r="AK674" s="447"/>
      <c r="AL674" s="447"/>
      <c r="AM674" s="447"/>
      <c r="AN674" s="447"/>
      <c r="AO674" s="447"/>
      <c r="AP674" s="447"/>
      <c r="AQ674" s="447"/>
      <c r="AR674" s="447"/>
      <c r="AS674" s="447"/>
      <c r="AT674" s="447"/>
      <c r="AU674" s="447"/>
      <c r="AV674" s="447"/>
      <c r="AW674" s="447"/>
      <c r="AX674" s="447"/>
      <c r="AY674" s="447"/>
      <c r="AZ674" s="447"/>
      <c r="BA674" s="447"/>
      <c r="BB674" s="447"/>
      <c r="BC674" s="447"/>
      <c r="BD674" s="447"/>
      <c r="BE674" s="447"/>
      <c r="BF674" s="447"/>
      <c r="BG674" s="447"/>
      <c r="BH674" s="447"/>
      <c r="BI674" s="447"/>
      <c r="BJ674" s="447"/>
      <c r="BK674" s="447"/>
      <c r="BL674" s="447"/>
      <c r="BM674" s="448"/>
      <c r="BN674" s="448"/>
    </row>
    <row r="675" spans="1:66" ht="11.25" customHeight="1">
      <c r="A675" s="450"/>
      <c r="B675" s="447"/>
      <c r="C675" s="447"/>
      <c r="D675" s="447"/>
      <c r="E675" s="447"/>
      <c r="F675" s="447"/>
      <c r="G675" s="447"/>
      <c r="H675" s="447"/>
      <c r="I675" s="447"/>
      <c r="J675" s="447"/>
      <c r="K675" s="447"/>
      <c r="L675" s="447"/>
      <c r="M675" s="447"/>
      <c r="N675" s="447"/>
      <c r="O675" s="447"/>
      <c r="P675" s="447"/>
      <c r="Q675" s="447"/>
      <c r="R675" s="447"/>
      <c r="S675" s="447"/>
      <c r="T675" s="447"/>
      <c r="U675" s="447"/>
      <c r="V675" s="447"/>
      <c r="W675" s="447"/>
      <c r="X675" s="447"/>
      <c r="Y675" s="447"/>
      <c r="Z675" s="447"/>
      <c r="AA675" s="447"/>
      <c r="AB675" s="447"/>
      <c r="AC675" s="447"/>
      <c r="AD675" s="447"/>
      <c r="AE675" s="447"/>
      <c r="AF675" s="448"/>
      <c r="AG675" s="448"/>
      <c r="AH675" s="449"/>
      <c r="AI675" s="447"/>
      <c r="AJ675" s="447"/>
      <c r="AK675" s="447"/>
      <c r="AL675" s="447"/>
      <c r="AM675" s="447"/>
      <c r="AN675" s="447"/>
      <c r="AO675" s="447"/>
      <c r="AP675" s="447"/>
      <c r="AQ675" s="447"/>
      <c r="AR675" s="447"/>
      <c r="AS675" s="447"/>
      <c r="AT675" s="447"/>
      <c r="AU675" s="447"/>
      <c r="AV675" s="447"/>
      <c r="AW675" s="447"/>
      <c r="AX675" s="447"/>
      <c r="AY675" s="447"/>
      <c r="AZ675" s="447"/>
      <c r="BA675" s="447"/>
      <c r="BB675" s="447"/>
      <c r="BC675" s="447"/>
      <c r="BD675" s="447"/>
      <c r="BE675" s="447"/>
      <c r="BF675" s="447"/>
      <c r="BG675" s="447"/>
      <c r="BH675" s="447"/>
      <c r="BI675" s="447"/>
      <c r="BJ675" s="447"/>
      <c r="BK675" s="447"/>
      <c r="BL675" s="447"/>
      <c r="BM675" s="448"/>
      <c r="BN675" s="448"/>
    </row>
    <row r="676" spans="1:66" ht="11.25" customHeight="1">
      <c r="A676" s="450"/>
      <c r="B676" s="447"/>
      <c r="C676" s="447"/>
      <c r="D676" s="447"/>
      <c r="E676" s="447"/>
      <c r="F676" s="447"/>
      <c r="G676" s="447"/>
      <c r="H676" s="447"/>
      <c r="I676" s="447"/>
      <c r="J676" s="447"/>
      <c r="K676" s="447"/>
      <c r="L676" s="447"/>
      <c r="M676" s="447"/>
      <c r="N676" s="447"/>
      <c r="O676" s="447"/>
      <c r="P676" s="447"/>
      <c r="Q676" s="447"/>
      <c r="R676" s="447"/>
      <c r="S676" s="447"/>
      <c r="T676" s="447"/>
      <c r="U676" s="447"/>
      <c r="V676" s="447"/>
      <c r="W676" s="447"/>
      <c r="X676" s="447"/>
      <c r="Y676" s="447"/>
      <c r="Z676" s="447"/>
      <c r="AA676" s="447"/>
      <c r="AB676" s="447"/>
      <c r="AC676" s="447"/>
      <c r="AD676" s="447"/>
      <c r="AE676" s="447"/>
      <c r="AF676" s="448"/>
      <c r="AG676" s="448"/>
      <c r="AH676" s="449"/>
      <c r="AI676" s="447"/>
      <c r="AJ676" s="447"/>
      <c r="AK676" s="447"/>
      <c r="AL676" s="447"/>
      <c r="AM676" s="447"/>
      <c r="AN676" s="447"/>
      <c r="AO676" s="447"/>
      <c r="AP676" s="447"/>
      <c r="AQ676" s="447"/>
      <c r="AR676" s="447"/>
      <c r="AS676" s="447"/>
      <c r="AT676" s="447"/>
      <c r="AU676" s="447"/>
      <c r="AV676" s="447"/>
      <c r="AW676" s="447"/>
      <c r="AX676" s="447"/>
      <c r="AY676" s="447"/>
      <c r="AZ676" s="447"/>
      <c r="BA676" s="447"/>
      <c r="BB676" s="447"/>
      <c r="BC676" s="447"/>
      <c r="BD676" s="447"/>
      <c r="BE676" s="447"/>
      <c r="BF676" s="447"/>
      <c r="BG676" s="447"/>
      <c r="BH676" s="447"/>
      <c r="BI676" s="447"/>
      <c r="BJ676" s="447"/>
      <c r="BK676" s="447"/>
      <c r="BL676" s="447"/>
      <c r="BM676" s="448"/>
      <c r="BN676" s="448"/>
    </row>
    <row r="677" spans="1:66" ht="11.25" customHeight="1">
      <c r="A677" s="450"/>
      <c r="B677" s="447"/>
      <c r="C677" s="447"/>
      <c r="D677" s="447"/>
      <c r="E677" s="447"/>
      <c r="F677" s="447"/>
      <c r="G677" s="447"/>
      <c r="H677" s="447"/>
      <c r="I677" s="447"/>
      <c r="J677" s="447"/>
      <c r="K677" s="447"/>
      <c r="L677" s="447"/>
      <c r="M677" s="447"/>
      <c r="N677" s="447"/>
      <c r="O677" s="447"/>
      <c r="P677" s="447"/>
      <c r="Q677" s="447"/>
      <c r="R677" s="447"/>
      <c r="S677" s="447"/>
      <c r="T677" s="447"/>
      <c r="U677" s="447"/>
      <c r="V677" s="447"/>
      <c r="W677" s="447"/>
      <c r="X677" s="447"/>
      <c r="Y677" s="447"/>
      <c r="Z677" s="447"/>
      <c r="AA677" s="447"/>
      <c r="AB677" s="447"/>
      <c r="AC677" s="447"/>
      <c r="AD677" s="447"/>
      <c r="AE677" s="447"/>
      <c r="AF677" s="448"/>
      <c r="AG677" s="448"/>
      <c r="AH677" s="449"/>
      <c r="AI677" s="447"/>
      <c r="AJ677" s="447"/>
      <c r="AK677" s="447"/>
      <c r="AL677" s="447"/>
      <c r="AM677" s="447"/>
      <c r="AN677" s="447"/>
      <c r="AO677" s="447"/>
      <c r="AP677" s="447"/>
      <c r="AQ677" s="447"/>
      <c r="AR677" s="447"/>
      <c r="AS677" s="447"/>
      <c r="AT677" s="447"/>
      <c r="AU677" s="447"/>
      <c r="AV677" s="447"/>
      <c r="AW677" s="447"/>
      <c r="AX677" s="447"/>
      <c r="AY677" s="447"/>
      <c r="AZ677" s="447"/>
      <c r="BA677" s="447"/>
      <c r="BB677" s="447"/>
      <c r="BC677" s="447"/>
      <c r="BD677" s="447"/>
      <c r="BE677" s="447"/>
      <c r="BF677" s="447"/>
      <c r="BG677" s="447"/>
      <c r="BH677" s="447"/>
      <c r="BI677" s="447"/>
      <c r="BJ677" s="447"/>
      <c r="BK677" s="447"/>
      <c r="BL677" s="447"/>
      <c r="BM677" s="448"/>
      <c r="BN677" s="448"/>
    </row>
    <row r="678" spans="1:66" ht="11.25" customHeight="1">
      <c r="A678" s="450"/>
      <c r="B678" s="447"/>
      <c r="C678" s="447"/>
      <c r="D678" s="447"/>
      <c r="E678" s="447"/>
      <c r="F678" s="447"/>
      <c r="G678" s="447"/>
      <c r="H678" s="447"/>
      <c r="I678" s="447"/>
      <c r="J678" s="447"/>
      <c r="K678" s="447"/>
      <c r="L678" s="447"/>
      <c r="M678" s="447"/>
      <c r="N678" s="447"/>
      <c r="O678" s="447"/>
      <c r="P678" s="447"/>
      <c r="Q678" s="447"/>
      <c r="R678" s="447"/>
      <c r="S678" s="447"/>
      <c r="T678" s="447"/>
      <c r="U678" s="447"/>
      <c r="V678" s="447"/>
      <c r="W678" s="447"/>
      <c r="X678" s="447"/>
      <c r="Y678" s="447"/>
      <c r="Z678" s="447"/>
      <c r="AA678" s="447"/>
      <c r="AB678" s="447"/>
      <c r="AC678" s="447"/>
      <c r="AD678" s="447"/>
      <c r="AE678" s="447"/>
      <c r="AF678" s="448"/>
      <c r="AG678" s="448"/>
      <c r="AH678" s="449"/>
      <c r="AI678" s="447"/>
      <c r="AJ678" s="447"/>
      <c r="AK678" s="447"/>
      <c r="AL678" s="447"/>
      <c r="AM678" s="447"/>
      <c r="AN678" s="447"/>
      <c r="AO678" s="447"/>
      <c r="AP678" s="447"/>
      <c r="AQ678" s="447"/>
      <c r="AR678" s="447"/>
      <c r="AS678" s="447"/>
      <c r="AT678" s="447"/>
      <c r="AU678" s="447"/>
      <c r="AV678" s="447"/>
      <c r="AW678" s="447"/>
      <c r="AX678" s="447"/>
      <c r="AY678" s="447"/>
      <c r="AZ678" s="447"/>
      <c r="BA678" s="447"/>
      <c r="BB678" s="447"/>
      <c r="BC678" s="447"/>
      <c r="BD678" s="447"/>
      <c r="BE678" s="447"/>
      <c r="BF678" s="447"/>
      <c r="BG678" s="447"/>
      <c r="BH678" s="447"/>
      <c r="BI678" s="447"/>
      <c r="BJ678" s="447"/>
      <c r="BK678" s="447"/>
      <c r="BL678" s="447"/>
      <c r="BM678" s="448"/>
      <c r="BN678" s="448"/>
    </row>
    <row r="679" spans="1:66" ht="11.25" customHeight="1">
      <c r="A679" s="450"/>
      <c r="B679" s="447"/>
      <c r="C679" s="447"/>
      <c r="D679" s="447"/>
      <c r="E679" s="447"/>
      <c r="F679" s="447"/>
      <c r="G679" s="447"/>
      <c r="H679" s="447"/>
      <c r="I679" s="447"/>
      <c r="J679" s="447"/>
      <c r="K679" s="447"/>
      <c r="L679" s="447"/>
      <c r="M679" s="447"/>
      <c r="N679" s="447"/>
      <c r="O679" s="447"/>
      <c r="P679" s="447"/>
      <c r="Q679" s="447"/>
      <c r="R679" s="447"/>
      <c r="S679" s="447"/>
      <c r="T679" s="447"/>
      <c r="U679" s="447"/>
      <c r="V679" s="447"/>
      <c r="W679" s="447"/>
      <c r="X679" s="447"/>
      <c r="Y679" s="447"/>
      <c r="Z679" s="447"/>
      <c r="AA679" s="447"/>
      <c r="AB679" s="447"/>
      <c r="AC679" s="447"/>
      <c r="AD679" s="447"/>
      <c r="AE679" s="447"/>
      <c r="AF679" s="448"/>
      <c r="AG679" s="448"/>
      <c r="AH679" s="449"/>
      <c r="AI679" s="447"/>
      <c r="AJ679" s="447"/>
      <c r="AK679" s="447"/>
      <c r="AL679" s="447"/>
      <c r="AM679" s="447"/>
      <c r="AN679" s="447"/>
      <c r="AO679" s="447"/>
      <c r="AP679" s="447"/>
      <c r="AQ679" s="447"/>
      <c r="AR679" s="447"/>
      <c r="AS679" s="447"/>
      <c r="AT679" s="447"/>
      <c r="AU679" s="447"/>
      <c r="AV679" s="447"/>
      <c r="AW679" s="447"/>
      <c r="AX679" s="447"/>
      <c r="AY679" s="447"/>
      <c r="AZ679" s="447"/>
      <c r="BA679" s="447"/>
      <c r="BB679" s="447"/>
      <c r="BC679" s="447"/>
      <c r="BD679" s="447"/>
      <c r="BE679" s="447"/>
      <c r="BF679" s="447"/>
      <c r="BG679" s="447"/>
      <c r="BH679" s="447"/>
      <c r="BI679" s="447"/>
      <c r="BJ679" s="447"/>
      <c r="BK679" s="447"/>
      <c r="BL679" s="447"/>
      <c r="BM679" s="448"/>
      <c r="BN679" s="448"/>
    </row>
    <row r="680" spans="1:66" ht="11.25" customHeight="1">
      <c r="A680" s="450"/>
      <c r="B680" s="447"/>
      <c r="C680" s="447"/>
      <c r="D680" s="447"/>
      <c r="E680" s="447"/>
      <c r="F680" s="447"/>
      <c r="G680" s="447"/>
      <c r="H680" s="447"/>
      <c r="I680" s="447"/>
      <c r="J680" s="447"/>
      <c r="K680" s="447"/>
      <c r="L680" s="447"/>
      <c r="M680" s="447"/>
      <c r="N680" s="447"/>
      <c r="O680" s="447"/>
      <c r="P680" s="447"/>
      <c r="Q680" s="447"/>
      <c r="R680" s="447"/>
      <c r="S680" s="447"/>
      <c r="T680" s="447"/>
      <c r="U680" s="447"/>
      <c r="V680" s="447"/>
      <c r="W680" s="447"/>
      <c r="X680" s="447"/>
      <c r="Y680" s="447"/>
      <c r="Z680" s="447"/>
      <c r="AA680" s="447"/>
      <c r="AB680" s="447"/>
      <c r="AC680" s="447"/>
      <c r="AD680" s="447"/>
      <c r="AE680" s="447"/>
      <c r="AF680" s="448"/>
      <c r="AG680" s="448"/>
      <c r="AH680" s="449"/>
      <c r="AI680" s="447"/>
      <c r="AJ680" s="447"/>
      <c r="AK680" s="447"/>
      <c r="AL680" s="447"/>
      <c r="AM680" s="447"/>
      <c r="AN680" s="447"/>
      <c r="AO680" s="447"/>
      <c r="AP680" s="447"/>
      <c r="AQ680" s="447"/>
      <c r="AR680" s="447"/>
      <c r="AS680" s="447"/>
      <c r="AT680" s="447"/>
      <c r="AU680" s="447"/>
      <c r="AV680" s="447"/>
      <c r="AW680" s="447"/>
      <c r="AX680" s="447"/>
      <c r="AY680" s="447"/>
      <c r="AZ680" s="447"/>
      <c r="BA680" s="447"/>
      <c r="BB680" s="447"/>
      <c r="BC680" s="447"/>
      <c r="BD680" s="447"/>
      <c r="BE680" s="447"/>
      <c r="BF680" s="447"/>
      <c r="BG680" s="447"/>
      <c r="BH680" s="447"/>
      <c r="BI680" s="447"/>
      <c r="BJ680" s="447"/>
      <c r="BK680" s="447"/>
      <c r="BL680" s="447"/>
      <c r="BM680" s="448"/>
      <c r="BN680" s="448"/>
    </row>
    <row r="681" spans="1:66" ht="11.25" customHeight="1">
      <c r="A681" s="450"/>
      <c r="B681" s="447"/>
      <c r="C681" s="447"/>
      <c r="D681" s="447"/>
      <c r="E681" s="447"/>
      <c r="F681" s="447"/>
      <c r="G681" s="447"/>
      <c r="H681" s="447"/>
      <c r="I681" s="447"/>
      <c r="J681" s="447"/>
      <c r="K681" s="447"/>
      <c r="L681" s="447"/>
      <c r="M681" s="447"/>
      <c r="N681" s="447"/>
      <c r="O681" s="447"/>
      <c r="P681" s="447"/>
      <c r="Q681" s="447"/>
      <c r="R681" s="447"/>
      <c r="S681" s="447"/>
      <c r="T681" s="447"/>
      <c r="U681" s="447"/>
      <c r="V681" s="447"/>
      <c r="W681" s="447"/>
      <c r="X681" s="447"/>
      <c r="Y681" s="447"/>
      <c r="Z681" s="447"/>
      <c r="AA681" s="447"/>
      <c r="AB681" s="447"/>
      <c r="AC681" s="447"/>
      <c r="AD681" s="447"/>
      <c r="AE681" s="447"/>
      <c r="AF681" s="448"/>
      <c r="AG681" s="448"/>
      <c r="AH681" s="449"/>
      <c r="AI681" s="447"/>
      <c r="AJ681" s="447"/>
      <c r="AK681" s="447"/>
      <c r="AL681" s="447"/>
      <c r="AM681" s="447"/>
      <c r="AN681" s="447"/>
      <c r="AO681" s="447"/>
      <c r="AP681" s="447"/>
      <c r="AQ681" s="447"/>
      <c r="AR681" s="447"/>
      <c r="AS681" s="447"/>
      <c r="AT681" s="447"/>
      <c r="AU681" s="447"/>
      <c r="AV681" s="447"/>
      <c r="AW681" s="447"/>
      <c r="AX681" s="447"/>
      <c r="AY681" s="447"/>
      <c r="AZ681" s="447"/>
      <c r="BA681" s="447"/>
      <c r="BB681" s="447"/>
      <c r="BC681" s="447"/>
      <c r="BD681" s="447"/>
      <c r="BE681" s="447"/>
      <c r="BF681" s="447"/>
      <c r="BG681" s="447"/>
      <c r="BH681" s="447"/>
      <c r="BI681" s="447"/>
      <c r="BJ681" s="447"/>
      <c r="BK681" s="447"/>
      <c r="BL681" s="447"/>
      <c r="BM681" s="448"/>
      <c r="BN681" s="448"/>
    </row>
    <row r="682" spans="1:66" ht="11.25" customHeight="1">
      <c r="A682" s="450"/>
      <c r="B682" s="447"/>
      <c r="C682" s="447"/>
      <c r="D682" s="447"/>
      <c r="E682" s="447"/>
      <c r="F682" s="447"/>
      <c r="G682" s="447"/>
      <c r="H682" s="447"/>
      <c r="I682" s="447"/>
      <c r="J682" s="447"/>
      <c r="K682" s="447"/>
      <c r="L682" s="447"/>
      <c r="M682" s="447"/>
      <c r="N682" s="447"/>
      <c r="O682" s="447"/>
      <c r="P682" s="447"/>
      <c r="Q682" s="447"/>
      <c r="R682" s="447"/>
      <c r="S682" s="447"/>
      <c r="T682" s="447"/>
      <c r="U682" s="447"/>
      <c r="V682" s="447"/>
      <c r="W682" s="447"/>
      <c r="X682" s="447"/>
      <c r="Y682" s="447"/>
      <c r="Z682" s="447"/>
      <c r="AA682" s="447"/>
      <c r="AB682" s="447"/>
      <c r="AC682" s="447"/>
      <c r="AD682" s="447"/>
      <c r="AE682" s="447"/>
      <c r="AF682" s="448"/>
      <c r="AG682" s="448"/>
      <c r="AH682" s="449"/>
      <c r="AI682" s="447"/>
      <c r="AJ682" s="447"/>
      <c r="AK682" s="447"/>
      <c r="AL682" s="447"/>
      <c r="AM682" s="447"/>
      <c r="AN682" s="447"/>
      <c r="AO682" s="447"/>
      <c r="AP682" s="447"/>
      <c r="AQ682" s="447"/>
      <c r="AR682" s="447"/>
      <c r="AS682" s="447"/>
      <c r="AT682" s="447"/>
      <c r="AU682" s="447"/>
      <c r="AV682" s="447"/>
      <c r="AW682" s="447"/>
      <c r="AX682" s="447"/>
      <c r="AY682" s="447"/>
      <c r="AZ682" s="447"/>
      <c r="BA682" s="447"/>
      <c r="BB682" s="447"/>
      <c r="BC682" s="447"/>
      <c r="BD682" s="447"/>
      <c r="BE682" s="447"/>
      <c r="BF682" s="447"/>
      <c r="BG682" s="447"/>
      <c r="BH682" s="447"/>
      <c r="BI682" s="447"/>
      <c r="BJ682" s="447"/>
      <c r="BK682" s="447"/>
      <c r="BL682" s="447"/>
      <c r="BM682" s="448"/>
      <c r="BN682" s="448"/>
    </row>
    <row r="683" spans="1:66" ht="11.25" customHeight="1">
      <c r="A683" s="450"/>
      <c r="B683" s="447"/>
      <c r="C683" s="447"/>
      <c r="D683" s="447"/>
      <c r="E683" s="447"/>
      <c r="F683" s="447"/>
      <c r="G683" s="447"/>
      <c r="H683" s="447"/>
      <c r="I683" s="447"/>
      <c r="J683" s="447"/>
      <c r="K683" s="447"/>
      <c r="L683" s="447"/>
      <c r="M683" s="447"/>
      <c r="N683" s="447"/>
      <c r="O683" s="447"/>
      <c r="P683" s="447"/>
      <c r="Q683" s="447"/>
      <c r="R683" s="447"/>
      <c r="S683" s="447"/>
      <c r="T683" s="447"/>
      <c r="U683" s="447"/>
      <c r="V683" s="447"/>
      <c r="W683" s="447"/>
      <c r="X683" s="447"/>
      <c r="Y683" s="447"/>
      <c r="Z683" s="447"/>
      <c r="AA683" s="447"/>
      <c r="AB683" s="447"/>
      <c r="AC683" s="447"/>
      <c r="AD683" s="447"/>
      <c r="AE683" s="447"/>
      <c r="AF683" s="448"/>
      <c r="AG683" s="448"/>
      <c r="AH683" s="449"/>
      <c r="AI683" s="447"/>
      <c r="AJ683" s="447"/>
      <c r="AK683" s="447"/>
      <c r="AL683" s="447"/>
      <c r="AM683" s="447"/>
      <c r="AN683" s="447"/>
      <c r="AO683" s="447"/>
      <c r="AP683" s="447"/>
      <c r="AQ683" s="447"/>
      <c r="AR683" s="447"/>
      <c r="AS683" s="447"/>
      <c r="AT683" s="447"/>
      <c r="AU683" s="447"/>
      <c r="AV683" s="447"/>
      <c r="AW683" s="447"/>
      <c r="AX683" s="447"/>
      <c r="AY683" s="447"/>
      <c r="AZ683" s="447"/>
      <c r="BA683" s="447"/>
      <c r="BB683" s="447"/>
      <c r="BC683" s="447"/>
      <c r="BD683" s="447"/>
      <c r="BE683" s="447"/>
      <c r="BF683" s="447"/>
      <c r="BG683" s="447"/>
      <c r="BH683" s="447"/>
      <c r="BI683" s="447"/>
      <c r="BJ683" s="447"/>
      <c r="BK683" s="447"/>
      <c r="BL683" s="447"/>
      <c r="BM683" s="448"/>
      <c r="BN683" s="448"/>
    </row>
    <row r="684" spans="1:66" ht="11.25" customHeight="1">
      <c r="A684" s="450"/>
      <c r="B684" s="447"/>
      <c r="C684" s="447"/>
      <c r="D684" s="447"/>
      <c r="E684" s="447"/>
      <c r="F684" s="447"/>
      <c r="G684" s="447"/>
      <c r="H684" s="447"/>
      <c r="I684" s="447"/>
      <c r="J684" s="447"/>
      <c r="K684" s="447"/>
      <c r="L684" s="447"/>
      <c r="M684" s="447"/>
      <c r="N684" s="447"/>
      <c r="O684" s="447"/>
      <c r="P684" s="447"/>
      <c r="Q684" s="447"/>
      <c r="R684" s="447"/>
      <c r="S684" s="447"/>
      <c r="T684" s="447"/>
      <c r="U684" s="447"/>
      <c r="V684" s="447"/>
      <c r="W684" s="447"/>
      <c r="X684" s="447"/>
      <c r="Y684" s="447"/>
      <c r="Z684" s="447"/>
      <c r="AA684" s="447"/>
      <c r="AB684" s="447"/>
      <c r="AC684" s="447"/>
      <c r="AD684" s="447"/>
      <c r="AE684" s="447"/>
      <c r="AF684" s="448"/>
      <c r="AG684" s="448"/>
      <c r="AH684" s="449"/>
      <c r="AI684" s="447"/>
      <c r="AJ684" s="447"/>
      <c r="AK684" s="447"/>
      <c r="AL684" s="447"/>
      <c r="AM684" s="447"/>
      <c r="AN684" s="447"/>
      <c r="AO684" s="447"/>
      <c r="AP684" s="447"/>
      <c r="AQ684" s="447"/>
      <c r="AR684" s="447"/>
      <c r="AS684" s="447"/>
      <c r="AT684" s="447"/>
      <c r="AU684" s="447"/>
      <c r="AV684" s="447"/>
      <c r="AW684" s="447"/>
      <c r="AX684" s="447"/>
      <c r="AY684" s="447"/>
      <c r="AZ684" s="447"/>
      <c r="BA684" s="447"/>
      <c r="BB684" s="447"/>
      <c r="BC684" s="447"/>
      <c r="BD684" s="447"/>
      <c r="BE684" s="447"/>
      <c r="BF684" s="447"/>
      <c r="BG684" s="447"/>
      <c r="BH684" s="447"/>
      <c r="BI684" s="447"/>
      <c r="BJ684" s="447"/>
      <c r="BK684" s="447"/>
      <c r="BL684" s="447"/>
      <c r="BM684" s="448"/>
      <c r="BN684" s="448"/>
    </row>
    <row r="685" spans="1:66" ht="11.25" customHeight="1">
      <c r="A685" s="450"/>
      <c r="B685" s="447"/>
      <c r="C685" s="447"/>
      <c r="D685" s="447"/>
      <c r="E685" s="447"/>
      <c r="F685" s="447"/>
      <c r="G685" s="447"/>
      <c r="H685" s="447"/>
      <c r="I685" s="447"/>
      <c r="J685" s="447"/>
      <c r="K685" s="447"/>
      <c r="L685" s="447"/>
      <c r="M685" s="447"/>
      <c r="N685" s="447"/>
      <c r="O685" s="447"/>
      <c r="P685" s="447"/>
      <c r="Q685" s="447"/>
      <c r="R685" s="447"/>
      <c r="S685" s="447"/>
      <c r="T685" s="447"/>
      <c r="U685" s="447"/>
      <c r="V685" s="447"/>
      <c r="W685" s="447"/>
      <c r="X685" s="447"/>
      <c r="Y685" s="447"/>
      <c r="Z685" s="447"/>
      <c r="AA685" s="447"/>
      <c r="AB685" s="447"/>
      <c r="AC685" s="447"/>
      <c r="AD685" s="447"/>
      <c r="AE685" s="447"/>
      <c r="AF685" s="448"/>
      <c r="AG685" s="448"/>
      <c r="AH685" s="449"/>
      <c r="AI685" s="447"/>
      <c r="AJ685" s="447"/>
      <c r="AK685" s="447"/>
      <c r="AL685" s="447"/>
      <c r="AM685" s="447"/>
      <c r="AN685" s="447"/>
      <c r="AO685" s="447"/>
      <c r="AP685" s="447"/>
      <c r="AQ685" s="447"/>
      <c r="AR685" s="447"/>
      <c r="AS685" s="447"/>
      <c r="AT685" s="447"/>
      <c r="AU685" s="447"/>
      <c r="AV685" s="447"/>
      <c r="AW685" s="447"/>
      <c r="AX685" s="447"/>
      <c r="AY685" s="447"/>
      <c r="AZ685" s="447"/>
      <c r="BA685" s="447"/>
      <c r="BB685" s="447"/>
      <c r="BC685" s="447"/>
      <c r="BD685" s="447"/>
      <c r="BE685" s="447"/>
      <c r="BF685" s="447"/>
      <c r="BG685" s="447"/>
      <c r="BH685" s="447"/>
      <c r="BI685" s="447"/>
      <c r="BJ685" s="447"/>
      <c r="BK685" s="447"/>
      <c r="BL685" s="447"/>
      <c r="BM685" s="448"/>
      <c r="BN685" s="448"/>
    </row>
    <row r="686" spans="1:66" ht="11.25" customHeight="1">
      <c r="A686" s="450"/>
      <c r="B686" s="447"/>
      <c r="C686" s="447"/>
      <c r="D686" s="447"/>
      <c r="E686" s="447"/>
      <c r="F686" s="447"/>
      <c r="G686" s="447"/>
      <c r="H686" s="447"/>
      <c r="I686" s="447"/>
      <c r="J686" s="447"/>
      <c r="K686" s="447"/>
      <c r="L686" s="447"/>
      <c r="M686" s="447"/>
      <c r="N686" s="447"/>
      <c r="O686" s="447"/>
      <c r="P686" s="447"/>
      <c r="Q686" s="447"/>
      <c r="R686" s="447"/>
      <c r="S686" s="447"/>
      <c r="T686" s="447"/>
      <c r="U686" s="447"/>
      <c r="V686" s="447"/>
      <c r="W686" s="447"/>
      <c r="X686" s="447"/>
      <c r="Y686" s="447"/>
      <c r="Z686" s="447"/>
      <c r="AA686" s="447"/>
      <c r="AB686" s="447"/>
      <c r="AC686" s="447"/>
      <c r="AD686" s="447"/>
      <c r="AE686" s="447"/>
      <c r="AF686" s="448"/>
      <c r="AG686" s="448"/>
      <c r="AH686" s="449"/>
      <c r="AI686" s="447"/>
      <c r="AJ686" s="447"/>
      <c r="AK686" s="447"/>
      <c r="AL686" s="447"/>
      <c r="AM686" s="447"/>
      <c r="AN686" s="447"/>
      <c r="AO686" s="447"/>
      <c r="AP686" s="447"/>
      <c r="AQ686" s="447"/>
      <c r="AR686" s="447"/>
      <c r="AS686" s="447"/>
      <c r="AT686" s="447"/>
      <c r="AU686" s="447"/>
      <c r="AV686" s="447"/>
      <c r="AW686" s="447"/>
      <c r="AX686" s="447"/>
      <c r="AY686" s="447"/>
      <c r="AZ686" s="447"/>
      <c r="BA686" s="447"/>
      <c r="BB686" s="447"/>
      <c r="BC686" s="447"/>
      <c r="BD686" s="447"/>
      <c r="BE686" s="447"/>
      <c r="BF686" s="447"/>
      <c r="BG686" s="447"/>
      <c r="BH686" s="447"/>
      <c r="BI686" s="447"/>
      <c r="BJ686" s="447"/>
      <c r="BK686" s="447"/>
      <c r="BL686" s="447"/>
      <c r="BM686" s="448"/>
      <c r="BN686" s="448"/>
    </row>
    <row r="687" spans="1:66" ht="11.25" customHeight="1">
      <c r="A687" s="450"/>
      <c r="B687" s="447"/>
      <c r="C687" s="447"/>
      <c r="D687" s="447"/>
      <c r="E687" s="447"/>
      <c r="F687" s="447"/>
      <c r="G687" s="447"/>
      <c r="H687" s="447"/>
      <c r="I687" s="447"/>
      <c r="J687" s="447"/>
      <c r="K687" s="447"/>
      <c r="L687" s="447"/>
      <c r="M687" s="447"/>
      <c r="N687" s="447"/>
      <c r="O687" s="447"/>
      <c r="P687" s="447"/>
      <c r="Q687" s="447"/>
      <c r="R687" s="447"/>
      <c r="S687" s="447"/>
      <c r="T687" s="447"/>
      <c r="U687" s="447"/>
      <c r="V687" s="447"/>
      <c r="W687" s="447"/>
      <c r="X687" s="447"/>
      <c r="Y687" s="447"/>
      <c r="Z687" s="447"/>
      <c r="AA687" s="447"/>
      <c r="AB687" s="447"/>
      <c r="AC687" s="447"/>
      <c r="AD687" s="447"/>
      <c r="AE687" s="447"/>
      <c r="AF687" s="448"/>
      <c r="AG687" s="448"/>
      <c r="AH687" s="449"/>
      <c r="AI687" s="447"/>
      <c r="AJ687" s="447"/>
      <c r="AK687" s="447"/>
      <c r="AL687" s="447"/>
      <c r="AM687" s="447"/>
      <c r="AN687" s="447"/>
      <c r="AO687" s="447"/>
      <c r="AP687" s="447"/>
      <c r="AQ687" s="447"/>
      <c r="AR687" s="447"/>
      <c r="AS687" s="447"/>
      <c r="AT687" s="447"/>
      <c r="AU687" s="447"/>
      <c r="AV687" s="447"/>
      <c r="AW687" s="447"/>
      <c r="AX687" s="447"/>
      <c r="AY687" s="447"/>
      <c r="AZ687" s="447"/>
      <c r="BA687" s="447"/>
      <c r="BB687" s="447"/>
      <c r="BC687" s="447"/>
      <c r="BD687" s="447"/>
      <c r="BE687" s="447"/>
      <c r="BF687" s="447"/>
      <c r="BG687" s="447"/>
      <c r="BH687" s="447"/>
      <c r="BI687" s="447"/>
      <c r="BJ687" s="447"/>
      <c r="BK687" s="447"/>
      <c r="BL687" s="447"/>
      <c r="BM687" s="448"/>
      <c r="BN687" s="448"/>
    </row>
    <row r="688" spans="1:66" ht="11.25" customHeight="1">
      <c r="A688" s="450"/>
      <c r="B688" s="447"/>
      <c r="C688" s="447"/>
      <c r="D688" s="447"/>
      <c r="E688" s="447"/>
      <c r="F688" s="447"/>
      <c r="G688" s="447"/>
      <c r="H688" s="447"/>
      <c r="I688" s="447"/>
      <c r="J688" s="447"/>
      <c r="K688" s="447"/>
      <c r="L688" s="447"/>
      <c r="M688" s="447"/>
      <c r="N688" s="447"/>
      <c r="O688" s="447"/>
      <c r="P688" s="447"/>
      <c r="Q688" s="447"/>
      <c r="R688" s="447"/>
      <c r="S688" s="447"/>
      <c r="T688" s="447"/>
      <c r="U688" s="447"/>
      <c r="V688" s="447"/>
      <c r="W688" s="447"/>
      <c r="X688" s="447"/>
      <c r="Y688" s="447"/>
      <c r="Z688" s="447"/>
      <c r="AA688" s="447"/>
      <c r="AB688" s="447"/>
      <c r="AC688" s="447"/>
      <c r="AD688" s="447"/>
      <c r="AE688" s="447"/>
      <c r="AF688" s="448"/>
      <c r="AG688" s="448"/>
      <c r="AH688" s="449"/>
      <c r="AI688" s="447"/>
      <c r="AJ688" s="447"/>
      <c r="AK688" s="447"/>
      <c r="AL688" s="447"/>
      <c r="AM688" s="447"/>
      <c r="AN688" s="447"/>
      <c r="AO688" s="447"/>
      <c r="AP688" s="447"/>
      <c r="AQ688" s="447"/>
      <c r="AR688" s="447"/>
      <c r="AS688" s="447"/>
      <c r="AT688" s="447"/>
      <c r="AU688" s="447"/>
      <c r="AV688" s="447"/>
      <c r="AW688" s="447"/>
      <c r="AX688" s="447"/>
      <c r="AY688" s="447"/>
      <c r="AZ688" s="447"/>
      <c r="BA688" s="447"/>
      <c r="BB688" s="447"/>
      <c r="BC688" s="447"/>
      <c r="BD688" s="447"/>
      <c r="BE688" s="447"/>
      <c r="BF688" s="447"/>
      <c r="BG688" s="447"/>
      <c r="BH688" s="447"/>
      <c r="BI688" s="447"/>
      <c r="BJ688" s="447"/>
      <c r="BK688" s="447"/>
      <c r="BL688" s="447"/>
      <c r="BM688" s="448"/>
      <c r="BN688" s="448"/>
    </row>
    <row r="689" spans="1:66" ht="11.25" customHeight="1">
      <c r="A689" s="450"/>
      <c r="B689" s="447"/>
      <c r="C689" s="447"/>
      <c r="D689" s="447"/>
      <c r="E689" s="447"/>
      <c r="F689" s="447"/>
      <c r="G689" s="447"/>
      <c r="H689" s="447"/>
      <c r="I689" s="447"/>
      <c r="J689" s="447"/>
      <c r="K689" s="447"/>
      <c r="L689" s="447"/>
      <c r="M689" s="447"/>
      <c r="N689" s="447"/>
      <c r="O689" s="447"/>
      <c r="P689" s="447"/>
      <c r="Q689" s="447"/>
      <c r="R689" s="447"/>
      <c r="S689" s="447"/>
      <c r="T689" s="447"/>
      <c r="U689" s="447"/>
      <c r="V689" s="447"/>
      <c r="W689" s="447"/>
      <c r="X689" s="447"/>
      <c r="Y689" s="447"/>
      <c r="Z689" s="447"/>
      <c r="AA689" s="447"/>
      <c r="AB689" s="447"/>
      <c r="AC689" s="447"/>
      <c r="AD689" s="447"/>
      <c r="AE689" s="447"/>
      <c r="AF689" s="448"/>
      <c r="AG689" s="448"/>
      <c r="AH689" s="449"/>
      <c r="AI689" s="447"/>
      <c r="AJ689" s="447"/>
      <c r="AK689" s="447"/>
      <c r="AL689" s="447"/>
      <c r="AM689" s="447"/>
      <c r="AN689" s="447"/>
      <c r="AO689" s="447"/>
      <c r="AP689" s="447"/>
      <c r="AQ689" s="447"/>
      <c r="AR689" s="447"/>
      <c r="AS689" s="447"/>
      <c r="AT689" s="447"/>
      <c r="AU689" s="447"/>
      <c r="AV689" s="447"/>
      <c r="AW689" s="447"/>
      <c r="AX689" s="447"/>
      <c r="AY689" s="447"/>
      <c r="AZ689" s="447"/>
      <c r="BA689" s="447"/>
      <c r="BB689" s="447"/>
      <c r="BC689" s="447"/>
      <c r="BD689" s="447"/>
      <c r="BE689" s="447"/>
      <c r="BF689" s="447"/>
      <c r="BG689" s="447"/>
      <c r="BH689" s="447"/>
      <c r="BI689" s="447"/>
      <c r="BJ689" s="447"/>
      <c r="BK689" s="447"/>
      <c r="BL689" s="447"/>
      <c r="BM689" s="448"/>
      <c r="BN689" s="448"/>
    </row>
    <row r="690" spans="1:66" ht="11.25" customHeight="1">
      <c r="A690" s="450"/>
      <c r="B690" s="447"/>
      <c r="C690" s="447"/>
      <c r="D690" s="447"/>
      <c r="E690" s="447"/>
      <c r="F690" s="447"/>
      <c r="G690" s="447"/>
      <c r="H690" s="447"/>
      <c r="I690" s="447"/>
      <c r="J690" s="447"/>
      <c r="K690" s="447"/>
      <c r="L690" s="447"/>
      <c r="M690" s="447"/>
      <c r="N690" s="447"/>
      <c r="O690" s="447"/>
      <c r="P690" s="447"/>
      <c r="Q690" s="447"/>
      <c r="R690" s="447"/>
      <c r="S690" s="447"/>
      <c r="T690" s="447"/>
      <c r="U690" s="447"/>
      <c r="V690" s="447"/>
      <c r="W690" s="447"/>
      <c r="X690" s="447"/>
      <c r="Y690" s="447"/>
      <c r="Z690" s="447"/>
      <c r="AA690" s="447"/>
      <c r="AB690" s="447"/>
      <c r="AC690" s="447"/>
      <c r="AD690" s="447"/>
      <c r="AE690" s="447"/>
      <c r="AF690" s="448"/>
      <c r="AG690" s="448"/>
      <c r="AH690" s="449"/>
      <c r="AI690" s="447"/>
      <c r="AJ690" s="447"/>
      <c r="AK690" s="447"/>
      <c r="AL690" s="447"/>
      <c r="AM690" s="447"/>
      <c r="AN690" s="447"/>
      <c r="AO690" s="447"/>
      <c r="AP690" s="447"/>
      <c r="AQ690" s="447"/>
      <c r="AR690" s="447"/>
      <c r="AS690" s="447"/>
      <c r="AT690" s="447"/>
      <c r="AU690" s="447"/>
      <c r="AV690" s="447"/>
      <c r="AW690" s="447"/>
      <c r="AX690" s="447"/>
      <c r="AY690" s="447"/>
      <c r="AZ690" s="447"/>
      <c r="BA690" s="447"/>
      <c r="BB690" s="447"/>
      <c r="BC690" s="447"/>
      <c r="BD690" s="447"/>
      <c r="BE690" s="447"/>
      <c r="BF690" s="447"/>
      <c r="BG690" s="447"/>
      <c r="BH690" s="447"/>
      <c r="BI690" s="447"/>
      <c r="BJ690" s="447"/>
      <c r="BK690" s="447"/>
      <c r="BL690" s="447"/>
      <c r="BM690" s="448"/>
      <c r="BN690" s="448"/>
    </row>
    <row r="691" spans="1:66" ht="11.25" customHeight="1">
      <c r="A691" s="450"/>
      <c r="B691" s="447"/>
      <c r="C691" s="447"/>
      <c r="D691" s="447"/>
      <c r="E691" s="447"/>
      <c r="F691" s="447"/>
      <c r="G691" s="447"/>
      <c r="H691" s="447"/>
      <c r="I691" s="447"/>
      <c r="J691" s="447"/>
      <c r="K691" s="447"/>
      <c r="L691" s="447"/>
      <c r="M691" s="447"/>
      <c r="N691" s="447"/>
      <c r="O691" s="447"/>
      <c r="P691" s="447"/>
      <c r="Q691" s="447"/>
      <c r="R691" s="447"/>
      <c r="S691" s="447"/>
      <c r="T691" s="447"/>
      <c r="U691" s="447"/>
      <c r="V691" s="447"/>
      <c r="W691" s="447"/>
      <c r="X691" s="447"/>
      <c r="Y691" s="447"/>
      <c r="Z691" s="447"/>
      <c r="AA691" s="447"/>
      <c r="AB691" s="447"/>
      <c r="AC691" s="447"/>
      <c r="AD691" s="447"/>
      <c r="AE691" s="447"/>
      <c r="AF691" s="448"/>
      <c r="AG691" s="448"/>
      <c r="AH691" s="449"/>
      <c r="AI691" s="447"/>
      <c r="AJ691" s="447"/>
      <c r="AK691" s="447"/>
      <c r="AL691" s="447"/>
      <c r="AM691" s="447"/>
      <c r="AN691" s="447"/>
      <c r="AO691" s="447"/>
      <c r="AP691" s="447"/>
      <c r="AQ691" s="447"/>
      <c r="AR691" s="447"/>
      <c r="AS691" s="447"/>
      <c r="AT691" s="447"/>
      <c r="AU691" s="447"/>
      <c r="AV691" s="447"/>
      <c r="AW691" s="447"/>
      <c r="AX691" s="447"/>
      <c r="AY691" s="447"/>
      <c r="AZ691" s="447"/>
      <c r="BA691" s="447"/>
      <c r="BB691" s="447"/>
      <c r="BC691" s="447"/>
      <c r="BD691" s="447"/>
      <c r="BE691" s="447"/>
      <c r="BF691" s="447"/>
      <c r="BG691" s="447"/>
      <c r="BH691" s="447"/>
      <c r="BI691" s="447"/>
      <c r="BJ691" s="447"/>
      <c r="BK691" s="447"/>
      <c r="BL691" s="447"/>
      <c r="BM691" s="448"/>
      <c r="BN691" s="448"/>
    </row>
    <row r="692" spans="1:66" ht="11.25" customHeight="1">
      <c r="A692" s="450"/>
      <c r="B692" s="447"/>
      <c r="C692" s="447"/>
      <c r="D692" s="447"/>
      <c r="E692" s="447"/>
      <c r="F692" s="447"/>
      <c r="G692" s="447"/>
      <c r="H692" s="447"/>
      <c r="I692" s="447"/>
      <c r="J692" s="447"/>
      <c r="K692" s="447"/>
      <c r="L692" s="447"/>
      <c r="M692" s="447"/>
      <c r="N692" s="447"/>
      <c r="O692" s="447"/>
      <c r="P692" s="447"/>
      <c r="Q692" s="447"/>
      <c r="R692" s="447"/>
      <c r="S692" s="447"/>
      <c r="T692" s="447"/>
      <c r="U692" s="447"/>
      <c r="V692" s="447"/>
      <c r="W692" s="447"/>
      <c r="X692" s="447"/>
      <c r="Y692" s="447"/>
      <c r="Z692" s="447"/>
      <c r="AA692" s="447"/>
      <c r="AB692" s="447"/>
      <c r="AC692" s="447"/>
      <c r="AD692" s="447"/>
      <c r="AE692" s="447"/>
      <c r="AF692" s="448"/>
      <c r="AG692" s="448"/>
      <c r="AH692" s="449"/>
      <c r="AI692" s="447"/>
      <c r="AJ692" s="447"/>
      <c r="AK692" s="447"/>
      <c r="AL692" s="447"/>
      <c r="AM692" s="447"/>
      <c r="AN692" s="447"/>
      <c r="AO692" s="447"/>
      <c r="AP692" s="447"/>
      <c r="AQ692" s="447"/>
      <c r="AR692" s="447"/>
      <c r="AS692" s="447"/>
      <c r="AT692" s="447"/>
      <c r="AU692" s="447"/>
      <c r="AV692" s="447"/>
      <c r="AW692" s="447"/>
      <c r="AX692" s="447"/>
      <c r="AY692" s="447"/>
      <c r="AZ692" s="447"/>
      <c r="BA692" s="447"/>
      <c r="BB692" s="447"/>
      <c r="BC692" s="447"/>
      <c r="BD692" s="447"/>
      <c r="BE692" s="447"/>
      <c r="BF692" s="447"/>
      <c r="BG692" s="447"/>
      <c r="BH692" s="447"/>
      <c r="BI692" s="447"/>
      <c r="BJ692" s="447"/>
      <c r="BK692" s="447"/>
      <c r="BL692" s="447"/>
      <c r="BM692" s="448"/>
      <c r="BN692" s="448"/>
    </row>
    <row r="693" spans="1:66" ht="11.25" customHeight="1">
      <c r="A693" s="450"/>
      <c r="B693" s="447"/>
      <c r="C693" s="447"/>
      <c r="D693" s="447"/>
      <c r="E693" s="447"/>
      <c r="F693" s="447"/>
      <c r="G693" s="447"/>
      <c r="H693" s="447"/>
      <c r="I693" s="447"/>
      <c r="J693" s="447"/>
      <c r="K693" s="447"/>
      <c r="L693" s="447"/>
      <c r="M693" s="447"/>
      <c r="N693" s="447"/>
      <c r="O693" s="447"/>
      <c r="P693" s="447"/>
      <c r="Q693" s="447"/>
      <c r="R693" s="447"/>
      <c r="S693" s="447"/>
      <c r="T693" s="447"/>
      <c r="U693" s="447"/>
      <c r="V693" s="447"/>
      <c r="W693" s="447"/>
      <c r="X693" s="447"/>
      <c r="Y693" s="447"/>
      <c r="Z693" s="447"/>
      <c r="AA693" s="447"/>
      <c r="AB693" s="447"/>
      <c r="AC693" s="447"/>
      <c r="AD693" s="447"/>
      <c r="AE693" s="447"/>
      <c r="AF693" s="448"/>
      <c r="AG693" s="448"/>
      <c r="AH693" s="449"/>
      <c r="AI693" s="447"/>
      <c r="AJ693" s="447"/>
      <c r="AK693" s="447"/>
      <c r="AL693" s="447"/>
      <c r="AM693" s="447"/>
      <c r="AN693" s="447"/>
      <c r="AO693" s="447"/>
      <c r="AP693" s="447"/>
      <c r="AQ693" s="447"/>
      <c r="AR693" s="447"/>
      <c r="AS693" s="447"/>
      <c r="AT693" s="447"/>
      <c r="AU693" s="447"/>
      <c r="AV693" s="447"/>
      <c r="AW693" s="447"/>
      <c r="AX693" s="447"/>
      <c r="AY693" s="447"/>
      <c r="AZ693" s="447"/>
      <c r="BA693" s="447"/>
      <c r="BB693" s="447"/>
      <c r="BC693" s="447"/>
      <c r="BD693" s="447"/>
      <c r="BE693" s="447"/>
      <c r="BF693" s="447"/>
      <c r="BG693" s="447"/>
      <c r="BH693" s="447"/>
      <c r="BI693" s="447"/>
      <c r="BJ693" s="447"/>
      <c r="BK693" s="447"/>
      <c r="BL693" s="447"/>
      <c r="BM693" s="448"/>
      <c r="BN693" s="448"/>
    </row>
    <row r="694" spans="1:66" ht="11.25" customHeight="1">
      <c r="A694" s="450"/>
      <c r="B694" s="447"/>
      <c r="C694" s="447"/>
      <c r="D694" s="447"/>
      <c r="E694" s="447"/>
      <c r="F694" s="447"/>
      <c r="G694" s="447"/>
      <c r="H694" s="447"/>
      <c r="I694" s="447"/>
      <c r="J694" s="447"/>
      <c r="K694" s="447"/>
      <c r="L694" s="447"/>
      <c r="M694" s="447"/>
      <c r="N694" s="447"/>
      <c r="O694" s="447"/>
      <c r="P694" s="447"/>
      <c r="Q694" s="447"/>
      <c r="R694" s="447"/>
      <c r="S694" s="447"/>
      <c r="T694" s="447"/>
      <c r="U694" s="447"/>
      <c r="V694" s="447"/>
      <c r="W694" s="447"/>
      <c r="X694" s="447"/>
      <c r="Y694" s="447"/>
      <c r="Z694" s="447"/>
      <c r="AA694" s="447"/>
      <c r="AB694" s="447"/>
      <c r="AC694" s="447"/>
      <c r="AD694" s="447"/>
      <c r="AE694" s="447"/>
      <c r="AF694" s="448"/>
      <c r="AG694" s="448"/>
      <c r="AH694" s="449"/>
      <c r="AI694" s="447"/>
      <c r="AJ694" s="447"/>
      <c r="AK694" s="447"/>
      <c r="AL694" s="447"/>
      <c r="AM694" s="447"/>
      <c r="AN694" s="447"/>
      <c r="AO694" s="447"/>
      <c r="AP694" s="447"/>
      <c r="AQ694" s="447"/>
      <c r="AR694" s="447"/>
      <c r="AS694" s="447"/>
      <c r="AT694" s="447"/>
      <c r="AU694" s="447"/>
      <c r="AV694" s="447"/>
      <c r="AW694" s="447"/>
      <c r="AX694" s="447"/>
      <c r="AY694" s="447"/>
      <c r="AZ694" s="447"/>
      <c r="BA694" s="447"/>
      <c r="BB694" s="447"/>
      <c r="BC694" s="447"/>
      <c r="BD694" s="447"/>
      <c r="BE694" s="447"/>
      <c r="BF694" s="447"/>
      <c r="BG694" s="447"/>
      <c r="BH694" s="447"/>
      <c r="BI694" s="447"/>
      <c r="BJ694" s="447"/>
      <c r="BK694" s="447"/>
      <c r="BL694" s="447"/>
      <c r="BM694" s="448"/>
      <c r="BN694" s="448"/>
    </row>
    <row r="695" spans="1:66" ht="11.25" customHeight="1">
      <c r="A695" s="450"/>
      <c r="B695" s="447"/>
      <c r="C695" s="447"/>
      <c r="D695" s="447"/>
      <c r="E695" s="447"/>
      <c r="F695" s="447"/>
      <c r="G695" s="447"/>
      <c r="H695" s="447"/>
      <c r="I695" s="447"/>
      <c r="J695" s="447"/>
      <c r="K695" s="447"/>
      <c r="L695" s="447"/>
      <c r="M695" s="447"/>
      <c r="N695" s="447"/>
      <c r="O695" s="447"/>
      <c r="P695" s="447"/>
      <c r="Q695" s="447"/>
      <c r="R695" s="447"/>
      <c r="S695" s="447"/>
      <c r="T695" s="447"/>
      <c r="U695" s="447"/>
      <c r="V695" s="447"/>
      <c r="W695" s="447"/>
      <c r="X695" s="447"/>
      <c r="Y695" s="447"/>
      <c r="Z695" s="447"/>
      <c r="AA695" s="447"/>
      <c r="AB695" s="447"/>
      <c r="AC695" s="447"/>
      <c r="AD695" s="447"/>
      <c r="AE695" s="447"/>
      <c r="AF695" s="448"/>
      <c r="AG695" s="448"/>
      <c r="AH695" s="449"/>
      <c r="AI695" s="447"/>
      <c r="AJ695" s="447"/>
      <c r="AK695" s="447"/>
      <c r="AL695" s="447"/>
      <c r="AM695" s="447"/>
      <c r="AN695" s="447"/>
      <c r="AO695" s="447"/>
      <c r="AP695" s="447"/>
      <c r="AQ695" s="447"/>
      <c r="AR695" s="447"/>
      <c r="AS695" s="447"/>
      <c r="AT695" s="447"/>
      <c r="AU695" s="447"/>
      <c r="AV695" s="447"/>
      <c r="AW695" s="447"/>
      <c r="AX695" s="447"/>
      <c r="AY695" s="447"/>
      <c r="AZ695" s="447"/>
      <c r="BA695" s="447"/>
      <c r="BB695" s="447"/>
      <c r="BC695" s="447"/>
      <c r="BD695" s="447"/>
      <c r="BE695" s="447"/>
      <c r="BF695" s="447"/>
      <c r="BG695" s="447"/>
      <c r="BH695" s="447"/>
      <c r="BI695" s="447"/>
      <c r="BJ695" s="447"/>
      <c r="BK695" s="447"/>
      <c r="BL695" s="447"/>
      <c r="BM695" s="448"/>
      <c r="BN695" s="448"/>
    </row>
    <row r="696" spans="1:66" ht="11.25" customHeight="1">
      <c r="A696" s="450"/>
      <c r="B696" s="447"/>
      <c r="C696" s="447"/>
      <c r="D696" s="447"/>
      <c r="E696" s="447"/>
      <c r="F696" s="447"/>
      <c r="G696" s="447"/>
      <c r="H696" s="447"/>
      <c r="I696" s="447"/>
      <c r="J696" s="447"/>
      <c r="K696" s="447"/>
      <c r="L696" s="447"/>
      <c r="M696" s="447"/>
      <c r="N696" s="447"/>
      <c r="O696" s="447"/>
      <c r="P696" s="447"/>
      <c r="Q696" s="447"/>
      <c r="R696" s="447"/>
      <c r="S696" s="447"/>
      <c r="T696" s="447"/>
      <c r="U696" s="447"/>
      <c r="V696" s="447"/>
      <c r="W696" s="447"/>
      <c r="X696" s="447"/>
      <c r="Y696" s="447"/>
      <c r="Z696" s="447"/>
      <c r="AA696" s="447"/>
      <c r="AB696" s="447"/>
      <c r="AC696" s="447"/>
      <c r="AD696" s="447"/>
      <c r="AE696" s="447"/>
      <c r="AF696" s="448"/>
      <c r="AG696" s="448"/>
      <c r="AH696" s="449"/>
      <c r="AI696" s="447"/>
      <c r="AJ696" s="447"/>
      <c r="AK696" s="447"/>
      <c r="AL696" s="447"/>
      <c r="AM696" s="447"/>
      <c r="AN696" s="447"/>
      <c r="AO696" s="447"/>
      <c r="AP696" s="447"/>
      <c r="AQ696" s="447"/>
      <c r="AR696" s="447"/>
      <c r="AS696" s="447"/>
      <c r="AT696" s="447"/>
      <c r="AU696" s="447"/>
      <c r="AV696" s="447"/>
      <c r="AW696" s="447"/>
      <c r="AX696" s="447"/>
      <c r="AY696" s="447"/>
      <c r="AZ696" s="447"/>
      <c r="BA696" s="447"/>
      <c r="BB696" s="447"/>
      <c r="BC696" s="447"/>
      <c r="BD696" s="447"/>
      <c r="BE696" s="447"/>
      <c r="BF696" s="447"/>
      <c r="BG696" s="447"/>
      <c r="BH696" s="447"/>
      <c r="BI696" s="447"/>
      <c r="BJ696" s="447"/>
      <c r="BK696" s="447"/>
      <c r="BL696" s="447"/>
      <c r="BM696" s="448"/>
      <c r="BN696" s="448"/>
    </row>
    <row r="697" spans="1:66" ht="11.25" customHeight="1">
      <c r="A697" s="450"/>
      <c r="B697" s="447"/>
      <c r="C697" s="447"/>
      <c r="D697" s="447"/>
      <c r="E697" s="447"/>
      <c r="F697" s="447"/>
      <c r="G697" s="447"/>
      <c r="H697" s="447"/>
      <c r="I697" s="447"/>
      <c r="J697" s="447"/>
      <c r="K697" s="447"/>
      <c r="L697" s="447"/>
      <c r="M697" s="447"/>
      <c r="N697" s="447"/>
      <c r="O697" s="447"/>
      <c r="P697" s="447"/>
      <c r="Q697" s="447"/>
      <c r="R697" s="447"/>
      <c r="S697" s="447"/>
      <c r="T697" s="447"/>
      <c r="U697" s="447"/>
      <c r="V697" s="447"/>
      <c r="W697" s="447"/>
      <c r="X697" s="447"/>
      <c r="Y697" s="447"/>
      <c r="Z697" s="447"/>
      <c r="AA697" s="447"/>
      <c r="AB697" s="447"/>
      <c r="AC697" s="447"/>
      <c r="AD697" s="447"/>
      <c r="AE697" s="447"/>
      <c r="AF697" s="448"/>
      <c r="AG697" s="448"/>
      <c r="AH697" s="449"/>
      <c r="AI697" s="447"/>
      <c r="AJ697" s="447"/>
      <c r="AK697" s="447"/>
      <c r="AL697" s="447"/>
      <c r="AM697" s="447"/>
      <c r="AN697" s="447"/>
      <c r="AO697" s="447"/>
      <c r="AP697" s="447"/>
      <c r="AQ697" s="447"/>
      <c r="AR697" s="447"/>
      <c r="AS697" s="447"/>
      <c r="AT697" s="447"/>
      <c r="AU697" s="447"/>
      <c r="AV697" s="447"/>
      <c r="AW697" s="447"/>
      <c r="AX697" s="447"/>
      <c r="AY697" s="447"/>
      <c r="AZ697" s="447"/>
      <c r="BA697" s="447"/>
      <c r="BB697" s="447"/>
      <c r="BC697" s="447"/>
      <c r="BD697" s="447"/>
      <c r="BE697" s="447"/>
      <c r="BF697" s="447"/>
      <c r="BG697" s="447"/>
      <c r="BH697" s="447"/>
      <c r="BI697" s="447"/>
      <c r="BJ697" s="447"/>
      <c r="BK697" s="447"/>
      <c r="BL697" s="447"/>
      <c r="BM697" s="448"/>
      <c r="BN697" s="448"/>
    </row>
    <row r="698" spans="1:66" ht="11.25" customHeight="1">
      <c r="A698" s="450"/>
      <c r="B698" s="447"/>
      <c r="C698" s="447"/>
      <c r="D698" s="447"/>
      <c r="E698" s="447"/>
      <c r="F698" s="447"/>
      <c r="G698" s="447"/>
      <c r="H698" s="447"/>
      <c r="I698" s="447"/>
      <c r="J698" s="447"/>
      <c r="K698" s="447"/>
      <c r="L698" s="447"/>
      <c r="M698" s="447"/>
      <c r="N698" s="447"/>
      <c r="O698" s="447"/>
      <c r="P698" s="447"/>
      <c r="Q698" s="447"/>
      <c r="R698" s="447"/>
      <c r="S698" s="447"/>
      <c r="T698" s="447"/>
      <c r="U698" s="447"/>
      <c r="V698" s="447"/>
      <c r="W698" s="447"/>
      <c r="X698" s="447"/>
      <c r="Y698" s="447"/>
      <c r="Z698" s="447"/>
      <c r="AA698" s="447"/>
      <c r="AB698" s="447"/>
      <c r="AC698" s="447"/>
      <c r="AD698" s="447"/>
      <c r="AE698" s="447"/>
      <c r="AF698" s="448"/>
      <c r="AG698" s="448"/>
      <c r="AH698" s="449"/>
      <c r="AI698" s="447"/>
      <c r="AJ698" s="447"/>
      <c r="AK698" s="447"/>
      <c r="AL698" s="447"/>
      <c r="AM698" s="447"/>
      <c r="AN698" s="447"/>
      <c r="AO698" s="447"/>
      <c r="AP698" s="447"/>
      <c r="AQ698" s="447"/>
      <c r="AR698" s="447"/>
      <c r="AS698" s="447"/>
      <c r="AT698" s="447"/>
      <c r="AU698" s="447"/>
      <c r="AV698" s="447"/>
      <c r="AW698" s="447"/>
      <c r="AX698" s="447"/>
      <c r="AY698" s="447"/>
      <c r="AZ698" s="447"/>
      <c r="BA698" s="447"/>
      <c r="BB698" s="447"/>
      <c r="BC698" s="447"/>
      <c r="BD698" s="447"/>
      <c r="BE698" s="447"/>
      <c r="BF698" s="447"/>
      <c r="BG698" s="447"/>
      <c r="BH698" s="447"/>
      <c r="BI698" s="447"/>
      <c r="BJ698" s="447"/>
      <c r="BK698" s="447"/>
      <c r="BL698" s="447"/>
      <c r="BM698" s="448"/>
      <c r="BN698" s="448"/>
    </row>
    <row r="699" spans="1:66" ht="11.25" customHeight="1">
      <c r="A699" s="450"/>
      <c r="B699" s="447"/>
      <c r="C699" s="447"/>
      <c r="D699" s="447"/>
      <c r="E699" s="447"/>
      <c r="F699" s="447"/>
      <c r="G699" s="447"/>
      <c r="H699" s="447"/>
      <c r="I699" s="447"/>
      <c r="J699" s="447"/>
      <c r="K699" s="447"/>
      <c r="L699" s="447"/>
      <c r="M699" s="447"/>
      <c r="N699" s="447"/>
      <c r="O699" s="447"/>
      <c r="P699" s="447"/>
      <c r="Q699" s="447"/>
      <c r="R699" s="447"/>
      <c r="S699" s="447"/>
      <c r="T699" s="447"/>
      <c r="U699" s="447"/>
      <c r="V699" s="447"/>
      <c r="W699" s="447"/>
      <c r="X699" s="447"/>
      <c r="Y699" s="447"/>
      <c r="Z699" s="447"/>
      <c r="AA699" s="447"/>
      <c r="AB699" s="447"/>
      <c r="AC699" s="447"/>
      <c r="AD699" s="447"/>
      <c r="AE699" s="447"/>
      <c r="AF699" s="448"/>
      <c r="AG699" s="448"/>
      <c r="AH699" s="449"/>
      <c r="AI699" s="447"/>
      <c r="AJ699" s="447"/>
      <c r="AK699" s="447"/>
      <c r="AL699" s="447"/>
      <c r="AM699" s="447"/>
      <c r="AN699" s="447"/>
      <c r="AO699" s="447"/>
      <c r="AP699" s="447"/>
      <c r="AQ699" s="447"/>
      <c r="AR699" s="447"/>
      <c r="AS699" s="447"/>
      <c r="AT699" s="447"/>
      <c r="AU699" s="447"/>
      <c r="AV699" s="447"/>
      <c r="AW699" s="447"/>
      <c r="AX699" s="447"/>
      <c r="AY699" s="447"/>
      <c r="AZ699" s="447"/>
      <c r="BA699" s="447"/>
      <c r="BB699" s="447"/>
      <c r="BC699" s="447"/>
      <c r="BD699" s="447"/>
      <c r="BE699" s="447"/>
      <c r="BF699" s="447"/>
      <c r="BG699" s="447"/>
      <c r="BH699" s="447"/>
      <c r="BI699" s="447"/>
      <c r="BJ699" s="447"/>
      <c r="BK699" s="447"/>
      <c r="BL699" s="447"/>
      <c r="BM699" s="448"/>
      <c r="BN699" s="448"/>
    </row>
    <row r="700" spans="1:66" ht="11.25" customHeight="1">
      <c r="A700" s="450"/>
      <c r="B700" s="447"/>
      <c r="C700" s="447"/>
      <c r="D700" s="447"/>
      <c r="E700" s="447"/>
      <c r="F700" s="447"/>
      <c r="G700" s="447"/>
      <c r="H700" s="447"/>
      <c r="I700" s="447"/>
      <c r="J700" s="447"/>
      <c r="K700" s="447"/>
      <c r="L700" s="447"/>
      <c r="M700" s="447"/>
      <c r="N700" s="447"/>
      <c r="O700" s="447"/>
      <c r="P700" s="447"/>
      <c r="Q700" s="447"/>
      <c r="R700" s="447"/>
      <c r="S700" s="447"/>
      <c r="T700" s="447"/>
      <c r="U700" s="447"/>
      <c r="V700" s="447"/>
      <c r="W700" s="447"/>
      <c r="X700" s="447"/>
      <c r="Y700" s="447"/>
      <c r="Z700" s="447"/>
      <c r="AA700" s="447"/>
      <c r="AB700" s="447"/>
      <c r="AC700" s="447"/>
      <c r="AD700" s="447"/>
      <c r="AE700" s="447"/>
      <c r="AF700" s="448"/>
      <c r="AG700" s="448"/>
      <c r="AH700" s="449"/>
      <c r="AI700" s="447"/>
      <c r="AJ700" s="447"/>
      <c r="AK700" s="447"/>
      <c r="AL700" s="447"/>
      <c r="AM700" s="447"/>
      <c r="AN700" s="447"/>
      <c r="AO700" s="447"/>
      <c r="AP700" s="447"/>
      <c r="AQ700" s="447"/>
      <c r="AR700" s="447"/>
      <c r="AS700" s="447"/>
      <c r="AT700" s="447"/>
      <c r="AU700" s="447"/>
      <c r="AV700" s="447"/>
      <c r="AW700" s="447"/>
      <c r="AX700" s="447"/>
      <c r="AY700" s="447"/>
      <c r="AZ700" s="447"/>
      <c r="BA700" s="447"/>
      <c r="BB700" s="447"/>
      <c r="BC700" s="447"/>
      <c r="BD700" s="447"/>
      <c r="BE700" s="447"/>
      <c r="BF700" s="447"/>
      <c r="BG700" s="447"/>
      <c r="BH700" s="447"/>
      <c r="BI700" s="447"/>
      <c r="BJ700" s="447"/>
      <c r="BK700" s="447"/>
      <c r="BL700" s="447"/>
      <c r="BM700" s="448"/>
      <c r="BN700" s="448"/>
    </row>
    <row r="701" spans="1:66" ht="11.25" customHeight="1">
      <c r="A701" s="450"/>
      <c r="B701" s="447"/>
      <c r="C701" s="447"/>
      <c r="D701" s="447"/>
      <c r="E701" s="447"/>
      <c r="F701" s="447"/>
      <c r="G701" s="447"/>
      <c r="H701" s="447"/>
      <c r="I701" s="447"/>
      <c r="J701" s="447"/>
      <c r="K701" s="447"/>
      <c r="L701" s="447"/>
      <c r="M701" s="447"/>
      <c r="N701" s="447"/>
      <c r="O701" s="447"/>
      <c r="P701" s="447"/>
      <c r="Q701" s="447"/>
      <c r="R701" s="447"/>
      <c r="S701" s="447"/>
      <c r="T701" s="447"/>
      <c r="U701" s="447"/>
      <c r="V701" s="447"/>
      <c r="W701" s="447"/>
      <c r="X701" s="447"/>
      <c r="Y701" s="447"/>
      <c r="Z701" s="447"/>
      <c r="AA701" s="447"/>
      <c r="AB701" s="447"/>
      <c r="AC701" s="447"/>
      <c r="AD701" s="447"/>
      <c r="AE701" s="447"/>
      <c r="AF701" s="448"/>
      <c r="AG701" s="448"/>
      <c r="AH701" s="449"/>
      <c r="AI701" s="447"/>
      <c r="AJ701" s="447"/>
      <c r="AK701" s="447"/>
      <c r="AL701" s="447"/>
      <c r="AM701" s="447"/>
      <c r="AN701" s="447"/>
      <c r="AO701" s="447"/>
      <c r="AP701" s="447"/>
      <c r="AQ701" s="447"/>
      <c r="AR701" s="447"/>
      <c r="AS701" s="447"/>
      <c r="AT701" s="447"/>
      <c r="AU701" s="447"/>
      <c r="AV701" s="447"/>
      <c r="AW701" s="447"/>
      <c r="AX701" s="447"/>
      <c r="AY701" s="447"/>
      <c r="AZ701" s="447"/>
      <c r="BA701" s="447"/>
      <c r="BB701" s="447"/>
      <c r="BC701" s="447"/>
      <c r="BD701" s="447"/>
      <c r="BE701" s="447"/>
      <c r="BF701" s="447"/>
      <c r="BG701" s="447"/>
      <c r="BH701" s="447"/>
      <c r="BI701" s="447"/>
      <c r="BJ701" s="447"/>
      <c r="BK701" s="447"/>
      <c r="BL701" s="447"/>
      <c r="BM701" s="448"/>
      <c r="BN701" s="448"/>
    </row>
    <row r="702" spans="1:66" ht="11.25" customHeight="1">
      <c r="A702" s="450"/>
      <c r="B702" s="447"/>
      <c r="C702" s="447"/>
      <c r="D702" s="447"/>
      <c r="E702" s="447"/>
      <c r="F702" s="447"/>
      <c r="G702" s="447"/>
      <c r="H702" s="447"/>
      <c r="I702" s="447"/>
      <c r="J702" s="447"/>
      <c r="K702" s="447"/>
      <c r="L702" s="447"/>
      <c r="M702" s="447"/>
      <c r="N702" s="447"/>
      <c r="O702" s="447"/>
      <c r="P702" s="447"/>
      <c r="Q702" s="447"/>
      <c r="R702" s="447"/>
      <c r="S702" s="447"/>
      <c r="T702" s="447"/>
      <c r="U702" s="447"/>
      <c r="V702" s="447"/>
      <c r="W702" s="447"/>
      <c r="X702" s="447"/>
      <c r="Y702" s="447"/>
      <c r="Z702" s="447"/>
      <c r="AA702" s="447"/>
      <c r="AB702" s="447"/>
      <c r="AC702" s="447"/>
      <c r="AD702" s="447"/>
      <c r="AE702" s="447"/>
      <c r="AF702" s="448"/>
      <c r="AG702" s="448"/>
      <c r="AH702" s="449"/>
      <c r="AI702" s="447"/>
      <c r="AJ702" s="447"/>
      <c r="AK702" s="447"/>
      <c r="AL702" s="447"/>
      <c r="AM702" s="447"/>
      <c r="AN702" s="447"/>
      <c r="AO702" s="447"/>
      <c r="AP702" s="447"/>
      <c r="AQ702" s="447"/>
      <c r="AR702" s="447"/>
      <c r="AS702" s="447"/>
      <c r="AT702" s="447"/>
      <c r="AU702" s="447"/>
      <c r="AV702" s="447"/>
      <c r="AW702" s="447"/>
      <c r="AX702" s="447"/>
      <c r="AY702" s="447"/>
      <c r="AZ702" s="447"/>
      <c r="BA702" s="447"/>
      <c r="BB702" s="447"/>
      <c r="BC702" s="447"/>
      <c r="BD702" s="447"/>
      <c r="BE702" s="447"/>
      <c r="BF702" s="447"/>
      <c r="BG702" s="447"/>
      <c r="BH702" s="447"/>
      <c r="BI702" s="447"/>
      <c r="BJ702" s="447"/>
      <c r="BK702" s="447"/>
      <c r="BL702" s="447"/>
      <c r="BM702" s="448"/>
      <c r="BN702" s="448"/>
    </row>
    <row r="703" spans="1:66" ht="11.25" customHeight="1">
      <c r="A703" s="450"/>
      <c r="B703" s="447"/>
      <c r="C703" s="447"/>
      <c r="D703" s="447"/>
      <c r="E703" s="447"/>
      <c r="F703" s="447"/>
      <c r="G703" s="447"/>
      <c r="H703" s="447"/>
      <c r="I703" s="447"/>
      <c r="J703" s="447"/>
      <c r="K703" s="447"/>
      <c r="L703" s="447"/>
      <c r="M703" s="447"/>
      <c r="N703" s="447"/>
      <c r="O703" s="447"/>
      <c r="P703" s="447"/>
      <c r="Q703" s="447"/>
      <c r="R703" s="447"/>
      <c r="S703" s="447"/>
      <c r="T703" s="447"/>
      <c r="U703" s="447"/>
      <c r="V703" s="447"/>
      <c r="W703" s="447"/>
      <c r="X703" s="447"/>
      <c r="Y703" s="447"/>
      <c r="Z703" s="447"/>
      <c r="AA703" s="447"/>
      <c r="AB703" s="447"/>
      <c r="AC703" s="447"/>
      <c r="AD703" s="447"/>
      <c r="AE703" s="447"/>
      <c r="AF703" s="448"/>
      <c r="AG703" s="448"/>
      <c r="AH703" s="449"/>
      <c r="AI703" s="447"/>
      <c r="AJ703" s="447"/>
      <c r="AK703" s="447"/>
      <c r="AL703" s="447"/>
      <c r="AM703" s="447"/>
      <c r="AN703" s="447"/>
      <c r="AO703" s="447"/>
      <c r="AP703" s="447"/>
      <c r="AQ703" s="447"/>
      <c r="AR703" s="447"/>
      <c r="AS703" s="447"/>
      <c r="AT703" s="447"/>
      <c r="AU703" s="447"/>
      <c r="AV703" s="447"/>
      <c r="AW703" s="447"/>
      <c r="AX703" s="447"/>
      <c r="AY703" s="447"/>
      <c r="AZ703" s="447"/>
      <c r="BA703" s="447"/>
      <c r="BB703" s="447"/>
      <c r="BC703" s="447"/>
      <c r="BD703" s="447"/>
      <c r="BE703" s="447"/>
      <c r="BF703" s="447"/>
      <c r="BG703" s="447"/>
      <c r="BH703" s="447"/>
      <c r="BI703" s="447"/>
      <c r="BJ703" s="447"/>
      <c r="BK703" s="447"/>
      <c r="BL703" s="447"/>
      <c r="BM703" s="448"/>
      <c r="BN703" s="448"/>
    </row>
    <row r="704" spans="1:66" ht="11.25" customHeight="1">
      <c r="A704" s="450"/>
      <c r="B704" s="447"/>
      <c r="C704" s="447"/>
      <c r="D704" s="447"/>
      <c r="E704" s="447"/>
      <c r="F704" s="447"/>
      <c r="G704" s="447"/>
      <c r="H704" s="447"/>
      <c r="I704" s="447"/>
      <c r="J704" s="447"/>
      <c r="K704" s="447"/>
      <c r="L704" s="447"/>
      <c r="M704" s="447"/>
      <c r="N704" s="447"/>
      <c r="O704" s="447"/>
      <c r="P704" s="447"/>
      <c r="Q704" s="447"/>
      <c r="R704" s="447"/>
      <c r="S704" s="447"/>
      <c r="T704" s="447"/>
      <c r="U704" s="447"/>
      <c r="V704" s="447"/>
      <c r="W704" s="447"/>
      <c r="X704" s="447"/>
      <c r="Y704" s="447"/>
      <c r="Z704" s="447"/>
      <c r="AA704" s="447"/>
      <c r="AB704" s="447"/>
      <c r="AC704" s="447"/>
      <c r="AD704" s="447"/>
      <c r="AE704" s="447"/>
      <c r="AF704" s="448"/>
      <c r="AG704" s="448"/>
      <c r="AH704" s="449"/>
      <c r="AI704" s="447"/>
      <c r="AJ704" s="447"/>
      <c r="AK704" s="447"/>
      <c r="AL704" s="447"/>
      <c r="AM704" s="447"/>
      <c r="AN704" s="447"/>
      <c r="AO704" s="447"/>
      <c r="AP704" s="447"/>
      <c r="AQ704" s="447"/>
      <c r="AR704" s="447"/>
      <c r="AS704" s="447"/>
      <c r="AT704" s="447"/>
      <c r="AU704" s="447"/>
      <c r="AV704" s="447"/>
      <c r="AW704" s="447"/>
      <c r="AX704" s="447"/>
      <c r="AY704" s="447"/>
      <c r="AZ704" s="447"/>
      <c r="BA704" s="447"/>
      <c r="BB704" s="447"/>
      <c r="BC704" s="447"/>
      <c r="BD704" s="447"/>
      <c r="BE704" s="447"/>
      <c r="BF704" s="447"/>
      <c r="BG704" s="447"/>
      <c r="BH704" s="447"/>
      <c r="BI704" s="447"/>
      <c r="BJ704" s="447"/>
      <c r="BK704" s="447"/>
      <c r="BL704" s="447"/>
      <c r="BM704" s="448"/>
      <c r="BN704" s="448"/>
    </row>
    <row r="705" spans="1:66" ht="11.25" customHeight="1">
      <c r="A705" s="450"/>
      <c r="B705" s="447"/>
      <c r="C705" s="447"/>
      <c r="D705" s="447"/>
      <c r="E705" s="447"/>
      <c r="F705" s="447"/>
      <c r="G705" s="447"/>
      <c r="H705" s="447"/>
      <c r="I705" s="447"/>
      <c r="J705" s="447"/>
      <c r="K705" s="447"/>
      <c r="L705" s="447"/>
      <c r="M705" s="447"/>
      <c r="N705" s="447"/>
      <c r="O705" s="447"/>
      <c r="P705" s="447"/>
      <c r="Q705" s="447"/>
      <c r="R705" s="447"/>
      <c r="S705" s="447"/>
      <c r="T705" s="447"/>
      <c r="U705" s="447"/>
      <c r="V705" s="447"/>
      <c r="W705" s="447"/>
      <c r="X705" s="447"/>
      <c r="Y705" s="447"/>
      <c r="Z705" s="447"/>
      <c r="AA705" s="447"/>
      <c r="AB705" s="447"/>
      <c r="AC705" s="447"/>
      <c r="AD705" s="447"/>
      <c r="AE705" s="447"/>
      <c r="AF705" s="448"/>
      <c r="AG705" s="448"/>
      <c r="AH705" s="449"/>
      <c r="AI705" s="447"/>
      <c r="AJ705" s="447"/>
      <c r="AK705" s="447"/>
      <c r="AL705" s="447"/>
      <c r="AM705" s="447"/>
      <c r="AN705" s="447"/>
      <c r="AO705" s="447"/>
      <c r="AP705" s="447"/>
      <c r="AQ705" s="447"/>
      <c r="AR705" s="447"/>
      <c r="AS705" s="447"/>
      <c r="AT705" s="447"/>
      <c r="AU705" s="447"/>
      <c r="AV705" s="447"/>
      <c r="AW705" s="447"/>
      <c r="AX705" s="447"/>
      <c r="AY705" s="447"/>
      <c r="AZ705" s="447"/>
      <c r="BA705" s="447"/>
      <c r="BB705" s="447"/>
      <c r="BC705" s="447"/>
      <c r="BD705" s="447"/>
      <c r="BE705" s="447"/>
      <c r="BF705" s="447"/>
      <c r="BG705" s="447"/>
      <c r="BH705" s="447"/>
      <c r="BI705" s="447"/>
      <c r="BJ705" s="447"/>
      <c r="BK705" s="447"/>
      <c r="BL705" s="447"/>
      <c r="BM705" s="448"/>
      <c r="BN705" s="448"/>
    </row>
    <row r="706" spans="1:66" ht="11.25" customHeight="1">
      <c r="A706" s="450"/>
      <c r="B706" s="447"/>
      <c r="C706" s="447"/>
      <c r="D706" s="447"/>
      <c r="E706" s="447"/>
      <c r="F706" s="447"/>
      <c r="G706" s="447"/>
      <c r="H706" s="447"/>
      <c r="I706" s="447"/>
      <c r="J706" s="447"/>
      <c r="K706" s="447"/>
      <c r="L706" s="447"/>
      <c r="M706" s="447"/>
      <c r="N706" s="447"/>
      <c r="O706" s="447"/>
      <c r="P706" s="447"/>
      <c r="Q706" s="447"/>
      <c r="R706" s="447"/>
      <c r="S706" s="447"/>
      <c r="T706" s="447"/>
      <c r="U706" s="447"/>
      <c r="V706" s="447"/>
      <c r="W706" s="447"/>
      <c r="X706" s="447"/>
      <c r="Y706" s="447"/>
      <c r="Z706" s="447"/>
      <c r="AA706" s="447"/>
      <c r="AB706" s="447"/>
      <c r="AC706" s="447"/>
      <c r="AD706" s="447"/>
      <c r="AE706" s="447"/>
      <c r="AF706" s="448"/>
      <c r="AG706" s="448"/>
      <c r="AH706" s="449"/>
      <c r="AI706" s="447"/>
      <c r="AJ706" s="447"/>
      <c r="AK706" s="447"/>
      <c r="AL706" s="447"/>
      <c r="AM706" s="447"/>
      <c r="AN706" s="447"/>
      <c r="AO706" s="447"/>
      <c r="AP706" s="447"/>
      <c r="AQ706" s="447"/>
      <c r="AR706" s="447"/>
      <c r="AS706" s="447"/>
      <c r="AT706" s="447"/>
      <c r="AU706" s="447"/>
      <c r="AV706" s="447"/>
      <c r="AW706" s="447"/>
      <c r="AX706" s="447"/>
      <c r="AY706" s="447"/>
      <c r="AZ706" s="447"/>
      <c r="BA706" s="447"/>
      <c r="BB706" s="447"/>
      <c r="BC706" s="447"/>
      <c r="BD706" s="447"/>
      <c r="BE706" s="447"/>
      <c r="BF706" s="447"/>
      <c r="BG706" s="447"/>
      <c r="BH706" s="447"/>
      <c r="BI706" s="447"/>
      <c r="BJ706" s="447"/>
      <c r="BK706" s="447"/>
      <c r="BL706" s="447"/>
      <c r="BM706" s="448"/>
      <c r="BN706" s="448"/>
    </row>
    <row r="707" spans="1:66" ht="11.25" customHeight="1">
      <c r="A707" s="450"/>
      <c r="B707" s="447"/>
      <c r="C707" s="447"/>
      <c r="D707" s="447"/>
      <c r="E707" s="447"/>
      <c r="F707" s="447"/>
      <c r="G707" s="447"/>
      <c r="H707" s="447"/>
      <c r="I707" s="447"/>
      <c r="J707" s="447"/>
      <c r="K707" s="447"/>
      <c r="L707" s="447"/>
      <c r="M707" s="447"/>
      <c r="N707" s="447"/>
      <c r="O707" s="447"/>
      <c r="P707" s="447"/>
      <c r="Q707" s="447"/>
      <c r="R707" s="447"/>
      <c r="S707" s="447"/>
      <c r="T707" s="447"/>
      <c r="U707" s="447"/>
      <c r="V707" s="447"/>
      <c r="W707" s="447"/>
      <c r="X707" s="447"/>
      <c r="Y707" s="447"/>
      <c r="Z707" s="447"/>
      <c r="AA707" s="447"/>
      <c r="AB707" s="447"/>
      <c r="AC707" s="447"/>
      <c r="AD707" s="447"/>
      <c r="AE707" s="447"/>
      <c r="AF707" s="448"/>
      <c r="AG707" s="448"/>
      <c r="AH707" s="449"/>
      <c r="AI707" s="447"/>
      <c r="AJ707" s="447"/>
      <c r="AK707" s="447"/>
      <c r="AL707" s="447"/>
      <c r="AM707" s="447"/>
      <c r="AN707" s="447"/>
      <c r="AO707" s="447"/>
      <c r="AP707" s="447"/>
      <c r="AQ707" s="447"/>
      <c r="AR707" s="447"/>
      <c r="AS707" s="447"/>
      <c r="AT707" s="447"/>
      <c r="AU707" s="447"/>
      <c r="AV707" s="447"/>
      <c r="AW707" s="447"/>
      <c r="AX707" s="447"/>
      <c r="AY707" s="447"/>
      <c r="AZ707" s="447"/>
      <c r="BA707" s="447"/>
      <c r="BB707" s="447"/>
      <c r="BC707" s="447"/>
      <c r="BD707" s="447"/>
      <c r="BE707" s="447"/>
      <c r="BF707" s="447"/>
      <c r="BG707" s="447"/>
      <c r="BH707" s="447"/>
      <c r="BI707" s="447"/>
      <c r="BJ707" s="447"/>
      <c r="BK707" s="447"/>
      <c r="BL707" s="447"/>
      <c r="BM707" s="448"/>
      <c r="BN707" s="448"/>
    </row>
    <row r="708" spans="1:66" ht="11.25" customHeight="1">
      <c r="A708" s="450"/>
      <c r="B708" s="447"/>
      <c r="C708" s="447"/>
      <c r="D708" s="447"/>
      <c r="E708" s="447"/>
      <c r="F708" s="447"/>
      <c r="G708" s="447"/>
      <c r="H708" s="447"/>
      <c r="I708" s="447"/>
      <c r="J708" s="447"/>
      <c r="K708" s="447"/>
      <c r="L708" s="447"/>
      <c r="M708" s="447"/>
      <c r="N708" s="447"/>
      <c r="O708" s="447"/>
      <c r="P708" s="447"/>
      <c r="Q708" s="447"/>
      <c r="R708" s="447"/>
      <c r="S708" s="447"/>
      <c r="T708" s="447"/>
      <c r="U708" s="447"/>
      <c r="V708" s="447"/>
      <c r="W708" s="447"/>
      <c r="X708" s="447"/>
      <c r="Y708" s="447"/>
      <c r="Z708" s="447"/>
      <c r="AA708" s="447"/>
      <c r="AB708" s="447"/>
      <c r="AC708" s="447"/>
      <c r="AD708" s="447"/>
      <c r="AE708" s="447"/>
      <c r="AF708" s="448"/>
      <c r="AG708" s="448"/>
      <c r="AH708" s="449"/>
      <c r="AI708" s="447"/>
      <c r="AJ708" s="447"/>
      <c r="AK708" s="447"/>
      <c r="AL708" s="447"/>
      <c r="AM708" s="447"/>
      <c r="AN708" s="447"/>
      <c r="AO708" s="447"/>
      <c r="AP708" s="447"/>
      <c r="AQ708" s="447"/>
      <c r="AR708" s="447"/>
      <c r="AS708" s="447"/>
      <c r="AT708" s="447"/>
      <c r="AU708" s="447"/>
      <c r="AV708" s="447"/>
      <c r="AW708" s="447"/>
      <c r="AX708" s="447"/>
      <c r="AY708" s="447"/>
      <c r="AZ708" s="447"/>
      <c r="BA708" s="447"/>
      <c r="BB708" s="447"/>
      <c r="BC708" s="447"/>
      <c r="BD708" s="447"/>
      <c r="BE708" s="447"/>
      <c r="BF708" s="447"/>
      <c r="BG708" s="447"/>
      <c r="BH708" s="447"/>
      <c r="BI708" s="447"/>
      <c r="BJ708" s="447"/>
      <c r="BK708" s="447"/>
      <c r="BL708" s="447"/>
      <c r="BM708" s="448"/>
      <c r="BN708" s="448"/>
    </row>
    <row r="709" spans="1:66" ht="11.25" customHeight="1">
      <c r="A709" s="450"/>
      <c r="B709" s="447"/>
      <c r="C709" s="447"/>
      <c r="D709" s="447"/>
      <c r="E709" s="447"/>
      <c r="F709" s="447"/>
      <c r="G709" s="447"/>
      <c r="H709" s="447"/>
      <c r="I709" s="447"/>
      <c r="J709" s="447"/>
      <c r="K709" s="447"/>
      <c r="L709" s="447"/>
      <c r="M709" s="447"/>
      <c r="N709" s="447"/>
      <c r="O709" s="447"/>
      <c r="P709" s="447"/>
      <c r="Q709" s="447"/>
      <c r="R709" s="447"/>
      <c r="S709" s="447"/>
      <c r="T709" s="447"/>
      <c r="U709" s="447"/>
      <c r="V709" s="447"/>
      <c r="W709" s="447"/>
      <c r="X709" s="447"/>
      <c r="Y709" s="447"/>
      <c r="Z709" s="447"/>
      <c r="AA709" s="447"/>
      <c r="AB709" s="447"/>
      <c r="AC709" s="447"/>
      <c r="AD709" s="447"/>
      <c r="AE709" s="447"/>
      <c r="AF709" s="448"/>
      <c r="AG709" s="448"/>
      <c r="AH709" s="449"/>
      <c r="AI709" s="447"/>
      <c r="AJ709" s="447"/>
      <c r="AK709" s="447"/>
      <c r="AL709" s="447"/>
      <c r="AM709" s="447"/>
      <c r="AN709" s="447"/>
      <c r="AO709" s="447"/>
      <c r="AP709" s="447"/>
      <c r="AQ709" s="447"/>
      <c r="AR709" s="447"/>
      <c r="AS709" s="447"/>
      <c r="AT709" s="447"/>
      <c r="AU709" s="447"/>
      <c r="AV709" s="447"/>
      <c r="AW709" s="447"/>
      <c r="AX709" s="447"/>
      <c r="AY709" s="447"/>
      <c r="AZ709" s="447"/>
      <c r="BA709" s="447"/>
      <c r="BB709" s="447"/>
      <c r="BC709" s="447"/>
      <c r="BD709" s="447"/>
      <c r="BE709" s="447"/>
      <c r="BF709" s="447"/>
      <c r="BG709" s="447"/>
      <c r="BH709" s="447"/>
      <c r="BI709" s="447"/>
      <c r="BJ709" s="447"/>
      <c r="BK709" s="447"/>
      <c r="BL709" s="447"/>
      <c r="BM709" s="448"/>
      <c r="BN709" s="448"/>
    </row>
    <row r="710" spans="1:66" ht="11.25" customHeight="1">
      <c r="A710" s="450"/>
      <c r="B710" s="447"/>
      <c r="C710" s="447"/>
      <c r="D710" s="447"/>
      <c r="E710" s="447"/>
      <c r="F710" s="447"/>
      <c r="G710" s="447"/>
      <c r="H710" s="447"/>
      <c r="I710" s="447"/>
      <c r="J710" s="447"/>
      <c r="K710" s="447"/>
      <c r="L710" s="447"/>
      <c r="M710" s="447"/>
      <c r="N710" s="447"/>
      <c r="O710" s="447"/>
      <c r="P710" s="447"/>
      <c r="Q710" s="447"/>
      <c r="R710" s="447"/>
      <c r="S710" s="447"/>
      <c r="T710" s="447"/>
      <c r="U710" s="447"/>
      <c r="V710" s="447"/>
      <c r="W710" s="447"/>
      <c r="X710" s="447"/>
      <c r="Y710" s="447"/>
      <c r="Z710" s="447"/>
      <c r="AA710" s="447"/>
      <c r="AB710" s="447"/>
      <c r="AC710" s="447"/>
      <c r="AD710" s="447"/>
      <c r="AE710" s="447"/>
      <c r="AF710" s="448"/>
      <c r="AG710" s="448"/>
      <c r="AH710" s="449"/>
      <c r="AI710" s="447"/>
      <c r="AJ710" s="447"/>
      <c r="AK710" s="447"/>
      <c r="AL710" s="447"/>
      <c r="AM710" s="447"/>
      <c r="AN710" s="447"/>
      <c r="AO710" s="447"/>
      <c r="AP710" s="447"/>
      <c r="AQ710" s="447"/>
      <c r="AR710" s="447"/>
      <c r="AS710" s="447"/>
      <c r="AT710" s="447"/>
      <c r="AU710" s="447"/>
      <c r="AV710" s="447"/>
      <c r="AW710" s="447"/>
      <c r="AX710" s="447"/>
      <c r="AY710" s="447"/>
      <c r="AZ710" s="447"/>
      <c r="BA710" s="447"/>
      <c r="BB710" s="447"/>
      <c r="BC710" s="447"/>
      <c r="BD710" s="447"/>
      <c r="BE710" s="447"/>
      <c r="BF710" s="447"/>
      <c r="BG710" s="447"/>
      <c r="BH710" s="447"/>
      <c r="BI710" s="447"/>
      <c r="BJ710" s="447"/>
      <c r="BK710" s="447"/>
      <c r="BL710" s="447"/>
      <c r="BM710" s="448"/>
      <c r="BN710" s="448"/>
    </row>
    <row r="711" spans="1:66" ht="11.25" customHeight="1">
      <c r="A711" s="450"/>
      <c r="B711" s="447"/>
      <c r="C711" s="447"/>
      <c r="D711" s="447"/>
      <c r="E711" s="447"/>
      <c r="F711" s="447"/>
      <c r="G711" s="447"/>
      <c r="H711" s="447"/>
      <c r="I711" s="447"/>
      <c r="J711" s="447"/>
      <c r="K711" s="447"/>
      <c r="L711" s="447"/>
      <c r="M711" s="447"/>
      <c r="N711" s="447"/>
      <c r="O711" s="447"/>
      <c r="P711" s="447"/>
      <c r="Q711" s="447"/>
      <c r="R711" s="447"/>
      <c r="S711" s="447"/>
      <c r="T711" s="447"/>
      <c r="U711" s="447"/>
      <c r="V711" s="447"/>
      <c r="W711" s="447"/>
      <c r="X711" s="447"/>
      <c r="Y711" s="447"/>
      <c r="Z711" s="447"/>
      <c r="AA711" s="447"/>
      <c r="AB711" s="447"/>
      <c r="AC711" s="447"/>
      <c r="AD711" s="447"/>
      <c r="AE711" s="447"/>
      <c r="AF711" s="448"/>
      <c r="AG711" s="448"/>
      <c r="AH711" s="449"/>
      <c r="AI711" s="447"/>
      <c r="AJ711" s="447"/>
      <c r="AK711" s="447"/>
      <c r="AL711" s="447"/>
      <c r="AM711" s="447"/>
      <c r="AN711" s="447"/>
      <c r="AO711" s="447"/>
      <c r="AP711" s="447"/>
      <c r="AQ711" s="447"/>
      <c r="AR711" s="447"/>
      <c r="AS711" s="447"/>
      <c r="AT711" s="447"/>
      <c r="AU711" s="447"/>
      <c r="AV711" s="447"/>
      <c r="AW711" s="447"/>
      <c r="AX711" s="447"/>
      <c r="AY711" s="447"/>
      <c r="AZ711" s="447"/>
      <c r="BA711" s="447"/>
      <c r="BB711" s="447"/>
      <c r="BC711" s="447"/>
      <c r="BD711" s="447"/>
      <c r="BE711" s="447"/>
      <c r="BF711" s="447"/>
      <c r="BG711" s="447"/>
      <c r="BH711" s="447"/>
      <c r="BI711" s="447"/>
      <c r="BJ711" s="447"/>
      <c r="BK711" s="447"/>
      <c r="BL711" s="447"/>
      <c r="BM711" s="448"/>
      <c r="BN711" s="448"/>
    </row>
    <row r="712" spans="1:66" ht="11.25" customHeight="1">
      <c r="A712" s="450"/>
      <c r="B712" s="447"/>
      <c r="C712" s="447"/>
      <c r="D712" s="447"/>
      <c r="E712" s="447"/>
      <c r="F712" s="447"/>
      <c r="G712" s="447"/>
      <c r="H712" s="447"/>
      <c r="I712" s="447"/>
      <c r="J712" s="447"/>
      <c r="K712" s="447"/>
      <c r="L712" s="447"/>
      <c r="M712" s="447"/>
      <c r="N712" s="447"/>
      <c r="O712" s="447"/>
      <c r="P712" s="447"/>
      <c r="Q712" s="447"/>
      <c r="R712" s="447"/>
      <c r="S712" s="447"/>
      <c r="T712" s="447"/>
      <c r="U712" s="447"/>
      <c r="V712" s="447"/>
      <c r="W712" s="447"/>
      <c r="X712" s="447"/>
      <c r="Y712" s="447"/>
      <c r="Z712" s="447"/>
      <c r="AA712" s="447"/>
      <c r="AB712" s="447"/>
      <c r="AC712" s="447"/>
      <c r="AD712" s="447"/>
      <c r="AE712" s="447"/>
      <c r="AF712" s="448"/>
      <c r="AG712" s="448"/>
      <c r="AH712" s="449"/>
      <c r="AI712" s="447"/>
      <c r="AJ712" s="447"/>
      <c r="AK712" s="447"/>
      <c r="AL712" s="447"/>
      <c r="AM712" s="447"/>
      <c r="AN712" s="447"/>
      <c r="AO712" s="447"/>
      <c r="AP712" s="447"/>
      <c r="AQ712" s="447"/>
      <c r="AR712" s="447"/>
      <c r="AS712" s="447"/>
      <c r="AT712" s="447"/>
      <c r="AU712" s="447"/>
      <c r="AV712" s="447"/>
      <c r="AW712" s="447"/>
      <c r="AX712" s="447"/>
      <c r="AY712" s="447"/>
      <c r="AZ712" s="447"/>
      <c r="BA712" s="447"/>
      <c r="BB712" s="447"/>
      <c r="BC712" s="447"/>
      <c r="BD712" s="447"/>
      <c r="BE712" s="447"/>
      <c r="BF712" s="447"/>
      <c r="BG712" s="447"/>
      <c r="BH712" s="447"/>
      <c r="BI712" s="447"/>
      <c r="BJ712" s="447"/>
      <c r="BK712" s="447"/>
      <c r="BL712" s="447"/>
      <c r="BM712" s="448"/>
      <c r="BN712" s="448"/>
    </row>
    <row r="713" spans="1:66" ht="11.25" customHeight="1">
      <c r="A713" s="450"/>
      <c r="B713" s="447"/>
      <c r="C713" s="447"/>
      <c r="D713" s="447"/>
      <c r="E713" s="447"/>
      <c r="F713" s="447"/>
      <c r="G713" s="447"/>
      <c r="H713" s="447"/>
      <c r="I713" s="447"/>
      <c r="J713" s="447"/>
      <c r="K713" s="447"/>
      <c r="L713" s="447"/>
      <c r="M713" s="447"/>
      <c r="N713" s="447"/>
      <c r="O713" s="447"/>
      <c r="P713" s="447"/>
      <c r="Q713" s="447"/>
      <c r="R713" s="447"/>
      <c r="S713" s="447"/>
      <c r="T713" s="447"/>
      <c r="U713" s="447"/>
      <c r="V713" s="447"/>
      <c r="W713" s="447"/>
      <c r="X713" s="447"/>
      <c r="Y713" s="447"/>
      <c r="Z713" s="447"/>
      <c r="AA713" s="447"/>
      <c r="AB713" s="447"/>
      <c r="AC713" s="447"/>
      <c r="AD713" s="447"/>
      <c r="AE713" s="447"/>
      <c r="AF713" s="448"/>
      <c r="AG713" s="448"/>
      <c r="AH713" s="449"/>
      <c r="AI713" s="447"/>
      <c r="AJ713" s="447"/>
      <c r="AK713" s="447"/>
      <c r="AL713" s="447"/>
      <c r="AM713" s="447"/>
      <c r="AN713" s="447"/>
      <c r="AO713" s="447"/>
      <c r="AP713" s="447"/>
      <c r="AQ713" s="447"/>
      <c r="AR713" s="447"/>
      <c r="AS713" s="447"/>
      <c r="AT713" s="447"/>
      <c r="AU713" s="447"/>
      <c r="AV713" s="447"/>
      <c r="AW713" s="447"/>
      <c r="AX713" s="447"/>
      <c r="AY713" s="447"/>
      <c r="AZ713" s="447"/>
      <c r="BA713" s="447"/>
      <c r="BB713" s="447"/>
      <c r="BC713" s="447"/>
      <c r="BD713" s="447"/>
      <c r="BE713" s="447"/>
      <c r="BF713" s="447"/>
      <c r="BG713" s="447"/>
      <c r="BH713" s="447"/>
      <c r="BI713" s="447"/>
      <c r="BJ713" s="447"/>
      <c r="BK713" s="447"/>
      <c r="BL713" s="447"/>
      <c r="BM713" s="448"/>
      <c r="BN713" s="448"/>
    </row>
    <row r="714" spans="1:66" ht="11.25" customHeight="1">
      <c r="A714" s="450"/>
      <c r="B714" s="447"/>
      <c r="C714" s="447"/>
      <c r="D714" s="447"/>
      <c r="E714" s="447"/>
      <c r="F714" s="447"/>
      <c r="G714" s="447"/>
      <c r="H714" s="447"/>
      <c r="I714" s="447"/>
      <c r="J714" s="447"/>
      <c r="K714" s="447"/>
      <c r="L714" s="447"/>
      <c r="M714" s="447"/>
      <c r="N714" s="447"/>
      <c r="O714" s="447"/>
      <c r="P714" s="447"/>
      <c r="Q714" s="447"/>
      <c r="R714" s="447"/>
      <c r="S714" s="447"/>
      <c r="T714" s="447"/>
      <c r="U714" s="447"/>
      <c r="V714" s="447"/>
      <c r="W714" s="447"/>
      <c r="X714" s="447"/>
      <c r="Y714" s="447"/>
      <c r="Z714" s="447"/>
      <c r="AA714" s="447"/>
      <c r="AB714" s="447"/>
      <c r="AC714" s="447"/>
      <c r="AD714" s="447"/>
      <c r="AE714" s="447"/>
      <c r="AF714" s="448"/>
      <c r="AG714" s="448"/>
      <c r="AH714" s="449"/>
      <c r="AI714" s="447"/>
      <c r="AJ714" s="447"/>
      <c r="AK714" s="447"/>
      <c r="AL714" s="447"/>
      <c r="AM714" s="447"/>
      <c r="AN714" s="447"/>
      <c r="AO714" s="447"/>
      <c r="AP714" s="447"/>
      <c r="AQ714" s="447"/>
      <c r="AR714" s="447"/>
      <c r="AS714" s="447"/>
      <c r="AT714" s="447"/>
      <c r="AU714" s="447"/>
      <c r="AV714" s="447"/>
      <c r="AW714" s="447"/>
      <c r="AX714" s="447"/>
      <c r="AY714" s="447"/>
      <c r="AZ714" s="447"/>
      <c r="BA714" s="447"/>
      <c r="BB714" s="447"/>
      <c r="BC714" s="447"/>
      <c r="BD714" s="447"/>
      <c r="BE714" s="447"/>
      <c r="BF714" s="447"/>
      <c r="BG714" s="447"/>
      <c r="BH714" s="447"/>
      <c r="BI714" s="447"/>
      <c r="BJ714" s="447"/>
      <c r="BK714" s="447"/>
      <c r="BL714" s="447"/>
      <c r="BM714" s="448"/>
      <c r="BN714" s="448"/>
    </row>
    <row r="715" spans="1:66" ht="11.25" customHeight="1">
      <c r="A715" s="450"/>
      <c r="B715" s="447"/>
      <c r="C715" s="447"/>
      <c r="D715" s="447"/>
      <c r="E715" s="447"/>
      <c r="F715" s="447"/>
      <c r="G715" s="447"/>
      <c r="H715" s="447"/>
      <c r="I715" s="447"/>
      <c r="J715" s="447"/>
      <c r="K715" s="447"/>
      <c r="L715" s="447"/>
      <c r="M715" s="447"/>
      <c r="N715" s="447"/>
      <c r="O715" s="447"/>
      <c r="P715" s="447"/>
      <c r="Q715" s="447"/>
      <c r="R715" s="447"/>
      <c r="S715" s="447"/>
      <c r="T715" s="447"/>
      <c r="U715" s="447"/>
      <c r="V715" s="447"/>
      <c r="W715" s="447"/>
      <c r="X715" s="447"/>
      <c r="Y715" s="447"/>
      <c r="Z715" s="447"/>
      <c r="AA715" s="447"/>
      <c r="AB715" s="447"/>
      <c r="AC715" s="447"/>
      <c r="AD715" s="447"/>
      <c r="AE715" s="447"/>
      <c r="AF715" s="448"/>
      <c r="AG715" s="448"/>
      <c r="AH715" s="449"/>
      <c r="AI715" s="447"/>
      <c r="AJ715" s="447"/>
      <c r="AK715" s="447"/>
      <c r="AL715" s="447"/>
      <c r="AM715" s="447"/>
      <c r="AN715" s="447"/>
      <c r="AO715" s="447"/>
      <c r="AP715" s="447"/>
      <c r="AQ715" s="447"/>
      <c r="AR715" s="447"/>
      <c r="AS715" s="447"/>
      <c r="AT715" s="447"/>
      <c r="AU715" s="447"/>
      <c r="AV715" s="447"/>
      <c r="AW715" s="447"/>
      <c r="AX715" s="447"/>
      <c r="AY715" s="447"/>
      <c r="AZ715" s="447"/>
      <c r="BA715" s="447"/>
      <c r="BB715" s="447"/>
      <c r="BC715" s="447"/>
      <c r="BD715" s="447"/>
      <c r="BE715" s="447"/>
      <c r="BF715" s="447"/>
      <c r="BG715" s="447"/>
      <c r="BH715" s="447"/>
      <c r="BI715" s="447"/>
      <c r="BJ715" s="447"/>
      <c r="BK715" s="447"/>
      <c r="BL715" s="447"/>
      <c r="BM715" s="448"/>
      <c r="BN715" s="448"/>
    </row>
    <row r="716" spans="1:66" ht="11.25" customHeight="1">
      <c r="A716" s="450"/>
      <c r="B716" s="447"/>
      <c r="C716" s="447"/>
      <c r="D716" s="447"/>
      <c r="E716" s="447"/>
      <c r="F716" s="447"/>
      <c r="G716" s="447"/>
      <c r="H716" s="447"/>
      <c r="I716" s="447"/>
      <c r="J716" s="447"/>
      <c r="K716" s="447"/>
      <c r="L716" s="447"/>
      <c r="M716" s="447"/>
      <c r="N716" s="447"/>
      <c r="O716" s="447"/>
      <c r="P716" s="447"/>
      <c r="Q716" s="447"/>
      <c r="R716" s="447"/>
      <c r="S716" s="447"/>
      <c r="T716" s="447"/>
      <c r="U716" s="447"/>
      <c r="V716" s="447"/>
      <c r="W716" s="447"/>
      <c r="X716" s="447"/>
      <c r="Y716" s="447"/>
      <c r="Z716" s="447"/>
      <c r="AA716" s="447"/>
      <c r="AB716" s="447"/>
      <c r="AC716" s="447"/>
      <c r="AD716" s="447"/>
      <c r="AE716" s="447"/>
      <c r="AF716" s="448"/>
      <c r="AG716" s="448"/>
      <c r="AH716" s="449"/>
      <c r="AI716" s="447"/>
      <c r="AJ716" s="447"/>
      <c r="AK716" s="447"/>
      <c r="AL716" s="447"/>
      <c r="AM716" s="447"/>
      <c r="AN716" s="447"/>
      <c r="AO716" s="447"/>
      <c r="AP716" s="447"/>
      <c r="AQ716" s="447"/>
      <c r="AR716" s="447"/>
      <c r="AS716" s="447"/>
      <c r="AT716" s="447"/>
      <c r="AU716" s="447"/>
      <c r="AV716" s="447"/>
      <c r="AW716" s="447"/>
      <c r="AX716" s="447"/>
      <c r="AY716" s="447"/>
      <c r="AZ716" s="447"/>
      <c r="BA716" s="447"/>
      <c r="BB716" s="447"/>
      <c r="BC716" s="447"/>
      <c r="BD716" s="447"/>
      <c r="BE716" s="447"/>
      <c r="BF716" s="447"/>
      <c r="BG716" s="447"/>
      <c r="BH716" s="447"/>
      <c r="BI716" s="447"/>
      <c r="BJ716" s="447"/>
      <c r="BK716" s="447"/>
      <c r="BL716" s="447"/>
      <c r="BM716" s="448"/>
      <c r="BN716" s="448"/>
    </row>
    <row r="717" spans="1:66" ht="11.25" customHeight="1">
      <c r="A717" s="450"/>
      <c r="B717" s="447"/>
      <c r="C717" s="447"/>
      <c r="D717" s="447"/>
      <c r="E717" s="447"/>
      <c r="F717" s="447"/>
      <c r="G717" s="447"/>
      <c r="H717" s="447"/>
      <c r="I717" s="447"/>
      <c r="J717" s="447"/>
      <c r="K717" s="447"/>
      <c r="L717" s="447"/>
      <c r="M717" s="447"/>
      <c r="N717" s="447"/>
      <c r="O717" s="447"/>
      <c r="P717" s="447"/>
      <c r="Q717" s="447"/>
      <c r="R717" s="447"/>
      <c r="S717" s="447"/>
      <c r="T717" s="447"/>
      <c r="U717" s="447"/>
      <c r="V717" s="447"/>
      <c r="W717" s="447"/>
      <c r="X717" s="447"/>
      <c r="Y717" s="447"/>
      <c r="Z717" s="447"/>
      <c r="AA717" s="447"/>
      <c r="AB717" s="447"/>
      <c r="AC717" s="447"/>
      <c r="AD717" s="447"/>
      <c r="AE717" s="447"/>
      <c r="AF717" s="448"/>
      <c r="AG717" s="448"/>
      <c r="AH717" s="449"/>
      <c r="AI717" s="447"/>
      <c r="AJ717" s="447"/>
      <c r="AK717" s="447"/>
      <c r="AL717" s="447"/>
      <c r="AM717" s="447"/>
      <c r="AN717" s="447"/>
      <c r="AO717" s="447"/>
      <c r="AP717" s="447"/>
      <c r="AQ717" s="447"/>
      <c r="AR717" s="447"/>
      <c r="AS717" s="447"/>
      <c r="AT717" s="447"/>
      <c r="AU717" s="447"/>
      <c r="AV717" s="447"/>
      <c r="AW717" s="447"/>
      <c r="AX717" s="447"/>
      <c r="AY717" s="447"/>
      <c r="AZ717" s="447"/>
      <c r="BA717" s="447"/>
      <c r="BB717" s="447"/>
      <c r="BC717" s="447"/>
      <c r="BD717" s="447"/>
      <c r="BE717" s="447"/>
      <c r="BF717" s="447"/>
      <c r="BG717" s="447"/>
      <c r="BH717" s="447"/>
      <c r="BI717" s="447"/>
      <c r="BJ717" s="447"/>
      <c r="BK717" s="447"/>
      <c r="BL717" s="447"/>
      <c r="BM717" s="448"/>
      <c r="BN717" s="448"/>
    </row>
    <row r="718" spans="1:66" ht="11.25" customHeight="1">
      <c r="A718" s="450"/>
      <c r="B718" s="447"/>
      <c r="C718" s="447"/>
      <c r="D718" s="447"/>
      <c r="E718" s="447"/>
      <c r="F718" s="447"/>
      <c r="G718" s="447"/>
      <c r="H718" s="447"/>
      <c r="I718" s="447"/>
      <c r="J718" s="447"/>
      <c r="K718" s="447"/>
      <c r="L718" s="447"/>
      <c r="M718" s="447"/>
      <c r="N718" s="447"/>
      <c r="O718" s="447"/>
      <c r="P718" s="447"/>
      <c r="Q718" s="447"/>
      <c r="R718" s="447"/>
      <c r="S718" s="447"/>
      <c r="T718" s="447"/>
      <c r="U718" s="447"/>
      <c r="V718" s="447"/>
      <c r="W718" s="447"/>
      <c r="X718" s="447"/>
      <c r="Y718" s="447"/>
      <c r="Z718" s="447"/>
      <c r="AA718" s="447"/>
      <c r="AB718" s="447"/>
      <c r="AC718" s="447"/>
      <c r="AD718" s="447"/>
      <c r="AE718" s="447"/>
      <c r="AF718" s="448"/>
      <c r="AG718" s="448"/>
      <c r="AH718" s="449"/>
      <c r="AI718" s="447"/>
      <c r="AJ718" s="447"/>
      <c r="AK718" s="447"/>
      <c r="AL718" s="447"/>
      <c r="AM718" s="447"/>
      <c r="AN718" s="447"/>
      <c r="AO718" s="447"/>
      <c r="AP718" s="447"/>
      <c r="AQ718" s="447"/>
      <c r="AR718" s="447"/>
      <c r="AS718" s="447"/>
      <c r="AT718" s="447"/>
      <c r="AU718" s="447"/>
      <c r="AV718" s="447"/>
      <c r="AW718" s="447"/>
      <c r="AX718" s="447"/>
      <c r="AY718" s="447"/>
      <c r="AZ718" s="447"/>
      <c r="BA718" s="447"/>
      <c r="BB718" s="447"/>
      <c r="BC718" s="447"/>
      <c r="BD718" s="447"/>
      <c r="BE718" s="447"/>
      <c r="BF718" s="447"/>
      <c r="BG718" s="447"/>
      <c r="BH718" s="447"/>
      <c r="BI718" s="447"/>
      <c r="BJ718" s="447"/>
      <c r="BK718" s="447"/>
      <c r="BL718" s="447"/>
      <c r="BM718" s="448"/>
      <c r="BN718" s="448"/>
    </row>
    <row r="719" spans="1:66" ht="11.25" customHeight="1">
      <c r="A719" s="450"/>
      <c r="B719" s="447"/>
      <c r="C719" s="447"/>
      <c r="D719" s="447"/>
      <c r="E719" s="447"/>
      <c r="F719" s="447"/>
      <c r="G719" s="447"/>
      <c r="H719" s="447"/>
      <c r="I719" s="447"/>
      <c r="J719" s="447"/>
      <c r="K719" s="447"/>
      <c r="L719" s="447"/>
      <c r="M719" s="447"/>
      <c r="N719" s="447"/>
      <c r="O719" s="447"/>
      <c r="P719" s="447"/>
      <c r="Q719" s="447"/>
      <c r="R719" s="447"/>
      <c r="S719" s="447"/>
      <c r="T719" s="447"/>
      <c r="U719" s="447"/>
      <c r="V719" s="447"/>
      <c r="W719" s="447"/>
      <c r="X719" s="447"/>
      <c r="Y719" s="447"/>
      <c r="Z719" s="447"/>
      <c r="AA719" s="447"/>
      <c r="AB719" s="447"/>
      <c r="AC719" s="447"/>
      <c r="AD719" s="447"/>
      <c r="AE719" s="447"/>
      <c r="AF719" s="448"/>
      <c r="AG719" s="448"/>
      <c r="AH719" s="449"/>
      <c r="AI719" s="447"/>
      <c r="AJ719" s="447"/>
      <c r="AK719" s="447"/>
      <c r="AL719" s="447"/>
      <c r="AM719" s="447"/>
      <c r="AN719" s="447"/>
      <c r="AO719" s="447"/>
      <c r="AP719" s="447"/>
      <c r="AQ719" s="447"/>
      <c r="AR719" s="447"/>
      <c r="AS719" s="447"/>
      <c r="AT719" s="447"/>
      <c r="AU719" s="447"/>
      <c r="AV719" s="447"/>
      <c r="AW719" s="447"/>
      <c r="AX719" s="447"/>
      <c r="AY719" s="447"/>
      <c r="AZ719" s="447"/>
      <c r="BA719" s="447"/>
      <c r="BB719" s="447"/>
      <c r="BC719" s="447"/>
      <c r="BD719" s="447"/>
      <c r="BE719" s="447"/>
      <c r="BF719" s="447"/>
      <c r="BG719" s="447"/>
      <c r="BH719" s="447"/>
      <c r="BI719" s="447"/>
      <c r="BJ719" s="447"/>
      <c r="BK719" s="447"/>
      <c r="BL719" s="447"/>
      <c r="BM719" s="448"/>
      <c r="BN719" s="448"/>
    </row>
    <row r="720" spans="1:66" ht="11.25" customHeight="1">
      <c r="A720" s="450"/>
      <c r="B720" s="447"/>
      <c r="C720" s="447"/>
      <c r="D720" s="447"/>
      <c r="E720" s="447"/>
      <c r="F720" s="447"/>
      <c r="G720" s="447"/>
      <c r="H720" s="447"/>
      <c r="I720" s="447"/>
      <c r="J720" s="447"/>
      <c r="K720" s="447"/>
      <c r="L720" s="447"/>
      <c r="M720" s="447"/>
      <c r="N720" s="447"/>
      <c r="O720" s="447"/>
      <c r="P720" s="447"/>
      <c r="Q720" s="447"/>
      <c r="R720" s="447"/>
      <c r="S720" s="447"/>
      <c r="T720" s="447"/>
      <c r="U720" s="447"/>
      <c r="V720" s="447"/>
      <c r="W720" s="447"/>
      <c r="X720" s="447"/>
      <c r="Y720" s="447"/>
      <c r="Z720" s="447"/>
      <c r="AA720" s="447"/>
      <c r="AB720" s="447"/>
      <c r="AC720" s="447"/>
      <c r="AD720" s="447"/>
      <c r="AE720" s="447"/>
      <c r="AF720" s="448"/>
      <c r="AG720" s="448"/>
      <c r="AH720" s="449"/>
      <c r="AI720" s="447"/>
      <c r="AJ720" s="447"/>
      <c r="AK720" s="447"/>
      <c r="AL720" s="447"/>
      <c r="AM720" s="447"/>
      <c r="AN720" s="447"/>
      <c r="AO720" s="447"/>
      <c r="AP720" s="447"/>
      <c r="AQ720" s="447"/>
      <c r="AR720" s="447"/>
      <c r="AS720" s="447"/>
      <c r="AT720" s="447"/>
      <c r="AU720" s="447"/>
      <c r="AV720" s="447"/>
      <c r="AW720" s="447"/>
      <c r="AX720" s="447"/>
      <c r="AY720" s="447"/>
      <c r="AZ720" s="447"/>
      <c r="BA720" s="447"/>
      <c r="BB720" s="447"/>
      <c r="BC720" s="447"/>
      <c r="BD720" s="447"/>
      <c r="BE720" s="447"/>
      <c r="BF720" s="447"/>
      <c r="BG720" s="447"/>
      <c r="BH720" s="447"/>
      <c r="BI720" s="447"/>
      <c r="BJ720" s="447"/>
      <c r="BK720" s="447"/>
      <c r="BL720" s="447"/>
      <c r="BM720" s="448"/>
      <c r="BN720" s="448"/>
    </row>
    <row r="721" spans="1:66" ht="11.25" customHeight="1">
      <c r="A721" s="450"/>
      <c r="B721" s="447"/>
      <c r="C721" s="447"/>
      <c r="D721" s="447"/>
      <c r="E721" s="447"/>
      <c r="F721" s="447"/>
      <c r="G721" s="447"/>
      <c r="H721" s="447"/>
      <c r="I721" s="447"/>
      <c r="J721" s="447"/>
      <c r="K721" s="447"/>
      <c r="L721" s="447"/>
      <c r="M721" s="447"/>
      <c r="N721" s="447"/>
      <c r="O721" s="447"/>
      <c r="P721" s="447"/>
      <c r="Q721" s="447"/>
      <c r="R721" s="447"/>
      <c r="S721" s="447"/>
      <c r="T721" s="447"/>
      <c r="U721" s="447"/>
      <c r="V721" s="447"/>
      <c r="W721" s="447"/>
      <c r="X721" s="447"/>
      <c r="Y721" s="447"/>
      <c r="Z721" s="447"/>
      <c r="AA721" s="447"/>
      <c r="AB721" s="447"/>
      <c r="AC721" s="447"/>
      <c r="AD721" s="447"/>
      <c r="AE721" s="447"/>
      <c r="AF721" s="448"/>
      <c r="AG721" s="448"/>
      <c r="AH721" s="449"/>
      <c r="AI721" s="447"/>
      <c r="AJ721" s="447"/>
      <c r="AK721" s="447"/>
      <c r="AL721" s="447"/>
      <c r="AM721" s="447"/>
      <c r="AN721" s="447"/>
      <c r="AO721" s="447"/>
      <c r="AP721" s="447"/>
      <c r="AQ721" s="447"/>
      <c r="AR721" s="447"/>
      <c r="AS721" s="447"/>
      <c r="AT721" s="447"/>
      <c r="AU721" s="447"/>
      <c r="AV721" s="447"/>
      <c r="AW721" s="447"/>
      <c r="AX721" s="447"/>
      <c r="AY721" s="447"/>
      <c r="AZ721" s="447"/>
      <c r="BA721" s="447"/>
      <c r="BB721" s="447"/>
      <c r="BC721" s="447"/>
      <c r="BD721" s="447"/>
      <c r="BE721" s="447"/>
      <c r="BF721" s="447"/>
      <c r="BG721" s="447"/>
      <c r="BH721" s="447"/>
      <c r="BI721" s="447"/>
      <c r="BJ721" s="447"/>
      <c r="BK721" s="447"/>
      <c r="BL721" s="447"/>
      <c r="BM721" s="448"/>
      <c r="BN721" s="448"/>
    </row>
    <row r="722" spans="1:66" ht="11.25" customHeight="1">
      <c r="A722" s="450"/>
      <c r="B722" s="447"/>
      <c r="C722" s="447"/>
      <c r="D722" s="447"/>
      <c r="E722" s="447"/>
      <c r="F722" s="447"/>
      <c r="G722" s="447"/>
      <c r="H722" s="447"/>
      <c r="I722" s="447"/>
      <c r="J722" s="447"/>
      <c r="K722" s="447"/>
      <c r="L722" s="447"/>
      <c r="M722" s="447"/>
      <c r="N722" s="447"/>
      <c r="O722" s="447"/>
      <c r="P722" s="447"/>
      <c r="Q722" s="447"/>
      <c r="R722" s="447"/>
      <c r="S722" s="447"/>
      <c r="T722" s="447"/>
      <c r="U722" s="447"/>
      <c r="V722" s="447"/>
      <c r="W722" s="447"/>
      <c r="X722" s="447"/>
      <c r="Y722" s="447"/>
      <c r="Z722" s="447"/>
      <c r="AA722" s="447"/>
      <c r="AB722" s="447"/>
      <c r="AC722" s="447"/>
      <c r="AD722" s="447"/>
      <c r="AE722" s="447"/>
      <c r="AF722" s="448"/>
      <c r="AG722" s="448"/>
      <c r="AH722" s="449"/>
      <c r="AI722" s="447"/>
      <c r="AJ722" s="447"/>
      <c r="AK722" s="447"/>
      <c r="AL722" s="447"/>
      <c r="AM722" s="447"/>
      <c r="AN722" s="447"/>
      <c r="AO722" s="447"/>
      <c r="AP722" s="447"/>
      <c r="AQ722" s="447"/>
      <c r="AR722" s="447"/>
      <c r="AS722" s="447"/>
      <c r="AT722" s="447"/>
      <c r="AU722" s="447"/>
      <c r="AV722" s="447"/>
      <c r="AW722" s="447"/>
      <c r="AX722" s="447"/>
      <c r="AY722" s="447"/>
      <c r="AZ722" s="447"/>
      <c r="BA722" s="447"/>
      <c r="BB722" s="447"/>
      <c r="BC722" s="447"/>
      <c r="BD722" s="447"/>
      <c r="BE722" s="447"/>
      <c r="BF722" s="447"/>
      <c r="BG722" s="447"/>
      <c r="BH722" s="447"/>
      <c r="BI722" s="447"/>
      <c r="BJ722" s="447"/>
      <c r="BK722" s="447"/>
      <c r="BL722" s="447"/>
      <c r="BM722" s="448"/>
      <c r="BN722" s="448"/>
    </row>
    <row r="723" spans="1:66" ht="11.25" customHeight="1">
      <c r="A723" s="450"/>
      <c r="B723" s="447"/>
      <c r="C723" s="447"/>
      <c r="D723" s="447"/>
      <c r="E723" s="447"/>
      <c r="F723" s="447"/>
      <c r="G723" s="447"/>
      <c r="H723" s="447"/>
      <c r="I723" s="447"/>
      <c r="J723" s="447"/>
      <c r="K723" s="447"/>
      <c r="L723" s="447"/>
      <c r="M723" s="447"/>
      <c r="N723" s="447"/>
      <c r="O723" s="447"/>
      <c r="P723" s="447"/>
      <c r="Q723" s="447"/>
      <c r="R723" s="447"/>
      <c r="S723" s="447"/>
      <c r="T723" s="447"/>
      <c r="U723" s="447"/>
      <c r="V723" s="447"/>
      <c r="W723" s="447"/>
      <c r="X723" s="447"/>
      <c r="Y723" s="447"/>
      <c r="Z723" s="447"/>
      <c r="AA723" s="447"/>
      <c r="AB723" s="447"/>
      <c r="AC723" s="447"/>
      <c r="AD723" s="447"/>
      <c r="AE723" s="447"/>
      <c r="AF723" s="448"/>
      <c r="AG723" s="448"/>
      <c r="AH723" s="449"/>
      <c r="AI723" s="447"/>
      <c r="AJ723" s="447"/>
      <c r="AK723" s="447"/>
      <c r="AL723" s="447"/>
      <c r="AM723" s="447"/>
      <c r="AN723" s="447"/>
      <c r="AO723" s="447"/>
      <c r="AP723" s="447"/>
      <c r="AQ723" s="447"/>
      <c r="AR723" s="447"/>
      <c r="AS723" s="447"/>
      <c r="AT723" s="447"/>
      <c r="AU723" s="447"/>
      <c r="AV723" s="447"/>
      <c r="AW723" s="447"/>
      <c r="AX723" s="447"/>
      <c r="AY723" s="447"/>
      <c r="AZ723" s="447"/>
      <c r="BA723" s="447"/>
      <c r="BB723" s="447"/>
      <c r="BC723" s="447"/>
      <c r="BD723" s="447"/>
      <c r="BE723" s="447"/>
      <c r="BF723" s="447"/>
      <c r="BG723" s="447"/>
      <c r="BH723" s="447"/>
      <c r="BI723" s="447"/>
      <c r="BJ723" s="447"/>
      <c r="BK723" s="447"/>
      <c r="BL723" s="447"/>
      <c r="BM723" s="448"/>
      <c r="BN723" s="448"/>
    </row>
    <row r="724" spans="1:66" ht="11.25" customHeight="1">
      <c r="A724" s="450"/>
      <c r="B724" s="447"/>
      <c r="C724" s="447"/>
      <c r="D724" s="447"/>
      <c r="E724" s="447"/>
      <c r="F724" s="447"/>
      <c r="G724" s="447"/>
      <c r="H724" s="447"/>
      <c r="I724" s="447"/>
      <c r="J724" s="447"/>
      <c r="K724" s="447"/>
      <c r="L724" s="447"/>
      <c r="M724" s="447"/>
      <c r="N724" s="447"/>
      <c r="O724" s="447"/>
      <c r="P724" s="447"/>
      <c r="Q724" s="447"/>
      <c r="R724" s="447"/>
      <c r="S724" s="447"/>
      <c r="T724" s="447"/>
      <c r="U724" s="447"/>
      <c r="V724" s="447"/>
      <c r="W724" s="447"/>
      <c r="X724" s="447"/>
      <c r="Y724" s="447"/>
      <c r="Z724" s="447"/>
      <c r="AA724" s="447"/>
      <c r="AB724" s="447"/>
      <c r="AC724" s="447"/>
      <c r="AD724" s="447"/>
      <c r="AE724" s="447"/>
      <c r="AF724" s="448"/>
      <c r="AG724" s="448"/>
      <c r="AH724" s="449"/>
      <c r="AI724" s="447"/>
      <c r="AJ724" s="447"/>
      <c r="AK724" s="447"/>
      <c r="AL724" s="447"/>
      <c r="AM724" s="447"/>
      <c r="AN724" s="447"/>
      <c r="AO724" s="447"/>
      <c r="AP724" s="447"/>
      <c r="AQ724" s="447"/>
      <c r="AR724" s="447"/>
      <c r="AS724" s="447"/>
      <c r="AT724" s="447"/>
      <c r="AU724" s="447"/>
      <c r="AV724" s="447"/>
      <c r="AW724" s="447"/>
      <c r="AX724" s="447"/>
      <c r="AY724" s="447"/>
      <c r="AZ724" s="447"/>
      <c r="BA724" s="447"/>
      <c r="BB724" s="447"/>
      <c r="BC724" s="447"/>
      <c r="BD724" s="447"/>
      <c r="BE724" s="447"/>
      <c r="BF724" s="447"/>
      <c r="BG724" s="447"/>
      <c r="BH724" s="447"/>
      <c r="BI724" s="447"/>
      <c r="BJ724" s="447"/>
      <c r="BK724" s="447"/>
      <c r="BL724" s="447"/>
      <c r="BM724" s="448"/>
      <c r="BN724" s="448"/>
    </row>
    <row r="725" spans="1:66" ht="11.25" customHeight="1">
      <c r="A725" s="450"/>
      <c r="B725" s="447"/>
      <c r="C725" s="447"/>
      <c r="D725" s="447"/>
      <c r="E725" s="447"/>
      <c r="F725" s="447"/>
      <c r="G725" s="447"/>
      <c r="H725" s="447"/>
      <c r="I725" s="447"/>
      <c r="J725" s="447"/>
      <c r="K725" s="447"/>
      <c r="L725" s="447"/>
      <c r="M725" s="447"/>
      <c r="N725" s="447"/>
      <c r="O725" s="447"/>
      <c r="P725" s="447"/>
      <c r="Q725" s="447"/>
      <c r="R725" s="447"/>
      <c r="S725" s="447"/>
      <c r="T725" s="447"/>
      <c r="U725" s="447"/>
      <c r="V725" s="447"/>
      <c r="W725" s="447"/>
      <c r="X725" s="447"/>
      <c r="Y725" s="447"/>
      <c r="Z725" s="447"/>
      <c r="AA725" s="447"/>
      <c r="AB725" s="447"/>
      <c r="AC725" s="447"/>
      <c r="AD725" s="447"/>
      <c r="AE725" s="447"/>
      <c r="AF725" s="448"/>
      <c r="AG725" s="448"/>
      <c r="AH725" s="449"/>
      <c r="AI725" s="447"/>
      <c r="AJ725" s="447"/>
      <c r="AK725" s="447"/>
      <c r="AL725" s="447"/>
      <c r="AM725" s="447"/>
      <c r="AN725" s="447"/>
      <c r="AO725" s="447"/>
      <c r="AP725" s="447"/>
      <c r="AQ725" s="447"/>
      <c r="AR725" s="447"/>
      <c r="AS725" s="447"/>
      <c r="AT725" s="447"/>
      <c r="AU725" s="447"/>
      <c r="AV725" s="447"/>
      <c r="AW725" s="447"/>
      <c r="AX725" s="447"/>
      <c r="AY725" s="447"/>
      <c r="AZ725" s="447"/>
      <c r="BA725" s="447"/>
      <c r="BB725" s="447"/>
      <c r="BC725" s="447"/>
      <c r="BD725" s="447"/>
      <c r="BE725" s="447"/>
      <c r="BF725" s="447"/>
      <c r="BG725" s="447"/>
      <c r="BH725" s="447"/>
      <c r="BI725" s="447"/>
      <c r="BJ725" s="447"/>
      <c r="BK725" s="447"/>
      <c r="BL725" s="447"/>
      <c r="BM725" s="448"/>
      <c r="BN725" s="448"/>
    </row>
    <row r="726" spans="1:66" ht="11.25" customHeight="1">
      <c r="A726" s="450"/>
      <c r="B726" s="447"/>
      <c r="C726" s="447"/>
      <c r="D726" s="447"/>
      <c r="E726" s="447"/>
      <c r="F726" s="447"/>
      <c r="G726" s="447"/>
      <c r="H726" s="447"/>
      <c r="I726" s="447"/>
      <c r="J726" s="447"/>
      <c r="K726" s="447"/>
      <c r="L726" s="447"/>
      <c r="M726" s="447"/>
      <c r="N726" s="447"/>
      <c r="O726" s="447"/>
      <c r="P726" s="447"/>
      <c r="Q726" s="447"/>
      <c r="R726" s="447"/>
      <c r="S726" s="447"/>
      <c r="T726" s="447"/>
      <c r="U726" s="447"/>
      <c r="V726" s="447"/>
      <c r="W726" s="447"/>
      <c r="X726" s="447"/>
      <c r="Y726" s="447"/>
      <c r="Z726" s="447"/>
      <c r="AA726" s="447"/>
      <c r="AB726" s="447"/>
      <c r="AC726" s="447"/>
      <c r="AD726" s="447"/>
      <c r="AE726" s="447"/>
      <c r="AF726" s="448"/>
      <c r="AG726" s="448"/>
      <c r="AH726" s="449"/>
      <c r="AI726" s="447"/>
      <c r="AJ726" s="447"/>
      <c r="AK726" s="447"/>
      <c r="AL726" s="447"/>
      <c r="AM726" s="447"/>
      <c r="AN726" s="447"/>
      <c r="AO726" s="447"/>
      <c r="AP726" s="447"/>
      <c r="AQ726" s="447"/>
      <c r="AR726" s="447"/>
      <c r="AS726" s="447"/>
      <c r="AT726" s="447"/>
      <c r="AU726" s="447"/>
      <c r="AV726" s="447"/>
      <c r="AW726" s="447"/>
      <c r="AX726" s="447"/>
      <c r="AY726" s="447"/>
      <c r="AZ726" s="447"/>
      <c r="BA726" s="447"/>
      <c r="BB726" s="447"/>
      <c r="BC726" s="447"/>
      <c r="BD726" s="447"/>
      <c r="BE726" s="447"/>
      <c r="BF726" s="447"/>
      <c r="BG726" s="447"/>
      <c r="BH726" s="447"/>
      <c r="BI726" s="447"/>
      <c r="BJ726" s="447"/>
      <c r="BK726" s="447"/>
      <c r="BL726" s="447"/>
      <c r="BM726" s="448"/>
      <c r="BN726" s="448"/>
    </row>
    <row r="727" spans="1:66" ht="11.25" customHeight="1">
      <c r="A727" s="450"/>
      <c r="B727" s="447"/>
      <c r="C727" s="447"/>
      <c r="D727" s="447"/>
      <c r="E727" s="447"/>
      <c r="F727" s="447"/>
      <c r="G727" s="447"/>
      <c r="H727" s="447"/>
      <c r="I727" s="447"/>
      <c r="J727" s="447"/>
      <c r="K727" s="447"/>
      <c r="L727" s="447"/>
      <c r="M727" s="447"/>
      <c r="N727" s="447"/>
      <c r="O727" s="447"/>
      <c r="P727" s="447"/>
      <c r="Q727" s="447"/>
      <c r="R727" s="447"/>
      <c r="S727" s="447"/>
      <c r="T727" s="447"/>
      <c r="U727" s="447"/>
      <c r="V727" s="447"/>
      <c r="W727" s="447"/>
      <c r="X727" s="447"/>
      <c r="Y727" s="447"/>
      <c r="Z727" s="447"/>
      <c r="AA727" s="447"/>
      <c r="AB727" s="447"/>
      <c r="AC727" s="447"/>
      <c r="AD727" s="447"/>
      <c r="AE727" s="447"/>
      <c r="AF727" s="448"/>
      <c r="AG727" s="448"/>
      <c r="AH727" s="449"/>
      <c r="AI727" s="447"/>
      <c r="AJ727" s="447"/>
      <c r="AK727" s="447"/>
      <c r="AL727" s="447"/>
      <c r="AM727" s="447"/>
      <c r="AN727" s="447"/>
      <c r="AO727" s="447"/>
      <c r="AP727" s="447"/>
      <c r="AQ727" s="447"/>
      <c r="AR727" s="447"/>
      <c r="AS727" s="447"/>
      <c r="AT727" s="447"/>
      <c r="AU727" s="447"/>
      <c r="AV727" s="447"/>
      <c r="AW727" s="447"/>
      <c r="AX727" s="447"/>
      <c r="AY727" s="447"/>
      <c r="AZ727" s="447"/>
      <c r="BA727" s="447"/>
      <c r="BB727" s="447"/>
      <c r="BC727" s="447"/>
      <c r="BD727" s="447"/>
      <c r="BE727" s="447"/>
      <c r="BF727" s="447"/>
      <c r="BG727" s="447"/>
      <c r="BH727" s="447"/>
      <c r="BI727" s="447"/>
      <c r="BJ727" s="447"/>
      <c r="BK727" s="447"/>
      <c r="BL727" s="447"/>
      <c r="BM727" s="448"/>
      <c r="BN727" s="448"/>
    </row>
    <row r="728" spans="1:66" ht="11.25" customHeight="1">
      <c r="A728" s="450"/>
      <c r="B728" s="447"/>
      <c r="C728" s="447"/>
      <c r="D728" s="447"/>
      <c r="E728" s="447"/>
      <c r="F728" s="447"/>
      <c r="G728" s="447"/>
      <c r="H728" s="447"/>
      <c r="I728" s="447"/>
      <c r="J728" s="447"/>
      <c r="K728" s="447"/>
      <c r="L728" s="447"/>
      <c r="M728" s="447"/>
      <c r="N728" s="447"/>
      <c r="O728" s="447"/>
      <c r="P728" s="447"/>
      <c r="Q728" s="447"/>
      <c r="R728" s="447"/>
      <c r="S728" s="447"/>
      <c r="T728" s="447"/>
      <c r="U728" s="447"/>
      <c r="V728" s="447"/>
      <c r="W728" s="447"/>
      <c r="X728" s="447"/>
      <c r="Y728" s="447"/>
      <c r="Z728" s="447"/>
      <c r="AA728" s="447"/>
      <c r="AB728" s="447"/>
      <c r="AC728" s="447"/>
      <c r="AD728" s="447"/>
      <c r="AE728" s="447"/>
      <c r="AF728" s="448"/>
      <c r="AG728" s="448"/>
      <c r="AH728" s="449"/>
      <c r="AI728" s="447"/>
      <c r="AJ728" s="447"/>
      <c r="AK728" s="447"/>
      <c r="AL728" s="447"/>
      <c r="AM728" s="447"/>
      <c r="AN728" s="447"/>
      <c r="AO728" s="447"/>
      <c r="AP728" s="447"/>
      <c r="AQ728" s="447"/>
      <c r="AR728" s="447"/>
      <c r="AS728" s="447"/>
      <c r="AT728" s="447"/>
      <c r="AU728" s="447"/>
      <c r="AV728" s="447"/>
      <c r="AW728" s="447"/>
      <c r="AX728" s="447"/>
      <c r="AY728" s="447"/>
      <c r="AZ728" s="447"/>
      <c r="BA728" s="447"/>
      <c r="BB728" s="447"/>
      <c r="BC728" s="447"/>
      <c r="BD728" s="447"/>
      <c r="BE728" s="447"/>
      <c r="BF728" s="447"/>
      <c r="BG728" s="447"/>
      <c r="BH728" s="447"/>
      <c r="BI728" s="447"/>
      <c r="BJ728" s="447"/>
      <c r="BK728" s="447"/>
      <c r="BL728" s="447"/>
      <c r="BM728" s="448"/>
      <c r="BN728" s="448"/>
    </row>
    <row r="729" spans="1:66" ht="11.25" customHeight="1">
      <c r="A729" s="450"/>
      <c r="B729" s="447"/>
      <c r="C729" s="447"/>
      <c r="D729" s="447"/>
      <c r="E729" s="447"/>
      <c r="F729" s="447"/>
      <c r="G729" s="447"/>
      <c r="H729" s="447"/>
      <c r="I729" s="447"/>
      <c r="J729" s="447"/>
      <c r="K729" s="447"/>
      <c r="L729" s="447"/>
      <c r="M729" s="447"/>
      <c r="N729" s="447"/>
      <c r="O729" s="447"/>
      <c r="P729" s="447"/>
      <c r="Q729" s="447"/>
      <c r="R729" s="447"/>
      <c r="S729" s="447"/>
      <c r="T729" s="447"/>
      <c r="U729" s="447"/>
      <c r="V729" s="447"/>
      <c r="W729" s="447"/>
      <c r="X729" s="447"/>
      <c r="Y729" s="447"/>
      <c r="Z729" s="447"/>
      <c r="AA729" s="447"/>
      <c r="AB729" s="447"/>
      <c r="AC729" s="447"/>
      <c r="AD729" s="447"/>
      <c r="AE729" s="447"/>
      <c r="AF729" s="448"/>
      <c r="AG729" s="448"/>
      <c r="AH729" s="449"/>
      <c r="AI729" s="447"/>
      <c r="AJ729" s="447"/>
      <c r="AK729" s="447"/>
      <c r="AL729" s="447"/>
      <c r="AM729" s="447"/>
      <c r="AN729" s="447"/>
      <c r="AO729" s="447"/>
      <c r="AP729" s="447"/>
      <c r="AQ729" s="447"/>
      <c r="AR729" s="447"/>
      <c r="AS729" s="447"/>
      <c r="AT729" s="447"/>
      <c r="AU729" s="447"/>
      <c r="AV729" s="447"/>
      <c r="AW729" s="447"/>
      <c r="AX729" s="447"/>
      <c r="AY729" s="447"/>
      <c r="AZ729" s="447"/>
      <c r="BA729" s="447"/>
      <c r="BB729" s="447"/>
      <c r="BC729" s="447"/>
      <c r="BD729" s="447"/>
      <c r="BE729" s="447"/>
      <c r="BF729" s="447"/>
      <c r="BG729" s="447"/>
      <c r="BH729" s="447"/>
      <c r="BI729" s="447"/>
      <c r="BJ729" s="447"/>
      <c r="BK729" s="447"/>
      <c r="BL729" s="447"/>
      <c r="BM729" s="448"/>
      <c r="BN729" s="448"/>
    </row>
    <row r="730" spans="1:66" ht="11.25" customHeight="1">
      <c r="A730" s="450"/>
      <c r="B730" s="447"/>
      <c r="C730" s="447"/>
      <c r="D730" s="447"/>
      <c r="E730" s="447"/>
      <c r="F730" s="447"/>
      <c r="G730" s="447"/>
      <c r="H730" s="447"/>
      <c r="I730" s="447"/>
      <c r="J730" s="447"/>
      <c r="K730" s="447"/>
      <c r="L730" s="447"/>
      <c r="M730" s="447"/>
      <c r="N730" s="447"/>
      <c r="O730" s="447"/>
      <c r="P730" s="447"/>
      <c r="Q730" s="447"/>
      <c r="R730" s="447"/>
      <c r="S730" s="447"/>
      <c r="T730" s="447"/>
      <c r="U730" s="447"/>
      <c r="V730" s="447"/>
      <c r="W730" s="447"/>
      <c r="X730" s="447"/>
      <c r="Y730" s="447"/>
      <c r="Z730" s="447"/>
      <c r="AA730" s="447"/>
      <c r="AB730" s="447"/>
      <c r="AC730" s="447"/>
      <c r="AD730" s="447"/>
      <c r="AE730" s="447"/>
      <c r="AF730" s="448"/>
      <c r="AG730" s="448"/>
      <c r="AH730" s="449"/>
      <c r="AI730" s="447"/>
      <c r="AJ730" s="447"/>
      <c r="AK730" s="447"/>
      <c r="AL730" s="447"/>
      <c r="AM730" s="447"/>
      <c r="AN730" s="447"/>
      <c r="AO730" s="447"/>
      <c r="AP730" s="447"/>
      <c r="AQ730" s="447"/>
      <c r="AR730" s="447"/>
      <c r="AS730" s="447"/>
      <c r="AT730" s="447"/>
      <c r="AU730" s="447"/>
      <c r="AV730" s="447"/>
      <c r="AW730" s="447"/>
      <c r="AX730" s="447"/>
      <c r="AY730" s="447"/>
      <c r="AZ730" s="447"/>
      <c r="BA730" s="447"/>
      <c r="BB730" s="447"/>
      <c r="BC730" s="447"/>
      <c r="BD730" s="447"/>
      <c r="BE730" s="447"/>
      <c r="BF730" s="447"/>
      <c r="BG730" s="447"/>
      <c r="BH730" s="447"/>
      <c r="BI730" s="447"/>
      <c r="BJ730" s="447"/>
      <c r="BK730" s="447"/>
      <c r="BL730" s="447"/>
      <c r="BM730" s="448"/>
      <c r="BN730" s="448"/>
    </row>
    <row r="731" spans="1:66" ht="11.25" customHeight="1">
      <c r="A731" s="450"/>
      <c r="B731" s="447"/>
      <c r="C731" s="447"/>
      <c r="D731" s="447"/>
      <c r="E731" s="447"/>
      <c r="F731" s="447"/>
      <c r="G731" s="447"/>
      <c r="H731" s="447"/>
      <c r="I731" s="447"/>
      <c r="J731" s="447"/>
      <c r="K731" s="447"/>
      <c r="L731" s="447"/>
      <c r="M731" s="447"/>
      <c r="N731" s="447"/>
      <c r="O731" s="447"/>
      <c r="P731" s="447"/>
      <c r="Q731" s="447"/>
      <c r="R731" s="447"/>
      <c r="S731" s="447"/>
      <c r="T731" s="447"/>
      <c r="U731" s="447"/>
      <c r="V731" s="447"/>
      <c r="W731" s="447"/>
      <c r="X731" s="447"/>
      <c r="Y731" s="447"/>
      <c r="Z731" s="447"/>
      <c r="AA731" s="447"/>
      <c r="AB731" s="447"/>
      <c r="AC731" s="447"/>
      <c r="AD731" s="447"/>
      <c r="AE731" s="447"/>
      <c r="AF731" s="448"/>
      <c r="AG731" s="448"/>
      <c r="AH731" s="449"/>
      <c r="AI731" s="447"/>
      <c r="AJ731" s="447"/>
      <c r="AK731" s="447"/>
      <c r="AL731" s="447"/>
      <c r="AM731" s="447"/>
      <c r="AN731" s="447"/>
      <c r="AO731" s="447"/>
      <c r="AP731" s="447"/>
      <c r="AQ731" s="447"/>
      <c r="AR731" s="447"/>
      <c r="AS731" s="447"/>
      <c r="AT731" s="447"/>
      <c r="AU731" s="447"/>
      <c r="AV731" s="447"/>
      <c r="AW731" s="447"/>
      <c r="AX731" s="447"/>
      <c r="AY731" s="447"/>
      <c r="AZ731" s="447"/>
      <c r="BA731" s="447"/>
      <c r="BB731" s="447"/>
      <c r="BC731" s="447"/>
      <c r="BD731" s="447"/>
      <c r="BE731" s="447"/>
      <c r="BF731" s="447"/>
      <c r="BG731" s="447"/>
      <c r="BH731" s="447"/>
      <c r="BI731" s="447"/>
      <c r="BJ731" s="447"/>
      <c r="BK731" s="447"/>
      <c r="BL731" s="447"/>
      <c r="BM731" s="448"/>
      <c r="BN731" s="448"/>
    </row>
    <row r="732" spans="1:66" ht="11.25" customHeight="1">
      <c r="A732" s="450"/>
      <c r="B732" s="447"/>
      <c r="C732" s="447"/>
      <c r="D732" s="447"/>
      <c r="E732" s="447"/>
      <c r="F732" s="447"/>
      <c r="G732" s="447"/>
      <c r="H732" s="447"/>
      <c r="I732" s="447"/>
      <c r="J732" s="447"/>
      <c r="K732" s="447"/>
      <c r="L732" s="447"/>
      <c r="M732" s="447"/>
      <c r="N732" s="447"/>
      <c r="O732" s="447"/>
      <c r="P732" s="447"/>
      <c r="Q732" s="447"/>
      <c r="R732" s="447"/>
      <c r="S732" s="447"/>
      <c r="T732" s="447"/>
      <c r="U732" s="447"/>
      <c r="V732" s="447"/>
      <c r="W732" s="447"/>
      <c r="X732" s="447"/>
      <c r="Y732" s="447"/>
      <c r="Z732" s="447"/>
      <c r="AA732" s="447"/>
      <c r="AB732" s="447"/>
      <c r="AC732" s="447"/>
      <c r="AD732" s="447"/>
      <c r="AE732" s="447"/>
      <c r="AF732" s="448"/>
      <c r="AG732" s="448"/>
      <c r="AH732" s="449"/>
      <c r="AI732" s="447"/>
      <c r="AJ732" s="447"/>
      <c r="AK732" s="447"/>
      <c r="AL732" s="447"/>
      <c r="AM732" s="447"/>
      <c r="AN732" s="447"/>
      <c r="AO732" s="447"/>
      <c r="AP732" s="447"/>
      <c r="AQ732" s="447"/>
      <c r="AR732" s="447"/>
      <c r="AS732" s="447"/>
      <c r="AT732" s="447"/>
      <c r="AU732" s="447"/>
      <c r="AV732" s="447"/>
      <c r="AW732" s="447"/>
      <c r="AX732" s="447"/>
      <c r="AY732" s="447"/>
      <c r="AZ732" s="447"/>
      <c r="BA732" s="447"/>
      <c r="BB732" s="447"/>
      <c r="BC732" s="447"/>
      <c r="BD732" s="447"/>
      <c r="BE732" s="447"/>
      <c r="BF732" s="447"/>
      <c r="BG732" s="447"/>
      <c r="BH732" s="447"/>
      <c r="BI732" s="447"/>
      <c r="BJ732" s="447"/>
      <c r="BK732" s="447"/>
      <c r="BL732" s="447"/>
      <c r="BM732" s="448"/>
      <c r="BN732" s="448"/>
    </row>
    <row r="733" spans="1:66" ht="11.25" customHeight="1">
      <c r="A733" s="450"/>
      <c r="B733" s="447"/>
      <c r="C733" s="447"/>
      <c r="D733" s="447"/>
      <c r="E733" s="447"/>
      <c r="F733" s="447"/>
      <c r="G733" s="447"/>
      <c r="H733" s="447"/>
      <c r="I733" s="447"/>
      <c r="J733" s="447"/>
      <c r="K733" s="447"/>
      <c r="L733" s="447"/>
      <c r="M733" s="447"/>
      <c r="N733" s="447"/>
      <c r="O733" s="447"/>
      <c r="P733" s="447"/>
      <c r="Q733" s="447"/>
      <c r="R733" s="447"/>
      <c r="S733" s="447"/>
      <c r="T733" s="447"/>
      <c r="U733" s="447"/>
      <c r="V733" s="447"/>
      <c r="W733" s="447"/>
      <c r="X733" s="447"/>
      <c r="Y733" s="447"/>
      <c r="Z733" s="447"/>
      <c r="AA733" s="447"/>
      <c r="AB733" s="447"/>
      <c r="AC733" s="447"/>
      <c r="AD733" s="447"/>
      <c r="AE733" s="447"/>
      <c r="AF733" s="448"/>
      <c r="AG733" s="448"/>
      <c r="AH733" s="449"/>
      <c r="AI733" s="447"/>
      <c r="AJ733" s="447"/>
      <c r="AK733" s="447"/>
      <c r="AL733" s="447"/>
      <c r="AM733" s="447"/>
      <c r="AN733" s="447"/>
      <c r="AO733" s="447"/>
      <c r="AP733" s="447"/>
      <c r="AQ733" s="447"/>
      <c r="AR733" s="447"/>
      <c r="AS733" s="447"/>
      <c r="AT733" s="447"/>
      <c r="AU733" s="447"/>
      <c r="AV733" s="447"/>
      <c r="AW733" s="447"/>
      <c r="AX733" s="447"/>
      <c r="AY733" s="447"/>
      <c r="AZ733" s="447"/>
      <c r="BA733" s="447"/>
      <c r="BB733" s="447"/>
      <c r="BC733" s="447"/>
      <c r="BD733" s="447"/>
      <c r="BE733" s="447"/>
      <c r="BF733" s="447"/>
      <c r="BG733" s="447"/>
      <c r="BH733" s="447"/>
      <c r="BI733" s="447"/>
      <c r="BJ733" s="447"/>
      <c r="BK733" s="447"/>
      <c r="BL733" s="447"/>
      <c r="BM733" s="448"/>
      <c r="BN733" s="448"/>
    </row>
    <row r="734" spans="1:66" ht="11.25" customHeight="1">
      <c r="A734" s="450"/>
      <c r="B734" s="447"/>
      <c r="C734" s="447"/>
      <c r="D734" s="447"/>
      <c r="E734" s="447"/>
      <c r="F734" s="447"/>
      <c r="G734" s="447"/>
      <c r="H734" s="447"/>
      <c r="I734" s="447"/>
      <c r="J734" s="447"/>
      <c r="K734" s="447"/>
      <c r="L734" s="447"/>
      <c r="M734" s="447"/>
      <c r="N734" s="447"/>
      <c r="O734" s="447"/>
      <c r="P734" s="447"/>
      <c r="Q734" s="447"/>
      <c r="R734" s="447"/>
      <c r="S734" s="447"/>
      <c r="T734" s="447"/>
      <c r="U734" s="447"/>
      <c r="V734" s="447"/>
      <c r="W734" s="447"/>
      <c r="X734" s="447"/>
      <c r="Y734" s="447"/>
      <c r="Z734" s="447"/>
      <c r="AA734" s="447"/>
      <c r="AB734" s="447"/>
      <c r="AC734" s="447"/>
      <c r="AD734" s="447"/>
      <c r="AE734" s="447"/>
      <c r="AF734" s="448"/>
      <c r="AG734" s="448"/>
      <c r="AH734" s="449"/>
      <c r="AI734" s="447"/>
      <c r="AJ734" s="447"/>
      <c r="AK734" s="447"/>
      <c r="AL734" s="447"/>
      <c r="AM734" s="447"/>
      <c r="AN734" s="447"/>
      <c r="AO734" s="447"/>
      <c r="AP734" s="447"/>
      <c r="AQ734" s="447"/>
      <c r="AR734" s="447"/>
      <c r="AS734" s="447"/>
      <c r="AT734" s="447"/>
      <c r="AU734" s="447"/>
      <c r="AV734" s="447"/>
      <c r="AW734" s="447"/>
      <c r="AX734" s="447"/>
      <c r="AY734" s="447"/>
      <c r="AZ734" s="447"/>
      <c r="BA734" s="447"/>
      <c r="BB734" s="447"/>
      <c r="BC734" s="447"/>
      <c r="BD734" s="447"/>
      <c r="BE734" s="447"/>
      <c r="BF734" s="447"/>
      <c r="BG734" s="447"/>
      <c r="BH734" s="447"/>
      <c r="BI734" s="447"/>
      <c r="BJ734" s="447"/>
      <c r="BK734" s="447"/>
      <c r="BL734" s="447"/>
      <c r="BM734" s="448"/>
      <c r="BN734" s="448"/>
    </row>
    <row r="735" spans="1:66" ht="11.25" customHeight="1">
      <c r="A735" s="450"/>
      <c r="B735" s="447"/>
      <c r="C735" s="447"/>
      <c r="D735" s="447"/>
      <c r="E735" s="447"/>
      <c r="F735" s="447"/>
      <c r="G735" s="447"/>
      <c r="H735" s="447"/>
      <c r="I735" s="447"/>
      <c r="J735" s="447"/>
      <c r="K735" s="447"/>
      <c r="L735" s="447"/>
      <c r="M735" s="447"/>
      <c r="N735" s="447"/>
      <c r="O735" s="447"/>
      <c r="P735" s="447"/>
      <c r="Q735" s="447"/>
      <c r="R735" s="447"/>
      <c r="S735" s="447"/>
      <c r="T735" s="447"/>
      <c r="U735" s="447"/>
      <c r="V735" s="447"/>
      <c r="W735" s="447"/>
      <c r="X735" s="447"/>
      <c r="Y735" s="447"/>
      <c r="Z735" s="447"/>
      <c r="AA735" s="447"/>
      <c r="AB735" s="447"/>
      <c r="AC735" s="447"/>
      <c r="AD735" s="447"/>
      <c r="AE735" s="447"/>
      <c r="AF735" s="448"/>
      <c r="AG735" s="448"/>
      <c r="AH735" s="449"/>
      <c r="AI735" s="447"/>
      <c r="AJ735" s="447"/>
      <c r="AK735" s="447"/>
      <c r="AL735" s="447"/>
      <c r="AM735" s="447"/>
      <c r="AN735" s="447"/>
      <c r="AO735" s="447"/>
      <c r="AP735" s="447"/>
      <c r="AQ735" s="447"/>
      <c r="AR735" s="447"/>
      <c r="AS735" s="447"/>
      <c r="AT735" s="447"/>
      <c r="AU735" s="447"/>
      <c r="AV735" s="447"/>
      <c r="AW735" s="447"/>
      <c r="AX735" s="447"/>
      <c r="AY735" s="447"/>
      <c r="AZ735" s="447"/>
      <c r="BA735" s="447"/>
      <c r="BB735" s="447"/>
      <c r="BC735" s="447"/>
      <c r="BD735" s="447"/>
      <c r="BE735" s="447"/>
      <c r="BF735" s="447"/>
      <c r="BG735" s="447"/>
      <c r="BH735" s="447"/>
      <c r="BI735" s="447"/>
      <c r="BJ735" s="447"/>
      <c r="BK735" s="447"/>
      <c r="BL735" s="447"/>
      <c r="BM735" s="448"/>
      <c r="BN735" s="448"/>
    </row>
    <row r="736" spans="1:66" ht="11.25" customHeight="1">
      <c r="A736" s="450"/>
      <c r="B736" s="447"/>
      <c r="C736" s="447"/>
      <c r="D736" s="447"/>
      <c r="E736" s="447"/>
      <c r="F736" s="447"/>
      <c r="G736" s="447"/>
      <c r="H736" s="447"/>
      <c r="I736" s="447"/>
      <c r="J736" s="447"/>
      <c r="K736" s="447"/>
      <c r="L736" s="447"/>
      <c r="M736" s="447"/>
      <c r="N736" s="447"/>
      <c r="O736" s="447"/>
      <c r="P736" s="447"/>
      <c r="Q736" s="447"/>
      <c r="R736" s="447"/>
      <c r="S736" s="447"/>
      <c r="T736" s="447"/>
      <c r="U736" s="447"/>
      <c r="V736" s="447"/>
      <c r="W736" s="447"/>
      <c r="X736" s="447"/>
      <c r="Y736" s="447"/>
      <c r="Z736" s="447"/>
      <c r="AA736" s="447"/>
      <c r="AB736" s="447"/>
      <c r="AC736" s="447"/>
      <c r="AD736" s="447"/>
      <c r="AE736" s="447"/>
      <c r="AF736" s="448"/>
      <c r="AG736" s="448"/>
      <c r="AH736" s="449"/>
      <c r="AI736" s="447"/>
      <c r="AJ736" s="447"/>
      <c r="AK736" s="447"/>
      <c r="AL736" s="447"/>
      <c r="AM736" s="447"/>
      <c r="AN736" s="447"/>
      <c r="AO736" s="447"/>
      <c r="AP736" s="447"/>
      <c r="AQ736" s="447"/>
      <c r="AR736" s="447"/>
      <c r="AS736" s="447"/>
      <c r="AT736" s="447"/>
      <c r="AU736" s="447"/>
      <c r="AV736" s="447"/>
      <c r="AW736" s="447"/>
      <c r="AX736" s="447"/>
      <c r="AY736" s="447"/>
      <c r="AZ736" s="447"/>
      <c r="BA736" s="447"/>
      <c r="BB736" s="447"/>
      <c r="BC736" s="447"/>
      <c r="BD736" s="447"/>
      <c r="BE736" s="447"/>
      <c r="BF736" s="447"/>
      <c r="BG736" s="447"/>
      <c r="BH736" s="447"/>
      <c r="BI736" s="447"/>
      <c r="BJ736" s="447"/>
      <c r="BK736" s="447"/>
      <c r="BL736" s="447"/>
      <c r="BM736" s="448"/>
      <c r="BN736" s="448"/>
    </row>
    <row r="737" spans="1:66" ht="11.25" customHeight="1">
      <c r="A737" s="450"/>
      <c r="B737" s="447"/>
      <c r="C737" s="447"/>
      <c r="D737" s="447"/>
      <c r="E737" s="447"/>
      <c r="F737" s="447"/>
      <c r="G737" s="447"/>
      <c r="H737" s="447"/>
      <c r="I737" s="447"/>
      <c r="J737" s="447"/>
      <c r="K737" s="447"/>
      <c r="L737" s="447"/>
      <c r="M737" s="447"/>
      <c r="N737" s="447"/>
      <c r="O737" s="447"/>
      <c r="P737" s="447"/>
      <c r="Q737" s="447"/>
      <c r="R737" s="447"/>
      <c r="S737" s="447"/>
      <c r="T737" s="447"/>
      <c r="U737" s="447"/>
      <c r="V737" s="447"/>
      <c r="W737" s="447"/>
      <c r="X737" s="447"/>
      <c r="Y737" s="447"/>
      <c r="Z737" s="447"/>
      <c r="AA737" s="447"/>
      <c r="AB737" s="447"/>
      <c r="AC737" s="447"/>
      <c r="AD737" s="447"/>
      <c r="AE737" s="447"/>
      <c r="AF737" s="448"/>
      <c r="AG737" s="448"/>
      <c r="AH737" s="449"/>
      <c r="AI737" s="447"/>
      <c r="AJ737" s="447"/>
      <c r="AK737" s="447"/>
      <c r="AL737" s="447"/>
      <c r="AM737" s="447"/>
      <c r="AN737" s="447"/>
      <c r="AO737" s="447"/>
      <c r="AP737" s="447"/>
      <c r="AQ737" s="447"/>
      <c r="AR737" s="447"/>
      <c r="AS737" s="447"/>
      <c r="AT737" s="447"/>
      <c r="AU737" s="447"/>
      <c r="AV737" s="447"/>
      <c r="AW737" s="447"/>
      <c r="AX737" s="447"/>
      <c r="AY737" s="447"/>
      <c r="AZ737" s="447"/>
      <c r="BA737" s="447"/>
      <c r="BB737" s="447"/>
      <c r="BC737" s="447"/>
      <c r="BD737" s="447"/>
      <c r="BE737" s="447"/>
      <c r="BF737" s="447"/>
      <c r="BG737" s="447"/>
      <c r="BH737" s="447"/>
      <c r="BI737" s="447"/>
      <c r="BJ737" s="447"/>
      <c r="BK737" s="447"/>
      <c r="BL737" s="447"/>
      <c r="BM737" s="448"/>
      <c r="BN737" s="448"/>
    </row>
    <row r="738" spans="1:66" ht="11.25" customHeight="1">
      <c r="A738" s="450"/>
      <c r="B738" s="447"/>
      <c r="C738" s="447"/>
      <c r="D738" s="447"/>
      <c r="E738" s="447"/>
      <c r="F738" s="447"/>
      <c r="G738" s="447"/>
      <c r="H738" s="447"/>
      <c r="I738" s="447"/>
      <c r="J738" s="447"/>
      <c r="K738" s="447"/>
      <c r="L738" s="447"/>
      <c r="M738" s="447"/>
      <c r="N738" s="447"/>
      <c r="O738" s="447"/>
      <c r="P738" s="447"/>
      <c r="Q738" s="447"/>
      <c r="R738" s="447"/>
      <c r="S738" s="447"/>
      <c r="T738" s="447"/>
      <c r="U738" s="447"/>
      <c r="V738" s="447"/>
      <c r="W738" s="447"/>
      <c r="X738" s="447"/>
      <c r="Y738" s="447"/>
      <c r="Z738" s="447"/>
      <c r="AA738" s="447"/>
      <c r="AB738" s="447"/>
      <c r="AC738" s="447"/>
      <c r="AD738" s="447"/>
      <c r="AE738" s="447"/>
      <c r="AF738" s="448"/>
      <c r="AG738" s="448"/>
      <c r="AH738" s="449"/>
      <c r="AI738" s="447"/>
      <c r="AJ738" s="447"/>
      <c r="AK738" s="447"/>
      <c r="AL738" s="447"/>
      <c r="AM738" s="447"/>
      <c r="AN738" s="447"/>
      <c r="AO738" s="447"/>
      <c r="AP738" s="447"/>
      <c r="AQ738" s="447"/>
      <c r="AR738" s="447"/>
      <c r="AS738" s="447"/>
      <c r="AT738" s="447"/>
      <c r="AU738" s="447"/>
      <c r="AV738" s="447"/>
      <c r="AW738" s="447"/>
      <c r="AX738" s="447"/>
      <c r="AY738" s="447"/>
      <c r="AZ738" s="447"/>
      <c r="BA738" s="447"/>
      <c r="BB738" s="447"/>
      <c r="BC738" s="447"/>
      <c r="BD738" s="447"/>
      <c r="BE738" s="447"/>
      <c r="BF738" s="447"/>
      <c r="BG738" s="447"/>
      <c r="BH738" s="447"/>
      <c r="BI738" s="447"/>
      <c r="BJ738" s="447"/>
      <c r="BK738" s="447"/>
      <c r="BL738" s="447"/>
      <c r="BM738" s="448"/>
      <c r="BN738" s="448"/>
    </row>
    <row r="739" spans="1:66" ht="11.25" customHeight="1">
      <c r="A739" s="450"/>
      <c r="B739" s="447"/>
      <c r="C739" s="447"/>
      <c r="D739" s="447"/>
      <c r="E739" s="447"/>
      <c r="F739" s="447"/>
      <c r="G739" s="447"/>
      <c r="H739" s="447"/>
      <c r="I739" s="447"/>
      <c r="J739" s="447"/>
      <c r="K739" s="447"/>
      <c r="L739" s="447"/>
      <c r="M739" s="447"/>
      <c r="N739" s="447"/>
      <c r="O739" s="447"/>
      <c r="P739" s="447"/>
      <c r="Q739" s="447"/>
      <c r="R739" s="447"/>
      <c r="S739" s="447"/>
      <c r="T739" s="447"/>
      <c r="U739" s="447"/>
      <c r="V739" s="447"/>
      <c r="W739" s="447"/>
      <c r="X739" s="447"/>
      <c r="Y739" s="447"/>
      <c r="Z739" s="447"/>
      <c r="AA739" s="447"/>
      <c r="AB739" s="447"/>
      <c r="AC739" s="447"/>
      <c r="AD739" s="447"/>
      <c r="AE739" s="447"/>
      <c r="AF739" s="448"/>
      <c r="AG739" s="448"/>
      <c r="AH739" s="449"/>
      <c r="AI739" s="447"/>
      <c r="AJ739" s="447"/>
      <c r="AK739" s="447"/>
      <c r="AL739" s="447"/>
      <c r="AM739" s="447"/>
      <c r="AN739" s="447"/>
      <c r="AO739" s="447"/>
      <c r="AP739" s="447"/>
      <c r="AQ739" s="447"/>
      <c r="AR739" s="447"/>
      <c r="AS739" s="447"/>
      <c r="AT739" s="447"/>
      <c r="AU739" s="447"/>
      <c r="AV739" s="447"/>
      <c r="AW739" s="447"/>
      <c r="AX739" s="447"/>
      <c r="AY739" s="447"/>
      <c r="AZ739" s="447"/>
      <c r="BA739" s="447"/>
      <c r="BB739" s="447"/>
      <c r="BC739" s="447"/>
      <c r="BD739" s="447"/>
      <c r="BE739" s="447"/>
      <c r="BF739" s="447"/>
      <c r="BG739" s="447"/>
      <c r="BH739" s="447"/>
      <c r="BI739" s="447"/>
      <c r="BJ739" s="447"/>
      <c r="BK739" s="447"/>
      <c r="BL739" s="447"/>
      <c r="BM739" s="448"/>
      <c r="BN739" s="448"/>
    </row>
    <row r="740" spans="1:66" ht="11.25" customHeight="1">
      <c r="A740" s="450"/>
      <c r="B740" s="447"/>
      <c r="C740" s="447"/>
      <c r="D740" s="447"/>
      <c r="E740" s="447"/>
      <c r="F740" s="447"/>
      <c r="G740" s="447"/>
      <c r="H740" s="447"/>
      <c r="I740" s="447"/>
      <c r="J740" s="447"/>
      <c r="K740" s="447"/>
      <c r="L740" s="447"/>
      <c r="M740" s="447"/>
      <c r="N740" s="447"/>
      <c r="O740" s="447"/>
      <c r="P740" s="447"/>
      <c r="Q740" s="447"/>
      <c r="R740" s="447"/>
      <c r="S740" s="447"/>
      <c r="T740" s="447"/>
      <c r="U740" s="447"/>
      <c r="V740" s="447"/>
      <c r="W740" s="447"/>
      <c r="X740" s="447"/>
      <c r="Y740" s="447"/>
      <c r="Z740" s="447"/>
      <c r="AA740" s="447"/>
      <c r="AB740" s="447"/>
      <c r="AC740" s="447"/>
      <c r="AD740" s="447"/>
      <c r="AE740" s="447"/>
      <c r="AF740" s="448"/>
      <c r="AG740" s="448"/>
      <c r="AH740" s="449"/>
      <c r="AI740" s="447"/>
      <c r="AJ740" s="447"/>
      <c r="AK740" s="447"/>
      <c r="AL740" s="447"/>
      <c r="AM740" s="447"/>
      <c r="AN740" s="447"/>
      <c r="AO740" s="447"/>
      <c r="AP740" s="447"/>
      <c r="AQ740" s="447"/>
      <c r="AR740" s="447"/>
      <c r="AS740" s="447"/>
      <c r="AT740" s="447"/>
      <c r="AU740" s="447"/>
      <c r="AV740" s="447"/>
      <c r="AW740" s="447"/>
      <c r="AX740" s="447"/>
      <c r="AY740" s="447"/>
      <c r="AZ740" s="447"/>
      <c r="BA740" s="447"/>
      <c r="BB740" s="447"/>
      <c r="BC740" s="447"/>
      <c r="BD740" s="447"/>
      <c r="BE740" s="447"/>
      <c r="BF740" s="447"/>
      <c r="BG740" s="447"/>
      <c r="BH740" s="447"/>
      <c r="BI740" s="447"/>
      <c r="BJ740" s="447"/>
      <c r="BK740" s="447"/>
      <c r="BL740" s="447"/>
      <c r="BM740" s="448"/>
      <c r="BN740" s="448"/>
    </row>
    <row r="741" spans="1:66" ht="11.25" customHeight="1">
      <c r="A741" s="450"/>
      <c r="B741" s="447"/>
      <c r="C741" s="447"/>
      <c r="D741" s="447"/>
      <c r="E741" s="447"/>
      <c r="F741" s="447"/>
      <c r="G741" s="447"/>
      <c r="H741" s="447"/>
      <c r="I741" s="447"/>
      <c r="J741" s="447"/>
      <c r="K741" s="447"/>
      <c r="L741" s="447"/>
      <c r="M741" s="447"/>
      <c r="N741" s="447"/>
      <c r="O741" s="447"/>
      <c r="P741" s="447"/>
      <c r="Q741" s="447"/>
      <c r="R741" s="447"/>
      <c r="S741" s="447"/>
      <c r="T741" s="447"/>
      <c r="U741" s="447"/>
      <c r="V741" s="447"/>
      <c r="W741" s="447"/>
      <c r="X741" s="447"/>
      <c r="Y741" s="447"/>
      <c r="Z741" s="447"/>
      <c r="AA741" s="447"/>
      <c r="AB741" s="447"/>
      <c r="AC741" s="447"/>
      <c r="AD741" s="447"/>
      <c r="AE741" s="447"/>
      <c r="AF741" s="448"/>
      <c r="AG741" s="448"/>
      <c r="AH741" s="449"/>
      <c r="AI741" s="447"/>
      <c r="AJ741" s="447"/>
      <c r="AK741" s="447"/>
      <c r="AL741" s="447"/>
      <c r="AM741" s="447"/>
      <c r="AN741" s="447"/>
      <c r="AO741" s="447"/>
      <c r="AP741" s="447"/>
      <c r="AQ741" s="447"/>
      <c r="AR741" s="447"/>
      <c r="AS741" s="447"/>
      <c r="AT741" s="447"/>
      <c r="AU741" s="447"/>
      <c r="AV741" s="447"/>
      <c r="AW741" s="447"/>
      <c r="AX741" s="447"/>
      <c r="AY741" s="447"/>
      <c r="AZ741" s="447"/>
      <c r="BA741" s="447"/>
      <c r="BB741" s="447"/>
      <c r="BC741" s="447"/>
      <c r="BD741" s="447"/>
      <c r="BE741" s="447"/>
      <c r="BF741" s="447"/>
      <c r="BG741" s="447"/>
      <c r="BH741" s="447"/>
      <c r="BI741" s="447"/>
      <c r="BJ741" s="447"/>
      <c r="BK741" s="447"/>
      <c r="BL741" s="447"/>
      <c r="BM741" s="448"/>
      <c r="BN741" s="448"/>
    </row>
    <row r="742" spans="1:66" ht="11.25" customHeight="1">
      <c r="A742" s="450"/>
      <c r="B742" s="447"/>
      <c r="C742" s="447"/>
      <c r="D742" s="447"/>
      <c r="E742" s="447"/>
      <c r="F742" s="447"/>
      <c r="G742" s="447"/>
      <c r="H742" s="447"/>
      <c r="I742" s="447"/>
      <c r="J742" s="447"/>
      <c r="K742" s="447"/>
      <c r="L742" s="447"/>
      <c r="M742" s="447"/>
      <c r="N742" s="447"/>
      <c r="O742" s="447"/>
      <c r="P742" s="447"/>
      <c r="Q742" s="447"/>
      <c r="R742" s="447"/>
      <c r="S742" s="447"/>
      <c r="T742" s="447"/>
      <c r="U742" s="447"/>
      <c r="V742" s="447"/>
      <c r="W742" s="447"/>
      <c r="X742" s="447"/>
      <c r="Y742" s="447"/>
      <c r="Z742" s="447"/>
      <c r="AA742" s="447"/>
      <c r="AB742" s="447"/>
      <c r="AC742" s="447"/>
      <c r="AD742" s="447"/>
      <c r="AE742" s="447"/>
      <c r="AF742" s="448"/>
      <c r="AG742" s="448"/>
      <c r="AH742" s="449"/>
      <c r="AI742" s="447"/>
      <c r="AJ742" s="447"/>
      <c r="AK742" s="447"/>
      <c r="AL742" s="447"/>
      <c r="AM742" s="447"/>
      <c r="AN742" s="447"/>
      <c r="AO742" s="447"/>
      <c r="AP742" s="447"/>
      <c r="AQ742" s="447"/>
      <c r="AR742" s="447"/>
      <c r="AS742" s="447"/>
      <c r="AT742" s="447"/>
      <c r="AU742" s="447"/>
      <c r="AV742" s="447"/>
      <c r="AW742" s="447"/>
      <c r="AX742" s="447"/>
      <c r="AY742" s="447"/>
      <c r="AZ742" s="447"/>
      <c r="BA742" s="447"/>
      <c r="BB742" s="447"/>
      <c r="BC742" s="447"/>
      <c r="BD742" s="447"/>
      <c r="BE742" s="447"/>
      <c r="BF742" s="447"/>
      <c r="BG742" s="447"/>
      <c r="BH742" s="447"/>
      <c r="BI742" s="447"/>
      <c r="BJ742" s="447"/>
      <c r="BK742" s="447"/>
      <c r="BL742" s="447"/>
      <c r="BM742" s="448"/>
      <c r="BN742" s="448"/>
    </row>
    <row r="743" spans="1:66" ht="11.25" customHeight="1">
      <c r="A743" s="450"/>
      <c r="B743" s="447"/>
      <c r="C743" s="447"/>
      <c r="D743" s="447"/>
      <c r="E743" s="447"/>
      <c r="F743" s="447"/>
      <c r="G743" s="447"/>
      <c r="H743" s="447"/>
      <c r="I743" s="447"/>
      <c r="J743" s="447"/>
      <c r="K743" s="447"/>
      <c r="L743" s="447"/>
      <c r="M743" s="447"/>
      <c r="N743" s="447"/>
      <c r="O743" s="447"/>
      <c r="P743" s="447"/>
      <c r="Q743" s="447"/>
      <c r="R743" s="447"/>
      <c r="S743" s="447"/>
      <c r="T743" s="447"/>
      <c r="U743" s="447"/>
      <c r="V743" s="447"/>
      <c r="W743" s="447"/>
      <c r="X743" s="447"/>
      <c r="Y743" s="447"/>
      <c r="Z743" s="447"/>
      <c r="AA743" s="447"/>
      <c r="AB743" s="447"/>
      <c r="AC743" s="447"/>
      <c r="AD743" s="447"/>
      <c r="AE743" s="447"/>
      <c r="AF743" s="448"/>
      <c r="AG743" s="448"/>
      <c r="AH743" s="449"/>
      <c r="AI743" s="447"/>
      <c r="AJ743" s="447"/>
      <c r="AK743" s="447"/>
      <c r="AL743" s="447"/>
      <c r="AM743" s="447"/>
      <c r="AN743" s="447"/>
      <c r="AO743" s="447"/>
      <c r="AP743" s="447"/>
      <c r="AQ743" s="447"/>
      <c r="AR743" s="447"/>
      <c r="AS743" s="447"/>
      <c r="AT743" s="447"/>
      <c r="AU743" s="447"/>
      <c r="AV743" s="447"/>
      <c r="AW743" s="447"/>
      <c r="AX743" s="447"/>
      <c r="AY743" s="447"/>
      <c r="AZ743" s="447"/>
      <c r="BA743" s="447"/>
      <c r="BB743" s="447"/>
      <c r="BC743" s="447"/>
      <c r="BD743" s="447"/>
      <c r="BE743" s="447"/>
      <c r="BF743" s="447"/>
      <c r="BG743" s="447"/>
      <c r="BH743" s="447"/>
      <c r="BI743" s="447"/>
      <c r="BJ743" s="447"/>
      <c r="BK743" s="447"/>
      <c r="BL743" s="447"/>
      <c r="BM743" s="448"/>
      <c r="BN743" s="448"/>
    </row>
    <row r="744" spans="1:66" ht="11.25" customHeight="1">
      <c r="A744" s="450"/>
      <c r="B744" s="447"/>
      <c r="C744" s="447"/>
      <c r="D744" s="447"/>
      <c r="E744" s="447"/>
      <c r="F744" s="447"/>
      <c r="G744" s="447"/>
      <c r="H744" s="447"/>
      <c r="I744" s="447"/>
      <c r="J744" s="447"/>
      <c r="K744" s="447"/>
      <c r="L744" s="447"/>
      <c r="M744" s="447"/>
      <c r="N744" s="447"/>
      <c r="O744" s="447"/>
      <c r="P744" s="447"/>
      <c r="Q744" s="447"/>
      <c r="R744" s="447"/>
      <c r="S744" s="447"/>
      <c r="T744" s="447"/>
      <c r="U744" s="447"/>
      <c r="V744" s="447"/>
      <c r="W744" s="447"/>
      <c r="X744" s="447"/>
      <c r="Y744" s="447"/>
      <c r="Z744" s="447"/>
      <c r="AA744" s="447"/>
      <c r="AB744" s="447"/>
      <c r="AC744" s="447"/>
      <c r="AD744" s="447"/>
      <c r="AE744" s="447"/>
      <c r="AF744" s="448"/>
      <c r="AG744" s="448"/>
      <c r="AH744" s="449"/>
      <c r="AI744" s="447"/>
      <c r="AJ744" s="447"/>
      <c r="AK744" s="447"/>
      <c r="AL744" s="447"/>
      <c r="AM744" s="447"/>
      <c r="AN744" s="447"/>
      <c r="AO744" s="447"/>
      <c r="AP744" s="447"/>
      <c r="AQ744" s="447"/>
      <c r="AR744" s="447"/>
      <c r="AS744" s="447"/>
      <c r="AT744" s="447"/>
      <c r="AU744" s="447"/>
      <c r="AV744" s="447"/>
      <c r="AW744" s="447"/>
      <c r="AX744" s="447"/>
      <c r="AY744" s="447"/>
      <c r="AZ744" s="447"/>
      <c r="BA744" s="447"/>
      <c r="BB744" s="447"/>
      <c r="BC744" s="447"/>
      <c r="BD744" s="447"/>
      <c r="BE744" s="447"/>
      <c r="BF744" s="447"/>
      <c r="BG744" s="447"/>
      <c r="BH744" s="447"/>
      <c r="BI744" s="447"/>
      <c r="BJ744" s="447"/>
      <c r="BK744" s="447"/>
      <c r="BL744" s="447"/>
      <c r="BM744" s="448"/>
      <c r="BN744" s="448"/>
    </row>
    <row r="745" spans="1:66" ht="11.25" customHeight="1">
      <c r="A745" s="450"/>
      <c r="B745" s="447"/>
      <c r="C745" s="447"/>
      <c r="D745" s="447"/>
      <c r="E745" s="447"/>
      <c r="F745" s="447"/>
      <c r="G745" s="447"/>
      <c r="H745" s="447"/>
      <c r="I745" s="447"/>
      <c r="J745" s="447"/>
      <c r="K745" s="447"/>
      <c r="L745" s="447"/>
      <c r="M745" s="447"/>
      <c r="N745" s="447"/>
      <c r="O745" s="447"/>
      <c r="P745" s="447"/>
      <c r="Q745" s="447"/>
      <c r="R745" s="447"/>
      <c r="S745" s="447"/>
      <c r="T745" s="447"/>
      <c r="U745" s="447"/>
      <c r="V745" s="447"/>
      <c r="W745" s="447"/>
      <c r="X745" s="447"/>
      <c r="Y745" s="447"/>
      <c r="Z745" s="447"/>
      <c r="AA745" s="447"/>
      <c r="AB745" s="447"/>
      <c r="AC745" s="447"/>
      <c r="AD745" s="447"/>
      <c r="AE745" s="447"/>
      <c r="AF745" s="448"/>
      <c r="AG745" s="448"/>
      <c r="AH745" s="449"/>
      <c r="AI745" s="447"/>
      <c r="AJ745" s="447"/>
      <c r="AK745" s="447"/>
      <c r="AL745" s="447"/>
      <c r="AM745" s="447"/>
      <c r="AN745" s="447"/>
      <c r="AO745" s="447"/>
      <c r="AP745" s="447"/>
      <c r="AQ745" s="447"/>
      <c r="AR745" s="447"/>
      <c r="AS745" s="447"/>
      <c r="AT745" s="447"/>
      <c r="AU745" s="447"/>
      <c r="AV745" s="447"/>
      <c r="AW745" s="447"/>
      <c r="AX745" s="447"/>
      <c r="AY745" s="447"/>
      <c r="AZ745" s="447"/>
      <c r="BA745" s="447"/>
      <c r="BB745" s="447"/>
      <c r="BC745" s="447"/>
      <c r="BD745" s="447"/>
      <c r="BE745" s="447"/>
      <c r="BF745" s="447"/>
      <c r="BG745" s="447"/>
      <c r="BH745" s="447"/>
      <c r="BI745" s="447"/>
      <c r="BJ745" s="447"/>
      <c r="BK745" s="447"/>
      <c r="BL745" s="447"/>
      <c r="BM745" s="448"/>
      <c r="BN745" s="448"/>
    </row>
    <row r="746" spans="1:66" ht="11.25" customHeight="1">
      <c r="A746" s="450"/>
      <c r="B746" s="447"/>
      <c r="C746" s="447"/>
      <c r="D746" s="447"/>
      <c r="E746" s="447"/>
      <c r="F746" s="447"/>
      <c r="G746" s="447"/>
      <c r="H746" s="447"/>
      <c r="I746" s="447"/>
      <c r="J746" s="447"/>
      <c r="K746" s="447"/>
      <c r="L746" s="447"/>
      <c r="M746" s="447"/>
      <c r="N746" s="447"/>
      <c r="O746" s="447"/>
      <c r="P746" s="447"/>
      <c r="Q746" s="447"/>
      <c r="R746" s="447"/>
      <c r="S746" s="447"/>
      <c r="T746" s="447"/>
      <c r="U746" s="447"/>
      <c r="V746" s="447"/>
      <c r="W746" s="447"/>
      <c r="X746" s="447"/>
      <c r="Y746" s="447"/>
      <c r="Z746" s="447"/>
      <c r="AA746" s="447"/>
      <c r="AB746" s="447"/>
      <c r="AC746" s="447"/>
      <c r="AD746" s="447"/>
      <c r="AE746" s="447"/>
      <c r="AF746" s="448"/>
      <c r="AG746" s="448"/>
      <c r="AH746" s="449"/>
      <c r="AI746" s="447"/>
      <c r="AJ746" s="447"/>
      <c r="AK746" s="447"/>
      <c r="AL746" s="447"/>
      <c r="AM746" s="447"/>
      <c r="AN746" s="447"/>
      <c r="AO746" s="447"/>
      <c r="AP746" s="447"/>
      <c r="AQ746" s="447"/>
      <c r="AR746" s="447"/>
      <c r="AS746" s="447"/>
      <c r="AT746" s="447"/>
      <c r="AU746" s="447"/>
      <c r="AV746" s="447"/>
      <c r="AW746" s="447"/>
      <c r="AX746" s="447"/>
      <c r="AY746" s="447"/>
      <c r="AZ746" s="447"/>
      <c r="BA746" s="447"/>
      <c r="BB746" s="447"/>
      <c r="BC746" s="447"/>
      <c r="BD746" s="447"/>
      <c r="BE746" s="447"/>
      <c r="BF746" s="447"/>
      <c r="BG746" s="447"/>
      <c r="BH746" s="447"/>
      <c r="BI746" s="447"/>
      <c r="BJ746" s="447"/>
      <c r="BK746" s="447"/>
      <c r="BL746" s="447"/>
      <c r="BM746" s="448"/>
      <c r="BN746" s="448"/>
    </row>
    <row r="747" spans="1:66" ht="11.25" customHeight="1">
      <c r="A747" s="450"/>
      <c r="B747" s="447"/>
      <c r="C747" s="447"/>
      <c r="D747" s="447"/>
      <c r="E747" s="447"/>
      <c r="F747" s="447"/>
      <c r="G747" s="447"/>
      <c r="H747" s="447"/>
      <c r="I747" s="447"/>
      <c r="J747" s="447"/>
      <c r="K747" s="447"/>
      <c r="L747" s="447"/>
      <c r="M747" s="447"/>
      <c r="N747" s="447"/>
      <c r="O747" s="447"/>
      <c r="P747" s="447"/>
      <c r="Q747" s="447"/>
      <c r="R747" s="447"/>
      <c r="S747" s="447"/>
      <c r="T747" s="447"/>
      <c r="U747" s="447"/>
      <c r="V747" s="447"/>
      <c r="W747" s="447"/>
      <c r="X747" s="447"/>
      <c r="Y747" s="447"/>
      <c r="Z747" s="447"/>
      <c r="AA747" s="447"/>
      <c r="AB747" s="447"/>
      <c r="AC747" s="447"/>
      <c r="AD747" s="447"/>
      <c r="AE747" s="447"/>
      <c r="AF747" s="448"/>
      <c r="AG747" s="448"/>
      <c r="AH747" s="449"/>
      <c r="AI747" s="447"/>
      <c r="AJ747" s="447"/>
      <c r="AK747" s="447"/>
      <c r="AL747" s="447"/>
      <c r="AM747" s="447"/>
      <c r="AN747" s="447"/>
      <c r="AO747" s="447"/>
      <c r="AP747" s="447"/>
      <c r="AQ747" s="447"/>
      <c r="AR747" s="447"/>
      <c r="AS747" s="447"/>
      <c r="AT747" s="447"/>
      <c r="AU747" s="447"/>
      <c r="AV747" s="447"/>
      <c r="AW747" s="447"/>
      <c r="AX747" s="447"/>
      <c r="AY747" s="447"/>
      <c r="AZ747" s="447"/>
      <c r="BA747" s="447"/>
      <c r="BB747" s="447"/>
      <c r="BC747" s="447"/>
      <c r="BD747" s="447"/>
      <c r="BE747" s="447"/>
      <c r="BF747" s="447"/>
      <c r="BG747" s="447"/>
      <c r="BH747" s="447"/>
      <c r="BI747" s="447"/>
      <c r="BJ747" s="447"/>
      <c r="BK747" s="447"/>
      <c r="BL747" s="447"/>
      <c r="BM747" s="448"/>
      <c r="BN747" s="448"/>
    </row>
    <row r="748" spans="1:66" ht="11.25" customHeight="1">
      <c r="A748" s="450"/>
      <c r="B748" s="447"/>
      <c r="C748" s="447"/>
      <c r="D748" s="447"/>
      <c r="E748" s="447"/>
      <c r="F748" s="447"/>
      <c r="G748" s="447"/>
      <c r="H748" s="447"/>
      <c r="I748" s="447"/>
      <c r="J748" s="447"/>
      <c r="K748" s="447"/>
      <c r="L748" s="447"/>
      <c r="M748" s="447"/>
      <c r="N748" s="447"/>
      <c r="O748" s="447"/>
      <c r="P748" s="447"/>
      <c r="Q748" s="447"/>
      <c r="R748" s="447"/>
      <c r="S748" s="447"/>
      <c r="T748" s="447"/>
      <c r="U748" s="447"/>
      <c r="V748" s="447"/>
      <c r="W748" s="447"/>
      <c r="X748" s="447"/>
      <c r="Y748" s="447"/>
      <c r="Z748" s="447"/>
      <c r="AA748" s="447"/>
      <c r="AB748" s="447"/>
      <c r="AC748" s="447"/>
      <c r="AD748" s="447"/>
      <c r="AE748" s="447"/>
      <c r="AF748" s="448"/>
      <c r="AG748" s="448"/>
      <c r="AH748" s="449"/>
      <c r="AI748" s="447"/>
      <c r="AJ748" s="447"/>
      <c r="AK748" s="447"/>
      <c r="AL748" s="447"/>
      <c r="AM748" s="447"/>
      <c r="AN748" s="447"/>
      <c r="AO748" s="447"/>
      <c r="AP748" s="447"/>
      <c r="AQ748" s="447"/>
      <c r="AR748" s="447"/>
      <c r="AS748" s="447"/>
      <c r="AT748" s="447"/>
      <c r="AU748" s="447"/>
      <c r="AV748" s="447"/>
      <c r="AW748" s="447"/>
      <c r="AX748" s="447"/>
      <c r="AY748" s="447"/>
      <c r="AZ748" s="447"/>
      <c r="BA748" s="447"/>
      <c r="BB748" s="447"/>
      <c r="BC748" s="447"/>
      <c r="BD748" s="447"/>
      <c r="BE748" s="447"/>
      <c r="BF748" s="447"/>
      <c r="BG748" s="447"/>
      <c r="BH748" s="447"/>
      <c r="BI748" s="447"/>
      <c r="BJ748" s="447"/>
      <c r="BK748" s="447"/>
      <c r="BL748" s="447"/>
      <c r="BM748" s="448"/>
      <c r="BN748" s="448"/>
    </row>
    <row r="749" spans="1:66" ht="11.25" customHeight="1">
      <c r="A749" s="450"/>
      <c r="B749" s="447"/>
      <c r="C749" s="447"/>
      <c r="D749" s="447"/>
      <c r="E749" s="447"/>
      <c r="F749" s="447"/>
      <c r="G749" s="447"/>
      <c r="H749" s="447"/>
      <c r="I749" s="447"/>
      <c r="J749" s="447"/>
      <c r="K749" s="447"/>
      <c r="L749" s="447"/>
      <c r="M749" s="447"/>
      <c r="N749" s="447"/>
      <c r="O749" s="447"/>
      <c r="P749" s="447"/>
      <c r="Q749" s="447"/>
      <c r="R749" s="447"/>
      <c r="S749" s="447"/>
      <c r="T749" s="447"/>
      <c r="U749" s="447"/>
      <c r="V749" s="447"/>
      <c r="W749" s="447"/>
      <c r="X749" s="447"/>
      <c r="Y749" s="447"/>
      <c r="Z749" s="447"/>
      <c r="AA749" s="447"/>
      <c r="AB749" s="447"/>
      <c r="AC749" s="447"/>
      <c r="AD749" s="447"/>
      <c r="AE749" s="447"/>
      <c r="AF749" s="448"/>
      <c r="AG749" s="448"/>
      <c r="AH749" s="449"/>
      <c r="AI749" s="447"/>
      <c r="AJ749" s="447"/>
      <c r="AK749" s="447"/>
      <c r="AL749" s="447"/>
      <c r="AM749" s="447"/>
      <c r="AN749" s="447"/>
      <c r="AO749" s="447"/>
      <c r="AP749" s="447"/>
      <c r="AQ749" s="447"/>
      <c r="AR749" s="447"/>
      <c r="AS749" s="447"/>
      <c r="AT749" s="447"/>
      <c r="AU749" s="447"/>
      <c r="AV749" s="447"/>
      <c r="AW749" s="447"/>
      <c r="AX749" s="447"/>
      <c r="AY749" s="447"/>
      <c r="AZ749" s="447"/>
      <c r="BA749" s="447"/>
      <c r="BB749" s="447"/>
      <c r="BC749" s="447"/>
      <c r="BD749" s="447"/>
      <c r="BE749" s="447"/>
      <c r="BF749" s="447"/>
      <c r="BG749" s="447"/>
      <c r="BH749" s="447"/>
      <c r="BI749" s="447"/>
      <c r="BJ749" s="447"/>
      <c r="BK749" s="447"/>
      <c r="BL749" s="447"/>
      <c r="BM749" s="448"/>
      <c r="BN749" s="448"/>
    </row>
    <row r="750" spans="1:66" ht="11.25" customHeight="1">
      <c r="A750" s="450"/>
      <c r="B750" s="447"/>
      <c r="C750" s="447"/>
      <c r="D750" s="447"/>
      <c r="E750" s="447"/>
      <c r="F750" s="447"/>
      <c r="G750" s="447"/>
      <c r="H750" s="447"/>
      <c r="I750" s="447"/>
      <c r="J750" s="447"/>
      <c r="K750" s="447"/>
      <c r="L750" s="447"/>
      <c r="M750" s="447"/>
      <c r="N750" s="447"/>
      <c r="O750" s="447"/>
      <c r="P750" s="447"/>
      <c r="Q750" s="447"/>
      <c r="R750" s="447"/>
      <c r="S750" s="447"/>
      <c r="T750" s="447"/>
      <c r="U750" s="447"/>
      <c r="V750" s="447"/>
      <c r="W750" s="447"/>
      <c r="X750" s="447"/>
      <c r="Y750" s="447"/>
      <c r="Z750" s="447"/>
      <c r="AA750" s="447"/>
      <c r="AB750" s="447"/>
      <c r="AC750" s="447"/>
      <c r="AD750" s="447"/>
      <c r="AE750" s="447"/>
      <c r="AF750" s="448"/>
      <c r="AG750" s="448"/>
      <c r="AH750" s="449"/>
      <c r="AI750" s="447"/>
      <c r="AJ750" s="447"/>
      <c r="AK750" s="447"/>
      <c r="AL750" s="447"/>
      <c r="AM750" s="447"/>
      <c r="AN750" s="447"/>
      <c r="AO750" s="447"/>
      <c r="AP750" s="447"/>
      <c r="AQ750" s="447"/>
      <c r="AR750" s="447"/>
      <c r="AS750" s="447"/>
      <c r="AT750" s="447"/>
      <c r="AU750" s="447"/>
      <c r="AV750" s="447"/>
      <c r="AW750" s="447"/>
      <c r="AX750" s="447"/>
      <c r="AY750" s="447"/>
      <c r="AZ750" s="447"/>
      <c r="BA750" s="447"/>
      <c r="BB750" s="447"/>
      <c r="BC750" s="447"/>
      <c r="BD750" s="447"/>
      <c r="BE750" s="447"/>
      <c r="BF750" s="447"/>
      <c r="BG750" s="447"/>
      <c r="BH750" s="447"/>
      <c r="BI750" s="447"/>
      <c r="BJ750" s="447"/>
      <c r="BK750" s="447"/>
      <c r="BL750" s="447"/>
      <c r="BM750" s="448"/>
      <c r="BN750" s="448"/>
    </row>
    <row r="751" spans="1:66" ht="11.25" customHeight="1">
      <c r="A751" s="450"/>
      <c r="B751" s="447"/>
      <c r="C751" s="447"/>
      <c r="D751" s="447"/>
      <c r="E751" s="447"/>
      <c r="F751" s="447"/>
      <c r="G751" s="447"/>
      <c r="H751" s="447"/>
      <c r="I751" s="447"/>
      <c r="J751" s="447"/>
      <c r="K751" s="447"/>
      <c r="L751" s="447"/>
      <c r="M751" s="447"/>
      <c r="N751" s="447"/>
      <c r="O751" s="447"/>
      <c r="P751" s="447"/>
      <c r="Q751" s="447"/>
      <c r="R751" s="447"/>
      <c r="S751" s="447"/>
      <c r="T751" s="447"/>
      <c r="U751" s="447"/>
      <c r="V751" s="447"/>
      <c r="W751" s="447"/>
      <c r="X751" s="447"/>
      <c r="Y751" s="447"/>
      <c r="Z751" s="447"/>
      <c r="AA751" s="447"/>
      <c r="AB751" s="447"/>
      <c r="AC751" s="447"/>
      <c r="AD751" s="447"/>
      <c r="AE751" s="447"/>
      <c r="AF751" s="448"/>
      <c r="AG751" s="448"/>
      <c r="AH751" s="449"/>
      <c r="AI751" s="447"/>
      <c r="AJ751" s="447"/>
      <c r="AK751" s="447"/>
      <c r="AL751" s="447"/>
      <c r="AM751" s="447"/>
      <c r="AN751" s="447"/>
      <c r="AO751" s="447"/>
      <c r="AP751" s="447"/>
      <c r="AQ751" s="447"/>
      <c r="AR751" s="447"/>
      <c r="AS751" s="447"/>
      <c r="AT751" s="447"/>
      <c r="AU751" s="447"/>
      <c r="AV751" s="447"/>
      <c r="AW751" s="447"/>
      <c r="AX751" s="447"/>
      <c r="AY751" s="447"/>
      <c r="AZ751" s="447"/>
      <c r="BA751" s="447"/>
      <c r="BB751" s="447"/>
      <c r="BC751" s="447"/>
      <c r="BD751" s="447"/>
      <c r="BE751" s="447"/>
      <c r="BF751" s="447"/>
      <c r="BG751" s="447"/>
      <c r="BH751" s="447"/>
      <c r="BI751" s="447"/>
      <c r="BJ751" s="447"/>
      <c r="BK751" s="447"/>
      <c r="BL751" s="447"/>
      <c r="BM751" s="448"/>
      <c r="BN751" s="448"/>
    </row>
    <row r="752" spans="1:66" ht="11.25" customHeight="1">
      <c r="A752" s="450"/>
      <c r="B752" s="447"/>
      <c r="C752" s="447"/>
      <c r="D752" s="447"/>
      <c r="E752" s="447"/>
      <c r="F752" s="447"/>
      <c r="G752" s="447"/>
      <c r="H752" s="447"/>
      <c r="I752" s="447"/>
      <c r="J752" s="447"/>
      <c r="K752" s="447"/>
      <c r="L752" s="447"/>
      <c r="M752" s="447"/>
      <c r="N752" s="447"/>
      <c r="O752" s="447"/>
      <c r="P752" s="447"/>
      <c r="Q752" s="447"/>
      <c r="R752" s="447"/>
      <c r="S752" s="447"/>
      <c r="T752" s="447"/>
      <c r="U752" s="447"/>
      <c r="V752" s="447"/>
      <c r="W752" s="447"/>
      <c r="X752" s="447"/>
      <c r="Y752" s="447"/>
      <c r="Z752" s="447"/>
      <c r="AA752" s="447"/>
      <c r="AB752" s="447"/>
      <c r="AC752" s="447"/>
      <c r="AD752" s="447"/>
      <c r="AE752" s="447"/>
      <c r="AF752" s="448"/>
      <c r="AG752" s="448"/>
      <c r="AH752" s="449"/>
      <c r="AI752" s="447"/>
      <c r="AJ752" s="447"/>
      <c r="AK752" s="447"/>
      <c r="AL752" s="447"/>
      <c r="AM752" s="447"/>
      <c r="AN752" s="447"/>
      <c r="AO752" s="447"/>
      <c r="AP752" s="447"/>
      <c r="AQ752" s="447"/>
      <c r="AR752" s="447"/>
      <c r="AS752" s="447"/>
      <c r="AT752" s="447"/>
      <c r="AU752" s="447"/>
      <c r="AV752" s="447"/>
      <c r="AW752" s="447"/>
      <c r="AX752" s="447"/>
      <c r="AY752" s="447"/>
      <c r="AZ752" s="447"/>
      <c r="BA752" s="447"/>
      <c r="BB752" s="447"/>
      <c r="BC752" s="447"/>
      <c r="BD752" s="447"/>
      <c r="BE752" s="447"/>
      <c r="BF752" s="447"/>
      <c r="BG752" s="447"/>
      <c r="BH752" s="447"/>
      <c r="BI752" s="447"/>
      <c r="BJ752" s="447"/>
      <c r="BK752" s="447"/>
      <c r="BL752" s="447"/>
      <c r="BM752" s="448"/>
      <c r="BN752" s="448"/>
    </row>
    <row r="753" spans="1:66" ht="11.25" customHeight="1">
      <c r="A753" s="450"/>
      <c r="B753" s="447"/>
      <c r="C753" s="447"/>
      <c r="D753" s="447"/>
      <c r="E753" s="447"/>
      <c r="F753" s="447"/>
      <c r="G753" s="447"/>
      <c r="H753" s="447"/>
      <c r="I753" s="447"/>
      <c r="J753" s="447"/>
      <c r="K753" s="447"/>
      <c r="L753" s="447"/>
      <c r="M753" s="447"/>
      <c r="N753" s="447"/>
      <c r="O753" s="447"/>
      <c r="P753" s="447"/>
      <c r="Q753" s="447"/>
      <c r="R753" s="447"/>
      <c r="S753" s="447"/>
      <c r="T753" s="447"/>
      <c r="U753" s="447"/>
      <c r="V753" s="447"/>
      <c r="W753" s="447"/>
      <c r="X753" s="447"/>
      <c r="Y753" s="447"/>
      <c r="Z753" s="447"/>
      <c r="AA753" s="447"/>
      <c r="AB753" s="447"/>
      <c r="AC753" s="447"/>
      <c r="AD753" s="447"/>
      <c r="AE753" s="447"/>
      <c r="AF753" s="448"/>
      <c r="AG753" s="448"/>
      <c r="AH753" s="449"/>
      <c r="AI753" s="447"/>
      <c r="AJ753" s="447"/>
      <c r="AK753" s="447"/>
      <c r="AL753" s="447"/>
      <c r="AM753" s="447"/>
      <c r="AN753" s="447"/>
      <c r="AO753" s="447"/>
      <c r="AP753" s="447"/>
      <c r="AQ753" s="447"/>
      <c r="AR753" s="447"/>
      <c r="AS753" s="447"/>
      <c r="AT753" s="447"/>
      <c r="AU753" s="447"/>
      <c r="AV753" s="447"/>
      <c r="AW753" s="447"/>
      <c r="AX753" s="447"/>
      <c r="AY753" s="447"/>
      <c r="AZ753" s="447"/>
      <c r="BA753" s="447"/>
      <c r="BB753" s="447"/>
      <c r="BC753" s="447"/>
      <c r="BD753" s="447"/>
      <c r="BE753" s="447"/>
      <c r="BF753" s="447"/>
      <c r="BG753" s="447"/>
      <c r="BH753" s="447"/>
      <c r="BI753" s="447"/>
      <c r="BJ753" s="447"/>
      <c r="BK753" s="447"/>
      <c r="BL753" s="447"/>
      <c r="BM753" s="448"/>
      <c r="BN753" s="448"/>
    </row>
    <row r="754" spans="1:66" ht="11.25" customHeight="1">
      <c r="A754" s="450"/>
      <c r="B754" s="447"/>
      <c r="C754" s="447"/>
      <c r="D754" s="447"/>
      <c r="E754" s="447"/>
      <c r="F754" s="447"/>
      <c r="G754" s="447"/>
      <c r="H754" s="447"/>
      <c r="I754" s="447"/>
      <c r="J754" s="447"/>
      <c r="K754" s="447"/>
      <c r="L754" s="447"/>
      <c r="M754" s="447"/>
      <c r="N754" s="447"/>
      <c r="O754" s="447"/>
      <c r="P754" s="447"/>
      <c r="Q754" s="447"/>
      <c r="R754" s="447"/>
      <c r="S754" s="447"/>
      <c r="T754" s="447"/>
      <c r="U754" s="447"/>
      <c r="V754" s="447"/>
      <c r="W754" s="447"/>
      <c r="X754" s="447"/>
      <c r="Y754" s="447"/>
      <c r="Z754" s="447"/>
      <c r="AA754" s="447"/>
      <c r="AB754" s="447"/>
      <c r="AC754" s="447"/>
      <c r="AD754" s="447"/>
      <c r="AE754" s="447"/>
      <c r="AF754" s="448"/>
      <c r="AG754" s="448"/>
      <c r="AH754" s="449"/>
      <c r="AI754" s="447"/>
      <c r="AJ754" s="447"/>
      <c r="AK754" s="447"/>
      <c r="AL754" s="447"/>
      <c r="AM754" s="447"/>
      <c r="AN754" s="447"/>
      <c r="AO754" s="447"/>
      <c r="AP754" s="447"/>
      <c r="AQ754" s="447"/>
      <c r="AR754" s="447"/>
      <c r="AS754" s="447"/>
      <c r="AT754" s="447"/>
      <c r="AU754" s="447"/>
      <c r="AV754" s="447"/>
      <c r="AW754" s="447"/>
      <c r="AX754" s="447"/>
      <c r="AY754" s="447"/>
      <c r="AZ754" s="447"/>
      <c r="BA754" s="447"/>
      <c r="BB754" s="447"/>
      <c r="BC754" s="447"/>
      <c r="BD754" s="447"/>
      <c r="BE754" s="447"/>
      <c r="BF754" s="447"/>
      <c r="BG754" s="447"/>
      <c r="BH754" s="447"/>
      <c r="BI754" s="447"/>
      <c r="BJ754" s="447"/>
      <c r="BK754" s="447"/>
      <c r="BL754" s="447"/>
      <c r="BM754" s="448"/>
      <c r="BN754" s="448"/>
    </row>
    <row r="755" spans="1:66" ht="11.25" customHeight="1">
      <c r="A755" s="450"/>
      <c r="B755" s="447"/>
      <c r="C755" s="447"/>
      <c r="D755" s="447"/>
      <c r="E755" s="447"/>
      <c r="F755" s="447"/>
      <c r="G755" s="447"/>
      <c r="H755" s="447"/>
      <c r="I755" s="447"/>
      <c r="J755" s="447"/>
      <c r="K755" s="447"/>
      <c r="L755" s="447"/>
      <c r="M755" s="447"/>
      <c r="N755" s="447"/>
      <c r="O755" s="447"/>
      <c r="P755" s="447"/>
      <c r="Q755" s="447"/>
      <c r="R755" s="447"/>
      <c r="S755" s="447"/>
      <c r="T755" s="447"/>
      <c r="U755" s="447"/>
      <c r="V755" s="447"/>
      <c r="W755" s="447"/>
      <c r="X755" s="447"/>
      <c r="Y755" s="447"/>
      <c r="Z755" s="447"/>
      <c r="AA755" s="447"/>
      <c r="AB755" s="447"/>
      <c r="AC755" s="447"/>
      <c r="AD755" s="447"/>
      <c r="AE755" s="447"/>
      <c r="AF755" s="448"/>
      <c r="AG755" s="448"/>
      <c r="AH755" s="449"/>
      <c r="AI755" s="447"/>
      <c r="AJ755" s="447"/>
      <c r="AK755" s="447"/>
      <c r="AL755" s="447"/>
      <c r="AM755" s="447"/>
      <c r="AN755" s="447"/>
      <c r="AO755" s="447"/>
      <c r="AP755" s="447"/>
      <c r="AQ755" s="447"/>
      <c r="AR755" s="447"/>
      <c r="AS755" s="447"/>
      <c r="AT755" s="447"/>
      <c r="AU755" s="447"/>
      <c r="AV755" s="447"/>
      <c r="AW755" s="447"/>
      <c r="AX755" s="447"/>
      <c r="AY755" s="447"/>
      <c r="AZ755" s="447"/>
      <c r="BA755" s="447"/>
      <c r="BB755" s="447"/>
      <c r="BC755" s="447"/>
      <c r="BD755" s="447"/>
      <c r="BE755" s="447"/>
      <c r="BF755" s="447"/>
      <c r="BG755" s="447"/>
      <c r="BH755" s="447"/>
      <c r="BI755" s="447"/>
      <c r="BJ755" s="447"/>
      <c r="BK755" s="447"/>
      <c r="BL755" s="447"/>
      <c r="BM755" s="448"/>
      <c r="BN755" s="448"/>
    </row>
    <row r="756" spans="1:66" ht="11.25" customHeight="1">
      <c r="A756" s="450"/>
      <c r="B756" s="447"/>
      <c r="C756" s="447"/>
      <c r="D756" s="447"/>
      <c r="E756" s="447"/>
      <c r="F756" s="447"/>
      <c r="G756" s="447"/>
      <c r="H756" s="447"/>
      <c r="I756" s="447"/>
      <c r="J756" s="447"/>
      <c r="K756" s="447"/>
      <c r="L756" s="447"/>
      <c r="M756" s="447"/>
      <c r="N756" s="447"/>
      <c r="O756" s="447"/>
      <c r="P756" s="447"/>
      <c r="Q756" s="447"/>
      <c r="R756" s="447"/>
      <c r="S756" s="447"/>
      <c r="T756" s="447"/>
      <c r="U756" s="447"/>
      <c r="V756" s="447"/>
      <c r="W756" s="447"/>
      <c r="X756" s="447"/>
      <c r="Y756" s="447"/>
      <c r="Z756" s="447"/>
      <c r="AA756" s="447"/>
      <c r="AB756" s="447"/>
      <c r="AC756" s="447"/>
      <c r="AD756" s="447"/>
      <c r="AE756" s="447"/>
      <c r="AF756" s="448"/>
      <c r="AG756" s="448"/>
      <c r="AH756" s="449"/>
      <c r="AI756" s="447"/>
      <c r="AJ756" s="447"/>
      <c r="AK756" s="447"/>
      <c r="AL756" s="447"/>
      <c r="AM756" s="447"/>
      <c r="AN756" s="447"/>
      <c r="AO756" s="447"/>
      <c r="AP756" s="447"/>
      <c r="AQ756" s="447"/>
      <c r="AR756" s="447"/>
      <c r="AS756" s="447"/>
      <c r="AT756" s="447"/>
      <c r="AU756" s="447"/>
      <c r="AV756" s="447"/>
      <c r="AW756" s="447"/>
      <c r="AX756" s="447"/>
      <c r="AY756" s="447"/>
      <c r="AZ756" s="447"/>
      <c r="BA756" s="447"/>
      <c r="BB756" s="447"/>
      <c r="BC756" s="447"/>
      <c r="BD756" s="447"/>
      <c r="BE756" s="447"/>
      <c r="BF756" s="447"/>
      <c r="BG756" s="447"/>
      <c r="BH756" s="447"/>
      <c r="BI756" s="447"/>
      <c r="BJ756" s="447"/>
      <c r="BK756" s="447"/>
      <c r="BL756" s="447"/>
      <c r="BM756" s="448"/>
      <c r="BN756" s="448"/>
    </row>
    <row r="757" spans="1:66" ht="11.25" customHeight="1">
      <c r="A757" s="450"/>
      <c r="B757" s="447"/>
      <c r="C757" s="447"/>
      <c r="D757" s="447"/>
      <c r="E757" s="447"/>
      <c r="F757" s="447"/>
      <c r="G757" s="447"/>
      <c r="H757" s="447"/>
      <c r="I757" s="447"/>
      <c r="J757" s="447"/>
      <c r="K757" s="447"/>
      <c r="L757" s="447"/>
      <c r="M757" s="447"/>
      <c r="N757" s="447"/>
      <c r="O757" s="447"/>
      <c r="P757" s="447"/>
      <c r="Q757" s="447"/>
      <c r="R757" s="447"/>
      <c r="S757" s="447"/>
      <c r="T757" s="447"/>
      <c r="U757" s="447"/>
      <c r="V757" s="447"/>
      <c r="W757" s="447"/>
      <c r="X757" s="447"/>
      <c r="Y757" s="447"/>
      <c r="Z757" s="447"/>
      <c r="AA757" s="447"/>
      <c r="AB757" s="447"/>
      <c r="AC757" s="447"/>
      <c r="AD757" s="447"/>
      <c r="AE757" s="447"/>
      <c r="AF757" s="448"/>
      <c r="AG757" s="448"/>
      <c r="AH757" s="449"/>
      <c r="AI757" s="447"/>
      <c r="AJ757" s="447"/>
      <c r="AK757" s="447"/>
      <c r="AL757" s="447"/>
      <c r="AM757" s="447"/>
      <c r="AN757" s="447"/>
      <c r="AO757" s="447"/>
      <c r="AP757" s="447"/>
      <c r="AQ757" s="447"/>
      <c r="AR757" s="447"/>
      <c r="AS757" s="447"/>
      <c r="AT757" s="447"/>
      <c r="AU757" s="447"/>
      <c r="AV757" s="447"/>
      <c r="AW757" s="447"/>
      <c r="AX757" s="447"/>
      <c r="AY757" s="447"/>
      <c r="AZ757" s="447"/>
      <c r="BA757" s="447"/>
      <c r="BB757" s="447"/>
      <c r="BC757" s="447"/>
      <c r="BD757" s="447"/>
      <c r="BE757" s="447"/>
      <c r="BF757" s="447"/>
      <c r="BG757" s="447"/>
      <c r="BH757" s="447"/>
      <c r="BI757" s="447"/>
      <c r="BJ757" s="447"/>
      <c r="BK757" s="447"/>
      <c r="BL757" s="447"/>
      <c r="BM757" s="448"/>
      <c r="BN757" s="448"/>
    </row>
    <row r="758" spans="1:66" ht="11.25" customHeight="1">
      <c r="A758" s="450"/>
      <c r="B758" s="447"/>
      <c r="C758" s="447"/>
      <c r="D758" s="447"/>
      <c r="E758" s="447"/>
      <c r="F758" s="447"/>
      <c r="G758" s="447"/>
      <c r="H758" s="447"/>
      <c r="I758" s="447"/>
      <c r="J758" s="447"/>
      <c r="K758" s="447"/>
      <c r="L758" s="447"/>
      <c r="M758" s="447"/>
      <c r="N758" s="447"/>
      <c r="O758" s="447"/>
      <c r="P758" s="447"/>
      <c r="Q758" s="447"/>
      <c r="R758" s="447"/>
      <c r="S758" s="447"/>
      <c r="T758" s="447"/>
      <c r="U758" s="447"/>
      <c r="V758" s="447"/>
      <c r="W758" s="447"/>
      <c r="X758" s="447"/>
      <c r="Y758" s="447"/>
      <c r="Z758" s="447"/>
      <c r="AA758" s="447"/>
      <c r="AB758" s="447"/>
      <c r="AC758" s="447"/>
      <c r="AD758" s="447"/>
      <c r="AE758" s="447"/>
      <c r="AF758" s="448"/>
      <c r="AG758" s="448"/>
      <c r="AH758" s="449"/>
      <c r="AI758" s="447"/>
      <c r="AJ758" s="447"/>
      <c r="AK758" s="447"/>
      <c r="AL758" s="447"/>
      <c r="AM758" s="447"/>
      <c r="AN758" s="447"/>
      <c r="AO758" s="447"/>
      <c r="AP758" s="447"/>
      <c r="AQ758" s="447"/>
      <c r="AR758" s="447"/>
      <c r="AS758" s="447"/>
      <c r="AT758" s="447"/>
      <c r="AU758" s="447"/>
      <c r="AV758" s="447"/>
      <c r="AW758" s="447"/>
      <c r="AX758" s="447"/>
      <c r="AY758" s="447"/>
      <c r="AZ758" s="447"/>
      <c r="BA758" s="447"/>
      <c r="BB758" s="447"/>
      <c r="BC758" s="447"/>
      <c r="BD758" s="447"/>
      <c r="BE758" s="447"/>
      <c r="BF758" s="447"/>
      <c r="BG758" s="447"/>
      <c r="BH758" s="447"/>
      <c r="BI758" s="447"/>
      <c r="BJ758" s="447"/>
      <c r="BK758" s="447"/>
      <c r="BL758" s="447"/>
      <c r="BM758" s="448"/>
      <c r="BN758" s="448"/>
    </row>
    <row r="759" spans="1:66" ht="11.25" customHeight="1">
      <c r="A759" s="450"/>
      <c r="B759" s="447"/>
      <c r="C759" s="447"/>
      <c r="D759" s="447"/>
      <c r="E759" s="447"/>
      <c r="F759" s="447"/>
      <c r="G759" s="447"/>
      <c r="H759" s="447"/>
      <c r="I759" s="447"/>
      <c r="J759" s="447"/>
      <c r="K759" s="447"/>
      <c r="L759" s="447"/>
      <c r="M759" s="447"/>
      <c r="N759" s="447"/>
      <c r="O759" s="447"/>
      <c r="P759" s="447"/>
      <c r="Q759" s="447"/>
      <c r="R759" s="447"/>
      <c r="S759" s="447"/>
      <c r="T759" s="447"/>
      <c r="U759" s="447"/>
      <c r="V759" s="447"/>
      <c r="W759" s="447"/>
      <c r="X759" s="447"/>
      <c r="Y759" s="447"/>
      <c r="Z759" s="447"/>
      <c r="AA759" s="447"/>
      <c r="AB759" s="447"/>
      <c r="AC759" s="447"/>
      <c r="AD759" s="447"/>
      <c r="AE759" s="447"/>
      <c r="AF759" s="448"/>
      <c r="AG759" s="448"/>
      <c r="AH759" s="449"/>
      <c r="AI759" s="447"/>
      <c r="AJ759" s="447"/>
      <c r="AK759" s="447"/>
      <c r="AL759" s="447"/>
      <c r="AM759" s="447"/>
      <c r="AN759" s="447"/>
      <c r="AO759" s="447"/>
      <c r="AP759" s="447"/>
      <c r="AQ759" s="447"/>
      <c r="AR759" s="447"/>
      <c r="AS759" s="447"/>
      <c r="AT759" s="447"/>
      <c r="AU759" s="447"/>
      <c r="AV759" s="447"/>
      <c r="AW759" s="447"/>
      <c r="AX759" s="447"/>
      <c r="AY759" s="447"/>
      <c r="AZ759" s="447"/>
      <c r="BA759" s="447"/>
      <c r="BB759" s="447"/>
      <c r="BC759" s="447"/>
      <c r="BD759" s="447"/>
      <c r="BE759" s="447"/>
      <c r="BF759" s="447"/>
      <c r="BG759" s="447"/>
      <c r="BH759" s="447"/>
      <c r="BI759" s="447"/>
      <c r="BJ759" s="447"/>
      <c r="BK759" s="447"/>
      <c r="BL759" s="447"/>
      <c r="BM759" s="448"/>
      <c r="BN759" s="448"/>
    </row>
    <row r="760" spans="1:66" ht="11.25" customHeight="1">
      <c r="A760" s="450"/>
      <c r="B760" s="447"/>
      <c r="C760" s="447"/>
      <c r="D760" s="447"/>
      <c r="E760" s="447"/>
      <c r="F760" s="447"/>
      <c r="G760" s="447"/>
      <c r="H760" s="447"/>
      <c r="I760" s="447"/>
      <c r="J760" s="447"/>
      <c r="K760" s="447"/>
      <c r="L760" s="447"/>
      <c r="M760" s="447"/>
      <c r="N760" s="447"/>
      <c r="O760" s="447"/>
      <c r="P760" s="447"/>
      <c r="Q760" s="447"/>
      <c r="R760" s="447"/>
      <c r="S760" s="447"/>
      <c r="T760" s="447"/>
      <c r="U760" s="447"/>
      <c r="V760" s="447"/>
      <c r="W760" s="447"/>
      <c r="X760" s="447"/>
      <c r="Y760" s="447"/>
      <c r="Z760" s="447"/>
      <c r="AA760" s="447"/>
      <c r="AB760" s="447"/>
      <c r="AC760" s="447"/>
      <c r="AD760" s="447"/>
      <c r="AE760" s="447"/>
      <c r="AF760" s="448"/>
      <c r="AG760" s="448"/>
      <c r="AH760" s="449"/>
      <c r="AI760" s="447"/>
      <c r="AJ760" s="447"/>
      <c r="AK760" s="447"/>
      <c r="AL760" s="447"/>
      <c r="AM760" s="447"/>
      <c r="AN760" s="447"/>
      <c r="AO760" s="447"/>
      <c r="AP760" s="447"/>
      <c r="AQ760" s="447"/>
      <c r="AR760" s="447"/>
      <c r="AS760" s="447"/>
      <c r="AT760" s="447"/>
      <c r="AU760" s="447"/>
      <c r="AV760" s="447"/>
      <c r="AW760" s="447"/>
      <c r="AX760" s="447"/>
      <c r="AY760" s="447"/>
      <c r="AZ760" s="447"/>
      <c r="BA760" s="447"/>
      <c r="BB760" s="447"/>
      <c r="BC760" s="447"/>
      <c r="BD760" s="447"/>
      <c r="BE760" s="447"/>
      <c r="BF760" s="447"/>
      <c r="BG760" s="447"/>
      <c r="BH760" s="447"/>
      <c r="BI760" s="447"/>
      <c r="BJ760" s="447"/>
      <c r="BK760" s="447"/>
      <c r="BL760" s="447"/>
      <c r="BM760" s="448"/>
      <c r="BN760" s="448"/>
    </row>
    <row r="761" spans="1:66" ht="11.25" customHeight="1">
      <c r="A761" s="450"/>
      <c r="B761" s="447"/>
      <c r="C761" s="447"/>
      <c r="D761" s="447"/>
      <c r="E761" s="447"/>
      <c r="F761" s="447"/>
      <c r="G761" s="447"/>
      <c r="H761" s="447"/>
      <c r="I761" s="447"/>
      <c r="J761" s="447"/>
      <c r="K761" s="447"/>
      <c r="L761" s="447"/>
      <c r="M761" s="447"/>
      <c r="N761" s="447"/>
      <c r="O761" s="447"/>
      <c r="P761" s="447"/>
      <c r="Q761" s="447"/>
      <c r="R761" s="447"/>
      <c r="S761" s="447"/>
      <c r="T761" s="447"/>
      <c r="U761" s="447"/>
      <c r="V761" s="447"/>
      <c r="W761" s="447"/>
      <c r="X761" s="447"/>
      <c r="Y761" s="447"/>
      <c r="Z761" s="447"/>
      <c r="AA761" s="447"/>
      <c r="AB761" s="447"/>
      <c r="AC761" s="447"/>
      <c r="AD761" s="447"/>
      <c r="AE761" s="447"/>
      <c r="AF761" s="448"/>
      <c r="AG761" s="448"/>
      <c r="AH761" s="449"/>
      <c r="AI761" s="447"/>
      <c r="AJ761" s="447"/>
      <c r="AK761" s="447"/>
      <c r="AL761" s="447"/>
      <c r="AM761" s="447"/>
      <c r="AN761" s="447"/>
      <c r="AO761" s="447"/>
      <c r="AP761" s="447"/>
      <c r="AQ761" s="447"/>
      <c r="AR761" s="447"/>
      <c r="AS761" s="447"/>
      <c r="AT761" s="447"/>
      <c r="AU761" s="447"/>
      <c r="AV761" s="447"/>
      <c r="AW761" s="447"/>
      <c r="AX761" s="447"/>
      <c r="AY761" s="447"/>
      <c r="AZ761" s="447"/>
      <c r="BA761" s="447"/>
      <c r="BB761" s="447"/>
      <c r="BC761" s="447"/>
      <c r="BD761" s="447"/>
      <c r="BE761" s="447"/>
      <c r="BF761" s="447"/>
      <c r="BG761" s="447"/>
      <c r="BH761" s="447"/>
      <c r="BI761" s="447"/>
      <c r="BJ761" s="447"/>
      <c r="BK761" s="447"/>
      <c r="BL761" s="447"/>
      <c r="BM761" s="448"/>
      <c r="BN761" s="448"/>
    </row>
    <row r="762" spans="1:66" ht="11.25" customHeight="1">
      <c r="A762" s="450"/>
      <c r="B762" s="447"/>
      <c r="C762" s="447"/>
      <c r="D762" s="447"/>
      <c r="E762" s="447"/>
      <c r="F762" s="447"/>
      <c r="G762" s="447"/>
      <c r="H762" s="447"/>
      <c r="I762" s="447"/>
      <c r="J762" s="447"/>
      <c r="K762" s="447"/>
      <c r="L762" s="447"/>
      <c r="M762" s="447"/>
      <c r="N762" s="447"/>
      <c r="O762" s="447"/>
      <c r="P762" s="447"/>
      <c r="Q762" s="447"/>
      <c r="R762" s="447"/>
      <c r="S762" s="447"/>
      <c r="T762" s="447"/>
      <c r="U762" s="447"/>
      <c r="V762" s="447"/>
      <c r="W762" s="447"/>
      <c r="X762" s="447"/>
      <c r="Y762" s="447"/>
      <c r="Z762" s="447"/>
      <c r="AA762" s="447"/>
      <c r="AB762" s="447"/>
      <c r="AC762" s="447"/>
      <c r="AD762" s="447"/>
      <c r="AE762" s="447"/>
      <c r="AF762" s="448"/>
      <c r="AG762" s="448"/>
      <c r="AH762" s="449"/>
      <c r="AI762" s="447"/>
      <c r="AJ762" s="447"/>
      <c r="AK762" s="447"/>
      <c r="AL762" s="447"/>
      <c r="AM762" s="447"/>
      <c r="AN762" s="447"/>
      <c r="AO762" s="447"/>
      <c r="AP762" s="447"/>
      <c r="AQ762" s="447"/>
      <c r="AR762" s="447"/>
      <c r="AS762" s="447"/>
      <c r="AT762" s="447"/>
      <c r="AU762" s="447"/>
      <c r="AV762" s="447"/>
      <c r="AW762" s="447"/>
      <c r="AX762" s="447"/>
      <c r="AY762" s="447"/>
      <c r="AZ762" s="447"/>
      <c r="BA762" s="447"/>
      <c r="BB762" s="447"/>
      <c r="BC762" s="447"/>
      <c r="BD762" s="447"/>
      <c r="BE762" s="447"/>
      <c r="BF762" s="447"/>
      <c r="BG762" s="447"/>
      <c r="BH762" s="447"/>
      <c r="BI762" s="447"/>
      <c r="BJ762" s="447"/>
      <c r="BK762" s="447"/>
      <c r="BL762" s="447"/>
      <c r="BM762" s="448"/>
      <c r="BN762" s="448"/>
    </row>
    <row r="763" spans="1:66" ht="11.25" customHeight="1">
      <c r="A763" s="450"/>
      <c r="B763" s="447"/>
      <c r="C763" s="447"/>
      <c r="D763" s="447"/>
      <c r="E763" s="447"/>
      <c r="F763" s="447"/>
      <c r="G763" s="447"/>
      <c r="H763" s="447"/>
      <c r="I763" s="447"/>
      <c r="J763" s="447"/>
      <c r="K763" s="447"/>
      <c r="L763" s="447"/>
      <c r="M763" s="447"/>
      <c r="N763" s="447"/>
      <c r="O763" s="447"/>
      <c r="P763" s="447"/>
      <c r="Q763" s="447"/>
      <c r="R763" s="447"/>
      <c r="S763" s="447"/>
      <c r="T763" s="447"/>
      <c r="U763" s="447"/>
      <c r="V763" s="447"/>
      <c r="W763" s="447"/>
      <c r="X763" s="447"/>
      <c r="Y763" s="447"/>
      <c r="Z763" s="447"/>
      <c r="AA763" s="447"/>
      <c r="AB763" s="447"/>
      <c r="AC763" s="447"/>
      <c r="AD763" s="447"/>
      <c r="AE763" s="447"/>
      <c r="AF763" s="448"/>
      <c r="AG763" s="448"/>
      <c r="AH763" s="449"/>
      <c r="AI763" s="447"/>
      <c r="AJ763" s="447"/>
      <c r="AK763" s="447"/>
      <c r="AL763" s="447"/>
      <c r="AM763" s="447"/>
      <c r="AN763" s="447"/>
      <c r="AO763" s="447"/>
      <c r="AP763" s="447"/>
      <c r="AQ763" s="447"/>
      <c r="AR763" s="447"/>
      <c r="AS763" s="447"/>
      <c r="AT763" s="447"/>
      <c r="AU763" s="447"/>
      <c r="AV763" s="447"/>
      <c r="AW763" s="447"/>
      <c r="AX763" s="447"/>
      <c r="AY763" s="447"/>
      <c r="AZ763" s="447"/>
      <c r="BA763" s="447"/>
      <c r="BB763" s="447"/>
      <c r="BC763" s="447"/>
      <c r="BD763" s="447"/>
      <c r="BE763" s="447"/>
      <c r="BF763" s="447"/>
      <c r="BG763" s="447"/>
      <c r="BH763" s="447"/>
      <c r="BI763" s="447"/>
      <c r="BJ763" s="447"/>
      <c r="BK763" s="447"/>
      <c r="BL763" s="447"/>
      <c r="BM763" s="448"/>
      <c r="BN763" s="448"/>
    </row>
    <row r="764" spans="1:66" ht="11.25" customHeight="1">
      <c r="A764" s="450"/>
      <c r="B764" s="447"/>
      <c r="C764" s="447"/>
      <c r="D764" s="447"/>
      <c r="E764" s="447"/>
      <c r="F764" s="447"/>
      <c r="G764" s="447"/>
      <c r="H764" s="447"/>
      <c r="I764" s="447"/>
      <c r="J764" s="447"/>
      <c r="K764" s="447"/>
      <c r="L764" s="447"/>
      <c r="M764" s="447"/>
      <c r="N764" s="447"/>
      <c r="O764" s="447"/>
      <c r="P764" s="447"/>
      <c r="Q764" s="447"/>
      <c r="R764" s="447"/>
      <c r="S764" s="447"/>
      <c r="T764" s="447"/>
      <c r="U764" s="447"/>
      <c r="V764" s="447"/>
      <c r="W764" s="447"/>
      <c r="X764" s="447"/>
      <c r="Y764" s="447"/>
      <c r="Z764" s="447"/>
      <c r="AA764" s="447"/>
      <c r="AB764" s="447"/>
      <c r="AC764" s="447"/>
      <c r="AD764" s="447"/>
      <c r="AE764" s="447"/>
      <c r="AF764" s="448"/>
      <c r="AG764" s="448"/>
      <c r="AH764" s="449"/>
      <c r="AI764" s="447"/>
      <c r="AJ764" s="447"/>
      <c r="AK764" s="447"/>
      <c r="AL764" s="447"/>
      <c r="AM764" s="447"/>
      <c r="AN764" s="447"/>
      <c r="AO764" s="447"/>
      <c r="AP764" s="447"/>
      <c r="AQ764" s="447"/>
      <c r="AR764" s="447"/>
      <c r="AS764" s="447"/>
      <c r="AT764" s="447"/>
      <c r="AU764" s="447"/>
      <c r="AV764" s="447"/>
      <c r="AW764" s="447"/>
      <c r="AX764" s="447"/>
      <c r="AY764" s="447"/>
      <c r="AZ764" s="447"/>
      <c r="BA764" s="447"/>
      <c r="BB764" s="447"/>
      <c r="BC764" s="447"/>
      <c r="BD764" s="447"/>
      <c r="BE764" s="447"/>
      <c r="BF764" s="447"/>
      <c r="BG764" s="447"/>
      <c r="BH764" s="447"/>
      <c r="BI764" s="447"/>
      <c r="BJ764" s="447"/>
      <c r="BK764" s="447"/>
      <c r="BL764" s="447"/>
      <c r="BM764" s="448"/>
      <c r="BN764" s="448"/>
    </row>
    <row r="765" spans="1:66" ht="11.25" customHeight="1">
      <c r="A765" s="450"/>
      <c r="B765" s="447"/>
      <c r="C765" s="447"/>
      <c r="D765" s="447"/>
      <c r="E765" s="447"/>
      <c r="F765" s="447"/>
      <c r="G765" s="447"/>
      <c r="H765" s="447"/>
      <c r="I765" s="447"/>
      <c r="J765" s="447"/>
      <c r="K765" s="447"/>
      <c r="L765" s="447"/>
      <c r="M765" s="447"/>
      <c r="N765" s="447"/>
      <c r="O765" s="447"/>
      <c r="P765" s="447"/>
      <c r="Q765" s="447"/>
      <c r="R765" s="447"/>
      <c r="S765" s="447"/>
      <c r="T765" s="447"/>
      <c r="U765" s="447"/>
      <c r="V765" s="447"/>
      <c r="W765" s="447"/>
      <c r="X765" s="447"/>
      <c r="Y765" s="447"/>
      <c r="Z765" s="447"/>
      <c r="AA765" s="447"/>
      <c r="AB765" s="447"/>
      <c r="AC765" s="447"/>
      <c r="AD765" s="447"/>
      <c r="AE765" s="447"/>
      <c r="AF765" s="448"/>
      <c r="AG765" s="448"/>
      <c r="AH765" s="449"/>
      <c r="AI765" s="447"/>
      <c r="AJ765" s="447"/>
      <c r="AK765" s="447"/>
      <c r="AL765" s="447"/>
      <c r="AM765" s="447"/>
      <c r="AN765" s="447"/>
      <c r="AO765" s="447"/>
      <c r="AP765" s="447"/>
      <c r="AQ765" s="447"/>
      <c r="AR765" s="447"/>
      <c r="AS765" s="447"/>
      <c r="AT765" s="447"/>
      <c r="AU765" s="447"/>
      <c r="AV765" s="447"/>
      <c r="AW765" s="447"/>
      <c r="AX765" s="447"/>
      <c r="AY765" s="447"/>
      <c r="AZ765" s="447"/>
      <c r="BA765" s="447"/>
      <c r="BB765" s="447"/>
      <c r="BC765" s="447"/>
      <c r="BD765" s="447"/>
      <c r="BE765" s="447"/>
      <c r="BF765" s="447"/>
      <c r="BG765" s="447"/>
      <c r="BH765" s="447"/>
      <c r="BI765" s="447"/>
      <c r="BJ765" s="447"/>
      <c r="BK765" s="447"/>
      <c r="BL765" s="447"/>
      <c r="BM765" s="448"/>
      <c r="BN765" s="448"/>
    </row>
    <row r="766" spans="1:66" ht="11.25" customHeight="1">
      <c r="A766" s="450"/>
      <c r="B766" s="447"/>
      <c r="C766" s="447"/>
      <c r="D766" s="447"/>
      <c r="E766" s="447"/>
      <c r="F766" s="447"/>
      <c r="G766" s="447"/>
      <c r="H766" s="447"/>
      <c r="I766" s="447"/>
      <c r="J766" s="447"/>
      <c r="K766" s="447"/>
      <c r="L766" s="447"/>
      <c r="M766" s="447"/>
      <c r="N766" s="447"/>
      <c r="O766" s="447"/>
      <c r="P766" s="447"/>
      <c r="Q766" s="447"/>
      <c r="R766" s="447"/>
      <c r="S766" s="447"/>
      <c r="T766" s="447"/>
      <c r="U766" s="447"/>
      <c r="V766" s="447"/>
      <c r="W766" s="447"/>
      <c r="X766" s="447"/>
      <c r="Y766" s="447"/>
      <c r="Z766" s="447"/>
      <c r="AA766" s="447"/>
      <c r="AB766" s="447"/>
      <c r="AC766" s="447"/>
      <c r="AD766" s="447"/>
      <c r="AE766" s="447"/>
      <c r="AF766" s="448"/>
      <c r="AG766" s="448"/>
      <c r="AH766" s="449"/>
      <c r="AI766" s="447"/>
      <c r="AJ766" s="447"/>
      <c r="AK766" s="447"/>
      <c r="AL766" s="447"/>
      <c r="AM766" s="447"/>
      <c r="AN766" s="447"/>
      <c r="AO766" s="447"/>
      <c r="AP766" s="447"/>
      <c r="AQ766" s="447"/>
      <c r="AR766" s="447"/>
      <c r="AS766" s="447"/>
      <c r="AT766" s="447"/>
      <c r="AU766" s="447"/>
      <c r="AV766" s="447"/>
      <c r="AW766" s="447"/>
      <c r="AX766" s="447"/>
      <c r="AY766" s="447"/>
      <c r="AZ766" s="447"/>
      <c r="BA766" s="447"/>
      <c r="BB766" s="447"/>
      <c r="BC766" s="447"/>
      <c r="BD766" s="447"/>
      <c r="BE766" s="447"/>
      <c r="BF766" s="447"/>
      <c r="BG766" s="447"/>
      <c r="BH766" s="447"/>
      <c r="BI766" s="447"/>
      <c r="BJ766" s="447"/>
      <c r="BK766" s="447"/>
      <c r="BL766" s="447"/>
      <c r="BM766" s="448"/>
      <c r="BN766" s="448"/>
    </row>
    <row r="767" spans="1:66" ht="11.25" customHeight="1">
      <c r="A767" s="450"/>
      <c r="B767" s="447"/>
      <c r="C767" s="447"/>
      <c r="D767" s="447"/>
      <c r="E767" s="447"/>
      <c r="F767" s="447"/>
      <c r="G767" s="447"/>
      <c r="H767" s="447"/>
      <c r="I767" s="447"/>
      <c r="J767" s="447"/>
      <c r="K767" s="447"/>
      <c r="L767" s="447"/>
      <c r="M767" s="447"/>
      <c r="N767" s="447"/>
      <c r="O767" s="447"/>
      <c r="P767" s="447"/>
      <c r="Q767" s="447"/>
      <c r="R767" s="447"/>
      <c r="S767" s="447"/>
      <c r="T767" s="447"/>
      <c r="U767" s="447"/>
      <c r="V767" s="447"/>
      <c r="W767" s="447"/>
      <c r="X767" s="447"/>
      <c r="Y767" s="447"/>
      <c r="Z767" s="447"/>
      <c r="AA767" s="447"/>
      <c r="AB767" s="447"/>
      <c r="AC767" s="447"/>
      <c r="AD767" s="447"/>
      <c r="AE767" s="447"/>
      <c r="AF767" s="448"/>
      <c r="AG767" s="448"/>
      <c r="AH767" s="449"/>
      <c r="AI767" s="447"/>
      <c r="AJ767" s="447"/>
      <c r="AK767" s="447"/>
      <c r="AL767" s="447"/>
      <c r="AM767" s="447"/>
      <c r="AN767" s="447"/>
      <c r="AO767" s="447"/>
      <c r="AP767" s="447"/>
      <c r="AQ767" s="447"/>
      <c r="AR767" s="447"/>
      <c r="AS767" s="447"/>
      <c r="AT767" s="447"/>
      <c r="AU767" s="447"/>
      <c r="AV767" s="447"/>
      <c r="AW767" s="447"/>
      <c r="AX767" s="447"/>
      <c r="AY767" s="447"/>
      <c r="AZ767" s="447"/>
      <c r="BA767" s="447"/>
      <c r="BB767" s="447"/>
      <c r="BC767" s="447"/>
      <c r="BD767" s="447"/>
      <c r="BE767" s="447"/>
      <c r="BF767" s="447"/>
      <c r="BG767" s="447"/>
      <c r="BH767" s="447"/>
      <c r="BI767" s="447"/>
      <c r="BJ767" s="447"/>
      <c r="BK767" s="447"/>
      <c r="BL767" s="447"/>
      <c r="BM767" s="448"/>
      <c r="BN767" s="448"/>
    </row>
    <row r="768" spans="1:66" ht="11.25" customHeight="1">
      <c r="A768" s="450"/>
      <c r="B768" s="447"/>
      <c r="C768" s="447"/>
      <c r="D768" s="447"/>
      <c r="E768" s="447"/>
      <c r="F768" s="447"/>
      <c r="G768" s="447"/>
      <c r="H768" s="447"/>
      <c r="I768" s="447"/>
      <c r="J768" s="447"/>
      <c r="K768" s="447"/>
      <c r="L768" s="447"/>
      <c r="M768" s="447"/>
      <c r="N768" s="447"/>
      <c r="O768" s="447"/>
      <c r="P768" s="447"/>
      <c r="Q768" s="447"/>
      <c r="R768" s="447"/>
      <c r="S768" s="447"/>
      <c r="T768" s="447"/>
      <c r="U768" s="447"/>
      <c r="V768" s="447"/>
      <c r="W768" s="447"/>
      <c r="X768" s="447"/>
      <c r="Y768" s="447"/>
      <c r="Z768" s="447"/>
      <c r="AA768" s="447"/>
      <c r="AB768" s="447"/>
      <c r="AC768" s="447"/>
      <c r="AD768" s="447"/>
      <c r="AE768" s="447"/>
      <c r="AF768" s="448"/>
      <c r="AG768" s="448"/>
      <c r="AH768" s="449"/>
      <c r="AI768" s="447"/>
      <c r="AJ768" s="447"/>
      <c r="AK768" s="447"/>
      <c r="AL768" s="447"/>
      <c r="AM768" s="447"/>
      <c r="AN768" s="447"/>
      <c r="AO768" s="447"/>
      <c r="AP768" s="447"/>
      <c r="AQ768" s="447"/>
      <c r="AR768" s="447"/>
      <c r="AS768" s="447"/>
      <c r="AT768" s="447"/>
      <c r="AU768" s="447"/>
      <c r="AV768" s="447"/>
      <c r="AW768" s="447"/>
      <c r="AX768" s="447"/>
      <c r="AY768" s="447"/>
      <c r="AZ768" s="447"/>
      <c r="BA768" s="447"/>
      <c r="BB768" s="447"/>
      <c r="BC768" s="447"/>
      <c r="BD768" s="447"/>
      <c r="BE768" s="447"/>
      <c r="BF768" s="447"/>
      <c r="BG768" s="447"/>
      <c r="BH768" s="447"/>
      <c r="BI768" s="447"/>
      <c r="BJ768" s="447"/>
      <c r="BK768" s="447"/>
      <c r="BL768" s="447"/>
      <c r="BM768" s="448"/>
      <c r="BN768" s="448"/>
    </row>
    <row r="769" spans="1:66" ht="11.25" customHeight="1">
      <c r="A769" s="450"/>
      <c r="B769" s="447"/>
      <c r="C769" s="447"/>
      <c r="D769" s="447"/>
      <c r="E769" s="447"/>
      <c r="F769" s="447"/>
      <c r="G769" s="447"/>
      <c r="H769" s="447"/>
      <c r="I769" s="447"/>
      <c r="J769" s="447"/>
      <c r="K769" s="447"/>
      <c r="L769" s="447"/>
      <c r="M769" s="447"/>
      <c r="N769" s="447"/>
      <c r="O769" s="447"/>
      <c r="P769" s="447"/>
      <c r="Q769" s="447"/>
      <c r="R769" s="447"/>
      <c r="S769" s="447"/>
      <c r="T769" s="447"/>
      <c r="U769" s="447"/>
      <c r="V769" s="447"/>
      <c r="W769" s="447"/>
      <c r="X769" s="447"/>
      <c r="Y769" s="447"/>
      <c r="Z769" s="447"/>
      <c r="AA769" s="447"/>
      <c r="AB769" s="447"/>
      <c r="AC769" s="447"/>
      <c r="AD769" s="447"/>
      <c r="AE769" s="447"/>
      <c r="AF769" s="448"/>
      <c r="AG769" s="448"/>
      <c r="AH769" s="449"/>
      <c r="AI769" s="447"/>
      <c r="AJ769" s="447"/>
      <c r="AK769" s="447"/>
      <c r="AL769" s="447"/>
      <c r="AM769" s="447"/>
      <c r="AN769" s="447"/>
      <c r="AO769" s="447"/>
      <c r="AP769" s="447"/>
      <c r="AQ769" s="447"/>
      <c r="AR769" s="447"/>
      <c r="AS769" s="447"/>
      <c r="AT769" s="447"/>
      <c r="AU769" s="447"/>
      <c r="AV769" s="447"/>
      <c r="AW769" s="447"/>
      <c r="AX769" s="447"/>
      <c r="AY769" s="447"/>
      <c r="AZ769" s="447"/>
      <c r="BA769" s="447"/>
      <c r="BB769" s="447"/>
      <c r="BC769" s="447"/>
      <c r="BD769" s="447"/>
      <c r="BE769" s="447"/>
      <c r="BF769" s="447"/>
      <c r="BG769" s="447"/>
      <c r="BH769" s="447"/>
      <c r="BI769" s="447"/>
      <c r="BJ769" s="447"/>
      <c r="BK769" s="447"/>
      <c r="BL769" s="447"/>
      <c r="BM769" s="448"/>
      <c r="BN769" s="448"/>
    </row>
    <row r="770" spans="1:66" ht="11.25" customHeight="1">
      <c r="A770" s="450"/>
      <c r="B770" s="447"/>
      <c r="C770" s="447"/>
      <c r="D770" s="447"/>
      <c r="E770" s="447"/>
      <c r="F770" s="447"/>
      <c r="G770" s="447"/>
      <c r="H770" s="447"/>
      <c r="I770" s="447"/>
      <c r="J770" s="447"/>
      <c r="K770" s="447"/>
      <c r="L770" s="447"/>
      <c r="M770" s="447"/>
      <c r="N770" s="447"/>
      <c r="O770" s="447"/>
      <c r="P770" s="447"/>
      <c r="Q770" s="447"/>
      <c r="R770" s="447"/>
      <c r="S770" s="447"/>
      <c r="T770" s="447"/>
      <c r="U770" s="447"/>
      <c r="V770" s="447"/>
      <c r="W770" s="447"/>
      <c r="X770" s="447"/>
      <c r="Y770" s="447"/>
      <c r="Z770" s="447"/>
      <c r="AA770" s="447"/>
      <c r="AB770" s="447"/>
      <c r="AC770" s="447"/>
      <c r="AD770" s="447"/>
      <c r="AE770" s="447"/>
      <c r="AF770" s="448"/>
      <c r="AG770" s="448"/>
      <c r="AH770" s="449"/>
      <c r="AI770" s="447"/>
      <c r="AJ770" s="447"/>
      <c r="AK770" s="447"/>
      <c r="AL770" s="447"/>
      <c r="AM770" s="447"/>
      <c r="AN770" s="447"/>
      <c r="AO770" s="447"/>
      <c r="AP770" s="447"/>
      <c r="AQ770" s="447"/>
      <c r="AR770" s="447"/>
      <c r="AS770" s="447"/>
      <c r="AT770" s="447"/>
      <c r="AU770" s="447"/>
      <c r="AV770" s="447"/>
      <c r="AW770" s="447"/>
      <c r="AX770" s="447"/>
      <c r="AY770" s="447"/>
      <c r="AZ770" s="447"/>
      <c r="BA770" s="447"/>
      <c r="BB770" s="447"/>
      <c r="BC770" s="447"/>
      <c r="BD770" s="447"/>
      <c r="BE770" s="447"/>
      <c r="BF770" s="447"/>
      <c r="BG770" s="447"/>
      <c r="BH770" s="447"/>
      <c r="BI770" s="447"/>
      <c r="BJ770" s="447"/>
      <c r="BK770" s="447"/>
      <c r="BL770" s="447"/>
      <c r="BM770" s="448"/>
      <c r="BN770" s="448"/>
    </row>
    <row r="771" spans="1:66" ht="11.25" customHeight="1">
      <c r="A771" s="450"/>
      <c r="B771" s="447"/>
      <c r="C771" s="447"/>
      <c r="D771" s="447"/>
      <c r="E771" s="447"/>
      <c r="F771" s="447"/>
      <c r="G771" s="447"/>
      <c r="H771" s="447"/>
      <c r="I771" s="447"/>
      <c r="J771" s="447"/>
      <c r="K771" s="447"/>
      <c r="L771" s="447"/>
      <c r="M771" s="447"/>
      <c r="N771" s="447"/>
      <c r="O771" s="447"/>
      <c r="P771" s="447"/>
      <c r="Q771" s="447"/>
      <c r="R771" s="447"/>
      <c r="S771" s="447"/>
      <c r="T771" s="447"/>
      <c r="U771" s="447"/>
      <c r="V771" s="447"/>
      <c r="W771" s="447"/>
      <c r="X771" s="447"/>
      <c r="Y771" s="447"/>
      <c r="Z771" s="447"/>
      <c r="AA771" s="447"/>
      <c r="AB771" s="447"/>
      <c r="AC771" s="447"/>
      <c r="AD771" s="447"/>
      <c r="AE771" s="447"/>
      <c r="AF771" s="448"/>
      <c r="AG771" s="448"/>
      <c r="AH771" s="449"/>
      <c r="AI771" s="447"/>
      <c r="AJ771" s="447"/>
      <c r="AK771" s="447"/>
      <c r="AL771" s="447"/>
      <c r="AM771" s="447"/>
      <c r="AN771" s="447"/>
      <c r="AO771" s="447"/>
      <c r="AP771" s="447"/>
      <c r="AQ771" s="447"/>
      <c r="AR771" s="447"/>
      <c r="AS771" s="447"/>
      <c r="AT771" s="447"/>
      <c r="AU771" s="447"/>
      <c r="AV771" s="447"/>
      <c r="AW771" s="447"/>
      <c r="AX771" s="447"/>
      <c r="AY771" s="447"/>
      <c r="AZ771" s="447"/>
      <c r="BA771" s="447"/>
      <c r="BB771" s="447"/>
      <c r="BC771" s="447"/>
      <c r="BD771" s="447"/>
      <c r="BE771" s="447"/>
      <c r="BF771" s="447"/>
      <c r="BG771" s="447"/>
      <c r="BH771" s="447"/>
      <c r="BI771" s="447"/>
      <c r="BJ771" s="447"/>
      <c r="BK771" s="447"/>
      <c r="BL771" s="447"/>
      <c r="BM771" s="448"/>
      <c r="BN771" s="448"/>
    </row>
    <row r="772" spans="1:66" ht="11.25" customHeight="1">
      <c r="A772" s="450"/>
      <c r="B772" s="447"/>
      <c r="C772" s="447"/>
      <c r="D772" s="447"/>
      <c r="E772" s="447"/>
      <c r="F772" s="447"/>
      <c r="G772" s="447"/>
      <c r="H772" s="447"/>
      <c r="I772" s="447"/>
      <c r="J772" s="447"/>
      <c r="K772" s="447"/>
      <c r="L772" s="447"/>
      <c r="M772" s="447"/>
      <c r="N772" s="447"/>
      <c r="O772" s="447"/>
      <c r="P772" s="447"/>
      <c r="Q772" s="447"/>
      <c r="R772" s="447"/>
      <c r="S772" s="447"/>
      <c r="T772" s="447"/>
      <c r="U772" s="447"/>
      <c r="V772" s="447"/>
      <c r="W772" s="447"/>
      <c r="X772" s="447"/>
      <c r="Y772" s="447"/>
      <c r="Z772" s="447"/>
      <c r="AA772" s="447"/>
      <c r="AB772" s="447"/>
      <c r="AC772" s="447"/>
      <c r="AD772" s="447"/>
      <c r="AE772" s="447"/>
      <c r="AF772" s="448"/>
      <c r="AG772" s="448"/>
      <c r="AH772" s="449"/>
      <c r="AI772" s="447"/>
      <c r="AJ772" s="447"/>
      <c r="AK772" s="447"/>
      <c r="AL772" s="447"/>
      <c r="AM772" s="447"/>
      <c r="AN772" s="447"/>
      <c r="AO772" s="447"/>
      <c r="AP772" s="447"/>
      <c r="AQ772" s="447"/>
      <c r="AR772" s="447"/>
      <c r="AS772" s="447"/>
      <c r="AT772" s="447"/>
      <c r="AU772" s="447"/>
      <c r="AV772" s="447"/>
      <c r="AW772" s="447"/>
      <c r="AX772" s="447"/>
      <c r="AY772" s="447"/>
      <c r="AZ772" s="447"/>
      <c r="BA772" s="447"/>
      <c r="BB772" s="447"/>
      <c r="BC772" s="447"/>
      <c r="BD772" s="447"/>
      <c r="BE772" s="447"/>
      <c r="BF772" s="447"/>
      <c r="BG772" s="447"/>
      <c r="BH772" s="447"/>
      <c r="BI772" s="447"/>
      <c r="BJ772" s="447"/>
      <c r="BK772" s="447"/>
      <c r="BL772" s="447"/>
      <c r="BM772" s="448"/>
      <c r="BN772" s="448"/>
    </row>
    <row r="773" spans="1:66" ht="11.25" customHeight="1">
      <c r="A773" s="450"/>
      <c r="B773" s="447"/>
      <c r="C773" s="447"/>
      <c r="D773" s="447"/>
      <c r="E773" s="447"/>
      <c r="F773" s="447"/>
      <c r="G773" s="447"/>
      <c r="H773" s="447"/>
      <c r="I773" s="447"/>
      <c r="J773" s="447"/>
      <c r="K773" s="447"/>
      <c r="L773" s="447"/>
      <c r="M773" s="447"/>
      <c r="N773" s="447"/>
      <c r="O773" s="447"/>
      <c r="P773" s="447"/>
      <c r="Q773" s="447"/>
      <c r="R773" s="447"/>
      <c r="S773" s="447"/>
      <c r="T773" s="447"/>
      <c r="U773" s="447"/>
      <c r="V773" s="447"/>
      <c r="W773" s="447"/>
      <c r="X773" s="447"/>
      <c r="Y773" s="447"/>
      <c r="Z773" s="447"/>
      <c r="AA773" s="447"/>
      <c r="AB773" s="447"/>
      <c r="AC773" s="447"/>
      <c r="AD773" s="447"/>
      <c r="AE773" s="447"/>
      <c r="AF773" s="448"/>
      <c r="AG773" s="448"/>
      <c r="AH773" s="449"/>
      <c r="AI773" s="447"/>
      <c r="AJ773" s="447"/>
      <c r="AK773" s="447"/>
      <c r="AL773" s="447"/>
      <c r="AM773" s="447"/>
      <c r="AN773" s="447"/>
      <c r="AO773" s="447"/>
      <c r="AP773" s="447"/>
      <c r="AQ773" s="447"/>
      <c r="AR773" s="447"/>
      <c r="AS773" s="447"/>
      <c r="AT773" s="447"/>
      <c r="AU773" s="447"/>
      <c r="AV773" s="447"/>
      <c r="AW773" s="447"/>
      <c r="AX773" s="447"/>
      <c r="AY773" s="447"/>
      <c r="AZ773" s="447"/>
      <c r="BA773" s="447"/>
      <c r="BB773" s="447"/>
      <c r="BC773" s="447"/>
      <c r="BD773" s="447"/>
      <c r="BE773" s="447"/>
      <c r="BF773" s="447"/>
      <c r="BG773" s="447"/>
      <c r="BH773" s="447"/>
      <c r="BI773" s="447"/>
      <c r="BJ773" s="447"/>
      <c r="BK773" s="447"/>
      <c r="BL773" s="447"/>
      <c r="BM773" s="448"/>
      <c r="BN773" s="448"/>
    </row>
    <row r="774" spans="1:66" ht="11.25" customHeight="1">
      <c r="A774" s="450"/>
      <c r="B774" s="447"/>
      <c r="C774" s="447"/>
      <c r="D774" s="447"/>
      <c r="E774" s="447"/>
      <c r="F774" s="447"/>
      <c r="G774" s="447"/>
      <c r="H774" s="447"/>
      <c r="I774" s="447"/>
      <c r="J774" s="447"/>
      <c r="K774" s="447"/>
      <c r="L774" s="447"/>
      <c r="M774" s="447"/>
      <c r="N774" s="447"/>
      <c r="O774" s="447"/>
      <c r="P774" s="447"/>
      <c r="Q774" s="447"/>
      <c r="R774" s="447"/>
      <c r="S774" s="447"/>
      <c r="T774" s="447"/>
      <c r="U774" s="447"/>
      <c r="V774" s="447"/>
      <c r="W774" s="447"/>
      <c r="X774" s="447"/>
      <c r="Y774" s="447"/>
      <c r="Z774" s="447"/>
      <c r="AA774" s="447"/>
      <c r="AB774" s="447"/>
      <c r="AC774" s="447"/>
      <c r="AD774" s="447"/>
      <c r="AE774" s="447"/>
      <c r="AF774" s="448"/>
      <c r="AG774" s="448"/>
      <c r="AH774" s="449"/>
      <c r="AI774" s="447"/>
      <c r="AJ774" s="447"/>
      <c r="AK774" s="447"/>
      <c r="AL774" s="447"/>
      <c r="AM774" s="447"/>
      <c r="AN774" s="447"/>
      <c r="AO774" s="447"/>
      <c r="AP774" s="447"/>
      <c r="AQ774" s="447"/>
      <c r="AR774" s="447"/>
      <c r="AS774" s="447"/>
      <c r="AT774" s="447"/>
      <c r="AU774" s="447"/>
      <c r="AV774" s="447"/>
      <c r="AW774" s="447"/>
      <c r="AX774" s="447"/>
      <c r="AY774" s="447"/>
      <c r="AZ774" s="447"/>
      <c r="BA774" s="447"/>
      <c r="BB774" s="447"/>
      <c r="BC774" s="447"/>
      <c r="BD774" s="447"/>
      <c r="BE774" s="447"/>
      <c r="BF774" s="447"/>
      <c r="BG774" s="447"/>
      <c r="BH774" s="447"/>
      <c r="BI774" s="447"/>
      <c r="BJ774" s="447"/>
      <c r="BK774" s="447"/>
      <c r="BL774" s="447"/>
      <c r="BM774" s="448"/>
      <c r="BN774" s="448"/>
    </row>
    <row r="775" spans="1:66" ht="11.25" customHeight="1">
      <c r="A775" s="450"/>
      <c r="B775" s="447"/>
      <c r="C775" s="447"/>
      <c r="D775" s="447"/>
      <c r="E775" s="447"/>
      <c r="F775" s="447"/>
      <c r="G775" s="447"/>
      <c r="H775" s="447"/>
      <c r="I775" s="447"/>
      <c r="J775" s="447"/>
      <c r="K775" s="447"/>
      <c r="L775" s="447"/>
      <c r="M775" s="447"/>
      <c r="N775" s="447"/>
      <c r="O775" s="447"/>
      <c r="P775" s="447"/>
      <c r="Q775" s="447"/>
      <c r="R775" s="447"/>
      <c r="S775" s="447"/>
      <c r="T775" s="447"/>
      <c r="U775" s="447"/>
      <c r="V775" s="447"/>
      <c r="W775" s="447"/>
      <c r="X775" s="447"/>
      <c r="Y775" s="447"/>
      <c r="Z775" s="447"/>
      <c r="AA775" s="447"/>
      <c r="AB775" s="447"/>
      <c r="AC775" s="447"/>
      <c r="AD775" s="447"/>
      <c r="AE775" s="447"/>
      <c r="AF775" s="448"/>
      <c r="AG775" s="448"/>
      <c r="AH775" s="449"/>
      <c r="AI775" s="447"/>
      <c r="AJ775" s="447"/>
      <c r="AK775" s="447"/>
      <c r="AL775" s="447"/>
      <c r="AM775" s="447"/>
      <c r="AN775" s="447"/>
      <c r="AO775" s="447"/>
      <c r="AP775" s="447"/>
      <c r="AQ775" s="447"/>
      <c r="AR775" s="447"/>
      <c r="AS775" s="447"/>
      <c r="AT775" s="447"/>
      <c r="AU775" s="447"/>
      <c r="AV775" s="447"/>
      <c r="AW775" s="447"/>
      <c r="AX775" s="447"/>
      <c r="AY775" s="447"/>
      <c r="AZ775" s="447"/>
      <c r="BA775" s="447"/>
      <c r="BB775" s="447"/>
      <c r="BC775" s="447"/>
      <c r="BD775" s="447"/>
      <c r="BE775" s="447"/>
      <c r="BF775" s="447"/>
      <c r="BG775" s="447"/>
      <c r="BH775" s="447"/>
      <c r="BI775" s="447"/>
      <c r="BJ775" s="447"/>
      <c r="BK775" s="447"/>
      <c r="BL775" s="447"/>
      <c r="BM775" s="448"/>
      <c r="BN775" s="448"/>
    </row>
    <row r="776" spans="1:66" ht="11.25" customHeight="1">
      <c r="A776" s="450"/>
      <c r="B776" s="447"/>
      <c r="C776" s="447"/>
      <c r="D776" s="447"/>
      <c r="E776" s="447"/>
      <c r="F776" s="447"/>
      <c r="G776" s="447"/>
      <c r="H776" s="447"/>
      <c r="I776" s="447"/>
      <c r="J776" s="447"/>
      <c r="K776" s="447"/>
      <c r="L776" s="447"/>
      <c r="M776" s="447"/>
      <c r="N776" s="447"/>
      <c r="O776" s="447"/>
      <c r="P776" s="447"/>
      <c r="Q776" s="447"/>
      <c r="R776" s="447"/>
      <c r="S776" s="447"/>
      <c r="T776" s="447"/>
      <c r="U776" s="447"/>
      <c r="V776" s="447"/>
      <c r="W776" s="447"/>
      <c r="X776" s="447"/>
      <c r="Y776" s="447"/>
      <c r="Z776" s="447"/>
      <c r="AA776" s="447"/>
      <c r="AB776" s="447"/>
      <c r="AC776" s="447"/>
      <c r="AD776" s="447"/>
      <c r="AE776" s="447"/>
      <c r="AF776" s="448"/>
      <c r="AG776" s="448"/>
      <c r="AH776" s="449"/>
      <c r="AI776" s="447"/>
      <c r="AJ776" s="447"/>
      <c r="AK776" s="447"/>
      <c r="AL776" s="447"/>
      <c r="AM776" s="447"/>
      <c r="AN776" s="447"/>
      <c r="AO776" s="447"/>
      <c r="AP776" s="447"/>
      <c r="AQ776" s="447"/>
      <c r="AR776" s="447"/>
      <c r="AS776" s="447"/>
      <c r="AT776" s="447"/>
      <c r="AU776" s="447"/>
      <c r="AV776" s="447"/>
      <c r="AW776" s="447"/>
      <c r="AX776" s="447"/>
      <c r="AY776" s="447"/>
      <c r="AZ776" s="447"/>
      <c r="BA776" s="447"/>
      <c r="BB776" s="447"/>
      <c r="BC776" s="447"/>
      <c r="BD776" s="447"/>
      <c r="BE776" s="447"/>
      <c r="BF776" s="447"/>
      <c r="BG776" s="447"/>
      <c r="BH776" s="447"/>
      <c r="BI776" s="447"/>
      <c r="BJ776" s="447"/>
      <c r="BK776" s="447"/>
      <c r="BL776" s="447"/>
      <c r="BM776" s="448"/>
      <c r="BN776" s="448"/>
    </row>
    <row r="777" spans="1:66" ht="11.25" customHeight="1">
      <c r="A777" s="450"/>
      <c r="B777" s="447"/>
      <c r="C777" s="447"/>
      <c r="D777" s="447"/>
      <c r="E777" s="447"/>
      <c r="F777" s="447"/>
      <c r="G777" s="447"/>
      <c r="H777" s="447"/>
      <c r="I777" s="447"/>
      <c r="J777" s="447"/>
      <c r="K777" s="447"/>
      <c r="L777" s="447"/>
      <c r="M777" s="447"/>
      <c r="N777" s="447"/>
      <c r="O777" s="447"/>
      <c r="P777" s="447"/>
      <c r="Q777" s="447"/>
      <c r="R777" s="447"/>
      <c r="S777" s="447"/>
      <c r="T777" s="447"/>
      <c r="U777" s="447"/>
      <c r="V777" s="447"/>
      <c r="W777" s="447"/>
      <c r="X777" s="447"/>
      <c r="Y777" s="447"/>
      <c r="Z777" s="447"/>
      <c r="AA777" s="447"/>
      <c r="AB777" s="447"/>
      <c r="AC777" s="447"/>
      <c r="AD777" s="447"/>
      <c r="AE777" s="447"/>
      <c r="AF777" s="448"/>
      <c r="AG777" s="448"/>
      <c r="AH777" s="449"/>
      <c r="AI777" s="447"/>
      <c r="AJ777" s="447"/>
      <c r="AK777" s="447"/>
      <c r="AL777" s="447"/>
      <c r="AM777" s="447"/>
      <c r="AN777" s="447"/>
      <c r="AO777" s="447"/>
      <c r="AP777" s="447"/>
      <c r="AQ777" s="447"/>
      <c r="AR777" s="447"/>
      <c r="AS777" s="447"/>
      <c r="AT777" s="447"/>
      <c r="AU777" s="447"/>
      <c r="AV777" s="447"/>
      <c r="AW777" s="447"/>
      <c r="AX777" s="447"/>
      <c r="AY777" s="447"/>
      <c r="AZ777" s="447"/>
      <c r="BA777" s="447"/>
      <c r="BB777" s="447"/>
      <c r="BC777" s="447"/>
      <c r="BD777" s="447"/>
      <c r="BE777" s="447"/>
      <c r="BF777" s="447"/>
      <c r="BG777" s="447"/>
      <c r="BH777" s="447"/>
      <c r="BI777" s="447"/>
      <c r="BJ777" s="447"/>
      <c r="BK777" s="447"/>
      <c r="BL777" s="447"/>
      <c r="BM777" s="448"/>
      <c r="BN777" s="448"/>
    </row>
    <row r="778" spans="1:66" ht="11.25" customHeight="1">
      <c r="A778" s="450"/>
      <c r="B778" s="447"/>
      <c r="C778" s="447"/>
      <c r="D778" s="447"/>
      <c r="E778" s="447"/>
      <c r="F778" s="447"/>
      <c r="G778" s="447"/>
      <c r="H778" s="447"/>
      <c r="I778" s="447"/>
      <c r="J778" s="447"/>
      <c r="K778" s="447"/>
      <c r="L778" s="447"/>
      <c r="M778" s="447"/>
      <c r="N778" s="447"/>
      <c r="O778" s="447"/>
      <c r="P778" s="447"/>
      <c r="Q778" s="447"/>
      <c r="R778" s="447"/>
      <c r="S778" s="447"/>
      <c r="T778" s="447"/>
      <c r="U778" s="447"/>
      <c r="V778" s="447"/>
      <c r="W778" s="447"/>
      <c r="X778" s="447"/>
      <c r="Y778" s="447"/>
      <c r="Z778" s="447"/>
      <c r="AA778" s="447"/>
      <c r="AB778" s="447"/>
      <c r="AC778" s="447"/>
      <c r="AD778" s="447"/>
      <c r="AE778" s="447"/>
      <c r="AF778" s="448"/>
      <c r="AG778" s="448"/>
      <c r="AH778" s="449"/>
      <c r="AI778" s="447"/>
      <c r="AJ778" s="447"/>
      <c r="AK778" s="447"/>
      <c r="AL778" s="447"/>
      <c r="AM778" s="447"/>
      <c r="AN778" s="447"/>
      <c r="AO778" s="447"/>
      <c r="AP778" s="447"/>
      <c r="AQ778" s="447"/>
      <c r="AR778" s="447"/>
      <c r="AS778" s="447"/>
      <c r="AT778" s="447"/>
      <c r="AU778" s="447"/>
      <c r="AV778" s="447"/>
      <c r="AW778" s="447"/>
      <c r="AX778" s="447"/>
      <c r="AY778" s="447"/>
      <c r="AZ778" s="447"/>
      <c r="BA778" s="447"/>
      <c r="BB778" s="447"/>
      <c r="BC778" s="447"/>
      <c r="BD778" s="447"/>
      <c r="BE778" s="447"/>
      <c r="BF778" s="447"/>
      <c r="BG778" s="447"/>
      <c r="BH778" s="447"/>
      <c r="BI778" s="447"/>
      <c r="BJ778" s="447"/>
      <c r="BK778" s="447"/>
      <c r="BL778" s="447"/>
      <c r="BM778" s="448"/>
      <c r="BN778" s="448"/>
    </row>
    <row r="779" spans="1:66" ht="11.25" customHeight="1">
      <c r="A779" s="450"/>
      <c r="B779" s="447"/>
      <c r="C779" s="447"/>
      <c r="D779" s="447"/>
      <c r="E779" s="447"/>
      <c r="F779" s="447"/>
      <c r="G779" s="447"/>
      <c r="H779" s="447"/>
      <c r="I779" s="447"/>
      <c r="J779" s="447"/>
      <c r="K779" s="447"/>
      <c r="L779" s="447"/>
      <c r="M779" s="447"/>
      <c r="N779" s="447"/>
      <c r="O779" s="447"/>
      <c r="P779" s="447"/>
      <c r="Q779" s="447"/>
      <c r="R779" s="447"/>
      <c r="S779" s="447"/>
      <c r="T779" s="447"/>
      <c r="U779" s="447"/>
      <c r="V779" s="447"/>
      <c r="W779" s="447"/>
      <c r="X779" s="447"/>
      <c r="Y779" s="447"/>
      <c r="Z779" s="447"/>
      <c r="AA779" s="447"/>
      <c r="AB779" s="447"/>
      <c r="AC779" s="447"/>
      <c r="AD779" s="447"/>
      <c r="AE779" s="447"/>
      <c r="AF779" s="448"/>
      <c r="AG779" s="448"/>
      <c r="AH779" s="449"/>
      <c r="AI779" s="447"/>
      <c r="AJ779" s="447"/>
      <c r="AK779" s="447"/>
      <c r="AL779" s="447"/>
      <c r="AM779" s="447"/>
      <c r="AN779" s="447"/>
      <c r="AO779" s="447"/>
      <c r="AP779" s="447"/>
      <c r="AQ779" s="447"/>
      <c r="AR779" s="447"/>
      <c r="AS779" s="447"/>
      <c r="AT779" s="447"/>
      <c r="AU779" s="447"/>
      <c r="AV779" s="447"/>
      <c r="AW779" s="447"/>
      <c r="AX779" s="447"/>
      <c r="AY779" s="447"/>
      <c r="AZ779" s="447"/>
      <c r="BA779" s="447"/>
      <c r="BB779" s="447"/>
      <c r="BC779" s="447"/>
      <c r="BD779" s="447"/>
      <c r="BE779" s="447"/>
      <c r="BF779" s="447"/>
      <c r="BG779" s="447"/>
      <c r="BH779" s="447"/>
      <c r="BI779" s="447"/>
      <c r="BJ779" s="447"/>
      <c r="BK779" s="447"/>
      <c r="BL779" s="447"/>
      <c r="BM779" s="448"/>
      <c r="BN779" s="448"/>
    </row>
    <row r="780" spans="1:66" ht="11.25" customHeight="1">
      <c r="A780" s="450"/>
      <c r="B780" s="447"/>
      <c r="C780" s="447"/>
      <c r="D780" s="447"/>
      <c r="E780" s="447"/>
      <c r="F780" s="447"/>
      <c r="G780" s="447"/>
      <c r="H780" s="447"/>
      <c r="I780" s="447"/>
      <c r="J780" s="447"/>
      <c r="K780" s="447"/>
      <c r="L780" s="447"/>
      <c r="M780" s="447"/>
      <c r="N780" s="447"/>
      <c r="O780" s="447"/>
      <c r="P780" s="447"/>
      <c r="Q780" s="447"/>
      <c r="R780" s="447"/>
      <c r="S780" s="447"/>
      <c r="T780" s="447"/>
      <c r="U780" s="447"/>
      <c r="V780" s="447"/>
      <c r="W780" s="447"/>
      <c r="X780" s="447"/>
      <c r="Y780" s="447"/>
      <c r="Z780" s="447"/>
      <c r="AA780" s="447"/>
      <c r="AB780" s="447"/>
      <c r="AC780" s="447"/>
      <c r="AD780" s="447"/>
      <c r="AE780" s="447"/>
      <c r="AF780" s="448"/>
      <c r="AG780" s="448"/>
      <c r="AH780" s="449"/>
      <c r="AI780" s="447"/>
      <c r="AJ780" s="447"/>
      <c r="AK780" s="447"/>
      <c r="AL780" s="447"/>
      <c r="AM780" s="447"/>
      <c r="AN780" s="447"/>
      <c r="AO780" s="447"/>
      <c r="AP780" s="447"/>
      <c r="AQ780" s="447"/>
      <c r="AR780" s="447"/>
      <c r="AS780" s="447"/>
      <c r="AT780" s="447"/>
      <c r="AU780" s="447"/>
      <c r="AV780" s="447"/>
      <c r="AW780" s="447"/>
      <c r="AX780" s="447"/>
      <c r="AY780" s="447"/>
      <c r="AZ780" s="447"/>
      <c r="BA780" s="447"/>
      <c r="BB780" s="447"/>
      <c r="BC780" s="447"/>
      <c r="BD780" s="447"/>
      <c r="BE780" s="447"/>
      <c r="BF780" s="447"/>
      <c r="BG780" s="447"/>
      <c r="BH780" s="447"/>
      <c r="BI780" s="447"/>
      <c r="BJ780" s="447"/>
      <c r="BK780" s="447"/>
      <c r="BL780" s="447"/>
      <c r="BM780" s="448"/>
      <c r="BN780" s="448"/>
    </row>
    <row r="781" spans="1:66" ht="11.25" customHeight="1">
      <c r="A781" s="450"/>
      <c r="B781" s="447"/>
      <c r="C781" s="447"/>
      <c r="D781" s="447"/>
      <c r="E781" s="447"/>
      <c r="F781" s="447"/>
      <c r="G781" s="447"/>
      <c r="H781" s="447"/>
      <c r="I781" s="447"/>
      <c r="J781" s="447"/>
      <c r="K781" s="447"/>
      <c r="L781" s="447"/>
      <c r="M781" s="447"/>
      <c r="N781" s="447"/>
      <c r="O781" s="447"/>
      <c r="P781" s="447"/>
      <c r="Q781" s="447"/>
      <c r="R781" s="447"/>
      <c r="S781" s="447"/>
      <c r="T781" s="447"/>
      <c r="U781" s="447"/>
      <c r="V781" s="447"/>
      <c r="W781" s="447"/>
      <c r="X781" s="447"/>
      <c r="Y781" s="447"/>
      <c r="Z781" s="447"/>
      <c r="AA781" s="447"/>
      <c r="AB781" s="447"/>
      <c r="AC781" s="447"/>
      <c r="AD781" s="447"/>
      <c r="AE781" s="447"/>
      <c r="AF781" s="448"/>
      <c r="AG781" s="448"/>
      <c r="AH781" s="449"/>
      <c r="AI781" s="447"/>
      <c r="AJ781" s="447"/>
      <c r="AK781" s="447"/>
      <c r="AL781" s="447"/>
      <c r="AM781" s="447"/>
      <c r="AN781" s="447"/>
      <c r="AO781" s="447"/>
      <c r="AP781" s="447"/>
      <c r="AQ781" s="447"/>
      <c r="AR781" s="447"/>
      <c r="AS781" s="447"/>
      <c r="AT781" s="447"/>
      <c r="AU781" s="447"/>
      <c r="AV781" s="447"/>
      <c r="AW781" s="447"/>
      <c r="AX781" s="447"/>
      <c r="AY781" s="447"/>
      <c r="AZ781" s="447"/>
      <c r="BA781" s="447"/>
      <c r="BB781" s="447"/>
      <c r="BC781" s="447"/>
      <c r="BD781" s="447"/>
      <c r="BE781" s="447"/>
      <c r="BF781" s="447"/>
      <c r="BG781" s="447"/>
      <c r="BH781" s="447"/>
      <c r="BI781" s="447"/>
      <c r="BJ781" s="447"/>
      <c r="BK781" s="447"/>
      <c r="BL781" s="447"/>
      <c r="BM781" s="448"/>
      <c r="BN781" s="448"/>
    </row>
    <row r="782" spans="1:66" ht="11.25" customHeight="1">
      <c r="A782" s="450"/>
      <c r="B782" s="447"/>
      <c r="C782" s="447"/>
      <c r="D782" s="447"/>
      <c r="E782" s="447"/>
      <c r="F782" s="447"/>
      <c r="G782" s="447"/>
      <c r="H782" s="447"/>
      <c r="I782" s="447"/>
      <c r="J782" s="447"/>
      <c r="K782" s="447"/>
      <c r="L782" s="447"/>
      <c r="M782" s="447"/>
      <c r="N782" s="447"/>
      <c r="O782" s="447"/>
      <c r="P782" s="447"/>
      <c r="Q782" s="447"/>
      <c r="R782" s="447"/>
      <c r="S782" s="447"/>
      <c r="T782" s="447"/>
      <c r="U782" s="447"/>
      <c r="V782" s="447"/>
      <c r="W782" s="447"/>
      <c r="X782" s="447"/>
      <c r="Y782" s="447"/>
      <c r="Z782" s="447"/>
      <c r="AA782" s="447"/>
      <c r="AB782" s="447"/>
      <c r="AC782" s="447"/>
      <c r="AD782" s="447"/>
      <c r="AE782" s="447"/>
      <c r="AF782" s="448"/>
      <c r="AG782" s="448"/>
      <c r="AH782" s="449"/>
      <c r="AI782" s="447"/>
      <c r="AJ782" s="447"/>
      <c r="AK782" s="447"/>
      <c r="AL782" s="447"/>
      <c r="AM782" s="447"/>
      <c r="AN782" s="447"/>
      <c r="AO782" s="447"/>
      <c r="AP782" s="447"/>
      <c r="AQ782" s="447"/>
      <c r="AR782" s="447"/>
      <c r="AS782" s="447"/>
      <c r="AT782" s="447"/>
      <c r="AU782" s="447"/>
      <c r="AV782" s="447"/>
      <c r="AW782" s="447"/>
      <c r="AX782" s="447"/>
      <c r="AY782" s="447"/>
      <c r="AZ782" s="447"/>
      <c r="BA782" s="447"/>
      <c r="BB782" s="447"/>
      <c r="BC782" s="447"/>
      <c r="BD782" s="447"/>
      <c r="BE782" s="447"/>
      <c r="BF782" s="447"/>
      <c r="BG782" s="447"/>
      <c r="BH782" s="447"/>
      <c r="BI782" s="447"/>
      <c r="BJ782" s="447"/>
      <c r="BK782" s="447"/>
      <c r="BL782" s="447"/>
      <c r="BM782" s="448"/>
      <c r="BN782" s="448"/>
    </row>
    <row r="783" spans="1:66" ht="11.25" customHeight="1">
      <c r="A783" s="450"/>
      <c r="B783" s="447"/>
      <c r="C783" s="447"/>
      <c r="D783" s="447"/>
      <c r="E783" s="447"/>
      <c r="F783" s="447"/>
      <c r="G783" s="447"/>
      <c r="H783" s="447"/>
      <c r="I783" s="447"/>
      <c r="J783" s="447"/>
      <c r="K783" s="447"/>
      <c r="L783" s="447"/>
      <c r="M783" s="447"/>
      <c r="N783" s="447"/>
      <c r="O783" s="447"/>
      <c r="P783" s="447"/>
      <c r="Q783" s="447"/>
      <c r="R783" s="447"/>
      <c r="S783" s="447"/>
      <c r="T783" s="447"/>
      <c r="U783" s="447"/>
      <c r="V783" s="447"/>
      <c r="W783" s="447"/>
      <c r="X783" s="447"/>
      <c r="Y783" s="447"/>
      <c r="Z783" s="447"/>
      <c r="AA783" s="447"/>
      <c r="AB783" s="447"/>
      <c r="AC783" s="447"/>
      <c r="AD783" s="447"/>
      <c r="AE783" s="447"/>
      <c r="AF783" s="448"/>
      <c r="AG783" s="448"/>
      <c r="AH783" s="449"/>
      <c r="AI783" s="447"/>
      <c r="AJ783" s="447"/>
      <c r="AK783" s="447"/>
      <c r="AL783" s="447"/>
      <c r="AM783" s="447"/>
      <c r="AN783" s="447"/>
      <c r="AO783" s="447"/>
      <c r="AP783" s="447"/>
      <c r="AQ783" s="447"/>
      <c r="AR783" s="447"/>
      <c r="AS783" s="447"/>
      <c r="AT783" s="447"/>
      <c r="AU783" s="447"/>
      <c r="AV783" s="447"/>
      <c r="AW783" s="447"/>
      <c r="AX783" s="447"/>
      <c r="AY783" s="447"/>
      <c r="AZ783" s="447"/>
      <c r="BA783" s="447"/>
      <c r="BB783" s="447"/>
      <c r="BC783" s="447"/>
      <c r="BD783" s="447"/>
      <c r="BE783" s="447"/>
      <c r="BF783" s="447"/>
      <c r="BG783" s="447"/>
      <c r="BH783" s="447"/>
      <c r="BI783" s="447"/>
      <c r="BJ783" s="447"/>
      <c r="BK783" s="447"/>
      <c r="BL783" s="447"/>
      <c r="BM783" s="448"/>
      <c r="BN783" s="448"/>
    </row>
    <row r="784" spans="1:66" ht="11.25" customHeight="1">
      <c r="A784" s="450"/>
      <c r="B784" s="447"/>
      <c r="C784" s="447"/>
      <c r="D784" s="447"/>
      <c r="E784" s="447"/>
      <c r="F784" s="447"/>
      <c r="G784" s="447"/>
      <c r="H784" s="447"/>
      <c r="I784" s="447"/>
      <c r="J784" s="447"/>
      <c r="K784" s="447"/>
      <c r="L784" s="447"/>
      <c r="M784" s="447"/>
      <c r="N784" s="447"/>
      <c r="O784" s="447"/>
      <c r="P784" s="447"/>
      <c r="Q784" s="447"/>
      <c r="R784" s="447"/>
      <c r="S784" s="447"/>
      <c r="T784" s="447"/>
      <c r="U784" s="447"/>
      <c r="V784" s="447"/>
      <c r="W784" s="447"/>
      <c r="X784" s="447"/>
      <c r="Y784" s="447"/>
      <c r="Z784" s="447"/>
      <c r="AA784" s="447"/>
      <c r="AB784" s="447"/>
      <c r="AC784" s="447"/>
      <c r="AD784" s="447"/>
      <c r="AE784" s="447"/>
      <c r="AF784" s="448"/>
      <c r="AG784" s="448"/>
      <c r="AH784" s="449"/>
      <c r="AI784" s="447"/>
      <c r="AJ784" s="447"/>
      <c r="AK784" s="447"/>
      <c r="AL784" s="447"/>
      <c r="AM784" s="447"/>
      <c r="AN784" s="447"/>
      <c r="AO784" s="447"/>
      <c r="AP784" s="447"/>
      <c r="AQ784" s="447"/>
      <c r="AR784" s="447"/>
      <c r="AS784" s="447"/>
      <c r="AT784" s="447"/>
      <c r="AU784" s="447"/>
      <c r="AV784" s="447"/>
      <c r="AW784" s="447"/>
      <c r="AX784" s="447"/>
      <c r="AY784" s="447"/>
      <c r="AZ784" s="447"/>
      <c r="BA784" s="447"/>
      <c r="BB784" s="447"/>
      <c r="BC784" s="447"/>
      <c r="BD784" s="447"/>
      <c r="BE784" s="447"/>
      <c r="BF784" s="447"/>
      <c r="BG784" s="447"/>
      <c r="BH784" s="447"/>
      <c r="BI784" s="447"/>
      <c r="BJ784" s="447"/>
      <c r="BK784" s="447"/>
      <c r="BL784" s="447"/>
      <c r="BM784" s="448"/>
      <c r="BN784" s="448"/>
    </row>
    <row r="785" spans="1:66" ht="11.25" customHeight="1">
      <c r="A785" s="450"/>
      <c r="B785" s="447"/>
      <c r="C785" s="447"/>
      <c r="D785" s="447"/>
      <c r="E785" s="447"/>
      <c r="F785" s="447"/>
      <c r="G785" s="447"/>
      <c r="H785" s="447"/>
      <c r="I785" s="447"/>
      <c r="J785" s="447"/>
      <c r="K785" s="447"/>
      <c r="L785" s="447"/>
      <c r="M785" s="447"/>
      <c r="N785" s="447"/>
      <c r="O785" s="447"/>
      <c r="P785" s="447"/>
      <c r="Q785" s="447"/>
      <c r="R785" s="447"/>
      <c r="S785" s="447"/>
      <c r="T785" s="447"/>
      <c r="U785" s="447"/>
      <c r="V785" s="447"/>
      <c r="W785" s="447"/>
      <c r="X785" s="447"/>
      <c r="Y785" s="447"/>
      <c r="Z785" s="447"/>
      <c r="AA785" s="447"/>
      <c r="AB785" s="447"/>
      <c r="AC785" s="447"/>
      <c r="AD785" s="447"/>
      <c r="AE785" s="447"/>
      <c r="AF785" s="448"/>
      <c r="AG785" s="448"/>
      <c r="AH785" s="449"/>
      <c r="AI785" s="447"/>
      <c r="AJ785" s="447"/>
      <c r="AK785" s="447"/>
      <c r="AL785" s="447"/>
      <c r="AM785" s="447"/>
      <c r="AN785" s="447"/>
      <c r="AO785" s="447"/>
      <c r="AP785" s="447"/>
      <c r="AQ785" s="447"/>
      <c r="AR785" s="447"/>
      <c r="AS785" s="447"/>
      <c r="AT785" s="447"/>
      <c r="AU785" s="447"/>
      <c r="AV785" s="447"/>
      <c r="AW785" s="447"/>
      <c r="AX785" s="447"/>
      <c r="AY785" s="447"/>
      <c r="AZ785" s="447"/>
      <c r="BA785" s="447"/>
      <c r="BB785" s="447"/>
      <c r="BC785" s="447"/>
      <c r="BD785" s="447"/>
      <c r="BE785" s="447"/>
      <c r="BF785" s="447"/>
      <c r="BG785" s="447"/>
      <c r="BH785" s="447"/>
      <c r="BI785" s="447"/>
      <c r="BJ785" s="447"/>
      <c r="BK785" s="447"/>
      <c r="BL785" s="447"/>
      <c r="BM785" s="448"/>
      <c r="BN785" s="448"/>
    </row>
    <row r="786" spans="1:66" ht="11.25" customHeight="1">
      <c r="A786" s="450"/>
      <c r="B786" s="447"/>
      <c r="C786" s="447"/>
      <c r="D786" s="447"/>
      <c r="E786" s="447"/>
      <c r="F786" s="447"/>
      <c r="G786" s="447"/>
      <c r="H786" s="447"/>
      <c r="I786" s="447"/>
      <c r="J786" s="447"/>
      <c r="K786" s="447"/>
      <c r="L786" s="447"/>
      <c r="M786" s="447"/>
      <c r="N786" s="447"/>
      <c r="O786" s="447"/>
      <c r="P786" s="447"/>
      <c r="Q786" s="447"/>
      <c r="R786" s="447"/>
      <c r="S786" s="447"/>
      <c r="T786" s="447"/>
      <c r="U786" s="447"/>
      <c r="V786" s="447"/>
      <c r="W786" s="447"/>
      <c r="X786" s="447"/>
      <c r="Y786" s="447"/>
      <c r="Z786" s="447"/>
      <c r="AA786" s="447"/>
      <c r="AB786" s="447"/>
      <c r="AC786" s="447"/>
      <c r="AD786" s="447"/>
      <c r="AE786" s="447"/>
      <c r="AF786" s="448"/>
      <c r="AG786" s="448"/>
      <c r="AH786" s="449"/>
      <c r="AI786" s="447"/>
      <c r="AJ786" s="447"/>
      <c r="AK786" s="447"/>
      <c r="AL786" s="447"/>
      <c r="AM786" s="447"/>
      <c r="AN786" s="447"/>
      <c r="AO786" s="447"/>
      <c r="AP786" s="447"/>
      <c r="AQ786" s="447"/>
      <c r="AR786" s="447"/>
      <c r="AS786" s="447"/>
      <c r="AT786" s="447"/>
      <c r="AU786" s="447"/>
      <c r="AV786" s="447"/>
      <c r="AW786" s="447"/>
      <c r="AX786" s="447"/>
      <c r="AY786" s="447"/>
      <c r="AZ786" s="447"/>
      <c r="BA786" s="447"/>
      <c r="BB786" s="447"/>
      <c r="BC786" s="447"/>
      <c r="BD786" s="447"/>
      <c r="BE786" s="447"/>
      <c r="BF786" s="447"/>
      <c r="BG786" s="447"/>
      <c r="BH786" s="447"/>
      <c r="BI786" s="447"/>
      <c r="BJ786" s="447"/>
      <c r="BK786" s="447"/>
      <c r="BL786" s="447"/>
      <c r="BM786" s="448"/>
      <c r="BN786" s="448"/>
    </row>
    <row r="787" spans="1:66" ht="11.25" customHeight="1">
      <c r="A787" s="450"/>
      <c r="B787" s="447"/>
      <c r="C787" s="447"/>
      <c r="D787" s="447"/>
      <c r="E787" s="447"/>
      <c r="F787" s="447"/>
      <c r="G787" s="447"/>
      <c r="H787" s="447"/>
      <c r="I787" s="447"/>
      <c r="J787" s="447"/>
      <c r="K787" s="447"/>
      <c r="L787" s="447"/>
      <c r="M787" s="447"/>
      <c r="N787" s="447"/>
      <c r="O787" s="447"/>
      <c r="P787" s="447"/>
      <c r="Q787" s="447"/>
      <c r="R787" s="447"/>
      <c r="S787" s="447"/>
      <c r="T787" s="447"/>
      <c r="U787" s="447"/>
      <c r="V787" s="447"/>
      <c r="W787" s="447"/>
      <c r="X787" s="447"/>
      <c r="Y787" s="447"/>
      <c r="Z787" s="447"/>
      <c r="AA787" s="447"/>
      <c r="AB787" s="447"/>
      <c r="AC787" s="447"/>
      <c r="AD787" s="447"/>
      <c r="AE787" s="447"/>
      <c r="AF787" s="448"/>
      <c r="AG787" s="448"/>
      <c r="AH787" s="449"/>
      <c r="AI787" s="447"/>
      <c r="AJ787" s="447"/>
      <c r="AK787" s="447"/>
      <c r="AL787" s="447"/>
      <c r="AM787" s="447"/>
      <c r="AN787" s="447"/>
      <c r="AO787" s="447"/>
      <c r="AP787" s="447"/>
      <c r="AQ787" s="447"/>
      <c r="AR787" s="447"/>
      <c r="AS787" s="447"/>
      <c r="AT787" s="447"/>
      <c r="AU787" s="447"/>
      <c r="AV787" s="447"/>
      <c r="AW787" s="447"/>
      <c r="AX787" s="447"/>
      <c r="AY787" s="447"/>
      <c r="AZ787" s="447"/>
      <c r="BA787" s="447"/>
      <c r="BB787" s="447"/>
      <c r="BC787" s="447"/>
      <c r="BD787" s="447"/>
      <c r="BE787" s="447"/>
      <c r="BF787" s="447"/>
      <c r="BG787" s="447"/>
      <c r="BH787" s="447"/>
      <c r="BI787" s="447"/>
      <c r="BJ787" s="447"/>
      <c r="BK787" s="447"/>
      <c r="BL787" s="447"/>
      <c r="BM787" s="448"/>
      <c r="BN787" s="448"/>
    </row>
    <row r="788" spans="1:66" ht="11.25" customHeight="1">
      <c r="A788" s="450"/>
      <c r="B788" s="447"/>
      <c r="C788" s="447"/>
      <c r="D788" s="447"/>
      <c r="E788" s="447"/>
      <c r="F788" s="447"/>
      <c r="G788" s="447"/>
      <c r="H788" s="447"/>
      <c r="I788" s="447"/>
      <c r="J788" s="447"/>
      <c r="K788" s="447"/>
      <c r="L788" s="447"/>
      <c r="M788" s="447"/>
      <c r="N788" s="447"/>
      <c r="O788" s="447"/>
      <c r="P788" s="447"/>
      <c r="Q788" s="447"/>
      <c r="R788" s="447"/>
      <c r="S788" s="447"/>
      <c r="T788" s="447"/>
      <c r="U788" s="447"/>
      <c r="V788" s="447"/>
      <c r="W788" s="447"/>
      <c r="X788" s="447"/>
      <c r="Y788" s="447"/>
      <c r="Z788" s="447"/>
      <c r="AA788" s="447"/>
      <c r="AB788" s="447"/>
      <c r="AC788" s="447"/>
      <c r="AD788" s="447"/>
      <c r="AE788" s="447"/>
      <c r="AF788" s="448"/>
      <c r="AG788" s="448"/>
      <c r="AH788" s="449"/>
      <c r="AI788" s="447"/>
      <c r="AJ788" s="447"/>
      <c r="AK788" s="447"/>
      <c r="AL788" s="447"/>
      <c r="AM788" s="447"/>
      <c r="AN788" s="447"/>
      <c r="AO788" s="447"/>
      <c r="AP788" s="447"/>
      <c r="AQ788" s="447"/>
      <c r="AR788" s="447"/>
      <c r="AS788" s="447"/>
      <c r="AT788" s="447"/>
      <c r="AU788" s="447"/>
      <c r="AV788" s="447"/>
      <c r="AW788" s="447"/>
      <c r="AX788" s="447"/>
      <c r="AY788" s="447"/>
      <c r="AZ788" s="447"/>
      <c r="BA788" s="447"/>
      <c r="BB788" s="447"/>
      <c r="BC788" s="447"/>
      <c r="BD788" s="447"/>
      <c r="BE788" s="447"/>
      <c r="BF788" s="447"/>
      <c r="BG788" s="447"/>
      <c r="BH788" s="447"/>
      <c r="BI788" s="447"/>
      <c r="BJ788" s="447"/>
      <c r="BK788" s="447"/>
      <c r="BL788" s="447"/>
      <c r="BM788" s="448"/>
      <c r="BN788" s="448"/>
    </row>
    <row r="789" spans="1:66" ht="11.25" customHeight="1">
      <c r="A789" s="450"/>
      <c r="B789" s="447"/>
      <c r="C789" s="447"/>
      <c r="D789" s="447"/>
      <c r="E789" s="447"/>
      <c r="F789" s="447"/>
      <c r="G789" s="447"/>
      <c r="H789" s="447"/>
      <c r="I789" s="447"/>
      <c r="J789" s="447"/>
      <c r="K789" s="447"/>
      <c r="L789" s="447"/>
      <c r="M789" s="447"/>
      <c r="N789" s="447"/>
      <c r="O789" s="447"/>
      <c r="P789" s="447"/>
      <c r="Q789" s="447"/>
      <c r="R789" s="447"/>
      <c r="S789" s="447"/>
      <c r="T789" s="447"/>
      <c r="U789" s="447"/>
      <c r="V789" s="447"/>
      <c r="W789" s="447"/>
      <c r="X789" s="447"/>
      <c r="Y789" s="447"/>
      <c r="Z789" s="447"/>
      <c r="AA789" s="447"/>
      <c r="AB789" s="447"/>
      <c r="AC789" s="447"/>
      <c r="AD789" s="447"/>
      <c r="AE789" s="447"/>
      <c r="AF789" s="448"/>
      <c r="AG789" s="448"/>
      <c r="AH789" s="449"/>
      <c r="AI789" s="447"/>
      <c r="AJ789" s="447"/>
      <c r="AK789" s="447"/>
      <c r="AL789" s="447"/>
      <c r="AM789" s="447"/>
      <c r="AN789" s="447"/>
      <c r="AO789" s="447"/>
      <c r="AP789" s="447"/>
      <c r="AQ789" s="447"/>
      <c r="AR789" s="447"/>
      <c r="AS789" s="447"/>
      <c r="AT789" s="447"/>
      <c r="AU789" s="447"/>
      <c r="AV789" s="447"/>
      <c r="AW789" s="447"/>
      <c r="AX789" s="447"/>
      <c r="AY789" s="447"/>
      <c r="AZ789" s="447"/>
      <c r="BA789" s="447"/>
      <c r="BB789" s="447"/>
      <c r="BC789" s="447"/>
      <c r="BD789" s="447"/>
      <c r="BE789" s="447"/>
      <c r="BF789" s="447"/>
      <c r="BG789" s="447"/>
      <c r="BH789" s="447"/>
      <c r="BI789" s="447"/>
      <c r="BJ789" s="447"/>
      <c r="BK789" s="447"/>
      <c r="BL789" s="447"/>
      <c r="BM789" s="448"/>
      <c r="BN789" s="448"/>
    </row>
    <row r="790" spans="1:66" ht="11.25" customHeight="1">
      <c r="A790" s="450"/>
      <c r="B790" s="447"/>
      <c r="C790" s="447"/>
      <c r="D790" s="447"/>
      <c r="E790" s="447"/>
      <c r="F790" s="447"/>
      <c r="G790" s="447"/>
      <c r="H790" s="447"/>
      <c r="I790" s="447"/>
      <c r="J790" s="447"/>
      <c r="K790" s="447"/>
      <c r="L790" s="447"/>
      <c r="M790" s="447"/>
      <c r="N790" s="447"/>
      <c r="O790" s="447"/>
      <c r="P790" s="447"/>
      <c r="Q790" s="447"/>
      <c r="R790" s="447"/>
      <c r="S790" s="447"/>
      <c r="T790" s="447"/>
      <c r="U790" s="447"/>
      <c r="V790" s="447"/>
      <c r="W790" s="447"/>
      <c r="X790" s="447"/>
      <c r="Y790" s="447"/>
      <c r="Z790" s="447"/>
      <c r="AA790" s="447"/>
      <c r="AB790" s="447"/>
      <c r="AC790" s="447"/>
      <c r="AD790" s="447"/>
      <c r="AE790" s="447"/>
      <c r="AF790" s="448"/>
      <c r="AG790" s="448"/>
      <c r="AH790" s="449"/>
      <c r="AI790" s="447"/>
      <c r="AJ790" s="447"/>
      <c r="AK790" s="447"/>
      <c r="AL790" s="447"/>
      <c r="AM790" s="447"/>
      <c r="AN790" s="447"/>
      <c r="AO790" s="447"/>
      <c r="AP790" s="447"/>
      <c r="AQ790" s="447"/>
      <c r="AR790" s="447"/>
      <c r="AS790" s="447"/>
      <c r="AT790" s="447"/>
      <c r="AU790" s="447"/>
      <c r="AV790" s="447"/>
      <c r="AW790" s="447"/>
      <c r="AX790" s="447"/>
      <c r="AY790" s="447"/>
      <c r="AZ790" s="447"/>
      <c r="BA790" s="447"/>
      <c r="BB790" s="447"/>
      <c r="BC790" s="447"/>
      <c r="BD790" s="447"/>
      <c r="BE790" s="447"/>
      <c r="BF790" s="447"/>
      <c r="BG790" s="447"/>
      <c r="BH790" s="447"/>
      <c r="BI790" s="447"/>
      <c r="BJ790" s="447"/>
      <c r="BK790" s="447"/>
      <c r="BL790" s="447"/>
      <c r="BM790" s="448"/>
      <c r="BN790" s="448"/>
    </row>
    <row r="791" spans="1:66" ht="11.25" customHeight="1">
      <c r="A791" s="450"/>
      <c r="B791" s="447"/>
      <c r="C791" s="447"/>
      <c r="D791" s="447"/>
      <c r="E791" s="447"/>
      <c r="F791" s="447"/>
      <c r="G791" s="447"/>
      <c r="H791" s="447"/>
      <c r="I791" s="447"/>
      <c r="J791" s="447"/>
      <c r="K791" s="447"/>
      <c r="L791" s="447"/>
      <c r="M791" s="447"/>
      <c r="N791" s="447"/>
      <c r="O791" s="447"/>
      <c r="P791" s="447"/>
      <c r="Q791" s="447"/>
      <c r="R791" s="447"/>
      <c r="S791" s="447"/>
      <c r="T791" s="447"/>
      <c r="U791" s="447"/>
      <c r="V791" s="447"/>
      <c r="W791" s="447"/>
      <c r="X791" s="447"/>
      <c r="Y791" s="447"/>
      <c r="Z791" s="447"/>
      <c r="AA791" s="447"/>
      <c r="AB791" s="447"/>
      <c r="AC791" s="447"/>
      <c r="AD791" s="447"/>
      <c r="AE791" s="447"/>
      <c r="AF791" s="448"/>
      <c r="AG791" s="448"/>
      <c r="AH791" s="449"/>
      <c r="AI791" s="447"/>
      <c r="AJ791" s="447"/>
      <c r="AK791" s="447"/>
      <c r="AL791" s="447"/>
      <c r="AM791" s="447"/>
      <c r="AN791" s="447"/>
      <c r="AO791" s="447"/>
      <c r="AP791" s="447"/>
      <c r="AQ791" s="447"/>
      <c r="AR791" s="447"/>
      <c r="AS791" s="447"/>
      <c r="AT791" s="447"/>
      <c r="AU791" s="447"/>
      <c r="AV791" s="447"/>
      <c r="AW791" s="447"/>
      <c r="AX791" s="447"/>
      <c r="AY791" s="447"/>
      <c r="AZ791" s="447"/>
      <c r="BA791" s="447"/>
      <c r="BB791" s="447"/>
      <c r="BC791" s="447"/>
      <c r="BD791" s="447"/>
      <c r="BE791" s="447"/>
      <c r="BF791" s="447"/>
      <c r="BG791" s="447"/>
      <c r="BH791" s="447"/>
      <c r="BI791" s="447"/>
      <c r="BJ791" s="447"/>
      <c r="BK791" s="447"/>
      <c r="BL791" s="447"/>
      <c r="BM791" s="448"/>
      <c r="BN791" s="448"/>
    </row>
    <row r="792" spans="1:66" ht="11.25" customHeight="1">
      <c r="A792" s="450"/>
      <c r="B792" s="447"/>
      <c r="C792" s="447"/>
      <c r="D792" s="447"/>
      <c r="E792" s="447"/>
      <c r="F792" s="447"/>
      <c r="G792" s="447"/>
      <c r="H792" s="447"/>
      <c r="I792" s="447"/>
      <c r="J792" s="447"/>
      <c r="K792" s="447"/>
      <c r="L792" s="447"/>
      <c r="M792" s="447"/>
      <c r="N792" s="447"/>
      <c r="O792" s="447"/>
      <c r="P792" s="447"/>
      <c r="Q792" s="447"/>
      <c r="R792" s="447"/>
      <c r="S792" s="447"/>
      <c r="T792" s="447"/>
      <c r="U792" s="447"/>
      <c r="V792" s="447"/>
      <c r="W792" s="447"/>
      <c r="X792" s="447"/>
      <c r="Y792" s="447"/>
      <c r="Z792" s="447"/>
      <c r="AA792" s="447"/>
      <c r="AB792" s="447"/>
      <c r="AC792" s="447"/>
      <c r="AD792" s="447"/>
      <c r="AE792" s="447"/>
      <c r="AF792" s="448"/>
      <c r="AG792" s="448"/>
      <c r="AH792" s="449"/>
      <c r="AI792" s="447"/>
      <c r="AJ792" s="447"/>
      <c r="AK792" s="447"/>
      <c r="AL792" s="447"/>
      <c r="AM792" s="447"/>
      <c r="AN792" s="447"/>
      <c r="AO792" s="447"/>
      <c r="AP792" s="447"/>
      <c r="AQ792" s="447"/>
      <c r="AR792" s="447"/>
      <c r="AS792" s="447"/>
      <c r="AT792" s="447"/>
      <c r="AU792" s="447"/>
      <c r="AV792" s="447"/>
      <c r="AW792" s="447"/>
      <c r="AX792" s="447"/>
      <c r="AY792" s="447"/>
      <c r="AZ792" s="447"/>
      <c r="BA792" s="447"/>
      <c r="BB792" s="447"/>
      <c r="BC792" s="447"/>
      <c r="BD792" s="447"/>
      <c r="BE792" s="447"/>
      <c r="BF792" s="447"/>
      <c r="BG792" s="447"/>
      <c r="BH792" s="447"/>
      <c r="BI792" s="447"/>
      <c r="BJ792" s="447"/>
      <c r="BK792" s="447"/>
      <c r="BL792" s="447"/>
      <c r="BM792" s="448"/>
      <c r="BN792" s="448"/>
    </row>
    <row r="793" spans="1:66" ht="11.25" customHeight="1">
      <c r="A793" s="450"/>
      <c r="B793" s="447"/>
      <c r="C793" s="447"/>
      <c r="D793" s="447"/>
      <c r="E793" s="447"/>
      <c r="F793" s="447"/>
      <c r="G793" s="447"/>
      <c r="H793" s="447"/>
      <c r="I793" s="447"/>
      <c r="J793" s="447"/>
      <c r="K793" s="447"/>
      <c r="L793" s="447"/>
      <c r="M793" s="447"/>
      <c r="N793" s="447"/>
      <c r="O793" s="447"/>
      <c r="P793" s="447"/>
      <c r="Q793" s="447"/>
      <c r="R793" s="447"/>
      <c r="S793" s="447"/>
      <c r="T793" s="447"/>
      <c r="U793" s="447"/>
      <c r="V793" s="447"/>
      <c r="W793" s="447"/>
      <c r="X793" s="447"/>
      <c r="Y793" s="447"/>
      <c r="Z793" s="447"/>
      <c r="AA793" s="447"/>
      <c r="AB793" s="447"/>
      <c r="AC793" s="447"/>
      <c r="AD793" s="447"/>
      <c r="AE793" s="447"/>
      <c r="AF793" s="448"/>
      <c r="AG793" s="448"/>
      <c r="AH793" s="449"/>
      <c r="AI793" s="447"/>
      <c r="AJ793" s="447"/>
      <c r="AK793" s="447"/>
      <c r="AL793" s="447"/>
      <c r="AM793" s="447"/>
      <c r="AN793" s="447"/>
      <c r="AO793" s="447"/>
      <c r="AP793" s="447"/>
      <c r="AQ793" s="447"/>
      <c r="AR793" s="447"/>
      <c r="AS793" s="447"/>
      <c r="AT793" s="447"/>
      <c r="AU793" s="447"/>
      <c r="AV793" s="447"/>
      <c r="AW793" s="447"/>
      <c r="AX793" s="447"/>
      <c r="AY793" s="447"/>
      <c r="AZ793" s="447"/>
      <c r="BA793" s="447"/>
      <c r="BB793" s="447"/>
      <c r="BC793" s="447"/>
      <c r="BD793" s="447"/>
      <c r="BE793" s="447"/>
      <c r="BF793" s="447"/>
      <c r="BG793" s="447"/>
      <c r="BH793" s="447"/>
      <c r="BI793" s="447"/>
      <c r="BJ793" s="447"/>
      <c r="BK793" s="447"/>
      <c r="BL793" s="447"/>
      <c r="BM793" s="448"/>
      <c r="BN793" s="448"/>
    </row>
    <row r="794" spans="1:66" ht="11.25" customHeight="1">
      <c r="A794" s="450"/>
      <c r="B794" s="447"/>
      <c r="C794" s="447"/>
      <c r="D794" s="447"/>
      <c r="E794" s="447"/>
      <c r="F794" s="447"/>
      <c r="G794" s="447"/>
      <c r="H794" s="447"/>
      <c r="I794" s="447"/>
      <c r="J794" s="447"/>
      <c r="K794" s="447"/>
      <c r="L794" s="447"/>
      <c r="M794" s="447"/>
      <c r="N794" s="447"/>
      <c r="O794" s="447"/>
      <c r="P794" s="447"/>
      <c r="Q794" s="447"/>
      <c r="R794" s="447"/>
      <c r="S794" s="447"/>
      <c r="T794" s="447"/>
      <c r="U794" s="447"/>
      <c r="V794" s="447"/>
      <c r="W794" s="447"/>
      <c r="X794" s="447"/>
      <c r="Y794" s="447"/>
      <c r="Z794" s="447"/>
      <c r="AA794" s="447"/>
      <c r="AB794" s="447"/>
      <c r="AC794" s="447"/>
      <c r="AD794" s="447"/>
      <c r="AE794" s="447"/>
      <c r="AF794" s="448"/>
      <c r="AG794" s="448"/>
      <c r="AH794" s="449"/>
      <c r="AI794" s="447"/>
      <c r="AJ794" s="447"/>
      <c r="AK794" s="447"/>
      <c r="AL794" s="447"/>
      <c r="AM794" s="447"/>
      <c r="AN794" s="447"/>
      <c r="AO794" s="447"/>
      <c r="AP794" s="447"/>
      <c r="AQ794" s="447"/>
      <c r="AR794" s="447"/>
      <c r="AS794" s="447"/>
      <c r="AT794" s="447"/>
      <c r="AU794" s="447"/>
      <c r="AV794" s="447"/>
      <c r="AW794" s="447"/>
      <c r="AX794" s="447"/>
      <c r="AY794" s="447"/>
      <c r="AZ794" s="447"/>
      <c r="BA794" s="447"/>
      <c r="BB794" s="447"/>
      <c r="BC794" s="447"/>
      <c r="BD794" s="447"/>
      <c r="BE794" s="447"/>
      <c r="BF794" s="447"/>
      <c r="BG794" s="447"/>
      <c r="BH794" s="447"/>
      <c r="BI794" s="447"/>
      <c r="BJ794" s="447"/>
      <c r="BK794" s="447"/>
      <c r="BL794" s="447"/>
      <c r="BM794" s="448"/>
      <c r="BN794" s="448"/>
    </row>
    <row r="795" spans="1:66" ht="11.25" customHeight="1">
      <c r="A795" s="450"/>
      <c r="B795" s="447"/>
      <c r="C795" s="447"/>
      <c r="D795" s="447"/>
      <c r="E795" s="447"/>
      <c r="F795" s="447"/>
      <c r="G795" s="447"/>
      <c r="H795" s="447"/>
      <c r="I795" s="447"/>
      <c r="J795" s="447"/>
      <c r="K795" s="447"/>
      <c r="L795" s="447"/>
      <c r="M795" s="447"/>
      <c r="N795" s="447"/>
      <c r="O795" s="447"/>
      <c r="P795" s="447"/>
      <c r="Q795" s="447"/>
      <c r="R795" s="447"/>
      <c r="S795" s="447"/>
      <c r="T795" s="447"/>
      <c r="U795" s="447"/>
      <c r="V795" s="447"/>
      <c r="W795" s="447"/>
      <c r="X795" s="447"/>
      <c r="Y795" s="447"/>
      <c r="Z795" s="447"/>
      <c r="AA795" s="447"/>
      <c r="AB795" s="447"/>
      <c r="AC795" s="447"/>
      <c r="AD795" s="447"/>
      <c r="AE795" s="447"/>
      <c r="AF795" s="448"/>
      <c r="AG795" s="448"/>
      <c r="AH795" s="449"/>
      <c r="AI795" s="447"/>
      <c r="AJ795" s="447"/>
      <c r="AK795" s="447"/>
      <c r="AL795" s="447"/>
      <c r="AM795" s="447"/>
      <c r="AN795" s="447"/>
      <c r="AO795" s="447"/>
      <c r="AP795" s="447"/>
      <c r="AQ795" s="447"/>
      <c r="AR795" s="447"/>
      <c r="AS795" s="447"/>
      <c r="AT795" s="447"/>
      <c r="AU795" s="447"/>
      <c r="AV795" s="447"/>
      <c r="AW795" s="447"/>
      <c r="AX795" s="447"/>
      <c r="AY795" s="447"/>
      <c r="AZ795" s="447"/>
      <c r="BA795" s="447"/>
      <c r="BB795" s="447"/>
      <c r="BC795" s="447"/>
      <c r="BD795" s="447"/>
      <c r="BE795" s="447"/>
      <c r="BF795" s="447"/>
      <c r="BG795" s="447"/>
      <c r="BH795" s="447"/>
      <c r="BI795" s="447"/>
      <c r="BJ795" s="447"/>
      <c r="BK795" s="447"/>
      <c r="BL795" s="447"/>
      <c r="BM795" s="448"/>
      <c r="BN795" s="448"/>
    </row>
    <row r="796" spans="1:66" ht="11.25" customHeight="1">
      <c r="A796" s="450"/>
      <c r="B796" s="447"/>
      <c r="C796" s="447"/>
      <c r="D796" s="447"/>
      <c r="E796" s="447"/>
      <c r="F796" s="447"/>
      <c r="G796" s="447"/>
      <c r="H796" s="447"/>
      <c r="I796" s="447"/>
      <c r="J796" s="447"/>
      <c r="K796" s="447"/>
      <c r="L796" s="447"/>
      <c r="M796" s="447"/>
      <c r="N796" s="447"/>
      <c r="O796" s="447"/>
      <c r="P796" s="447"/>
      <c r="Q796" s="447"/>
      <c r="R796" s="447"/>
      <c r="S796" s="447"/>
      <c r="T796" s="447"/>
      <c r="U796" s="447"/>
      <c r="V796" s="447"/>
      <c r="W796" s="447"/>
      <c r="X796" s="447"/>
      <c r="Y796" s="447"/>
      <c r="Z796" s="447"/>
      <c r="AA796" s="447"/>
      <c r="AB796" s="447"/>
      <c r="AC796" s="447"/>
      <c r="AD796" s="447"/>
      <c r="AE796" s="447"/>
      <c r="AF796" s="448"/>
      <c r="AG796" s="448"/>
      <c r="AH796" s="449"/>
      <c r="AI796" s="447"/>
      <c r="AJ796" s="447"/>
      <c r="AK796" s="447"/>
      <c r="AL796" s="447"/>
      <c r="AM796" s="447"/>
      <c r="AN796" s="447"/>
      <c r="AO796" s="447"/>
      <c r="AP796" s="447"/>
      <c r="AQ796" s="447"/>
      <c r="AR796" s="447"/>
      <c r="AS796" s="447"/>
      <c r="AT796" s="447"/>
      <c r="AU796" s="447"/>
      <c r="AV796" s="447"/>
      <c r="AW796" s="447"/>
      <c r="AX796" s="447"/>
      <c r="AY796" s="447"/>
      <c r="AZ796" s="447"/>
      <c r="BA796" s="447"/>
      <c r="BB796" s="447"/>
      <c r="BC796" s="447"/>
      <c r="BD796" s="447"/>
      <c r="BE796" s="447"/>
      <c r="BF796" s="447"/>
      <c r="BG796" s="447"/>
      <c r="BH796" s="447"/>
      <c r="BI796" s="447"/>
      <c r="BJ796" s="447"/>
      <c r="BK796" s="447"/>
      <c r="BL796" s="447"/>
      <c r="BM796" s="448"/>
      <c r="BN796" s="448"/>
    </row>
    <row r="797" spans="1:66" ht="11.25" customHeight="1">
      <c r="A797" s="450"/>
      <c r="B797" s="447"/>
      <c r="C797" s="447"/>
      <c r="D797" s="447"/>
      <c r="E797" s="447"/>
      <c r="F797" s="447"/>
      <c r="G797" s="447"/>
      <c r="H797" s="447"/>
      <c r="I797" s="447"/>
      <c r="J797" s="447"/>
      <c r="K797" s="447"/>
      <c r="L797" s="447"/>
      <c r="M797" s="447"/>
      <c r="N797" s="447"/>
      <c r="O797" s="447"/>
      <c r="P797" s="447"/>
      <c r="Q797" s="447"/>
      <c r="R797" s="447"/>
      <c r="S797" s="447"/>
      <c r="T797" s="447"/>
      <c r="U797" s="447"/>
      <c r="V797" s="447"/>
      <c r="W797" s="447"/>
      <c r="X797" s="447"/>
      <c r="Y797" s="447"/>
      <c r="Z797" s="447"/>
      <c r="AA797" s="447"/>
      <c r="AB797" s="447"/>
      <c r="AC797" s="447"/>
      <c r="AD797" s="447"/>
      <c r="AE797" s="447"/>
      <c r="AF797" s="448"/>
      <c r="AG797" s="448"/>
      <c r="AH797" s="449"/>
      <c r="AI797" s="447"/>
      <c r="AJ797" s="447"/>
      <c r="AK797" s="447"/>
      <c r="AL797" s="447"/>
      <c r="AM797" s="447"/>
      <c r="AN797" s="447"/>
      <c r="AO797" s="447"/>
      <c r="AP797" s="447"/>
      <c r="AQ797" s="447"/>
      <c r="AR797" s="447"/>
      <c r="AS797" s="447"/>
      <c r="AT797" s="447"/>
      <c r="AU797" s="447"/>
      <c r="AV797" s="447"/>
      <c r="AW797" s="447"/>
      <c r="AX797" s="447"/>
      <c r="AY797" s="447"/>
      <c r="AZ797" s="447"/>
      <c r="BA797" s="447"/>
      <c r="BB797" s="447"/>
      <c r="BC797" s="447"/>
      <c r="BD797" s="447"/>
      <c r="BE797" s="447"/>
      <c r="BF797" s="447"/>
      <c r="BG797" s="447"/>
      <c r="BH797" s="447"/>
      <c r="BI797" s="447"/>
      <c r="BJ797" s="447"/>
      <c r="BK797" s="447"/>
      <c r="BL797" s="447"/>
      <c r="BM797" s="448"/>
      <c r="BN797" s="448"/>
    </row>
    <row r="798" spans="1:66" ht="11.25" customHeight="1">
      <c r="A798" s="450"/>
      <c r="B798" s="447"/>
      <c r="C798" s="447"/>
      <c r="D798" s="447"/>
      <c r="E798" s="447"/>
      <c r="F798" s="447"/>
      <c r="G798" s="447"/>
      <c r="H798" s="447"/>
      <c r="I798" s="447"/>
      <c r="J798" s="447"/>
      <c r="K798" s="447"/>
      <c r="L798" s="447"/>
      <c r="M798" s="447"/>
      <c r="N798" s="447"/>
      <c r="O798" s="447"/>
      <c r="P798" s="447"/>
      <c r="Q798" s="447"/>
      <c r="R798" s="447"/>
      <c r="S798" s="447"/>
      <c r="T798" s="447"/>
      <c r="U798" s="447"/>
      <c r="V798" s="447"/>
      <c r="W798" s="447"/>
      <c r="X798" s="447"/>
      <c r="Y798" s="447"/>
      <c r="Z798" s="447"/>
      <c r="AA798" s="447"/>
      <c r="AB798" s="447"/>
      <c r="AC798" s="447"/>
      <c r="AD798" s="447"/>
      <c r="AE798" s="447"/>
      <c r="AF798" s="448"/>
      <c r="AG798" s="448"/>
      <c r="AH798" s="449"/>
      <c r="AI798" s="447"/>
      <c r="AJ798" s="447"/>
      <c r="AK798" s="447"/>
      <c r="AL798" s="447"/>
      <c r="AM798" s="447"/>
      <c r="AN798" s="447"/>
      <c r="AO798" s="447"/>
      <c r="AP798" s="447"/>
      <c r="AQ798" s="447"/>
      <c r="AR798" s="447"/>
      <c r="AS798" s="447"/>
      <c r="AT798" s="447"/>
      <c r="AU798" s="447"/>
      <c r="AV798" s="447"/>
      <c r="AW798" s="447"/>
      <c r="AX798" s="447"/>
      <c r="AY798" s="447"/>
      <c r="AZ798" s="447"/>
      <c r="BA798" s="447"/>
      <c r="BB798" s="447"/>
      <c r="BC798" s="447"/>
      <c r="BD798" s="447"/>
      <c r="BE798" s="447"/>
      <c r="BF798" s="447"/>
      <c r="BG798" s="447"/>
      <c r="BH798" s="447"/>
      <c r="BI798" s="447"/>
      <c r="BJ798" s="447"/>
      <c r="BK798" s="447"/>
      <c r="BL798" s="447"/>
      <c r="BM798" s="448"/>
      <c r="BN798" s="448"/>
    </row>
    <row r="799" spans="1:66" ht="11.25" customHeight="1">
      <c r="A799" s="450"/>
      <c r="B799" s="447"/>
      <c r="C799" s="447"/>
      <c r="D799" s="447"/>
      <c r="E799" s="447"/>
      <c r="F799" s="447"/>
      <c r="G799" s="447"/>
      <c r="H799" s="447"/>
      <c r="I799" s="447"/>
      <c r="J799" s="447"/>
      <c r="K799" s="447"/>
      <c r="L799" s="447"/>
      <c r="M799" s="447"/>
      <c r="N799" s="447"/>
      <c r="O799" s="447"/>
      <c r="P799" s="447"/>
      <c r="Q799" s="447"/>
      <c r="R799" s="447"/>
      <c r="S799" s="447"/>
      <c r="T799" s="447"/>
      <c r="U799" s="447"/>
      <c r="V799" s="447"/>
      <c r="W799" s="447"/>
      <c r="X799" s="447"/>
      <c r="Y799" s="447"/>
      <c r="Z799" s="447"/>
      <c r="AA799" s="447"/>
      <c r="AB799" s="447"/>
      <c r="AC799" s="447"/>
      <c r="AD799" s="447"/>
      <c r="AE799" s="447"/>
      <c r="AF799" s="448"/>
      <c r="AG799" s="448"/>
      <c r="AH799" s="449"/>
      <c r="AI799" s="447"/>
      <c r="AJ799" s="447"/>
      <c r="AK799" s="447"/>
      <c r="AL799" s="447"/>
      <c r="AM799" s="447"/>
      <c r="AN799" s="447"/>
      <c r="AO799" s="447"/>
      <c r="AP799" s="447"/>
      <c r="AQ799" s="447"/>
      <c r="AR799" s="447"/>
      <c r="AS799" s="447"/>
      <c r="AT799" s="447"/>
      <c r="AU799" s="447"/>
      <c r="AV799" s="447"/>
      <c r="AW799" s="447"/>
      <c r="AX799" s="447"/>
      <c r="AY799" s="447"/>
      <c r="AZ799" s="447"/>
      <c r="BA799" s="447"/>
      <c r="BB799" s="447"/>
      <c r="BC799" s="447"/>
      <c r="BD799" s="447"/>
      <c r="BE799" s="447"/>
      <c r="BF799" s="447"/>
      <c r="BG799" s="447"/>
      <c r="BH799" s="447"/>
      <c r="BI799" s="447"/>
      <c r="BJ799" s="447"/>
      <c r="BK799" s="447"/>
      <c r="BL799" s="447"/>
      <c r="BM799" s="448"/>
      <c r="BN799" s="448"/>
    </row>
    <row r="800" spans="1:66" ht="11.25" customHeight="1">
      <c r="A800" s="450"/>
      <c r="B800" s="447"/>
      <c r="C800" s="447"/>
      <c r="D800" s="447"/>
      <c r="E800" s="447"/>
      <c r="F800" s="447"/>
      <c r="G800" s="447"/>
      <c r="H800" s="447"/>
      <c r="I800" s="447"/>
      <c r="J800" s="447"/>
      <c r="K800" s="447"/>
      <c r="L800" s="447"/>
      <c r="M800" s="447"/>
      <c r="N800" s="447"/>
      <c r="O800" s="447"/>
      <c r="P800" s="447"/>
      <c r="Q800" s="447"/>
      <c r="R800" s="447"/>
      <c r="S800" s="447"/>
      <c r="T800" s="447"/>
      <c r="U800" s="447"/>
      <c r="V800" s="447"/>
      <c r="W800" s="447"/>
      <c r="X800" s="447"/>
      <c r="Y800" s="447"/>
      <c r="Z800" s="447"/>
      <c r="AA800" s="447"/>
      <c r="AB800" s="447"/>
      <c r="AC800" s="447"/>
      <c r="AD800" s="447"/>
      <c r="AE800" s="447"/>
      <c r="AF800" s="448"/>
      <c r="AG800" s="448"/>
      <c r="AH800" s="449"/>
      <c r="AI800" s="447"/>
      <c r="AJ800" s="447"/>
      <c r="AK800" s="447"/>
      <c r="AL800" s="447"/>
      <c r="AM800" s="447"/>
      <c r="AN800" s="447"/>
      <c r="AO800" s="447"/>
      <c r="AP800" s="447"/>
      <c r="AQ800" s="447"/>
      <c r="AR800" s="447"/>
      <c r="AS800" s="447"/>
      <c r="AT800" s="447"/>
      <c r="AU800" s="447"/>
      <c r="AV800" s="447"/>
      <c r="AW800" s="447"/>
      <c r="AX800" s="447"/>
      <c r="AY800" s="447"/>
      <c r="AZ800" s="447"/>
      <c r="BA800" s="447"/>
      <c r="BB800" s="447"/>
      <c r="BC800" s="447"/>
      <c r="BD800" s="447"/>
      <c r="BE800" s="447"/>
      <c r="BF800" s="447"/>
      <c r="BG800" s="447"/>
      <c r="BH800" s="447"/>
      <c r="BI800" s="447"/>
      <c r="BJ800" s="447"/>
      <c r="BK800" s="447"/>
      <c r="BL800" s="447"/>
      <c r="BM800" s="448"/>
      <c r="BN800" s="448"/>
    </row>
    <row r="801" spans="1:66" ht="11.25" customHeight="1">
      <c r="A801" s="450"/>
      <c r="B801" s="447"/>
      <c r="C801" s="447"/>
      <c r="D801" s="447"/>
      <c r="E801" s="447"/>
      <c r="F801" s="447"/>
      <c r="G801" s="447"/>
      <c r="H801" s="447"/>
      <c r="I801" s="447"/>
      <c r="J801" s="447"/>
      <c r="K801" s="447"/>
      <c r="L801" s="447"/>
      <c r="M801" s="447"/>
      <c r="N801" s="447"/>
      <c r="O801" s="447"/>
      <c r="P801" s="447"/>
      <c r="Q801" s="447"/>
      <c r="R801" s="447"/>
      <c r="S801" s="447"/>
      <c r="T801" s="447"/>
      <c r="U801" s="447"/>
      <c r="V801" s="447"/>
      <c r="W801" s="447"/>
      <c r="X801" s="447"/>
      <c r="Y801" s="447"/>
      <c r="Z801" s="447"/>
      <c r="AA801" s="447"/>
      <c r="AB801" s="447"/>
      <c r="AC801" s="447"/>
      <c r="AD801" s="447"/>
      <c r="AE801" s="447"/>
      <c r="AF801" s="448"/>
      <c r="AG801" s="448"/>
      <c r="AH801" s="449"/>
      <c r="AI801" s="447"/>
      <c r="AJ801" s="447"/>
      <c r="AK801" s="447"/>
      <c r="AL801" s="447"/>
      <c r="AM801" s="447"/>
      <c r="AN801" s="447"/>
      <c r="AO801" s="447"/>
      <c r="AP801" s="447"/>
      <c r="AQ801" s="447"/>
      <c r="AR801" s="447"/>
      <c r="AS801" s="447"/>
      <c r="AT801" s="447"/>
      <c r="AU801" s="447"/>
      <c r="AV801" s="447"/>
      <c r="AW801" s="447"/>
      <c r="AX801" s="447"/>
      <c r="AY801" s="447"/>
      <c r="AZ801" s="447"/>
      <c r="BA801" s="447"/>
      <c r="BB801" s="447"/>
      <c r="BC801" s="447"/>
      <c r="BD801" s="447"/>
      <c r="BE801" s="447"/>
      <c r="BF801" s="447"/>
      <c r="BG801" s="447"/>
      <c r="BH801" s="447"/>
      <c r="BI801" s="447"/>
      <c r="BJ801" s="447"/>
      <c r="BK801" s="447"/>
      <c r="BL801" s="447"/>
      <c r="BM801" s="448"/>
      <c r="BN801" s="448"/>
    </row>
    <row r="802" spans="1:66" ht="11.25" customHeight="1">
      <c r="A802" s="450"/>
      <c r="B802" s="447"/>
      <c r="C802" s="447"/>
      <c r="D802" s="447"/>
      <c r="E802" s="447"/>
      <c r="F802" s="447"/>
      <c r="G802" s="447"/>
      <c r="H802" s="447"/>
      <c r="I802" s="447"/>
      <c r="J802" s="447"/>
      <c r="K802" s="447"/>
      <c r="L802" s="447"/>
      <c r="M802" s="447"/>
      <c r="N802" s="447"/>
      <c r="O802" s="447"/>
      <c r="P802" s="447"/>
      <c r="Q802" s="447"/>
      <c r="R802" s="447"/>
      <c r="S802" s="447"/>
      <c r="T802" s="447"/>
      <c r="U802" s="447"/>
      <c r="V802" s="447"/>
      <c r="W802" s="447"/>
      <c r="X802" s="447"/>
      <c r="Y802" s="447"/>
      <c r="Z802" s="447"/>
      <c r="AA802" s="447"/>
      <c r="AB802" s="447"/>
      <c r="AC802" s="447"/>
      <c r="AD802" s="447"/>
      <c r="AE802" s="447"/>
      <c r="AF802" s="448"/>
      <c r="AG802" s="448"/>
      <c r="AH802" s="449"/>
      <c r="AI802" s="447"/>
      <c r="AJ802" s="447"/>
      <c r="AK802" s="447"/>
      <c r="AL802" s="447"/>
      <c r="AM802" s="447"/>
      <c r="AN802" s="447"/>
      <c r="AO802" s="447"/>
      <c r="AP802" s="447"/>
      <c r="AQ802" s="447"/>
      <c r="AR802" s="447"/>
      <c r="AS802" s="447"/>
      <c r="AT802" s="447"/>
      <c r="AU802" s="447"/>
      <c r="AV802" s="447"/>
      <c r="AW802" s="447"/>
      <c r="AX802" s="447"/>
      <c r="AY802" s="447"/>
      <c r="AZ802" s="447"/>
      <c r="BA802" s="447"/>
      <c r="BB802" s="447"/>
      <c r="BC802" s="447"/>
      <c r="BD802" s="447"/>
      <c r="BE802" s="447"/>
      <c r="BF802" s="447"/>
      <c r="BG802" s="447"/>
      <c r="BH802" s="447"/>
      <c r="BI802" s="447"/>
      <c r="BJ802" s="447"/>
      <c r="BK802" s="447"/>
      <c r="BL802" s="447"/>
      <c r="BM802" s="448"/>
      <c r="BN802" s="448"/>
    </row>
    <row r="803" spans="1:66" ht="11.25" customHeight="1">
      <c r="A803" s="450"/>
      <c r="B803" s="447"/>
      <c r="C803" s="447"/>
      <c r="D803" s="447"/>
      <c r="E803" s="447"/>
      <c r="F803" s="447"/>
      <c r="G803" s="447"/>
      <c r="H803" s="447"/>
      <c r="I803" s="447"/>
      <c r="J803" s="447"/>
      <c r="K803" s="447"/>
      <c r="L803" s="447"/>
      <c r="M803" s="447"/>
      <c r="N803" s="447"/>
      <c r="O803" s="447"/>
      <c r="P803" s="447"/>
      <c r="Q803" s="447"/>
      <c r="R803" s="447"/>
      <c r="S803" s="447"/>
      <c r="T803" s="447"/>
      <c r="U803" s="447"/>
      <c r="V803" s="447"/>
      <c r="W803" s="447"/>
      <c r="X803" s="447"/>
      <c r="Y803" s="447"/>
      <c r="Z803" s="447"/>
      <c r="AA803" s="447"/>
      <c r="AB803" s="447"/>
      <c r="AC803" s="447"/>
      <c r="AD803" s="447"/>
      <c r="AE803" s="447"/>
      <c r="AF803" s="448"/>
      <c r="AG803" s="448"/>
      <c r="AH803" s="449"/>
      <c r="AI803" s="447"/>
      <c r="AJ803" s="447"/>
      <c r="AK803" s="447"/>
      <c r="AL803" s="447"/>
      <c r="AM803" s="447"/>
      <c r="AN803" s="447"/>
      <c r="AO803" s="447"/>
      <c r="AP803" s="447"/>
      <c r="AQ803" s="447"/>
      <c r="AR803" s="447"/>
      <c r="AS803" s="447"/>
      <c r="AT803" s="447"/>
      <c r="AU803" s="447"/>
      <c r="AV803" s="447"/>
      <c r="AW803" s="447"/>
      <c r="AX803" s="447"/>
      <c r="AY803" s="447"/>
      <c r="AZ803" s="447"/>
      <c r="BA803" s="447"/>
      <c r="BB803" s="447"/>
      <c r="BC803" s="447"/>
      <c r="BD803" s="447"/>
      <c r="BE803" s="447"/>
      <c r="BF803" s="447"/>
      <c r="BG803" s="447"/>
      <c r="BH803" s="447"/>
      <c r="BI803" s="447"/>
      <c r="BJ803" s="447"/>
      <c r="BK803" s="447"/>
      <c r="BL803" s="447"/>
      <c r="BM803" s="448"/>
      <c r="BN803" s="448"/>
    </row>
    <row r="804" spans="1:66" ht="11.25" customHeight="1">
      <c r="A804" s="450"/>
      <c r="B804" s="447"/>
      <c r="C804" s="447"/>
      <c r="D804" s="447"/>
      <c r="E804" s="447"/>
      <c r="F804" s="447"/>
      <c r="G804" s="447"/>
      <c r="H804" s="447"/>
      <c r="I804" s="447"/>
      <c r="J804" s="447"/>
      <c r="K804" s="447"/>
      <c r="L804" s="447"/>
      <c r="M804" s="447"/>
      <c r="N804" s="447"/>
      <c r="O804" s="447"/>
      <c r="P804" s="447"/>
      <c r="Q804" s="447"/>
      <c r="R804" s="447"/>
      <c r="S804" s="447"/>
      <c r="T804" s="447"/>
      <c r="U804" s="447"/>
      <c r="V804" s="447"/>
      <c r="W804" s="447"/>
      <c r="X804" s="447"/>
      <c r="Y804" s="447"/>
      <c r="Z804" s="447"/>
      <c r="AA804" s="447"/>
      <c r="AB804" s="447"/>
      <c r="AC804" s="447"/>
      <c r="AD804" s="447"/>
      <c r="AE804" s="447"/>
      <c r="AF804" s="448"/>
      <c r="AG804" s="448"/>
      <c r="AH804" s="449"/>
      <c r="AI804" s="447"/>
      <c r="AJ804" s="447"/>
      <c r="AK804" s="447"/>
      <c r="AL804" s="447"/>
      <c r="AM804" s="447"/>
      <c r="AN804" s="447"/>
      <c r="AO804" s="447"/>
      <c r="AP804" s="447"/>
      <c r="AQ804" s="447"/>
      <c r="AR804" s="447"/>
      <c r="AS804" s="447"/>
      <c r="AT804" s="447"/>
      <c r="AU804" s="447"/>
      <c r="AV804" s="447"/>
      <c r="AW804" s="447"/>
      <c r="AX804" s="447"/>
      <c r="AY804" s="447"/>
      <c r="AZ804" s="447"/>
      <c r="BA804" s="447"/>
      <c r="BB804" s="447"/>
      <c r="BC804" s="447"/>
      <c r="BD804" s="447"/>
      <c r="BE804" s="447"/>
      <c r="BF804" s="447"/>
      <c r="BG804" s="447"/>
      <c r="BH804" s="447"/>
      <c r="BI804" s="447"/>
      <c r="BJ804" s="447"/>
      <c r="BK804" s="447"/>
      <c r="BL804" s="447"/>
      <c r="BM804" s="448"/>
      <c r="BN804" s="448"/>
    </row>
    <row r="805" spans="1:66" ht="11.25" customHeight="1">
      <c r="A805" s="450"/>
      <c r="B805" s="447"/>
      <c r="C805" s="447"/>
      <c r="D805" s="447"/>
      <c r="E805" s="447"/>
      <c r="F805" s="447"/>
      <c r="G805" s="447"/>
      <c r="H805" s="447"/>
      <c r="I805" s="447"/>
      <c r="J805" s="447"/>
      <c r="K805" s="447"/>
      <c r="L805" s="447"/>
      <c r="M805" s="447"/>
      <c r="N805" s="447"/>
      <c r="O805" s="447"/>
      <c r="P805" s="447"/>
      <c r="Q805" s="447"/>
      <c r="R805" s="447"/>
      <c r="S805" s="447"/>
      <c r="T805" s="447"/>
      <c r="U805" s="447"/>
      <c r="V805" s="447"/>
      <c r="W805" s="447"/>
      <c r="X805" s="447"/>
      <c r="Y805" s="447"/>
      <c r="Z805" s="447"/>
      <c r="AA805" s="447"/>
      <c r="AB805" s="447"/>
      <c r="AC805" s="447"/>
      <c r="AD805" s="447"/>
      <c r="AE805" s="447"/>
      <c r="AF805" s="448"/>
      <c r="AG805" s="448"/>
      <c r="AH805" s="449"/>
      <c r="AI805" s="447"/>
      <c r="AJ805" s="447"/>
      <c r="AK805" s="447"/>
      <c r="AL805" s="447"/>
      <c r="AM805" s="447"/>
      <c r="AN805" s="447"/>
      <c r="AO805" s="447"/>
      <c r="AP805" s="447"/>
      <c r="AQ805" s="447"/>
      <c r="AR805" s="447"/>
      <c r="AS805" s="447"/>
      <c r="AT805" s="447"/>
      <c r="AU805" s="447"/>
      <c r="AV805" s="447"/>
      <c r="AW805" s="447"/>
      <c r="AX805" s="447"/>
      <c r="AY805" s="447"/>
      <c r="AZ805" s="447"/>
      <c r="BA805" s="447"/>
      <c r="BB805" s="447"/>
      <c r="BC805" s="447"/>
      <c r="BD805" s="447"/>
      <c r="BE805" s="447"/>
      <c r="BF805" s="447"/>
      <c r="BG805" s="447"/>
      <c r="BH805" s="447"/>
      <c r="BI805" s="447"/>
      <c r="BJ805" s="447"/>
      <c r="BK805" s="447"/>
      <c r="BL805" s="447"/>
      <c r="BM805" s="448"/>
      <c r="BN805" s="448"/>
    </row>
    <row r="806" spans="1:66" ht="11.25" customHeight="1">
      <c r="A806" s="450"/>
      <c r="B806" s="447"/>
      <c r="C806" s="447"/>
      <c r="D806" s="447"/>
      <c r="E806" s="447"/>
      <c r="F806" s="447"/>
      <c r="G806" s="447"/>
      <c r="H806" s="447"/>
      <c r="I806" s="447"/>
      <c r="J806" s="447"/>
      <c r="K806" s="447"/>
      <c r="L806" s="447"/>
      <c r="M806" s="447"/>
      <c r="N806" s="447"/>
      <c r="O806" s="447"/>
      <c r="P806" s="447"/>
      <c r="Q806" s="447"/>
      <c r="R806" s="447"/>
      <c r="S806" s="447"/>
      <c r="T806" s="447"/>
      <c r="U806" s="447"/>
      <c r="V806" s="447"/>
      <c r="W806" s="447"/>
      <c r="X806" s="447"/>
      <c r="Y806" s="447"/>
      <c r="Z806" s="447"/>
      <c r="AA806" s="447"/>
      <c r="AB806" s="447"/>
      <c r="AC806" s="447"/>
      <c r="AD806" s="447"/>
      <c r="AE806" s="447"/>
      <c r="AF806" s="448"/>
      <c r="AG806" s="448"/>
      <c r="AH806" s="449"/>
      <c r="AI806" s="447"/>
      <c r="AJ806" s="447"/>
      <c r="AK806" s="447"/>
      <c r="AL806" s="447"/>
      <c r="AM806" s="447"/>
      <c r="AN806" s="447"/>
      <c r="AO806" s="447"/>
      <c r="AP806" s="447"/>
      <c r="AQ806" s="447"/>
      <c r="AR806" s="447"/>
      <c r="AS806" s="447"/>
      <c r="AT806" s="447"/>
      <c r="AU806" s="447"/>
      <c r="AV806" s="447"/>
      <c r="AW806" s="447"/>
      <c r="AX806" s="447"/>
      <c r="AY806" s="447"/>
      <c r="AZ806" s="447"/>
      <c r="BA806" s="447"/>
      <c r="BB806" s="447"/>
      <c r="BC806" s="447"/>
      <c r="BD806" s="447"/>
      <c r="BE806" s="447"/>
      <c r="BF806" s="447"/>
      <c r="BG806" s="447"/>
      <c r="BH806" s="447"/>
      <c r="BI806" s="447"/>
      <c r="BJ806" s="447"/>
      <c r="BK806" s="447"/>
      <c r="BL806" s="447"/>
      <c r="BM806" s="448"/>
      <c r="BN806" s="448"/>
    </row>
    <row r="807" spans="1:66" ht="11.25" customHeight="1">
      <c r="A807" s="450"/>
      <c r="B807" s="447"/>
      <c r="C807" s="447"/>
      <c r="D807" s="447"/>
      <c r="E807" s="447"/>
      <c r="F807" s="447"/>
      <c r="G807" s="447"/>
      <c r="H807" s="447"/>
      <c r="I807" s="447"/>
      <c r="J807" s="447"/>
      <c r="K807" s="447"/>
      <c r="L807" s="447"/>
      <c r="M807" s="447"/>
      <c r="N807" s="447"/>
      <c r="O807" s="447"/>
      <c r="P807" s="447"/>
      <c r="Q807" s="447"/>
      <c r="R807" s="447"/>
      <c r="S807" s="447"/>
      <c r="T807" s="447"/>
      <c r="U807" s="447"/>
      <c r="V807" s="447"/>
      <c r="W807" s="447"/>
      <c r="X807" s="447"/>
      <c r="Y807" s="447"/>
      <c r="Z807" s="447"/>
      <c r="AA807" s="447"/>
      <c r="AB807" s="447"/>
      <c r="AC807" s="447"/>
      <c r="AD807" s="447"/>
      <c r="AE807" s="447"/>
      <c r="AF807" s="448"/>
      <c r="AG807" s="448"/>
      <c r="AH807" s="449"/>
      <c r="AI807" s="447"/>
      <c r="AJ807" s="447"/>
      <c r="AK807" s="447"/>
      <c r="AL807" s="447"/>
      <c r="AM807" s="447"/>
      <c r="AN807" s="447"/>
      <c r="AO807" s="447"/>
      <c r="AP807" s="447"/>
      <c r="AQ807" s="447"/>
      <c r="AR807" s="447"/>
      <c r="AS807" s="447"/>
      <c r="AT807" s="447"/>
      <c r="AU807" s="447"/>
      <c r="AV807" s="447"/>
      <c r="AW807" s="447"/>
      <c r="AX807" s="447"/>
      <c r="AY807" s="447"/>
      <c r="AZ807" s="447"/>
      <c r="BA807" s="447"/>
      <c r="BB807" s="447"/>
      <c r="BC807" s="447"/>
      <c r="BD807" s="447"/>
      <c r="BE807" s="447"/>
      <c r="BF807" s="447"/>
      <c r="BG807" s="447"/>
      <c r="BH807" s="447"/>
      <c r="BI807" s="447"/>
      <c r="BJ807" s="447"/>
      <c r="BK807" s="447"/>
      <c r="BL807" s="447"/>
      <c r="BM807" s="448"/>
      <c r="BN807" s="448"/>
    </row>
    <row r="808" spans="1:66" ht="11.25" customHeight="1">
      <c r="A808" s="450"/>
      <c r="B808" s="447"/>
      <c r="C808" s="447"/>
      <c r="D808" s="447"/>
      <c r="E808" s="447"/>
      <c r="F808" s="447"/>
      <c r="G808" s="447"/>
      <c r="H808" s="447"/>
      <c r="I808" s="447"/>
      <c r="J808" s="447"/>
      <c r="K808" s="447"/>
      <c r="L808" s="447"/>
      <c r="M808" s="447"/>
      <c r="N808" s="447"/>
      <c r="O808" s="447"/>
      <c r="P808" s="447"/>
      <c r="Q808" s="447"/>
      <c r="R808" s="447"/>
      <c r="S808" s="447"/>
      <c r="T808" s="447"/>
      <c r="U808" s="447"/>
      <c r="V808" s="447"/>
      <c r="W808" s="447"/>
      <c r="X808" s="447"/>
      <c r="Y808" s="447"/>
      <c r="Z808" s="447"/>
      <c r="AA808" s="447"/>
      <c r="AB808" s="447"/>
      <c r="AC808" s="447"/>
      <c r="AD808" s="447"/>
      <c r="AE808" s="447"/>
      <c r="AF808" s="448"/>
      <c r="AG808" s="448"/>
      <c r="AH808" s="449"/>
      <c r="AI808" s="447"/>
      <c r="AJ808" s="447"/>
      <c r="AK808" s="447"/>
      <c r="AL808" s="447"/>
      <c r="AM808" s="447"/>
      <c r="AN808" s="447"/>
      <c r="AO808" s="447"/>
      <c r="AP808" s="447"/>
      <c r="AQ808" s="447"/>
      <c r="AR808" s="447"/>
      <c r="AS808" s="447"/>
      <c r="AT808" s="447"/>
      <c r="AU808" s="447"/>
      <c r="AV808" s="447"/>
      <c r="AW808" s="447"/>
      <c r="AX808" s="447"/>
      <c r="AY808" s="447"/>
      <c r="AZ808" s="447"/>
      <c r="BA808" s="447"/>
      <c r="BB808" s="447"/>
      <c r="BC808" s="447"/>
      <c r="BD808" s="447"/>
      <c r="BE808" s="447"/>
      <c r="BF808" s="447"/>
      <c r="BG808" s="447"/>
      <c r="BH808" s="447"/>
      <c r="BI808" s="447"/>
      <c r="BJ808" s="447"/>
      <c r="BK808" s="447"/>
      <c r="BL808" s="447"/>
      <c r="BM808" s="448"/>
      <c r="BN808" s="448"/>
    </row>
    <row r="809" spans="1:66" ht="11.25" customHeight="1">
      <c r="A809" s="450"/>
      <c r="B809" s="447"/>
      <c r="C809" s="447"/>
      <c r="D809" s="447"/>
      <c r="E809" s="447"/>
      <c r="F809" s="447"/>
      <c r="G809" s="447"/>
      <c r="H809" s="447"/>
      <c r="I809" s="447"/>
      <c r="J809" s="447"/>
      <c r="K809" s="447"/>
      <c r="L809" s="447"/>
      <c r="M809" s="447"/>
      <c r="N809" s="447"/>
      <c r="O809" s="447"/>
      <c r="P809" s="447"/>
      <c r="Q809" s="447"/>
      <c r="R809" s="447"/>
      <c r="S809" s="447"/>
      <c r="T809" s="447"/>
      <c r="U809" s="447"/>
      <c r="V809" s="447"/>
      <c r="W809" s="447"/>
      <c r="X809" s="447"/>
      <c r="Y809" s="447"/>
      <c r="Z809" s="447"/>
      <c r="AA809" s="447"/>
      <c r="AB809" s="447"/>
      <c r="AC809" s="447"/>
      <c r="AD809" s="447"/>
      <c r="AE809" s="447"/>
      <c r="AF809" s="448"/>
      <c r="AG809" s="448"/>
      <c r="AH809" s="449"/>
      <c r="AI809" s="447"/>
      <c r="AJ809" s="447"/>
      <c r="AK809" s="447"/>
      <c r="AL809" s="447"/>
      <c r="AM809" s="447"/>
      <c r="AN809" s="447"/>
      <c r="AO809" s="447"/>
      <c r="AP809" s="447"/>
      <c r="AQ809" s="447"/>
      <c r="AR809" s="447"/>
      <c r="AS809" s="447"/>
      <c r="AT809" s="447"/>
      <c r="AU809" s="447"/>
      <c r="AV809" s="447"/>
      <c r="AW809" s="447"/>
      <c r="AX809" s="447"/>
      <c r="AY809" s="447"/>
      <c r="AZ809" s="447"/>
      <c r="BA809" s="447"/>
      <c r="BB809" s="447"/>
      <c r="BC809" s="447"/>
      <c r="BD809" s="447"/>
      <c r="BE809" s="447"/>
      <c r="BF809" s="447"/>
      <c r="BG809" s="447"/>
      <c r="BH809" s="447"/>
      <c r="BI809" s="447"/>
      <c r="BJ809" s="447"/>
      <c r="BK809" s="447"/>
      <c r="BL809" s="447"/>
      <c r="BM809" s="448"/>
      <c r="BN809" s="448"/>
    </row>
    <row r="810" spans="1:66" ht="11.25" customHeight="1">
      <c r="A810" s="450"/>
      <c r="B810" s="447"/>
      <c r="C810" s="447"/>
      <c r="D810" s="447"/>
      <c r="E810" s="447"/>
      <c r="F810" s="447"/>
      <c r="G810" s="447"/>
      <c r="H810" s="447"/>
      <c r="I810" s="447"/>
      <c r="J810" s="447"/>
      <c r="K810" s="447"/>
      <c r="L810" s="447"/>
      <c r="M810" s="447"/>
      <c r="N810" s="447"/>
      <c r="O810" s="447"/>
      <c r="P810" s="447"/>
      <c r="Q810" s="447"/>
      <c r="R810" s="447"/>
      <c r="S810" s="447"/>
      <c r="T810" s="447"/>
      <c r="U810" s="447"/>
      <c r="V810" s="447"/>
      <c r="W810" s="447"/>
      <c r="X810" s="447"/>
      <c r="Y810" s="447"/>
      <c r="Z810" s="447"/>
      <c r="AA810" s="447"/>
      <c r="AB810" s="447"/>
      <c r="AC810" s="447"/>
      <c r="AD810" s="447"/>
      <c r="AE810" s="447"/>
      <c r="AF810" s="448"/>
      <c r="AG810" s="448"/>
      <c r="AH810" s="449"/>
      <c r="AI810" s="447"/>
      <c r="AJ810" s="447"/>
      <c r="AK810" s="447"/>
      <c r="AL810" s="447"/>
      <c r="AM810" s="447"/>
      <c r="AN810" s="447"/>
      <c r="AO810" s="447"/>
      <c r="AP810" s="447"/>
      <c r="AQ810" s="447"/>
      <c r="AR810" s="447"/>
      <c r="AS810" s="447"/>
      <c r="AT810" s="447"/>
      <c r="AU810" s="447"/>
      <c r="AV810" s="447"/>
      <c r="AW810" s="447"/>
      <c r="AX810" s="447"/>
      <c r="AY810" s="447"/>
      <c r="AZ810" s="447"/>
      <c r="BA810" s="447"/>
      <c r="BB810" s="447"/>
      <c r="BC810" s="447"/>
      <c r="BD810" s="447"/>
      <c r="BE810" s="447"/>
      <c r="BF810" s="447"/>
      <c r="BG810" s="447"/>
      <c r="BH810" s="447"/>
      <c r="BI810" s="447"/>
      <c r="BJ810" s="447"/>
      <c r="BK810" s="447"/>
      <c r="BL810" s="447"/>
      <c r="BM810" s="448"/>
      <c r="BN810" s="448"/>
    </row>
    <row r="811" spans="1:66" ht="11.25" customHeight="1">
      <c r="A811" s="450"/>
      <c r="B811" s="447"/>
      <c r="C811" s="447"/>
      <c r="D811" s="447"/>
      <c r="E811" s="447"/>
      <c r="F811" s="447"/>
      <c r="G811" s="447"/>
      <c r="H811" s="447"/>
      <c r="I811" s="447"/>
      <c r="J811" s="447"/>
      <c r="K811" s="447"/>
      <c r="L811" s="447"/>
      <c r="M811" s="447"/>
      <c r="N811" s="447"/>
      <c r="O811" s="447"/>
      <c r="P811" s="447"/>
      <c r="Q811" s="447"/>
      <c r="R811" s="447"/>
      <c r="S811" s="447"/>
      <c r="T811" s="447"/>
      <c r="U811" s="447"/>
      <c r="V811" s="447"/>
      <c r="W811" s="447"/>
      <c r="X811" s="447"/>
      <c r="Y811" s="447"/>
      <c r="Z811" s="447"/>
      <c r="AA811" s="447"/>
      <c r="AB811" s="447"/>
      <c r="AC811" s="447"/>
      <c r="AD811" s="447"/>
      <c r="AE811" s="447"/>
      <c r="AF811" s="448"/>
      <c r="AG811" s="448"/>
      <c r="AH811" s="449"/>
      <c r="AI811" s="447"/>
      <c r="AJ811" s="447"/>
      <c r="AK811" s="447"/>
      <c r="AL811" s="447"/>
      <c r="AM811" s="447"/>
      <c r="AN811" s="447"/>
      <c r="AO811" s="447"/>
      <c r="AP811" s="447"/>
      <c r="AQ811" s="447"/>
      <c r="AR811" s="447"/>
      <c r="AS811" s="447"/>
      <c r="AT811" s="447"/>
      <c r="AU811" s="447"/>
      <c r="AV811" s="447"/>
      <c r="AW811" s="447"/>
      <c r="AX811" s="447"/>
      <c r="AY811" s="447"/>
      <c r="AZ811" s="447"/>
      <c r="BA811" s="447"/>
      <c r="BB811" s="447"/>
      <c r="BC811" s="447"/>
      <c r="BD811" s="447"/>
      <c r="BE811" s="447"/>
      <c r="BF811" s="447"/>
      <c r="BG811" s="447"/>
      <c r="BH811" s="447"/>
      <c r="BI811" s="447"/>
      <c r="BJ811" s="447"/>
      <c r="BK811" s="447"/>
      <c r="BL811" s="447"/>
      <c r="BM811" s="448"/>
      <c r="BN811" s="448"/>
    </row>
    <row r="812" spans="1:66" ht="11.25" customHeight="1">
      <c r="A812" s="450"/>
      <c r="B812" s="447"/>
      <c r="C812" s="447"/>
      <c r="D812" s="447"/>
      <c r="E812" s="447"/>
      <c r="F812" s="447"/>
      <c r="G812" s="447"/>
      <c r="H812" s="447"/>
      <c r="I812" s="447"/>
      <c r="J812" s="447"/>
      <c r="K812" s="447"/>
      <c r="L812" s="447"/>
      <c r="M812" s="447"/>
      <c r="N812" s="447"/>
      <c r="O812" s="447"/>
      <c r="P812" s="447"/>
      <c r="Q812" s="447"/>
      <c r="R812" s="447"/>
      <c r="S812" s="447"/>
      <c r="T812" s="447"/>
      <c r="U812" s="447"/>
      <c r="V812" s="447"/>
      <c r="W812" s="447"/>
      <c r="X812" s="447"/>
      <c r="Y812" s="447"/>
      <c r="Z812" s="447"/>
      <c r="AA812" s="447"/>
      <c r="AB812" s="447"/>
      <c r="AC812" s="447"/>
      <c r="AD812" s="447"/>
      <c r="AE812" s="447"/>
      <c r="AF812" s="448"/>
      <c r="AG812" s="448"/>
      <c r="AH812" s="449"/>
      <c r="AI812" s="447"/>
      <c r="AJ812" s="447"/>
      <c r="AK812" s="447"/>
      <c r="AL812" s="447"/>
      <c r="AM812" s="447"/>
      <c r="AN812" s="447"/>
      <c r="AO812" s="447"/>
      <c r="AP812" s="447"/>
      <c r="AQ812" s="447"/>
      <c r="AR812" s="447"/>
      <c r="AS812" s="447"/>
      <c r="AT812" s="447"/>
      <c r="AU812" s="447"/>
      <c r="AV812" s="447"/>
      <c r="AW812" s="447"/>
      <c r="AX812" s="447"/>
      <c r="AY812" s="447"/>
      <c r="AZ812" s="447"/>
      <c r="BA812" s="447"/>
      <c r="BB812" s="447"/>
      <c r="BC812" s="447"/>
      <c r="BD812" s="447"/>
      <c r="BE812" s="447"/>
      <c r="BF812" s="447"/>
      <c r="BG812" s="447"/>
      <c r="BH812" s="447"/>
      <c r="BI812" s="447"/>
      <c r="BJ812" s="447"/>
      <c r="BK812" s="447"/>
      <c r="BL812" s="447"/>
      <c r="BM812" s="448"/>
      <c r="BN812" s="448"/>
    </row>
    <row r="813" spans="1:66" ht="11.25" customHeight="1">
      <c r="A813" s="450"/>
      <c r="B813" s="447"/>
      <c r="C813" s="447"/>
      <c r="D813" s="447"/>
      <c r="E813" s="447"/>
      <c r="F813" s="447"/>
      <c r="G813" s="447"/>
      <c r="H813" s="447"/>
      <c r="I813" s="447"/>
      <c r="J813" s="447"/>
      <c r="K813" s="447"/>
      <c r="L813" s="447"/>
      <c r="M813" s="447"/>
      <c r="N813" s="447"/>
      <c r="O813" s="447"/>
      <c r="P813" s="447"/>
      <c r="Q813" s="447"/>
      <c r="R813" s="447"/>
      <c r="S813" s="447"/>
      <c r="T813" s="447"/>
      <c r="U813" s="447"/>
      <c r="V813" s="447"/>
      <c r="W813" s="447"/>
      <c r="X813" s="447"/>
      <c r="Y813" s="447"/>
      <c r="Z813" s="447"/>
      <c r="AA813" s="447"/>
      <c r="AB813" s="447"/>
      <c r="AC813" s="447"/>
      <c r="AD813" s="447"/>
      <c r="AE813" s="447"/>
      <c r="AF813" s="448"/>
      <c r="AG813" s="448"/>
      <c r="AH813" s="449"/>
      <c r="AI813" s="447"/>
      <c r="AJ813" s="447"/>
      <c r="AK813" s="447"/>
      <c r="AL813" s="447"/>
      <c r="AM813" s="447"/>
      <c r="AN813" s="447"/>
      <c r="AO813" s="447"/>
      <c r="AP813" s="447"/>
      <c r="AQ813" s="447"/>
      <c r="AR813" s="447"/>
      <c r="AS813" s="447"/>
      <c r="AT813" s="447"/>
      <c r="AU813" s="447"/>
      <c r="AV813" s="447"/>
      <c r="AW813" s="447"/>
      <c r="AX813" s="447"/>
      <c r="AY813" s="447"/>
      <c r="AZ813" s="447"/>
      <c r="BA813" s="447"/>
      <c r="BB813" s="447"/>
      <c r="BC813" s="447"/>
      <c r="BD813" s="447"/>
      <c r="BE813" s="447"/>
      <c r="BF813" s="447"/>
      <c r="BG813" s="447"/>
      <c r="BH813" s="447"/>
      <c r="BI813" s="447"/>
      <c r="BJ813" s="447"/>
      <c r="BK813" s="447"/>
      <c r="BL813" s="447"/>
      <c r="BM813" s="448"/>
      <c r="BN813" s="448"/>
    </row>
    <row r="814" spans="1:66" ht="11.25" customHeight="1">
      <c r="A814" s="450"/>
      <c r="B814" s="447"/>
      <c r="C814" s="447"/>
      <c r="D814" s="447"/>
      <c r="E814" s="447"/>
      <c r="F814" s="447"/>
      <c r="G814" s="447"/>
      <c r="H814" s="447"/>
      <c r="I814" s="447"/>
      <c r="J814" s="447"/>
      <c r="K814" s="447"/>
      <c r="L814" s="447"/>
      <c r="M814" s="447"/>
      <c r="N814" s="447"/>
      <c r="O814" s="447"/>
      <c r="P814" s="447"/>
      <c r="Q814" s="447"/>
      <c r="R814" s="447"/>
      <c r="S814" s="447"/>
      <c r="T814" s="447"/>
      <c r="U814" s="447"/>
      <c r="V814" s="447"/>
      <c r="W814" s="447"/>
      <c r="X814" s="447"/>
      <c r="Y814" s="447"/>
      <c r="Z814" s="447"/>
      <c r="AA814" s="447"/>
      <c r="AB814" s="447"/>
      <c r="AC814" s="447"/>
      <c r="AD814" s="447"/>
      <c r="AE814" s="447"/>
      <c r="AF814" s="448"/>
      <c r="AG814" s="448"/>
      <c r="AH814" s="449"/>
      <c r="AI814" s="447"/>
      <c r="AJ814" s="447"/>
      <c r="AK814" s="447"/>
      <c r="AL814" s="447"/>
      <c r="AM814" s="447"/>
      <c r="AN814" s="447"/>
      <c r="AO814" s="447"/>
      <c r="AP814" s="447"/>
      <c r="AQ814" s="447"/>
      <c r="AR814" s="447"/>
      <c r="AS814" s="447"/>
      <c r="AT814" s="447"/>
      <c r="AU814" s="447"/>
      <c r="AV814" s="447"/>
      <c r="AW814" s="447"/>
      <c r="AX814" s="447"/>
      <c r="AY814" s="447"/>
      <c r="AZ814" s="447"/>
      <c r="BA814" s="447"/>
      <c r="BB814" s="447"/>
      <c r="BC814" s="447"/>
      <c r="BD814" s="447"/>
      <c r="BE814" s="447"/>
      <c r="BF814" s="447"/>
      <c r="BG814" s="447"/>
      <c r="BH814" s="447"/>
      <c r="BI814" s="447"/>
      <c r="BJ814" s="447"/>
      <c r="BK814" s="447"/>
      <c r="BL814" s="447"/>
      <c r="BM814" s="448"/>
      <c r="BN814" s="448"/>
    </row>
    <row r="815" spans="1:66" ht="11.25" customHeight="1">
      <c r="A815" s="450"/>
      <c r="B815" s="447"/>
      <c r="C815" s="447"/>
      <c r="D815" s="447"/>
      <c r="E815" s="447"/>
      <c r="F815" s="447"/>
      <c r="G815" s="447"/>
      <c r="H815" s="447"/>
      <c r="I815" s="447"/>
      <c r="J815" s="447"/>
      <c r="K815" s="447"/>
      <c r="L815" s="447"/>
      <c r="M815" s="447"/>
      <c r="N815" s="447"/>
      <c r="O815" s="447"/>
      <c r="P815" s="447"/>
      <c r="Q815" s="447"/>
      <c r="R815" s="447"/>
      <c r="S815" s="447"/>
      <c r="T815" s="447"/>
      <c r="U815" s="447"/>
      <c r="V815" s="447"/>
      <c r="W815" s="447"/>
      <c r="X815" s="447"/>
      <c r="Y815" s="447"/>
      <c r="Z815" s="447"/>
      <c r="AA815" s="447"/>
      <c r="AB815" s="447"/>
      <c r="AC815" s="447"/>
      <c r="AD815" s="447"/>
      <c r="AE815" s="447"/>
      <c r="AF815" s="448"/>
      <c r="AG815" s="448"/>
      <c r="AH815" s="449"/>
      <c r="AI815" s="447"/>
      <c r="AJ815" s="447"/>
      <c r="AK815" s="447"/>
      <c r="AL815" s="447"/>
      <c r="AM815" s="447"/>
      <c r="AN815" s="447"/>
      <c r="AO815" s="447"/>
      <c r="AP815" s="447"/>
      <c r="AQ815" s="447"/>
      <c r="AR815" s="447"/>
      <c r="AS815" s="447"/>
      <c r="AT815" s="447"/>
      <c r="AU815" s="447"/>
      <c r="AV815" s="447"/>
      <c r="AW815" s="447"/>
      <c r="AX815" s="447"/>
      <c r="AY815" s="447"/>
      <c r="AZ815" s="447"/>
      <c r="BA815" s="447"/>
      <c r="BB815" s="447"/>
      <c r="BC815" s="447"/>
      <c r="BD815" s="447"/>
      <c r="BE815" s="447"/>
      <c r="BF815" s="447"/>
      <c r="BG815" s="447"/>
      <c r="BH815" s="447"/>
      <c r="BI815" s="447"/>
      <c r="BJ815" s="447"/>
      <c r="BK815" s="447"/>
      <c r="BL815" s="447"/>
      <c r="BM815" s="448"/>
      <c r="BN815" s="448"/>
    </row>
    <row r="816" spans="1:66" ht="11.25" customHeight="1">
      <c r="A816" s="450"/>
      <c r="B816" s="447"/>
      <c r="C816" s="447"/>
      <c r="D816" s="447"/>
      <c r="E816" s="447"/>
      <c r="F816" s="447"/>
      <c r="G816" s="447"/>
      <c r="H816" s="447"/>
      <c r="I816" s="447"/>
      <c r="J816" s="447"/>
      <c r="K816" s="447"/>
      <c r="L816" s="447"/>
      <c r="M816" s="447"/>
      <c r="N816" s="447"/>
      <c r="O816" s="447"/>
      <c r="P816" s="447"/>
      <c r="Q816" s="447"/>
      <c r="R816" s="447"/>
      <c r="S816" s="447"/>
      <c r="T816" s="447"/>
      <c r="U816" s="447"/>
      <c r="V816" s="447"/>
      <c r="W816" s="447"/>
      <c r="X816" s="447"/>
      <c r="Y816" s="447"/>
      <c r="Z816" s="447"/>
      <c r="AA816" s="447"/>
      <c r="AB816" s="447"/>
      <c r="AC816" s="447"/>
      <c r="AD816" s="447"/>
      <c r="AE816" s="447"/>
      <c r="AF816" s="448"/>
      <c r="AG816" s="448"/>
      <c r="AH816" s="449"/>
      <c r="AI816" s="447"/>
      <c r="AJ816" s="447"/>
      <c r="AK816" s="447"/>
      <c r="AL816" s="447"/>
      <c r="AM816" s="447"/>
      <c r="AN816" s="447"/>
      <c r="AO816" s="447"/>
      <c r="AP816" s="447"/>
      <c r="AQ816" s="447"/>
      <c r="AR816" s="447"/>
      <c r="AS816" s="447"/>
      <c r="AT816" s="447"/>
      <c r="AU816" s="447"/>
      <c r="AV816" s="447"/>
      <c r="AW816" s="447"/>
      <c r="AX816" s="447"/>
      <c r="AY816" s="447"/>
      <c r="AZ816" s="447"/>
      <c r="BA816" s="447"/>
      <c r="BB816" s="447"/>
      <c r="BC816" s="447"/>
      <c r="BD816" s="447"/>
      <c r="BE816" s="447"/>
      <c r="BF816" s="447"/>
      <c r="BG816" s="447"/>
      <c r="BH816" s="447"/>
      <c r="BI816" s="447"/>
      <c r="BJ816" s="447"/>
      <c r="BK816" s="447"/>
      <c r="BL816" s="447"/>
      <c r="BM816" s="448"/>
      <c r="BN816" s="448"/>
    </row>
    <row r="817" spans="1:66" ht="11.25" customHeight="1">
      <c r="A817" s="450"/>
      <c r="B817" s="447"/>
      <c r="C817" s="447"/>
      <c r="D817" s="447"/>
      <c r="E817" s="447"/>
      <c r="F817" s="447"/>
      <c r="G817" s="447"/>
      <c r="H817" s="447"/>
      <c r="I817" s="447"/>
      <c r="J817" s="447"/>
      <c r="K817" s="447"/>
      <c r="L817" s="447"/>
      <c r="M817" s="447"/>
      <c r="N817" s="447"/>
      <c r="O817" s="447"/>
      <c r="P817" s="447"/>
      <c r="Q817" s="447"/>
      <c r="R817" s="447"/>
      <c r="S817" s="447"/>
      <c r="T817" s="447"/>
      <c r="U817" s="447"/>
      <c r="V817" s="447"/>
      <c r="W817" s="447"/>
      <c r="X817" s="447"/>
      <c r="Y817" s="447"/>
      <c r="Z817" s="447"/>
      <c r="AA817" s="447"/>
      <c r="AB817" s="447"/>
      <c r="AC817" s="447"/>
      <c r="AD817" s="447"/>
      <c r="AE817" s="447"/>
      <c r="AF817" s="448"/>
      <c r="AG817" s="448"/>
      <c r="AH817" s="449"/>
      <c r="AI817" s="447"/>
      <c r="AJ817" s="447"/>
      <c r="AK817" s="447"/>
      <c r="AL817" s="447"/>
      <c r="AM817" s="447"/>
      <c r="AN817" s="447"/>
      <c r="AO817" s="447"/>
      <c r="AP817" s="447"/>
      <c r="AQ817" s="447"/>
      <c r="AR817" s="447"/>
      <c r="AS817" s="447"/>
      <c r="AT817" s="447"/>
      <c r="AU817" s="447"/>
      <c r="AV817" s="447"/>
      <c r="AW817" s="447"/>
      <c r="AX817" s="447"/>
      <c r="AY817" s="447"/>
      <c r="AZ817" s="447"/>
      <c r="BA817" s="447"/>
      <c r="BB817" s="447"/>
      <c r="BC817" s="447"/>
      <c r="BD817" s="447"/>
      <c r="BE817" s="447"/>
      <c r="BF817" s="447"/>
      <c r="BG817" s="447"/>
      <c r="BH817" s="447"/>
      <c r="BI817" s="447"/>
      <c r="BJ817" s="447"/>
      <c r="BK817" s="447"/>
      <c r="BL817" s="447"/>
      <c r="BM817" s="448"/>
      <c r="BN817" s="448"/>
    </row>
    <row r="818" spans="1:66" ht="11.25" customHeight="1">
      <c r="A818" s="450"/>
      <c r="B818" s="447"/>
      <c r="C818" s="447"/>
      <c r="D818" s="447"/>
      <c r="E818" s="447"/>
      <c r="F818" s="447"/>
      <c r="G818" s="447"/>
      <c r="H818" s="447"/>
      <c r="I818" s="447"/>
      <c r="J818" s="447"/>
      <c r="K818" s="447"/>
      <c r="L818" s="447"/>
      <c r="M818" s="447"/>
      <c r="N818" s="447"/>
      <c r="O818" s="447"/>
      <c r="P818" s="447"/>
      <c r="Q818" s="447"/>
      <c r="R818" s="447"/>
      <c r="S818" s="447"/>
      <c r="T818" s="447"/>
      <c r="U818" s="447"/>
      <c r="V818" s="447"/>
      <c r="W818" s="447"/>
      <c r="X818" s="447"/>
      <c r="Y818" s="447"/>
      <c r="Z818" s="447"/>
      <c r="AA818" s="447"/>
      <c r="AB818" s="447"/>
      <c r="AC818" s="447"/>
      <c r="AD818" s="447"/>
      <c r="AE818" s="447"/>
      <c r="AF818" s="448"/>
      <c r="AG818" s="448"/>
      <c r="AH818" s="449"/>
      <c r="AI818" s="447"/>
      <c r="AJ818" s="447"/>
      <c r="AK818" s="447"/>
      <c r="AL818" s="447"/>
      <c r="AM818" s="447"/>
      <c r="AN818" s="447"/>
      <c r="AO818" s="447"/>
      <c r="AP818" s="447"/>
      <c r="AQ818" s="447"/>
      <c r="AR818" s="447"/>
      <c r="AS818" s="447"/>
      <c r="AT818" s="447"/>
      <c r="AU818" s="447"/>
      <c r="AV818" s="447"/>
      <c r="AW818" s="447"/>
      <c r="AX818" s="447"/>
      <c r="AY818" s="447"/>
      <c r="AZ818" s="447"/>
      <c r="BA818" s="447"/>
      <c r="BB818" s="447"/>
      <c r="BC818" s="447"/>
      <c r="BD818" s="447"/>
      <c r="BE818" s="447"/>
      <c r="BF818" s="447"/>
      <c r="BG818" s="447"/>
      <c r="BH818" s="447"/>
      <c r="BI818" s="447"/>
      <c r="BJ818" s="447"/>
      <c r="BK818" s="447"/>
      <c r="BL818" s="447"/>
      <c r="BM818" s="448"/>
      <c r="BN818" s="448"/>
    </row>
    <row r="819" spans="1:66" ht="11.25" customHeight="1">
      <c r="A819" s="450"/>
      <c r="B819" s="447"/>
      <c r="C819" s="447"/>
      <c r="D819" s="447"/>
      <c r="E819" s="447"/>
      <c r="F819" s="447"/>
      <c r="G819" s="447"/>
      <c r="H819" s="447"/>
      <c r="I819" s="447"/>
      <c r="J819" s="447"/>
      <c r="K819" s="447"/>
      <c r="L819" s="447"/>
      <c r="M819" s="447"/>
      <c r="N819" s="447"/>
      <c r="O819" s="447"/>
      <c r="P819" s="447"/>
      <c r="Q819" s="447"/>
      <c r="R819" s="447"/>
      <c r="S819" s="447"/>
      <c r="T819" s="447"/>
      <c r="U819" s="447"/>
      <c r="V819" s="447"/>
      <c r="W819" s="447"/>
      <c r="X819" s="447"/>
      <c r="Y819" s="447"/>
      <c r="Z819" s="447"/>
      <c r="AA819" s="447"/>
      <c r="AB819" s="447"/>
      <c r="AC819" s="447"/>
      <c r="AD819" s="447"/>
      <c r="AE819" s="447"/>
      <c r="AF819" s="448"/>
      <c r="AG819" s="448"/>
      <c r="AH819" s="449"/>
      <c r="AI819" s="447"/>
      <c r="AJ819" s="447"/>
      <c r="AK819" s="447"/>
      <c r="AL819" s="447"/>
      <c r="AM819" s="447"/>
      <c r="AN819" s="447"/>
      <c r="AO819" s="447"/>
      <c r="AP819" s="447"/>
      <c r="AQ819" s="447"/>
      <c r="AR819" s="447"/>
      <c r="AS819" s="447"/>
      <c r="AT819" s="447"/>
      <c r="AU819" s="447"/>
      <c r="AV819" s="447"/>
      <c r="AW819" s="447"/>
      <c r="AX819" s="447"/>
      <c r="AY819" s="447"/>
      <c r="AZ819" s="447"/>
      <c r="BA819" s="447"/>
      <c r="BB819" s="447"/>
      <c r="BC819" s="447"/>
      <c r="BD819" s="447"/>
      <c r="BE819" s="447"/>
      <c r="BF819" s="447"/>
      <c r="BG819" s="447"/>
      <c r="BH819" s="447"/>
      <c r="BI819" s="447"/>
      <c r="BJ819" s="447"/>
      <c r="BK819" s="447"/>
      <c r="BL819" s="447"/>
      <c r="BM819" s="448"/>
      <c r="BN819" s="448"/>
    </row>
    <row r="820" spans="1:66" ht="11.25" customHeight="1">
      <c r="A820" s="450"/>
      <c r="B820" s="447"/>
      <c r="C820" s="447"/>
      <c r="D820" s="447"/>
      <c r="E820" s="447"/>
      <c r="F820" s="447"/>
      <c r="G820" s="447"/>
      <c r="H820" s="447"/>
      <c r="I820" s="447"/>
      <c r="J820" s="447"/>
      <c r="K820" s="447"/>
      <c r="L820" s="447"/>
      <c r="M820" s="447"/>
      <c r="N820" s="447"/>
      <c r="O820" s="447"/>
      <c r="P820" s="447"/>
      <c r="Q820" s="447"/>
      <c r="R820" s="447"/>
      <c r="S820" s="447"/>
      <c r="T820" s="447"/>
      <c r="U820" s="447"/>
      <c r="V820" s="447"/>
      <c r="W820" s="447"/>
      <c r="X820" s="447"/>
      <c r="Y820" s="447"/>
      <c r="Z820" s="447"/>
      <c r="AA820" s="447"/>
      <c r="AB820" s="447"/>
      <c r="AC820" s="447"/>
      <c r="AD820" s="447"/>
      <c r="AE820" s="447"/>
      <c r="AF820" s="448"/>
      <c r="AG820" s="448"/>
      <c r="AH820" s="449"/>
      <c r="AI820" s="447"/>
      <c r="AJ820" s="447"/>
      <c r="AK820" s="447"/>
      <c r="AL820" s="447"/>
      <c r="AM820" s="447"/>
      <c r="AN820" s="447"/>
      <c r="AO820" s="447"/>
      <c r="AP820" s="447"/>
      <c r="AQ820" s="447"/>
      <c r="AR820" s="447"/>
      <c r="AS820" s="447"/>
      <c r="AT820" s="447"/>
      <c r="AU820" s="447"/>
      <c r="AV820" s="447"/>
      <c r="AW820" s="447"/>
      <c r="AX820" s="447"/>
      <c r="AY820" s="447"/>
      <c r="AZ820" s="447"/>
      <c r="BA820" s="447"/>
      <c r="BB820" s="447"/>
      <c r="BC820" s="447"/>
      <c r="BD820" s="447"/>
      <c r="BE820" s="447"/>
      <c r="BF820" s="447"/>
      <c r="BG820" s="447"/>
      <c r="BH820" s="447"/>
      <c r="BI820" s="447"/>
      <c r="BJ820" s="447"/>
      <c r="BK820" s="447"/>
      <c r="BL820" s="447"/>
      <c r="BM820" s="448"/>
      <c r="BN820" s="448"/>
    </row>
    <row r="821" spans="1:66" ht="11.25" customHeight="1">
      <c r="A821" s="450"/>
      <c r="B821" s="447"/>
      <c r="C821" s="447"/>
      <c r="D821" s="447"/>
      <c r="E821" s="447"/>
      <c r="F821" s="447"/>
      <c r="G821" s="447"/>
      <c r="H821" s="447"/>
      <c r="I821" s="447"/>
      <c r="J821" s="447"/>
      <c r="K821" s="447"/>
      <c r="L821" s="447"/>
      <c r="M821" s="447"/>
      <c r="N821" s="447"/>
      <c r="O821" s="447"/>
      <c r="P821" s="447"/>
      <c r="Q821" s="447"/>
      <c r="R821" s="447"/>
      <c r="S821" s="447"/>
      <c r="T821" s="447"/>
      <c r="U821" s="447"/>
      <c r="V821" s="447"/>
      <c r="W821" s="447"/>
      <c r="X821" s="447"/>
      <c r="Y821" s="447"/>
      <c r="Z821" s="447"/>
      <c r="AA821" s="447"/>
      <c r="AB821" s="447"/>
      <c r="AC821" s="447"/>
      <c r="AD821" s="447"/>
      <c r="AE821" s="447"/>
      <c r="AF821" s="448"/>
      <c r="AG821" s="448"/>
      <c r="AH821" s="449"/>
      <c r="AI821" s="447"/>
      <c r="AJ821" s="447"/>
      <c r="AK821" s="447"/>
      <c r="AL821" s="447"/>
      <c r="AM821" s="447"/>
      <c r="AN821" s="447"/>
      <c r="AO821" s="447"/>
      <c r="AP821" s="447"/>
      <c r="AQ821" s="447"/>
      <c r="AR821" s="447"/>
      <c r="AS821" s="447"/>
      <c r="AT821" s="447"/>
      <c r="AU821" s="447"/>
      <c r="AV821" s="447"/>
      <c r="AW821" s="447"/>
      <c r="AX821" s="447"/>
      <c r="AY821" s="447"/>
      <c r="AZ821" s="447"/>
      <c r="BA821" s="447"/>
      <c r="BB821" s="447"/>
      <c r="BC821" s="447"/>
      <c r="BD821" s="447"/>
      <c r="BE821" s="447"/>
      <c r="BF821" s="447"/>
      <c r="BG821" s="447"/>
      <c r="BH821" s="447"/>
      <c r="BI821" s="447"/>
      <c r="BJ821" s="447"/>
      <c r="BK821" s="447"/>
      <c r="BL821" s="447"/>
      <c r="BM821" s="448"/>
      <c r="BN821" s="448"/>
    </row>
    <row r="822" spans="1:66" ht="11.25" customHeight="1">
      <c r="A822" s="450"/>
      <c r="B822" s="447"/>
      <c r="C822" s="447"/>
      <c r="D822" s="447"/>
      <c r="E822" s="447"/>
      <c r="F822" s="447"/>
      <c r="G822" s="447"/>
      <c r="H822" s="447"/>
      <c r="I822" s="447"/>
      <c r="J822" s="447"/>
      <c r="K822" s="447"/>
      <c r="L822" s="447"/>
      <c r="M822" s="447"/>
      <c r="N822" s="447"/>
      <c r="O822" s="447"/>
      <c r="P822" s="447"/>
      <c r="Q822" s="447"/>
      <c r="R822" s="447"/>
      <c r="S822" s="447"/>
      <c r="T822" s="447"/>
      <c r="U822" s="447"/>
      <c r="V822" s="447"/>
      <c r="W822" s="447"/>
      <c r="X822" s="447"/>
      <c r="Y822" s="447"/>
      <c r="Z822" s="447"/>
      <c r="AA822" s="447"/>
      <c r="AB822" s="447"/>
      <c r="AC822" s="447"/>
      <c r="AD822" s="447"/>
      <c r="AE822" s="447"/>
      <c r="AF822" s="448"/>
      <c r="AG822" s="448"/>
      <c r="AH822" s="449"/>
      <c r="AI822" s="447"/>
      <c r="AJ822" s="447"/>
      <c r="AK822" s="447"/>
      <c r="AL822" s="447"/>
      <c r="AM822" s="447"/>
      <c r="AN822" s="447"/>
      <c r="AO822" s="447"/>
      <c r="AP822" s="447"/>
      <c r="AQ822" s="447"/>
      <c r="AR822" s="447"/>
      <c r="AS822" s="447"/>
      <c r="AT822" s="447"/>
      <c r="AU822" s="447"/>
      <c r="AV822" s="447"/>
      <c r="AW822" s="447"/>
      <c r="AX822" s="447"/>
      <c r="AY822" s="447"/>
      <c r="AZ822" s="447"/>
      <c r="BA822" s="447"/>
      <c r="BB822" s="447"/>
      <c r="BC822" s="447"/>
      <c r="BD822" s="447"/>
      <c r="BE822" s="447"/>
      <c r="BF822" s="447"/>
      <c r="BG822" s="447"/>
      <c r="BH822" s="447"/>
      <c r="BI822" s="447"/>
      <c r="BJ822" s="447"/>
      <c r="BK822" s="447"/>
      <c r="BL822" s="447"/>
      <c r="BM822" s="448"/>
      <c r="BN822" s="448"/>
    </row>
    <row r="823" spans="1:66" ht="11.25" customHeight="1">
      <c r="A823" s="450"/>
      <c r="B823" s="447"/>
      <c r="C823" s="447"/>
      <c r="D823" s="447"/>
      <c r="E823" s="447"/>
      <c r="F823" s="447"/>
      <c r="G823" s="447"/>
      <c r="H823" s="447"/>
      <c r="I823" s="447"/>
      <c r="J823" s="447"/>
      <c r="K823" s="447"/>
      <c r="L823" s="447"/>
      <c r="M823" s="447"/>
      <c r="N823" s="447"/>
      <c r="O823" s="447"/>
      <c r="P823" s="447"/>
      <c r="Q823" s="447"/>
      <c r="R823" s="447"/>
      <c r="S823" s="447"/>
      <c r="T823" s="447"/>
      <c r="U823" s="447"/>
      <c r="V823" s="447"/>
      <c r="W823" s="447"/>
      <c r="X823" s="447"/>
      <c r="Y823" s="447"/>
      <c r="Z823" s="447"/>
      <c r="AA823" s="447"/>
      <c r="AB823" s="447"/>
      <c r="AC823" s="447"/>
      <c r="AD823" s="447"/>
      <c r="AE823" s="447"/>
      <c r="AF823" s="448"/>
      <c r="AG823" s="448"/>
      <c r="AH823" s="449"/>
      <c r="AI823" s="447"/>
      <c r="AJ823" s="447"/>
      <c r="AK823" s="447"/>
      <c r="AL823" s="447"/>
      <c r="AM823" s="447"/>
      <c r="AN823" s="447"/>
      <c r="AO823" s="447"/>
      <c r="AP823" s="447"/>
      <c r="AQ823" s="447"/>
      <c r="AR823" s="447"/>
      <c r="AS823" s="447"/>
      <c r="AT823" s="447"/>
      <c r="AU823" s="447"/>
      <c r="AV823" s="447"/>
      <c r="AW823" s="447"/>
      <c r="AX823" s="447"/>
      <c r="AY823" s="447"/>
      <c r="AZ823" s="447"/>
      <c r="BA823" s="447"/>
      <c r="BB823" s="447"/>
      <c r="BC823" s="447"/>
      <c r="BD823" s="447"/>
      <c r="BE823" s="447"/>
      <c r="BF823" s="447"/>
      <c r="BG823" s="447"/>
      <c r="BH823" s="447"/>
      <c r="BI823" s="447"/>
      <c r="BJ823" s="447"/>
      <c r="BK823" s="447"/>
      <c r="BL823" s="447"/>
      <c r="BM823" s="448"/>
      <c r="BN823" s="448"/>
    </row>
    <row r="824" spans="1:66" ht="11.25" customHeight="1">
      <c r="A824" s="450"/>
      <c r="B824" s="447"/>
      <c r="C824" s="447"/>
      <c r="D824" s="447"/>
      <c r="E824" s="447"/>
      <c r="F824" s="447"/>
      <c r="G824" s="447"/>
      <c r="H824" s="447"/>
      <c r="I824" s="447"/>
      <c r="J824" s="447"/>
      <c r="K824" s="447"/>
      <c r="L824" s="447"/>
      <c r="M824" s="447"/>
      <c r="N824" s="447"/>
      <c r="O824" s="447"/>
      <c r="P824" s="447"/>
      <c r="Q824" s="447"/>
      <c r="R824" s="447"/>
      <c r="S824" s="447"/>
      <c r="T824" s="447"/>
      <c r="U824" s="447"/>
      <c r="V824" s="447"/>
      <c r="W824" s="447"/>
      <c r="X824" s="447"/>
      <c r="Y824" s="447"/>
      <c r="Z824" s="447"/>
      <c r="AA824" s="447"/>
      <c r="AB824" s="447"/>
      <c r="AC824" s="447"/>
      <c r="AD824" s="447"/>
      <c r="AE824" s="447"/>
      <c r="AF824" s="448"/>
      <c r="AG824" s="448"/>
      <c r="AH824" s="449"/>
      <c r="AI824" s="447"/>
      <c r="AJ824" s="447"/>
      <c r="AK824" s="447"/>
      <c r="AL824" s="447"/>
      <c r="AM824" s="447"/>
      <c r="AN824" s="447"/>
      <c r="AO824" s="447"/>
      <c r="AP824" s="447"/>
      <c r="AQ824" s="447"/>
      <c r="AR824" s="447"/>
      <c r="AS824" s="447"/>
      <c r="AT824" s="447"/>
      <c r="AU824" s="447"/>
      <c r="AV824" s="447"/>
      <c r="AW824" s="447"/>
      <c r="AX824" s="447"/>
      <c r="AY824" s="447"/>
      <c r="AZ824" s="447"/>
      <c r="BA824" s="447"/>
      <c r="BB824" s="447"/>
      <c r="BC824" s="447"/>
      <c r="BD824" s="447"/>
      <c r="BE824" s="447"/>
      <c r="BF824" s="447"/>
      <c r="BG824" s="447"/>
      <c r="BH824" s="447"/>
      <c r="BI824" s="447"/>
      <c r="BJ824" s="447"/>
      <c r="BK824" s="447"/>
      <c r="BL824" s="447"/>
      <c r="BM824" s="448"/>
      <c r="BN824" s="448"/>
    </row>
    <row r="825" spans="1:66" ht="11.25" customHeight="1">
      <c r="A825" s="450"/>
      <c r="B825" s="447"/>
      <c r="C825" s="447"/>
      <c r="D825" s="447"/>
      <c r="E825" s="447"/>
      <c r="F825" s="447"/>
      <c r="G825" s="447"/>
      <c r="H825" s="447"/>
      <c r="I825" s="447"/>
      <c r="J825" s="447"/>
      <c r="K825" s="447"/>
      <c r="L825" s="447"/>
      <c r="M825" s="447"/>
      <c r="N825" s="447"/>
      <c r="O825" s="447"/>
      <c r="P825" s="447"/>
      <c r="Q825" s="447"/>
      <c r="R825" s="447"/>
      <c r="S825" s="447"/>
      <c r="T825" s="447"/>
      <c r="U825" s="447"/>
      <c r="V825" s="447"/>
      <c r="W825" s="447"/>
      <c r="X825" s="447"/>
      <c r="Y825" s="447"/>
      <c r="Z825" s="447"/>
      <c r="AA825" s="447"/>
      <c r="AB825" s="447"/>
      <c r="AC825" s="447"/>
      <c r="AD825" s="447"/>
      <c r="AE825" s="447"/>
      <c r="AF825" s="448"/>
      <c r="AG825" s="448"/>
      <c r="AH825" s="449"/>
      <c r="AI825" s="447"/>
      <c r="AJ825" s="447"/>
      <c r="AK825" s="447"/>
      <c r="AL825" s="447"/>
      <c r="AM825" s="447"/>
      <c r="AN825" s="447"/>
      <c r="AO825" s="447"/>
      <c r="AP825" s="447"/>
      <c r="AQ825" s="447"/>
      <c r="AR825" s="447"/>
      <c r="AS825" s="447"/>
      <c r="AT825" s="447"/>
      <c r="AU825" s="447"/>
      <c r="AV825" s="447"/>
      <c r="AW825" s="447"/>
      <c r="AX825" s="447"/>
      <c r="AY825" s="447"/>
      <c r="AZ825" s="447"/>
      <c r="BA825" s="447"/>
      <c r="BB825" s="447"/>
      <c r="BC825" s="447"/>
      <c r="BD825" s="447"/>
      <c r="BE825" s="447"/>
      <c r="BF825" s="447"/>
      <c r="BG825" s="447"/>
      <c r="BH825" s="447"/>
      <c r="BI825" s="447"/>
      <c r="BJ825" s="447"/>
      <c r="BK825" s="447"/>
      <c r="BL825" s="447"/>
      <c r="BM825" s="448"/>
      <c r="BN825" s="448"/>
    </row>
    <row r="826" spans="1:66" ht="11.25" customHeight="1">
      <c r="A826" s="450"/>
      <c r="B826" s="447"/>
      <c r="C826" s="447"/>
      <c r="D826" s="447"/>
      <c r="E826" s="447"/>
      <c r="F826" s="447"/>
      <c r="G826" s="447"/>
      <c r="H826" s="447"/>
      <c r="I826" s="447"/>
      <c r="J826" s="447"/>
      <c r="K826" s="447"/>
      <c r="L826" s="447"/>
      <c r="M826" s="447"/>
      <c r="N826" s="447"/>
      <c r="O826" s="447"/>
      <c r="P826" s="447"/>
      <c r="Q826" s="447"/>
      <c r="R826" s="447"/>
      <c r="S826" s="447"/>
      <c r="T826" s="447"/>
      <c r="U826" s="447"/>
      <c r="V826" s="447"/>
      <c r="W826" s="447"/>
      <c r="X826" s="447"/>
      <c r="Y826" s="447"/>
      <c r="Z826" s="447"/>
      <c r="AA826" s="447"/>
      <c r="AB826" s="447"/>
      <c r="AC826" s="447"/>
      <c r="AD826" s="447"/>
      <c r="AE826" s="447"/>
      <c r="AF826" s="448"/>
      <c r="AG826" s="448"/>
      <c r="AH826" s="449"/>
      <c r="AI826" s="447"/>
      <c r="AJ826" s="447"/>
      <c r="AK826" s="447"/>
      <c r="AL826" s="447"/>
      <c r="AM826" s="447"/>
      <c r="AN826" s="447"/>
      <c r="AO826" s="447"/>
      <c r="AP826" s="447"/>
      <c r="AQ826" s="447"/>
      <c r="AR826" s="447"/>
      <c r="AS826" s="447"/>
      <c r="AT826" s="447"/>
      <c r="AU826" s="447"/>
      <c r="AV826" s="447"/>
      <c r="AW826" s="447"/>
      <c r="AX826" s="447"/>
      <c r="AY826" s="447"/>
      <c r="AZ826" s="447"/>
      <c r="BA826" s="447"/>
      <c r="BB826" s="447"/>
      <c r="BC826" s="447"/>
      <c r="BD826" s="447"/>
      <c r="BE826" s="447"/>
      <c r="BF826" s="447"/>
      <c r="BG826" s="447"/>
      <c r="BH826" s="447"/>
      <c r="BI826" s="447"/>
      <c r="BJ826" s="447"/>
      <c r="BK826" s="447"/>
      <c r="BL826" s="447"/>
      <c r="BM826" s="448"/>
      <c r="BN826" s="448"/>
    </row>
    <row r="827" spans="1:66" ht="11.25" customHeight="1">
      <c r="A827" s="450"/>
      <c r="B827" s="447"/>
      <c r="C827" s="447"/>
      <c r="D827" s="447"/>
      <c r="E827" s="447"/>
      <c r="F827" s="447"/>
      <c r="G827" s="447"/>
      <c r="H827" s="447"/>
      <c r="I827" s="447"/>
      <c r="J827" s="447"/>
      <c r="K827" s="447"/>
      <c r="L827" s="447"/>
      <c r="M827" s="447"/>
      <c r="N827" s="447"/>
      <c r="O827" s="447"/>
      <c r="P827" s="447"/>
      <c r="Q827" s="447"/>
      <c r="R827" s="447"/>
      <c r="S827" s="447"/>
      <c r="T827" s="447"/>
      <c r="U827" s="447"/>
      <c r="V827" s="447"/>
      <c r="W827" s="447"/>
      <c r="X827" s="447"/>
      <c r="Y827" s="447"/>
      <c r="Z827" s="447"/>
      <c r="AA827" s="447"/>
      <c r="AB827" s="447"/>
      <c r="AC827" s="447"/>
      <c r="AD827" s="447"/>
      <c r="AE827" s="447"/>
      <c r="AF827" s="448"/>
      <c r="AG827" s="448"/>
      <c r="AH827" s="449"/>
      <c r="AI827" s="447"/>
      <c r="AJ827" s="447"/>
      <c r="AK827" s="447"/>
      <c r="AL827" s="447"/>
      <c r="AM827" s="447"/>
      <c r="AN827" s="447"/>
      <c r="AO827" s="447"/>
      <c r="AP827" s="447"/>
      <c r="AQ827" s="447"/>
      <c r="AR827" s="447"/>
      <c r="AS827" s="447"/>
      <c r="AT827" s="447"/>
      <c r="AU827" s="447"/>
      <c r="AV827" s="447"/>
      <c r="AW827" s="447"/>
      <c r="AX827" s="447"/>
      <c r="AY827" s="447"/>
      <c r="AZ827" s="447"/>
      <c r="BA827" s="447"/>
      <c r="BB827" s="447"/>
      <c r="BC827" s="447"/>
      <c r="BD827" s="447"/>
      <c r="BE827" s="447"/>
      <c r="BF827" s="447"/>
      <c r="BG827" s="447"/>
      <c r="BH827" s="447"/>
      <c r="BI827" s="447"/>
      <c r="BJ827" s="447"/>
      <c r="BK827" s="447"/>
      <c r="BL827" s="447"/>
      <c r="BM827" s="448"/>
      <c r="BN827" s="448"/>
    </row>
    <row r="828" spans="1:66" ht="11.25" customHeight="1">
      <c r="A828" s="450"/>
      <c r="B828" s="447"/>
      <c r="C828" s="447"/>
      <c r="D828" s="447"/>
      <c r="E828" s="447"/>
      <c r="F828" s="447"/>
      <c r="G828" s="447"/>
      <c r="H828" s="447"/>
      <c r="I828" s="447"/>
      <c r="J828" s="447"/>
      <c r="K828" s="447"/>
      <c r="L828" s="447"/>
      <c r="M828" s="447"/>
      <c r="N828" s="447"/>
      <c r="O828" s="447"/>
      <c r="P828" s="447"/>
      <c r="Q828" s="447"/>
      <c r="R828" s="447"/>
      <c r="S828" s="447"/>
      <c r="T828" s="447"/>
      <c r="U828" s="447"/>
      <c r="V828" s="447"/>
      <c r="W828" s="447"/>
      <c r="X828" s="447"/>
      <c r="Y828" s="447"/>
      <c r="Z828" s="447"/>
      <c r="AA828" s="447"/>
      <c r="AB828" s="447"/>
      <c r="AC828" s="447"/>
      <c r="AD828" s="447"/>
      <c r="AE828" s="447"/>
      <c r="AF828" s="448"/>
      <c r="AG828" s="448"/>
      <c r="AH828" s="449"/>
      <c r="AI828" s="447"/>
      <c r="AJ828" s="447"/>
      <c r="AK828" s="447"/>
      <c r="AL828" s="447"/>
      <c r="AM828" s="447"/>
      <c r="AN828" s="447"/>
      <c r="AO828" s="447"/>
      <c r="AP828" s="447"/>
      <c r="AQ828" s="447"/>
      <c r="AR828" s="447"/>
      <c r="AS828" s="447"/>
      <c r="AT828" s="447"/>
      <c r="AU828" s="447"/>
      <c r="AV828" s="447"/>
      <c r="AW828" s="447"/>
      <c r="AX828" s="447"/>
      <c r="AY828" s="447"/>
      <c r="AZ828" s="447"/>
      <c r="BA828" s="447"/>
      <c r="BB828" s="447"/>
      <c r="BC828" s="447"/>
      <c r="BD828" s="447"/>
      <c r="BE828" s="447"/>
      <c r="BF828" s="447"/>
      <c r="BG828" s="447"/>
      <c r="BH828" s="447"/>
      <c r="BI828" s="447"/>
      <c r="BJ828" s="447"/>
      <c r="BK828" s="447"/>
      <c r="BL828" s="447"/>
      <c r="BM828" s="448"/>
      <c r="BN828" s="448"/>
    </row>
    <row r="829" spans="1:66" ht="11.25" customHeight="1">
      <c r="A829" s="450"/>
      <c r="B829" s="447"/>
      <c r="C829" s="447"/>
      <c r="D829" s="447"/>
      <c r="E829" s="447"/>
      <c r="F829" s="447"/>
      <c r="G829" s="447"/>
      <c r="H829" s="447"/>
      <c r="I829" s="447"/>
      <c r="J829" s="447"/>
      <c r="K829" s="447"/>
      <c r="L829" s="447"/>
      <c r="M829" s="447"/>
      <c r="N829" s="447"/>
      <c r="O829" s="447"/>
      <c r="P829" s="447"/>
      <c r="Q829" s="447"/>
      <c r="R829" s="447"/>
      <c r="S829" s="447"/>
      <c r="T829" s="447"/>
      <c r="U829" s="447"/>
      <c r="V829" s="447"/>
      <c r="W829" s="447"/>
      <c r="X829" s="447"/>
      <c r="Y829" s="447"/>
      <c r="Z829" s="447"/>
      <c r="AA829" s="447"/>
      <c r="AB829" s="447"/>
      <c r="AC829" s="447"/>
      <c r="AD829" s="447"/>
      <c r="AE829" s="447"/>
      <c r="AF829" s="448"/>
      <c r="AG829" s="448"/>
      <c r="AH829" s="449"/>
      <c r="AI829" s="447"/>
      <c r="AJ829" s="447"/>
      <c r="AK829" s="447"/>
      <c r="AL829" s="447"/>
      <c r="AM829" s="447"/>
      <c r="AN829" s="447"/>
      <c r="AO829" s="447"/>
      <c r="AP829" s="447"/>
      <c r="AQ829" s="447"/>
      <c r="AR829" s="447"/>
      <c r="AS829" s="447"/>
      <c r="AT829" s="447"/>
      <c r="AU829" s="447"/>
      <c r="AV829" s="447"/>
      <c r="AW829" s="447"/>
      <c r="AX829" s="447"/>
      <c r="AY829" s="447"/>
      <c r="AZ829" s="447"/>
      <c r="BA829" s="447"/>
      <c r="BB829" s="447"/>
      <c r="BC829" s="447"/>
      <c r="BD829" s="447"/>
      <c r="BE829" s="447"/>
      <c r="BF829" s="447"/>
      <c r="BG829" s="447"/>
      <c r="BH829" s="447"/>
      <c r="BI829" s="447"/>
      <c r="BJ829" s="447"/>
      <c r="BK829" s="447"/>
      <c r="BL829" s="447"/>
      <c r="BM829" s="448"/>
      <c r="BN829" s="448"/>
    </row>
    <row r="830" spans="1:66" ht="11.25" customHeight="1">
      <c r="A830" s="450"/>
      <c r="B830" s="447"/>
      <c r="C830" s="447"/>
      <c r="D830" s="447"/>
      <c r="E830" s="447"/>
      <c r="F830" s="447"/>
      <c r="G830" s="447"/>
      <c r="H830" s="447"/>
      <c r="I830" s="447"/>
      <c r="J830" s="447"/>
      <c r="K830" s="447"/>
      <c r="L830" s="447"/>
      <c r="M830" s="447"/>
      <c r="N830" s="447"/>
      <c r="O830" s="447"/>
      <c r="P830" s="447"/>
      <c r="Q830" s="447"/>
      <c r="R830" s="447"/>
      <c r="S830" s="447"/>
      <c r="T830" s="447"/>
      <c r="U830" s="447"/>
      <c r="V830" s="447"/>
      <c r="W830" s="447"/>
      <c r="X830" s="447"/>
      <c r="Y830" s="447"/>
      <c r="Z830" s="447"/>
      <c r="AA830" s="447"/>
      <c r="AB830" s="447"/>
      <c r="AC830" s="447"/>
      <c r="AD830" s="447"/>
      <c r="AE830" s="447"/>
      <c r="AF830" s="448"/>
      <c r="AG830" s="448"/>
      <c r="AH830" s="449"/>
      <c r="AI830" s="447"/>
      <c r="AJ830" s="447"/>
      <c r="AK830" s="447"/>
      <c r="AL830" s="447"/>
      <c r="AM830" s="447"/>
      <c r="AN830" s="447"/>
      <c r="AO830" s="447"/>
      <c r="AP830" s="447"/>
      <c r="AQ830" s="447"/>
      <c r="AR830" s="447"/>
      <c r="AS830" s="447"/>
      <c r="AT830" s="447"/>
      <c r="AU830" s="447"/>
      <c r="AV830" s="447"/>
      <c r="AW830" s="447"/>
      <c r="AX830" s="447"/>
      <c r="AY830" s="447"/>
      <c r="AZ830" s="447"/>
      <c r="BA830" s="447"/>
      <c r="BB830" s="447"/>
      <c r="BC830" s="447"/>
      <c r="BD830" s="447"/>
      <c r="BE830" s="447"/>
      <c r="BF830" s="447"/>
      <c r="BG830" s="447"/>
      <c r="BH830" s="447"/>
      <c r="BI830" s="447"/>
      <c r="BJ830" s="447"/>
      <c r="BK830" s="447"/>
      <c r="BL830" s="447"/>
      <c r="BM830" s="448"/>
      <c r="BN830" s="448"/>
    </row>
    <row r="831" spans="1:66" ht="11.25" customHeight="1">
      <c r="A831" s="450"/>
      <c r="B831" s="447"/>
      <c r="C831" s="447"/>
      <c r="D831" s="447"/>
      <c r="E831" s="447"/>
      <c r="F831" s="447"/>
      <c r="G831" s="447"/>
      <c r="H831" s="447"/>
      <c r="I831" s="447"/>
      <c r="J831" s="447"/>
      <c r="K831" s="447"/>
      <c r="L831" s="447"/>
      <c r="M831" s="447"/>
      <c r="N831" s="447"/>
      <c r="O831" s="447"/>
      <c r="P831" s="447"/>
      <c r="Q831" s="447"/>
      <c r="R831" s="447"/>
      <c r="S831" s="447"/>
      <c r="T831" s="447"/>
      <c r="U831" s="447"/>
      <c r="V831" s="447"/>
      <c r="W831" s="447"/>
      <c r="X831" s="447"/>
      <c r="Y831" s="447"/>
      <c r="Z831" s="447"/>
      <c r="AA831" s="447"/>
      <c r="AB831" s="447"/>
      <c r="AC831" s="447"/>
      <c r="AD831" s="447"/>
      <c r="AE831" s="447"/>
      <c r="AF831" s="448"/>
      <c r="AG831" s="448"/>
      <c r="AH831" s="449"/>
      <c r="AI831" s="447"/>
      <c r="AJ831" s="447"/>
      <c r="AK831" s="447"/>
      <c r="AL831" s="447"/>
      <c r="AM831" s="447"/>
      <c r="AN831" s="447"/>
      <c r="AO831" s="447"/>
      <c r="AP831" s="447"/>
      <c r="AQ831" s="447"/>
      <c r="AR831" s="447"/>
      <c r="AS831" s="447"/>
      <c r="AT831" s="447"/>
      <c r="AU831" s="447"/>
      <c r="AV831" s="447"/>
      <c r="AW831" s="447"/>
      <c r="AX831" s="447"/>
      <c r="AY831" s="447"/>
      <c r="AZ831" s="447"/>
      <c r="BA831" s="447"/>
      <c r="BB831" s="447"/>
      <c r="BC831" s="447"/>
      <c r="BD831" s="447"/>
      <c r="BE831" s="447"/>
      <c r="BF831" s="447"/>
      <c r="BG831" s="447"/>
      <c r="BH831" s="447"/>
      <c r="BI831" s="447"/>
      <c r="BJ831" s="447"/>
      <c r="BK831" s="447"/>
      <c r="BL831" s="447"/>
      <c r="BM831" s="448"/>
      <c r="BN831" s="448"/>
    </row>
    <row r="832" spans="1:66" ht="11.25" customHeight="1">
      <c r="A832" s="450"/>
      <c r="B832" s="447"/>
      <c r="C832" s="447"/>
      <c r="D832" s="447"/>
      <c r="E832" s="447"/>
      <c r="F832" s="447"/>
      <c r="G832" s="447"/>
      <c r="H832" s="447"/>
      <c r="I832" s="447"/>
      <c r="J832" s="447"/>
      <c r="K832" s="447"/>
      <c r="L832" s="447"/>
      <c r="M832" s="447"/>
      <c r="N832" s="447"/>
      <c r="O832" s="447"/>
      <c r="P832" s="447"/>
      <c r="Q832" s="447"/>
      <c r="R832" s="447"/>
      <c r="S832" s="447"/>
      <c r="T832" s="447"/>
      <c r="U832" s="447"/>
      <c r="V832" s="447"/>
      <c r="W832" s="447"/>
      <c r="X832" s="447"/>
      <c r="Y832" s="447"/>
      <c r="Z832" s="447"/>
      <c r="AA832" s="447"/>
      <c r="AB832" s="447"/>
      <c r="AC832" s="447"/>
      <c r="AD832" s="447"/>
      <c r="AE832" s="447"/>
      <c r="AF832" s="448"/>
      <c r="AG832" s="448"/>
      <c r="AH832" s="449"/>
      <c r="AI832" s="447"/>
      <c r="AJ832" s="447"/>
      <c r="AK832" s="447"/>
      <c r="AL832" s="447"/>
      <c r="AM832" s="447"/>
      <c r="AN832" s="447"/>
      <c r="AO832" s="447"/>
      <c r="AP832" s="447"/>
      <c r="AQ832" s="447"/>
      <c r="AR832" s="447"/>
      <c r="AS832" s="447"/>
      <c r="AT832" s="447"/>
      <c r="AU832" s="447"/>
      <c r="AV832" s="447"/>
      <c r="AW832" s="447"/>
      <c r="AX832" s="447"/>
      <c r="AY832" s="447"/>
      <c r="AZ832" s="447"/>
      <c r="BA832" s="447"/>
      <c r="BB832" s="447"/>
      <c r="BC832" s="447"/>
      <c r="BD832" s="447"/>
      <c r="BE832" s="447"/>
      <c r="BF832" s="447"/>
      <c r="BG832" s="447"/>
      <c r="BH832" s="447"/>
      <c r="BI832" s="447"/>
      <c r="BJ832" s="447"/>
      <c r="BK832" s="447"/>
      <c r="BL832" s="447"/>
      <c r="BM832" s="448"/>
      <c r="BN832" s="448"/>
    </row>
    <row r="833" spans="1:66" ht="11.25" customHeight="1">
      <c r="A833" s="450"/>
      <c r="B833" s="447"/>
      <c r="C833" s="447"/>
      <c r="D833" s="447"/>
      <c r="E833" s="447"/>
      <c r="F833" s="447"/>
      <c r="G833" s="447"/>
      <c r="H833" s="447"/>
      <c r="I833" s="447"/>
      <c r="J833" s="447"/>
      <c r="K833" s="447"/>
      <c r="L833" s="447"/>
      <c r="M833" s="447"/>
      <c r="N833" s="447"/>
      <c r="O833" s="447"/>
      <c r="P833" s="447"/>
      <c r="Q833" s="447"/>
      <c r="R833" s="447"/>
      <c r="S833" s="447"/>
      <c r="T833" s="447"/>
      <c r="U833" s="447"/>
      <c r="V833" s="447"/>
      <c r="W833" s="447"/>
      <c r="X833" s="447"/>
      <c r="Y833" s="447"/>
      <c r="Z833" s="447"/>
      <c r="AA833" s="447"/>
      <c r="AB833" s="447"/>
      <c r="AC833" s="447"/>
      <c r="AD833" s="447"/>
      <c r="AE833" s="447"/>
      <c r="AF833" s="448"/>
      <c r="AG833" s="448"/>
      <c r="AH833" s="449"/>
      <c r="AI833" s="447"/>
      <c r="AJ833" s="447"/>
      <c r="AK833" s="447"/>
      <c r="AL833" s="447"/>
      <c r="AM833" s="447"/>
      <c r="AN833" s="447"/>
      <c r="AO833" s="447"/>
      <c r="AP833" s="447"/>
      <c r="AQ833" s="447"/>
      <c r="AR833" s="447"/>
      <c r="AS833" s="447"/>
      <c r="AT833" s="447"/>
      <c r="AU833" s="447"/>
      <c r="AV833" s="447"/>
      <c r="AW833" s="447"/>
      <c r="AX833" s="447"/>
      <c r="AY833" s="447"/>
      <c r="AZ833" s="447"/>
      <c r="BA833" s="447"/>
      <c r="BB833" s="447"/>
      <c r="BC833" s="447"/>
      <c r="BD833" s="447"/>
      <c r="BE833" s="447"/>
      <c r="BF833" s="447"/>
      <c r="BG833" s="447"/>
      <c r="BH833" s="447"/>
      <c r="BI833" s="447"/>
      <c r="BJ833" s="447"/>
      <c r="BK833" s="447"/>
      <c r="BL833" s="447"/>
      <c r="BM833" s="448"/>
      <c r="BN833" s="448"/>
    </row>
    <row r="834" spans="1:66" ht="11.25" customHeight="1">
      <c r="A834" s="450"/>
      <c r="B834" s="447"/>
      <c r="C834" s="447"/>
      <c r="D834" s="447"/>
      <c r="E834" s="447"/>
      <c r="F834" s="447"/>
      <c r="G834" s="447"/>
      <c r="H834" s="447"/>
      <c r="I834" s="447"/>
      <c r="J834" s="447"/>
      <c r="K834" s="447"/>
      <c r="L834" s="447"/>
      <c r="M834" s="447"/>
      <c r="N834" s="447"/>
      <c r="O834" s="447"/>
      <c r="P834" s="447"/>
      <c r="Q834" s="447"/>
      <c r="R834" s="447"/>
      <c r="S834" s="447"/>
      <c r="T834" s="447"/>
      <c r="U834" s="447"/>
      <c r="V834" s="447"/>
      <c r="W834" s="447"/>
      <c r="X834" s="447"/>
      <c r="Y834" s="447"/>
      <c r="Z834" s="447"/>
      <c r="AA834" s="447"/>
      <c r="AB834" s="447"/>
      <c r="AC834" s="447"/>
      <c r="AD834" s="447"/>
      <c r="AE834" s="447"/>
      <c r="AF834" s="448"/>
      <c r="AG834" s="448"/>
      <c r="AH834" s="449"/>
      <c r="AI834" s="447"/>
      <c r="AJ834" s="447"/>
      <c r="AK834" s="447"/>
      <c r="AL834" s="447"/>
      <c r="AM834" s="447"/>
      <c r="AN834" s="447"/>
      <c r="AO834" s="447"/>
      <c r="AP834" s="447"/>
      <c r="AQ834" s="447"/>
      <c r="AR834" s="447"/>
      <c r="AS834" s="447"/>
      <c r="AT834" s="447"/>
      <c r="AU834" s="447"/>
      <c r="AV834" s="447"/>
      <c r="AW834" s="447"/>
      <c r="AX834" s="447"/>
      <c r="AY834" s="447"/>
      <c r="AZ834" s="447"/>
      <c r="BA834" s="447"/>
      <c r="BB834" s="447"/>
      <c r="BC834" s="447"/>
      <c r="BD834" s="447"/>
      <c r="BE834" s="447"/>
      <c r="BF834" s="447"/>
      <c r="BG834" s="447"/>
      <c r="BH834" s="447"/>
      <c r="BI834" s="447"/>
      <c r="BJ834" s="447"/>
      <c r="BK834" s="447"/>
      <c r="BL834" s="447"/>
      <c r="BM834" s="448"/>
      <c r="BN834" s="448"/>
    </row>
    <row r="835" spans="1:66" ht="11.25" customHeight="1">
      <c r="A835" s="450"/>
      <c r="B835" s="447"/>
      <c r="C835" s="447"/>
      <c r="D835" s="447"/>
      <c r="E835" s="447"/>
      <c r="F835" s="447"/>
      <c r="G835" s="447"/>
      <c r="H835" s="447"/>
      <c r="I835" s="447"/>
      <c r="J835" s="447"/>
      <c r="K835" s="447"/>
      <c r="L835" s="447"/>
      <c r="M835" s="447"/>
      <c r="N835" s="447"/>
      <c r="O835" s="447"/>
      <c r="P835" s="447"/>
      <c r="Q835" s="447"/>
      <c r="R835" s="447"/>
      <c r="S835" s="447"/>
      <c r="T835" s="447"/>
      <c r="U835" s="447"/>
      <c r="V835" s="447"/>
      <c r="W835" s="447"/>
      <c r="X835" s="447"/>
      <c r="Y835" s="447"/>
      <c r="Z835" s="447"/>
      <c r="AA835" s="447"/>
      <c r="AB835" s="447"/>
      <c r="AC835" s="447"/>
      <c r="AD835" s="447"/>
      <c r="AE835" s="447"/>
      <c r="AF835" s="448"/>
      <c r="AG835" s="448"/>
      <c r="AH835" s="449"/>
      <c r="AI835" s="447"/>
      <c r="AJ835" s="447"/>
      <c r="AK835" s="447"/>
      <c r="AL835" s="447"/>
      <c r="AM835" s="447"/>
      <c r="AN835" s="447"/>
      <c r="AO835" s="447"/>
      <c r="AP835" s="447"/>
      <c r="AQ835" s="447"/>
      <c r="AR835" s="447"/>
      <c r="AS835" s="447"/>
      <c r="AT835" s="447"/>
      <c r="AU835" s="447"/>
      <c r="AV835" s="447"/>
      <c r="AW835" s="447"/>
      <c r="AX835" s="447"/>
      <c r="AY835" s="447"/>
      <c r="AZ835" s="447"/>
      <c r="BA835" s="447"/>
      <c r="BB835" s="447"/>
      <c r="BC835" s="447"/>
      <c r="BD835" s="447"/>
      <c r="BE835" s="447"/>
      <c r="BF835" s="447"/>
      <c r="BG835" s="447"/>
      <c r="BH835" s="447"/>
      <c r="BI835" s="447"/>
      <c r="BJ835" s="447"/>
      <c r="BK835" s="447"/>
      <c r="BL835" s="447"/>
      <c r="BM835" s="448"/>
      <c r="BN835" s="448"/>
    </row>
    <row r="836" spans="1:66" ht="11.25" customHeight="1">
      <c r="A836" s="450"/>
      <c r="B836" s="447"/>
      <c r="C836" s="447"/>
      <c r="D836" s="447"/>
      <c r="E836" s="447"/>
      <c r="F836" s="447"/>
      <c r="G836" s="447"/>
      <c r="H836" s="447"/>
      <c r="I836" s="447"/>
      <c r="J836" s="447"/>
      <c r="K836" s="447"/>
      <c r="L836" s="447"/>
      <c r="M836" s="447"/>
      <c r="N836" s="447"/>
      <c r="O836" s="447"/>
      <c r="P836" s="447"/>
      <c r="Q836" s="447"/>
      <c r="R836" s="447"/>
      <c r="S836" s="447"/>
      <c r="T836" s="447"/>
      <c r="U836" s="447"/>
      <c r="V836" s="447"/>
      <c r="W836" s="447"/>
      <c r="X836" s="447"/>
      <c r="Y836" s="447"/>
      <c r="Z836" s="447"/>
      <c r="AA836" s="447"/>
      <c r="AB836" s="447"/>
      <c r="AC836" s="447"/>
      <c r="AD836" s="447"/>
      <c r="AE836" s="447"/>
      <c r="AF836" s="448"/>
      <c r="AG836" s="448"/>
      <c r="AH836" s="449"/>
      <c r="AI836" s="447"/>
      <c r="AJ836" s="447"/>
      <c r="AK836" s="447"/>
      <c r="AL836" s="447"/>
      <c r="AM836" s="447"/>
      <c r="AN836" s="447"/>
      <c r="AO836" s="447"/>
      <c r="AP836" s="447"/>
      <c r="AQ836" s="447"/>
      <c r="AR836" s="447"/>
      <c r="AS836" s="447"/>
      <c r="AT836" s="447"/>
      <c r="AU836" s="447"/>
      <c r="AV836" s="447"/>
      <c r="AW836" s="447"/>
      <c r="AX836" s="447"/>
      <c r="AY836" s="447"/>
      <c r="AZ836" s="447"/>
      <c r="BA836" s="447"/>
      <c r="BB836" s="447"/>
      <c r="BC836" s="447"/>
      <c r="BD836" s="447"/>
      <c r="BE836" s="447"/>
      <c r="BF836" s="447"/>
      <c r="BG836" s="447"/>
      <c r="BH836" s="447"/>
      <c r="BI836" s="447"/>
      <c r="BJ836" s="447"/>
      <c r="BK836" s="447"/>
      <c r="BL836" s="447"/>
      <c r="BM836" s="448"/>
      <c r="BN836" s="448"/>
    </row>
    <row r="837" spans="1:66" ht="11.25" customHeight="1">
      <c r="A837" s="450"/>
      <c r="B837" s="447"/>
      <c r="C837" s="447"/>
      <c r="D837" s="447"/>
      <c r="E837" s="447"/>
      <c r="F837" s="447"/>
      <c r="G837" s="447"/>
      <c r="H837" s="447"/>
      <c r="I837" s="447"/>
      <c r="J837" s="447"/>
      <c r="K837" s="447"/>
      <c r="L837" s="447"/>
      <c r="M837" s="447"/>
      <c r="N837" s="447"/>
      <c r="O837" s="447"/>
      <c r="P837" s="447"/>
      <c r="Q837" s="447"/>
      <c r="R837" s="447"/>
      <c r="S837" s="447"/>
      <c r="T837" s="447"/>
      <c r="U837" s="447"/>
      <c r="V837" s="447"/>
      <c r="W837" s="447"/>
      <c r="X837" s="447"/>
      <c r="Y837" s="447"/>
      <c r="Z837" s="447"/>
      <c r="AA837" s="447"/>
      <c r="AB837" s="447"/>
      <c r="AC837" s="447"/>
      <c r="AD837" s="447"/>
      <c r="AE837" s="447"/>
      <c r="AF837" s="448"/>
      <c r="AG837" s="448"/>
      <c r="AH837" s="449"/>
      <c r="AI837" s="447"/>
      <c r="AJ837" s="447"/>
      <c r="AK837" s="447"/>
      <c r="AL837" s="447"/>
      <c r="AM837" s="447"/>
      <c r="AN837" s="447"/>
      <c r="AO837" s="447"/>
      <c r="AP837" s="447"/>
      <c r="AQ837" s="447"/>
      <c r="AR837" s="447"/>
      <c r="AS837" s="447"/>
      <c r="AT837" s="447"/>
      <c r="AU837" s="447"/>
      <c r="AV837" s="447"/>
      <c r="AW837" s="447"/>
      <c r="AX837" s="447"/>
      <c r="AY837" s="447"/>
      <c r="AZ837" s="447"/>
      <c r="BA837" s="447"/>
      <c r="BB837" s="447"/>
      <c r="BC837" s="447"/>
      <c r="BD837" s="447"/>
      <c r="BE837" s="447"/>
      <c r="BF837" s="447"/>
      <c r="BG837" s="447"/>
      <c r="BH837" s="447"/>
      <c r="BI837" s="447"/>
      <c r="BJ837" s="447"/>
      <c r="BK837" s="447"/>
      <c r="BL837" s="447"/>
      <c r="BM837" s="448"/>
      <c r="BN837" s="448"/>
    </row>
    <row r="838" spans="1:66" ht="11.25" customHeight="1">
      <c r="A838" s="450"/>
      <c r="B838" s="447"/>
      <c r="C838" s="447"/>
      <c r="D838" s="447"/>
      <c r="E838" s="447"/>
      <c r="F838" s="447"/>
      <c r="G838" s="447"/>
      <c r="H838" s="447"/>
      <c r="I838" s="447"/>
      <c r="J838" s="447"/>
      <c r="K838" s="447"/>
      <c r="L838" s="447"/>
      <c r="M838" s="447"/>
      <c r="N838" s="447"/>
      <c r="O838" s="447"/>
      <c r="P838" s="447"/>
      <c r="Q838" s="447"/>
      <c r="R838" s="447"/>
      <c r="S838" s="447"/>
      <c r="T838" s="447"/>
      <c r="U838" s="447"/>
      <c r="V838" s="447"/>
      <c r="W838" s="447"/>
      <c r="X838" s="447"/>
      <c r="Y838" s="447"/>
      <c r="Z838" s="447"/>
      <c r="AA838" s="447"/>
      <c r="AB838" s="447"/>
      <c r="AC838" s="447"/>
      <c r="AD838" s="447"/>
      <c r="AE838" s="447"/>
      <c r="AF838" s="448"/>
      <c r="AG838" s="448"/>
      <c r="AH838" s="449"/>
      <c r="AI838" s="447"/>
      <c r="AJ838" s="447"/>
      <c r="AK838" s="447"/>
      <c r="AL838" s="447"/>
      <c r="AM838" s="447"/>
      <c r="AN838" s="447"/>
      <c r="AO838" s="447"/>
      <c r="AP838" s="447"/>
      <c r="AQ838" s="447"/>
      <c r="AR838" s="447"/>
      <c r="AS838" s="447"/>
      <c r="AT838" s="447"/>
      <c r="AU838" s="447"/>
      <c r="AV838" s="447"/>
      <c r="AW838" s="447"/>
      <c r="AX838" s="447"/>
      <c r="AY838" s="447"/>
      <c r="AZ838" s="447"/>
      <c r="BA838" s="447"/>
      <c r="BB838" s="447"/>
      <c r="BC838" s="447"/>
      <c r="BD838" s="447"/>
      <c r="BE838" s="447"/>
      <c r="BF838" s="447"/>
      <c r="BG838" s="447"/>
      <c r="BH838" s="447"/>
      <c r="BI838" s="447"/>
      <c r="BJ838" s="447"/>
      <c r="BK838" s="447"/>
      <c r="BL838" s="447"/>
      <c r="BM838" s="448"/>
      <c r="BN838" s="448"/>
    </row>
    <row r="839" spans="1:66" ht="11.25" customHeight="1">
      <c r="A839" s="450"/>
      <c r="B839" s="447"/>
      <c r="C839" s="447"/>
      <c r="D839" s="447"/>
      <c r="E839" s="447"/>
      <c r="F839" s="447"/>
      <c r="G839" s="447"/>
      <c r="H839" s="447"/>
      <c r="I839" s="447"/>
      <c r="J839" s="447"/>
      <c r="K839" s="447"/>
      <c r="L839" s="447"/>
      <c r="M839" s="447"/>
      <c r="N839" s="447"/>
      <c r="O839" s="447"/>
      <c r="P839" s="447"/>
      <c r="Q839" s="447"/>
      <c r="R839" s="447"/>
      <c r="S839" s="447"/>
      <c r="T839" s="447"/>
      <c r="U839" s="447"/>
      <c r="V839" s="447"/>
      <c r="W839" s="447"/>
      <c r="X839" s="447"/>
      <c r="Y839" s="447"/>
      <c r="Z839" s="447"/>
      <c r="AA839" s="447"/>
      <c r="AB839" s="447"/>
      <c r="AC839" s="447"/>
      <c r="AD839" s="447"/>
      <c r="AE839" s="447"/>
      <c r="AF839" s="448"/>
      <c r="AG839" s="448"/>
      <c r="AH839" s="449"/>
      <c r="AI839" s="447"/>
      <c r="AJ839" s="447"/>
      <c r="AK839" s="447"/>
      <c r="AL839" s="447"/>
      <c r="AM839" s="447"/>
      <c r="AN839" s="447"/>
      <c r="AO839" s="447"/>
      <c r="AP839" s="447"/>
      <c r="AQ839" s="447"/>
      <c r="AR839" s="447"/>
      <c r="AS839" s="447"/>
      <c r="AT839" s="447"/>
      <c r="AU839" s="447"/>
      <c r="AV839" s="447"/>
      <c r="AW839" s="447"/>
      <c r="AX839" s="447"/>
      <c r="AY839" s="447"/>
      <c r="AZ839" s="447"/>
      <c r="BA839" s="447"/>
      <c r="BB839" s="447"/>
      <c r="BC839" s="447"/>
      <c r="BD839" s="447"/>
      <c r="BE839" s="447"/>
      <c r="BF839" s="447"/>
      <c r="BG839" s="447"/>
      <c r="BH839" s="447"/>
      <c r="BI839" s="447"/>
      <c r="BJ839" s="447"/>
      <c r="BK839" s="447"/>
      <c r="BL839" s="447"/>
      <c r="BM839" s="448"/>
      <c r="BN839" s="448"/>
    </row>
    <row r="840" spans="1:66" ht="11.25" customHeight="1">
      <c r="A840" s="450"/>
      <c r="B840" s="447"/>
      <c r="C840" s="447"/>
      <c r="D840" s="447"/>
      <c r="E840" s="447"/>
      <c r="F840" s="447"/>
      <c r="G840" s="447"/>
      <c r="H840" s="447"/>
      <c r="I840" s="447"/>
      <c r="J840" s="447"/>
      <c r="K840" s="447"/>
      <c r="L840" s="447"/>
      <c r="M840" s="447"/>
      <c r="N840" s="447"/>
      <c r="O840" s="447"/>
      <c r="P840" s="447"/>
      <c r="Q840" s="447"/>
      <c r="R840" s="447"/>
      <c r="S840" s="447"/>
      <c r="T840" s="447"/>
      <c r="U840" s="447"/>
      <c r="V840" s="447"/>
      <c r="W840" s="447"/>
      <c r="X840" s="447"/>
      <c r="Y840" s="447"/>
      <c r="Z840" s="447"/>
      <c r="AA840" s="447"/>
      <c r="AB840" s="447"/>
      <c r="AC840" s="447"/>
      <c r="AD840" s="447"/>
      <c r="AE840" s="447"/>
      <c r="AF840" s="448"/>
      <c r="AG840" s="448"/>
      <c r="AH840" s="449"/>
      <c r="AI840" s="447"/>
      <c r="AJ840" s="447"/>
      <c r="AK840" s="447"/>
      <c r="AL840" s="447"/>
      <c r="AM840" s="447"/>
      <c r="AN840" s="447"/>
      <c r="AO840" s="447"/>
      <c r="AP840" s="447"/>
      <c r="AQ840" s="447"/>
      <c r="AR840" s="447"/>
      <c r="AS840" s="447"/>
      <c r="AT840" s="447"/>
      <c r="AU840" s="447"/>
      <c r="AV840" s="447"/>
      <c r="AW840" s="447"/>
      <c r="AX840" s="447"/>
      <c r="AY840" s="447"/>
      <c r="AZ840" s="447"/>
      <c r="BA840" s="447"/>
      <c r="BB840" s="447"/>
      <c r="BC840" s="447"/>
      <c r="BD840" s="447"/>
      <c r="BE840" s="447"/>
      <c r="BF840" s="447"/>
      <c r="BG840" s="447"/>
      <c r="BH840" s="447"/>
      <c r="BI840" s="447"/>
      <c r="BJ840" s="447"/>
      <c r="BK840" s="447"/>
      <c r="BL840" s="447"/>
      <c r="BM840" s="448"/>
      <c r="BN840" s="448"/>
    </row>
    <row r="841" spans="1:66" ht="11.25" customHeight="1">
      <c r="A841" s="450"/>
      <c r="B841" s="447"/>
      <c r="C841" s="447"/>
      <c r="D841" s="447"/>
      <c r="E841" s="447"/>
      <c r="F841" s="447"/>
      <c r="G841" s="447"/>
      <c r="H841" s="447"/>
      <c r="I841" s="447"/>
      <c r="J841" s="447"/>
      <c r="K841" s="447"/>
      <c r="L841" s="447"/>
      <c r="M841" s="447"/>
      <c r="N841" s="447"/>
      <c r="O841" s="447"/>
      <c r="P841" s="447"/>
      <c r="Q841" s="447"/>
      <c r="R841" s="447"/>
      <c r="S841" s="447"/>
      <c r="T841" s="447"/>
      <c r="U841" s="447"/>
      <c r="V841" s="447"/>
      <c r="W841" s="447"/>
      <c r="X841" s="447"/>
      <c r="Y841" s="447"/>
      <c r="Z841" s="447"/>
      <c r="AA841" s="447"/>
      <c r="AB841" s="447"/>
      <c r="AC841" s="447"/>
      <c r="AD841" s="447"/>
      <c r="AE841" s="447"/>
      <c r="AF841" s="448"/>
      <c r="AG841" s="448"/>
      <c r="AH841" s="449"/>
      <c r="AI841" s="447"/>
      <c r="AJ841" s="447"/>
      <c r="AK841" s="447"/>
      <c r="AL841" s="447"/>
      <c r="AM841" s="447"/>
      <c r="AN841" s="447"/>
      <c r="AO841" s="447"/>
      <c r="AP841" s="447"/>
      <c r="AQ841" s="447"/>
      <c r="AR841" s="447"/>
      <c r="AS841" s="447"/>
      <c r="AT841" s="447"/>
      <c r="AU841" s="447"/>
      <c r="AV841" s="447"/>
      <c r="AW841" s="447"/>
      <c r="AX841" s="447"/>
      <c r="AY841" s="447"/>
      <c r="AZ841" s="447"/>
      <c r="BA841" s="447"/>
      <c r="BB841" s="447"/>
      <c r="BC841" s="447"/>
      <c r="BD841" s="447"/>
      <c r="BE841" s="447"/>
      <c r="BF841" s="447"/>
      <c r="BG841" s="447"/>
      <c r="BH841" s="447"/>
      <c r="BI841" s="447"/>
      <c r="BJ841" s="447"/>
      <c r="BK841" s="447"/>
      <c r="BL841" s="447"/>
      <c r="BM841" s="448"/>
      <c r="BN841" s="448"/>
    </row>
    <row r="842" spans="1:66" ht="11.25" customHeight="1">
      <c r="A842" s="450"/>
      <c r="B842" s="447"/>
      <c r="C842" s="447"/>
      <c r="D842" s="447"/>
      <c r="E842" s="447"/>
      <c r="F842" s="447"/>
      <c r="G842" s="447"/>
      <c r="H842" s="447"/>
      <c r="I842" s="447"/>
      <c r="J842" s="447"/>
      <c r="K842" s="447"/>
      <c r="L842" s="447"/>
      <c r="M842" s="447"/>
      <c r="N842" s="447"/>
      <c r="O842" s="447"/>
      <c r="P842" s="447"/>
      <c r="Q842" s="447"/>
      <c r="R842" s="447"/>
      <c r="S842" s="447"/>
      <c r="T842" s="447"/>
      <c r="U842" s="447"/>
      <c r="V842" s="447"/>
      <c r="W842" s="447"/>
      <c r="X842" s="447"/>
      <c r="Y842" s="447"/>
      <c r="Z842" s="447"/>
      <c r="AA842" s="447"/>
      <c r="AB842" s="447"/>
      <c r="AC842" s="447"/>
      <c r="AD842" s="447"/>
      <c r="AE842" s="447"/>
      <c r="AF842" s="448"/>
      <c r="AG842" s="448"/>
      <c r="AH842" s="449"/>
      <c r="AI842" s="447"/>
      <c r="AJ842" s="447"/>
      <c r="AK842" s="447"/>
      <c r="AL842" s="447"/>
      <c r="AM842" s="447"/>
      <c r="AN842" s="447"/>
      <c r="AO842" s="447"/>
      <c r="AP842" s="447"/>
      <c r="AQ842" s="447"/>
      <c r="AR842" s="447"/>
      <c r="AS842" s="447"/>
      <c r="AT842" s="447"/>
      <c r="AU842" s="447"/>
      <c r="AV842" s="447"/>
      <c r="AW842" s="447"/>
      <c r="AX842" s="447"/>
      <c r="AY842" s="447"/>
      <c r="AZ842" s="447"/>
      <c r="BA842" s="447"/>
      <c r="BB842" s="447"/>
      <c r="BC842" s="447"/>
      <c r="BD842" s="447"/>
      <c r="BE842" s="447"/>
      <c r="BF842" s="447"/>
      <c r="BG842" s="447"/>
      <c r="BH842" s="447"/>
      <c r="BI842" s="447"/>
      <c r="BJ842" s="447"/>
      <c r="BK842" s="447"/>
      <c r="BL842" s="447"/>
      <c r="BM842" s="448"/>
      <c r="BN842" s="448"/>
    </row>
    <row r="843" spans="1:66" ht="11.25" customHeight="1">
      <c r="A843" s="450"/>
      <c r="B843" s="447"/>
      <c r="C843" s="447"/>
      <c r="D843" s="447"/>
      <c r="E843" s="447"/>
      <c r="F843" s="447"/>
      <c r="G843" s="447"/>
      <c r="H843" s="447"/>
      <c r="I843" s="447"/>
      <c r="J843" s="447"/>
      <c r="K843" s="447"/>
      <c r="L843" s="447"/>
      <c r="M843" s="447"/>
      <c r="N843" s="447"/>
      <c r="O843" s="447"/>
      <c r="P843" s="447"/>
      <c r="Q843" s="447"/>
      <c r="R843" s="447"/>
      <c r="S843" s="447"/>
      <c r="T843" s="447"/>
      <c r="U843" s="447"/>
      <c r="V843" s="447"/>
      <c r="W843" s="447"/>
      <c r="X843" s="447"/>
      <c r="Y843" s="447"/>
      <c r="Z843" s="447"/>
      <c r="AA843" s="447"/>
      <c r="AB843" s="447"/>
      <c r="AC843" s="447"/>
      <c r="AD843" s="447"/>
      <c r="AE843" s="447"/>
      <c r="AF843" s="448"/>
      <c r="AG843" s="448"/>
      <c r="AH843" s="449"/>
      <c r="AI843" s="447"/>
      <c r="AJ843" s="447"/>
      <c r="AK843" s="447"/>
      <c r="AL843" s="447"/>
      <c r="AM843" s="447"/>
      <c r="AN843" s="447"/>
      <c r="AO843" s="447"/>
      <c r="AP843" s="447"/>
      <c r="AQ843" s="447"/>
      <c r="AR843" s="447"/>
      <c r="AS843" s="447"/>
      <c r="AT843" s="447"/>
      <c r="AU843" s="447"/>
      <c r="AV843" s="447"/>
      <c r="AW843" s="447"/>
      <c r="AX843" s="447"/>
      <c r="AY843" s="447"/>
      <c r="AZ843" s="447"/>
      <c r="BA843" s="447"/>
      <c r="BB843" s="447"/>
      <c r="BC843" s="447"/>
      <c r="BD843" s="447"/>
      <c r="BE843" s="447"/>
      <c r="BF843" s="447"/>
      <c r="BG843" s="447"/>
      <c r="BH843" s="447"/>
      <c r="BI843" s="447"/>
      <c r="BJ843" s="447"/>
      <c r="BK843" s="447"/>
      <c r="BL843" s="447"/>
      <c r="BM843" s="448"/>
      <c r="BN843" s="448"/>
    </row>
    <row r="844" spans="1:66" ht="11.25" customHeight="1">
      <c r="A844" s="450"/>
      <c r="B844" s="447"/>
      <c r="C844" s="447"/>
      <c r="D844" s="447"/>
      <c r="E844" s="447"/>
      <c r="F844" s="447"/>
      <c r="G844" s="447"/>
      <c r="H844" s="447"/>
      <c r="I844" s="447"/>
      <c r="J844" s="447"/>
      <c r="K844" s="447"/>
      <c r="L844" s="447"/>
      <c r="M844" s="447"/>
      <c r="N844" s="447"/>
      <c r="O844" s="447"/>
      <c r="P844" s="447"/>
      <c r="Q844" s="447"/>
      <c r="R844" s="447"/>
      <c r="S844" s="447"/>
      <c r="T844" s="447"/>
      <c r="U844" s="447"/>
      <c r="V844" s="447"/>
      <c r="W844" s="447"/>
      <c r="X844" s="447"/>
      <c r="Y844" s="447"/>
      <c r="Z844" s="447"/>
      <c r="AA844" s="447"/>
      <c r="AB844" s="447"/>
      <c r="AC844" s="447"/>
      <c r="AD844" s="447"/>
      <c r="AE844" s="447"/>
      <c r="AF844" s="448"/>
      <c r="AG844" s="448"/>
      <c r="AH844" s="449"/>
      <c r="AI844" s="447"/>
      <c r="AJ844" s="447"/>
      <c r="AK844" s="447"/>
      <c r="AL844" s="447"/>
      <c r="AM844" s="447"/>
      <c r="AN844" s="447"/>
      <c r="AO844" s="447"/>
      <c r="AP844" s="447"/>
      <c r="AQ844" s="447"/>
      <c r="AR844" s="447"/>
      <c r="AS844" s="447"/>
      <c r="AT844" s="447"/>
      <c r="AU844" s="447"/>
      <c r="AV844" s="447"/>
      <c r="AW844" s="447"/>
      <c r="AX844" s="447"/>
      <c r="AY844" s="447"/>
      <c r="AZ844" s="447"/>
      <c r="BA844" s="447"/>
      <c r="BB844" s="447"/>
      <c r="BC844" s="447"/>
      <c r="BD844" s="447"/>
      <c r="BE844" s="447"/>
      <c r="BF844" s="447"/>
      <c r="BG844" s="447"/>
      <c r="BH844" s="447"/>
      <c r="BI844" s="447"/>
      <c r="BJ844" s="447"/>
      <c r="BK844" s="447"/>
      <c r="BL844" s="447"/>
      <c r="BM844" s="448"/>
      <c r="BN844" s="448"/>
    </row>
    <row r="845" spans="1:66" ht="11.25" customHeight="1">
      <c r="A845" s="450"/>
      <c r="B845" s="447"/>
      <c r="C845" s="447"/>
      <c r="D845" s="447"/>
      <c r="E845" s="447"/>
      <c r="F845" s="447"/>
      <c r="G845" s="447"/>
      <c r="H845" s="447"/>
      <c r="I845" s="447"/>
      <c r="J845" s="447"/>
      <c r="K845" s="447"/>
      <c r="L845" s="447"/>
      <c r="M845" s="447"/>
      <c r="N845" s="447"/>
      <c r="O845" s="447"/>
      <c r="P845" s="447"/>
      <c r="Q845" s="447"/>
      <c r="R845" s="447"/>
      <c r="S845" s="447"/>
      <c r="T845" s="447"/>
      <c r="U845" s="447"/>
      <c r="V845" s="447"/>
      <c r="W845" s="447"/>
      <c r="X845" s="447"/>
      <c r="Y845" s="447"/>
      <c r="Z845" s="447"/>
      <c r="AA845" s="447"/>
      <c r="AB845" s="447"/>
      <c r="AC845" s="447"/>
      <c r="AD845" s="447"/>
      <c r="AE845" s="447"/>
      <c r="AF845" s="448"/>
      <c r="AG845" s="448"/>
      <c r="AH845" s="449"/>
      <c r="AI845" s="447"/>
      <c r="AJ845" s="447"/>
      <c r="AK845" s="447"/>
      <c r="AL845" s="447"/>
      <c r="AM845" s="447"/>
      <c r="AN845" s="447"/>
      <c r="AO845" s="447"/>
      <c r="AP845" s="447"/>
      <c r="AQ845" s="447"/>
      <c r="AR845" s="447"/>
      <c r="AS845" s="447"/>
      <c r="AT845" s="447"/>
      <c r="AU845" s="447"/>
      <c r="AV845" s="447"/>
      <c r="AW845" s="447"/>
      <c r="AX845" s="447"/>
      <c r="AY845" s="447"/>
      <c r="AZ845" s="447"/>
      <c r="BA845" s="447"/>
      <c r="BB845" s="447"/>
      <c r="BC845" s="447"/>
      <c r="BD845" s="447"/>
      <c r="BE845" s="447"/>
      <c r="BF845" s="447"/>
      <c r="BG845" s="447"/>
      <c r="BH845" s="447"/>
      <c r="BI845" s="447"/>
      <c r="BJ845" s="447"/>
      <c r="BK845" s="447"/>
      <c r="BL845" s="447"/>
      <c r="BM845" s="448"/>
      <c r="BN845" s="448"/>
    </row>
    <row r="846" spans="1:66" ht="11.25" customHeight="1">
      <c r="A846" s="450"/>
      <c r="B846" s="447"/>
      <c r="C846" s="447"/>
      <c r="D846" s="447"/>
      <c r="E846" s="447"/>
      <c r="F846" s="447"/>
      <c r="G846" s="447"/>
      <c r="H846" s="447"/>
      <c r="I846" s="447"/>
      <c r="J846" s="447"/>
      <c r="K846" s="447"/>
      <c r="L846" s="447"/>
      <c r="M846" s="447"/>
      <c r="N846" s="447"/>
      <c r="O846" s="447"/>
      <c r="P846" s="447"/>
      <c r="Q846" s="447"/>
      <c r="R846" s="447"/>
      <c r="S846" s="447"/>
      <c r="T846" s="447"/>
      <c r="U846" s="447"/>
      <c r="V846" s="447"/>
      <c r="W846" s="447"/>
      <c r="X846" s="447"/>
      <c r="Y846" s="447"/>
      <c r="Z846" s="447"/>
      <c r="AA846" s="447"/>
      <c r="AB846" s="447"/>
      <c r="AC846" s="447"/>
      <c r="AD846" s="447"/>
      <c r="AE846" s="447"/>
      <c r="AF846" s="448"/>
      <c r="AG846" s="448"/>
      <c r="AH846" s="449"/>
      <c r="AI846" s="447"/>
      <c r="AJ846" s="447"/>
      <c r="AK846" s="447"/>
      <c r="AL846" s="447"/>
      <c r="AM846" s="447"/>
      <c r="AN846" s="447"/>
      <c r="AO846" s="447"/>
      <c r="AP846" s="447"/>
      <c r="AQ846" s="447"/>
      <c r="AR846" s="447"/>
      <c r="AS846" s="447"/>
      <c r="AT846" s="447"/>
      <c r="AU846" s="447"/>
      <c r="AV846" s="447"/>
      <c r="AW846" s="447"/>
      <c r="AX846" s="447"/>
      <c r="AY846" s="447"/>
      <c r="AZ846" s="447"/>
      <c r="BA846" s="447"/>
      <c r="BB846" s="447"/>
      <c r="BC846" s="447"/>
      <c r="BD846" s="447"/>
      <c r="BE846" s="447"/>
      <c r="BF846" s="447"/>
      <c r="BG846" s="447"/>
      <c r="BH846" s="447"/>
      <c r="BI846" s="447"/>
      <c r="BJ846" s="447"/>
      <c r="BK846" s="447"/>
      <c r="BL846" s="447"/>
      <c r="BM846" s="448"/>
      <c r="BN846" s="448"/>
    </row>
    <row r="847" spans="1:66" ht="11.25" customHeight="1">
      <c r="A847" s="450"/>
      <c r="B847" s="447"/>
      <c r="C847" s="447"/>
      <c r="D847" s="447"/>
      <c r="E847" s="447"/>
      <c r="F847" s="447"/>
      <c r="G847" s="447"/>
      <c r="H847" s="447"/>
      <c r="I847" s="447"/>
      <c r="J847" s="447"/>
      <c r="K847" s="447"/>
      <c r="L847" s="447"/>
      <c r="M847" s="447"/>
      <c r="N847" s="447"/>
      <c r="O847" s="447"/>
      <c r="P847" s="447"/>
      <c r="Q847" s="447"/>
      <c r="R847" s="447"/>
      <c r="S847" s="447"/>
      <c r="T847" s="447"/>
      <c r="U847" s="447"/>
      <c r="V847" s="447"/>
      <c r="W847" s="447"/>
      <c r="X847" s="447"/>
      <c r="Y847" s="447"/>
      <c r="Z847" s="447"/>
      <c r="AA847" s="447"/>
      <c r="AB847" s="447"/>
      <c r="AC847" s="447"/>
      <c r="AD847" s="447"/>
      <c r="AE847" s="447"/>
      <c r="AF847" s="448"/>
      <c r="AG847" s="448"/>
      <c r="AH847" s="449"/>
      <c r="AI847" s="447"/>
      <c r="AJ847" s="447"/>
      <c r="AK847" s="447"/>
      <c r="AL847" s="447"/>
      <c r="AM847" s="447"/>
      <c r="AN847" s="447"/>
      <c r="AO847" s="447"/>
      <c r="AP847" s="447"/>
      <c r="AQ847" s="447"/>
      <c r="AR847" s="447"/>
      <c r="AS847" s="447"/>
      <c r="AT847" s="447"/>
      <c r="AU847" s="447"/>
      <c r="AV847" s="447"/>
      <c r="AW847" s="447"/>
      <c r="AX847" s="447"/>
      <c r="AY847" s="447"/>
      <c r="AZ847" s="447"/>
      <c r="BA847" s="447"/>
      <c r="BB847" s="447"/>
      <c r="BC847" s="447"/>
      <c r="BD847" s="447"/>
      <c r="BE847" s="447"/>
      <c r="BF847" s="447"/>
      <c r="BG847" s="447"/>
      <c r="BH847" s="447"/>
      <c r="BI847" s="447"/>
      <c r="BJ847" s="447"/>
      <c r="BK847" s="447"/>
      <c r="BL847" s="447"/>
      <c r="BM847" s="448"/>
      <c r="BN847" s="448"/>
    </row>
    <row r="848" spans="1:66" ht="11.25" customHeight="1">
      <c r="A848" s="450"/>
      <c r="B848" s="447"/>
      <c r="C848" s="447"/>
      <c r="D848" s="447"/>
      <c r="E848" s="447"/>
      <c r="F848" s="447"/>
      <c r="G848" s="447"/>
      <c r="H848" s="447"/>
      <c r="I848" s="447"/>
      <c r="J848" s="447"/>
      <c r="K848" s="447"/>
      <c r="L848" s="447"/>
      <c r="M848" s="447"/>
      <c r="N848" s="447"/>
      <c r="O848" s="447"/>
      <c r="P848" s="447"/>
      <c r="Q848" s="447"/>
      <c r="R848" s="447"/>
      <c r="S848" s="447"/>
      <c r="T848" s="447"/>
      <c r="U848" s="447"/>
      <c r="V848" s="447"/>
      <c r="W848" s="447"/>
      <c r="X848" s="447"/>
      <c r="Y848" s="447"/>
      <c r="Z848" s="447"/>
      <c r="AA848" s="447"/>
      <c r="AB848" s="447"/>
      <c r="AC848" s="447"/>
      <c r="AD848" s="447"/>
      <c r="AE848" s="447"/>
      <c r="AF848" s="448"/>
      <c r="AG848" s="448"/>
      <c r="AH848" s="449"/>
      <c r="AI848" s="447"/>
      <c r="AJ848" s="447"/>
      <c r="AK848" s="447"/>
      <c r="AL848" s="447"/>
      <c r="AM848" s="447"/>
      <c r="AN848" s="447"/>
      <c r="AO848" s="447"/>
      <c r="AP848" s="447"/>
      <c r="AQ848" s="447"/>
      <c r="AR848" s="447"/>
      <c r="AS848" s="447"/>
      <c r="AT848" s="447"/>
      <c r="AU848" s="447"/>
      <c r="AV848" s="447"/>
      <c r="AW848" s="447"/>
      <c r="AX848" s="447"/>
      <c r="AY848" s="447"/>
      <c r="AZ848" s="447"/>
      <c r="BA848" s="447"/>
      <c r="BB848" s="447"/>
      <c r="BC848" s="447"/>
      <c r="BD848" s="447"/>
      <c r="BE848" s="447"/>
      <c r="BF848" s="447"/>
      <c r="BG848" s="447"/>
      <c r="BH848" s="447"/>
      <c r="BI848" s="447"/>
      <c r="BJ848" s="447"/>
      <c r="BK848" s="447"/>
      <c r="BL848" s="447"/>
      <c r="BM848" s="448"/>
      <c r="BN848" s="448"/>
    </row>
    <row r="849" spans="1:66" ht="11.25" customHeight="1">
      <c r="A849" s="450"/>
      <c r="B849" s="447"/>
      <c r="C849" s="447"/>
      <c r="D849" s="447"/>
      <c r="E849" s="447"/>
      <c r="F849" s="447"/>
      <c r="G849" s="447"/>
      <c r="H849" s="447"/>
      <c r="I849" s="447"/>
      <c r="J849" s="447"/>
      <c r="K849" s="447"/>
      <c r="L849" s="447"/>
      <c r="M849" s="447"/>
      <c r="N849" s="447"/>
      <c r="O849" s="447"/>
      <c r="P849" s="447"/>
      <c r="Q849" s="447"/>
      <c r="R849" s="447"/>
      <c r="S849" s="447"/>
      <c r="T849" s="447"/>
      <c r="U849" s="447"/>
      <c r="V849" s="447"/>
      <c r="W849" s="447"/>
      <c r="X849" s="447"/>
      <c r="Y849" s="447"/>
      <c r="Z849" s="447"/>
      <c r="AA849" s="447"/>
      <c r="AB849" s="447"/>
      <c r="AC849" s="447"/>
      <c r="AD849" s="447"/>
      <c r="AE849" s="447"/>
      <c r="AF849" s="448"/>
      <c r="AG849" s="448"/>
      <c r="AH849" s="449"/>
      <c r="AI849" s="447"/>
      <c r="AJ849" s="447"/>
      <c r="AK849" s="447"/>
      <c r="AL849" s="447"/>
      <c r="AM849" s="447"/>
      <c r="AN849" s="447"/>
      <c r="AO849" s="447"/>
      <c r="AP849" s="447"/>
      <c r="AQ849" s="447"/>
      <c r="AR849" s="447"/>
      <c r="AS849" s="447"/>
      <c r="AT849" s="447"/>
      <c r="AU849" s="447"/>
      <c r="AV849" s="447"/>
      <c r="AW849" s="447"/>
      <c r="AX849" s="447"/>
      <c r="AY849" s="447"/>
      <c r="AZ849" s="447"/>
      <c r="BA849" s="447"/>
      <c r="BB849" s="447"/>
      <c r="BC849" s="447"/>
      <c r="BD849" s="447"/>
      <c r="BE849" s="447"/>
      <c r="BF849" s="447"/>
      <c r="BG849" s="447"/>
      <c r="BH849" s="447"/>
      <c r="BI849" s="447"/>
      <c r="BJ849" s="447"/>
      <c r="BK849" s="447"/>
      <c r="BL849" s="447"/>
      <c r="BM849" s="448"/>
      <c r="BN849" s="448"/>
    </row>
    <row r="850" spans="1:66" ht="11.25" customHeight="1">
      <c r="A850" s="450"/>
      <c r="B850" s="447"/>
      <c r="C850" s="447"/>
      <c r="D850" s="447"/>
      <c r="E850" s="447"/>
      <c r="F850" s="447"/>
      <c r="G850" s="447"/>
      <c r="H850" s="447"/>
      <c r="I850" s="447"/>
      <c r="J850" s="447"/>
      <c r="K850" s="447"/>
      <c r="L850" s="447"/>
      <c r="M850" s="447"/>
      <c r="N850" s="447"/>
      <c r="O850" s="447"/>
      <c r="P850" s="447"/>
      <c r="Q850" s="447"/>
      <c r="R850" s="447"/>
      <c r="S850" s="447"/>
      <c r="T850" s="447"/>
      <c r="U850" s="447"/>
      <c r="V850" s="447"/>
      <c r="W850" s="447"/>
      <c r="X850" s="447"/>
      <c r="Y850" s="447"/>
      <c r="Z850" s="447"/>
      <c r="AA850" s="447"/>
      <c r="AB850" s="447"/>
      <c r="AC850" s="447"/>
      <c r="AD850" s="447"/>
      <c r="AE850" s="447"/>
      <c r="AF850" s="448"/>
      <c r="AG850" s="448"/>
      <c r="AH850" s="449"/>
      <c r="AI850" s="447"/>
      <c r="AJ850" s="447"/>
      <c r="AK850" s="447"/>
      <c r="AL850" s="447"/>
      <c r="AM850" s="447"/>
      <c r="AN850" s="447"/>
      <c r="AO850" s="447"/>
      <c r="AP850" s="447"/>
      <c r="AQ850" s="447"/>
      <c r="AR850" s="447"/>
      <c r="AS850" s="447"/>
      <c r="AT850" s="447"/>
      <c r="AU850" s="447"/>
      <c r="AV850" s="447"/>
      <c r="AW850" s="447"/>
      <c r="AX850" s="447"/>
      <c r="AY850" s="447"/>
      <c r="AZ850" s="447"/>
      <c r="BA850" s="447"/>
      <c r="BB850" s="447"/>
      <c r="BC850" s="447"/>
      <c r="BD850" s="447"/>
      <c r="BE850" s="447"/>
      <c r="BF850" s="447"/>
      <c r="BG850" s="447"/>
      <c r="BH850" s="447"/>
      <c r="BI850" s="447"/>
      <c r="BJ850" s="447"/>
      <c r="BK850" s="447"/>
      <c r="BL850" s="447"/>
      <c r="BM850" s="448"/>
      <c r="BN850" s="448"/>
    </row>
    <row r="851" spans="1:66" ht="11.25" customHeight="1">
      <c r="A851" s="450"/>
      <c r="B851" s="447"/>
      <c r="C851" s="447"/>
      <c r="D851" s="447"/>
      <c r="E851" s="447"/>
      <c r="F851" s="447"/>
      <c r="G851" s="447"/>
      <c r="H851" s="447"/>
      <c r="I851" s="447"/>
      <c r="J851" s="447"/>
      <c r="K851" s="447"/>
      <c r="L851" s="447"/>
      <c r="M851" s="447"/>
      <c r="N851" s="447"/>
      <c r="O851" s="447"/>
      <c r="P851" s="447"/>
      <c r="Q851" s="447"/>
      <c r="R851" s="447"/>
      <c r="S851" s="447"/>
      <c r="T851" s="447"/>
      <c r="U851" s="447"/>
      <c r="V851" s="447"/>
      <c r="W851" s="447"/>
      <c r="X851" s="447"/>
      <c r="Y851" s="447"/>
      <c r="Z851" s="447"/>
      <c r="AA851" s="447"/>
      <c r="AB851" s="447"/>
      <c r="AC851" s="447"/>
      <c r="AD851" s="447"/>
      <c r="AE851" s="447"/>
      <c r="AF851" s="448"/>
      <c r="AG851" s="448"/>
      <c r="AH851" s="449"/>
      <c r="AI851" s="447"/>
      <c r="AJ851" s="447"/>
      <c r="AK851" s="447"/>
      <c r="AL851" s="447"/>
      <c r="AM851" s="447"/>
      <c r="AN851" s="447"/>
      <c r="AO851" s="447"/>
      <c r="AP851" s="447"/>
      <c r="AQ851" s="447"/>
      <c r="AR851" s="447"/>
      <c r="AS851" s="447"/>
      <c r="AT851" s="447"/>
      <c r="AU851" s="447"/>
      <c r="AV851" s="447"/>
      <c r="AW851" s="447"/>
      <c r="AX851" s="447"/>
      <c r="AY851" s="447"/>
      <c r="AZ851" s="447"/>
      <c r="BA851" s="447"/>
      <c r="BB851" s="447"/>
      <c r="BC851" s="447"/>
      <c r="BD851" s="447"/>
      <c r="BE851" s="447"/>
      <c r="BF851" s="447"/>
      <c r="BG851" s="447"/>
      <c r="BH851" s="447"/>
      <c r="BI851" s="447"/>
      <c r="BJ851" s="447"/>
      <c r="BK851" s="447"/>
      <c r="BL851" s="447"/>
      <c r="BM851" s="448"/>
      <c r="BN851" s="448"/>
    </row>
    <row r="852" spans="1:66" ht="11.25" customHeight="1">
      <c r="A852" s="450"/>
      <c r="B852" s="447"/>
      <c r="C852" s="447"/>
      <c r="D852" s="447"/>
      <c r="E852" s="447"/>
      <c r="F852" s="447"/>
      <c r="G852" s="447"/>
      <c r="H852" s="447"/>
      <c r="I852" s="447"/>
      <c r="J852" s="447"/>
      <c r="K852" s="447"/>
      <c r="L852" s="447"/>
      <c r="M852" s="447"/>
      <c r="N852" s="447"/>
      <c r="O852" s="447"/>
      <c r="P852" s="447"/>
      <c r="Q852" s="447"/>
      <c r="R852" s="447"/>
      <c r="S852" s="447"/>
      <c r="T852" s="447"/>
      <c r="U852" s="447"/>
      <c r="V852" s="447"/>
      <c r="W852" s="447"/>
      <c r="X852" s="447"/>
      <c r="Y852" s="447"/>
      <c r="Z852" s="447"/>
      <c r="AA852" s="447"/>
      <c r="AB852" s="447"/>
      <c r="AC852" s="447"/>
      <c r="AD852" s="447"/>
      <c r="AE852" s="447"/>
      <c r="AF852" s="448"/>
      <c r="AG852" s="448"/>
      <c r="AH852" s="449"/>
      <c r="AI852" s="447"/>
      <c r="AJ852" s="447"/>
      <c r="AK852" s="447"/>
      <c r="AL852" s="447"/>
      <c r="AM852" s="447"/>
      <c r="AN852" s="447"/>
      <c r="AO852" s="447"/>
      <c r="AP852" s="447"/>
      <c r="AQ852" s="447"/>
      <c r="AR852" s="447"/>
      <c r="AS852" s="447"/>
      <c r="AT852" s="447"/>
      <c r="AU852" s="447"/>
      <c r="AV852" s="447"/>
      <c r="AW852" s="447"/>
      <c r="AX852" s="447"/>
      <c r="AY852" s="447"/>
      <c r="AZ852" s="447"/>
      <c r="BA852" s="447"/>
      <c r="BB852" s="447"/>
      <c r="BC852" s="447"/>
      <c r="BD852" s="447"/>
      <c r="BE852" s="447"/>
      <c r="BF852" s="447"/>
      <c r="BG852" s="447"/>
      <c r="BH852" s="447"/>
      <c r="BI852" s="447"/>
      <c r="BJ852" s="447"/>
      <c r="BK852" s="447"/>
      <c r="BL852" s="447"/>
      <c r="BM852" s="448"/>
      <c r="BN852" s="448"/>
    </row>
    <row r="853" spans="1:66" ht="11.25" customHeight="1">
      <c r="A853" s="450"/>
      <c r="B853" s="447"/>
      <c r="C853" s="447"/>
      <c r="D853" s="447"/>
      <c r="E853" s="447"/>
      <c r="F853" s="447"/>
      <c r="G853" s="447"/>
      <c r="H853" s="447"/>
      <c r="I853" s="447"/>
      <c r="J853" s="447"/>
      <c r="K853" s="447"/>
      <c r="L853" s="447"/>
      <c r="M853" s="447"/>
      <c r="N853" s="447"/>
      <c r="O853" s="447"/>
      <c r="P853" s="447"/>
      <c r="Q853" s="447"/>
      <c r="R853" s="447"/>
      <c r="S853" s="447"/>
      <c r="T853" s="447"/>
      <c r="U853" s="447"/>
      <c r="V853" s="447"/>
      <c r="W853" s="447"/>
      <c r="X853" s="447"/>
      <c r="Y853" s="447"/>
      <c r="Z853" s="447"/>
      <c r="AA853" s="447"/>
      <c r="AB853" s="447"/>
      <c r="AC853" s="447"/>
      <c r="AD853" s="447"/>
      <c r="AE853" s="447"/>
      <c r="AF853" s="448"/>
      <c r="AG853" s="448"/>
      <c r="AH853" s="449"/>
      <c r="AI853" s="447"/>
      <c r="AJ853" s="447"/>
      <c r="AK853" s="447"/>
      <c r="AL853" s="447"/>
      <c r="AM853" s="447"/>
      <c r="AN853" s="447"/>
      <c r="AO853" s="447"/>
      <c r="AP853" s="447"/>
      <c r="AQ853" s="447"/>
      <c r="AR853" s="447"/>
      <c r="AS853" s="447"/>
      <c r="AT853" s="447"/>
      <c r="AU853" s="447"/>
      <c r="AV853" s="447"/>
      <c r="AW853" s="447"/>
      <c r="AX853" s="447"/>
      <c r="AY853" s="447"/>
      <c r="AZ853" s="447"/>
      <c r="BA853" s="447"/>
      <c r="BB853" s="447"/>
      <c r="BC853" s="447"/>
      <c r="BD853" s="447"/>
      <c r="BE853" s="447"/>
      <c r="BF853" s="447"/>
      <c r="BG853" s="447"/>
      <c r="BH853" s="447"/>
      <c r="BI853" s="447"/>
      <c r="BJ853" s="447"/>
      <c r="BK853" s="447"/>
      <c r="BL853" s="447"/>
      <c r="BM853" s="448"/>
      <c r="BN853" s="448"/>
    </row>
    <row r="854" spans="1:66" ht="11.25" customHeight="1">
      <c r="A854" s="450"/>
      <c r="B854" s="447"/>
      <c r="C854" s="447"/>
      <c r="D854" s="447"/>
      <c r="E854" s="447"/>
      <c r="F854" s="447"/>
      <c r="G854" s="447"/>
      <c r="H854" s="447"/>
      <c r="I854" s="447"/>
      <c r="J854" s="447"/>
      <c r="K854" s="447"/>
      <c r="L854" s="447"/>
      <c r="M854" s="447"/>
      <c r="N854" s="447"/>
      <c r="O854" s="447"/>
      <c r="P854" s="447"/>
      <c r="Q854" s="447"/>
      <c r="R854" s="447"/>
      <c r="S854" s="447"/>
      <c r="T854" s="447"/>
      <c r="U854" s="447"/>
      <c r="V854" s="447"/>
      <c r="W854" s="447"/>
      <c r="X854" s="447"/>
      <c r="Y854" s="447"/>
      <c r="Z854" s="447"/>
      <c r="AA854" s="447"/>
      <c r="AB854" s="447"/>
      <c r="AC854" s="447"/>
      <c r="AD854" s="447"/>
      <c r="AE854" s="447"/>
      <c r="AF854" s="448"/>
      <c r="AG854" s="448"/>
      <c r="AH854" s="449"/>
      <c r="AI854" s="447"/>
      <c r="AJ854" s="447"/>
      <c r="AK854" s="447"/>
      <c r="AL854" s="447"/>
      <c r="AM854" s="447"/>
      <c r="AN854" s="447"/>
      <c r="AO854" s="447"/>
      <c r="AP854" s="447"/>
      <c r="AQ854" s="447"/>
      <c r="AR854" s="447"/>
      <c r="AS854" s="447"/>
      <c r="AT854" s="447"/>
      <c r="AU854" s="447"/>
      <c r="AV854" s="447"/>
      <c r="AW854" s="447"/>
      <c r="AX854" s="447"/>
      <c r="AY854" s="447"/>
      <c r="AZ854" s="447"/>
      <c r="BA854" s="447"/>
      <c r="BB854" s="447"/>
      <c r="BC854" s="447"/>
      <c r="BD854" s="447"/>
      <c r="BE854" s="447"/>
      <c r="BF854" s="447"/>
      <c r="BG854" s="447"/>
      <c r="BH854" s="447"/>
      <c r="BI854" s="447"/>
      <c r="BJ854" s="447"/>
      <c r="BK854" s="447"/>
      <c r="BL854" s="447"/>
      <c r="BM854" s="448"/>
      <c r="BN854" s="448"/>
    </row>
    <row r="855" spans="1:66" ht="11.25" customHeight="1">
      <c r="A855" s="450"/>
      <c r="B855" s="447"/>
      <c r="C855" s="447"/>
      <c r="D855" s="447"/>
      <c r="E855" s="447"/>
      <c r="F855" s="447"/>
      <c r="G855" s="447"/>
      <c r="H855" s="447"/>
      <c r="I855" s="447"/>
      <c r="J855" s="447"/>
      <c r="K855" s="447"/>
      <c r="L855" s="447"/>
      <c r="M855" s="447"/>
      <c r="N855" s="447"/>
      <c r="O855" s="447"/>
      <c r="P855" s="447"/>
      <c r="Q855" s="447"/>
      <c r="R855" s="447"/>
      <c r="S855" s="447"/>
      <c r="T855" s="447"/>
      <c r="U855" s="447"/>
      <c r="V855" s="447"/>
      <c r="W855" s="447"/>
      <c r="X855" s="447"/>
      <c r="Y855" s="447"/>
      <c r="Z855" s="447"/>
      <c r="AA855" s="447"/>
      <c r="AB855" s="447"/>
      <c r="AC855" s="447"/>
      <c r="AD855" s="447"/>
      <c r="AE855" s="447"/>
      <c r="AF855" s="448"/>
      <c r="AG855" s="448"/>
      <c r="AH855" s="449"/>
      <c r="AI855" s="447"/>
      <c r="AJ855" s="447"/>
      <c r="AK855" s="447"/>
      <c r="AL855" s="447"/>
      <c r="AM855" s="447"/>
      <c r="AN855" s="447"/>
      <c r="AO855" s="447"/>
      <c r="AP855" s="447"/>
      <c r="AQ855" s="447"/>
      <c r="AR855" s="447"/>
      <c r="AS855" s="447"/>
      <c r="AT855" s="447"/>
      <c r="AU855" s="447"/>
      <c r="AV855" s="447"/>
      <c r="AW855" s="447"/>
      <c r="AX855" s="447"/>
      <c r="AY855" s="447"/>
      <c r="AZ855" s="447"/>
      <c r="BA855" s="447"/>
      <c r="BB855" s="447"/>
      <c r="BC855" s="447"/>
      <c r="BD855" s="447"/>
      <c r="BE855" s="447"/>
      <c r="BF855" s="447"/>
      <c r="BG855" s="447"/>
      <c r="BH855" s="447"/>
      <c r="BI855" s="447"/>
      <c r="BJ855" s="447"/>
      <c r="BK855" s="447"/>
      <c r="BL855" s="447"/>
      <c r="BM855" s="448"/>
      <c r="BN855" s="448"/>
    </row>
    <row r="856" spans="1:66" ht="11.25" customHeight="1">
      <c r="A856" s="450"/>
      <c r="B856" s="447"/>
      <c r="C856" s="447"/>
      <c r="D856" s="447"/>
      <c r="E856" s="447"/>
      <c r="F856" s="447"/>
      <c r="G856" s="447"/>
      <c r="H856" s="447"/>
      <c r="I856" s="447"/>
      <c r="J856" s="447"/>
      <c r="K856" s="447"/>
      <c r="L856" s="447"/>
      <c r="M856" s="447"/>
      <c r="N856" s="447"/>
      <c r="O856" s="447"/>
      <c r="P856" s="447"/>
      <c r="Q856" s="447"/>
      <c r="R856" s="447"/>
      <c r="S856" s="447"/>
      <c r="T856" s="447"/>
      <c r="U856" s="447"/>
      <c r="V856" s="447"/>
      <c r="W856" s="447"/>
      <c r="X856" s="447"/>
      <c r="Y856" s="447"/>
      <c r="Z856" s="447"/>
      <c r="AA856" s="447"/>
      <c r="AB856" s="447"/>
      <c r="AC856" s="447"/>
      <c r="AD856" s="447"/>
      <c r="AE856" s="447"/>
      <c r="AF856" s="448"/>
      <c r="AG856" s="448"/>
      <c r="AH856" s="449"/>
      <c r="AI856" s="447"/>
      <c r="AJ856" s="447"/>
      <c r="AK856" s="447"/>
      <c r="AL856" s="447"/>
      <c r="AM856" s="447"/>
      <c r="AN856" s="447"/>
      <c r="AO856" s="447"/>
      <c r="AP856" s="447"/>
      <c r="AQ856" s="447"/>
      <c r="AR856" s="447"/>
      <c r="AS856" s="447"/>
      <c r="AT856" s="447"/>
      <c r="AU856" s="447"/>
      <c r="AV856" s="447"/>
      <c r="AW856" s="447"/>
      <c r="AX856" s="447"/>
      <c r="AY856" s="447"/>
      <c r="AZ856" s="447"/>
      <c r="BA856" s="447"/>
      <c r="BB856" s="447"/>
      <c r="BC856" s="447"/>
      <c r="BD856" s="447"/>
      <c r="BE856" s="447"/>
      <c r="BF856" s="447"/>
      <c r="BG856" s="447"/>
      <c r="BH856" s="447"/>
      <c r="BI856" s="447"/>
      <c r="BJ856" s="447"/>
      <c r="BK856" s="447"/>
      <c r="BL856" s="447"/>
      <c r="BM856" s="448"/>
      <c r="BN856" s="448"/>
    </row>
    <row r="857" spans="1:66" ht="11.25" customHeight="1">
      <c r="A857" s="450"/>
      <c r="B857" s="447"/>
      <c r="C857" s="447"/>
      <c r="D857" s="447"/>
      <c r="E857" s="447"/>
      <c r="F857" s="447"/>
      <c r="G857" s="447"/>
      <c r="H857" s="447"/>
      <c r="I857" s="447"/>
      <c r="J857" s="447"/>
      <c r="K857" s="447"/>
      <c r="L857" s="447"/>
      <c r="M857" s="447"/>
      <c r="N857" s="447"/>
      <c r="O857" s="447"/>
      <c r="P857" s="447"/>
      <c r="Q857" s="447"/>
      <c r="R857" s="447"/>
      <c r="S857" s="447"/>
      <c r="T857" s="447"/>
      <c r="U857" s="447"/>
      <c r="V857" s="447"/>
      <c r="W857" s="447"/>
      <c r="X857" s="447"/>
      <c r="Y857" s="447"/>
      <c r="Z857" s="447"/>
      <c r="AA857" s="447"/>
      <c r="AB857" s="447"/>
      <c r="AC857" s="447"/>
      <c r="AD857" s="447"/>
      <c r="AE857" s="447"/>
      <c r="AF857" s="448"/>
      <c r="AG857" s="448"/>
      <c r="AH857" s="449"/>
      <c r="AI857" s="447"/>
      <c r="AJ857" s="447"/>
      <c r="AK857" s="447"/>
      <c r="AL857" s="447"/>
      <c r="AM857" s="447"/>
      <c r="AN857" s="447"/>
      <c r="AO857" s="447"/>
      <c r="AP857" s="447"/>
      <c r="AQ857" s="447"/>
      <c r="AR857" s="447"/>
      <c r="AS857" s="447"/>
      <c r="AT857" s="447"/>
      <c r="AU857" s="447"/>
      <c r="AV857" s="447"/>
      <c r="AW857" s="447"/>
      <c r="AX857" s="447"/>
      <c r="AY857" s="447"/>
      <c r="AZ857" s="447"/>
      <c r="BA857" s="447"/>
      <c r="BB857" s="447"/>
      <c r="BC857" s="447"/>
      <c r="BD857" s="447"/>
      <c r="BE857" s="447"/>
      <c r="BF857" s="447"/>
      <c r="BG857" s="447"/>
      <c r="BH857" s="447"/>
      <c r="BI857" s="447"/>
      <c r="BJ857" s="447"/>
      <c r="BK857" s="447"/>
      <c r="BL857" s="447"/>
      <c r="BM857" s="448"/>
      <c r="BN857" s="448"/>
    </row>
    <row r="858" spans="1:66" ht="11.25" customHeight="1">
      <c r="A858" s="450"/>
      <c r="B858" s="447"/>
      <c r="C858" s="447"/>
      <c r="D858" s="447"/>
      <c r="E858" s="447"/>
      <c r="F858" s="447"/>
      <c r="G858" s="447"/>
      <c r="H858" s="447"/>
      <c r="I858" s="447"/>
      <c r="J858" s="447"/>
      <c r="K858" s="447"/>
      <c r="L858" s="447"/>
      <c r="M858" s="447"/>
      <c r="N858" s="447"/>
      <c r="O858" s="447"/>
      <c r="P858" s="447"/>
      <c r="Q858" s="447"/>
      <c r="R858" s="447"/>
      <c r="S858" s="447"/>
      <c r="T858" s="447"/>
      <c r="U858" s="447"/>
      <c r="V858" s="447"/>
      <c r="W858" s="447"/>
      <c r="X858" s="447"/>
      <c r="Y858" s="447"/>
      <c r="Z858" s="447"/>
      <c r="AA858" s="447"/>
      <c r="AB858" s="447"/>
      <c r="AC858" s="447"/>
      <c r="AD858" s="447"/>
      <c r="AE858" s="447"/>
      <c r="AF858" s="448"/>
      <c r="AG858" s="448"/>
      <c r="AH858" s="449"/>
      <c r="AI858" s="447"/>
      <c r="AJ858" s="447"/>
      <c r="AK858" s="447"/>
      <c r="AL858" s="447"/>
      <c r="AM858" s="447"/>
      <c r="AN858" s="447"/>
      <c r="AO858" s="447"/>
      <c r="AP858" s="447"/>
      <c r="AQ858" s="447"/>
      <c r="AR858" s="447"/>
      <c r="AS858" s="447"/>
      <c r="AT858" s="447"/>
      <c r="AU858" s="447"/>
      <c r="AV858" s="447"/>
      <c r="AW858" s="447"/>
      <c r="AX858" s="447"/>
      <c r="AY858" s="447"/>
      <c r="AZ858" s="447"/>
      <c r="BA858" s="447"/>
      <c r="BB858" s="447"/>
      <c r="BC858" s="447"/>
      <c r="BD858" s="447"/>
      <c r="BE858" s="447"/>
      <c r="BF858" s="447"/>
      <c r="BG858" s="447"/>
      <c r="BH858" s="447"/>
      <c r="BI858" s="447"/>
      <c r="BJ858" s="447"/>
      <c r="BK858" s="447"/>
      <c r="BL858" s="447"/>
      <c r="BM858" s="448"/>
      <c r="BN858" s="448"/>
    </row>
    <row r="859" spans="1:66" ht="11.25" customHeight="1">
      <c r="A859" s="450"/>
      <c r="B859" s="447"/>
      <c r="C859" s="447"/>
      <c r="D859" s="447"/>
      <c r="E859" s="447"/>
      <c r="F859" s="447"/>
      <c r="G859" s="447"/>
      <c r="H859" s="447"/>
      <c r="I859" s="447"/>
      <c r="J859" s="447"/>
      <c r="K859" s="447"/>
      <c r="L859" s="447"/>
      <c r="M859" s="447"/>
      <c r="N859" s="447"/>
      <c r="O859" s="447"/>
      <c r="P859" s="447"/>
      <c r="Q859" s="447"/>
      <c r="R859" s="447"/>
      <c r="S859" s="447"/>
      <c r="T859" s="447"/>
      <c r="U859" s="447"/>
      <c r="V859" s="447"/>
      <c r="W859" s="447"/>
      <c r="X859" s="447"/>
      <c r="Y859" s="447"/>
      <c r="Z859" s="447"/>
      <c r="AA859" s="447"/>
      <c r="AB859" s="447"/>
      <c r="AC859" s="447"/>
      <c r="AD859" s="447"/>
      <c r="AE859" s="447"/>
      <c r="AF859" s="448"/>
      <c r="AG859" s="448"/>
      <c r="AH859" s="449"/>
      <c r="AI859" s="447"/>
      <c r="AJ859" s="447"/>
      <c r="AK859" s="447"/>
      <c r="AL859" s="447"/>
      <c r="AM859" s="447"/>
      <c r="AN859" s="447"/>
      <c r="AO859" s="447"/>
      <c r="AP859" s="447"/>
      <c r="AQ859" s="447"/>
      <c r="AR859" s="447"/>
      <c r="AS859" s="447"/>
      <c r="AT859" s="447"/>
      <c r="AU859" s="447"/>
      <c r="AV859" s="447"/>
      <c r="AW859" s="447"/>
      <c r="AX859" s="447"/>
      <c r="AY859" s="447"/>
      <c r="AZ859" s="447"/>
      <c r="BA859" s="447"/>
      <c r="BB859" s="447"/>
      <c r="BC859" s="447"/>
      <c r="BD859" s="447"/>
      <c r="BE859" s="447"/>
      <c r="BF859" s="447"/>
      <c r="BG859" s="447"/>
      <c r="BH859" s="447"/>
      <c r="BI859" s="447"/>
      <c r="BJ859" s="447"/>
      <c r="BK859" s="447"/>
      <c r="BL859" s="447"/>
      <c r="BM859" s="448"/>
      <c r="BN859" s="448"/>
    </row>
    <row r="860" spans="1:66" ht="11.25" customHeight="1">
      <c r="A860" s="450"/>
      <c r="B860" s="447"/>
      <c r="C860" s="447"/>
      <c r="D860" s="447"/>
      <c r="E860" s="447"/>
      <c r="F860" s="447"/>
      <c r="G860" s="447"/>
      <c r="H860" s="447"/>
      <c r="I860" s="447"/>
      <c r="J860" s="447"/>
      <c r="K860" s="447"/>
      <c r="L860" s="447"/>
      <c r="M860" s="447"/>
      <c r="N860" s="447"/>
      <c r="O860" s="447"/>
      <c r="P860" s="447"/>
      <c r="Q860" s="447"/>
      <c r="R860" s="447"/>
      <c r="S860" s="447"/>
      <c r="T860" s="447"/>
      <c r="U860" s="447"/>
      <c r="V860" s="447"/>
      <c r="W860" s="447"/>
      <c r="X860" s="447"/>
      <c r="Y860" s="447"/>
      <c r="Z860" s="447"/>
      <c r="AA860" s="447"/>
      <c r="AB860" s="447"/>
      <c r="AC860" s="447"/>
      <c r="AD860" s="447"/>
      <c r="AE860" s="447"/>
      <c r="AF860" s="448"/>
      <c r="AG860" s="448"/>
      <c r="AH860" s="449"/>
      <c r="AI860" s="447"/>
      <c r="AJ860" s="447"/>
      <c r="AK860" s="447"/>
      <c r="AL860" s="447"/>
      <c r="AM860" s="447"/>
      <c r="AN860" s="447"/>
      <c r="AO860" s="447"/>
      <c r="AP860" s="447"/>
      <c r="AQ860" s="447"/>
      <c r="AR860" s="447"/>
      <c r="AS860" s="447"/>
      <c r="AT860" s="447"/>
      <c r="AU860" s="447"/>
      <c r="AV860" s="447"/>
      <c r="AW860" s="447"/>
      <c r="AX860" s="447"/>
      <c r="AY860" s="447"/>
      <c r="AZ860" s="447"/>
      <c r="BA860" s="447"/>
      <c r="BB860" s="447"/>
      <c r="BC860" s="447"/>
      <c r="BD860" s="447"/>
      <c r="BE860" s="447"/>
      <c r="BF860" s="447"/>
      <c r="BG860" s="447"/>
      <c r="BH860" s="447"/>
      <c r="BI860" s="447"/>
      <c r="BJ860" s="447"/>
      <c r="BK860" s="447"/>
      <c r="BL860" s="447"/>
      <c r="BM860" s="448"/>
      <c r="BN860" s="448"/>
    </row>
    <row r="861" spans="1:66" ht="11.25" customHeight="1">
      <c r="A861" s="450"/>
      <c r="B861" s="447"/>
      <c r="C861" s="447"/>
      <c r="D861" s="447"/>
      <c r="E861" s="447"/>
      <c r="F861" s="447"/>
      <c r="G861" s="447"/>
      <c r="H861" s="447"/>
      <c r="I861" s="447"/>
      <c r="J861" s="447"/>
      <c r="K861" s="447"/>
      <c r="L861" s="447"/>
      <c r="M861" s="447"/>
      <c r="N861" s="447"/>
      <c r="O861" s="447"/>
      <c r="P861" s="447"/>
      <c r="Q861" s="447"/>
      <c r="R861" s="447"/>
      <c r="S861" s="447"/>
      <c r="T861" s="447"/>
      <c r="U861" s="447"/>
      <c r="V861" s="447"/>
      <c r="W861" s="447"/>
      <c r="X861" s="447"/>
      <c r="Y861" s="447"/>
      <c r="Z861" s="447"/>
      <c r="AA861" s="447"/>
      <c r="AB861" s="447"/>
      <c r="AC861" s="447"/>
      <c r="AD861" s="447"/>
      <c r="AE861" s="447"/>
      <c r="AF861" s="448"/>
      <c r="AG861" s="448"/>
      <c r="AH861" s="449"/>
      <c r="AI861" s="447"/>
      <c r="AJ861" s="447"/>
      <c r="AK861" s="447"/>
      <c r="AL861" s="447"/>
      <c r="AM861" s="447"/>
      <c r="AN861" s="447"/>
      <c r="AO861" s="447"/>
      <c r="AP861" s="447"/>
      <c r="AQ861" s="447"/>
      <c r="AR861" s="447"/>
      <c r="AS861" s="447"/>
      <c r="AT861" s="447"/>
      <c r="AU861" s="447"/>
      <c r="AV861" s="447"/>
      <c r="AW861" s="447"/>
      <c r="AX861" s="447"/>
      <c r="AY861" s="447"/>
      <c r="AZ861" s="447"/>
      <c r="BA861" s="447"/>
      <c r="BB861" s="447"/>
      <c r="BC861" s="447"/>
      <c r="BD861" s="447"/>
      <c r="BE861" s="447"/>
      <c r="BF861" s="447"/>
      <c r="BG861" s="447"/>
      <c r="BH861" s="447"/>
      <c r="BI861" s="447"/>
      <c r="BJ861" s="447"/>
      <c r="BK861" s="447"/>
      <c r="BL861" s="447"/>
      <c r="BM861" s="448"/>
      <c r="BN861" s="448"/>
    </row>
    <row r="862" spans="1:66" ht="11.25" customHeight="1">
      <c r="A862" s="450"/>
      <c r="B862" s="447"/>
      <c r="C862" s="447"/>
      <c r="D862" s="447"/>
      <c r="E862" s="447"/>
      <c r="F862" s="447"/>
      <c r="G862" s="447"/>
      <c r="H862" s="447"/>
      <c r="I862" s="447"/>
      <c r="J862" s="447"/>
      <c r="K862" s="447"/>
      <c r="L862" s="447"/>
      <c r="M862" s="447"/>
      <c r="N862" s="447"/>
      <c r="O862" s="447"/>
      <c r="P862" s="447"/>
      <c r="Q862" s="447"/>
      <c r="R862" s="447"/>
      <c r="S862" s="447"/>
      <c r="T862" s="447"/>
      <c r="U862" s="447"/>
      <c r="V862" s="447"/>
      <c r="W862" s="447"/>
      <c r="X862" s="447"/>
      <c r="Y862" s="447"/>
      <c r="Z862" s="447"/>
      <c r="AA862" s="447"/>
      <c r="AB862" s="447"/>
      <c r="AC862" s="447"/>
      <c r="AD862" s="447"/>
      <c r="AE862" s="447"/>
      <c r="AF862" s="448"/>
      <c r="AG862" s="448"/>
      <c r="AH862" s="449"/>
      <c r="AI862" s="447"/>
      <c r="AJ862" s="447"/>
      <c r="AK862" s="447"/>
      <c r="AL862" s="447"/>
      <c r="AM862" s="447"/>
      <c r="AN862" s="447"/>
      <c r="AO862" s="447"/>
      <c r="AP862" s="447"/>
      <c r="AQ862" s="447"/>
      <c r="AR862" s="447"/>
      <c r="AS862" s="447"/>
      <c r="AT862" s="447"/>
      <c r="AU862" s="447"/>
      <c r="AV862" s="447"/>
      <c r="AW862" s="447"/>
      <c r="AX862" s="447"/>
      <c r="AY862" s="447"/>
      <c r="AZ862" s="447"/>
      <c r="BA862" s="447"/>
      <c r="BB862" s="447"/>
      <c r="BC862" s="447"/>
      <c r="BD862" s="447"/>
      <c r="BE862" s="447"/>
      <c r="BF862" s="447"/>
      <c r="BG862" s="447"/>
      <c r="BH862" s="447"/>
      <c r="BI862" s="447"/>
      <c r="BJ862" s="447"/>
      <c r="BK862" s="447"/>
      <c r="BL862" s="447"/>
      <c r="BM862" s="448"/>
      <c r="BN862" s="448"/>
    </row>
    <row r="863" spans="1:66" ht="11.25" customHeight="1">
      <c r="A863" s="450"/>
      <c r="B863" s="447"/>
      <c r="C863" s="447"/>
      <c r="D863" s="447"/>
      <c r="E863" s="447"/>
      <c r="F863" s="447"/>
      <c r="G863" s="447"/>
      <c r="H863" s="447"/>
      <c r="I863" s="447"/>
      <c r="J863" s="447"/>
      <c r="K863" s="447"/>
      <c r="L863" s="447"/>
      <c r="M863" s="447"/>
      <c r="N863" s="447"/>
      <c r="O863" s="447"/>
      <c r="P863" s="447"/>
      <c r="Q863" s="447"/>
      <c r="R863" s="447"/>
      <c r="S863" s="447"/>
      <c r="T863" s="447"/>
      <c r="U863" s="447"/>
      <c r="V863" s="447"/>
      <c r="W863" s="447"/>
      <c r="X863" s="447"/>
      <c r="Y863" s="447"/>
      <c r="Z863" s="447"/>
      <c r="AA863" s="447"/>
      <c r="AB863" s="447"/>
      <c r="AC863" s="447"/>
      <c r="AD863" s="447"/>
      <c r="AE863" s="447"/>
      <c r="AF863" s="448"/>
      <c r="AG863" s="448"/>
      <c r="AH863" s="449"/>
      <c r="AI863" s="447"/>
      <c r="AJ863" s="447"/>
      <c r="AK863" s="447"/>
      <c r="AL863" s="447"/>
      <c r="AM863" s="447"/>
      <c r="AN863" s="447"/>
      <c r="AO863" s="447"/>
      <c r="AP863" s="447"/>
      <c r="AQ863" s="447"/>
      <c r="AR863" s="447"/>
      <c r="AS863" s="447"/>
      <c r="AT863" s="447"/>
      <c r="AU863" s="447"/>
      <c r="AV863" s="447"/>
      <c r="AW863" s="447"/>
      <c r="AX863" s="447"/>
      <c r="AY863" s="447"/>
      <c r="AZ863" s="447"/>
      <c r="BA863" s="447"/>
      <c r="BB863" s="447"/>
      <c r="BC863" s="447"/>
      <c r="BD863" s="447"/>
      <c r="BE863" s="447"/>
      <c r="BF863" s="447"/>
      <c r="BG863" s="447"/>
      <c r="BH863" s="447"/>
      <c r="BI863" s="447"/>
      <c r="BJ863" s="447"/>
      <c r="BK863" s="447"/>
      <c r="BL863" s="447"/>
      <c r="BM863" s="448"/>
      <c r="BN863" s="448"/>
    </row>
    <row r="864" spans="1:66" ht="11.25" customHeight="1">
      <c r="A864" s="450"/>
      <c r="B864" s="447"/>
      <c r="C864" s="447"/>
      <c r="D864" s="447"/>
      <c r="E864" s="447"/>
      <c r="F864" s="447"/>
      <c r="G864" s="447"/>
      <c r="H864" s="447"/>
      <c r="I864" s="447"/>
      <c r="J864" s="447"/>
      <c r="K864" s="447"/>
      <c r="L864" s="447"/>
      <c r="M864" s="447"/>
      <c r="N864" s="447"/>
      <c r="O864" s="447"/>
      <c r="P864" s="447"/>
      <c r="Q864" s="447"/>
      <c r="R864" s="447"/>
      <c r="S864" s="447"/>
      <c r="T864" s="447"/>
      <c r="U864" s="447"/>
      <c r="V864" s="447"/>
      <c r="W864" s="447"/>
      <c r="X864" s="447"/>
      <c r="Y864" s="447"/>
      <c r="Z864" s="447"/>
      <c r="AA864" s="447"/>
      <c r="AB864" s="447"/>
      <c r="AC864" s="447"/>
      <c r="AD864" s="447"/>
      <c r="AE864" s="447"/>
      <c r="AF864" s="448"/>
      <c r="AG864" s="448"/>
      <c r="AH864" s="449"/>
      <c r="AI864" s="447"/>
      <c r="AJ864" s="447"/>
      <c r="AK864" s="447"/>
      <c r="AL864" s="447"/>
      <c r="AM864" s="447"/>
      <c r="AN864" s="447"/>
      <c r="AO864" s="447"/>
      <c r="AP864" s="447"/>
      <c r="AQ864" s="447"/>
      <c r="AR864" s="447"/>
      <c r="AS864" s="447"/>
      <c r="AT864" s="447"/>
      <c r="AU864" s="447"/>
      <c r="AV864" s="447"/>
      <c r="AW864" s="447"/>
      <c r="AX864" s="447"/>
      <c r="AY864" s="447"/>
      <c r="AZ864" s="447"/>
      <c r="BA864" s="447"/>
      <c r="BB864" s="447"/>
      <c r="BC864" s="447"/>
      <c r="BD864" s="447"/>
      <c r="BE864" s="447"/>
      <c r="BF864" s="447"/>
      <c r="BG864" s="447"/>
      <c r="BH864" s="447"/>
      <c r="BI864" s="447"/>
      <c r="BJ864" s="447"/>
      <c r="BK864" s="447"/>
      <c r="BL864" s="447"/>
      <c r="BM864" s="448"/>
      <c r="BN864" s="448"/>
    </row>
    <row r="865" spans="1:66" ht="11.25" customHeight="1">
      <c r="A865" s="450"/>
      <c r="B865" s="447"/>
      <c r="C865" s="447"/>
      <c r="D865" s="447"/>
      <c r="E865" s="447"/>
      <c r="F865" s="447"/>
      <c r="G865" s="447"/>
      <c r="H865" s="447"/>
      <c r="I865" s="447"/>
      <c r="J865" s="447"/>
      <c r="K865" s="447"/>
      <c r="L865" s="447"/>
      <c r="M865" s="447"/>
      <c r="N865" s="447"/>
      <c r="O865" s="447"/>
      <c r="P865" s="447"/>
      <c r="Q865" s="447"/>
      <c r="R865" s="447"/>
      <c r="S865" s="447"/>
      <c r="T865" s="447"/>
      <c r="U865" s="447"/>
      <c r="V865" s="447"/>
      <c r="W865" s="447"/>
      <c r="X865" s="447"/>
      <c r="Y865" s="447"/>
      <c r="Z865" s="447"/>
      <c r="AA865" s="447"/>
      <c r="AB865" s="447"/>
      <c r="AC865" s="447"/>
      <c r="AD865" s="447"/>
      <c r="AE865" s="447"/>
      <c r="AF865" s="448"/>
      <c r="AG865" s="448"/>
      <c r="AH865" s="449"/>
      <c r="AI865" s="447"/>
      <c r="AJ865" s="447"/>
      <c r="AK865" s="447"/>
      <c r="AL865" s="447"/>
      <c r="AM865" s="447"/>
      <c r="AN865" s="447"/>
      <c r="AO865" s="447"/>
      <c r="AP865" s="447"/>
      <c r="AQ865" s="447"/>
      <c r="AR865" s="447"/>
      <c r="AS865" s="447"/>
      <c r="AT865" s="447"/>
      <c r="AU865" s="447"/>
      <c r="AV865" s="447"/>
      <c r="AW865" s="447"/>
      <c r="AX865" s="447"/>
      <c r="AY865" s="447"/>
      <c r="AZ865" s="447"/>
      <c r="BA865" s="447"/>
      <c r="BB865" s="447"/>
      <c r="BC865" s="447"/>
      <c r="BD865" s="447"/>
      <c r="BE865" s="447"/>
      <c r="BF865" s="447"/>
      <c r="BG865" s="447"/>
      <c r="BH865" s="447"/>
      <c r="BI865" s="447"/>
      <c r="BJ865" s="447"/>
      <c r="BK865" s="447"/>
      <c r="BL865" s="447"/>
      <c r="BM865" s="448"/>
      <c r="BN865" s="448"/>
    </row>
    <row r="866" spans="1:66" ht="11.25" customHeight="1">
      <c r="A866" s="450"/>
      <c r="B866" s="447"/>
      <c r="C866" s="447"/>
      <c r="D866" s="447"/>
      <c r="E866" s="447"/>
      <c r="F866" s="447"/>
      <c r="G866" s="447"/>
      <c r="H866" s="447"/>
      <c r="I866" s="447"/>
      <c r="J866" s="447"/>
      <c r="K866" s="447"/>
      <c r="L866" s="447"/>
      <c r="M866" s="447"/>
      <c r="N866" s="447"/>
      <c r="O866" s="447"/>
      <c r="P866" s="447"/>
      <c r="Q866" s="447"/>
      <c r="R866" s="447"/>
      <c r="S866" s="447"/>
      <c r="T866" s="447"/>
      <c r="U866" s="447"/>
      <c r="V866" s="447"/>
      <c r="W866" s="447"/>
      <c r="X866" s="447"/>
      <c r="Y866" s="447"/>
      <c r="Z866" s="447"/>
      <c r="AA866" s="447"/>
      <c r="AB866" s="447"/>
      <c r="AC866" s="447"/>
      <c r="AD866" s="447"/>
      <c r="AE866" s="447"/>
      <c r="AF866" s="448"/>
      <c r="AG866" s="448"/>
      <c r="AH866" s="449"/>
      <c r="AI866" s="447"/>
      <c r="AJ866" s="447"/>
      <c r="AK866" s="447"/>
      <c r="AL866" s="447"/>
      <c r="AM866" s="447"/>
      <c r="AN866" s="447"/>
      <c r="AO866" s="447"/>
      <c r="AP866" s="447"/>
      <c r="AQ866" s="447"/>
      <c r="AR866" s="447"/>
      <c r="AS866" s="447"/>
      <c r="AT866" s="447"/>
      <c r="AU866" s="447"/>
      <c r="AV866" s="447"/>
      <c r="AW866" s="447"/>
      <c r="AX866" s="447"/>
      <c r="AY866" s="447"/>
      <c r="AZ866" s="447"/>
      <c r="BA866" s="447"/>
      <c r="BB866" s="447"/>
      <c r="BC866" s="447"/>
      <c r="BD866" s="447"/>
      <c r="BE866" s="447"/>
      <c r="BF866" s="447"/>
      <c r="BG866" s="447"/>
      <c r="BH866" s="447"/>
      <c r="BI866" s="447"/>
      <c r="BJ866" s="447"/>
      <c r="BK866" s="447"/>
      <c r="BL866" s="447"/>
      <c r="BM866" s="448"/>
      <c r="BN866" s="448"/>
    </row>
    <row r="867" spans="1:66" ht="11.25" customHeight="1">
      <c r="A867" s="450"/>
      <c r="B867" s="447"/>
      <c r="C867" s="447"/>
      <c r="D867" s="447"/>
      <c r="E867" s="447"/>
      <c r="F867" s="447"/>
      <c r="G867" s="447"/>
      <c r="H867" s="447"/>
      <c r="I867" s="447"/>
      <c r="J867" s="447"/>
      <c r="K867" s="447"/>
      <c r="L867" s="447"/>
      <c r="M867" s="447"/>
      <c r="N867" s="447"/>
      <c r="O867" s="447"/>
      <c r="P867" s="447"/>
      <c r="Q867" s="447"/>
      <c r="R867" s="447"/>
      <c r="S867" s="447"/>
      <c r="T867" s="447"/>
      <c r="U867" s="447"/>
      <c r="V867" s="447"/>
      <c r="W867" s="447"/>
      <c r="X867" s="447"/>
      <c r="Y867" s="447"/>
      <c r="Z867" s="447"/>
      <c r="AA867" s="447"/>
      <c r="AB867" s="447"/>
      <c r="AC867" s="447"/>
      <c r="AD867" s="447"/>
      <c r="AE867" s="447"/>
      <c r="AF867" s="448"/>
      <c r="AG867" s="448"/>
      <c r="AH867" s="449"/>
      <c r="AI867" s="447"/>
      <c r="AJ867" s="447"/>
      <c r="AK867" s="447"/>
      <c r="AL867" s="447"/>
      <c r="AM867" s="447"/>
      <c r="AN867" s="447"/>
      <c r="AO867" s="447"/>
      <c r="AP867" s="447"/>
      <c r="AQ867" s="447"/>
      <c r="AR867" s="447"/>
      <c r="AS867" s="447"/>
      <c r="AT867" s="447"/>
      <c r="AU867" s="447"/>
      <c r="AV867" s="447"/>
      <c r="AW867" s="447"/>
      <c r="AX867" s="447"/>
      <c r="AY867" s="447"/>
      <c r="AZ867" s="447"/>
      <c r="BA867" s="447"/>
      <c r="BB867" s="447"/>
      <c r="BC867" s="447"/>
      <c r="BD867" s="447"/>
      <c r="BE867" s="447"/>
      <c r="BF867" s="447"/>
      <c r="BG867" s="447"/>
      <c r="BH867" s="447"/>
      <c r="BI867" s="447"/>
      <c r="BJ867" s="447"/>
      <c r="BK867" s="447"/>
      <c r="BL867" s="447"/>
      <c r="BM867" s="448"/>
      <c r="BN867" s="448"/>
    </row>
    <row r="868" spans="1:66" ht="11.25" customHeight="1">
      <c r="A868" s="450"/>
      <c r="B868" s="447"/>
      <c r="C868" s="447"/>
      <c r="D868" s="447"/>
      <c r="E868" s="447"/>
      <c r="F868" s="447"/>
      <c r="G868" s="447"/>
      <c r="H868" s="447"/>
      <c r="I868" s="447"/>
      <c r="J868" s="447"/>
      <c r="K868" s="447"/>
      <c r="L868" s="447"/>
      <c r="M868" s="447"/>
      <c r="N868" s="447"/>
      <c r="O868" s="447"/>
      <c r="P868" s="447"/>
      <c r="Q868" s="447"/>
      <c r="R868" s="447"/>
      <c r="S868" s="447"/>
      <c r="T868" s="447"/>
      <c r="U868" s="447"/>
      <c r="V868" s="447"/>
      <c r="W868" s="447"/>
      <c r="X868" s="447"/>
      <c r="Y868" s="447"/>
      <c r="Z868" s="447"/>
      <c r="AA868" s="447"/>
      <c r="AB868" s="447"/>
      <c r="AC868" s="447"/>
      <c r="AD868" s="447"/>
      <c r="AE868" s="447"/>
      <c r="AF868" s="448"/>
      <c r="AG868" s="448"/>
      <c r="AH868" s="449"/>
      <c r="AI868" s="447"/>
      <c r="AJ868" s="447"/>
      <c r="AK868" s="447"/>
      <c r="AL868" s="447"/>
      <c r="AM868" s="447"/>
      <c r="AN868" s="447"/>
      <c r="AO868" s="447"/>
      <c r="AP868" s="447"/>
      <c r="AQ868" s="447"/>
      <c r="AR868" s="447"/>
      <c r="AS868" s="447"/>
      <c r="AT868" s="447"/>
      <c r="AU868" s="447"/>
      <c r="AV868" s="447"/>
      <c r="AW868" s="447"/>
      <c r="AX868" s="447"/>
      <c r="AY868" s="447"/>
      <c r="AZ868" s="447"/>
      <c r="BA868" s="447"/>
      <c r="BB868" s="447"/>
      <c r="BC868" s="447"/>
      <c r="BD868" s="447"/>
      <c r="BE868" s="447"/>
      <c r="BF868" s="447"/>
      <c r="BG868" s="447"/>
      <c r="BH868" s="447"/>
      <c r="BI868" s="447"/>
      <c r="BJ868" s="447"/>
      <c r="BK868" s="447"/>
      <c r="BL868" s="447"/>
      <c r="BM868" s="448"/>
      <c r="BN868" s="448"/>
    </row>
    <row r="869" spans="1:66" ht="11.25" customHeight="1">
      <c r="A869" s="450"/>
      <c r="B869" s="447"/>
      <c r="C869" s="447"/>
      <c r="D869" s="447"/>
      <c r="E869" s="447"/>
      <c r="F869" s="447"/>
      <c r="G869" s="447"/>
      <c r="H869" s="447"/>
      <c r="I869" s="447"/>
      <c r="J869" s="447"/>
      <c r="K869" s="447"/>
      <c r="L869" s="447"/>
      <c r="M869" s="447"/>
      <c r="N869" s="447"/>
      <c r="O869" s="447"/>
      <c r="P869" s="447"/>
      <c r="Q869" s="447"/>
      <c r="R869" s="447"/>
      <c r="S869" s="447"/>
      <c r="T869" s="447"/>
      <c r="U869" s="447"/>
      <c r="V869" s="447"/>
      <c r="W869" s="447"/>
      <c r="X869" s="447"/>
      <c r="Y869" s="447"/>
      <c r="Z869" s="447"/>
      <c r="AA869" s="447"/>
      <c r="AB869" s="447"/>
      <c r="AC869" s="447"/>
      <c r="AD869" s="447"/>
      <c r="AE869" s="447"/>
      <c r="AF869" s="448"/>
      <c r="AG869" s="448"/>
      <c r="AH869" s="449"/>
      <c r="AI869" s="447"/>
      <c r="AJ869" s="447"/>
      <c r="AK869" s="447"/>
      <c r="AL869" s="447"/>
      <c r="AM869" s="447"/>
      <c r="AN869" s="447"/>
      <c r="AO869" s="447"/>
      <c r="AP869" s="447"/>
      <c r="AQ869" s="447"/>
      <c r="AR869" s="447"/>
      <c r="AS869" s="447"/>
      <c r="AT869" s="447"/>
      <c r="AU869" s="447"/>
      <c r="AV869" s="447"/>
      <c r="AW869" s="447"/>
      <c r="AX869" s="447"/>
      <c r="AY869" s="447"/>
      <c r="AZ869" s="447"/>
      <c r="BA869" s="447"/>
      <c r="BB869" s="447"/>
      <c r="BC869" s="447"/>
      <c r="BD869" s="447"/>
      <c r="BE869" s="447"/>
      <c r="BF869" s="447"/>
      <c r="BG869" s="447"/>
      <c r="BH869" s="447"/>
      <c r="BI869" s="447"/>
      <c r="BJ869" s="447"/>
      <c r="BK869" s="447"/>
      <c r="BL869" s="447"/>
      <c r="BM869" s="448"/>
      <c r="BN869" s="448"/>
    </row>
    <row r="870" spans="1:66" ht="11.25" customHeight="1">
      <c r="A870" s="450"/>
      <c r="B870" s="447"/>
      <c r="C870" s="447"/>
      <c r="D870" s="447"/>
      <c r="E870" s="447"/>
      <c r="F870" s="447"/>
      <c r="G870" s="447"/>
      <c r="H870" s="447"/>
      <c r="I870" s="447"/>
      <c r="J870" s="447"/>
      <c r="K870" s="447"/>
      <c r="L870" s="447"/>
      <c r="M870" s="447"/>
      <c r="N870" s="447"/>
      <c r="O870" s="447"/>
      <c r="P870" s="447"/>
      <c r="Q870" s="447"/>
      <c r="R870" s="447"/>
      <c r="S870" s="447"/>
      <c r="T870" s="447"/>
      <c r="U870" s="447"/>
      <c r="V870" s="447"/>
      <c r="W870" s="447"/>
      <c r="X870" s="447"/>
      <c r="Y870" s="447"/>
      <c r="Z870" s="447"/>
      <c r="AA870" s="447"/>
      <c r="AB870" s="447"/>
      <c r="AC870" s="447"/>
      <c r="AD870" s="447"/>
      <c r="AE870" s="447"/>
      <c r="AF870" s="448"/>
      <c r="AG870" s="448"/>
      <c r="AH870" s="449"/>
      <c r="AI870" s="447"/>
      <c r="AJ870" s="447"/>
      <c r="AK870" s="447"/>
      <c r="AL870" s="447"/>
      <c r="AM870" s="447"/>
      <c r="AN870" s="447"/>
      <c r="AO870" s="447"/>
      <c r="AP870" s="447"/>
      <c r="AQ870" s="447"/>
      <c r="AR870" s="447"/>
      <c r="AS870" s="447"/>
      <c r="AT870" s="447"/>
      <c r="AU870" s="447"/>
      <c r="AV870" s="447"/>
      <c r="AW870" s="447"/>
      <c r="AX870" s="447"/>
      <c r="AY870" s="447"/>
      <c r="AZ870" s="447"/>
      <c r="BA870" s="447"/>
      <c r="BB870" s="447"/>
      <c r="BC870" s="447"/>
      <c r="BD870" s="447"/>
      <c r="BE870" s="447"/>
      <c r="BF870" s="447"/>
      <c r="BG870" s="447"/>
      <c r="BH870" s="447"/>
      <c r="BI870" s="447"/>
      <c r="BJ870" s="447"/>
      <c r="BK870" s="447"/>
      <c r="BL870" s="447"/>
      <c r="BM870" s="448"/>
      <c r="BN870" s="448"/>
    </row>
    <row r="871" spans="1:66" ht="11.25" customHeight="1">
      <c r="A871" s="450"/>
      <c r="B871" s="447"/>
      <c r="C871" s="447"/>
      <c r="D871" s="447"/>
      <c r="E871" s="447"/>
      <c r="F871" s="447"/>
      <c r="G871" s="447"/>
      <c r="H871" s="447"/>
      <c r="I871" s="447"/>
      <c r="J871" s="447"/>
      <c r="K871" s="447"/>
      <c r="L871" s="447"/>
      <c r="M871" s="447"/>
      <c r="N871" s="447"/>
      <c r="O871" s="447"/>
      <c r="P871" s="447"/>
      <c r="Q871" s="447"/>
      <c r="R871" s="447"/>
      <c r="S871" s="447"/>
      <c r="T871" s="447"/>
      <c r="U871" s="447"/>
      <c r="V871" s="447"/>
      <c r="W871" s="447"/>
      <c r="X871" s="447"/>
      <c r="Y871" s="447"/>
      <c r="Z871" s="447"/>
      <c r="AA871" s="447"/>
      <c r="AB871" s="447"/>
      <c r="AC871" s="447"/>
      <c r="AD871" s="447"/>
      <c r="AE871" s="447"/>
      <c r="AF871" s="448"/>
      <c r="AG871" s="448"/>
      <c r="AH871" s="449"/>
      <c r="AI871" s="447"/>
      <c r="AJ871" s="447"/>
      <c r="AK871" s="447"/>
      <c r="AL871" s="447"/>
      <c r="AM871" s="447"/>
      <c r="AN871" s="447"/>
      <c r="AO871" s="447"/>
      <c r="AP871" s="447"/>
      <c r="AQ871" s="447"/>
      <c r="AR871" s="447"/>
      <c r="AS871" s="447"/>
      <c r="AT871" s="447"/>
      <c r="AU871" s="447"/>
      <c r="AV871" s="447"/>
      <c r="AW871" s="447"/>
      <c r="AX871" s="447"/>
      <c r="AY871" s="447"/>
      <c r="AZ871" s="447"/>
      <c r="BA871" s="447"/>
      <c r="BB871" s="447"/>
      <c r="BC871" s="447"/>
      <c r="BD871" s="447"/>
      <c r="BE871" s="447"/>
      <c r="BF871" s="447"/>
      <c r="BG871" s="447"/>
      <c r="BH871" s="447"/>
      <c r="BI871" s="447"/>
      <c r="BJ871" s="447"/>
      <c r="BK871" s="447"/>
      <c r="BL871" s="447"/>
      <c r="BM871" s="448"/>
      <c r="BN871" s="448"/>
    </row>
    <row r="872" spans="1:66" ht="11.25" customHeight="1">
      <c r="A872" s="450"/>
      <c r="B872" s="447"/>
      <c r="C872" s="447"/>
      <c r="D872" s="447"/>
      <c r="E872" s="447"/>
      <c r="F872" s="447"/>
      <c r="G872" s="447"/>
      <c r="H872" s="447"/>
      <c r="I872" s="447"/>
      <c r="J872" s="447"/>
      <c r="K872" s="447"/>
      <c r="L872" s="447"/>
      <c r="M872" s="447"/>
      <c r="N872" s="447"/>
      <c r="O872" s="447"/>
      <c r="P872" s="447"/>
      <c r="Q872" s="447"/>
      <c r="R872" s="447"/>
      <c r="S872" s="447"/>
      <c r="T872" s="447"/>
      <c r="U872" s="447"/>
      <c r="V872" s="447"/>
      <c r="W872" s="447"/>
      <c r="X872" s="447"/>
      <c r="Y872" s="447"/>
      <c r="Z872" s="447"/>
      <c r="AA872" s="447"/>
      <c r="AB872" s="447"/>
      <c r="AC872" s="447"/>
      <c r="AD872" s="447"/>
      <c r="AE872" s="447"/>
      <c r="AF872" s="448"/>
      <c r="AG872" s="448"/>
      <c r="AH872" s="449"/>
      <c r="AI872" s="447"/>
      <c r="AJ872" s="447"/>
      <c r="AK872" s="447"/>
      <c r="AL872" s="447"/>
      <c r="AM872" s="447"/>
      <c r="AN872" s="447"/>
      <c r="AO872" s="447"/>
      <c r="AP872" s="447"/>
      <c r="AQ872" s="447"/>
      <c r="AR872" s="447"/>
      <c r="AS872" s="447"/>
      <c r="AT872" s="447"/>
      <c r="AU872" s="447"/>
      <c r="AV872" s="447"/>
      <c r="AW872" s="447"/>
      <c r="AX872" s="447"/>
      <c r="AY872" s="447"/>
      <c r="AZ872" s="447"/>
      <c r="BA872" s="447"/>
      <c r="BB872" s="447"/>
      <c r="BC872" s="447"/>
      <c r="BD872" s="447"/>
      <c r="BE872" s="447"/>
      <c r="BF872" s="447"/>
      <c r="BG872" s="447"/>
      <c r="BH872" s="447"/>
      <c r="BI872" s="447"/>
      <c r="BJ872" s="447"/>
      <c r="BK872" s="447"/>
      <c r="BL872" s="447"/>
      <c r="BM872" s="448"/>
      <c r="BN872" s="448"/>
    </row>
    <row r="873" spans="1:66" ht="11.25" customHeight="1">
      <c r="A873" s="450"/>
      <c r="B873" s="447"/>
      <c r="C873" s="447"/>
      <c r="D873" s="447"/>
      <c r="E873" s="447"/>
      <c r="F873" s="447"/>
      <c r="G873" s="447"/>
      <c r="H873" s="447"/>
      <c r="I873" s="447"/>
      <c r="J873" s="447"/>
      <c r="K873" s="447"/>
      <c r="L873" s="447"/>
      <c r="M873" s="447"/>
      <c r="N873" s="447"/>
      <c r="O873" s="447"/>
      <c r="P873" s="447"/>
      <c r="Q873" s="447"/>
      <c r="R873" s="447"/>
      <c r="S873" s="447"/>
      <c r="T873" s="447"/>
      <c r="U873" s="447"/>
      <c r="V873" s="447"/>
      <c r="W873" s="447"/>
      <c r="X873" s="447"/>
      <c r="Y873" s="447"/>
      <c r="Z873" s="447"/>
      <c r="AA873" s="447"/>
      <c r="AB873" s="447"/>
      <c r="AC873" s="447"/>
      <c r="AD873" s="447"/>
      <c r="AE873" s="447"/>
      <c r="AF873" s="448"/>
      <c r="AG873" s="448"/>
      <c r="AH873" s="449"/>
      <c r="AI873" s="447"/>
      <c r="AJ873" s="447"/>
      <c r="AK873" s="447"/>
      <c r="AL873" s="447"/>
      <c r="AM873" s="447"/>
      <c r="AN873" s="447"/>
      <c r="AO873" s="447"/>
      <c r="AP873" s="447"/>
      <c r="AQ873" s="447"/>
      <c r="AR873" s="447"/>
      <c r="AS873" s="447"/>
      <c r="AT873" s="447"/>
      <c r="AU873" s="447"/>
      <c r="AV873" s="447"/>
      <c r="AW873" s="447"/>
      <c r="AX873" s="447"/>
      <c r="AY873" s="447"/>
      <c r="AZ873" s="447"/>
      <c r="BA873" s="447"/>
      <c r="BB873" s="447"/>
      <c r="BC873" s="447"/>
      <c r="BD873" s="447"/>
      <c r="BE873" s="447"/>
      <c r="BF873" s="447"/>
      <c r="BG873" s="447"/>
      <c r="BH873" s="447"/>
      <c r="BI873" s="447"/>
      <c r="BJ873" s="447"/>
      <c r="BK873" s="447"/>
      <c r="BL873" s="447"/>
      <c r="BM873" s="448"/>
      <c r="BN873" s="448"/>
    </row>
    <row r="874" spans="1:66" ht="11.25" customHeight="1">
      <c r="A874" s="450"/>
      <c r="B874" s="447"/>
      <c r="C874" s="447"/>
      <c r="D874" s="447"/>
      <c r="E874" s="447"/>
      <c r="F874" s="447"/>
      <c r="G874" s="447"/>
      <c r="H874" s="447"/>
      <c r="I874" s="447"/>
      <c r="J874" s="447"/>
      <c r="K874" s="447"/>
      <c r="L874" s="447"/>
      <c r="M874" s="447"/>
      <c r="N874" s="447"/>
      <c r="O874" s="447"/>
      <c r="P874" s="447"/>
      <c r="Q874" s="447"/>
      <c r="R874" s="447"/>
      <c r="S874" s="447"/>
      <c r="T874" s="447"/>
      <c r="U874" s="447"/>
      <c r="V874" s="447"/>
      <c r="W874" s="447"/>
      <c r="X874" s="447"/>
      <c r="Y874" s="447"/>
      <c r="Z874" s="447"/>
      <c r="AA874" s="447"/>
      <c r="AB874" s="447"/>
      <c r="AC874" s="447"/>
      <c r="AD874" s="447"/>
      <c r="AE874" s="447"/>
      <c r="AF874" s="448"/>
      <c r="AG874" s="448"/>
      <c r="AH874" s="449"/>
      <c r="AI874" s="447"/>
      <c r="AJ874" s="447"/>
      <c r="AK874" s="447"/>
      <c r="AL874" s="447"/>
      <c r="AM874" s="447"/>
      <c r="AN874" s="447"/>
      <c r="AO874" s="447"/>
      <c r="AP874" s="447"/>
      <c r="AQ874" s="447"/>
      <c r="AR874" s="447"/>
      <c r="AS874" s="447"/>
      <c r="AT874" s="447"/>
      <c r="AU874" s="447"/>
      <c r="AV874" s="447"/>
      <c r="AW874" s="447"/>
      <c r="AX874" s="447"/>
      <c r="AY874" s="447"/>
      <c r="AZ874" s="447"/>
      <c r="BA874" s="447"/>
      <c r="BB874" s="447"/>
      <c r="BC874" s="447"/>
      <c r="BD874" s="447"/>
      <c r="BE874" s="447"/>
      <c r="BF874" s="447"/>
      <c r="BG874" s="447"/>
      <c r="BH874" s="447"/>
      <c r="BI874" s="447"/>
      <c r="BJ874" s="447"/>
      <c r="BK874" s="447"/>
      <c r="BL874" s="447"/>
      <c r="BM874" s="448"/>
      <c r="BN874" s="448"/>
    </row>
    <row r="875" spans="1:66" ht="11.25" customHeight="1">
      <c r="A875" s="450"/>
      <c r="B875" s="447"/>
      <c r="C875" s="447"/>
      <c r="D875" s="447"/>
      <c r="E875" s="447"/>
      <c r="F875" s="447"/>
      <c r="G875" s="447"/>
      <c r="H875" s="447"/>
      <c r="I875" s="447"/>
      <c r="J875" s="447"/>
      <c r="K875" s="447"/>
      <c r="L875" s="447"/>
      <c r="M875" s="447"/>
      <c r="N875" s="447"/>
      <c r="O875" s="447"/>
      <c r="P875" s="447"/>
      <c r="Q875" s="447"/>
      <c r="R875" s="447"/>
      <c r="S875" s="447"/>
      <c r="T875" s="447"/>
      <c r="U875" s="447"/>
      <c r="V875" s="447"/>
      <c r="W875" s="447"/>
      <c r="X875" s="447"/>
      <c r="Y875" s="447"/>
      <c r="Z875" s="447"/>
      <c r="AA875" s="447"/>
      <c r="AB875" s="447"/>
      <c r="AC875" s="447"/>
      <c r="AD875" s="447"/>
      <c r="AE875" s="447"/>
      <c r="AF875" s="448"/>
      <c r="AG875" s="448"/>
      <c r="AH875" s="449"/>
      <c r="AI875" s="447"/>
      <c r="AJ875" s="447"/>
      <c r="AK875" s="447"/>
      <c r="AL875" s="447"/>
      <c r="AM875" s="447"/>
      <c r="AN875" s="447"/>
      <c r="AO875" s="447"/>
      <c r="AP875" s="447"/>
      <c r="AQ875" s="447"/>
      <c r="AR875" s="447"/>
      <c r="AS875" s="447"/>
      <c r="AT875" s="447"/>
      <c r="AU875" s="447"/>
      <c r="AV875" s="447"/>
      <c r="AW875" s="447"/>
      <c r="AX875" s="447"/>
      <c r="AY875" s="447"/>
      <c r="AZ875" s="447"/>
      <c r="BA875" s="447"/>
      <c r="BB875" s="447"/>
      <c r="BC875" s="447"/>
      <c r="BD875" s="447"/>
      <c r="BE875" s="447"/>
      <c r="BF875" s="447"/>
      <c r="BG875" s="447"/>
      <c r="BH875" s="447"/>
      <c r="BI875" s="447"/>
      <c r="BJ875" s="447"/>
      <c r="BK875" s="447"/>
      <c r="BL875" s="447"/>
      <c r="BM875" s="448"/>
      <c r="BN875" s="448"/>
    </row>
    <row r="876" spans="1:66" ht="11.25" customHeight="1">
      <c r="A876" s="450"/>
      <c r="B876" s="447"/>
      <c r="C876" s="447"/>
      <c r="D876" s="447"/>
      <c r="E876" s="447"/>
      <c r="F876" s="447"/>
      <c r="G876" s="447"/>
      <c r="H876" s="447"/>
      <c r="I876" s="447"/>
      <c r="J876" s="447"/>
      <c r="K876" s="447"/>
      <c r="L876" s="447"/>
      <c r="M876" s="447"/>
      <c r="N876" s="447"/>
      <c r="O876" s="447"/>
      <c r="P876" s="447"/>
      <c r="Q876" s="447"/>
      <c r="R876" s="447"/>
      <c r="S876" s="447"/>
      <c r="T876" s="447"/>
      <c r="U876" s="447"/>
      <c r="V876" s="447"/>
      <c r="W876" s="447"/>
      <c r="X876" s="447"/>
      <c r="Y876" s="447"/>
      <c r="Z876" s="447"/>
      <c r="AA876" s="447"/>
      <c r="AB876" s="447"/>
      <c r="AC876" s="447"/>
      <c r="AD876" s="447"/>
      <c r="AE876" s="447"/>
      <c r="AF876" s="448"/>
      <c r="AG876" s="448"/>
      <c r="AH876" s="449"/>
      <c r="AI876" s="447"/>
      <c r="AJ876" s="447"/>
      <c r="AK876" s="447"/>
      <c r="AL876" s="447"/>
      <c r="AM876" s="447"/>
      <c r="AN876" s="447"/>
      <c r="AO876" s="447"/>
      <c r="AP876" s="447"/>
      <c r="AQ876" s="447"/>
      <c r="AR876" s="447"/>
      <c r="AS876" s="447"/>
      <c r="AT876" s="447"/>
      <c r="AU876" s="447"/>
      <c r="AV876" s="447"/>
      <c r="AW876" s="447"/>
      <c r="AX876" s="447"/>
      <c r="AY876" s="447"/>
      <c r="AZ876" s="447"/>
      <c r="BA876" s="447"/>
      <c r="BB876" s="447"/>
      <c r="BC876" s="447"/>
      <c r="BD876" s="447"/>
      <c r="BE876" s="447"/>
      <c r="BF876" s="447"/>
      <c r="BG876" s="447"/>
      <c r="BH876" s="447"/>
      <c r="BI876" s="447"/>
      <c r="BJ876" s="447"/>
      <c r="BK876" s="447"/>
      <c r="BL876" s="447"/>
      <c r="BM876" s="448"/>
      <c r="BN876" s="448"/>
    </row>
    <row r="877" spans="1:66" ht="11.25" customHeight="1">
      <c r="A877" s="450"/>
      <c r="B877" s="447"/>
      <c r="C877" s="447"/>
      <c r="D877" s="447"/>
      <c r="E877" s="447"/>
      <c r="F877" s="447"/>
      <c r="G877" s="447"/>
      <c r="H877" s="447"/>
      <c r="I877" s="447"/>
      <c r="J877" s="447"/>
      <c r="K877" s="447"/>
      <c r="L877" s="447"/>
      <c r="M877" s="447"/>
      <c r="N877" s="447"/>
      <c r="O877" s="447"/>
      <c r="P877" s="447"/>
      <c r="Q877" s="447"/>
      <c r="R877" s="447"/>
      <c r="S877" s="447"/>
      <c r="T877" s="447"/>
      <c r="U877" s="447"/>
      <c r="V877" s="447"/>
      <c r="W877" s="447"/>
      <c r="X877" s="447"/>
      <c r="Y877" s="447"/>
      <c r="Z877" s="447"/>
      <c r="AA877" s="447"/>
      <c r="AB877" s="447"/>
      <c r="AC877" s="447"/>
      <c r="AD877" s="447"/>
      <c r="AE877" s="447"/>
      <c r="AF877" s="448"/>
      <c r="AG877" s="448"/>
      <c r="AH877" s="449"/>
      <c r="AI877" s="447"/>
      <c r="AJ877" s="447"/>
      <c r="AK877" s="447"/>
      <c r="AL877" s="447"/>
      <c r="AM877" s="447"/>
      <c r="AN877" s="447"/>
      <c r="AO877" s="447"/>
      <c r="AP877" s="447"/>
      <c r="AQ877" s="447"/>
      <c r="AR877" s="447"/>
      <c r="AS877" s="447"/>
      <c r="AT877" s="447"/>
      <c r="AU877" s="447"/>
      <c r="AV877" s="447"/>
      <c r="AW877" s="447"/>
      <c r="AX877" s="447"/>
      <c r="AY877" s="447"/>
      <c r="AZ877" s="447"/>
      <c r="BA877" s="447"/>
      <c r="BB877" s="447"/>
      <c r="BC877" s="447"/>
      <c r="BD877" s="447"/>
      <c r="BE877" s="447"/>
      <c r="BF877" s="447"/>
      <c r="BG877" s="447"/>
      <c r="BH877" s="447"/>
      <c r="BI877" s="447"/>
      <c r="BJ877" s="447"/>
      <c r="BK877" s="447"/>
      <c r="BL877" s="447"/>
      <c r="BM877" s="448"/>
      <c r="BN877" s="448"/>
    </row>
    <row r="878" spans="1:66" ht="11.25" customHeight="1">
      <c r="A878" s="450"/>
      <c r="B878" s="447"/>
      <c r="C878" s="447"/>
      <c r="D878" s="447"/>
      <c r="E878" s="447"/>
      <c r="F878" s="447"/>
      <c r="G878" s="447"/>
      <c r="H878" s="447"/>
      <c r="I878" s="447"/>
      <c r="J878" s="447"/>
      <c r="K878" s="447"/>
      <c r="L878" s="447"/>
      <c r="M878" s="447"/>
      <c r="N878" s="447"/>
      <c r="O878" s="447"/>
      <c r="P878" s="447"/>
      <c r="Q878" s="447"/>
      <c r="R878" s="447"/>
      <c r="S878" s="447"/>
      <c r="T878" s="447"/>
      <c r="U878" s="447"/>
      <c r="V878" s="447"/>
      <c r="W878" s="447"/>
      <c r="X878" s="447"/>
      <c r="Y878" s="447"/>
      <c r="Z878" s="447"/>
      <c r="AA878" s="447"/>
      <c r="AB878" s="447"/>
      <c r="AC878" s="447"/>
      <c r="AD878" s="447"/>
      <c r="AE878" s="447"/>
      <c r="AF878" s="448"/>
      <c r="AG878" s="448"/>
      <c r="AH878" s="449"/>
      <c r="AI878" s="447"/>
      <c r="AJ878" s="447"/>
      <c r="AK878" s="447"/>
      <c r="AL878" s="447"/>
      <c r="AM878" s="447"/>
      <c r="AN878" s="447"/>
      <c r="AO878" s="447"/>
      <c r="AP878" s="447"/>
      <c r="AQ878" s="447"/>
      <c r="AR878" s="447"/>
      <c r="AS878" s="447"/>
      <c r="AT878" s="447"/>
      <c r="AU878" s="447"/>
      <c r="AV878" s="447"/>
      <c r="AW878" s="447"/>
      <c r="AX878" s="447"/>
      <c r="AY878" s="447"/>
      <c r="AZ878" s="447"/>
      <c r="BA878" s="447"/>
      <c r="BB878" s="447"/>
      <c r="BC878" s="447"/>
      <c r="BD878" s="447"/>
      <c r="BE878" s="447"/>
      <c r="BF878" s="447"/>
      <c r="BG878" s="447"/>
      <c r="BH878" s="447"/>
      <c r="BI878" s="447"/>
      <c r="BJ878" s="447"/>
      <c r="BK878" s="447"/>
      <c r="BL878" s="447"/>
      <c r="BM878" s="448"/>
      <c r="BN878" s="448"/>
    </row>
    <row r="879" spans="1:66" ht="11.25" customHeight="1">
      <c r="A879" s="450"/>
      <c r="B879" s="447"/>
      <c r="C879" s="447"/>
      <c r="D879" s="447"/>
      <c r="E879" s="447"/>
      <c r="F879" s="447"/>
      <c r="G879" s="447"/>
      <c r="H879" s="447"/>
      <c r="I879" s="447"/>
      <c r="J879" s="447"/>
      <c r="K879" s="447"/>
      <c r="L879" s="447"/>
      <c r="M879" s="447"/>
      <c r="N879" s="447"/>
      <c r="O879" s="447"/>
      <c r="P879" s="447"/>
      <c r="Q879" s="447"/>
      <c r="R879" s="447"/>
      <c r="S879" s="447"/>
      <c r="T879" s="447"/>
      <c r="U879" s="447"/>
      <c r="V879" s="447"/>
      <c r="W879" s="447"/>
      <c r="X879" s="447"/>
      <c r="Y879" s="447"/>
      <c r="Z879" s="447"/>
      <c r="AA879" s="447"/>
      <c r="AB879" s="447"/>
      <c r="AC879" s="447"/>
      <c r="AD879" s="447"/>
      <c r="AE879" s="447"/>
      <c r="AF879" s="448"/>
      <c r="AG879" s="448"/>
      <c r="AH879" s="449"/>
      <c r="AI879" s="447"/>
      <c r="AJ879" s="447"/>
      <c r="AK879" s="447"/>
      <c r="AL879" s="447"/>
      <c r="AM879" s="447"/>
      <c r="AN879" s="447"/>
      <c r="AO879" s="447"/>
      <c r="AP879" s="447"/>
      <c r="AQ879" s="447"/>
      <c r="AR879" s="447"/>
      <c r="AS879" s="447"/>
      <c r="AT879" s="447"/>
      <c r="AU879" s="447"/>
      <c r="AV879" s="447"/>
      <c r="AW879" s="447"/>
      <c r="AX879" s="447"/>
      <c r="AY879" s="447"/>
      <c r="AZ879" s="447"/>
      <c r="BA879" s="447"/>
      <c r="BB879" s="447"/>
      <c r="BC879" s="447"/>
      <c r="BD879" s="447"/>
      <c r="BE879" s="447"/>
      <c r="BF879" s="447"/>
      <c r="BG879" s="447"/>
      <c r="BH879" s="447"/>
      <c r="BI879" s="447"/>
      <c r="BJ879" s="447"/>
      <c r="BK879" s="447"/>
      <c r="BL879" s="447"/>
      <c r="BM879" s="448"/>
      <c r="BN879" s="448"/>
    </row>
    <row r="880" spans="1:66" ht="11.25" customHeight="1">
      <c r="A880" s="450"/>
      <c r="B880" s="447"/>
      <c r="C880" s="447"/>
      <c r="D880" s="447"/>
      <c r="E880" s="447"/>
      <c r="F880" s="447"/>
      <c r="G880" s="447"/>
      <c r="H880" s="447"/>
      <c r="I880" s="447"/>
      <c r="J880" s="447"/>
      <c r="K880" s="447"/>
      <c r="L880" s="447"/>
      <c r="M880" s="447"/>
      <c r="N880" s="447"/>
      <c r="O880" s="447"/>
      <c r="P880" s="447"/>
      <c r="Q880" s="447"/>
      <c r="R880" s="447"/>
      <c r="S880" s="447"/>
      <c r="T880" s="447"/>
      <c r="U880" s="447"/>
      <c r="V880" s="447"/>
      <c r="W880" s="447"/>
      <c r="X880" s="447"/>
      <c r="Y880" s="447"/>
      <c r="Z880" s="447"/>
      <c r="AA880" s="447"/>
      <c r="AB880" s="447"/>
      <c r="AC880" s="447"/>
      <c r="AD880" s="447"/>
      <c r="AE880" s="447"/>
      <c r="AF880" s="448"/>
      <c r="AG880" s="448"/>
      <c r="AH880" s="449"/>
      <c r="AI880" s="447"/>
      <c r="AJ880" s="447"/>
      <c r="AK880" s="447"/>
      <c r="AL880" s="447"/>
      <c r="AM880" s="447"/>
      <c r="AN880" s="447"/>
      <c r="AO880" s="447"/>
      <c r="AP880" s="447"/>
      <c r="AQ880" s="447"/>
      <c r="AR880" s="447"/>
      <c r="AS880" s="447"/>
      <c r="AT880" s="447"/>
      <c r="AU880" s="447"/>
      <c r="AV880" s="447"/>
      <c r="AW880" s="447"/>
      <c r="AX880" s="447"/>
      <c r="AY880" s="447"/>
      <c r="AZ880" s="447"/>
      <c r="BA880" s="447"/>
      <c r="BB880" s="447"/>
      <c r="BC880" s="447"/>
      <c r="BD880" s="447"/>
      <c r="BE880" s="447"/>
      <c r="BF880" s="447"/>
      <c r="BG880" s="447"/>
      <c r="BH880" s="447"/>
      <c r="BI880" s="447"/>
      <c r="BJ880" s="447"/>
      <c r="BK880" s="447"/>
      <c r="BL880" s="447"/>
      <c r="BM880" s="448"/>
      <c r="BN880" s="448"/>
    </row>
    <row r="881" spans="1:66" ht="11.25" customHeight="1">
      <c r="A881" s="450"/>
      <c r="B881" s="447"/>
      <c r="C881" s="447"/>
      <c r="D881" s="447"/>
      <c r="E881" s="447"/>
      <c r="F881" s="447"/>
      <c r="G881" s="447"/>
      <c r="H881" s="447"/>
      <c r="I881" s="447"/>
      <c r="J881" s="447"/>
      <c r="K881" s="447"/>
      <c r="L881" s="447"/>
      <c r="M881" s="447"/>
      <c r="N881" s="447"/>
      <c r="O881" s="447"/>
      <c r="P881" s="447"/>
      <c r="Q881" s="447"/>
      <c r="R881" s="447"/>
      <c r="S881" s="447"/>
      <c r="T881" s="447"/>
      <c r="U881" s="447"/>
      <c r="V881" s="447"/>
      <c r="W881" s="447"/>
      <c r="X881" s="447"/>
      <c r="Y881" s="447"/>
      <c r="Z881" s="447"/>
      <c r="AA881" s="447"/>
      <c r="AB881" s="447"/>
      <c r="AC881" s="447"/>
      <c r="AD881" s="447"/>
      <c r="AE881" s="447"/>
      <c r="AF881" s="448"/>
      <c r="AG881" s="448"/>
      <c r="AH881" s="449"/>
      <c r="AI881" s="447"/>
      <c r="AJ881" s="447"/>
      <c r="AK881" s="447"/>
      <c r="AL881" s="447"/>
      <c r="AM881" s="447"/>
      <c r="AN881" s="447"/>
      <c r="AO881" s="447"/>
      <c r="AP881" s="447"/>
      <c r="AQ881" s="447"/>
      <c r="AR881" s="447"/>
      <c r="AS881" s="447"/>
      <c r="AT881" s="447"/>
      <c r="AU881" s="447"/>
      <c r="AV881" s="447"/>
      <c r="AW881" s="447"/>
      <c r="AX881" s="447"/>
      <c r="AY881" s="447"/>
      <c r="AZ881" s="447"/>
      <c r="BA881" s="447"/>
      <c r="BB881" s="447"/>
      <c r="BC881" s="447"/>
      <c r="BD881" s="447"/>
      <c r="BE881" s="447"/>
      <c r="BF881" s="447"/>
      <c r="BG881" s="447"/>
      <c r="BH881" s="447"/>
      <c r="BI881" s="447"/>
      <c r="BJ881" s="447"/>
      <c r="BK881" s="447"/>
      <c r="BL881" s="447"/>
      <c r="BM881" s="448"/>
      <c r="BN881" s="448"/>
    </row>
    <row r="882" spans="1:66" ht="11.25" customHeight="1">
      <c r="A882" s="450"/>
      <c r="B882" s="447"/>
      <c r="C882" s="447"/>
      <c r="D882" s="447"/>
      <c r="E882" s="447"/>
      <c r="F882" s="447"/>
      <c r="G882" s="447"/>
      <c r="H882" s="447"/>
      <c r="I882" s="447"/>
      <c r="J882" s="447"/>
      <c r="K882" s="447"/>
      <c r="L882" s="447"/>
      <c r="M882" s="447"/>
      <c r="N882" s="447"/>
      <c r="O882" s="447"/>
      <c r="P882" s="447"/>
      <c r="Q882" s="447"/>
      <c r="R882" s="447"/>
      <c r="S882" s="447"/>
      <c r="T882" s="447"/>
      <c r="U882" s="447"/>
      <c r="V882" s="447"/>
      <c r="W882" s="447"/>
      <c r="X882" s="447"/>
      <c r="Y882" s="447"/>
      <c r="Z882" s="447"/>
      <c r="AA882" s="447"/>
      <c r="AB882" s="447"/>
      <c r="AC882" s="447"/>
      <c r="AD882" s="447"/>
      <c r="AE882" s="447"/>
      <c r="AF882" s="448"/>
      <c r="AG882" s="448"/>
      <c r="AH882" s="449"/>
      <c r="AI882" s="447"/>
      <c r="AJ882" s="447"/>
      <c r="AK882" s="447"/>
      <c r="AL882" s="447"/>
      <c r="AM882" s="447"/>
      <c r="AN882" s="447"/>
      <c r="AO882" s="447"/>
      <c r="AP882" s="447"/>
      <c r="AQ882" s="447"/>
      <c r="AR882" s="447"/>
      <c r="AS882" s="447"/>
      <c r="AT882" s="447"/>
      <c r="AU882" s="447"/>
      <c r="AV882" s="447"/>
      <c r="AW882" s="447"/>
      <c r="AX882" s="447"/>
      <c r="AY882" s="447"/>
      <c r="AZ882" s="447"/>
      <c r="BA882" s="447"/>
      <c r="BB882" s="447"/>
      <c r="BC882" s="447"/>
      <c r="BD882" s="447"/>
      <c r="BE882" s="447"/>
      <c r="BF882" s="447"/>
      <c r="BG882" s="447"/>
      <c r="BH882" s="447"/>
      <c r="BI882" s="447"/>
      <c r="BJ882" s="447"/>
      <c r="BK882" s="447"/>
      <c r="BL882" s="447"/>
      <c r="BM882" s="448"/>
      <c r="BN882" s="448"/>
    </row>
    <row r="883" spans="1:66" ht="11.25" customHeight="1">
      <c r="A883" s="450"/>
      <c r="B883" s="447"/>
      <c r="C883" s="447"/>
      <c r="D883" s="447"/>
      <c r="E883" s="447"/>
      <c r="F883" s="447"/>
      <c r="G883" s="447"/>
      <c r="H883" s="447"/>
      <c r="I883" s="447"/>
      <c r="J883" s="447"/>
      <c r="K883" s="447"/>
      <c r="L883" s="447"/>
      <c r="M883" s="447"/>
      <c r="N883" s="447"/>
      <c r="O883" s="447"/>
      <c r="P883" s="447"/>
      <c r="Q883" s="447"/>
      <c r="R883" s="447"/>
      <c r="S883" s="447"/>
      <c r="T883" s="447"/>
      <c r="U883" s="447"/>
      <c r="V883" s="447"/>
      <c r="W883" s="447"/>
      <c r="X883" s="447"/>
      <c r="Y883" s="447"/>
      <c r="Z883" s="447"/>
      <c r="AA883" s="447"/>
      <c r="AB883" s="447"/>
      <c r="AC883" s="447"/>
      <c r="AD883" s="447"/>
      <c r="AE883" s="447"/>
      <c r="AF883" s="448"/>
      <c r="AG883" s="448"/>
      <c r="AH883" s="449"/>
      <c r="AI883" s="447"/>
      <c r="AJ883" s="447"/>
      <c r="AK883" s="447"/>
      <c r="AL883" s="447"/>
      <c r="AM883" s="447"/>
      <c r="AN883" s="447"/>
      <c r="AO883" s="447"/>
      <c r="AP883" s="447"/>
      <c r="AQ883" s="447"/>
      <c r="AR883" s="447"/>
      <c r="AS883" s="447"/>
      <c r="AT883" s="447"/>
      <c r="AU883" s="447"/>
      <c r="AV883" s="447"/>
      <c r="AW883" s="447"/>
      <c r="AX883" s="447"/>
      <c r="AY883" s="447"/>
      <c r="AZ883" s="447"/>
      <c r="BA883" s="447"/>
      <c r="BB883" s="447"/>
      <c r="BC883" s="447"/>
      <c r="BD883" s="447"/>
      <c r="BE883" s="447"/>
      <c r="BF883" s="447"/>
      <c r="BG883" s="447"/>
      <c r="BH883" s="447"/>
      <c r="BI883" s="447"/>
      <c r="BJ883" s="447"/>
      <c r="BK883" s="447"/>
      <c r="BL883" s="447"/>
      <c r="BM883" s="448"/>
      <c r="BN883" s="448"/>
    </row>
    <row r="884" spans="1:66" ht="11.25" customHeight="1">
      <c r="A884" s="450"/>
      <c r="B884" s="447"/>
      <c r="C884" s="447"/>
      <c r="D884" s="447"/>
      <c r="E884" s="447"/>
      <c r="F884" s="447"/>
      <c r="G884" s="447"/>
      <c r="H884" s="447"/>
      <c r="I884" s="447"/>
      <c r="J884" s="447"/>
      <c r="K884" s="447"/>
      <c r="L884" s="447"/>
      <c r="M884" s="447"/>
      <c r="N884" s="447"/>
      <c r="O884" s="447"/>
      <c r="P884" s="447"/>
      <c r="Q884" s="447"/>
      <c r="R884" s="447"/>
      <c r="S884" s="447"/>
      <c r="T884" s="447"/>
      <c r="U884" s="447"/>
      <c r="V884" s="447"/>
      <c r="W884" s="447"/>
      <c r="X884" s="447"/>
      <c r="Y884" s="447"/>
      <c r="Z884" s="447"/>
      <c r="AA884" s="447"/>
      <c r="AB884" s="447"/>
      <c r="AC884" s="447"/>
      <c r="AD884" s="447"/>
      <c r="AE884" s="447"/>
      <c r="AF884" s="448"/>
      <c r="AG884" s="448"/>
      <c r="AH884" s="449"/>
      <c r="AI884" s="447"/>
      <c r="AJ884" s="447"/>
      <c r="AK884" s="447"/>
      <c r="AL884" s="447"/>
      <c r="AM884" s="447"/>
      <c r="AN884" s="447"/>
      <c r="AO884" s="447"/>
      <c r="AP884" s="447"/>
      <c r="AQ884" s="447"/>
      <c r="AR884" s="447"/>
      <c r="AS884" s="447"/>
      <c r="AT884" s="447"/>
      <c r="AU884" s="447"/>
      <c r="AV884" s="447"/>
      <c r="AW884" s="447"/>
      <c r="AX884" s="447"/>
      <c r="AY884" s="447"/>
      <c r="AZ884" s="447"/>
      <c r="BA884" s="447"/>
      <c r="BB884" s="447"/>
      <c r="BC884" s="447"/>
      <c r="BD884" s="447"/>
      <c r="BE884" s="447"/>
      <c r="BF884" s="447"/>
      <c r="BG884" s="447"/>
      <c r="BH884" s="447"/>
      <c r="BI884" s="447"/>
      <c r="BJ884" s="447"/>
      <c r="BK884" s="447"/>
      <c r="BL884" s="447"/>
      <c r="BM884" s="448"/>
      <c r="BN884" s="448"/>
    </row>
    <row r="885" spans="1:66" ht="11.25" customHeight="1">
      <c r="A885" s="450"/>
      <c r="B885" s="447"/>
      <c r="C885" s="447"/>
      <c r="D885" s="447"/>
      <c r="E885" s="447"/>
      <c r="F885" s="447"/>
      <c r="G885" s="447"/>
      <c r="H885" s="447"/>
      <c r="I885" s="447"/>
      <c r="J885" s="447"/>
      <c r="K885" s="447"/>
      <c r="L885" s="447"/>
      <c r="M885" s="447"/>
      <c r="N885" s="447"/>
      <c r="O885" s="447"/>
      <c r="P885" s="447"/>
      <c r="Q885" s="447"/>
      <c r="R885" s="447"/>
      <c r="S885" s="447"/>
      <c r="T885" s="447"/>
      <c r="U885" s="447"/>
      <c r="V885" s="447"/>
      <c r="W885" s="447"/>
      <c r="X885" s="447"/>
      <c r="Y885" s="447"/>
      <c r="Z885" s="447"/>
      <c r="AA885" s="447"/>
      <c r="AB885" s="447"/>
      <c r="AC885" s="447"/>
      <c r="AD885" s="447"/>
      <c r="AE885" s="447"/>
      <c r="AF885" s="448"/>
      <c r="AG885" s="448"/>
      <c r="AH885" s="449"/>
      <c r="AI885" s="447"/>
      <c r="AJ885" s="447"/>
      <c r="AK885" s="447"/>
      <c r="AL885" s="447"/>
      <c r="AM885" s="447"/>
      <c r="AN885" s="447"/>
      <c r="AO885" s="447"/>
      <c r="AP885" s="447"/>
      <c r="AQ885" s="447"/>
      <c r="AR885" s="447"/>
      <c r="AS885" s="447"/>
      <c r="AT885" s="447"/>
      <c r="AU885" s="447"/>
      <c r="AV885" s="447"/>
      <c r="AW885" s="447"/>
      <c r="AX885" s="447"/>
      <c r="AY885" s="447"/>
      <c r="AZ885" s="447"/>
      <c r="BA885" s="447"/>
      <c r="BB885" s="447"/>
      <c r="BC885" s="447"/>
      <c r="BD885" s="447"/>
      <c r="BE885" s="447"/>
      <c r="BF885" s="447"/>
      <c r="BG885" s="447"/>
      <c r="BH885" s="447"/>
      <c r="BI885" s="447"/>
      <c r="BJ885" s="447"/>
      <c r="BK885" s="447"/>
      <c r="BL885" s="447"/>
      <c r="BM885" s="448"/>
      <c r="BN885" s="448"/>
    </row>
    <row r="886" spans="1:66" ht="11.25" customHeight="1">
      <c r="A886" s="450"/>
      <c r="B886" s="447"/>
      <c r="C886" s="447"/>
      <c r="D886" s="447"/>
      <c r="E886" s="447"/>
      <c r="F886" s="447"/>
      <c r="G886" s="447"/>
      <c r="H886" s="447"/>
      <c r="I886" s="447"/>
      <c r="J886" s="447"/>
      <c r="K886" s="447"/>
      <c r="L886" s="447"/>
      <c r="M886" s="447"/>
      <c r="N886" s="447"/>
      <c r="O886" s="447"/>
      <c r="P886" s="447"/>
      <c r="Q886" s="447"/>
      <c r="R886" s="447"/>
      <c r="S886" s="447"/>
      <c r="T886" s="447"/>
      <c r="U886" s="447"/>
      <c r="V886" s="447"/>
      <c r="W886" s="447"/>
      <c r="X886" s="447"/>
      <c r="Y886" s="447"/>
      <c r="Z886" s="447"/>
      <c r="AA886" s="447"/>
      <c r="AB886" s="447"/>
      <c r="AC886" s="447"/>
      <c r="AD886" s="447"/>
      <c r="AE886" s="447"/>
      <c r="AF886" s="448"/>
      <c r="AG886" s="448"/>
      <c r="AH886" s="449"/>
      <c r="AI886" s="447"/>
      <c r="AJ886" s="447"/>
      <c r="AK886" s="447"/>
      <c r="AL886" s="447"/>
      <c r="AM886" s="447"/>
      <c r="AN886" s="447"/>
      <c r="AO886" s="447"/>
      <c r="AP886" s="447"/>
      <c r="AQ886" s="447"/>
      <c r="AR886" s="447"/>
      <c r="AS886" s="447"/>
      <c r="AT886" s="447"/>
      <c r="AU886" s="447"/>
      <c r="AV886" s="447"/>
      <c r="AW886" s="447"/>
      <c r="AX886" s="447"/>
      <c r="AY886" s="447"/>
      <c r="AZ886" s="447"/>
      <c r="BA886" s="447"/>
      <c r="BB886" s="447"/>
      <c r="BC886" s="447"/>
      <c r="BD886" s="447"/>
      <c r="BE886" s="447"/>
      <c r="BF886" s="447"/>
      <c r="BG886" s="447"/>
      <c r="BH886" s="447"/>
      <c r="BI886" s="447"/>
      <c r="BJ886" s="447"/>
      <c r="BK886" s="447"/>
      <c r="BL886" s="447"/>
      <c r="BM886" s="448"/>
      <c r="BN886" s="448"/>
    </row>
    <row r="887" spans="1:66" ht="11.25" customHeight="1">
      <c r="A887" s="450"/>
      <c r="B887" s="447"/>
      <c r="C887" s="447"/>
      <c r="D887" s="447"/>
      <c r="E887" s="447"/>
      <c r="F887" s="447"/>
      <c r="G887" s="447"/>
      <c r="H887" s="447"/>
      <c r="I887" s="447"/>
      <c r="J887" s="447"/>
      <c r="K887" s="447"/>
      <c r="L887" s="447"/>
      <c r="M887" s="447"/>
      <c r="N887" s="447"/>
      <c r="O887" s="447"/>
      <c r="P887" s="447"/>
      <c r="Q887" s="447"/>
      <c r="R887" s="447"/>
      <c r="S887" s="447"/>
      <c r="T887" s="447"/>
      <c r="U887" s="447"/>
      <c r="V887" s="447"/>
      <c r="W887" s="447"/>
      <c r="X887" s="447"/>
      <c r="Y887" s="447"/>
      <c r="Z887" s="447"/>
      <c r="AA887" s="447"/>
      <c r="AB887" s="447"/>
      <c r="AC887" s="447"/>
      <c r="AD887" s="447"/>
      <c r="AE887" s="447"/>
      <c r="AF887" s="448"/>
      <c r="AG887" s="448"/>
      <c r="AH887" s="449"/>
      <c r="AI887" s="447"/>
      <c r="AJ887" s="447"/>
      <c r="AK887" s="447"/>
      <c r="AL887" s="447"/>
      <c r="AM887" s="447"/>
      <c r="AN887" s="447"/>
      <c r="AO887" s="447"/>
      <c r="AP887" s="447"/>
      <c r="AQ887" s="447"/>
      <c r="AR887" s="447"/>
      <c r="AS887" s="447"/>
      <c r="AT887" s="447"/>
      <c r="AU887" s="447"/>
      <c r="AV887" s="447"/>
      <c r="AW887" s="447"/>
      <c r="AX887" s="447"/>
      <c r="AY887" s="447"/>
      <c r="AZ887" s="447"/>
      <c r="BA887" s="447"/>
      <c r="BB887" s="447"/>
      <c r="BC887" s="447"/>
      <c r="BD887" s="447"/>
      <c r="BE887" s="447"/>
      <c r="BF887" s="447"/>
      <c r="BG887" s="447"/>
      <c r="BH887" s="447"/>
      <c r="BI887" s="447"/>
      <c r="BJ887" s="447"/>
      <c r="BK887" s="447"/>
      <c r="BL887" s="447"/>
      <c r="BM887" s="448"/>
      <c r="BN887" s="448"/>
    </row>
    <row r="888" spans="1:66" ht="11.25" customHeight="1">
      <c r="A888" s="450"/>
      <c r="B888" s="447"/>
      <c r="C888" s="447"/>
      <c r="D888" s="447"/>
      <c r="E888" s="447"/>
      <c r="F888" s="447"/>
      <c r="G888" s="447"/>
      <c r="H888" s="447"/>
      <c r="I888" s="447"/>
      <c r="J888" s="447"/>
      <c r="K888" s="447"/>
      <c r="L888" s="447"/>
      <c r="M888" s="447"/>
      <c r="N888" s="447"/>
      <c r="O888" s="447"/>
      <c r="P888" s="447"/>
      <c r="Q888" s="447"/>
      <c r="R888" s="447"/>
      <c r="S888" s="447"/>
      <c r="T888" s="447"/>
      <c r="U888" s="447"/>
      <c r="V888" s="447"/>
      <c r="W888" s="447"/>
      <c r="X888" s="447"/>
      <c r="Y888" s="447"/>
      <c r="Z888" s="447"/>
      <c r="AA888" s="447"/>
      <c r="AB888" s="447"/>
      <c r="AC888" s="447"/>
      <c r="AD888" s="447"/>
      <c r="AE888" s="447"/>
      <c r="AF888" s="448"/>
      <c r="AG888" s="448"/>
      <c r="AH888" s="449"/>
      <c r="AI888" s="447"/>
      <c r="AJ888" s="447"/>
      <c r="AK888" s="447"/>
      <c r="AL888" s="447"/>
      <c r="AM888" s="447"/>
      <c r="AN888" s="447"/>
      <c r="AO888" s="447"/>
      <c r="AP888" s="447"/>
      <c r="AQ888" s="447"/>
      <c r="AR888" s="447"/>
      <c r="AS888" s="447"/>
      <c r="AT888" s="447"/>
      <c r="AU888" s="447"/>
      <c r="AV888" s="447"/>
      <c r="AW888" s="447"/>
      <c r="AX888" s="447"/>
      <c r="AY888" s="447"/>
      <c r="AZ888" s="447"/>
      <c r="BA888" s="447"/>
      <c r="BB888" s="447"/>
      <c r="BC888" s="447"/>
      <c r="BD888" s="447"/>
      <c r="BE888" s="447"/>
      <c r="BF888" s="447"/>
      <c r="BG888" s="447"/>
      <c r="BH888" s="447"/>
      <c r="BI888" s="447"/>
      <c r="BJ888" s="447"/>
      <c r="BK888" s="447"/>
      <c r="BL888" s="447"/>
      <c r="BM888" s="448"/>
      <c r="BN888" s="448"/>
    </row>
    <row r="889" spans="1:66" ht="11.25" customHeight="1">
      <c r="A889" s="450"/>
      <c r="B889" s="447"/>
      <c r="C889" s="447"/>
      <c r="D889" s="447"/>
      <c r="E889" s="447"/>
      <c r="F889" s="447"/>
      <c r="G889" s="447"/>
      <c r="H889" s="447"/>
      <c r="I889" s="447"/>
      <c r="J889" s="447"/>
      <c r="K889" s="447"/>
      <c r="L889" s="447"/>
      <c r="M889" s="447"/>
      <c r="N889" s="447"/>
      <c r="O889" s="447"/>
      <c r="P889" s="447"/>
      <c r="Q889" s="447"/>
      <c r="R889" s="447"/>
      <c r="S889" s="447"/>
      <c r="T889" s="447"/>
      <c r="U889" s="447"/>
      <c r="V889" s="447"/>
      <c r="W889" s="447"/>
      <c r="X889" s="447"/>
      <c r="Y889" s="447"/>
      <c r="Z889" s="447"/>
      <c r="AA889" s="447"/>
      <c r="AB889" s="447"/>
      <c r="AC889" s="447"/>
      <c r="AD889" s="447"/>
      <c r="AE889" s="447"/>
      <c r="AF889" s="448"/>
      <c r="AG889" s="448"/>
      <c r="AH889" s="449"/>
      <c r="AI889" s="447"/>
      <c r="AJ889" s="447"/>
      <c r="AK889" s="447"/>
      <c r="AL889" s="447"/>
      <c r="AM889" s="447"/>
      <c r="AN889" s="447"/>
      <c r="AO889" s="447"/>
      <c r="AP889" s="447"/>
      <c r="AQ889" s="447"/>
      <c r="AR889" s="447"/>
      <c r="AS889" s="447"/>
      <c r="AT889" s="447"/>
      <c r="AU889" s="447"/>
      <c r="AV889" s="447"/>
      <c r="AW889" s="447"/>
      <c r="AX889" s="447"/>
      <c r="AY889" s="447"/>
      <c r="AZ889" s="447"/>
      <c r="BA889" s="447"/>
      <c r="BB889" s="447"/>
      <c r="BC889" s="447"/>
      <c r="BD889" s="447"/>
      <c r="BE889" s="447"/>
      <c r="BF889" s="447"/>
      <c r="BG889" s="447"/>
      <c r="BH889" s="447"/>
      <c r="BI889" s="447"/>
      <c r="BJ889" s="447"/>
      <c r="BK889" s="447"/>
      <c r="BL889" s="447"/>
      <c r="BM889" s="448"/>
      <c r="BN889" s="448"/>
    </row>
    <row r="890" spans="1:66" ht="11.25" customHeight="1">
      <c r="A890" s="450"/>
      <c r="B890" s="447"/>
      <c r="C890" s="447"/>
      <c r="D890" s="447"/>
      <c r="E890" s="447"/>
      <c r="F890" s="447"/>
      <c r="G890" s="447"/>
      <c r="H890" s="447"/>
      <c r="I890" s="447"/>
      <c r="J890" s="447"/>
      <c r="K890" s="447"/>
      <c r="L890" s="447"/>
      <c r="M890" s="447"/>
      <c r="N890" s="447"/>
      <c r="O890" s="447"/>
      <c r="P890" s="447"/>
      <c r="Q890" s="447"/>
      <c r="R890" s="447"/>
      <c r="S890" s="447"/>
      <c r="T890" s="447"/>
      <c r="U890" s="447"/>
      <c r="V890" s="447"/>
      <c r="W890" s="447"/>
      <c r="X890" s="447"/>
      <c r="Y890" s="447"/>
      <c r="Z890" s="447"/>
      <c r="AA890" s="447"/>
      <c r="AB890" s="447"/>
      <c r="AC890" s="447"/>
      <c r="AD890" s="447"/>
      <c r="AE890" s="447"/>
      <c r="AF890" s="448"/>
      <c r="AG890" s="448"/>
      <c r="AH890" s="449"/>
      <c r="AI890" s="447"/>
      <c r="AJ890" s="447"/>
      <c r="AK890" s="447"/>
      <c r="AL890" s="447"/>
      <c r="AM890" s="447"/>
      <c r="AN890" s="447"/>
      <c r="AO890" s="447"/>
      <c r="AP890" s="447"/>
      <c r="AQ890" s="447"/>
      <c r="AR890" s="447"/>
      <c r="AS890" s="447"/>
      <c r="AT890" s="447"/>
      <c r="AU890" s="447"/>
      <c r="AV890" s="447"/>
      <c r="AW890" s="447"/>
      <c r="AX890" s="447"/>
      <c r="AY890" s="447"/>
      <c r="AZ890" s="447"/>
      <c r="BA890" s="447"/>
      <c r="BB890" s="447"/>
      <c r="BC890" s="447"/>
      <c r="BD890" s="447"/>
      <c r="BE890" s="447"/>
      <c r="BF890" s="447"/>
      <c r="BG890" s="447"/>
      <c r="BH890" s="447"/>
      <c r="BI890" s="447"/>
      <c r="BJ890" s="447"/>
      <c r="BK890" s="447"/>
      <c r="BL890" s="447"/>
      <c r="BM890" s="448"/>
      <c r="BN890" s="448"/>
    </row>
    <row r="891" spans="1:66" ht="11.25" customHeight="1">
      <c r="A891" s="450"/>
      <c r="B891" s="447"/>
      <c r="C891" s="447"/>
      <c r="D891" s="447"/>
      <c r="E891" s="447"/>
      <c r="F891" s="447"/>
      <c r="G891" s="447"/>
      <c r="H891" s="447"/>
      <c r="I891" s="447"/>
      <c r="J891" s="447"/>
      <c r="K891" s="447"/>
      <c r="L891" s="447"/>
      <c r="M891" s="447"/>
      <c r="N891" s="447"/>
      <c r="O891" s="447"/>
      <c r="P891" s="447"/>
      <c r="Q891" s="447"/>
      <c r="R891" s="447"/>
      <c r="S891" s="447"/>
      <c r="T891" s="447"/>
      <c r="U891" s="447"/>
      <c r="V891" s="447"/>
      <c r="W891" s="447"/>
      <c r="X891" s="447"/>
      <c r="Y891" s="447"/>
      <c r="Z891" s="447"/>
      <c r="AA891" s="447"/>
      <c r="AB891" s="447"/>
      <c r="AC891" s="447"/>
      <c r="AD891" s="447"/>
      <c r="AE891" s="447"/>
      <c r="AF891" s="448"/>
      <c r="AG891" s="448"/>
      <c r="AH891" s="449"/>
      <c r="AI891" s="447"/>
      <c r="AJ891" s="447"/>
      <c r="AK891" s="447"/>
      <c r="AL891" s="447"/>
      <c r="AM891" s="447"/>
      <c r="AN891" s="447"/>
      <c r="AO891" s="447"/>
      <c r="AP891" s="447"/>
      <c r="AQ891" s="447"/>
      <c r="AR891" s="447"/>
      <c r="AS891" s="447"/>
      <c r="AT891" s="447"/>
      <c r="AU891" s="447"/>
      <c r="AV891" s="447"/>
      <c r="AW891" s="447"/>
      <c r="AX891" s="447"/>
      <c r="AY891" s="447"/>
      <c r="AZ891" s="447"/>
      <c r="BA891" s="447"/>
      <c r="BB891" s="447"/>
      <c r="BC891" s="447"/>
      <c r="BD891" s="447"/>
      <c r="BE891" s="447"/>
      <c r="BF891" s="447"/>
      <c r="BG891" s="447"/>
      <c r="BH891" s="447"/>
      <c r="BI891" s="447"/>
      <c r="BJ891" s="447"/>
      <c r="BK891" s="447"/>
      <c r="BL891" s="447"/>
      <c r="BM891" s="448"/>
      <c r="BN891" s="448"/>
    </row>
    <row r="892" spans="1:66" ht="11.25" customHeight="1">
      <c r="A892" s="450"/>
      <c r="B892" s="447"/>
      <c r="C892" s="447"/>
      <c r="D892" s="447"/>
      <c r="E892" s="447"/>
      <c r="F892" s="447"/>
      <c r="G892" s="447"/>
      <c r="H892" s="447"/>
      <c r="I892" s="447"/>
      <c r="J892" s="447"/>
      <c r="K892" s="447"/>
      <c r="L892" s="447"/>
      <c r="M892" s="447"/>
      <c r="N892" s="447"/>
      <c r="O892" s="447"/>
      <c r="P892" s="447"/>
      <c r="Q892" s="447"/>
      <c r="R892" s="447"/>
      <c r="S892" s="447"/>
      <c r="T892" s="447"/>
      <c r="U892" s="447"/>
      <c r="V892" s="447"/>
      <c r="W892" s="447"/>
      <c r="X892" s="447"/>
      <c r="Y892" s="447"/>
      <c r="Z892" s="447"/>
      <c r="AA892" s="447"/>
      <c r="AB892" s="447"/>
      <c r="AC892" s="447"/>
      <c r="AD892" s="447"/>
      <c r="AE892" s="447"/>
      <c r="AF892" s="448"/>
      <c r="AG892" s="448"/>
      <c r="AH892" s="449"/>
      <c r="AI892" s="447"/>
      <c r="AJ892" s="447"/>
      <c r="AK892" s="447"/>
      <c r="AL892" s="447"/>
      <c r="AM892" s="447"/>
      <c r="AN892" s="447"/>
      <c r="AO892" s="447"/>
      <c r="AP892" s="447"/>
      <c r="AQ892" s="447"/>
      <c r="AR892" s="447"/>
      <c r="AS892" s="447"/>
      <c r="AT892" s="447"/>
      <c r="AU892" s="447"/>
      <c r="AV892" s="447"/>
      <c r="AW892" s="447"/>
      <c r="AX892" s="447"/>
      <c r="AY892" s="447"/>
      <c r="AZ892" s="447"/>
      <c r="BA892" s="447"/>
      <c r="BB892" s="447"/>
      <c r="BC892" s="447"/>
      <c r="BD892" s="447"/>
      <c r="BE892" s="447"/>
      <c r="BF892" s="447"/>
      <c r="BG892" s="447"/>
      <c r="BH892" s="447"/>
      <c r="BI892" s="447"/>
      <c r="BJ892" s="447"/>
      <c r="BK892" s="447"/>
      <c r="BL892" s="447"/>
      <c r="BM892" s="448"/>
      <c r="BN892" s="448"/>
    </row>
    <row r="893" spans="1:66" ht="11.25" customHeight="1">
      <c r="A893" s="450"/>
      <c r="B893" s="447"/>
      <c r="C893" s="447"/>
      <c r="D893" s="447"/>
      <c r="E893" s="447"/>
      <c r="F893" s="447"/>
      <c r="G893" s="447"/>
      <c r="H893" s="447"/>
      <c r="I893" s="447"/>
      <c r="J893" s="447"/>
      <c r="K893" s="447"/>
      <c r="L893" s="447"/>
      <c r="M893" s="447"/>
      <c r="N893" s="447"/>
      <c r="O893" s="447"/>
      <c r="P893" s="447"/>
      <c r="Q893" s="447"/>
      <c r="R893" s="447"/>
      <c r="S893" s="447"/>
      <c r="T893" s="447"/>
      <c r="U893" s="447"/>
      <c r="V893" s="447"/>
      <c r="W893" s="447"/>
      <c r="X893" s="447"/>
      <c r="Y893" s="447"/>
      <c r="Z893" s="447"/>
      <c r="AA893" s="447"/>
      <c r="AB893" s="447"/>
      <c r="AC893" s="447"/>
      <c r="AD893" s="447"/>
      <c r="AE893" s="447"/>
      <c r="AF893" s="448"/>
      <c r="AG893" s="448"/>
      <c r="AH893" s="449"/>
      <c r="AI893" s="447"/>
      <c r="AJ893" s="447"/>
      <c r="AK893" s="447"/>
      <c r="AL893" s="447"/>
      <c r="AM893" s="447"/>
      <c r="AN893" s="447"/>
      <c r="AO893" s="447"/>
      <c r="AP893" s="447"/>
      <c r="AQ893" s="447"/>
      <c r="AR893" s="447"/>
      <c r="AS893" s="447"/>
      <c r="AT893" s="447"/>
      <c r="AU893" s="447"/>
      <c r="AV893" s="447"/>
      <c r="AW893" s="447"/>
      <c r="AX893" s="447"/>
      <c r="AY893" s="447"/>
      <c r="AZ893" s="447"/>
      <c r="BA893" s="447"/>
      <c r="BB893" s="447"/>
      <c r="BC893" s="447"/>
      <c r="BD893" s="447"/>
      <c r="BE893" s="447"/>
      <c r="BF893" s="447"/>
      <c r="BG893" s="447"/>
      <c r="BH893" s="447"/>
      <c r="BI893" s="447"/>
      <c r="BJ893" s="447"/>
      <c r="BK893" s="447"/>
      <c r="BL893" s="447"/>
      <c r="BM893" s="448"/>
      <c r="BN893" s="448"/>
    </row>
    <row r="894" spans="1:66" ht="11.25" customHeight="1">
      <c r="A894" s="450"/>
      <c r="B894" s="447"/>
      <c r="C894" s="447"/>
      <c r="D894" s="447"/>
      <c r="E894" s="447"/>
      <c r="F894" s="447"/>
      <c r="G894" s="447"/>
      <c r="H894" s="447"/>
      <c r="I894" s="447"/>
      <c r="J894" s="447"/>
      <c r="K894" s="447"/>
      <c r="L894" s="447"/>
      <c r="M894" s="447"/>
      <c r="N894" s="447"/>
      <c r="O894" s="447"/>
      <c r="P894" s="447"/>
      <c r="Q894" s="447"/>
      <c r="R894" s="447"/>
      <c r="S894" s="447"/>
      <c r="T894" s="447"/>
      <c r="U894" s="447"/>
      <c r="V894" s="447"/>
      <c r="W894" s="447"/>
      <c r="X894" s="447"/>
      <c r="Y894" s="447"/>
      <c r="Z894" s="447"/>
      <c r="AA894" s="447"/>
      <c r="AB894" s="447"/>
      <c r="AC894" s="447"/>
      <c r="AD894" s="447"/>
      <c r="AE894" s="447"/>
      <c r="AF894" s="448"/>
      <c r="AG894" s="448"/>
      <c r="AH894" s="449"/>
      <c r="AI894" s="447"/>
      <c r="AJ894" s="447"/>
      <c r="AK894" s="447"/>
      <c r="AL894" s="447"/>
      <c r="AM894" s="447"/>
      <c r="AN894" s="447"/>
      <c r="AO894" s="447"/>
      <c r="AP894" s="447"/>
      <c r="AQ894" s="447"/>
      <c r="AR894" s="447"/>
      <c r="AS894" s="447"/>
      <c r="AT894" s="447"/>
      <c r="AU894" s="447"/>
      <c r="AV894" s="447"/>
      <c r="AW894" s="447"/>
      <c r="AX894" s="447"/>
      <c r="AY894" s="447"/>
      <c r="AZ894" s="447"/>
      <c r="BA894" s="447"/>
      <c r="BB894" s="447"/>
      <c r="BC894" s="447"/>
      <c r="BD894" s="447"/>
      <c r="BE894" s="447"/>
      <c r="BF894" s="447"/>
      <c r="BG894" s="447"/>
      <c r="BH894" s="447"/>
      <c r="BI894" s="447"/>
      <c r="BJ894" s="447"/>
      <c r="BK894" s="447"/>
      <c r="BL894" s="447"/>
      <c r="BM894" s="448"/>
      <c r="BN894" s="448"/>
    </row>
    <row r="895" spans="1:66" ht="11.25" customHeight="1">
      <c r="A895" s="450"/>
      <c r="B895" s="447"/>
      <c r="C895" s="447"/>
      <c r="D895" s="447"/>
      <c r="E895" s="447"/>
      <c r="F895" s="447"/>
      <c r="G895" s="447"/>
      <c r="H895" s="447"/>
      <c r="I895" s="447"/>
      <c r="J895" s="447"/>
      <c r="K895" s="447"/>
      <c r="L895" s="447"/>
      <c r="M895" s="447"/>
      <c r="N895" s="447"/>
      <c r="O895" s="447"/>
      <c r="P895" s="447"/>
      <c r="Q895" s="447"/>
      <c r="R895" s="447"/>
      <c r="S895" s="447"/>
      <c r="T895" s="447"/>
      <c r="U895" s="447"/>
      <c r="V895" s="447"/>
      <c r="W895" s="447"/>
      <c r="X895" s="447"/>
      <c r="Y895" s="447"/>
      <c r="Z895" s="447"/>
      <c r="AA895" s="447"/>
      <c r="AB895" s="447"/>
      <c r="AC895" s="447"/>
      <c r="AD895" s="447"/>
      <c r="AE895" s="447"/>
      <c r="AF895" s="448"/>
      <c r="AG895" s="448"/>
      <c r="AH895" s="449"/>
      <c r="AI895" s="447"/>
      <c r="AJ895" s="447"/>
      <c r="AK895" s="447"/>
      <c r="AL895" s="447"/>
      <c r="AM895" s="447"/>
      <c r="AN895" s="447"/>
      <c r="AO895" s="447"/>
      <c r="AP895" s="447"/>
      <c r="AQ895" s="447"/>
      <c r="AR895" s="447"/>
      <c r="AS895" s="447"/>
      <c r="AT895" s="447"/>
      <c r="AU895" s="447"/>
      <c r="AV895" s="447"/>
      <c r="AW895" s="447"/>
      <c r="AX895" s="447"/>
      <c r="AY895" s="447"/>
      <c r="AZ895" s="447"/>
      <c r="BA895" s="447"/>
      <c r="BB895" s="447"/>
      <c r="BC895" s="447"/>
      <c r="BD895" s="447"/>
      <c r="BE895" s="447"/>
      <c r="BF895" s="447"/>
      <c r="BG895" s="447"/>
      <c r="BH895" s="447"/>
      <c r="BI895" s="447"/>
      <c r="BJ895" s="447"/>
      <c r="BK895" s="447"/>
      <c r="BL895" s="447"/>
      <c r="BM895" s="448"/>
      <c r="BN895" s="448"/>
    </row>
    <row r="896" spans="1:66" ht="11.25" customHeight="1">
      <c r="A896" s="450"/>
      <c r="B896" s="447"/>
      <c r="C896" s="447"/>
      <c r="D896" s="447"/>
      <c r="E896" s="447"/>
      <c r="F896" s="447"/>
      <c r="G896" s="447"/>
      <c r="H896" s="447"/>
      <c r="I896" s="447"/>
      <c r="J896" s="447"/>
      <c r="K896" s="447"/>
      <c r="L896" s="447"/>
      <c r="M896" s="447"/>
      <c r="N896" s="447"/>
      <c r="O896" s="447"/>
      <c r="P896" s="447"/>
      <c r="Q896" s="447"/>
      <c r="R896" s="447"/>
      <c r="S896" s="447"/>
      <c r="T896" s="447"/>
      <c r="U896" s="447"/>
      <c r="V896" s="447"/>
      <c r="W896" s="447"/>
      <c r="X896" s="447"/>
      <c r="Y896" s="447"/>
      <c r="Z896" s="447"/>
      <c r="AA896" s="447"/>
      <c r="AB896" s="447"/>
      <c r="AC896" s="447"/>
      <c r="AD896" s="447"/>
      <c r="AE896" s="447"/>
      <c r="AF896" s="448"/>
      <c r="AG896" s="448"/>
      <c r="AH896" s="449"/>
      <c r="AI896" s="447"/>
      <c r="AJ896" s="447"/>
      <c r="AK896" s="447"/>
      <c r="AL896" s="447"/>
      <c r="AM896" s="447"/>
      <c r="AN896" s="447"/>
      <c r="AO896" s="447"/>
      <c r="AP896" s="447"/>
      <c r="AQ896" s="447"/>
      <c r="AR896" s="447"/>
      <c r="AS896" s="447"/>
      <c r="AT896" s="447"/>
      <c r="AU896" s="447"/>
      <c r="AV896" s="447"/>
      <c r="AW896" s="447"/>
      <c r="AX896" s="447"/>
      <c r="AY896" s="447"/>
      <c r="AZ896" s="447"/>
      <c r="BA896" s="447"/>
      <c r="BB896" s="447"/>
      <c r="BC896" s="447"/>
      <c r="BD896" s="447"/>
      <c r="BE896" s="447"/>
      <c r="BF896" s="447"/>
      <c r="BG896" s="447"/>
      <c r="BH896" s="447"/>
      <c r="BI896" s="447"/>
      <c r="BJ896" s="447"/>
      <c r="BK896" s="447"/>
      <c r="BL896" s="447"/>
      <c r="BM896" s="448"/>
      <c r="BN896" s="448"/>
    </row>
    <row r="897" spans="1:66" ht="11.25" customHeight="1">
      <c r="A897" s="450"/>
      <c r="B897" s="447"/>
      <c r="C897" s="447"/>
      <c r="D897" s="447"/>
      <c r="E897" s="447"/>
      <c r="F897" s="447"/>
      <c r="G897" s="447"/>
      <c r="H897" s="447"/>
      <c r="I897" s="447"/>
      <c r="J897" s="447"/>
      <c r="K897" s="447"/>
      <c r="L897" s="447"/>
      <c r="M897" s="447"/>
      <c r="N897" s="447"/>
      <c r="O897" s="447"/>
      <c r="P897" s="447"/>
      <c r="Q897" s="447"/>
      <c r="R897" s="447"/>
      <c r="S897" s="447"/>
      <c r="T897" s="447"/>
      <c r="U897" s="447"/>
      <c r="V897" s="447"/>
      <c r="W897" s="447"/>
      <c r="X897" s="447"/>
      <c r="Y897" s="447"/>
      <c r="Z897" s="447"/>
      <c r="AA897" s="447"/>
      <c r="AB897" s="447"/>
      <c r="AC897" s="447"/>
      <c r="AD897" s="447"/>
      <c r="AE897" s="447"/>
      <c r="AF897" s="448"/>
      <c r="AG897" s="448"/>
      <c r="AH897" s="449"/>
      <c r="AI897" s="447"/>
      <c r="AJ897" s="447"/>
      <c r="AK897" s="447"/>
      <c r="AL897" s="447"/>
      <c r="AM897" s="447"/>
      <c r="AN897" s="447"/>
      <c r="AO897" s="447"/>
      <c r="AP897" s="447"/>
      <c r="AQ897" s="447"/>
      <c r="AR897" s="447"/>
      <c r="AS897" s="447"/>
      <c r="AT897" s="447"/>
      <c r="AU897" s="447"/>
      <c r="AV897" s="447"/>
      <c r="AW897" s="447"/>
      <c r="AX897" s="447"/>
      <c r="AY897" s="447"/>
      <c r="AZ897" s="447"/>
      <c r="BA897" s="447"/>
      <c r="BB897" s="447"/>
      <c r="BC897" s="447"/>
      <c r="BD897" s="447"/>
      <c r="BE897" s="447"/>
      <c r="BF897" s="447"/>
      <c r="BG897" s="447"/>
      <c r="BH897" s="447"/>
      <c r="BI897" s="447"/>
      <c r="BJ897" s="447"/>
      <c r="BK897" s="447"/>
      <c r="BL897" s="447"/>
      <c r="BM897" s="448"/>
      <c r="BN897" s="448"/>
    </row>
    <row r="898" spans="1:66" ht="11.25" customHeight="1">
      <c r="A898" s="450"/>
      <c r="B898" s="447"/>
      <c r="C898" s="447"/>
      <c r="D898" s="447"/>
      <c r="E898" s="447"/>
      <c r="F898" s="447"/>
      <c r="G898" s="447"/>
      <c r="H898" s="447"/>
      <c r="I898" s="447"/>
      <c r="J898" s="447"/>
      <c r="K898" s="447"/>
      <c r="L898" s="447"/>
      <c r="M898" s="447"/>
      <c r="N898" s="447"/>
      <c r="O898" s="447"/>
      <c r="P898" s="447"/>
      <c r="Q898" s="447"/>
      <c r="R898" s="447"/>
      <c r="S898" s="447"/>
      <c r="T898" s="447"/>
      <c r="U898" s="447"/>
      <c r="V898" s="447"/>
      <c r="W898" s="447"/>
      <c r="X898" s="447"/>
      <c r="Y898" s="447"/>
      <c r="Z898" s="447"/>
      <c r="AA898" s="447"/>
      <c r="AB898" s="447"/>
      <c r="AC898" s="447"/>
      <c r="AD898" s="447"/>
      <c r="AE898" s="447"/>
      <c r="AF898" s="448"/>
      <c r="AG898" s="448"/>
      <c r="AH898" s="449"/>
      <c r="AI898" s="447"/>
      <c r="AJ898" s="447"/>
      <c r="AK898" s="447"/>
      <c r="AL898" s="447"/>
      <c r="AM898" s="447"/>
      <c r="AN898" s="447"/>
      <c r="AO898" s="447"/>
      <c r="AP898" s="447"/>
      <c r="AQ898" s="447"/>
      <c r="AR898" s="447"/>
      <c r="AS898" s="447"/>
      <c r="AT898" s="447"/>
      <c r="AU898" s="447"/>
      <c r="AV898" s="447"/>
      <c r="AW898" s="447"/>
      <c r="AX898" s="447"/>
      <c r="AY898" s="447"/>
      <c r="AZ898" s="447"/>
      <c r="BA898" s="447"/>
      <c r="BB898" s="447"/>
      <c r="BC898" s="447"/>
      <c r="BD898" s="447"/>
      <c r="BE898" s="447"/>
      <c r="BF898" s="447"/>
      <c r="BG898" s="447"/>
      <c r="BH898" s="447"/>
      <c r="BI898" s="447"/>
      <c r="BJ898" s="447"/>
      <c r="BK898" s="447"/>
      <c r="BL898" s="447"/>
      <c r="BM898" s="448"/>
      <c r="BN898" s="448"/>
    </row>
    <row r="899" spans="1:66" ht="11.25" customHeight="1">
      <c r="A899" s="450"/>
      <c r="B899" s="447"/>
      <c r="C899" s="447"/>
      <c r="D899" s="447"/>
      <c r="E899" s="447"/>
      <c r="F899" s="447"/>
      <c r="G899" s="447"/>
      <c r="H899" s="447"/>
      <c r="I899" s="447"/>
      <c r="J899" s="447"/>
      <c r="K899" s="447"/>
      <c r="L899" s="447"/>
      <c r="M899" s="447"/>
      <c r="N899" s="447"/>
      <c r="O899" s="447"/>
      <c r="P899" s="447"/>
      <c r="Q899" s="447"/>
      <c r="R899" s="447"/>
      <c r="S899" s="447"/>
      <c r="T899" s="447"/>
      <c r="U899" s="447"/>
      <c r="V899" s="447"/>
      <c r="W899" s="447"/>
      <c r="X899" s="447"/>
      <c r="Y899" s="447"/>
      <c r="Z899" s="447"/>
      <c r="AA899" s="447"/>
      <c r="AB899" s="447"/>
      <c r="AC899" s="447"/>
      <c r="AD899" s="447"/>
      <c r="AE899" s="447"/>
      <c r="AF899" s="448"/>
      <c r="AG899" s="448"/>
      <c r="AH899" s="449"/>
      <c r="AI899" s="447"/>
      <c r="AJ899" s="447"/>
      <c r="AK899" s="447"/>
      <c r="AL899" s="447"/>
      <c r="AM899" s="447"/>
      <c r="AN899" s="447"/>
      <c r="AO899" s="447"/>
      <c r="AP899" s="447"/>
      <c r="AQ899" s="447"/>
      <c r="AR899" s="447"/>
      <c r="AS899" s="447"/>
      <c r="AT899" s="447"/>
      <c r="AU899" s="447"/>
      <c r="AV899" s="447"/>
      <c r="AW899" s="447"/>
      <c r="AX899" s="447"/>
      <c r="AY899" s="447"/>
      <c r="AZ899" s="447"/>
      <c r="BA899" s="447"/>
      <c r="BB899" s="447"/>
      <c r="BC899" s="447"/>
      <c r="BD899" s="447"/>
      <c r="BE899" s="447"/>
      <c r="BF899" s="447"/>
      <c r="BG899" s="447"/>
      <c r="BH899" s="447"/>
      <c r="BI899" s="447"/>
      <c r="BJ899" s="447"/>
      <c r="BK899" s="447"/>
      <c r="BL899" s="447"/>
      <c r="BM899" s="448"/>
      <c r="BN899" s="448"/>
    </row>
    <row r="900" spans="1:66" ht="11.25" customHeight="1">
      <c r="A900" s="450"/>
      <c r="B900" s="447"/>
      <c r="C900" s="447"/>
      <c r="D900" s="447"/>
      <c r="E900" s="447"/>
      <c r="F900" s="447"/>
      <c r="G900" s="447"/>
      <c r="H900" s="447"/>
      <c r="I900" s="447"/>
      <c r="J900" s="447"/>
      <c r="K900" s="447"/>
      <c r="L900" s="447"/>
      <c r="M900" s="447"/>
      <c r="N900" s="447"/>
      <c r="O900" s="447"/>
      <c r="P900" s="447"/>
      <c r="Q900" s="447"/>
      <c r="R900" s="447"/>
      <c r="S900" s="447"/>
      <c r="T900" s="447"/>
      <c r="U900" s="447"/>
      <c r="V900" s="447"/>
      <c r="W900" s="447"/>
      <c r="X900" s="447"/>
      <c r="Y900" s="447"/>
      <c r="Z900" s="447"/>
      <c r="AA900" s="447"/>
      <c r="AB900" s="447"/>
      <c r="AC900" s="447"/>
      <c r="AD900" s="447"/>
      <c r="AE900" s="447"/>
      <c r="AF900" s="448"/>
      <c r="AG900" s="448"/>
      <c r="AH900" s="449"/>
      <c r="AI900" s="447"/>
      <c r="AJ900" s="447"/>
      <c r="AK900" s="447"/>
      <c r="AL900" s="447"/>
      <c r="AM900" s="447"/>
      <c r="AN900" s="447"/>
      <c r="AO900" s="447"/>
      <c r="AP900" s="447"/>
      <c r="AQ900" s="447"/>
      <c r="AR900" s="447"/>
      <c r="AS900" s="447"/>
      <c r="AT900" s="447"/>
      <c r="AU900" s="447"/>
      <c r="AV900" s="447"/>
      <c r="AW900" s="447"/>
      <c r="AX900" s="447"/>
      <c r="AY900" s="447"/>
      <c r="AZ900" s="447"/>
      <c r="BA900" s="447"/>
      <c r="BB900" s="447"/>
      <c r="BC900" s="447"/>
      <c r="BD900" s="447"/>
      <c r="BE900" s="447"/>
      <c r="BF900" s="447"/>
      <c r="BG900" s="447"/>
      <c r="BH900" s="447"/>
      <c r="BI900" s="447"/>
      <c r="BJ900" s="447"/>
      <c r="BK900" s="447"/>
      <c r="BL900" s="447"/>
      <c r="BM900" s="448"/>
      <c r="BN900" s="448"/>
    </row>
    <row r="901" spans="1:66" ht="11.25" customHeight="1">
      <c r="A901" s="450"/>
      <c r="B901" s="447"/>
      <c r="C901" s="447"/>
      <c r="D901" s="447"/>
      <c r="E901" s="447"/>
      <c r="F901" s="447"/>
      <c r="G901" s="447"/>
      <c r="H901" s="447"/>
      <c r="I901" s="447"/>
      <c r="J901" s="447"/>
      <c r="K901" s="447"/>
      <c r="L901" s="447"/>
      <c r="M901" s="447"/>
      <c r="N901" s="447"/>
      <c r="O901" s="447"/>
      <c r="P901" s="447"/>
      <c r="Q901" s="447"/>
      <c r="R901" s="447"/>
      <c r="S901" s="447"/>
      <c r="T901" s="447"/>
      <c r="U901" s="447"/>
      <c r="V901" s="447"/>
      <c r="W901" s="447"/>
      <c r="X901" s="447"/>
      <c r="Y901" s="447"/>
      <c r="Z901" s="447"/>
      <c r="AA901" s="447"/>
      <c r="AB901" s="447"/>
      <c r="AC901" s="447"/>
      <c r="AD901" s="447"/>
      <c r="AE901" s="447"/>
      <c r="AF901" s="448"/>
      <c r="AG901" s="448"/>
      <c r="AH901" s="449"/>
      <c r="AI901" s="447"/>
      <c r="AJ901" s="447"/>
      <c r="AK901" s="447"/>
      <c r="AL901" s="447"/>
      <c r="AM901" s="447"/>
      <c r="AN901" s="447"/>
      <c r="AO901" s="447"/>
      <c r="AP901" s="447"/>
      <c r="AQ901" s="447"/>
      <c r="AR901" s="447"/>
      <c r="AS901" s="447"/>
      <c r="AT901" s="447"/>
      <c r="AU901" s="447"/>
      <c r="AV901" s="447"/>
      <c r="AW901" s="447"/>
      <c r="AX901" s="447"/>
      <c r="AY901" s="447"/>
      <c r="AZ901" s="447"/>
      <c r="BA901" s="447"/>
      <c r="BB901" s="447"/>
      <c r="BC901" s="447"/>
      <c r="BD901" s="447"/>
      <c r="BE901" s="447"/>
      <c r="BF901" s="447"/>
      <c r="BG901" s="447"/>
      <c r="BH901" s="447"/>
      <c r="BI901" s="447"/>
      <c r="BJ901" s="447"/>
      <c r="BK901" s="447"/>
      <c r="BL901" s="447"/>
      <c r="BM901" s="448"/>
      <c r="BN901" s="448"/>
    </row>
    <row r="902" spans="1:66" ht="11.25" customHeight="1">
      <c r="A902" s="450"/>
      <c r="B902" s="447"/>
      <c r="C902" s="447"/>
      <c r="D902" s="447"/>
      <c r="E902" s="447"/>
      <c r="F902" s="447"/>
      <c r="G902" s="447"/>
      <c r="H902" s="447"/>
      <c r="I902" s="447"/>
      <c r="J902" s="447"/>
      <c r="K902" s="447"/>
      <c r="L902" s="447"/>
      <c r="M902" s="447"/>
      <c r="N902" s="447"/>
      <c r="O902" s="447"/>
      <c r="P902" s="447"/>
      <c r="Q902" s="447"/>
      <c r="R902" s="447"/>
      <c r="S902" s="447"/>
      <c r="T902" s="447"/>
      <c r="U902" s="447"/>
      <c r="V902" s="447"/>
      <c r="W902" s="447"/>
      <c r="X902" s="447"/>
      <c r="Y902" s="447"/>
      <c r="Z902" s="447"/>
      <c r="AA902" s="447"/>
      <c r="AB902" s="447"/>
      <c r="AC902" s="447"/>
      <c r="AD902" s="447"/>
      <c r="AE902" s="447"/>
      <c r="AF902" s="448"/>
      <c r="AG902" s="448"/>
      <c r="AH902" s="449"/>
      <c r="AI902" s="447"/>
      <c r="AJ902" s="447"/>
      <c r="AK902" s="447"/>
      <c r="AL902" s="447"/>
      <c r="AM902" s="447"/>
      <c r="AN902" s="447"/>
      <c r="AO902" s="447"/>
      <c r="AP902" s="447"/>
      <c r="AQ902" s="447"/>
      <c r="AR902" s="447"/>
      <c r="AS902" s="447"/>
      <c r="AT902" s="447"/>
      <c r="AU902" s="447"/>
      <c r="AV902" s="447"/>
      <c r="AW902" s="447"/>
      <c r="AX902" s="447"/>
      <c r="AY902" s="447"/>
      <c r="AZ902" s="447"/>
      <c r="BA902" s="447"/>
      <c r="BB902" s="447"/>
      <c r="BC902" s="447"/>
      <c r="BD902" s="447"/>
      <c r="BE902" s="447"/>
      <c r="BF902" s="447"/>
      <c r="BG902" s="447"/>
      <c r="BH902" s="447"/>
      <c r="BI902" s="447"/>
      <c r="BJ902" s="447"/>
      <c r="BK902" s="447"/>
      <c r="BL902" s="447"/>
      <c r="BM902" s="448"/>
      <c r="BN902" s="448"/>
    </row>
    <row r="903" spans="1:66" ht="11.25" customHeight="1">
      <c r="A903" s="450"/>
      <c r="B903" s="447"/>
      <c r="C903" s="447"/>
      <c r="D903" s="447"/>
      <c r="E903" s="447"/>
      <c r="F903" s="447"/>
      <c r="G903" s="447"/>
      <c r="H903" s="447"/>
      <c r="I903" s="447"/>
      <c r="J903" s="447"/>
      <c r="K903" s="447"/>
      <c r="L903" s="447"/>
      <c r="M903" s="447"/>
      <c r="N903" s="447"/>
      <c r="O903" s="447"/>
      <c r="P903" s="447"/>
      <c r="Q903" s="447"/>
      <c r="R903" s="447"/>
      <c r="S903" s="447"/>
      <c r="T903" s="447"/>
      <c r="U903" s="447"/>
      <c r="V903" s="447"/>
      <c r="W903" s="447"/>
      <c r="X903" s="447"/>
      <c r="Y903" s="447"/>
      <c r="Z903" s="447"/>
      <c r="AA903" s="447"/>
      <c r="AB903" s="447"/>
      <c r="AC903" s="447"/>
      <c r="AD903" s="447"/>
      <c r="AE903" s="447"/>
      <c r="AF903" s="448"/>
      <c r="AG903" s="448"/>
      <c r="AH903" s="449"/>
      <c r="AI903" s="447"/>
      <c r="AJ903" s="447"/>
      <c r="AK903" s="447"/>
      <c r="AL903" s="447"/>
      <c r="AM903" s="447"/>
      <c r="AN903" s="447"/>
      <c r="AO903" s="447"/>
      <c r="AP903" s="447"/>
      <c r="AQ903" s="447"/>
      <c r="AR903" s="447"/>
      <c r="AS903" s="447"/>
      <c r="AT903" s="447"/>
      <c r="AU903" s="447"/>
      <c r="AV903" s="447"/>
      <c r="AW903" s="447"/>
      <c r="AX903" s="447"/>
      <c r="AY903" s="447"/>
      <c r="AZ903" s="447"/>
      <c r="BA903" s="447"/>
      <c r="BB903" s="447"/>
      <c r="BC903" s="447"/>
      <c r="BD903" s="447"/>
      <c r="BE903" s="447"/>
      <c r="BF903" s="447"/>
      <c r="BG903" s="447"/>
      <c r="BH903" s="447"/>
      <c r="BI903" s="447"/>
      <c r="BJ903" s="447"/>
      <c r="BK903" s="447"/>
      <c r="BL903" s="447"/>
      <c r="BM903" s="448"/>
      <c r="BN903" s="448"/>
    </row>
    <row r="904" spans="1:66" ht="11.25" customHeight="1">
      <c r="A904" s="450"/>
      <c r="B904" s="447"/>
      <c r="C904" s="447"/>
      <c r="D904" s="447"/>
      <c r="E904" s="447"/>
      <c r="F904" s="447"/>
      <c r="G904" s="447"/>
      <c r="H904" s="447"/>
      <c r="I904" s="447"/>
      <c r="J904" s="447"/>
      <c r="K904" s="447"/>
      <c r="L904" s="447"/>
      <c r="M904" s="447"/>
      <c r="N904" s="447"/>
      <c r="O904" s="447"/>
      <c r="P904" s="447"/>
      <c r="Q904" s="447"/>
      <c r="R904" s="447"/>
      <c r="S904" s="447"/>
      <c r="T904" s="447"/>
      <c r="U904" s="447"/>
      <c r="V904" s="447"/>
      <c r="W904" s="447"/>
      <c r="X904" s="447"/>
      <c r="Y904" s="447"/>
      <c r="Z904" s="447"/>
      <c r="AA904" s="447"/>
      <c r="AB904" s="447"/>
      <c r="AC904" s="447"/>
      <c r="AD904" s="447"/>
      <c r="AE904" s="447"/>
      <c r="AF904" s="448"/>
      <c r="AG904" s="448"/>
      <c r="AH904" s="449"/>
      <c r="AI904" s="447"/>
      <c r="AJ904" s="447"/>
      <c r="AK904" s="447"/>
      <c r="AL904" s="447"/>
      <c r="AM904" s="447"/>
      <c r="AN904" s="447"/>
      <c r="AO904" s="447"/>
      <c r="AP904" s="447"/>
      <c r="AQ904" s="447"/>
      <c r="AR904" s="447"/>
      <c r="AS904" s="447"/>
      <c r="AT904" s="447"/>
      <c r="AU904" s="447"/>
      <c r="AV904" s="447"/>
      <c r="AW904" s="447"/>
      <c r="AX904" s="447"/>
      <c r="AY904" s="447"/>
      <c r="AZ904" s="447"/>
      <c r="BA904" s="447"/>
      <c r="BB904" s="447"/>
      <c r="BC904" s="447"/>
      <c r="BD904" s="447"/>
      <c r="BE904" s="447"/>
      <c r="BF904" s="447"/>
      <c r="BG904" s="447"/>
      <c r="BH904" s="447"/>
      <c r="BI904" s="447"/>
      <c r="BJ904" s="447"/>
      <c r="BK904" s="447"/>
      <c r="BL904" s="447"/>
      <c r="BM904" s="448"/>
      <c r="BN904" s="448"/>
    </row>
    <row r="905" spans="1:66" ht="11.25" customHeight="1">
      <c r="A905" s="450"/>
      <c r="B905" s="447"/>
      <c r="C905" s="447"/>
      <c r="D905" s="447"/>
      <c r="E905" s="447"/>
      <c r="F905" s="447"/>
      <c r="G905" s="447"/>
      <c r="H905" s="447"/>
      <c r="I905" s="447"/>
      <c r="J905" s="447"/>
      <c r="K905" s="447"/>
      <c r="L905" s="447"/>
      <c r="M905" s="447"/>
      <c r="N905" s="447"/>
      <c r="O905" s="447"/>
      <c r="P905" s="447"/>
      <c r="Q905" s="447"/>
      <c r="R905" s="447"/>
      <c r="S905" s="447"/>
      <c r="T905" s="447"/>
      <c r="U905" s="447"/>
      <c r="V905" s="447"/>
      <c r="W905" s="447"/>
      <c r="X905" s="447"/>
      <c r="Y905" s="447"/>
      <c r="Z905" s="447"/>
      <c r="AA905" s="447"/>
      <c r="AB905" s="447"/>
      <c r="AC905" s="447"/>
      <c r="AD905" s="447"/>
      <c r="AE905" s="447"/>
      <c r="AF905" s="448"/>
      <c r="AG905" s="448"/>
      <c r="AH905" s="449"/>
      <c r="AI905" s="447"/>
      <c r="AJ905" s="447"/>
      <c r="AK905" s="447"/>
      <c r="AL905" s="447"/>
      <c r="AM905" s="447"/>
      <c r="AN905" s="447"/>
      <c r="AO905" s="447"/>
      <c r="AP905" s="447"/>
      <c r="AQ905" s="447"/>
      <c r="AR905" s="447"/>
      <c r="AS905" s="447"/>
      <c r="AT905" s="447"/>
      <c r="AU905" s="447"/>
      <c r="AV905" s="447"/>
      <c r="AW905" s="447"/>
      <c r="AX905" s="447"/>
      <c r="AY905" s="447"/>
      <c r="AZ905" s="447"/>
      <c r="BA905" s="447"/>
      <c r="BB905" s="447"/>
      <c r="BC905" s="447"/>
      <c r="BD905" s="447"/>
      <c r="BE905" s="447"/>
      <c r="BF905" s="447"/>
      <c r="BG905" s="447"/>
      <c r="BH905" s="447"/>
      <c r="BI905" s="447"/>
      <c r="BJ905" s="447"/>
      <c r="BK905" s="447"/>
      <c r="BL905" s="447"/>
      <c r="BM905" s="448"/>
      <c r="BN905" s="448"/>
    </row>
    <row r="906" spans="1:66" ht="11.25" customHeight="1">
      <c r="A906" s="450"/>
      <c r="B906" s="447"/>
      <c r="C906" s="447"/>
      <c r="D906" s="447"/>
      <c r="E906" s="447"/>
      <c r="F906" s="447"/>
      <c r="G906" s="447"/>
      <c r="H906" s="447"/>
      <c r="I906" s="447"/>
      <c r="J906" s="447"/>
      <c r="K906" s="447"/>
      <c r="L906" s="447"/>
      <c r="M906" s="447"/>
      <c r="N906" s="447"/>
      <c r="O906" s="447"/>
      <c r="P906" s="447"/>
      <c r="Q906" s="447"/>
      <c r="R906" s="447"/>
      <c r="S906" s="447"/>
      <c r="T906" s="447"/>
      <c r="U906" s="447"/>
      <c r="V906" s="447"/>
      <c r="W906" s="447"/>
      <c r="X906" s="447"/>
      <c r="Y906" s="447"/>
      <c r="Z906" s="447"/>
      <c r="AA906" s="447"/>
      <c r="AB906" s="447"/>
      <c r="AC906" s="447"/>
      <c r="AD906" s="447"/>
      <c r="AE906" s="447"/>
      <c r="AF906" s="448"/>
      <c r="AG906" s="448"/>
      <c r="AH906" s="449"/>
      <c r="AI906" s="447"/>
      <c r="AJ906" s="447"/>
      <c r="AK906" s="447"/>
      <c r="AL906" s="447"/>
      <c r="AM906" s="447"/>
      <c r="AN906" s="447"/>
      <c r="AO906" s="447"/>
      <c r="AP906" s="447"/>
      <c r="AQ906" s="447"/>
      <c r="AR906" s="447"/>
      <c r="AS906" s="447"/>
      <c r="AT906" s="447"/>
      <c r="AU906" s="447"/>
      <c r="AV906" s="447"/>
      <c r="AW906" s="447"/>
      <c r="AX906" s="447"/>
      <c r="AY906" s="447"/>
      <c r="AZ906" s="447"/>
      <c r="BA906" s="447"/>
      <c r="BB906" s="447"/>
      <c r="BC906" s="447"/>
      <c r="BD906" s="447"/>
      <c r="BE906" s="447"/>
      <c r="BF906" s="447"/>
      <c r="BG906" s="447"/>
      <c r="BH906" s="447"/>
      <c r="BI906" s="447"/>
      <c r="BJ906" s="447"/>
      <c r="BK906" s="447"/>
      <c r="BL906" s="447"/>
      <c r="BM906" s="448"/>
      <c r="BN906" s="448"/>
    </row>
    <row r="907" spans="1:66" ht="11.25" customHeight="1">
      <c r="A907" s="450"/>
      <c r="B907" s="447"/>
      <c r="C907" s="447"/>
      <c r="D907" s="447"/>
      <c r="E907" s="447"/>
      <c r="F907" s="447"/>
      <c r="G907" s="447"/>
      <c r="H907" s="447"/>
      <c r="I907" s="447"/>
      <c r="J907" s="447"/>
      <c r="K907" s="447"/>
      <c r="L907" s="447"/>
      <c r="M907" s="447"/>
      <c r="N907" s="447"/>
      <c r="O907" s="447"/>
      <c r="P907" s="447"/>
      <c r="Q907" s="447"/>
      <c r="R907" s="447"/>
      <c r="S907" s="447"/>
      <c r="T907" s="447"/>
      <c r="U907" s="447"/>
      <c r="V907" s="447"/>
      <c r="W907" s="447"/>
      <c r="X907" s="447"/>
      <c r="Y907" s="447"/>
      <c r="Z907" s="447"/>
      <c r="AA907" s="447"/>
      <c r="AB907" s="447"/>
      <c r="AC907" s="447"/>
      <c r="AD907" s="447"/>
      <c r="AE907" s="447"/>
      <c r="AF907" s="448"/>
      <c r="AG907" s="448"/>
      <c r="AH907" s="449"/>
      <c r="AI907" s="447"/>
      <c r="AJ907" s="447"/>
      <c r="AK907" s="447"/>
      <c r="AL907" s="447"/>
      <c r="AM907" s="447"/>
      <c r="AN907" s="447"/>
      <c r="AO907" s="447"/>
      <c r="AP907" s="447"/>
      <c r="AQ907" s="447"/>
      <c r="AR907" s="447"/>
      <c r="AS907" s="447"/>
      <c r="AT907" s="447"/>
      <c r="AU907" s="447"/>
      <c r="AV907" s="447"/>
      <c r="AW907" s="447"/>
      <c r="AX907" s="447"/>
      <c r="AY907" s="447"/>
      <c r="AZ907" s="447"/>
      <c r="BA907" s="447"/>
      <c r="BB907" s="447"/>
      <c r="BC907" s="447"/>
      <c r="BD907" s="447"/>
      <c r="BE907" s="447"/>
      <c r="BF907" s="447"/>
      <c r="BG907" s="447"/>
      <c r="BH907" s="447"/>
      <c r="BI907" s="447"/>
      <c r="BJ907" s="447"/>
      <c r="BK907" s="447"/>
      <c r="BL907" s="447"/>
      <c r="BM907" s="448"/>
      <c r="BN907" s="448"/>
    </row>
    <row r="908" spans="1:66" ht="11.25" customHeight="1">
      <c r="A908" s="450"/>
      <c r="B908" s="447"/>
      <c r="C908" s="447"/>
      <c r="D908" s="447"/>
      <c r="E908" s="447"/>
      <c r="F908" s="447"/>
      <c r="G908" s="447"/>
      <c r="H908" s="447"/>
      <c r="I908" s="447"/>
      <c r="J908" s="447"/>
      <c r="K908" s="447"/>
      <c r="L908" s="447"/>
      <c r="M908" s="447"/>
      <c r="N908" s="447"/>
      <c r="O908" s="447"/>
      <c r="P908" s="447"/>
      <c r="Q908" s="447"/>
      <c r="R908" s="447"/>
      <c r="S908" s="447"/>
      <c r="T908" s="447"/>
      <c r="U908" s="447"/>
      <c r="V908" s="447"/>
      <c r="W908" s="447"/>
      <c r="X908" s="447"/>
      <c r="Y908" s="447"/>
      <c r="Z908" s="447"/>
      <c r="AA908" s="447"/>
      <c r="AB908" s="447"/>
      <c r="AC908" s="447"/>
      <c r="AD908" s="447"/>
      <c r="AE908" s="447"/>
      <c r="AF908" s="448"/>
      <c r="AG908" s="448"/>
      <c r="AH908" s="449"/>
      <c r="AI908" s="447"/>
      <c r="AJ908" s="447"/>
      <c r="AK908" s="447"/>
      <c r="AL908" s="447"/>
      <c r="AM908" s="447"/>
      <c r="AN908" s="447"/>
      <c r="AO908" s="447"/>
      <c r="AP908" s="447"/>
      <c r="AQ908" s="447"/>
      <c r="AR908" s="447"/>
      <c r="AS908" s="447"/>
      <c r="AT908" s="447"/>
      <c r="AU908" s="447"/>
      <c r="AV908" s="447"/>
      <c r="AW908" s="447"/>
      <c r="AX908" s="447"/>
      <c r="AY908" s="447"/>
      <c r="AZ908" s="447"/>
      <c r="BA908" s="447"/>
      <c r="BB908" s="447"/>
      <c r="BC908" s="447"/>
      <c r="BD908" s="447"/>
      <c r="BE908" s="447"/>
      <c r="BF908" s="447"/>
      <c r="BG908" s="447"/>
      <c r="BH908" s="447"/>
      <c r="BI908" s="447"/>
      <c r="BJ908" s="447"/>
      <c r="BK908" s="447"/>
      <c r="BL908" s="447"/>
      <c r="BM908" s="448"/>
      <c r="BN908" s="448"/>
    </row>
    <row r="909" spans="1:66" ht="11.25" customHeight="1">
      <c r="A909" s="450"/>
      <c r="B909" s="447"/>
      <c r="C909" s="447"/>
      <c r="D909" s="447"/>
      <c r="E909" s="447"/>
      <c r="F909" s="447"/>
      <c r="G909" s="447"/>
      <c r="H909" s="447"/>
      <c r="I909" s="447"/>
      <c r="J909" s="447"/>
      <c r="K909" s="447"/>
      <c r="L909" s="447"/>
      <c r="M909" s="447"/>
      <c r="N909" s="447"/>
      <c r="O909" s="447"/>
      <c r="P909" s="447"/>
      <c r="Q909" s="447"/>
      <c r="R909" s="447"/>
      <c r="S909" s="447"/>
      <c r="T909" s="447"/>
      <c r="U909" s="447"/>
      <c r="V909" s="447"/>
      <c r="W909" s="447"/>
      <c r="X909" s="447"/>
      <c r="Y909" s="447"/>
      <c r="Z909" s="447"/>
      <c r="AA909" s="447"/>
      <c r="AB909" s="447"/>
      <c r="AC909" s="447"/>
      <c r="AD909" s="447"/>
      <c r="AE909" s="447"/>
      <c r="AF909" s="448"/>
      <c r="AG909" s="448"/>
      <c r="AH909" s="449"/>
      <c r="AI909" s="447"/>
      <c r="AJ909" s="447"/>
      <c r="AK909" s="447"/>
      <c r="AL909" s="447"/>
      <c r="AM909" s="447"/>
      <c r="AN909" s="447"/>
      <c r="AO909" s="447"/>
      <c r="AP909" s="447"/>
      <c r="AQ909" s="447"/>
      <c r="AR909" s="447"/>
      <c r="AS909" s="447"/>
      <c r="AT909" s="447"/>
      <c r="AU909" s="447"/>
      <c r="AV909" s="447"/>
      <c r="AW909" s="447"/>
      <c r="AX909" s="447"/>
      <c r="AY909" s="447"/>
      <c r="AZ909" s="447"/>
      <c r="BA909" s="447"/>
      <c r="BB909" s="447"/>
      <c r="BC909" s="447"/>
      <c r="BD909" s="447"/>
      <c r="BE909" s="447"/>
      <c r="BF909" s="447"/>
      <c r="BG909" s="447"/>
      <c r="BH909" s="447"/>
      <c r="BI909" s="447"/>
      <c r="BJ909" s="447"/>
      <c r="BK909" s="447"/>
      <c r="BL909" s="447"/>
      <c r="BM909" s="448"/>
      <c r="BN909" s="448"/>
    </row>
    <row r="910" spans="1:66" ht="11.25" customHeight="1">
      <c r="A910" s="450"/>
      <c r="B910" s="447"/>
      <c r="C910" s="447"/>
      <c r="D910" s="447"/>
      <c r="E910" s="447"/>
      <c r="F910" s="447"/>
      <c r="G910" s="447"/>
      <c r="H910" s="447"/>
      <c r="I910" s="447"/>
      <c r="J910" s="447"/>
      <c r="K910" s="447"/>
      <c r="L910" s="447"/>
      <c r="M910" s="447"/>
      <c r="N910" s="447"/>
      <c r="O910" s="447"/>
      <c r="P910" s="447"/>
      <c r="Q910" s="447"/>
      <c r="R910" s="447"/>
      <c r="S910" s="447"/>
      <c r="T910" s="447"/>
      <c r="U910" s="447"/>
      <c r="V910" s="447"/>
      <c r="W910" s="447"/>
      <c r="X910" s="447"/>
      <c r="Y910" s="447"/>
      <c r="Z910" s="447"/>
      <c r="AA910" s="447"/>
      <c r="AB910" s="447"/>
      <c r="AC910" s="447"/>
      <c r="AD910" s="447"/>
      <c r="AE910" s="447"/>
      <c r="AF910" s="448"/>
      <c r="AG910" s="448"/>
      <c r="AH910" s="449"/>
      <c r="AI910" s="447"/>
      <c r="AJ910" s="447"/>
      <c r="AK910" s="447"/>
      <c r="AL910" s="447"/>
      <c r="AM910" s="447"/>
      <c r="AN910" s="447"/>
      <c r="AO910" s="447"/>
      <c r="AP910" s="447"/>
      <c r="AQ910" s="447"/>
      <c r="AR910" s="447"/>
      <c r="AS910" s="447"/>
      <c r="AT910" s="447"/>
      <c r="AU910" s="447"/>
      <c r="AV910" s="447"/>
      <c r="AW910" s="447"/>
      <c r="AX910" s="447"/>
      <c r="AY910" s="447"/>
      <c r="AZ910" s="447"/>
      <c r="BA910" s="447"/>
      <c r="BB910" s="447"/>
      <c r="BC910" s="447"/>
      <c r="BD910" s="447"/>
      <c r="BE910" s="447"/>
      <c r="BF910" s="447"/>
      <c r="BG910" s="447"/>
      <c r="BH910" s="447"/>
      <c r="BI910" s="447"/>
      <c r="BJ910" s="447"/>
      <c r="BK910" s="447"/>
      <c r="BL910" s="447"/>
      <c r="BM910" s="448"/>
      <c r="BN910" s="448"/>
    </row>
    <row r="911" spans="1:66" ht="11.25" customHeight="1">
      <c r="A911" s="450"/>
      <c r="B911" s="447"/>
      <c r="C911" s="447"/>
      <c r="D911" s="447"/>
      <c r="E911" s="447"/>
      <c r="F911" s="447"/>
      <c r="G911" s="447"/>
      <c r="H911" s="447"/>
      <c r="I911" s="447"/>
      <c r="J911" s="447"/>
      <c r="K911" s="447"/>
      <c r="L911" s="447"/>
      <c r="M911" s="447"/>
      <c r="N911" s="447"/>
      <c r="O911" s="447"/>
      <c r="P911" s="447"/>
      <c r="Q911" s="447"/>
      <c r="R911" s="447"/>
      <c r="S911" s="447"/>
      <c r="T911" s="447"/>
      <c r="U911" s="447"/>
      <c r="V911" s="447"/>
      <c r="W911" s="447"/>
      <c r="X911" s="447"/>
      <c r="Y911" s="447"/>
      <c r="Z911" s="447"/>
      <c r="AA911" s="447"/>
      <c r="AB911" s="447"/>
      <c r="AC911" s="447"/>
      <c r="AD911" s="447"/>
      <c r="AE911" s="447"/>
      <c r="AF911" s="448"/>
      <c r="AG911" s="448"/>
      <c r="AH911" s="449"/>
      <c r="AI911" s="447"/>
      <c r="AJ911" s="447"/>
      <c r="AK911" s="447"/>
      <c r="AL911" s="447"/>
      <c r="AM911" s="447"/>
      <c r="AN911" s="447"/>
      <c r="AO911" s="447"/>
      <c r="AP911" s="447"/>
      <c r="AQ911" s="447"/>
      <c r="AR911" s="447"/>
      <c r="AS911" s="447"/>
      <c r="AT911" s="447"/>
      <c r="AU911" s="447"/>
      <c r="AV911" s="447"/>
      <c r="AW911" s="447"/>
      <c r="AX911" s="447"/>
      <c r="AY911" s="447"/>
      <c r="AZ911" s="447"/>
      <c r="BA911" s="447"/>
      <c r="BB911" s="447"/>
      <c r="BC911" s="447"/>
      <c r="BD911" s="447"/>
      <c r="BE911" s="447"/>
      <c r="BF911" s="447"/>
      <c r="BG911" s="447"/>
      <c r="BH911" s="447"/>
      <c r="BI911" s="447"/>
      <c r="BJ911" s="447"/>
      <c r="BK911" s="447"/>
      <c r="BL911" s="447"/>
      <c r="BM911" s="448"/>
      <c r="BN911" s="448"/>
    </row>
    <row r="912" spans="1:66" ht="11.25" customHeight="1">
      <c r="A912" s="450"/>
      <c r="B912" s="447"/>
      <c r="C912" s="447"/>
      <c r="D912" s="447"/>
      <c r="E912" s="447"/>
      <c r="F912" s="447"/>
      <c r="G912" s="447"/>
      <c r="H912" s="447"/>
      <c r="I912" s="447"/>
      <c r="J912" s="447"/>
      <c r="K912" s="447"/>
      <c r="L912" s="447"/>
      <c r="M912" s="447"/>
      <c r="N912" s="447"/>
      <c r="O912" s="447"/>
      <c r="P912" s="447"/>
      <c r="Q912" s="447"/>
      <c r="R912" s="447"/>
      <c r="S912" s="447"/>
      <c r="T912" s="447"/>
      <c r="U912" s="447"/>
      <c r="V912" s="447"/>
      <c r="W912" s="447"/>
      <c r="X912" s="447"/>
      <c r="Y912" s="447"/>
      <c r="Z912" s="447"/>
      <c r="AA912" s="447"/>
      <c r="AB912" s="447"/>
      <c r="AC912" s="447"/>
      <c r="AD912" s="447"/>
      <c r="AE912" s="447"/>
      <c r="AF912" s="448"/>
      <c r="AG912" s="448"/>
      <c r="AH912" s="449"/>
      <c r="AI912" s="447"/>
      <c r="AJ912" s="447"/>
      <c r="AK912" s="447"/>
      <c r="AL912" s="447"/>
      <c r="AM912" s="447"/>
      <c r="AN912" s="447"/>
      <c r="AO912" s="447"/>
      <c r="AP912" s="447"/>
      <c r="AQ912" s="447"/>
      <c r="AR912" s="447"/>
      <c r="AS912" s="447"/>
      <c r="AT912" s="447"/>
      <c r="AU912" s="447"/>
      <c r="AV912" s="447"/>
      <c r="AW912" s="447"/>
      <c r="AX912" s="447"/>
      <c r="AY912" s="447"/>
      <c r="AZ912" s="447"/>
      <c r="BA912" s="447"/>
      <c r="BB912" s="447"/>
      <c r="BC912" s="447"/>
      <c r="BD912" s="447"/>
      <c r="BE912" s="447"/>
      <c r="BF912" s="447"/>
      <c r="BG912" s="447"/>
      <c r="BH912" s="447"/>
      <c r="BI912" s="447"/>
      <c r="BJ912" s="447"/>
      <c r="BK912" s="447"/>
      <c r="BL912" s="447"/>
      <c r="BM912" s="448"/>
      <c r="BN912" s="448"/>
    </row>
    <row r="913" spans="1:66" ht="11.25" customHeight="1">
      <c r="A913" s="450"/>
      <c r="B913" s="447"/>
      <c r="C913" s="447"/>
      <c r="D913" s="447"/>
      <c r="E913" s="447"/>
      <c r="F913" s="447"/>
      <c r="G913" s="447"/>
      <c r="H913" s="447"/>
      <c r="I913" s="447"/>
      <c r="J913" s="447"/>
      <c r="K913" s="447"/>
      <c r="L913" s="447"/>
      <c r="M913" s="447"/>
      <c r="N913" s="447"/>
      <c r="O913" s="447"/>
      <c r="P913" s="447"/>
      <c r="Q913" s="447"/>
      <c r="R913" s="447"/>
      <c r="S913" s="447"/>
      <c r="T913" s="447"/>
      <c r="U913" s="447"/>
      <c r="V913" s="447"/>
      <c r="W913" s="447"/>
      <c r="X913" s="447"/>
      <c r="Y913" s="447"/>
      <c r="Z913" s="447"/>
      <c r="AA913" s="447"/>
      <c r="AB913" s="447"/>
      <c r="AC913" s="447"/>
      <c r="AD913" s="447"/>
      <c r="AE913" s="447"/>
      <c r="AF913" s="448"/>
      <c r="AG913" s="448"/>
      <c r="AH913" s="449"/>
      <c r="AI913" s="447"/>
      <c r="AJ913" s="447"/>
      <c r="AK913" s="447"/>
      <c r="AL913" s="447"/>
      <c r="AM913" s="447"/>
      <c r="AN913" s="447"/>
      <c r="AO913" s="447"/>
      <c r="AP913" s="447"/>
      <c r="AQ913" s="447"/>
      <c r="AR913" s="447"/>
      <c r="AS913" s="447"/>
      <c r="AT913" s="447"/>
      <c r="AU913" s="447"/>
      <c r="AV913" s="447"/>
      <c r="AW913" s="447"/>
      <c r="AX913" s="447"/>
      <c r="AY913" s="447"/>
      <c r="AZ913" s="447"/>
      <c r="BA913" s="447"/>
      <c r="BB913" s="447"/>
      <c r="BC913" s="447"/>
      <c r="BD913" s="447"/>
      <c r="BE913" s="447"/>
      <c r="BF913" s="447"/>
      <c r="BG913" s="447"/>
      <c r="BH913" s="447"/>
      <c r="BI913" s="447"/>
      <c r="BJ913" s="447"/>
      <c r="BK913" s="447"/>
      <c r="BL913" s="447"/>
      <c r="BM913" s="448"/>
      <c r="BN913" s="448"/>
    </row>
    <row r="914" spans="1:66" ht="11.25" customHeight="1">
      <c r="A914" s="450"/>
      <c r="B914" s="447"/>
      <c r="C914" s="447"/>
      <c r="D914" s="447"/>
      <c r="E914" s="447"/>
      <c r="F914" s="447"/>
      <c r="G914" s="447"/>
      <c r="H914" s="447"/>
      <c r="I914" s="447"/>
      <c r="J914" s="447"/>
      <c r="K914" s="447"/>
      <c r="L914" s="447"/>
      <c r="M914" s="447"/>
      <c r="N914" s="447"/>
      <c r="O914" s="447"/>
      <c r="P914" s="447"/>
      <c r="Q914" s="447"/>
      <c r="R914" s="447"/>
      <c r="S914" s="447"/>
      <c r="T914" s="447"/>
      <c r="U914" s="447"/>
      <c r="V914" s="447"/>
      <c r="W914" s="447"/>
      <c r="X914" s="447"/>
      <c r="Y914" s="447"/>
      <c r="Z914" s="447"/>
      <c r="AA914" s="447"/>
      <c r="AB914" s="447"/>
      <c r="AC914" s="447"/>
      <c r="AD914" s="447"/>
      <c r="AE914" s="447"/>
      <c r="AF914" s="448"/>
      <c r="AG914" s="448"/>
      <c r="AH914" s="449"/>
      <c r="AI914" s="447"/>
      <c r="AJ914" s="447"/>
      <c r="AK914" s="447"/>
      <c r="AL914" s="447"/>
      <c r="AM914" s="447"/>
      <c r="AN914" s="447"/>
      <c r="AO914" s="447"/>
      <c r="AP914" s="447"/>
      <c r="AQ914" s="447"/>
      <c r="AR914" s="447"/>
      <c r="AS914" s="447"/>
      <c r="AT914" s="447"/>
      <c r="AU914" s="447"/>
      <c r="AV914" s="447"/>
      <c r="AW914" s="447"/>
      <c r="AX914" s="447"/>
      <c r="AY914" s="447"/>
      <c r="AZ914" s="447"/>
      <c r="BA914" s="447"/>
      <c r="BB914" s="447"/>
      <c r="BC914" s="447"/>
      <c r="BD914" s="447"/>
      <c r="BE914" s="447"/>
      <c r="BF914" s="447"/>
      <c r="BG914" s="447"/>
      <c r="BH914" s="447"/>
      <c r="BI914" s="447"/>
      <c r="BJ914" s="447"/>
      <c r="BK914" s="447"/>
      <c r="BL914" s="447"/>
      <c r="BM914" s="448"/>
      <c r="BN914" s="448"/>
    </row>
    <row r="915" spans="1:66" ht="11.25" customHeight="1">
      <c r="A915" s="450"/>
      <c r="B915" s="447"/>
      <c r="C915" s="447"/>
      <c r="D915" s="447"/>
      <c r="E915" s="447"/>
      <c r="F915" s="447"/>
      <c r="G915" s="447"/>
      <c r="H915" s="447"/>
      <c r="I915" s="447"/>
      <c r="J915" s="447"/>
      <c r="K915" s="447"/>
      <c r="L915" s="447"/>
      <c r="M915" s="447"/>
      <c r="N915" s="447"/>
      <c r="O915" s="447"/>
      <c r="P915" s="447"/>
      <c r="Q915" s="447"/>
      <c r="R915" s="447"/>
      <c r="S915" s="447"/>
      <c r="T915" s="447"/>
      <c r="U915" s="447"/>
      <c r="V915" s="447"/>
      <c r="W915" s="447"/>
      <c r="X915" s="447"/>
      <c r="Y915" s="447"/>
      <c r="Z915" s="447"/>
      <c r="AA915" s="447"/>
      <c r="AB915" s="447"/>
      <c r="AC915" s="447"/>
      <c r="AD915" s="447"/>
      <c r="AE915" s="447"/>
      <c r="AF915" s="448"/>
      <c r="AG915" s="448"/>
      <c r="AH915" s="449"/>
      <c r="AI915" s="447"/>
      <c r="AJ915" s="447"/>
      <c r="AK915" s="447"/>
      <c r="AL915" s="447"/>
      <c r="AM915" s="447"/>
      <c r="AN915" s="447"/>
      <c r="AO915" s="447"/>
      <c r="AP915" s="447"/>
      <c r="AQ915" s="447"/>
      <c r="AR915" s="447"/>
      <c r="AS915" s="447"/>
      <c r="AT915" s="447"/>
      <c r="AU915" s="447"/>
      <c r="AV915" s="447"/>
      <c r="AW915" s="447"/>
      <c r="AX915" s="447"/>
      <c r="AY915" s="447"/>
      <c r="AZ915" s="447"/>
      <c r="BA915" s="447"/>
      <c r="BB915" s="447"/>
      <c r="BC915" s="447"/>
      <c r="BD915" s="447"/>
      <c r="BE915" s="447"/>
      <c r="BF915" s="447"/>
      <c r="BG915" s="447"/>
      <c r="BH915" s="447"/>
      <c r="BI915" s="447"/>
      <c r="BJ915" s="447"/>
      <c r="BK915" s="447"/>
      <c r="BL915" s="447"/>
      <c r="BM915" s="448"/>
      <c r="BN915" s="448"/>
    </row>
    <row r="916" spans="1:66" ht="11.25" customHeight="1">
      <c r="A916" s="450"/>
      <c r="B916" s="447"/>
      <c r="C916" s="447"/>
      <c r="D916" s="447"/>
      <c r="E916" s="447"/>
      <c r="F916" s="447"/>
      <c r="G916" s="447"/>
      <c r="H916" s="447"/>
      <c r="I916" s="447"/>
      <c r="J916" s="447"/>
      <c r="K916" s="447"/>
      <c r="L916" s="447"/>
      <c r="M916" s="447"/>
      <c r="N916" s="447"/>
      <c r="O916" s="447"/>
      <c r="P916" s="447"/>
      <c r="Q916" s="447"/>
      <c r="R916" s="447"/>
      <c r="S916" s="447"/>
      <c r="T916" s="447"/>
      <c r="U916" s="447"/>
      <c r="V916" s="447"/>
      <c r="W916" s="447"/>
      <c r="X916" s="447"/>
      <c r="Y916" s="447"/>
      <c r="Z916" s="447"/>
      <c r="AA916" s="447"/>
      <c r="AB916" s="447"/>
      <c r="AC916" s="447"/>
      <c r="AD916" s="447"/>
      <c r="AE916" s="447"/>
      <c r="AF916" s="448"/>
      <c r="AG916" s="448"/>
      <c r="AH916" s="449"/>
      <c r="AI916" s="447"/>
      <c r="AJ916" s="447"/>
      <c r="AK916" s="447"/>
      <c r="AL916" s="447"/>
      <c r="AM916" s="447"/>
      <c r="AN916" s="447"/>
      <c r="AO916" s="447"/>
      <c r="AP916" s="447"/>
      <c r="AQ916" s="447"/>
      <c r="AR916" s="447"/>
      <c r="AS916" s="447"/>
      <c r="AT916" s="447"/>
      <c r="AU916" s="447"/>
      <c r="AV916" s="447"/>
      <c r="AW916" s="447"/>
      <c r="AX916" s="447"/>
      <c r="AY916" s="447"/>
      <c r="AZ916" s="447"/>
      <c r="BA916" s="447"/>
      <c r="BB916" s="447"/>
      <c r="BC916" s="447"/>
      <c r="BD916" s="447"/>
      <c r="BE916" s="447"/>
      <c r="BF916" s="447"/>
      <c r="BG916" s="447"/>
      <c r="BH916" s="447"/>
      <c r="BI916" s="447"/>
      <c r="BJ916" s="447"/>
      <c r="BK916" s="447"/>
      <c r="BL916" s="447"/>
      <c r="BM916" s="448"/>
      <c r="BN916" s="448"/>
    </row>
    <row r="917" spans="1:66" ht="11.25" customHeight="1">
      <c r="A917" s="450"/>
      <c r="B917" s="447"/>
      <c r="C917" s="447"/>
      <c r="D917" s="447"/>
      <c r="E917" s="447"/>
      <c r="F917" s="447"/>
      <c r="G917" s="447"/>
      <c r="H917" s="447"/>
      <c r="I917" s="447"/>
      <c r="J917" s="447"/>
      <c r="K917" s="447"/>
      <c r="L917" s="447"/>
      <c r="M917" s="447"/>
      <c r="N917" s="447"/>
      <c r="O917" s="447"/>
      <c r="P917" s="447"/>
      <c r="Q917" s="447"/>
      <c r="R917" s="447"/>
      <c r="S917" s="447"/>
      <c r="T917" s="447"/>
      <c r="U917" s="447"/>
      <c r="V917" s="447"/>
      <c r="W917" s="447"/>
      <c r="X917" s="447"/>
      <c r="Y917" s="447"/>
      <c r="Z917" s="447"/>
      <c r="AA917" s="447"/>
      <c r="AB917" s="447"/>
      <c r="AC917" s="447"/>
      <c r="AD917" s="447"/>
      <c r="AE917" s="447"/>
      <c r="AF917" s="448"/>
      <c r="AG917" s="448"/>
      <c r="AH917" s="449"/>
      <c r="AI917" s="447"/>
      <c r="AJ917" s="447"/>
      <c r="AK917" s="447"/>
      <c r="AL917" s="447"/>
      <c r="AM917" s="447"/>
      <c r="AN917" s="447"/>
      <c r="AO917" s="447"/>
      <c r="AP917" s="447"/>
      <c r="AQ917" s="447"/>
      <c r="AR917" s="447"/>
      <c r="AS917" s="447"/>
      <c r="AT917" s="447"/>
      <c r="AU917" s="447"/>
      <c r="AV917" s="447"/>
      <c r="AW917" s="447"/>
      <c r="AX917" s="447"/>
      <c r="AY917" s="447"/>
      <c r="AZ917" s="447"/>
      <c r="BA917" s="447"/>
      <c r="BB917" s="447"/>
      <c r="BC917" s="447"/>
      <c r="BD917" s="447"/>
      <c r="BE917" s="447"/>
      <c r="BF917" s="447"/>
      <c r="BG917" s="447"/>
      <c r="BH917" s="447"/>
      <c r="BI917" s="447"/>
      <c r="BJ917" s="447"/>
      <c r="BK917" s="447"/>
      <c r="BL917" s="447"/>
      <c r="BM917" s="448"/>
      <c r="BN917" s="448"/>
    </row>
    <row r="918" spans="1:66" ht="11.25" customHeight="1">
      <c r="A918" s="450"/>
      <c r="B918" s="447"/>
      <c r="C918" s="447"/>
      <c r="D918" s="447"/>
      <c r="E918" s="447"/>
      <c r="F918" s="447"/>
      <c r="G918" s="447"/>
      <c r="H918" s="447"/>
      <c r="I918" s="447"/>
      <c r="J918" s="447"/>
      <c r="K918" s="447"/>
      <c r="L918" s="447"/>
      <c r="M918" s="447"/>
      <c r="N918" s="447"/>
      <c r="O918" s="447"/>
      <c r="P918" s="447"/>
      <c r="Q918" s="447"/>
      <c r="R918" s="447"/>
      <c r="S918" s="447"/>
      <c r="T918" s="447"/>
      <c r="U918" s="447"/>
      <c r="V918" s="447"/>
      <c r="W918" s="447"/>
      <c r="X918" s="447"/>
      <c r="Y918" s="447"/>
      <c r="Z918" s="447"/>
      <c r="AA918" s="447"/>
      <c r="AB918" s="447"/>
      <c r="AC918" s="447"/>
      <c r="AD918" s="447"/>
      <c r="AE918" s="447"/>
      <c r="AF918" s="448"/>
      <c r="AG918" s="448"/>
      <c r="AH918" s="449"/>
      <c r="AI918" s="447"/>
      <c r="AJ918" s="447"/>
      <c r="AK918" s="447"/>
      <c r="AL918" s="447"/>
      <c r="AM918" s="447"/>
      <c r="AN918" s="447"/>
      <c r="AO918" s="447"/>
      <c r="AP918" s="447"/>
      <c r="AQ918" s="447"/>
      <c r="AR918" s="447"/>
      <c r="AS918" s="447"/>
      <c r="AT918" s="447"/>
      <c r="AU918" s="447"/>
      <c r="AV918" s="447"/>
      <c r="AW918" s="447"/>
      <c r="AX918" s="447"/>
      <c r="AY918" s="447"/>
      <c r="AZ918" s="447"/>
      <c r="BA918" s="447"/>
      <c r="BB918" s="447"/>
      <c r="BC918" s="447"/>
      <c r="BD918" s="447"/>
      <c r="BE918" s="447"/>
      <c r="BF918" s="447"/>
      <c r="BG918" s="447"/>
      <c r="BH918" s="447"/>
      <c r="BI918" s="447"/>
      <c r="BJ918" s="447"/>
      <c r="BK918" s="447"/>
      <c r="BL918" s="447"/>
      <c r="BM918" s="448"/>
      <c r="BN918" s="448"/>
    </row>
    <row r="919" spans="1:66" ht="11.25" customHeight="1">
      <c r="A919" s="450"/>
      <c r="B919" s="447"/>
      <c r="C919" s="447"/>
      <c r="D919" s="447"/>
      <c r="E919" s="447"/>
      <c r="F919" s="447"/>
      <c r="G919" s="447"/>
      <c r="H919" s="447"/>
      <c r="I919" s="447"/>
      <c r="J919" s="447"/>
      <c r="K919" s="447"/>
      <c r="L919" s="447"/>
      <c r="M919" s="447"/>
      <c r="N919" s="447"/>
      <c r="O919" s="447"/>
      <c r="P919" s="447"/>
      <c r="Q919" s="447"/>
      <c r="R919" s="447"/>
      <c r="S919" s="447"/>
      <c r="T919" s="447"/>
      <c r="U919" s="447"/>
      <c r="V919" s="447"/>
      <c r="W919" s="447"/>
      <c r="X919" s="447"/>
      <c r="Y919" s="447"/>
      <c r="Z919" s="447"/>
      <c r="AA919" s="447"/>
      <c r="AB919" s="447"/>
      <c r="AC919" s="447"/>
      <c r="AD919" s="447"/>
      <c r="AE919" s="447"/>
      <c r="AF919" s="448"/>
      <c r="AG919" s="448"/>
      <c r="AH919" s="449"/>
      <c r="AI919" s="447"/>
      <c r="AJ919" s="447"/>
      <c r="AK919" s="447"/>
      <c r="AL919" s="447"/>
      <c r="AM919" s="447"/>
      <c r="AN919" s="447"/>
      <c r="AO919" s="447"/>
      <c r="AP919" s="447"/>
      <c r="AQ919" s="447"/>
      <c r="AR919" s="447"/>
      <c r="AS919" s="447"/>
      <c r="AT919" s="447"/>
      <c r="AU919" s="447"/>
      <c r="AV919" s="447"/>
      <c r="AW919" s="447"/>
      <c r="AX919" s="447"/>
      <c r="AY919" s="447"/>
      <c r="AZ919" s="447"/>
      <c r="BA919" s="447"/>
      <c r="BB919" s="447"/>
      <c r="BC919" s="447"/>
      <c r="BD919" s="447"/>
      <c r="BE919" s="447"/>
      <c r="BF919" s="447"/>
      <c r="BG919" s="447"/>
      <c r="BH919" s="447"/>
      <c r="BI919" s="447"/>
      <c r="BJ919" s="447"/>
      <c r="BK919" s="447"/>
      <c r="BL919" s="447"/>
      <c r="BM919" s="448"/>
      <c r="BN919" s="448"/>
    </row>
    <row r="920" spans="1:66" ht="11.25" customHeight="1">
      <c r="A920" s="450"/>
      <c r="B920" s="447"/>
      <c r="C920" s="447"/>
      <c r="D920" s="447"/>
      <c r="E920" s="447"/>
      <c r="F920" s="447"/>
      <c r="G920" s="447"/>
      <c r="H920" s="447"/>
      <c r="I920" s="447"/>
      <c r="J920" s="447"/>
      <c r="K920" s="447"/>
      <c r="L920" s="447"/>
      <c r="M920" s="447"/>
      <c r="N920" s="447"/>
      <c r="O920" s="447"/>
      <c r="P920" s="447"/>
      <c r="Q920" s="447"/>
      <c r="R920" s="447"/>
      <c r="S920" s="447"/>
      <c r="T920" s="447"/>
      <c r="U920" s="447"/>
      <c r="V920" s="447"/>
      <c r="W920" s="447"/>
      <c r="X920" s="447"/>
      <c r="Y920" s="447"/>
      <c r="Z920" s="447"/>
      <c r="AA920" s="447"/>
      <c r="AB920" s="447"/>
      <c r="AC920" s="447"/>
      <c r="AD920" s="447"/>
      <c r="AE920" s="447"/>
      <c r="AF920" s="448"/>
      <c r="AG920" s="448"/>
      <c r="AH920" s="449"/>
      <c r="AI920" s="447"/>
      <c r="AJ920" s="447"/>
      <c r="AK920" s="447"/>
      <c r="AL920" s="447"/>
      <c r="AM920" s="447"/>
      <c r="AN920" s="447"/>
      <c r="AO920" s="447"/>
      <c r="AP920" s="447"/>
      <c r="AQ920" s="447"/>
      <c r="AR920" s="447"/>
      <c r="AS920" s="447"/>
      <c r="AT920" s="447"/>
      <c r="AU920" s="447"/>
      <c r="AV920" s="447"/>
      <c r="AW920" s="447"/>
      <c r="AX920" s="447"/>
      <c r="AY920" s="447"/>
      <c r="AZ920" s="447"/>
      <c r="BA920" s="447"/>
      <c r="BB920" s="447"/>
      <c r="BC920" s="447"/>
      <c r="BD920" s="447"/>
      <c r="BE920" s="447"/>
      <c r="BF920" s="447"/>
      <c r="BG920" s="447"/>
      <c r="BH920" s="447"/>
      <c r="BI920" s="447"/>
      <c r="BJ920" s="447"/>
      <c r="BK920" s="447"/>
      <c r="BL920" s="447"/>
      <c r="BM920" s="448"/>
      <c r="BN920" s="448"/>
    </row>
    <row r="921" spans="1:66" ht="11.25" customHeight="1">
      <c r="A921" s="450"/>
      <c r="B921" s="447"/>
      <c r="C921" s="447"/>
      <c r="D921" s="447"/>
      <c r="E921" s="447"/>
      <c r="F921" s="447"/>
      <c r="G921" s="447"/>
      <c r="H921" s="447"/>
      <c r="I921" s="447"/>
      <c r="J921" s="447"/>
      <c r="K921" s="447"/>
      <c r="L921" s="447"/>
      <c r="M921" s="447"/>
      <c r="N921" s="447"/>
      <c r="O921" s="447"/>
      <c r="P921" s="447"/>
      <c r="Q921" s="447"/>
      <c r="R921" s="447"/>
      <c r="S921" s="447"/>
      <c r="T921" s="447"/>
      <c r="U921" s="447"/>
      <c r="V921" s="447"/>
      <c r="W921" s="447"/>
      <c r="X921" s="447"/>
      <c r="Y921" s="447"/>
      <c r="Z921" s="447"/>
      <c r="AA921" s="447"/>
      <c r="AB921" s="447"/>
      <c r="AC921" s="447"/>
      <c r="AD921" s="447"/>
      <c r="AE921" s="447"/>
      <c r="AF921" s="448"/>
      <c r="AG921" s="448"/>
      <c r="AH921" s="449"/>
      <c r="AI921" s="447"/>
      <c r="AJ921" s="447"/>
      <c r="AK921" s="447"/>
      <c r="AL921" s="447"/>
      <c r="AM921" s="447"/>
      <c r="AN921" s="447"/>
      <c r="AO921" s="447"/>
      <c r="AP921" s="447"/>
      <c r="AQ921" s="447"/>
      <c r="AR921" s="447"/>
      <c r="AS921" s="447"/>
      <c r="AT921" s="447"/>
      <c r="AU921" s="447"/>
      <c r="AV921" s="447"/>
      <c r="AW921" s="447"/>
      <c r="AX921" s="447"/>
      <c r="AY921" s="447"/>
      <c r="AZ921" s="447"/>
      <c r="BA921" s="447"/>
      <c r="BB921" s="447"/>
      <c r="BC921" s="447"/>
      <c r="BD921" s="447"/>
      <c r="BE921" s="447"/>
      <c r="BF921" s="447"/>
      <c r="BG921" s="447"/>
      <c r="BH921" s="447"/>
      <c r="BI921" s="447"/>
      <c r="BJ921" s="447"/>
      <c r="BK921" s="447"/>
      <c r="BL921" s="447"/>
      <c r="BM921" s="448"/>
      <c r="BN921" s="448"/>
    </row>
    <row r="922" spans="1:66" ht="11.25" customHeight="1">
      <c r="A922" s="450"/>
      <c r="B922" s="447"/>
      <c r="C922" s="447"/>
      <c r="D922" s="447"/>
      <c r="E922" s="447"/>
      <c r="F922" s="447"/>
      <c r="G922" s="447"/>
      <c r="H922" s="447"/>
      <c r="I922" s="447"/>
      <c r="J922" s="447"/>
      <c r="K922" s="447"/>
      <c r="L922" s="447"/>
      <c r="M922" s="447"/>
      <c r="N922" s="447"/>
      <c r="O922" s="447"/>
      <c r="P922" s="447"/>
      <c r="Q922" s="447"/>
      <c r="R922" s="447"/>
      <c r="S922" s="447"/>
      <c r="T922" s="447"/>
      <c r="U922" s="447"/>
      <c r="V922" s="447"/>
      <c r="W922" s="447"/>
      <c r="X922" s="447"/>
      <c r="Y922" s="447"/>
      <c r="Z922" s="447"/>
      <c r="AA922" s="447"/>
      <c r="AB922" s="447"/>
      <c r="AC922" s="447"/>
      <c r="AD922" s="447"/>
      <c r="AE922" s="447"/>
      <c r="AF922" s="448"/>
      <c r="AG922" s="448"/>
      <c r="AH922" s="449"/>
      <c r="AI922" s="447"/>
      <c r="AJ922" s="447"/>
      <c r="AK922" s="447"/>
      <c r="AL922" s="447"/>
      <c r="AM922" s="447"/>
      <c r="AN922" s="447"/>
      <c r="AO922" s="447"/>
      <c r="AP922" s="447"/>
      <c r="AQ922" s="447"/>
      <c r="AR922" s="447"/>
      <c r="AS922" s="447"/>
      <c r="AT922" s="447"/>
      <c r="AU922" s="447"/>
      <c r="AV922" s="447"/>
      <c r="AW922" s="447"/>
      <c r="AX922" s="447"/>
      <c r="AY922" s="447"/>
      <c r="AZ922" s="447"/>
      <c r="BA922" s="447"/>
      <c r="BB922" s="447"/>
      <c r="BC922" s="447"/>
      <c r="BD922" s="447"/>
      <c r="BE922" s="447"/>
      <c r="BF922" s="447"/>
      <c r="BG922" s="447"/>
      <c r="BH922" s="447"/>
      <c r="BI922" s="447"/>
      <c r="BJ922" s="447"/>
      <c r="BK922" s="447"/>
      <c r="BL922" s="447"/>
      <c r="BM922" s="448"/>
      <c r="BN922" s="448"/>
    </row>
    <row r="923" spans="1:66" ht="11.25" customHeight="1">
      <c r="A923" s="450"/>
      <c r="B923" s="447"/>
      <c r="C923" s="447"/>
      <c r="D923" s="447"/>
      <c r="E923" s="447"/>
      <c r="F923" s="447"/>
      <c r="G923" s="447"/>
      <c r="H923" s="447"/>
      <c r="I923" s="447"/>
      <c r="J923" s="447"/>
      <c r="K923" s="447"/>
      <c r="L923" s="447"/>
      <c r="M923" s="447"/>
      <c r="N923" s="447"/>
      <c r="O923" s="447"/>
      <c r="P923" s="447"/>
      <c r="Q923" s="447"/>
      <c r="R923" s="447"/>
      <c r="S923" s="447"/>
      <c r="T923" s="447"/>
      <c r="U923" s="447"/>
      <c r="V923" s="447"/>
      <c r="W923" s="447"/>
      <c r="X923" s="447"/>
      <c r="Y923" s="447"/>
      <c r="Z923" s="447"/>
      <c r="AA923" s="447"/>
      <c r="AB923" s="447"/>
      <c r="AC923" s="447"/>
      <c r="AD923" s="447"/>
      <c r="AE923" s="447"/>
      <c r="AF923" s="448"/>
      <c r="AG923" s="448"/>
      <c r="AH923" s="449"/>
      <c r="AI923" s="447"/>
      <c r="AJ923" s="447"/>
      <c r="AK923" s="447"/>
      <c r="AL923" s="447"/>
      <c r="AM923" s="447"/>
      <c r="AN923" s="447"/>
      <c r="AO923" s="447"/>
      <c r="AP923" s="447"/>
      <c r="AQ923" s="447"/>
      <c r="AR923" s="447"/>
      <c r="AS923" s="447"/>
      <c r="AT923" s="447"/>
      <c r="AU923" s="447"/>
      <c r="AV923" s="447"/>
      <c r="AW923" s="447"/>
      <c r="AX923" s="447"/>
      <c r="AY923" s="447"/>
      <c r="AZ923" s="447"/>
      <c r="BA923" s="447"/>
      <c r="BB923" s="447"/>
      <c r="BC923" s="447"/>
      <c r="BD923" s="447"/>
      <c r="BE923" s="447"/>
      <c r="BF923" s="447"/>
      <c r="BG923" s="447"/>
      <c r="BH923" s="447"/>
      <c r="BI923" s="447"/>
      <c r="BJ923" s="447"/>
      <c r="BK923" s="447"/>
      <c r="BL923" s="447"/>
      <c r="BM923" s="448"/>
      <c r="BN923" s="448"/>
    </row>
    <row r="924" spans="1:66" ht="11.25" customHeight="1">
      <c r="A924" s="450"/>
      <c r="B924" s="447"/>
      <c r="C924" s="447"/>
      <c r="D924" s="447"/>
      <c r="E924" s="447"/>
      <c r="F924" s="447"/>
      <c r="G924" s="447"/>
      <c r="H924" s="447"/>
      <c r="I924" s="447"/>
      <c r="J924" s="447"/>
      <c r="K924" s="447"/>
      <c r="L924" s="447"/>
      <c r="M924" s="447"/>
      <c r="N924" s="447"/>
      <c r="O924" s="447"/>
      <c r="P924" s="447"/>
      <c r="Q924" s="447"/>
      <c r="R924" s="447"/>
      <c r="S924" s="447"/>
      <c r="T924" s="447"/>
      <c r="U924" s="447"/>
      <c r="V924" s="447"/>
      <c r="W924" s="447"/>
      <c r="X924" s="447"/>
      <c r="Y924" s="447"/>
      <c r="Z924" s="447"/>
      <c r="AA924" s="447"/>
      <c r="AB924" s="447"/>
      <c r="AC924" s="447"/>
      <c r="AD924" s="447"/>
      <c r="AE924" s="447"/>
      <c r="AF924" s="448"/>
      <c r="AG924" s="448"/>
      <c r="AH924" s="449"/>
      <c r="AI924" s="447"/>
      <c r="AJ924" s="447"/>
      <c r="AK924" s="447"/>
      <c r="AL924" s="447"/>
      <c r="AM924" s="447"/>
      <c r="AN924" s="447"/>
      <c r="AO924" s="447"/>
      <c r="AP924" s="447"/>
      <c r="AQ924" s="447"/>
      <c r="AR924" s="447"/>
      <c r="AS924" s="447"/>
      <c r="AT924" s="447"/>
      <c r="AU924" s="447"/>
      <c r="AV924" s="447"/>
      <c r="AW924" s="447"/>
      <c r="AX924" s="447"/>
      <c r="AY924" s="447"/>
      <c r="AZ924" s="447"/>
      <c r="BA924" s="447"/>
      <c r="BB924" s="447"/>
      <c r="BC924" s="447"/>
      <c r="BD924" s="447"/>
      <c r="BE924" s="447"/>
      <c r="BF924" s="447"/>
      <c r="BG924" s="447"/>
      <c r="BH924" s="447"/>
      <c r="BI924" s="447"/>
      <c r="BJ924" s="447"/>
      <c r="BK924" s="447"/>
      <c r="BL924" s="447"/>
      <c r="BM924" s="448"/>
      <c r="BN924" s="448"/>
    </row>
    <row r="925" spans="1:66" ht="11.25" customHeight="1">
      <c r="A925" s="450"/>
      <c r="B925" s="447"/>
      <c r="C925" s="447"/>
      <c r="D925" s="447"/>
      <c r="E925" s="447"/>
      <c r="F925" s="447"/>
      <c r="G925" s="447"/>
      <c r="H925" s="447"/>
      <c r="I925" s="447"/>
      <c r="J925" s="447"/>
      <c r="K925" s="447"/>
      <c r="L925" s="447"/>
      <c r="M925" s="447"/>
      <c r="N925" s="447"/>
      <c r="O925" s="447"/>
      <c r="P925" s="447"/>
      <c r="Q925" s="447"/>
      <c r="R925" s="447"/>
      <c r="S925" s="447"/>
      <c r="T925" s="447"/>
      <c r="U925" s="447"/>
      <c r="V925" s="447"/>
      <c r="W925" s="447"/>
      <c r="X925" s="447"/>
      <c r="Y925" s="447"/>
      <c r="Z925" s="447"/>
      <c r="AA925" s="447"/>
      <c r="AB925" s="447"/>
      <c r="AC925" s="447"/>
      <c r="AD925" s="447"/>
      <c r="AE925" s="447"/>
      <c r="AF925" s="448"/>
      <c r="AG925" s="448"/>
      <c r="AH925" s="449"/>
      <c r="AI925" s="447"/>
      <c r="AJ925" s="447"/>
      <c r="AK925" s="447"/>
      <c r="AL925" s="447"/>
      <c r="AM925" s="447"/>
      <c r="AN925" s="447"/>
      <c r="AO925" s="447"/>
      <c r="AP925" s="447"/>
      <c r="AQ925" s="447"/>
      <c r="AR925" s="447"/>
      <c r="AS925" s="447"/>
      <c r="AT925" s="447"/>
      <c r="AU925" s="447"/>
      <c r="AV925" s="447"/>
      <c r="AW925" s="447"/>
      <c r="AX925" s="447"/>
      <c r="AY925" s="447"/>
      <c r="AZ925" s="447"/>
      <c r="BA925" s="447"/>
      <c r="BB925" s="447"/>
      <c r="BC925" s="447"/>
      <c r="BD925" s="447"/>
      <c r="BE925" s="447"/>
      <c r="BF925" s="447"/>
      <c r="BG925" s="447"/>
      <c r="BH925" s="447"/>
      <c r="BI925" s="447"/>
      <c r="BJ925" s="447"/>
      <c r="BK925" s="447"/>
      <c r="BL925" s="447"/>
      <c r="BM925" s="448"/>
      <c r="BN925" s="448"/>
    </row>
    <row r="926" spans="1:66" ht="11.25" customHeight="1">
      <c r="A926" s="450"/>
      <c r="B926" s="447"/>
      <c r="C926" s="447"/>
      <c r="D926" s="447"/>
      <c r="E926" s="447"/>
      <c r="F926" s="447"/>
      <c r="G926" s="447"/>
      <c r="H926" s="447"/>
      <c r="I926" s="447"/>
      <c r="J926" s="447"/>
      <c r="K926" s="447"/>
      <c r="L926" s="447"/>
      <c r="M926" s="447"/>
      <c r="N926" s="447"/>
      <c r="O926" s="447"/>
      <c r="P926" s="447"/>
      <c r="Q926" s="447"/>
      <c r="R926" s="447"/>
      <c r="S926" s="447"/>
      <c r="T926" s="447"/>
      <c r="U926" s="447"/>
      <c r="V926" s="447"/>
      <c r="W926" s="447"/>
      <c r="X926" s="447"/>
      <c r="Y926" s="447"/>
      <c r="Z926" s="447"/>
      <c r="AA926" s="447"/>
      <c r="AB926" s="447"/>
      <c r="AC926" s="447"/>
      <c r="AD926" s="447"/>
      <c r="AE926" s="447"/>
      <c r="AF926" s="448"/>
      <c r="AG926" s="448"/>
      <c r="AH926" s="449"/>
      <c r="AI926" s="447"/>
      <c r="AJ926" s="447"/>
      <c r="AK926" s="447"/>
      <c r="AL926" s="447"/>
      <c r="AM926" s="447"/>
      <c r="AN926" s="447"/>
      <c r="AO926" s="447"/>
      <c r="AP926" s="447"/>
      <c r="AQ926" s="447"/>
      <c r="AR926" s="447"/>
      <c r="AS926" s="447"/>
      <c r="AT926" s="447"/>
      <c r="AU926" s="447"/>
      <c r="AV926" s="447"/>
      <c r="AW926" s="447"/>
      <c r="AX926" s="447"/>
      <c r="AY926" s="447"/>
      <c r="AZ926" s="447"/>
      <c r="BA926" s="447"/>
      <c r="BB926" s="447"/>
      <c r="BC926" s="447"/>
      <c r="BD926" s="447"/>
      <c r="BE926" s="447"/>
      <c r="BF926" s="447"/>
      <c r="BG926" s="447"/>
      <c r="BH926" s="447"/>
      <c r="BI926" s="447"/>
      <c r="BJ926" s="447"/>
      <c r="BK926" s="447"/>
      <c r="BL926" s="447"/>
      <c r="BM926" s="448"/>
      <c r="BN926" s="448"/>
    </row>
    <row r="927" spans="1:66" ht="11.25" customHeight="1">
      <c r="A927" s="450"/>
      <c r="B927" s="447"/>
      <c r="C927" s="447"/>
      <c r="D927" s="447"/>
      <c r="E927" s="447"/>
      <c r="F927" s="447"/>
      <c r="G927" s="447"/>
      <c r="H927" s="447"/>
      <c r="I927" s="447"/>
      <c r="J927" s="447"/>
      <c r="K927" s="447"/>
      <c r="L927" s="447"/>
      <c r="M927" s="447"/>
      <c r="N927" s="447"/>
      <c r="O927" s="447"/>
      <c r="P927" s="447"/>
      <c r="Q927" s="447"/>
      <c r="R927" s="447"/>
      <c r="S927" s="447"/>
      <c r="T927" s="447"/>
      <c r="U927" s="447"/>
      <c r="V927" s="447"/>
      <c r="W927" s="447"/>
      <c r="X927" s="447"/>
      <c r="Y927" s="447"/>
      <c r="Z927" s="447"/>
      <c r="AA927" s="447"/>
      <c r="AB927" s="447"/>
      <c r="AC927" s="447"/>
      <c r="AD927" s="447"/>
      <c r="AE927" s="447"/>
      <c r="AF927" s="448"/>
      <c r="AG927" s="448"/>
      <c r="AH927" s="449"/>
      <c r="AI927" s="447"/>
      <c r="AJ927" s="447"/>
      <c r="AK927" s="447"/>
      <c r="AL927" s="447"/>
      <c r="AM927" s="447"/>
      <c r="AN927" s="447"/>
      <c r="AO927" s="447"/>
      <c r="AP927" s="447"/>
      <c r="AQ927" s="447"/>
      <c r="AR927" s="447"/>
      <c r="AS927" s="447"/>
      <c r="AT927" s="447"/>
      <c r="AU927" s="447"/>
      <c r="AV927" s="447"/>
      <c r="AW927" s="447"/>
      <c r="AX927" s="447"/>
      <c r="AY927" s="447"/>
      <c r="AZ927" s="447"/>
      <c r="BA927" s="447"/>
      <c r="BB927" s="447"/>
      <c r="BC927" s="447"/>
      <c r="BD927" s="447"/>
      <c r="BE927" s="447"/>
      <c r="BF927" s="447"/>
      <c r="BG927" s="447"/>
      <c r="BH927" s="447"/>
      <c r="BI927" s="447"/>
      <c r="BJ927" s="447"/>
      <c r="BK927" s="447"/>
      <c r="BL927" s="447"/>
      <c r="BM927" s="448"/>
      <c r="BN927" s="448"/>
    </row>
    <row r="928" spans="1:66" ht="11.25" customHeight="1">
      <c r="A928" s="450"/>
      <c r="B928" s="447"/>
      <c r="C928" s="447"/>
      <c r="D928" s="447"/>
      <c r="E928" s="447"/>
      <c r="F928" s="447"/>
      <c r="G928" s="447"/>
      <c r="H928" s="447"/>
      <c r="I928" s="447"/>
      <c r="J928" s="447"/>
      <c r="K928" s="447"/>
      <c r="L928" s="447"/>
      <c r="M928" s="447"/>
      <c r="N928" s="447"/>
      <c r="O928" s="447"/>
      <c r="P928" s="447"/>
      <c r="Q928" s="447"/>
      <c r="R928" s="447"/>
      <c r="S928" s="447"/>
      <c r="T928" s="447"/>
      <c r="U928" s="447"/>
      <c r="V928" s="447"/>
      <c r="W928" s="447"/>
      <c r="X928" s="447"/>
      <c r="Y928" s="447"/>
      <c r="Z928" s="447"/>
      <c r="AA928" s="447"/>
      <c r="AB928" s="447"/>
      <c r="AC928" s="447"/>
      <c r="AD928" s="447"/>
      <c r="AE928" s="447"/>
      <c r="AF928" s="448"/>
      <c r="AG928" s="448"/>
      <c r="AH928" s="449"/>
      <c r="AI928" s="447"/>
      <c r="AJ928" s="447"/>
      <c r="AK928" s="447"/>
      <c r="AL928" s="447"/>
      <c r="AM928" s="447"/>
      <c r="AN928" s="447"/>
      <c r="AO928" s="447"/>
      <c r="AP928" s="447"/>
      <c r="AQ928" s="447"/>
      <c r="AR928" s="447"/>
      <c r="AS928" s="447"/>
      <c r="AT928" s="447"/>
      <c r="AU928" s="447"/>
      <c r="AV928" s="447"/>
      <c r="AW928" s="447"/>
      <c r="AX928" s="447"/>
      <c r="AY928" s="447"/>
      <c r="AZ928" s="447"/>
      <c r="BA928" s="447"/>
      <c r="BB928" s="447"/>
      <c r="BC928" s="447"/>
      <c r="BD928" s="447"/>
      <c r="BE928" s="447"/>
      <c r="BF928" s="447"/>
      <c r="BG928" s="447"/>
      <c r="BH928" s="447"/>
      <c r="BI928" s="447"/>
      <c r="BJ928" s="447"/>
      <c r="BK928" s="447"/>
      <c r="BL928" s="447"/>
      <c r="BM928" s="448"/>
      <c r="BN928" s="448"/>
    </row>
    <row r="929" spans="1:66" ht="11.25" customHeight="1">
      <c r="A929" s="450"/>
      <c r="B929" s="447"/>
      <c r="C929" s="447"/>
      <c r="D929" s="447"/>
      <c r="E929" s="447"/>
      <c r="F929" s="447"/>
      <c r="G929" s="447"/>
      <c r="H929" s="447"/>
      <c r="I929" s="447"/>
      <c r="J929" s="447"/>
      <c r="K929" s="447"/>
      <c r="L929" s="447"/>
      <c r="M929" s="447"/>
      <c r="N929" s="447"/>
      <c r="O929" s="447"/>
      <c r="P929" s="447"/>
      <c r="Q929" s="447"/>
      <c r="R929" s="447"/>
      <c r="S929" s="447"/>
      <c r="T929" s="447"/>
      <c r="U929" s="447"/>
      <c r="V929" s="447"/>
      <c r="W929" s="447"/>
      <c r="X929" s="447"/>
      <c r="Y929" s="447"/>
      <c r="Z929" s="447"/>
      <c r="AA929" s="447"/>
      <c r="AB929" s="447"/>
      <c r="AC929" s="447"/>
      <c r="AD929" s="447"/>
      <c r="AE929" s="447"/>
      <c r="AF929" s="448"/>
      <c r="AG929" s="448"/>
      <c r="AH929" s="449"/>
      <c r="AI929" s="447"/>
      <c r="AJ929" s="447"/>
      <c r="AK929" s="447"/>
      <c r="AL929" s="447"/>
      <c r="AM929" s="447"/>
      <c r="AN929" s="447"/>
      <c r="AO929" s="447"/>
      <c r="AP929" s="447"/>
      <c r="AQ929" s="447"/>
      <c r="AR929" s="447"/>
      <c r="AS929" s="447"/>
      <c r="AT929" s="447"/>
      <c r="AU929" s="447"/>
      <c r="AV929" s="447"/>
      <c r="AW929" s="447"/>
      <c r="AX929" s="447"/>
      <c r="AY929" s="447"/>
      <c r="AZ929" s="447"/>
      <c r="BA929" s="447"/>
      <c r="BB929" s="447"/>
      <c r="BC929" s="447"/>
      <c r="BD929" s="447"/>
      <c r="BE929" s="447"/>
      <c r="BF929" s="447"/>
      <c r="BG929" s="447"/>
      <c r="BH929" s="447"/>
      <c r="BI929" s="447"/>
      <c r="BJ929" s="447"/>
      <c r="BK929" s="447"/>
      <c r="BL929" s="447"/>
      <c r="BM929" s="448"/>
      <c r="BN929" s="448"/>
    </row>
    <row r="930" spans="1:66" ht="11.25" customHeight="1">
      <c r="A930" s="450"/>
      <c r="B930" s="447"/>
      <c r="C930" s="447"/>
      <c r="D930" s="447"/>
      <c r="E930" s="447"/>
      <c r="F930" s="447"/>
      <c r="G930" s="447"/>
      <c r="H930" s="447"/>
      <c r="I930" s="447"/>
      <c r="J930" s="447"/>
      <c r="K930" s="447"/>
      <c r="L930" s="447"/>
      <c r="M930" s="447"/>
      <c r="N930" s="447"/>
      <c r="O930" s="447"/>
      <c r="P930" s="447"/>
      <c r="Q930" s="447"/>
      <c r="R930" s="447"/>
      <c r="S930" s="447"/>
      <c r="T930" s="447"/>
      <c r="U930" s="447"/>
      <c r="V930" s="447"/>
      <c r="W930" s="447"/>
      <c r="X930" s="447"/>
      <c r="Y930" s="447"/>
      <c r="Z930" s="447"/>
      <c r="AA930" s="447"/>
      <c r="AB930" s="447"/>
      <c r="AC930" s="447"/>
      <c r="AD930" s="447"/>
      <c r="AE930" s="447"/>
      <c r="AF930" s="448"/>
      <c r="AG930" s="448"/>
      <c r="AH930" s="449"/>
      <c r="AI930" s="447"/>
      <c r="AJ930" s="447"/>
      <c r="AK930" s="447"/>
      <c r="AL930" s="447"/>
      <c r="AM930" s="447"/>
      <c r="AN930" s="447"/>
      <c r="AO930" s="447"/>
      <c r="AP930" s="447"/>
      <c r="AQ930" s="447"/>
      <c r="AR930" s="447"/>
      <c r="AS930" s="447"/>
      <c r="AT930" s="447"/>
      <c r="AU930" s="447"/>
      <c r="AV930" s="447"/>
      <c r="AW930" s="447"/>
      <c r="AX930" s="447"/>
      <c r="AY930" s="447"/>
      <c r="AZ930" s="447"/>
      <c r="BA930" s="447"/>
      <c r="BB930" s="447"/>
      <c r="BC930" s="447"/>
      <c r="BD930" s="447"/>
      <c r="BE930" s="447"/>
      <c r="BF930" s="447"/>
      <c r="BG930" s="447"/>
      <c r="BH930" s="447"/>
      <c r="BI930" s="447"/>
      <c r="BJ930" s="447"/>
      <c r="BK930" s="447"/>
      <c r="BL930" s="447"/>
      <c r="BM930" s="448"/>
      <c r="BN930" s="448"/>
    </row>
    <row r="931" spans="1:66" ht="11.25" customHeight="1">
      <c r="A931" s="450"/>
      <c r="B931" s="447"/>
      <c r="C931" s="447"/>
      <c r="D931" s="447"/>
      <c r="E931" s="447"/>
      <c r="F931" s="447"/>
      <c r="G931" s="447"/>
      <c r="H931" s="447"/>
      <c r="I931" s="447"/>
      <c r="J931" s="447"/>
      <c r="K931" s="447"/>
      <c r="L931" s="447"/>
      <c r="M931" s="447"/>
      <c r="N931" s="447"/>
      <c r="O931" s="447"/>
      <c r="P931" s="447"/>
      <c r="Q931" s="447"/>
      <c r="R931" s="447"/>
      <c r="S931" s="447"/>
      <c r="T931" s="447"/>
      <c r="U931" s="447"/>
      <c r="V931" s="447"/>
      <c r="W931" s="447"/>
      <c r="X931" s="447"/>
      <c r="Y931" s="447"/>
      <c r="Z931" s="447"/>
      <c r="AA931" s="447"/>
      <c r="AB931" s="447"/>
      <c r="AC931" s="447"/>
      <c r="AD931" s="447"/>
      <c r="AE931" s="447"/>
      <c r="AF931" s="448"/>
      <c r="AG931" s="448"/>
      <c r="AH931" s="449"/>
      <c r="AI931" s="447"/>
      <c r="AJ931" s="447"/>
      <c r="AK931" s="447"/>
      <c r="AL931" s="447"/>
      <c r="AM931" s="447"/>
      <c r="AN931" s="447"/>
      <c r="AO931" s="447"/>
      <c r="AP931" s="447"/>
      <c r="AQ931" s="447"/>
      <c r="AR931" s="447"/>
      <c r="AS931" s="447"/>
      <c r="AT931" s="447"/>
      <c r="AU931" s="447"/>
      <c r="AV931" s="447"/>
      <c r="AW931" s="447"/>
      <c r="AX931" s="447"/>
      <c r="AY931" s="447"/>
      <c r="AZ931" s="447"/>
      <c r="BA931" s="447"/>
      <c r="BB931" s="447"/>
      <c r="BC931" s="447"/>
      <c r="BD931" s="447"/>
      <c r="BE931" s="447"/>
      <c r="BF931" s="447"/>
      <c r="BG931" s="447"/>
      <c r="BH931" s="447"/>
      <c r="BI931" s="447"/>
      <c r="BJ931" s="447"/>
      <c r="BK931" s="447"/>
      <c r="BL931" s="447"/>
      <c r="BM931" s="448"/>
      <c r="BN931" s="448"/>
    </row>
    <row r="932" spans="1:66" ht="11.25" customHeight="1">
      <c r="A932" s="450"/>
      <c r="B932" s="447"/>
      <c r="C932" s="447"/>
      <c r="D932" s="447"/>
      <c r="E932" s="447"/>
      <c r="F932" s="447"/>
      <c r="G932" s="447"/>
      <c r="H932" s="447"/>
      <c r="I932" s="447"/>
      <c r="J932" s="447"/>
      <c r="K932" s="447"/>
      <c r="L932" s="447"/>
      <c r="M932" s="447"/>
      <c r="N932" s="447"/>
      <c r="O932" s="447"/>
      <c r="P932" s="447"/>
      <c r="Q932" s="447"/>
      <c r="R932" s="447"/>
      <c r="S932" s="447"/>
      <c r="T932" s="447"/>
      <c r="U932" s="447"/>
      <c r="V932" s="447"/>
      <c r="W932" s="447"/>
      <c r="X932" s="447"/>
      <c r="Y932" s="447"/>
      <c r="Z932" s="447"/>
      <c r="AA932" s="447"/>
      <c r="AB932" s="447"/>
      <c r="AC932" s="447"/>
      <c r="AD932" s="447"/>
      <c r="AE932" s="447"/>
      <c r="AF932" s="448"/>
      <c r="AG932" s="448"/>
      <c r="AH932" s="449"/>
      <c r="AI932" s="447"/>
      <c r="AJ932" s="447"/>
      <c r="AK932" s="447"/>
      <c r="AL932" s="447"/>
      <c r="AM932" s="447"/>
      <c r="AN932" s="447"/>
      <c r="AO932" s="447"/>
      <c r="AP932" s="447"/>
      <c r="AQ932" s="447"/>
      <c r="AR932" s="447"/>
      <c r="AS932" s="447"/>
      <c r="AT932" s="447"/>
      <c r="AU932" s="447"/>
      <c r="AV932" s="447"/>
      <c r="AW932" s="447"/>
      <c r="AX932" s="447"/>
      <c r="AY932" s="447"/>
      <c r="AZ932" s="447"/>
      <c r="BA932" s="447"/>
      <c r="BB932" s="447"/>
      <c r="BC932" s="447"/>
      <c r="BD932" s="447"/>
      <c r="BE932" s="447"/>
      <c r="BF932" s="447"/>
      <c r="BG932" s="447"/>
      <c r="BH932" s="447"/>
      <c r="BI932" s="447"/>
      <c r="BJ932" s="447"/>
      <c r="BK932" s="447"/>
      <c r="BL932" s="447"/>
      <c r="BM932" s="448"/>
      <c r="BN932" s="448"/>
    </row>
    <row r="933" spans="1:66" ht="11.25" customHeight="1">
      <c r="A933" s="450"/>
      <c r="B933" s="447"/>
      <c r="C933" s="447"/>
      <c r="D933" s="447"/>
      <c r="E933" s="447"/>
      <c r="F933" s="447"/>
      <c r="G933" s="447"/>
      <c r="H933" s="447"/>
      <c r="I933" s="447"/>
      <c r="J933" s="447"/>
      <c r="K933" s="447"/>
      <c r="L933" s="447"/>
      <c r="M933" s="447"/>
      <c r="N933" s="447"/>
      <c r="O933" s="447"/>
      <c r="P933" s="447"/>
      <c r="Q933" s="447"/>
      <c r="R933" s="447"/>
      <c r="S933" s="447"/>
      <c r="T933" s="447"/>
      <c r="U933" s="447"/>
      <c r="V933" s="447"/>
      <c r="W933" s="447"/>
      <c r="X933" s="447"/>
      <c r="Y933" s="447"/>
      <c r="Z933" s="447"/>
      <c r="AA933" s="447"/>
      <c r="AB933" s="447"/>
      <c r="AC933" s="447"/>
      <c r="AD933" s="447"/>
      <c r="AE933" s="447"/>
      <c r="AF933" s="448"/>
      <c r="AG933" s="448"/>
      <c r="AH933" s="449"/>
      <c r="AI933" s="447"/>
      <c r="AJ933" s="447"/>
      <c r="AK933" s="447"/>
      <c r="AL933" s="447"/>
      <c r="AM933" s="447"/>
      <c r="AN933" s="447"/>
      <c r="AO933" s="447"/>
      <c r="AP933" s="447"/>
      <c r="AQ933" s="447"/>
      <c r="AR933" s="447"/>
      <c r="AS933" s="447"/>
      <c r="AT933" s="447"/>
      <c r="AU933" s="447"/>
      <c r="AV933" s="447"/>
      <c r="AW933" s="447"/>
      <c r="AX933" s="447"/>
      <c r="AY933" s="447"/>
      <c r="AZ933" s="447"/>
      <c r="BA933" s="447"/>
      <c r="BB933" s="447"/>
      <c r="BC933" s="447"/>
      <c r="BD933" s="447"/>
      <c r="BE933" s="447"/>
      <c r="BF933" s="447"/>
      <c r="BG933" s="447"/>
      <c r="BH933" s="447"/>
      <c r="BI933" s="447"/>
      <c r="BJ933" s="447"/>
      <c r="BK933" s="447"/>
      <c r="BL933" s="447"/>
      <c r="BM933" s="448"/>
      <c r="BN933" s="448"/>
    </row>
    <row r="934" spans="1:66" ht="11.25" customHeight="1">
      <c r="A934" s="450"/>
      <c r="B934" s="447"/>
      <c r="C934" s="447"/>
      <c r="D934" s="447"/>
      <c r="E934" s="447"/>
      <c r="F934" s="447"/>
      <c r="G934" s="447"/>
      <c r="H934" s="447"/>
      <c r="I934" s="447"/>
      <c r="J934" s="447"/>
      <c r="K934" s="447"/>
      <c r="L934" s="447"/>
      <c r="M934" s="447"/>
      <c r="N934" s="447"/>
      <c r="O934" s="447"/>
      <c r="P934" s="447"/>
      <c r="Q934" s="447"/>
      <c r="R934" s="447"/>
      <c r="S934" s="447"/>
      <c r="T934" s="447"/>
      <c r="U934" s="447"/>
      <c r="V934" s="447"/>
      <c r="W934" s="447"/>
      <c r="X934" s="447"/>
      <c r="Y934" s="447"/>
      <c r="Z934" s="447"/>
      <c r="AA934" s="447"/>
      <c r="AB934" s="447"/>
      <c r="AC934" s="447"/>
      <c r="AD934" s="447"/>
      <c r="AE934" s="447"/>
      <c r="AF934" s="448"/>
      <c r="AG934" s="448"/>
      <c r="AH934" s="449"/>
      <c r="AI934" s="447"/>
      <c r="AJ934" s="447"/>
      <c r="AK934" s="447"/>
      <c r="AL934" s="447"/>
      <c r="AM934" s="447"/>
      <c r="AN934" s="447"/>
      <c r="AO934" s="447"/>
      <c r="AP934" s="447"/>
      <c r="AQ934" s="447"/>
      <c r="AR934" s="447"/>
      <c r="AS934" s="447"/>
      <c r="AT934" s="447"/>
      <c r="AU934" s="447"/>
      <c r="AV934" s="447"/>
      <c r="AW934" s="447"/>
      <c r="AX934" s="447"/>
      <c r="AY934" s="447"/>
      <c r="AZ934" s="447"/>
      <c r="BA934" s="447"/>
      <c r="BB934" s="447"/>
      <c r="BC934" s="447"/>
      <c r="BD934" s="447"/>
      <c r="BE934" s="447"/>
      <c r="BF934" s="447"/>
      <c r="BG934" s="447"/>
      <c r="BH934" s="447"/>
      <c r="BI934" s="447"/>
      <c r="BJ934" s="447"/>
      <c r="BK934" s="447"/>
      <c r="BL934" s="447"/>
      <c r="BM934" s="448"/>
      <c r="BN934" s="448"/>
    </row>
    <row r="935" spans="1:66" ht="11.25" customHeight="1">
      <c r="A935" s="450"/>
      <c r="B935" s="447"/>
      <c r="C935" s="447"/>
      <c r="D935" s="447"/>
      <c r="E935" s="447"/>
      <c r="F935" s="447"/>
      <c r="G935" s="447"/>
      <c r="H935" s="447"/>
      <c r="I935" s="447"/>
      <c r="J935" s="447"/>
      <c r="K935" s="447"/>
      <c r="L935" s="447"/>
      <c r="M935" s="447"/>
      <c r="N935" s="447"/>
      <c r="O935" s="447"/>
      <c r="P935" s="447"/>
      <c r="Q935" s="447"/>
      <c r="R935" s="447"/>
      <c r="S935" s="447"/>
      <c r="T935" s="447"/>
      <c r="U935" s="447"/>
      <c r="V935" s="447"/>
      <c r="W935" s="447"/>
      <c r="X935" s="447"/>
      <c r="Y935" s="447"/>
      <c r="Z935" s="447"/>
      <c r="AA935" s="447"/>
      <c r="AB935" s="447"/>
      <c r="AC935" s="447"/>
      <c r="AD935" s="447"/>
      <c r="AE935" s="447"/>
      <c r="AF935" s="448"/>
      <c r="AG935" s="448"/>
      <c r="AH935" s="449"/>
      <c r="AI935" s="447"/>
      <c r="AJ935" s="447"/>
      <c r="AK935" s="447"/>
      <c r="AL935" s="447"/>
      <c r="AM935" s="447"/>
      <c r="AN935" s="447"/>
      <c r="AO935" s="447"/>
      <c r="AP935" s="447"/>
      <c r="AQ935" s="447"/>
      <c r="AR935" s="447"/>
      <c r="AS935" s="447"/>
      <c r="AT935" s="447"/>
      <c r="AU935" s="447"/>
      <c r="AV935" s="447"/>
      <c r="AW935" s="447"/>
      <c r="AX935" s="447"/>
      <c r="AY935" s="447"/>
      <c r="AZ935" s="447"/>
      <c r="BA935" s="447"/>
      <c r="BB935" s="447"/>
      <c r="BC935" s="447"/>
      <c r="BD935" s="447"/>
      <c r="BE935" s="447"/>
      <c r="BF935" s="447"/>
      <c r="BG935" s="447"/>
      <c r="BH935" s="447"/>
      <c r="BI935" s="447"/>
      <c r="BJ935" s="447"/>
      <c r="BK935" s="447"/>
      <c r="BL935" s="447"/>
      <c r="BM935" s="448"/>
      <c r="BN935" s="448"/>
    </row>
    <row r="936" spans="1:66" ht="11.25" customHeight="1">
      <c r="A936" s="450"/>
      <c r="B936" s="447"/>
      <c r="C936" s="447"/>
      <c r="D936" s="447"/>
      <c r="E936" s="447"/>
      <c r="F936" s="447"/>
      <c r="G936" s="447"/>
      <c r="H936" s="447"/>
      <c r="I936" s="447"/>
      <c r="J936" s="447"/>
      <c r="K936" s="447"/>
      <c r="L936" s="447"/>
      <c r="M936" s="447"/>
      <c r="N936" s="447"/>
      <c r="O936" s="447"/>
      <c r="P936" s="447"/>
      <c r="Q936" s="447"/>
      <c r="R936" s="447"/>
      <c r="S936" s="447"/>
      <c r="T936" s="447"/>
      <c r="U936" s="447"/>
      <c r="V936" s="447"/>
      <c r="W936" s="447"/>
      <c r="X936" s="447"/>
      <c r="Y936" s="447"/>
      <c r="Z936" s="447"/>
      <c r="AA936" s="447"/>
      <c r="AB936" s="447"/>
      <c r="AC936" s="447"/>
      <c r="AD936" s="447"/>
      <c r="AE936" s="447"/>
      <c r="AF936" s="448"/>
      <c r="AG936" s="448"/>
      <c r="AH936" s="449"/>
      <c r="AI936" s="447"/>
      <c r="AJ936" s="447"/>
      <c r="AK936" s="447"/>
      <c r="AL936" s="447"/>
      <c r="AM936" s="447"/>
      <c r="AN936" s="447"/>
      <c r="AO936" s="447"/>
      <c r="AP936" s="447"/>
      <c r="AQ936" s="447"/>
      <c r="AR936" s="447"/>
      <c r="AS936" s="447"/>
      <c r="AT936" s="447"/>
      <c r="AU936" s="447"/>
      <c r="AV936" s="447"/>
      <c r="AW936" s="447"/>
      <c r="AX936" s="447"/>
      <c r="AY936" s="447"/>
      <c r="AZ936" s="447"/>
      <c r="BA936" s="447"/>
      <c r="BB936" s="447"/>
      <c r="BC936" s="447"/>
      <c r="BD936" s="447"/>
      <c r="BE936" s="447"/>
      <c r="BF936" s="447"/>
      <c r="BG936" s="447"/>
      <c r="BH936" s="447"/>
      <c r="BI936" s="447"/>
      <c r="BJ936" s="447"/>
      <c r="BK936" s="447"/>
      <c r="BL936" s="447"/>
      <c r="BM936" s="448"/>
      <c r="BN936" s="448"/>
    </row>
    <row r="937" spans="1:66" ht="11.25" customHeight="1">
      <c r="A937" s="450"/>
      <c r="B937" s="447"/>
      <c r="C937" s="447"/>
      <c r="D937" s="447"/>
      <c r="E937" s="447"/>
      <c r="F937" s="447"/>
      <c r="G937" s="447"/>
      <c r="H937" s="447"/>
      <c r="I937" s="447"/>
      <c r="J937" s="447"/>
      <c r="K937" s="447"/>
      <c r="L937" s="447"/>
      <c r="M937" s="447"/>
      <c r="N937" s="447"/>
      <c r="O937" s="447"/>
      <c r="P937" s="447"/>
      <c r="Q937" s="447"/>
      <c r="R937" s="447"/>
      <c r="S937" s="447"/>
      <c r="T937" s="447"/>
      <c r="U937" s="447"/>
      <c r="V937" s="447"/>
      <c r="W937" s="447"/>
      <c r="X937" s="447"/>
      <c r="Y937" s="447"/>
      <c r="Z937" s="447"/>
      <c r="AA937" s="447"/>
      <c r="AB937" s="447"/>
      <c r="AC937" s="447"/>
      <c r="AD937" s="447"/>
      <c r="AE937" s="447"/>
      <c r="AF937" s="448"/>
      <c r="AG937" s="448"/>
      <c r="AH937" s="449"/>
      <c r="AI937" s="447"/>
      <c r="AJ937" s="447"/>
      <c r="AK937" s="447"/>
      <c r="AL937" s="447"/>
      <c r="AM937" s="447"/>
      <c r="AN937" s="447"/>
      <c r="AO937" s="447"/>
      <c r="AP937" s="447"/>
      <c r="AQ937" s="447"/>
      <c r="AR937" s="447"/>
      <c r="AS937" s="447"/>
      <c r="AT937" s="447"/>
      <c r="AU937" s="447"/>
      <c r="AV937" s="447"/>
      <c r="AW937" s="447"/>
      <c r="AX937" s="447"/>
      <c r="AY937" s="447"/>
      <c r="AZ937" s="447"/>
      <c r="BA937" s="447"/>
      <c r="BB937" s="447"/>
      <c r="BC937" s="447"/>
      <c r="BD937" s="447"/>
      <c r="BE937" s="447"/>
      <c r="BF937" s="447"/>
      <c r="BG937" s="447"/>
      <c r="BH937" s="447"/>
      <c r="BI937" s="447"/>
      <c r="BJ937" s="447"/>
      <c r="BK937" s="447"/>
      <c r="BL937" s="447"/>
      <c r="BM937" s="448"/>
      <c r="BN937" s="448"/>
    </row>
    <row r="938" spans="1:66" ht="11.25" customHeight="1">
      <c r="A938" s="450"/>
      <c r="B938" s="447"/>
      <c r="C938" s="447"/>
      <c r="D938" s="447"/>
      <c r="E938" s="447"/>
      <c r="F938" s="447"/>
      <c r="G938" s="447"/>
      <c r="H938" s="447"/>
      <c r="I938" s="447"/>
      <c r="J938" s="447"/>
      <c r="K938" s="447"/>
      <c r="L938" s="447"/>
      <c r="M938" s="447"/>
      <c r="N938" s="447"/>
      <c r="O938" s="447"/>
      <c r="P938" s="447"/>
      <c r="Q938" s="447"/>
      <c r="R938" s="447"/>
      <c r="S938" s="447"/>
      <c r="T938" s="447"/>
      <c r="U938" s="447"/>
      <c r="V938" s="447"/>
      <c r="W938" s="447"/>
      <c r="X938" s="447"/>
      <c r="Y938" s="447"/>
      <c r="Z938" s="447"/>
      <c r="AA938" s="447"/>
      <c r="AB938" s="447"/>
      <c r="AC938" s="447"/>
      <c r="AD938" s="447"/>
      <c r="AE938" s="447"/>
      <c r="AF938" s="448"/>
      <c r="AG938" s="448"/>
      <c r="AH938" s="449"/>
      <c r="AI938" s="447"/>
      <c r="AJ938" s="447"/>
      <c r="AK938" s="447"/>
      <c r="AL938" s="447"/>
      <c r="AM938" s="447"/>
      <c r="AN938" s="447"/>
      <c r="AO938" s="447"/>
      <c r="AP938" s="447"/>
      <c r="AQ938" s="447"/>
      <c r="AR938" s="447"/>
      <c r="AS938" s="447"/>
      <c r="AT938" s="447"/>
      <c r="AU938" s="447"/>
      <c r="AV938" s="447"/>
      <c r="AW938" s="447"/>
      <c r="AX938" s="447"/>
      <c r="AY938" s="447"/>
      <c r="AZ938" s="447"/>
      <c r="BA938" s="447"/>
      <c r="BB938" s="447"/>
      <c r="BC938" s="447"/>
      <c r="BD938" s="447"/>
      <c r="BE938" s="447"/>
      <c r="BF938" s="447"/>
      <c r="BG938" s="447"/>
      <c r="BH938" s="447"/>
      <c r="BI938" s="447"/>
      <c r="BJ938" s="447"/>
      <c r="BK938" s="447"/>
      <c r="BL938" s="447"/>
      <c r="BM938" s="448"/>
      <c r="BN938" s="448"/>
    </row>
    <row r="939" spans="1:66" ht="11.25" customHeight="1">
      <c r="A939" s="450"/>
      <c r="B939" s="447"/>
      <c r="C939" s="447"/>
      <c r="D939" s="447"/>
      <c r="E939" s="447"/>
      <c r="F939" s="447"/>
      <c r="G939" s="447"/>
      <c r="H939" s="447"/>
      <c r="I939" s="447"/>
      <c r="J939" s="447"/>
      <c r="K939" s="447"/>
      <c r="L939" s="447"/>
      <c r="M939" s="447"/>
      <c r="N939" s="447"/>
      <c r="O939" s="447"/>
      <c r="P939" s="447"/>
      <c r="Q939" s="447"/>
      <c r="R939" s="447"/>
      <c r="S939" s="447"/>
      <c r="T939" s="447"/>
      <c r="U939" s="447"/>
      <c r="V939" s="447"/>
      <c r="W939" s="447"/>
      <c r="X939" s="447"/>
      <c r="Y939" s="447"/>
      <c r="Z939" s="447"/>
      <c r="AA939" s="447"/>
      <c r="AB939" s="447"/>
      <c r="AC939" s="447"/>
      <c r="AD939" s="447"/>
      <c r="AE939" s="447"/>
      <c r="AF939" s="448"/>
      <c r="AG939" s="448"/>
      <c r="AH939" s="449"/>
      <c r="AI939" s="447"/>
      <c r="AJ939" s="447"/>
      <c r="AK939" s="447"/>
      <c r="AL939" s="447"/>
      <c r="AM939" s="447"/>
      <c r="AN939" s="447"/>
      <c r="AO939" s="447"/>
      <c r="AP939" s="447"/>
      <c r="AQ939" s="447"/>
      <c r="AR939" s="447"/>
      <c r="AS939" s="447"/>
      <c r="AT939" s="447"/>
      <c r="AU939" s="447"/>
      <c r="AV939" s="447"/>
      <c r="AW939" s="447"/>
      <c r="AX939" s="447"/>
      <c r="AY939" s="447"/>
      <c r="AZ939" s="447"/>
      <c r="BA939" s="447"/>
      <c r="BB939" s="447"/>
      <c r="BC939" s="447"/>
      <c r="BD939" s="447"/>
      <c r="BE939" s="447"/>
      <c r="BF939" s="447"/>
      <c r="BG939" s="447"/>
      <c r="BH939" s="447"/>
      <c r="BI939" s="447"/>
      <c r="BJ939" s="447"/>
      <c r="BK939" s="447"/>
      <c r="BL939" s="447"/>
      <c r="BM939" s="448"/>
      <c r="BN939" s="448"/>
    </row>
    <row r="940" spans="1:66" ht="11.25" customHeight="1">
      <c r="A940" s="450"/>
      <c r="B940" s="447"/>
      <c r="C940" s="447"/>
      <c r="D940" s="447"/>
      <c r="E940" s="447"/>
      <c r="F940" s="447"/>
      <c r="G940" s="447"/>
      <c r="H940" s="447"/>
      <c r="I940" s="447"/>
      <c r="J940" s="447"/>
      <c r="K940" s="447"/>
      <c r="L940" s="447"/>
      <c r="M940" s="447"/>
      <c r="N940" s="447"/>
      <c r="O940" s="447"/>
      <c r="P940" s="447"/>
      <c r="Q940" s="447"/>
      <c r="R940" s="447"/>
      <c r="S940" s="447"/>
      <c r="T940" s="447"/>
      <c r="U940" s="447"/>
      <c r="V940" s="447"/>
      <c r="W940" s="447"/>
      <c r="X940" s="447"/>
      <c r="Y940" s="447"/>
      <c r="Z940" s="447"/>
      <c r="AA940" s="447"/>
      <c r="AB940" s="447"/>
      <c r="AC940" s="447"/>
      <c r="AD940" s="447"/>
      <c r="AE940" s="447"/>
      <c r="AF940" s="448"/>
      <c r="AG940" s="448"/>
      <c r="AH940" s="449"/>
      <c r="AI940" s="447"/>
      <c r="AJ940" s="447"/>
      <c r="AK940" s="447"/>
      <c r="AL940" s="447"/>
      <c r="AM940" s="447"/>
      <c r="AN940" s="447"/>
      <c r="AO940" s="447"/>
      <c r="AP940" s="447"/>
      <c r="AQ940" s="447"/>
      <c r="AR940" s="447"/>
      <c r="AS940" s="447"/>
      <c r="AT940" s="447"/>
      <c r="AU940" s="447"/>
      <c r="AV940" s="447"/>
      <c r="AW940" s="447"/>
      <c r="AX940" s="447"/>
      <c r="AY940" s="447"/>
      <c r="AZ940" s="447"/>
      <c r="BA940" s="447"/>
      <c r="BB940" s="447"/>
      <c r="BC940" s="447"/>
      <c r="BD940" s="447"/>
      <c r="BE940" s="447"/>
      <c r="BF940" s="447"/>
      <c r="BG940" s="447"/>
      <c r="BH940" s="447"/>
      <c r="BI940" s="447"/>
      <c r="BJ940" s="447"/>
      <c r="BK940" s="447"/>
      <c r="BL940" s="447"/>
      <c r="BM940" s="448"/>
      <c r="BN940" s="448"/>
    </row>
    <row r="941" spans="1:66" ht="11.25" customHeight="1">
      <c r="A941" s="450"/>
      <c r="B941" s="447"/>
      <c r="C941" s="447"/>
      <c r="D941" s="447"/>
      <c r="E941" s="447"/>
      <c r="F941" s="447"/>
      <c r="G941" s="447"/>
      <c r="H941" s="447"/>
      <c r="I941" s="447"/>
      <c r="J941" s="447"/>
      <c r="K941" s="447"/>
      <c r="L941" s="447"/>
      <c r="M941" s="447"/>
      <c r="N941" s="447"/>
      <c r="O941" s="447"/>
      <c r="P941" s="447"/>
      <c r="Q941" s="447"/>
      <c r="R941" s="447"/>
      <c r="S941" s="447"/>
      <c r="T941" s="447"/>
      <c r="U941" s="447"/>
      <c r="V941" s="447"/>
      <c r="W941" s="447"/>
      <c r="X941" s="447"/>
      <c r="Y941" s="447"/>
      <c r="Z941" s="447"/>
      <c r="AA941" s="447"/>
      <c r="AB941" s="447"/>
      <c r="AC941" s="447"/>
      <c r="AD941" s="447"/>
      <c r="AE941" s="447"/>
      <c r="AF941" s="448"/>
      <c r="AG941" s="448"/>
      <c r="AH941" s="449"/>
      <c r="AI941" s="447"/>
      <c r="AJ941" s="447"/>
      <c r="AK941" s="447"/>
      <c r="AL941" s="447"/>
      <c r="AM941" s="447"/>
      <c r="AN941" s="447"/>
      <c r="AO941" s="447"/>
      <c r="AP941" s="447"/>
      <c r="AQ941" s="447"/>
      <c r="AR941" s="447"/>
      <c r="AS941" s="447"/>
      <c r="AT941" s="447"/>
      <c r="AU941" s="447"/>
      <c r="AV941" s="447"/>
      <c r="AW941" s="447"/>
      <c r="AX941" s="447"/>
      <c r="AY941" s="447"/>
      <c r="AZ941" s="447"/>
      <c r="BA941" s="447"/>
      <c r="BB941" s="447"/>
      <c r="BC941" s="447"/>
      <c r="BD941" s="447"/>
      <c r="BE941" s="447"/>
      <c r="BF941" s="447"/>
      <c r="BG941" s="447"/>
      <c r="BH941" s="447"/>
      <c r="BI941" s="447"/>
      <c r="BJ941" s="447"/>
      <c r="BK941" s="447"/>
      <c r="BL941" s="447"/>
      <c r="BM941" s="448"/>
      <c r="BN941" s="448"/>
    </row>
    <row r="942" spans="1:66" ht="11.25" customHeight="1">
      <c r="A942" s="450"/>
      <c r="B942" s="447"/>
      <c r="C942" s="447"/>
      <c r="D942" s="447"/>
      <c r="E942" s="447"/>
      <c r="F942" s="447"/>
      <c r="G942" s="447"/>
      <c r="H942" s="447"/>
      <c r="I942" s="447"/>
      <c r="J942" s="447"/>
      <c r="K942" s="447"/>
      <c r="L942" s="447"/>
      <c r="M942" s="447"/>
      <c r="N942" s="447"/>
      <c r="O942" s="447"/>
      <c r="P942" s="447"/>
      <c r="Q942" s="447"/>
      <c r="R942" s="447"/>
      <c r="S942" s="447"/>
      <c r="T942" s="447"/>
      <c r="U942" s="447"/>
      <c r="V942" s="447"/>
      <c r="W942" s="447"/>
      <c r="X942" s="447"/>
      <c r="Y942" s="447"/>
      <c r="Z942" s="447"/>
      <c r="AA942" s="447"/>
      <c r="AB942" s="447"/>
      <c r="AC942" s="447"/>
      <c r="AD942" s="447"/>
      <c r="AE942" s="447"/>
      <c r="AF942" s="448"/>
      <c r="AG942" s="448"/>
      <c r="AH942" s="449"/>
      <c r="AI942" s="447"/>
      <c r="AJ942" s="447"/>
      <c r="AK942" s="447"/>
      <c r="AL942" s="447"/>
      <c r="AM942" s="447"/>
      <c r="AN942" s="447"/>
      <c r="AO942" s="447"/>
      <c r="AP942" s="447"/>
      <c r="AQ942" s="447"/>
      <c r="AR942" s="447"/>
      <c r="AS942" s="447"/>
      <c r="AT942" s="447"/>
      <c r="AU942" s="447"/>
      <c r="AV942" s="447"/>
      <c r="AW942" s="447"/>
      <c r="AX942" s="447"/>
      <c r="AY942" s="447"/>
      <c r="AZ942" s="447"/>
      <c r="BA942" s="447"/>
      <c r="BB942" s="447"/>
      <c r="BC942" s="447"/>
      <c r="BD942" s="447"/>
      <c r="BE942" s="447"/>
      <c r="BF942" s="447"/>
      <c r="BG942" s="447"/>
      <c r="BH942" s="447"/>
      <c r="BI942" s="447"/>
      <c r="BJ942" s="447"/>
      <c r="BK942" s="447"/>
      <c r="BL942" s="447"/>
      <c r="BM942" s="448"/>
      <c r="BN942" s="448"/>
    </row>
    <row r="943" spans="1:66" ht="11.25" customHeight="1">
      <c r="A943" s="450"/>
      <c r="B943" s="447"/>
      <c r="C943" s="447"/>
      <c r="D943" s="447"/>
      <c r="E943" s="447"/>
      <c r="F943" s="447"/>
      <c r="G943" s="447"/>
      <c r="H943" s="447"/>
      <c r="I943" s="447"/>
      <c r="J943" s="447"/>
      <c r="K943" s="447"/>
      <c r="L943" s="447"/>
      <c r="M943" s="447"/>
      <c r="N943" s="447"/>
      <c r="O943" s="447"/>
      <c r="P943" s="447"/>
      <c r="Q943" s="447"/>
      <c r="R943" s="447"/>
      <c r="S943" s="447"/>
      <c r="T943" s="447"/>
      <c r="U943" s="447"/>
      <c r="V943" s="447"/>
      <c r="W943" s="447"/>
      <c r="X943" s="447"/>
      <c r="Y943" s="447"/>
      <c r="Z943" s="447"/>
      <c r="AA943" s="447"/>
      <c r="AB943" s="447"/>
      <c r="AC943" s="447"/>
      <c r="AD943" s="447"/>
      <c r="AE943" s="447"/>
      <c r="AF943" s="448"/>
      <c r="AG943" s="448"/>
      <c r="AH943" s="449"/>
      <c r="AI943" s="447"/>
      <c r="AJ943" s="447"/>
      <c r="AK943" s="447"/>
      <c r="AL943" s="447"/>
      <c r="AM943" s="447"/>
      <c r="AN943" s="447"/>
      <c r="AO943" s="447"/>
      <c r="AP943" s="447"/>
      <c r="AQ943" s="447"/>
      <c r="AR943" s="447"/>
      <c r="AS943" s="447"/>
      <c r="AT943" s="447"/>
      <c r="AU943" s="447"/>
      <c r="AV943" s="447"/>
      <c r="AW943" s="447"/>
      <c r="AX943" s="447"/>
      <c r="AY943" s="447"/>
      <c r="AZ943" s="447"/>
      <c r="BA943" s="447"/>
      <c r="BB943" s="447"/>
      <c r="BC943" s="447"/>
      <c r="BD943" s="447"/>
      <c r="BE943" s="447"/>
      <c r="BF943" s="447"/>
      <c r="BG943" s="447"/>
      <c r="BH943" s="447"/>
      <c r="BI943" s="447"/>
      <c r="BJ943" s="447"/>
      <c r="BK943" s="447"/>
      <c r="BL943" s="447"/>
      <c r="BM943" s="448"/>
      <c r="BN943" s="448"/>
    </row>
    <row r="944" spans="1:66" ht="11.25" customHeight="1">
      <c r="A944" s="450"/>
      <c r="B944" s="447"/>
      <c r="C944" s="447"/>
      <c r="D944" s="447"/>
      <c r="E944" s="447"/>
      <c r="F944" s="447"/>
      <c r="G944" s="447"/>
      <c r="H944" s="447"/>
      <c r="I944" s="447"/>
      <c r="J944" s="447"/>
      <c r="K944" s="447"/>
      <c r="L944" s="447"/>
      <c r="M944" s="447"/>
      <c r="N944" s="447"/>
      <c r="O944" s="447"/>
      <c r="P944" s="447"/>
      <c r="Q944" s="447"/>
      <c r="R944" s="447"/>
      <c r="S944" s="447"/>
      <c r="T944" s="447"/>
      <c r="U944" s="447"/>
      <c r="V944" s="447"/>
      <c r="W944" s="447"/>
      <c r="X944" s="447"/>
      <c r="Y944" s="447"/>
      <c r="Z944" s="447"/>
      <c r="AA944" s="447"/>
      <c r="AB944" s="447"/>
      <c r="AC944" s="447"/>
      <c r="AD944" s="447"/>
      <c r="AE944" s="447"/>
      <c r="AF944" s="448"/>
      <c r="AG944" s="448"/>
      <c r="AH944" s="449"/>
      <c r="AI944" s="447"/>
      <c r="AJ944" s="447"/>
      <c r="AK944" s="447"/>
      <c r="AL944" s="447"/>
      <c r="AM944" s="447"/>
      <c r="AN944" s="447"/>
      <c r="AO944" s="447"/>
      <c r="AP944" s="447"/>
      <c r="AQ944" s="447"/>
      <c r="AR944" s="447"/>
      <c r="AS944" s="447"/>
      <c r="AT944" s="447"/>
      <c r="AU944" s="447"/>
      <c r="AV944" s="447"/>
      <c r="AW944" s="447"/>
      <c r="AX944" s="447"/>
      <c r="AY944" s="447"/>
      <c r="AZ944" s="447"/>
      <c r="BA944" s="447"/>
      <c r="BB944" s="447"/>
      <c r="BC944" s="447"/>
      <c r="BD944" s="447"/>
      <c r="BE944" s="447"/>
      <c r="BF944" s="447"/>
      <c r="BG944" s="447"/>
      <c r="BH944" s="447"/>
      <c r="BI944" s="447"/>
      <c r="BJ944" s="447"/>
      <c r="BK944" s="447"/>
      <c r="BL944" s="447"/>
      <c r="BM944" s="448"/>
      <c r="BN944" s="448"/>
    </row>
    <row r="945" spans="1:66" ht="11.25" customHeight="1">
      <c r="A945" s="450"/>
      <c r="B945" s="447"/>
      <c r="C945" s="447"/>
      <c r="D945" s="447"/>
      <c r="E945" s="447"/>
      <c r="F945" s="447"/>
      <c r="G945" s="447"/>
      <c r="H945" s="447"/>
      <c r="I945" s="447"/>
      <c r="J945" s="447"/>
      <c r="K945" s="447"/>
      <c r="L945" s="447"/>
      <c r="M945" s="447"/>
      <c r="N945" s="447"/>
      <c r="O945" s="447"/>
      <c r="P945" s="447"/>
      <c r="Q945" s="447"/>
      <c r="R945" s="447"/>
      <c r="S945" s="447"/>
      <c r="T945" s="447"/>
      <c r="U945" s="447"/>
      <c r="V945" s="447"/>
      <c r="W945" s="447"/>
      <c r="X945" s="447"/>
      <c r="Y945" s="447"/>
      <c r="Z945" s="447"/>
      <c r="AA945" s="447"/>
      <c r="AB945" s="447"/>
      <c r="AC945" s="447"/>
      <c r="AD945" s="447"/>
      <c r="AE945" s="447"/>
      <c r="AF945" s="448"/>
      <c r="AG945" s="448"/>
      <c r="AH945" s="449"/>
      <c r="AI945" s="447"/>
      <c r="AJ945" s="447"/>
      <c r="AK945" s="447"/>
      <c r="AL945" s="447"/>
      <c r="AM945" s="447"/>
      <c r="AN945" s="447"/>
      <c r="AO945" s="447"/>
      <c r="AP945" s="447"/>
      <c r="AQ945" s="447"/>
      <c r="AR945" s="447"/>
      <c r="AS945" s="447"/>
      <c r="AT945" s="447"/>
      <c r="AU945" s="447"/>
      <c r="AV945" s="447"/>
      <c r="AW945" s="447"/>
      <c r="AX945" s="447"/>
      <c r="AY945" s="447"/>
      <c r="AZ945" s="447"/>
      <c r="BA945" s="447"/>
      <c r="BB945" s="447"/>
      <c r="BC945" s="447"/>
      <c r="BD945" s="447"/>
      <c r="BE945" s="447"/>
      <c r="BF945" s="447"/>
      <c r="BG945" s="447"/>
      <c r="BH945" s="447"/>
      <c r="BI945" s="447"/>
      <c r="BJ945" s="447"/>
      <c r="BK945" s="447"/>
      <c r="BL945" s="447"/>
      <c r="BM945" s="448"/>
      <c r="BN945" s="448"/>
    </row>
    <row r="946" spans="1:66" ht="11.25" customHeight="1">
      <c r="A946" s="450"/>
      <c r="B946" s="447"/>
      <c r="C946" s="447"/>
      <c r="D946" s="447"/>
      <c r="E946" s="447"/>
      <c r="F946" s="447"/>
      <c r="G946" s="447"/>
      <c r="H946" s="447"/>
      <c r="I946" s="447"/>
      <c r="J946" s="447"/>
      <c r="K946" s="447"/>
      <c r="L946" s="447"/>
      <c r="M946" s="447"/>
      <c r="N946" s="447"/>
      <c r="O946" s="447"/>
      <c r="P946" s="447"/>
      <c r="Q946" s="447"/>
      <c r="R946" s="447"/>
      <c r="S946" s="447"/>
      <c r="T946" s="447"/>
      <c r="U946" s="447"/>
      <c r="V946" s="447"/>
      <c r="W946" s="447"/>
      <c r="X946" s="447"/>
      <c r="Y946" s="447"/>
      <c r="Z946" s="447"/>
      <c r="AA946" s="447"/>
      <c r="AB946" s="447"/>
      <c r="AC946" s="447"/>
      <c r="AD946" s="447"/>
      <c r="AE946" s="447"/>
      <c r="AF946" s="448"/>
      <c r="AG946" s="448"/>
      <c r="AH946" s="449"/>
      <c r="AI946" s="447"/>
      <c r="AJ946" s="447"/>
      <c r="AK946" s="447"/>
      <c r="AL946" s="447"/>
      <c r="AM946" s="447"/>
      <c r="AN946" s="447"/>
      <c r="AO946" s="447"/>
      <c r="AP946" s="447"/>
      <c r="AQ946" s="447"/>
      <c r="AR946" s="447"/>
      <c r="AS946" s="447"/>
      <c r="AT946" s="447"/>
      <c r="AU946" s="447"/>
      <c r="AV946" s="447"/>
      <c r="AW946" s="447"/>
      <c r="AX946" s="447"/>
      <c r="AY946" s="447"/>
      <c r="AZ946" s="447"/>
      <c r="BA946" s="447"/>
      <c r="BB946" s="447"/>
      <c r="BC946" s="447"/>
      <c r="BD946" s="447"/>
      <c r="BE946" s="447"/>
      <c r="BF946" s="447"/>
      <c r="BG946" s="447"/>
      <c r="BH946" s="447"/>
      <c r="BI946" s="447"/>
      <c r="BJ946" s="447"/>
      <c r="BK946" s="447"/>
      <c r="BL946" s="447"/>
      <c r="BM946" s="448"/>
      <c r="BN946" s="448"/>
    </row>
    <row r="947" spans="1:66" ht="11.25" customHeight="1">
      <c r="A947" s="450"/>
      <c r="B947" s="447"/>
      <c r="C947" s="447"/>
      <c r="D947" s="447"/>
      <c r="E947" s="447"/>
      <c r="F947" s="447"/>
      <c r="G947" s="447"/>
      <c r="H947" s="447"/>
      <c r="I947" s="447"/>
      <c r="J947" s="447"/>
      <c r="K947" s="447"/>
      <c r="L947" s="447"/>
      <c r="M947" s="447"/>
      <c r="N947" s="447"/>
      <c r="O947" s="447"/>
      <c r="P947" s="447"/>
      <c r="Q947" s="447"/>
      <c r="R947" s="447"/>
      <c r="S947" s="447"/>
      <c r="T947" s="447"/>
      <c r="U947" s="447"/>
      <c r="V947" s="447"/>
      <c r="W947" s="447"/>
      <c r="X947" s="447"/>
      <c r="Y947" s="447"/>
      <c r="Z947" s="447"/>
      <c r="AA947" s="447"/>
      <c r="AB947" s="447"/>
      <c r="AC947" s="447"/>
      <c r="AD947" s="447"/>
      <c r="AE947" s="447"/>
      <c r="AF947" s="448"/>
      <c r="AG947" s="448"/>
      <c r="AH947" s="449"/>
      <c r="AI947" s="447"/>
      <c r="AJ947" s="447"/>
      <c r="AK947" s="447"/>
      <c r="AL947" s="447"/>
      <c r="AM947" s="447"/>
      <c r="AN947" s="447"/>
      <c r="AO947" s="447"/>
      <c r="AP947" s="447"/>
      <c r="AQ947" s="447"/>
      <c r="AR947" s="447"/>
      <c r="AS947" s="447"/>
      <c r="AT947" s="447"/>
      <c r="AU947" s="447"/>
      <c r="AV947" s="447"/>
      <c r="AW947" s="447"/>
      <c r="AX947" s="447"/>
      <c r="AY947" s="447"/>
      <c r="AZ947" s="447"/>
      <c r="BA947" s="447"/>
      <c r="BB947" s="447"/>
      <c r="BC947" s="447"/>
      <c r="BD947" s="447"/>
      <c r="BE947" s="447"/>
      <c r="BF947" s="447"/>
      <c r="BG947" s="447"/>
      <c r="BH947" s="447"/>
      <c r="BI947" s="447"/>
      <c r="BJ947" s="447"/>
      <c r="BK947" s="447"/>
      <c r="BL947" s="447"/>
      <c r="BM947" s="448"/>
      <c r="BN947" s="448"/>
    </row>
    <row r="948" spans="1:66" ht="11.25" customHeight="1">
      <c r="A948" s="450"/>
      <c r="B948" s="447"/>
      <c r="C948" s="447"/>
      <c r="D948" s="447"/>
      <c r="E948" s="447"/>
      <c r="F948" s="447"/>
      <c r="G948" s="447"/>
      <c r="H948" s="447"/>
      <c r="I948" s="447"/>
      <c r="J948" s="447"/>
      <c r="K948" s="447"/>
      <c r="L948" s="447"/>
      <c r="M948" s="447"/>
      <c r="N948" s="447"/>
      <c r="O948" s="447"/>
      <c r="P948" s="447"/>
      <c r="Q948" s="447"/>
      <c r="R948" s="447"/>
      <c r="S948" s="447"/>
      <c r="T948" s="447"/>
      <c r="U948" s="447"/>
      <c r="V948" s="447"/>
      <c r="W948" s="447"/>
      <c r="X948" s="447"/>
      <c r="Y948" s="447"/>
      <c r="Z948" s="447"/>
      <c r="AA948" s="447"/>
      <c r="AB948" s="447"/>
      <c r="AC948" s="447"/>
      <c r="AD948" s="447"/>
      <c r="AE948" s="447"/>
      <c r="AF948" s="448"/>
      <c r="AG948" s="448"/>
      <c r="AH948" s="449"/>
      <c r="AI948" s="447"/>
      <c r="AJ948" s="447"/>
      <c r="AK948" s="447"/>
      <c r="AL948" s="447"/>
      <c r="AM948" s="447"/>
      <c r="AN948" s="447"/>
      <c r="AO948" s="447"/>
      <c r="AP948" s="447"/>
      <c r="AQ948" s="447"/>
      <c r="AR948" s="447"/>
      <c r="AS948" s="447"/>
      <c r="AT948" s="447"/>
      <c r="AU948" s="447"/>
      <c r="AV948" s="447"/>
      <c r="AW948" s="447"/>
      <c r="AX948" s="447"/>
      <c r="AY948" s="447"/>
      <c r="AZ948" s="447"/>
      <c r="BA948" s="447"/>
      <c r="BB948" s="447"/>
      <c r="BC948" s="447"/>
      <c r="BD948" s="447"/>
      <c r="BE948" s="447"/>
      <c r="BF948" s="447"/>
      <c r="BG948" s="447"/>
      <c r="BH948" s="447"/>
      <c r="BI948" s="447"/>
      <c r="BJ948" s="447"/>
      <c r="BK948" s="447"/>
      <c r="BL948" s="447"/>
      <c r="BM948" s="448"/>
      <c r="BN948" s="448"/>
    </row>
    <row r="949" spans="1:66" ht="11.25" customHeight="1">
      <c r="A949" s="450"/>
      <c r="B949" s="447"/>
      <c r="C949" s="447"/>
      <c r="D949" s="447"/>
      <c r="E949" s="447"/>
      <c r="F949" s="447"/>
      <c r="G949" s="447"/>
      <c r="H949" s="447"/>
      <c r="I949" s="447"/>
      <c r="J949" s="447"/>
      <c r="K949" s="447"/>
      <c r="L949" s="447"/>
      <c r="M949" s="447"/>
      <c r="N949" s="447"/>
      <c r="O949" s="447"/>
      <c r="P949" s="447"/>
      <c r="Q949" s="447"/>
      <c r="R949" s="447"/>
      <c r="S949" s="447"/>
      <c r="T949" s="447"/>
      <c r="U949" s="447"/>
      <c r="V949" s="447"/>
      <c r="W949" s="447"/>
      <c r="X949" s="447"/>
      <c r="Y949" s="447"/>
      <c r="Z949" s="447"/>
      <c r="AA949" s="447"/>
      <c r="AB949" s="447"/>
      <c r="AC949" s="447"/>
      <c r="AD949" s="447"/>
      <c r="AE949" s="447"/>
      <c r="AF949" s="448"/>
      <c r="AG949" s="448"/>
      <c r="AH949" s="449"/>
      <c r="AI949" s="447"/>
      <c r="AJ949" s="447"/>
      <c r="AK949" s="447"/>
      <c r="AL949" s="447"/>
      <c r="AM949" s="447"/>
      <c r="AN949" s="447"/>
      <c r="AO949" s="447"/>
      <c r="AP949" s="447"/>
      <c r="AQ949" s="447"/>
      <c r="AR949" s="447"/>
      <c r="AS949" s="447"/>
      <c r="AT949" s="447"/>
      <c r="AU949" s="447"/>
      <c r="AV949" s="447"/>
      <c r="AW949" s="447"/>
      <c r="AX949" s="447"/>
      <c r="AY949" s="447"/>
      <c r="AZ949" s="447"/>
      <c r="BA949" s="447"/>
      <c r="BB949" s="447"/>
      <c r="BC949" s="447"/>
      <c r="BD949" s="447"/>
      <c r="BE949" s="447"/>
      <c r="BF949" s="447"/>
      <c r="BG949" s="447"/>
      <c r="BH949" s="447"/>
      <c r="BI949" s="447"/>
      <c r="BJ949" s="447"/>
      <c r="BK949" s="447"/>
      <c r="BL949" s="447"/>
      <c r="BM949" s="448"/>
      <c r="BN949" s="448"/>
    </row>
    <row r="950" spans="1:66" ht="11.25" customHeight="1">
      <c r="A950" s="450"/>
      <c r="B950" s="447"/>
      <c r="C950" s="447"/>
      <c r="D950" s="447"/>
      <c r="E950" s="447"/>
      <c r="F950" s="447"/>
      <c r="G950" s="447"/>
      <c r="H950" s="447"/>
      <c r="I950" s="447"/>
      <c r="J950" s="447"/>
      <c r="K950" s="447"/>
      <c r="L950" s="447"/>
      <c r="M950" s="447"/>
      <c r="N950" s="447"/>
      <c r="O950" s="447"/>
      <c r="P950" s="447"/>
      <c r="Q950" s="447"/>
      <c r="R950" s="447"/>
      <c r="S950" s="447"/>
      <c r="T950" s="447"/>
      <c r="U950" s="447"/>
      <c r="V950" s="447"/>
      <c r="W950" s="447"/>
      <c r="X950" s="447"/>
      <c r="Y950" s="447"/>
      <c r="Z950" s="447"/>
      <c r="AA950" s="447"/>
      <c r="AB950" s="447"/>
      <c r="AC950" s="447"/>
      <c r="AD950" s="447"/>
      <c r="AE950" s="447"/>
      <c r="AF950" s="448"/>
      <c r="AG950" s="448"/>
      <c r="AH950" s="449"/>
      <c r="AI950" s="447"/>
      <c r="AJ950" s="447"/>
      <c r="AK950" s="447"/>
      <c r="AL950" s="447"/>
      <c r="AM950" s="447"/>
      <c r="AN950" s="447"/>
      <c r="AO950" s="447"/>
      <c r="AP950" s="447"/>
      <c r="AQ950" s="447"/>
      <c r="AR950" s="447"/>
      <c r="AS950" s="447"/>
      <c r="AT950" s="447"/>
      <c r="AU950" s="447"/>
      <c r="AV950" s="447"/>
      <c r="AW950" s="447"/>
      <c r="AX950" s="447"/>
      <c r="AY950" s="447"/>
      <c r="AZ950" s="447"/>
      <c r="BA950" s="447"/>
      <c r="BB950" s="447"/>
      <c r="BC950" s="447"/>
      <c r="BD950" s="447"/>
      <c r="BE950" s="447"/>
      <c r="BF950" s="447"/>
      <c r="BG950" s="447"/>
      <c r="BH950" s="447"/>
      <c r="BI950" s="447"/>
      <c r="BJ950" s="447"/>
      <c r="BK950" s="447"/>
      <c r="BL950" s="447"/>
      <c r="BM950" s="448"/>
      <c r="BN950" s="448"/>
    </row>
    <row r="951" spans="1:66" ht="11.25" customHeight="1">
      <c r="A951" s="450"/>
      <c r="B951" s="447"/>
      <c r="C951" s="447"/>
      <c r="D951" s="447"/>
      <c r="E951" s="447"/>
      <c r="F951" s="447"/>
      <c r="G951" s="447"/>
      <c r="H951" s="447"/>
      <c r="I951" s="447"/>
      <c r="J951" s="447"/>
      <c r="K951" s="447"/>
      <c r="L951" s="447"/>
      <c r="M951" s="447"/>
      <c r="N951" s="447"/>
      <c r="O951" s="447"/>
      <c r="P951" s="447"/>
      <c r="Q951" s="447"/>
      <c r="R951" s="447"/>
      <c r="S951" s="447"/>
      <c r="T951" s="447"/>
      <c r="U951" s="447"/>
      <c r="V951" s="447"/>
      <c r="W951" s="447"/>
      <c r="X951" s="447"/>
      <c r="Y951" s="447"/>
      <c r="Z951" s="447"/>
      <c r="AA951" s="447"/>
      <c r="AB951" s="447"/>
      <c r="AC951" s="447"/>
      <c r="AD951" s="447"/>
      <c r="AE951" s="447"/>
      <c r="AF951" s="448"/>
      <c r="AG951" s="448"/>
      <c r="AH951" s="449"/>
      <c r="AI951" s="447"/>
      <c r="AJ951" s="447"/>
      <c r="AK951" s="447"/>
      <c r="AL951" s="447"/>
      <c r="AM951" s="447"/>
      <c r="AN951" s="447"/>
      <c r="AO951" s="447"/>
      <c r="AP951" s="447"/>
      <c r="AQ951" s="447"/>
      <c r="AR951" s="447"/>
      <c r="AS951" s="447"/>
      <c r="AT951" s="447"/>
      <c r="AU951" s="447"/>
      <c r="AV951" s="447"/>
      <c r="AW951" s="447"/>
      <c r="AX951" s="447"/>
      <c r="AY951" s="447"/>
      <c r="AZ951" s="447"/>
      <c r="BA951" s="447"/>
      <c r="BB951" s="447"/>
      <c r="BC951" s="447"/>
      <c r="BD951" s="447"/>
      <c r="BE951" s="447"/>
      <c r="BF951" s="447"/>
      <c r="BG951" s="447"/>
      <c r="BH951" s="447"/>
      <c r="BI951" s="447"/>
      <c r="BJ951" s="447"/>
      <c r="BK951" s="447"/>
      <c r="BL951" s="447"/>
      <c r="BM951" s="448"/>
      <c r="BN951" s="448"/>
    </row>
    <row r="952" spans="1:66" ht="11.25" customHeight="1">
      <c r="A952" s="450"/>
      <c r="B952" s="447"/>
      <c r="C952" s="447"/>
      <c r="D952" s="447"/>
      <c r="E952" s="447"/>
      <c r="F952" s="447"/>
      <c r="G952" s="447"/>
      <c r="H952" s="447"/>
      <c r="I952" s="447"/>
      <c r="J952" s="447"/>
      <c r="K952" s="447"/>
      <c r="L952" s="447"/>
      <c r="M952" s="447"/>
      <c r="N952" s="447"/>
      <c r="O952" s="447"/>
      <c r="P952" s="447"/>
      <c r="Q952" s="447"/>
      <c r="R952" s="447"/>
      <c r="S952" s="447"/>
      <c r="T952" s="447"/>
      <c r="U952" s="447"/>
      <c r="V952" s="447"/>
      <c r="W952" s="447"/>
      <c r="X952" s="447"/>
      <c r="Y952" s="447"/>
      <c r="Z952" s="447"/>
      <c r="AA952" s="447"/>
      <c r="AB952" s="447"/>
      <c r="AC952" s="447"/>
      <c r="AD952" s="447"/>
      <c r="AE952" s="447"/>
      <c r="AF952" s="448"/>
      <c r="AG952" s="448"/>
      <c r="AH952" s="449"/>
      <c r="AI952" s="447"/>
      <c r="AJ952" s="447"/>
      <c r="AK952" s="447"/>
      <c r="AL952" s="447"/>
      <c r="AM952" s="447"/>
      <c r="AN952" s="447"/>
      <c r="AO952" s="447"/>
      <c r="AP952" s="447"/>
      <c r="AQ952" s="447"/>
      <c r="AR952" s="447"/>
      <c r="AS952" s="447"/>
      <c r="AT952" s="447"/>
      <c r="AU952" s="447"/>
      <c r="AV952" s="447"/>
      <c r="AW952" s="447"/>
      <c r="AX952" s="447"/>
      <c r="AY952" s="447"/>
      <c r="AZ952" s="447"/>
      <c r="BA952" s="447"/>
      <c r="BB952" s="447"/>
      <c r="BC952" s="447"/>
      <c r="BD952" s="447"/>
      <c r="BE952" s="447"/>
      <c r="BF952" s="447"/>
      <c r="BG952" s="447"/>
      <c r="BH952" s="447"/>
      <c r="BI952" s="447"/>
      <c r="BJ952" s="447"/>
      <c r="BK952" s="447"/>
      <c r="BL952" s="447"/>
      <c r="BM952" s="448"/>
      <c r="BN952" s="448"/>
    </row>
    <row r="953" spans="1:66" ht="11.25" customHeight="1">
      <c r="A953" s="450"/>
      <c r="B953" s="447"/>
      <c r="C953" s="447"/>
      <c r="D953" s="447"/>
      <c r="E953" s="447"/>
      <c r="F953" s="447"/>
      <c r="G953" s="447"/>
      <c r="H953" s="447"/>
      <c r="I953" s="447"/>
      <c r="J953" s="447"/>
      <c r="K953" s="447"/>
      <c r="L953" s="447"/>
      <c r="M953" s="447"/>
      <c r="N953" s="447"/>
      <c r="O953" s="447"/>
      <c r="P953" s="447"/>
      <c r="Q953" s="447"/>
      <c r="R953" s="447"/>
      <c r="S953" s="447"/>
      <c r="T953" s="447"/>
      <c r="U953" s="447"/>
      <c r="V953" s="447"/>
      <c r="W953" s="447"/>
      <c r="X953" s="447"/>
      <c r="Y953" s="447"/>
      <c r="Z953" s="447"/>
      <c r="AA953" s="447"/>
      <c r="AB953" s="447"/>
      <c r="AC953" s="447"/>
      <c r="AD953" s="447"/>
      <c r="AE953" s="447"/>
      <c r="AF953" s="448"/>
      <c r="AG953" s="448"/>
      <c r="AH953" s="449"/>
      <c r="AI953" s="447"/>
      <c r="AJ953" s="447"/>
      <c r="AK953" s="447"/>
      <c r="AL953" s="447"/>
      <c r="AM953" s="447"/>
      <c r="AN953" s="447"/>
      <c r="AO953" s="447"/>
      <c r="AP953" s="447"/>
      <c r="AQ953" s="447"/>
      <c r="AR953" s="447"/>
      <c r="AS953" s="447"/>
      <c r="AT953" s="447"/>
      <c r="AU953" s="447"/>
      <c r="AV953" s="447"/>
      <c r="AW953" s="447"/>
      <c r="AX953" s="447"/>
      <c r="AY953" s="447"/>
      <c r="AZ953" s="447"/>
      <c r="BA953" s="447"/>
      <c r="BB953" s="447"/>
      <c r="BC953" s="447"/>
      <c r="BD953" s="447"/>
      <c r="BE953" s="447"/>
      <c r="BF953" s="447"/>
      <c r="BG953" s="447"/>
      <c r="BH953" s="447"/>
      <c r="BI953" s="447"/>
      <c r="BJ953" s="447"/>
      <c r="BK953" s="447"/>
      <c r="BL953" s="447"/>
      <c r="BM953" s="448"/>
      <c r="BN953" s="448"/>
    </row>
    <row r="954" spans="1:66" ht="11.25" customHeight="1">
      <c r="A954" s="450"/>
      <c r="B954" s="447"/>
      <c r="C954" s="447"/>
      <c r="D954" s="447"/>
      <c r="E954" s="447"/>
      <c r="F954" s="447"/>
      <c r="G954" s="447"/>
      <c r="H954" s="447"/>
      <c r="I954" s="447"/>
      <c r="J954" s="447"/>
      <c r="K954" s="447"/>
      <c r="L954" s="447"/>
      <c r="M954" s="447"/>
      <c r="N954" s="447"/>
      <c r="O954" s="447"/>
      <c r="P954" s="447"/>
      <c r="Q954" s="447"/>
      <c r="R954" s="447"/>
      <c r="S954" s="447"/>
      <c r="T954" s="447"/>
      <c r="U954" s="447"/>
      <c r="V954" s="447"/>
      <c r="W954" s="447"/>
      <c r="X954" s="447"/>
      <c r="Y954" s="447"/>
      <c r="Z954" s="447"/>
      <c r="AA954" s="447"/>
      <c r="AB954" s="447"/>
      <c r="AC954" s="447"/>
      <c r="AD954" s="447"/>
      <c r="AE954" s="447"/>
      <c r="AF954" s="448"/>
      <c r="AG954" s="448"/>
      <c r="AH954" s="449"/>
      <c r="AI954" s="447"/>
      <c r="AJ954" s="447"/>
      <c r="AK954" s="447"/>
      <c r="AL954" s="447"/>
      <c r="AM954" s="447"/>
      <c r="AN954" s="447"/>
      <c r="AO954" s="447"/>
      <c r="AP954" s="447"/>
      <c r="AQ954" s="447"/>
      <c r="AR954" s="447"/>
      <c r="AS954" s="447"/>
      <c r="AT954" s="447"/>
      <c r="AU954" s="447"/>
      <c r="AV954" s="447"/>
      <c r="AW954" s="447"/>
      <c r="AX954" s="447"/>
      <c r="AY954" s="447"/>
      <c r="AZ954" s="447"/>
      <c r="BA954" s="447"/>
      <c r="BB954" s="447"/>
      <c r="BC954" s="447"/>
      <c r="BD954" s="447"/>
      <c r="BE954" s="447"/>
      <c r="BF954" s="447"/>
      <c r="BG954" s="447"/>
      <c r="BH954" s="447"/>
      <c r="BI954" s="447"/>
      <c r="BJ954" s="447"/>
      <c r="BK954" s="447"/>
      <c r="BL954" s="447"/>
      <c r="BM954" s="448"/>
      <c r="BN954" s="448"/>
    </row>
    <row r="955" spans="1:66" ht="11.25" customHeight="1">
      <c r="A955" s="450"/>
      <c r="B955" s="447"/>
      <c r="C955" s="447"/>
      <c r="D955" s="447"/>
      <c r="E955" s="447"/>
      <c r="F955" s="447"/>
      <c r="G955" s="447"/>
      <c r="H955" s="447"/>
      <c r="I955" s="447"/>
      <c r="J955" s="447"/>
      <c r="K955" s="447"/>
      <c r="L955" s="447"/>
      <c r="M955" s="447"/>
      <c r="N955" s="447"/>
      <c r="O955" s="447"/>
      <c r="P955" s="447"/>
      <c r="Q955" s="447"/>
      <c r="R955" s="447"/>
      <c r="S955" s="447"/>
      <c r="T955" s="447"/>
      <c r="U955" s="447"/>
      <c r="V955" s="447"/>
      <c r="W955" s="447"/>
      <c r="X955" s="447"/>
      <c r="Y955" s="447"/>
      <c r="Z955" s="447"/>
      <c r="AA955" s="447"/>
      <c r="AB955" s="447"/>
      <c r="AC955" s="447"/>
      <c r="AD955" s="447"/>
      <c r="AE955" s="447"/>
      <c r="AF955" s="448"/>
      <c r="AG955" s="448"/>
      <c r="AH955" s="449"/>
      <c r="AI955" s="447"/>
      <c r="AJ955" s="447"/>
      <c r="AK955" s="447"/>
      <c r="AL955" s="447"/>
      <c r="AM955" s="447"/>
      <c r="AN955" s="447"/>
      <c r="AO955" s="447"/>
      <c r="AP955" s="447"/>
      <c r="AQ955" s="447"/>
      <c r="AR955" s="447"/>
      <c r="AS955" s="447"/>
      <c r="AT955" s="447"/>
      <c r="AU955" s="447"/>
      <c r="AV955" s="447"/>
      <c r="AW955" s="447"/>
      <c r="AX955" s="447"/>
      <c r="AY955" s="447"/>
      <c r="AZ955" s="447"/>
      <c r="BA955" s="447"/>
      <c r="BB955" s="447"/>
      <c r="BC955" s="447"/>
      <c r="BD955" s="447"/>
      <c r="BE955" s="447"/>
      <c r="BF955" s="447"/>
      <c r="BG955" s="447"/>
      <c r="BH955" s="447"/>
      <c r="BI955" s="447"/>
      <c r="BJ955" s="447"/>
      <c r="BK955" s="447"/>
      <c r="BL955" s="447"/>
      <c r="BM955" s="448"/>
      <c r="BN955" s="448"/>
    </row>
    <row r="956" spans="1:66" ht="11.25" customHeight="1">
      <c r="A956" s="450"/>
      <c r="B956" s="447"/>
      <c r="C956" s="447"/>
      <c r="D956" s="447"/>
      <c r="E956" s="447"/>
      <c r="F956" s="447"/>
      <c r="G956" s="447"/>
      <c r="H956" s="447"/>
      <c r="I956" s="447"/>
      <c r="J956" s="447"/>
      <c r="K956" s="447"/>
      <c r="L956" s="447"/>
      <c r="M956" s="447"/>
      <c r="N956" s="447"/>
      <c r="O956" s="447"/>
      <c r="P956" s="447"/>
      <c r="Q956" s="447"/>
      <c r="R956" s="447"/>
      <c r="S956" s="447"/>
      <c r="T956" s="447"/>
      <c r="U956" s="447"/>
      <c r="V956" s="447"/>
      <c r="W956" s="447"/>
      <c r="X956" s="447"/>
      <c r="Y956" s="447"/>
      <c r="Z956" s="447"/>
      <c r="AA956" s="447"/>
      <c r="AB956" s="447"/>
      <c r="AC956" s="447"/>
      <c r="AD956" s="447"/>
      <c r="AE956" s="447"/>
      <c r="AF956" s="448"/>
      <c r="AG956" s="448"/>
      <c r="AH956" s="449"/>
      <c r="AI956" s="447"/>
      <c r="AJ956" s="447"/>
      <c r="AK956" s="447"/>
      <c r="AL956" s="447"/>
      <c r="AM956" s="447"/>
      <c r="AN956" s="447"/>
      <c r="AO956" s="447"/>
      <c r="AP956" s="447"/>
      <c r="AQ956" s="447"/>
      <c r="AR956" s="447"/>
      <c r="AS956" s="447"/>
      <c r="AT956" s="447"/>
      <c r="AU956" s="447"/>
      <c r="AV956" s="447"/>
      <c r="AW956" s="447"/>
      <c r="AX956" s="447"/>
      <c r="AY956" s="447"/>
      <c r="AZ956" s="447"/>
      <c r="BA956" s="447"/>
      <c r="BB956" s="447"/>
      <c r="BC956" s="447"/>
      <c r="BD956" s="447"/>
      <c r="BE956" s="447"/>
      <c r="BF956" s="447"/>
      <c r="BG956" s="447"/>
      <c r="BH956" s="447"/>
      <c r="BI956" s="447"/>
      <c r="BJ956" s="447"/>
      <c r="BK956" s="447"/>
      <c r="BL956" s="447"/>
      <c r="BM956" s="448"/>
      <c r="BN956" s="448"/>
    </row>
    <row r="957" spans="1:66" ht="11.25" customHeight="1">
      <c r="A957" s="450"/>
      <c r="B957" s="447"/>
      <c r="C957" s="447"/>
      <c r="D957" s="447"/>
      <c r="E957" s="447"/>
      <c r="F957" s="447"/>
      <c r="G957" s="447"/>
      <c r="H957" s="447"/>
      <c r="I957" s="447"/>
      <c r="J957" s="447"/>
      <c r="K957" s="447"/>
      <c r="L957" s="447"/>
      <c r="M957" s="447"/>
      <c r="N957" s="447"/>
      <c r="O957" s="447"/>
      <c r="P957" s="447"/>
      <c r="Q957" s="447"/>
      <c r="R957" s="447"/>
      <c r="S957" s="447"/>
      <c r="T957" s="447"/>
      <c r="U957" s="447"/>
      <c r="V957" s="447"/>
      <c r="W957" s="447"/>
      <c r="X957" s="447"/>
      <c r="Y957" s="447"/>
      <c r="Z957" s="447"/>
      <c r="AA957" s="447"/>
      <c r="AB957" s="447"/>
      <c r="AC957" s="447"/>
      <c r="AD957" s="447"/>
      <c r="AE957" s="447"/>
      <c r="AF957" s="448"/>
      <c r="AG957" s="448"/>
      <c r="AH957" s="449"/>
      <c r="AI957" s="447"/>
      <c r="AJ957" s="447"/>
      <c r="AK957" s="447"/>
      <c r="AL957" s="447"/>
      <c r="AM957" s="447"/>
      <c r="AN957" s="447"/>
      <c r="AO957" s="447"/>
      <c r="AP957" s="447"/>
      <c r="AQ957" s="447"/>
      <c r="AR957" s="447"/>
      <c r="AS957" s="447"/>
      <c r="AT957" s="447"/>
      <c r="AU957" s="447"/>
      <c r="AV957" s="447"/>
      <c r="AW957" s="447"/>
      <c r="AX957" s="447"/>
      <c r="AY957" s="447"/>
      <c r="AZ957" s="447"/>
      <c r="BA957" s="447"/>
      <c r="BB957" s="447"/>
      <c r="BC957" s="447"/>
      <c r="BD957" s="447"/>
      <c r="BE957" s="447"/>
      <c r="BF957" s="447"/>
      <c r="BG957" s="447"/>
      <c r="BH957" s="447"/>
      <c r="BI957" s="447"/>
      <c r="BJ957" s="447"/>
      <c r="BK957" s="447"/>
      <c r="BL957" s="447"/>
      <c r="BM957" s="448"/>
      <c r="BN957" s="448"/>
    </row>
    <row r="958" spans="1:66" ht="11.25" customHeight="1">
      <c r="A958" s="450"/>
      <c r="B958" s="447"/>
      <c r="C958" s="447"/>
      <c r="D958" s="447"/>
      <c r="E958" s="447"/>
      <c r="F958" s="447"/>
      <c r="G958" s="447"/>
      <c r="H958" s="447"/>
      <c r="I958" s="447"/>
      <c r="J958" s="447"/>
      <c r="K958" s="447"/>
      <c r="L958" s="447"/>
      <c r="M958" s="447"/>
      <c r="N958" s="447"/>
      <c r="O958" s="447"/>
      <c r="P958" s="447"/>
      <c r="Q958" s="447"/>
      <c r="R958" s="447"/>
      <c r="S958" s="447"/>
      <c r="T958" s="447"/>
      <c r="U958" s="447"/>
      <c r="V958" s="447"/>
      <c r="W958" s="447"/>
      <c r="X958" s="447"/>
      <c r="Y958" s="447"/>
      <c r="Z958" s="447"/>
      <c r="AA958" s="447"/>
      <c r="AB958" s="447"/>
      <c r="AC958" s="447"/>
      <c r="AD958" s="447"/>
      <c r="AE958" s="447"/>
      <c r="AF958" s="448"/>
      <c r="AG958" s="448"/>
      <c r="AH958" s="449"/>
      <c r="AI958" s="447"/>
      <c r="AJ958" s="447"/>
      <c r="AK958" s="447"/>
      <c r="AL958" s="447"/>
      <c r="AM958" s="447"/>
      <c r="AN958" s="447"/>
      <c r="AO958" s="447"/>
      <c r="AP958" s="447"/>
      <c r="AQ958" s="447"/>
      <c r="AR958" s="447"/>
      <c r="AS958" s="447"/>
      <c r="AT958" s="447"/>
      <c r="AU958" s="447"/>
      <c r="AV958" s="447"/>
      <c r="AW958" s="447"/>
      <c r="AX958" s="447"/>
      <c r="AY958" s="447"/>
      <c r="AZ958" s="447"/>
      <c r="BA958" s="447"/>
      <c r="BB958" s="447"/>
      <c r="BC958" s="447"/>
      <c r="BD958" s="447"/>
      <c r="BE958" s="447"/>
      <c r="BF958" s="447"/>
      <c r="BG958" s="447"/>
      <c r="BH958" s="447"/>
      <c r="BI958" s="447"/>
      <c r="BJ958" s="447"/>
      <c r="BK958" s="447"/>
      <c r="BL958" s="447"/>
      <c r="BM958" s="448"/>
      <c r="BN958" s="448"/>
    </row>
    <row r="959" spans="1:66" ht="11.25" customHeight="1">
      <c r="A959" s="450"/>
      <c r="B959" s="447"/>
      <c r="C959" s="447"/>
      <c r="D959" s="447"/>
      <c r="E959" s="447"/>
      <c r="F959" s="447"/>
      <c r="G959" s="447"/>
      <c r="H959" s="447"/>
      <c r="I959" s="447"/>
      <c r="J959" s="447"/>
      <c r="K959" s="447"/>
      <c r="L959" s="447"/>
      <c r="M959" s="447"/>
      <c r="N959" s="447"/>
      <c r="O959" s="447"/>
      <c r="P959" s="447"/>
      <c r="Q959" s="447"/>
      <c r="R959" s="447"/>
      <c r="S959" s="447"/>
      <c r="T959" s="447"/>
      <c r="U959" s="447"/>
      <c r="V959" s="447"/>
      <c r="W959" s="447"/>
      <c r="X959" s="447"/>
      <c r="Y959" s="447"/>
      <c r="Z959" s="447"/>
      <c r="AA959" s="447"/>
      <c r="AB959" s="447"/>
      <c r="AC959" s="447"/>
      <c r="AD959" s="447"/>
      <c r="AE959" s="447"/>
      <c r="AF959" s="448"/>
      <c r="AG959" s="448"/>
      <c r="AH959" s="449"/>
      <c r="AI959" s="447"/>
      <c r="AJ959" s="447"/>
      <c r="AK959" s="447"/>
      <c r="AL959" s="447"/>
      <c r="AM959" s="447"/>
      <c r="AN959" s="447"/>
      <c r="AO959" s="447"/>
      <c r="AP959" s="447"/>
      <c r="AQ959" s="447"/>
      <c r="AR959" s="447"/>
      <c r="AS959" s="447"/>
      <c r="AT959" s="447"/>
      <c r="AU959" s="447"/>
      <c r="AV959" s="447"/>
      <c r="AW959" s="447"/>
      <c r="AX959" s="447"/>
      <c r="AY959" s="447"/>
      <c r="AZ959" s="447"/>
      <c r="BA959" s="447"/>
      <c r="BB959" s="447"/>
      <c r="BC959" s="447"/>
      <c r="BD959" s="447"/>
      <c r="BE959" s="447"/>
      <c r="BF959" s="447"/>
      <c r="BG959" s="447"/>
      <c r="BH959" s="447"/>
      <c r="BI959" s="447"/>
      <c r="BJ959" s="447"/>
      <c r="BK959" s="447"/>
      <c r="BL959" s="447"/>
      <c r="BM959" s="448"/>
      <c r="BN959" s="448"/>
    </row>
    <row r="960" spans="1:66" ht="11.25" customHeight="1">
      <c r="A960" s="450"/>
      <c r="B960" s="447"/>
      <c r="C960" s="447"/>
      <c r="D960" s="447"/>
      <c r="E960" s="447"/>
      <c r="F960" s="447"/>
      <c r="G960" s="447"/>
      <c r="H960" s="447"/>
      <c r="I960" s="447"/>
      <c r="J960" s="447"/>
      <c r="K960" s="447"/>
      <c r="L960" s="447"/>
      <c r="M960" s="447"/>
      <c r="N960" s="447"/>
      <c r="O960" s="447"/>
      <c r="P960" s="447"/>
      <c r="Q960" s="447"/>
      <c r="R960" s="447"/>
      <c r="S960" s="447"/>
      <c r="T960" s="447"/>
      <c r="U960" s="447"/>
      <c r="V960" s="447"/>
      <c r="W960" s="447"/>
      <c r="X960" s="447"/>
      <c r="Y960" s="447"/>
      <c r="Z960" s="447"/>
      <c r="AA960" s="447"/>
      <c r="AB960" s="447"/>
      <c r="AC960" s="447"/>
      <c r="AD960" s="447"/>
      <c r="AE960" s="447"/>
      <c r="AF960" s="448"/>
      <c r="AG960" s="448"/>
      <c r="AH960" s="449"/>
      <c r="AI960" s="447"/>
      <c r="AJ960" s="447"/>
      <c r="AK960" s="447"/>
      <c r="AL960" s="447"/>
      <c r="AM960" s="447"/>
      <c r="AN960" s="447"/>
      <c r="AO960" s="447"/>
      <c r="AP960" s="447"/>
      <c r="AQ960" s="447"/>
      <c r="AR960" s="447"/>
      <c r="AS960" s="447"/>
      <c r="AT960" s="447"/>
      <c r="AU960" s="447"/>
      <c r="AV960" s="447"/>
      <c r="AW960" s="447"/>
      <c r="AX960" s="447"/>
      <c r="AY960" s="447"/>
      <c r="AZ960" s="447"/>
      <c r="BA960" s="447"/>
      <c r="BB960" s="447"/>
      <c r="BC960" s="447"/>
      <c r="BD960" s="447"/>
      <c r="BE960" s="447"/>
      <c r="BF960" s="447"/>
      <c r="BG960" s="447"/>
      <c r="BH960" s="447"/>
      <c r="BI960" s="447"/>
      <c r="BJ960" s="447"/>
      <c r="BK960" s="447"/>
      <c r="BL960" s="447"/>
      <c r="BM960" s="448"/>
      <c r="BN960" s="448"/>
    </row>
    <row r="961" spans="1:66" ht="11.25" customHeight="1">
      <c r="A961" s="450"/>
      <c r="B961" s="447"/>
      <c r="C961" s="447"/>
      <c r="D961" s="447"/>
      <c r="E961" s="447"/>
      <c r="F961" s="447"/>
      <c r="G961" s="447"/>
      <c r="H961" s="447"/>
      <c r="I961" s="447"/>
      <c r="J961" s="447"/>
      <c r="K961" s="447"/>
      <c r="L961" s="447"/>
      <c r="M961" s="447"/>
      <c r="N961" s="447"/>
      <c r="O961" s="447"/>
      <c r="P961" s="447"/>
      <c r="Q961" s="447"/>
      <c r="R961" s="447"/>
      <c r="S961" s="447"/>
      <c r="T961" s="447"/>
      <c r="U961" s="447"/>
      <c r="V961" s="447"/>
      <c r="W961" s="447"/>
      <c r="X961" s="447"/>
      <c r="Y961" s="447"/>
      <c r="Z961" s="447"/>
      <c r="AA961" s="447"/>
      <c r="AB961" s="447"/>
      <c r="AC961" s="447"/>
      <c r="AD961" s="447"/>
      <c r="AE961" s="447"/>
      <c r="AF961" s="448"/>
      <c r="AG961" s="448"/>
      <c r="AH961" s="449"/>
      <c r="AI961" s="447"/>
      <c r="AJ961" s="447"/>
      <c r="AK961" s="447"/>
      <c r="AL961" s="447"/>
      <c r="AM961" s="447"/>
      <c r="AN961" s="447"/>
      <c r="AO961" s="447"/>
      <c r="AP961" s="447"/>
      <c r="AQ961" s="447"/>
      <c r="AR961" s="447"/>
      <c r="AS961" s="447"/>
      <c r="AT961" s="447"/>
      <c r="AU961" s="447"/>
      <c r="AV961" s="447"/>
      <c r="AW961" s="447"/>
      <c r="AX961" s="447"/>
      <c r="AY961" s="447"/>
      <c r="AZ961" s="447"/>
      <c r="BA961" s="447"/>
      <c r="BB961" s="447"/>
      <c r="BC961" s="447"/>
      <c r="BD961" s="447"/>
      <c r="BE961" s="447"/>
      <c r="BF961" s="447"/>
      <c r="BG961" s="447"/>
      <c r="BH961" s="447"/>
      <c r="BI961" s="447"/>
      <c r="BJ961" s="447"/>
      <c r="BK961" s="447"/>
      <c r="BL961" s="447"/>
      <c r="BM961" s="448"/>
      <c r="BN961" s="448"/>
    </row>
    <row r="962" spans="1:66" ht="11.25" customHeight="1">
      <c r="A962" s="450"/>
      <c r="B962" s="447"/>
      <c r="C962" s="447"/>
      <c r="D962" s="447"/>
      <c r="E962" s="447"/>
      <c r="F962" s="447"/>
      <c r="G962" s="447"/>
      <c r="H962" s="447"/>
      <c r="I962" s="447"/>
      <c r="J962" s="447"/>
      <c r="K962" s="447"/>
      <c r="L962" s="447"/>
      <c r="M962" s="447"/>
      <c r="N962" s="447"/>
      <c r="O962" s="447"/>
      <c r="P962" s="447"/>
      <c r="Q962" s="447"/>
      <c r="R962" s="447"/>
      <c r="S962" s="447"/>
      <c r="T962" s="447"/>
      <c r="U962" s="447"/>
      <c r="V962" s="447"/>
      <c r="W962" s="447"/>
      <c r="X962" s="447"/>
      <c r="Y962" s="447"/>
      <c r="Z962" s="447"/>
      <c r="AA962" s="447"/>
      <c r="AB962" s="447"/>
      <c r="AC962" s="447"/>
      <c r="AD962" s="447"/>
      <c r="AE962" s="447"/>
      <c r="AF962" s="448"/>
      <c r="AG962" s="448"/>
      <c r="AH962" s="449"/>
      <c r="AI962" s="447"/>
      <c r="AJ962" s="447"/>
      <c r="AK962" s="447"/>
      <c r="AL962" s="447"/>
      <c r="AM962" s="447"/>
      <c r="AN962" s="447"/>
      <c r="AO962" s="447"/>
      <c r="AP962" s="447"/>
      <c r="AQ962" s="447"/>
      <c r="AR962" s="447"/>
      <c r="AS962" s="447"/>
      <c r="AT962" s="447"/>
      <c r="AU962" s="447"/>
      <c r="AV962" s="447"/>
      <c r="AW962" s="447"/>
      <c r="AX962" s="447"/>
      <c r="AY962" s="447"/>
      <c r="AZ962" s="447"/>
      <c r="BA962" s="447"/>
      <c r="BB962" s="447"/>
      <c r="BC962" s="447"/>
      <c r="BD962" s="447"/>
      <c r="BE962" s="447"/>
      <c r="BF962" s="447"/>
      <c r="BG962" s="447"/>
      <c r="BH962" s="447"/>
      <c r="BI962" s="447"/>
      <c r="BJ962" s="447"/>
      <c r="BK962" s="447"/>
      <c r="BL962" s="447"/>
      <c r="BM962" s="448"/>
      <c r="BN962" s="448"/>
    </row>
    <row r="963" spans="1:66" ht="11.25" customHeight="1">
      <c r="A963" s="450"/>
      <c r="B963" s="447"/>
      <c r="C963" s="447"/>
      <c r="D963" s="447"/>
      <c r="E963" s="447"/>
      <c r="F963" s="447"/>
      <c r="G963" s="447"/>
      <c r="H963" s="447"/>
      <c r="I963" s="447"/>
      <c r="J963" s="447"/>
      <c r="K963" s="447"/>
      <c r="L963" s="447"/>
      <c r="M963" s="447"/>
      <c r="N963" s="447"/>
      <c r="O963" s="447"/>
      <c r="P963" s="447"/>
      <c r="Q963" s="447"/>
      <c r="R963" s="447"/>
      <c r="S963" s="447"/>
      <c r="T963" s="447"/>
      <c r="U963" s="447"/>
      <c r="V963" s="447"/>
      <c r="W963" s="447"/>
      <c r="X963" s="447"/>
      <c r="Y963" s="447"/>
      <c r="Z963" s="447"/>
      <c r="AA963" s="447"/>
      <c r="AB963" s="447"/>
      <c r="AC963" s="447"/>
      <c r="AD963" s="447"/>
      <c r="AE963" s="447"/>
      <c r="AF963" s="448"/>
      <c r="AG963" s="448"/>
      <c r="AH963" s="449"/>
      <c r="AI963" s="447"/>
      <c r="AJ963" s="447"/>
      <c r="AK963" s="447"/>
      <c r="AL963" s="447"/>
      <c r="AM963" s="447"/>
      <c r="AN963" s="447"/>
      <c r="AO963" s="447"/>
      <c r="AP963" s="447"/>
      <c r="AQ963" s="447"/>
      <c r="AR963" s="447"/>
      <c r="AS963" s="447"/>
      <c r="AT963" s="447"/>
      <c r="AU963" s="447"/>
      <c r="AV963" s="447"/>
      <c r="AW963" s="447"/>
      <c r="AX963" s="447"/>
      <c r="AY963" s="447"/>
      <c r="AZ963" s="447"/>
      <c r="BA963" s="447"/>
      <c r="BB963" s="447"/>
      <c r="BC963" s="447"/>
      <c r="BD963" s="447"/>
      <c r="BE963" s="447"/>
      <c r="BF963" s="447"/>
      <c r="BG963" s="447"/>
      <c r="BH963" s="447"/>
      <c r="BI963" s="447"/>
      <c r="BJ963" s="447"/>
      <c r="BK963" s="447"/>
      <c r="BL963" s="447"/>
      <c r="BM963" s="448"/>
      <c r="BN963" s="448"/>
    </row>
    <row r="964" spans="1:66" ht="11.25" customHeight="1">
      <c r="A964" s="450"/>
      <c r="B964" s="447"/>
      <c r="C964" s="447"/>
      <c r="D964" s="447"/>
      <c r="E964" s="447"/>
      <c r="F964" s="447"/>
      <c r="G964" s="447"/>
      <c r="H964" s="447"/>
      <c r="I964" s="447"/>
      <c r="J964" s="447"/>
      <c r="K964" s="447"/>
      <c r="L964" s="447"/>
      <c r="M964" s="447"/>
      <c r="N964" s="447"/>
      <c r="O964" s="447"/>
      <c r="P964" s="447"/>
      <c r="Q964" s="447"/>
      <c r="R964" s="447"/>
      <c r="S964" s="447"/>
      <c r="T964" s="447"/>
      <c r="U964" s="447"/>
      <c r="V964" s="447"/>
      <c r="W964" s="447"/>
      <c r="X964" s="447"/>
      <c r="Y964" s="447"/>
      <c r="Z964" s="447"/>
      <c r="AA964" s="447"/>
      <c r="AB964" s="447"/>
      <c r="AC964" s="447"/>
      <c r="AD964" s="447"/>
      <c r="AE964" s="447"/>
      <c r="AF964" s="448"/>
      <c r="AG964" s="448"/>
      <c r="AH964" s="449"/>
      <c r="AI964" s="447"/>
      <c r="AJ964" s="447"/>
      <c r="AK964" s="447"/>
      <c r="AL964" s="447"/>
      <c r="AM964" s="447"/>
      <c r="AN964" s="447"/>
      <c r="AO964" s="447"/>
      <c r="AP964" s="447"/>
      <c r="AQ964" s="447"/>
      <c r="AR964" s="447"/>
      <c r="AS964" s="447"/>
      <c r="AT964" s="447"/>
      <c r="AU964" s="447"/>
      <c r="AV964" s="447"/>
      <c r="AW964" s="447"/>
      <c r="AX964" s="447"/>
      <c r="AY964" s="447"/>
      <c r="AZ964" s="447"/>
      <c r="BA964" s="447"/>
      <c r="BB964" s="447"/>
      <c r="BC964" s="447"/>
      <c r="BD964" s="447"/>
      <c r="BE964" s="447"/>
      <c r="BF964" s="447"/>
      <c r="BG964" s="447"/>
      <c r="BH964" s="447"/>
      <c r="BI964" s="447"/>
      <c r="BJ964" s="447"/>
      <c r="BK964" s="447"/>
      <c r="BL964" s="447"/>
      <c r="BM964" s="448"/>
      <c r="BN964" s="448"/>
    </row>
    <row r="965" spans="1:66" ht="11.25" customHeight="1">
      <c r="A965" s="450"/>
      <c r="B965" s="447"/>
      <c r="C965" s="447"/>
      <c r="D965" s="447"/>
      <c r="E965" s="447"/>
      <c r="F965" s="447"/>
      <c r="G965" s="447"/>
      <c r="H965" s="447"/>
      <c r="I965" s="447"/>
      <c r="J965" s="447"/>
      <c r="K965" s="447"/>
      <c r="L965" s="447"/>
      <c r="M965" s="447"/>
      <c r="N965" s="447"/>
      <c r="O965" s="447"/>
      <c r="P965" s="447"/>
      <c r="Q965" s="447"/>
      <c r="R965" s="447"/>
      <c r="S965" s="447"/>
      <c r="T965" s="447"/>
      <c r="U965" s="447"/>
      <c r="V965" s="447"/>
      <c r="W965" s="447"/>
      <c r="X965" s="447"/>
      <c r="Y965" s="447"/>
      <c r="Z965" s="447"/>
      <c r="AA965" s="447"/>
      <c r="AB965" s="447"/>
      <c r="AC965" s="447"/>
      <c r="AD965" s="447"/>
      <c r="AE965" s="447"/>
      <c r="AF965" s="448"/>
      <c r="AG965" s="448"/>
      <c r="AH965" s="449"/>
      <c r="AI965" s="447"/>
      <c r="AJ965" s="447"/>
      <c r="AK965" s="447"/>
      <c r="AL965" s="447"/>
      <c r="AM965" s="447"/>
      <c r="AN965" s="447"/>
      <c r="AO965" s="447"/>
      <c r="AP965" s="447"/>
      <c r="AQ965" s="447"/>
      <c r="AR965" s="447"/>
      <c r="AS965" s="447"/>
      <c r="AT965" s="447"/>
      <c r="AU965" s="447"/>
      <c r="AV965" s="447"/>
      <c r="AW965" s="447"/>
      <c r="AX965" s="447"/>
      <c r="AY965" s="447"/>
      <c r="AZ965" s="447"/>
      <c r="BA965" s="447"/>
      <c r="BB965" s="447"/>
      <c r="BC965" s="447"/>
      <c r="BD965" s="447"/>
      <c r="BE965" s="447"/>
      <c r="BF965" s="447"/>
      <c r="BG965" s="447"/>
      <c r="BH965" s="447"/>
      <c r="BI965" s="447"/>
      <c r="BJ965" s="447"/>
      <c r="BK965" s="447"/>
      <c r="BL965" s="447"/>
      <c r="BM965" s="448"/>
      <c r="BN965" s="448"/>
    </row>
    <row r="966" spans="1:66" ht="11.25" customHeight="1">
      <c r="A966" s="450"/>
      <c r="B966" s="447"/>
      <c r="C966" s="447"/>
      <c r="D966" s="447"/>
      <c r="E966" s="447"/>
      <c r="F966" s="447"/>
      <c r="G966" s="447"/>
      <c r="H966" s="447"/>
      <c r="I966" s="447"/>
      <c r="J966" s="447"/>
      <c r="K966" s="447"/>
      <c r="L966" s="447"/>
      <c r="M966" s="447"/>
      <c r="N966" s="447"/>
      <c r="O966" s="447"/>
      <c r="P966" s="447"/>
      <c r="Q966" s="447"/>
      <c r="R966" s="447"/>
      <c r="S966" s="447"/>
      <c r="T966" s="447"/>
      <c r="U966" s="447"/>
      <c r="V966" s="447"/>
      <c r="W966" s="447"/>
      <c r="X966" s="447"/>
      <c r="Y966" s="447"/>
      <c r="Z966" s="447"/>
      <c r="AA966" s="447"/>
      <c r="AB966" s="447"/>
      <c r="AC966" s="447"/>
      <c r="AD966" s="447"/>
      <c r="AE966" s="447"/>
      <c r="AF966" s="448"/>
      <c r="AG966" s="448"/>
      <c r="AH966" s="449"/>
      <c r="AI966" s="447"/>
      <c r="AJ966" s="447"/>
      <c r="AK966" s="447"/>
      <c r="AL966" s="447"/>
      <c r="AM966" s="447"/>
      <c r="AN966" s="447"/>
      <c r="AO966" s="447"/>
      <c r="AP966" s="447"/>
      <c r="AQ966" s="447"/>
      <c r="AR966" s="447"/>
      <c r="AS966" s="447"/>
      <c r="AT966" s="447"/>
      <c r="AU966" s="447"/>
      <c r="AV966" s="447"/>
      <c r="AW966" s="447"/>
      <c r="AX966" s="447"/>
      <c r="AY966" s="447"/>
      <c r="AZ966" s="447"/>
      <c r="BA966" s="447"/>
      <c r="BB966" s="447"/>
      <c r="BC966" s="447"/>
      <c r="BD966" s="447"/>
      <c r="BE966" s="447"/>
      <c r="BF966" s="447"/>
      <c r="BG966" s="447"/>
      <c r="BH966" s="447"/>
      <c r="BI966" s="447"/>
      <c r="BJ966" s="447"/>
      <c r="BK966" s="447"/>
      <c r="BL966" s="447"/>
      <c r="BM966" s="448"/>
      <c r="BN966" s="448"/>
    </row>
    <row r="967" spans="1:66" ht="11.25" customHeight="1">
      <c r="A967" s="450"/>
      <c r="B967" s="447"/>
      <c r="C967" s="447"/>
      <c r="D967" s="447"/>
      <c r="E967" s="447"/>
      <c r="F967" s="447"/>
      <c r="G967" s="447"/>
      <c r="H967" s="447"/>
      <c r="I967" s="447"/>
      <c r="J967" s="447"/>
      <c r="K967" s="447"/>
      <c r="L967" s="447"/>
      <c r="M967" s="447"/>
      <c r="N967" s="447"/>
      <c r="O967" s="447"/>
      <c r="P967" s="447"/>
      <c r="Q967" s="447"/>
      <c r="R967" s="447"/>
      <c r="S967" s="447"/>
      <c r="T967" s="447"/>
      <c r="U967" s="447"/>
      <c r="V967" s="447"/>
      <c r="W967" s="447"/>
      <c r="X967" s="447"/>
      <c r="Y967" s="447"/>
      <c r="Z967" s="447"/>
      <c r="AA967" s="447"/>
      <c r="AB967" s="447"/>
      <c r="AC967" s="447"/>
      <c r="AD967" s="447"/>
      <c r="AE967" s="447"/>
      <c r="AF967" s="448"/>
      <c r="AG967" s="448"/>
      <c r="AH967" s="449"/>
      <c r="AI967" s="447"/>
      <c r="AJ967" s="447"/>
      <c r="AK967" s="447"/>
      <c r="AL967" s="447"/>
      <c r="AM967" s="447"/>
      <c r="AN967" s="447"/>
      <c r="AO967" s="447"/>
      <c r="AP967" s="447"/>
      <c r="AQ967" s="447"/>
      <c r="AR967" s="447"/>
      <c r="AS967" s="447"/>
      <c r="AT967" s="447"/>
      <c r="AU967" s="447"/>
      <c r="AV967" s="447"/>
      <c r="AW967" s="447"/>
      <c r="AX967" s="447"/>
      <c r="AY967" s="447"/>
      <c r="AZ967" s="447"/>
      <c r="BA967" s="447"/>
      <c r="BB967" s="447"/>
      <c r="BC967" s="447"/>
      <c r="BD967" s="447"/>
      <c r="BE967" s="447"/>
      <c r="BF967" s="447"/>
      <c r="BG967" s="447"/>
      <c r="BH967" s="447"/>
      <c r="BI967" s="447"/>
      <c r="BJ967" s="447"/>
      <c r="BK967" s="447"/>
      <c r="BL967" s="447"/>
      <c r="BM967" s="448"/>
      <c r="BN967" s="448"/>
    </row>
    <row r="968" spans="1:66" ht="11.25" customHeight="1">
      <c r="A968" s="450"/>
      <c r="B968" s="447"/>
      <c r="C968" s="447"/>
      <c r="D968" s="447"/>
      <c r="E968" s="447"/>
      <c r="F968" s="447"/>
      <c r="G968" s="447"/>
      <c r="H968" s="447"/>
      <c r="I968" s="447"/>
      <c r="J968" s="447"/>
      <c r="K968" s="447"/>
      <c r="L968" s="447"/>
      <c r="M968" s="447"/>
      <c r="N968" s="447"/>
      <c r="O968" s="447"/>
      <c r="P968" s="447"/>
      <c r="Q968" s="447"/>
      <c r="R968" s="447"/>
      <c r="S968" s="447"/>
      <c r="T968" s="447"/>
      <c r="U968" s="447"/>
      <c r="V968" s="447"/>
      <c r="W968" s="447"/>
      <c r="X968" s="447"/>
      <c r="Y968" s="447"/>
      <c r="Z968" s="447"/>
      <c r="AA968" s="447"/>
      <c r="AB968" s="447"/>
      <c r="AC968" s="447"/>
      <c r="AD968" s="447"/>
      <c r="AE968" s="447"/>
      <c r="AF968" s="448"/>
      <c r="AG968" s="448"/>
      <c r="AH968" s="449"/>
      <c r="AI968" s="447"/>
      <c r="AJ968" s="447"/>
      <c r="AK968" s="447"/>
      <c r="AL968" s="447"/>
      <c r="AM968" s="447"/>
      <c r="AN968" s="447"/>
      <c r="AO968" s="447"/>
      <c r="AP968" s="447"/>
      <c r="AQ968" s="447"/>
      <c r="AR968" s="447"/>
      <c r="AS968" s="447"/>
      <c r="AT968" s="447"/>
      <c r="AU968" s="447"/>
      <c r="AV968" s="447"/>
      <c r="AW968" s="447"/>
      <c r="AX968" s="447"/>
      <c r="AY968" s="447"/>
      <c r="AZ968" s="447"/>
      <c r="BA968" s="447"/>
      <c r="BB968" s="447"/>
      <c r="BC968" s="447"/>
      <c r="BD968" s="447"/>
      <c r="BE968" s="447"/>
      <c r="BF968" s="447"/>
      <c r="BG968" s="447"/>
      <c r="BH968" s="447"/>
      <c r="BI968" s="447"/>
      <c r="BJ968" s="447"/>
      <c r="BK968" s="447"/>
      <c r="BL968" s="447"/>
      <c r="BM968" s="448"/>
      <c r="BN968" s="448"/>
    </row>
    <row r="969" spans="1:66" ht="11.25" customHeight="1">
      <c r="A969" s="450"/>
      <c r="B969" s="447"/>
      <c r="C969" s="447"/>
      <c r="D969" s="447"/>
      <c r="E969" s="447"/>
      <c r="F969" s="447"/>
      <c r="G969" s="447"/>
      <c r="H969" s="447"/>
      <c r="I969" s="447"/>
      <c r="J969" s="447"/>
      <c r="K969" s="447"/>
      <c r="L969" s="447"/>
      <c r="M969" s="447"/>
      <c r="N969" s="447"/>
      <c r="O969" s="447"/>
      <c r="P969" s="447"/>
      <c r="Q969" s="447"/>
      <c r="R969" s="447"/>
      <c r="S969" s="447"/>
      <c r="T969" s="447"/>
      <c r="U969" s="447"/>
      <c r="V969" s="447"/>
      <c r="W969" s="447"/>
      <c r="X969" s="447"/>
      <c r="Y969" s="447"/>
      <c r="Z969" s="447"/>
      <c r="AA969" s="447"/>
      <c r="AB969" s="447"/>
      <c r="AC969" s="447"/>
      <c r="AD969" s="447"/>
      <c r="AE969" s="447"/>
      <c r="AF969" s="448"/>
      <c r="AG969" s="448"/>
      <c r="AH969" s="449"/>
      <c r="AI969" s="447"/>
      <c r="AJ969" s="447"/>
      <c r="AK969" s="447"/>
      <c r="AL969" s="447"/>
      <c r="AM969" s="447"/>
      <c r="AN969" s="447"/>
      <c r="AO969" s="447"/>
      <c r="AP969" s="447"/>
      <c r="AQ969" s="447"/>
      <c r="AR969" s="447"/>
      <c r="AS969" s="447"/>
      <c r="AT969" s="447"/>
      <c r="AU969" s="447"/>
      <c r="AV969" s="447"/>
      <c r="AW969" s="447"/>
      <c r="AX969" s="447"/>
      <c r="AY969" s="447"/>
      <c r="AZ969" s="447"/>
      <c r="BA969" s="447"/>
      <c r="BB969" s="447"/>
      <c r="BC969" s="447"/>
      <c r="BD969" s="447"/>
      <c r="BE969" s="447"/>
      <c r="BF969" s="447"/>
      <c r="BG969" s="447"/>
      <c r="BH969" s="447"/>
      <c r="BI969" s="447"/>
      <c r="BJ969" s="447"/>
      <c r="BK969" s="447"/>
      <c r="BL969" s="447"/>
      <c r="BM969" s="448"/>
      <c r="BN969" s="448"/>
    </row>
    <row r="970" spans="1:66" ht="11.25" customHeight="1">
      <c r="A970" s="450"/>
      <c r="B970" s="447"/>
      <c r="C970" s="447"/>
      <c r="D970" s="447"/>
      <c r="E970" s="447"/>
      <c r="F970" s="447"/>
      <c r="G970" s="447"/>
      <c r="H970" s="447"/>
      <c r="I970" s="447"/>
      <c r="J970" s="447"/>
      <c r="K970" s="447"/>
      <c r="L970" s="447"/>
      <c r="M970" s="447"/>
      <c r="N970" s="447"/>
      <c r="O970" s="447"/>
      <c r="P970" s="447"/>
      <c r="Q970" s="447"/>
      <c r="R970" s="447"/>
      <c r="S970" s="447"/>
      <c r="T970" s="447"/>
      <c r="U970" s="447"/>
      <c r="V970" s="447"/>
      <c r="W970" s="447"/>
      <c r="X970" s="447"/>
      <c r="Y970" s="447"/>
      <c r="Z970" s="447"/>
      <c r="AA970" s="447"/>
      <c r="AB970" s="447"/>
      <c r="AC970" s="447"/>
      <c r="AD970" s="447"/>
      <c r="AE970" s="447"/>
      <c r="AF970" s="448"/>
      <c r="AG970" s="448"/>
      <c r="AH970" s="449"/>
      <c r="AI970" s="447"/>
      <c r="AJ970" s="447"/>
      <c r="AK970" s="447"/>
      <c r="AL970" s="447"/>
      <c r="AM970" s="447"/>
      <c r="AN970" s="447"/>
      <c r="AO970" s="447"/>
      <c r="AP970" s="447"/>
      <c r="AQ970" s="447"/>
      <c r="AR970" s="447"/>
      <c r="AS970" s="447"/>
      <c r="AT970" s="447"/>
      <c r="AU970" s="447"/>
      <c r="AV970" s="447"/>
      <c r="AW970" s="447"/>
      <c r="AX970" s="447"/>
      <c r="AY970" s="447"/>
      <c r="AZ970" s="447"/>
      <c r="BA970" s="447"/>
      <c r="BB970" s="447"/>
      <c r="BC970" s="447"/>
      <c r="BD970" s="447"/>
      <c r="BE970" s="447"/>
      <c r="BF970" s="447"/>
      <c r="BG970" s="447"/>
      <c r="BH970" s="447"/>
      <c r="BI970" s="447"/>
      <c r="BJ970" s="447"/>
      <c r="BK970" s="447"/>
      <c r="BL970" s="447"/>
      <c r="BM970" s="448"/>
      <c r="BN970" s="448"/>
    </row>
    <row r="971" spans="1:66" ht="11.25" customHeight="1">
      <c r="A971" s="450"/>
      <c r="B971" s="447"/>
      <c r="C971" s="447"/>
      <c r="D971" s="447"/>
      <c r="E971" s="447"/>
      <c r="F971" s="447"/>
      <c r="G971" s="447"/>
      <c r="H971" s="447"/>
      <c r="I971" s="447"/>
      <c r="J971" s="447"/>
      <c r="K971" s="447"/>
      <c r="L971" s="447"/>
      <c r="M971" s="447"/>
      <c r="N971" s="447"/>
      <c r="O971" s="447"/>
      <c r="P971" s="447"/>
      <c r="Q971" s="447"/>
      <c r="R971" s="447"/>
      <c r="S971" s="447"/>
      <c r="T971" s="447"/>
      <c r="U971" s="447"/>
      <c r="V971" s="447"/>
      <c r="W971" s="447"/>
      <c r="X971" s="447"/>
      <c r="Y971" s="447"/>
      <c r="Z971" s="447"/>
      <c r="AA971" s="447"/>
      <c r="AB971" s="447"/>
      <c r="AC971" s="447"/>
      <c r="AD971" s="447"/>
      <c r="AE971" s="447"/>
      <c r="AF971" s="448"/>
      <c r="AG971" s="448"/>
      <c r="AH971" s="449"/>
      <c r="AI971" s="447"/>
      <c r="AJ971" s="447"/>
      <c r="AK971" s="447"/>
      <c r="AL971" s="447"/>
      <c r="AM971" s="447"/>
      <c r="AN971" s="447"/>
      <c r="AO971" s="447"/>
      <c r="AP971" s="447"/>
      <c r="AQ971" s="447"/>
      <c r="AR971" s="447"/>
      <c r="AS971" s="447"/>
      <c r="AT971" s="447"/>
      <c r="AU971" s="447"/>
      <c r="AV971" s="447"/>
      <c r="AW971" s="447"/>
      <c r="AX971" s="447"/>
      <c r="AY971" s="447"/>
      <c r="AZ971" s="447"/>
      <c r="BA971" s="447"/>
      <c r="BB971" s="447"/>
      <c r="BC971" s="447"/>
      <c r="BD971" s="447"/>
      <c r="BE971" s="447"/>
      <c r="BF971" s="447"/>
      <c r="BG971" s="447"/>
      <c r="BH971" s="447"/>
      <c r="BI971" s="447"/>
      <c r="BJ971" s="447"/>
      <c r="BK971" s="447"/>
      <c r="BL971" s="447"/>
      <c r="BM971" s="448"/>
      <c r="BN971" s="448"/>
    </row>
    <row r="972" spans="1:66" ht="11.25" customHeight="1">
      <c r="A972" s="450"/>
      <c r="B972" s="447"/>
      <c r="C972" s="447"/>
      <c r="D972" s="447"/>
      <c r="E972" s="447"/>
      <c r="F972" s="447"/>
      <c r="G972" s="447"/>
      <c r="H972" s="447"/>
      <c r="I972" s="447"/>
      <c r="J972" s="447"/>
      <c r="K972" s="447"/>
      <c r="L972" s="447"/>
      <c r="M972" s="447"/>
      <c r="N972" s="447"/>
      <c r="O972" s="447"/>
      <c r="P972" s="447"/>
      <c r="Q972" s="447"/>
      <c r="R972" s="447"/>
      <c r="S972" s="447"/>
      <c r="T972" s="447"/>
      <c r="U972" s="447"/>
      <c r="V972" s="447"/>
      <c r="W972" s="447"/>
      <c r="X972" s="447"/>
      <c r="Y972" s="447"/>
      <c r="Z972" s="447"/>
      <c r="AA972" s="447"/>
      <c r="AB972" s="447"/>
      <c r="AC972" s="447"/>
      <c r="AD972" s="447"/>
      <c r="AE972" s="447"/>
      <c r="AF972" s="448"/>
      <c r="AG972" s="448"/>
      <c r="AH972" s="449"/>
      <c r="AI972" s="447"/>
      <c r="AJ972" s="447"/>
      <c r="AK972" s="447"/>
      <c r="AL972" s="447"/>
      <c r="AM972" s="447"/>
      <c r="AN972" s="447"/>
      <c r="AO972" s="447"/>
      <c r="AP972" s="447"/>
      <c r="AQ972" s="447"/>
      <c r="AR972" s="447"/>
      <c r="AS972" s="447"/>
      <c r="AT972" s="447"/>
      <c r="AU972" s="447"/>
      <c r="AV972" s="447"/>
      <c r="AW972" s="447"/>
      <c r="AX972" s="447"/>
      <c r="AY972" s="447"/>
      <c r="AZ972" s="447"/>
      <c r="BA972" s="447"/>
      <c r="BB972" s="447"/>
      <c r="BC972" s="447"/>
      <c r="BD972" s="447"/>
      <c r="BE972" s="447"/>
      <c r="BF972" s="447"/>
      <c r="BG972" s="447"/>
      <c r="BH972" s="447"/>
      <c r="BI972" s="447"/>
      <c r="BJ972" s="447"/>
      <c r="BK972" s="447"/>
      <c r="BL972" s="447"/>
      <c r="BM972" s="448"/>
      <c r="BN972" s="448"/>
    </row>
    <row r="973" spans="1:66" ht="11.25" customHeight="1">
      <c r="A973" s="450"/>
      <c r="B973" s="447"/>
      <c r="C973" s="447"/>
      <c r="D973" s="447"/>
      <c r="E973" s="447"/>
      <c r="F973" s="447"/>
      <c r="G973" s="447"/>
      <c r="H973" s="447"/>
      <c r="I973" s="447"/>
      <c r="J973" s="447"/>
      <c r="K973" s="447"/>
      <c r="L973" s="447"/>
      <c r="M973" s="447"/>
      <c r="N973" s="447"/>
      <c r="O973" s="447"/>
      <c r="P973" s="447"/>
      <c r="Q973" s="447"/>
      <c r="R973" s="447"/>
      <c r="S973" s="447"/>
      <c r="T973" s="447"/>
      <c r="U973" s="447"/>
      <c r="V973" s="447"/>
      <c r="W973" s="447"/>
      <c r="X973" s="447"/>
      <c r="Y973" s="447"/>
      <c r="Z973" s="447"/>
      <c r="AA973" s="447"/>
      <c r="AB973" s="447"/>
      <c r="AC973" s="447"/>
      <c r="AD973" s="447"/>
      <c r="AE973" s="447"/>
      <c r="AF973" s="448"/>
      <c r="AG973" s="448"/>
      <c r="AH973" s="449"/>
      <c r="AI973" s="447"/>
      <c r="AJ973" s="447"/>
      <c r="AK973" s="447"/>
      <c r="AL973" s="447"/>
      <c r="AM973" s="447"/>
      <c r="AN973" s="447"/>
      <c r="AO973" s="447"/>
      <c r="AP973" s="447"/>
      <c r="AQ973" s="447"/>
      <c r="AR973" s="447"/>
      <c r="AS973" s="447"/>
      <c r="AT973" s="447"/>
      <c r="AU973" s="447"/>
      <c r="AV973" s="447"/>
      <c r="AW973" s="447"/>
      <c r="AX973" s="447"/>
      <c r="AY973" s="447"/>
      <c r="AZ973" s="447"/>
      <c r="BA973" s="447"/>
      <c r="BB973" s="447"/>
      <c r="BC973" s="447"/>
      <c r="BD973" s="447"/>
      <c r="BE973" s="447"/>
      <c r="BF973" s="447"/>
      <c r="BG973" s="447"/>
      <c r="BH973" s="447"/>
      <c r="BI973" s="447"/>
      <c r="BJ973" s="447"/>
      <c r="BK973" s="447"/>
      <c r="BL973" s="447"/>
      <c r="BM973" s="448"/>
      <c r="BN973" s="448"/>
    </row>
    <row r="974" spans="1:66" ht="11.25" customHeight="1">
      <c r="A974" s="450"/>
      <c r="B974" s="447"/>
      <c r="C974" s="447"/>
      <c r="D974" s="447"/>
      <c r="E974" s="447"/>
      <c r="F974" s="447"/>
      <c r="G974" s="447"/>
      <c r="H974" s="447"/>
      <c r="I974" s="447"/>
      <c r="J974" s="447"/>
      <c r="K974" s="447"/>
      <c r="L974" s="447"/>
      <c r="M974" s="447"/>
      <c r="N974" s="447"/>
      <c r="O974" s="447"/>
      <c r="P974" s="447"/>
      <c r="Q974" s="447"/>
      <c r="R974" s="447"/>
      <c r="S974" s="447"/>
      <c r="T974" s="447"/>
      <c r="U974" s="447"/>
      <c r="V974" s="447"/>
      <c r="W974" s="447"/>
      <c r="X974" s="447"/>
      <c r="Y974" s="447"/>
      <c r="Z974" s="447"/>
      <c r="AA974" s="447"/>
      <c r="AB974" s="447"/>
      <c r="AC974" s="447"/>
      <c r="AD974" s="447"/>
      <c r="AE974" s="447"/>
      <c r="AF974" s="448"/>
      <c r="AG974" s="448"/>
      <c r="AH974" s="449"/>
      <c r="AI974" s="447"/>
      <c r="AJ974" s="447"/>
      <c r="AK974" s="447"/>
      <c r="AL974" s="447"/>
      <c r="AM974" s="447"/>
      <c r="AN974" s="447"/>
      <c r="AO974" s="447"/>
      <c r="AP974" s="447"/>
      <c r="AQ974" s="447"/>
      <c r="AR974" s="447"/>
      <c r="AS974" s="447"/>
      <c r="AT974" s="447"/>
      <c r="AU974" s="447"/>
      <c r="AV974" s="447"/>
      <c r="AW974" s="447"/>
      <c r="AX974" s="447"/>
      <c r="AY974" s="447"/>
      <c r="AZ974" s="447"/>
      <c r="BA974" s="447"/>
      <c r="BB974" s="447"/>
      <c r="BC974" s="447"/>
      <c r="BD974" s="447"/>
      <c r="BE974" s="447"/>
      <c r="BF974" s="447"/>
      <c r="BG974" s="447"/>
      <c r="BH974" s="447"/>
      <c r="BI974" s="447"/>
      <c r="BJ974" s="447"/>
      <c r="BK974" s="447"/>
      <c r="BL974" s="447"/>
      <c r="BM974" s="448"/>
      <c r="BN974" s="448"/>
    </row>
    <row r="975" spans="1:66" ht="11.25" customHeight="1">
      <c r="A975" s="450"/>
      <c r="B975" s="447"/>
      <c r="C975" s="447"/>
      <c r="D975" s="447"/>
      <c r="E975" s="447"/>
      <c r="F975" s="447"/>
      <c r="G975" s="447"/>
      <c r="H975" s="447"/>
      <c r="I975" s="447"/>
      <c r="J975" s="447"/>
      <c r="K975" s="447"/>
      <c r="L975" s="447"/>
      <c r="M975" s="447"/>
      <c r="N975" s="447"/>
      <c r="O975" s="447"/>
      <c r="P975" s="447"/>
      <c r="Q975" s="447"/>
      <c r="R975" s="447"/>
      <c r="S975" s="447"/>
      <c r="T975" s="447"/>
      <c r="U975" s="447"/>
      <c r="V975" s="447"/>
      <c r="W975" s="447"/>
      <c r="X975" s="447"/>
      <c r="Y975" s="447"/>
      <c r="Z975" s="447"/>
      <c r="AA975" s="447"/>
      <c r="AB975" s="447"/>
      <c r="AC975" s="447"/>
      <c r="AD975" s="447"/>
      <c r="AE975" s="447"/>
      <c r="AF975" s="448"/>
      <c r="AG975" s="448"/>
      <c r="AH975" s="449"/>
      <c r="AI975" s="447"/>
      <c r="AJ975" s="447"/>
      <c r="AK975" s="447"/>
      <c r="AL975" s="447"/>
      <c r="AM975" s="447"/>
      <c r="AN975" s="447"/>
      <c r="AO975" s="447"/>
      <c r="AP975" s="447"/>
      <c r="AQ975" s="447"/>
      <c r="AR975" s="447"/>
      <c r="AS975" s="447"/>
      <c r="AT975" s="447"/>
      <c r="AU975" s="447"/>
      <c r="AV975" s="447"/>
      <c r="AW975" s="447"/>
      <c r="AX975" s="447"/>
      <c r="AY975" s="447"/>
      <c r="AZ975" s="447"/>
      <c r="BA975" s="447"/>
      <c r="BB975" s="447"/>
      <c r="BC975" s="447"/>
      <c r="BD975" s="447"/>
      <c r="BE975" s="447"/>
      <c r="BF975" s="447"/>
      <c r="BG975" s="447"/>
      <c r="BH975" s="447"/>
      <c r="BI975" s="447"/>
      <c r="BJ975" s="447"/>
      <c r="BK975" s="447"/>
      <c r="BL975" s="447"/>
      <c r="BM975" s="448"/>
      <c r="BN975" s="448"/>
    </row>
    <row r="976" spans="1:66" ht="11.25" customHeight="1">
      <c r="A976" s="450"/>
      <c r="B976" s="447"/>
      <c r="C976" s="447"/>
      <c r="D976" s="447"/>
      <c r="E976" s="447"/>
      <c r="F976" s="447"/>
      <c r="G976" s="447"/>
      <c r="H976" s="447"/>
      <c r="I976" s="447"/>
      <c r="J976" s="447"/>
      <c r="K976" s="447"/>
      <c r="L976" s="447"/>
      <c r="M976" s="447"/>
      <c r="N976" s="447"/>
      <c r="O976" s="447"/>
      <c r="P976" s="447"/>
      <c r="Q976" s="447"/>
      <c r="R976" s="447"/>
      <c r="S976" s="447"/>
      <c r="T976" s="447"/>
      <c r="U976" s="447"/>
      <c r="V976" s="447"/>
      <c r="W976" s="447"/>
      <c r="X976" s="447"/>
      <c r="Y976" s="447"/>
      <c r="Z976" s="447"/>
      <c r="AA976" s="447"/>
      <c r="AB976" s="447"/>
      <c r="AC976" s="447"/>
      <c r="AD976" s="447"/>
      <c r="AE976" s="447"/>
      <c r="AF976" s="448"/>
      <c r="AG976" s="448"/>
      <c r="AH976" s="449"/>
      <c r="AI976" s="447"/>
      <c r="AJ976" s="447"/>
      <c r="AK976" s="447"/>
      <c r="AL976" s="447"/>
      <c r="AM976" s="447"/>
      <c r="AN976" s="447"/>
      <c r="AO976" s="447"/>
      <c r="AP976" s="447"/>
      <c r="AQ976" s="447"/>
      <c r="AR976" s="447"/>
      <c r="AS976" s="447"/>
      <c r="AT976" s="447"/>
      <c r="AU976" s="447"/>
      <c r="AV976" s="447"/>
      <c r="AW976" s="447"/>
      <c r="AX976" s="447"/>
      <c r="AY976" s="447"/>
      <c r="AZ976" s="447"/>
      <c r="BA976" s="447"/>
      <c r="BB976" s="447"/>
      <c r="BC976" s="447"/>
      <c r="BD976" s="447"/>
      <c r="BE976" s="447"/>
      <c r="BF976" s="447"/>
      <c r="BG976" s="447"/>
      <c r="BH976" s="447"/>
      <c r="BI976" s="447"/>
      <c r="BJ976" s="447"/>
      <c r="BK976" s="447"/>
      <c r="BL976" s="447"/>
      <c r="BM976" s="448"/>
      <c r="BN976" s="448"/>
    </row>
    <row r="977" spans="1:66" ht="11.25" customHeight="1">
      <c r="A977" s="450"/>
      <c r="B977" s="447"/>
      <c r="C977" s="447"/>
      <c r="D977" s="447"/>
      <c r="E977" s="447"/>
      <c r="F977" s="447"/>
      <c r="G977" s="447"/>
      <c r="H977" s="447"/>
      <c r="I977" s="447"/>
      <c r="J977" s="447"/>
      <c r="K977" s="447"/>
      <c r="L977" s="447"/>
      <c r="M977" s="447"/>
      <c r="N977" s="447"/>
      <c r="O977" s="447"/>
      <c r="P977" s="447"/>
      <c r="Q977" s="447"/>
      <c r="R977" s="447"/>
      <c r="S977" s="447"/>
      <c r="T977" s="447"/>
      <c r="U977" s="447"/>
      <c r="V977" s="447"/>
      <c r="W977" s="447"/>
      <c r="X977" s="447"/>
      <c r="Y977" s="447"/>
      <c r="Z977" s="447"/>
      <c r="AA977" s="447"/>
      <c r="AB977" s="447"/>
      <c r="AC977" s="447"/>
      <c r="AD977" s="447"/>
      <c r="AE977" s="447"/>
      <c r="AF977" s="448"/>
      <c r="AG977" s="448"/>
      <c r="AH977" s="449"/>
      <c r="AI977" s="447"/>
      <c r="AJ977" s="447"/>
      <c r="AK977" s="447"/>
      <c r="AL977" s="447"/>
      <c r="AM977" s="447"/>
      <c r="AN977" s="447"/>
      <c r="AO977" s="447"/>
      <c r="AP977" s="447"/>
      <c r="AQ977" s="447"/>
      <c r="AR977" s="447"/>
      <c r="AS977" s="447"/>
      <c r="AT977" s="447"/>
      <c r="AU977" s="447"/>
      <c r="AV977" s="447"/>
      <c r="AW977" s="447"/>
      <c r="AX977" s="447"/>
      <c r="AY977" s="447"/>
      <c r="AZ977" s="447"/>
      <c r="BA977" s="447"/>
      <c r="BB977" s="447"/>
      <c r="BC977" s="447"/>
      <c r="BD977" s="447"/>
      <c r="BE977" s="447"/>
      <c r="BF977" s="447"/>
      <c r="BG977" s="447"/>
      <c r="BH977" s="447"/>
      <c r="BI977" s="447"/>
      <c r="BJ977" s="447"/>
      <c r="BK977" s="447"/>
      <c r="BL977" s="447"/>
      <c r="BM977" s="448"/>
      <c r="BN977" s="448"/>
    </row>
    <row r="978" spans="1:66" ht="11.25" customHeight="1">
      <c r="A978" s="450"/>
      <c r="B978" s="447"/>
      <c r="C978" s="447"/>
      <c r="D978" s="447"/>
      <c r="E978" s="447"/>
      <c r="F978" s="447"/>
      <c r="G978" s="447"/>
      <c r="H978" s="447"/>
      <c r="I978" s="447"/>
      <c r="J978" s="447"/>
      <c r="K978" s="447"/>
      <c r="L978" s="447"/>
      <c r="M978" s="447"/>
      <c r="N978" s="447"/>
      <c r="O978" s="447"/>
      <c r="P978" s="447"/>
      <c r="Q978" s="447"/>
      <c r="R978" s="447"/>
      <c r="S978" s="447"/>
      <c r="T978" s="447"/>
      <c r="U978" s="447"/>
      <c r="V978" s="447"/>
      <c r="W978" s="447"/>
      <c r="X978" s="447"/>
      <c r="Y978" s="447"/>
      <c r="Z978" s="447"/>
      <c r="AA978" s="447"/>
      <c r="AB978" s="447"/>
      <c r="AC978" s="447"/>
      <c r="AD978" s="447"/>
      <c r="AE978" s="447"/>
      <c r="AF978" s="448"/>
      <c r="AG978" s="448"/>
      <c r="AH978" s="449"/>
      <c r="AI978" s="447"/>
      <c r="AJ978" s="447"/>
      <c r="AK978" s="447"/>
      <c r="AL978" s="447"/>
      <c r="AM978" s="447"/>
      <c r="AN978" s="447"/>
      <c r="AO978" s="447"/>
      <c r="AP978" s="447"/>
      <c r="AQ978" s="447"/>
      <c r="AR978" s="447"/>
      <c r="AS978" s="447"/>
      <c r="AT978" s="447"/>
      <c r="AU978" s="447"/>
      <c r="AV978" s="447"/>
      <c r="AW978" s="447"/>
      <c r="AX978" s="447"/>
      <c r="AY978" s="447"/>
      <c r="AZ978" s="447"/>
      <c r="BA978" s="447"/>
      <c r="BB978" s="447"/>
      <c r="BC978" s="447"/>
      <c r="BD978" s="447"/>
      <c r="BE978" s="447"/>
      <c r="BF978" s="447"/>
      <c r="BG978" s="447"/>
      <c r="BH978" s="447"/>
      <c r="BI978" s="447"/>
      <c r="BJ978" s="447"/>
      <c r="BK978" s="447"/>
      <c r="BL978" s="447"/>
      <c r="BM978" s="448"/>
      <c r="BN978" s="448"/>
    </row>
    <row r="979" spans="1:66" ht="11.25" customHeight="1">
      <c r="A979" s="450"/>
      <c r="B979" s="447"/>
      <c r="C979" s="447"/>
      <c r="D979" s="447"/>
      <c r="E979" s="447"/>
      <c r="F979" s="447"/>
      <c r="G979" s="447"/>
      <c r="H979" s="447"/>
      <c r="I979" s="447"/>
      <c r="J979" s="447"/>
      <c r="K979" s="447"/>
      <c r="L979" s="447"/>
      <c r="M979" s="447"/>
      <c r="N979" s="447"/>
      <c r="O979" s="447"/>
      <c r="P979" s="447"/>
      <c r="Q979" s="447"/>
      <c r="R979" s="447"/>
      <c r="S979" s="447"/>
      <c r="T979" s="447"/>
      <c r="U979" s="447"/>
      <c r="V979" s="447"/>
      <c r="W979" s="447"/>
      <c r="X979" s="447"/>
      <c r="Y979" s="447"/>
      <c r="Z979" s="447"/>
      <c r="AA979" s="447"/>
      <c r="AB979" s="447"/>
      <c r="AC979" s="447"/>
      <c r="AD979" s="447"/>
      <c r="AE979" s="447"/>
      <c r="AF979" s="448"/>
      <c r="AG979" s="448"/>
      <c r="AH979" s="449"/>
      <c r="AI979" s="447"/>
      <c r="AJ979" s="447"/>
      <c r="AK979" s="447"/>
      <c r="AL979" s="447"/>
      <c r="AM979" s="447"/>
      <c r="AN979" s="447"/>
      <c r="AO979" s="447"/>
      <c r="AP979" s="447"/>
      <c r="AQ979" s="447"/>
      <c r="AR979" s="447"/>
      <c r="AS979" s="447"/>
      <c r="AT979" s="447"/>
      <c r="AU979" s="447"/>
      <c r="AV979" s="447"/>
      <c r="AW979" s="447"/>
      <c r="AX979" s="447"/>
      <c r="AY979" s="447"/>
      <c r="AZ979" s="447"/>
      <c r="BA979" s="447"/>
      <c r="BB979" s="447"/>
      <c r="BC979" s="447"/>
      <c r="BD979" s="447"/>
      <c r="BE979" s="447"/>
      <c r="BF979" s="447"/>
      <c r="BG979" s="447"/>
      <c r="BH979" s="447"/>
      <c r="BI979" s="447"/>
      <c r="BJ979" s="447"/>
      <c r="BK979" s="447"/>
      <c r="BL979" s="447"/>
      <c r="BM979" s="448"/>
      <c r="BN979" s="448"/>
    </row>
    <row r="980" spans="1:66" ht="11.25" customHeight="1">
      <c r="A980" s="450"/>
      <c r="B980" s="447"/>
      <c r="C980" s="447"/>
      <c r="D980" s="447"/>
      <c r="E980" s="447"/>
      <c r="F980" s="447"/>
      <c r="G980" s="447"/>
      <c r="H980" s="447"/>
      <c r="I980" s="447"/>
      <c r="J980" s="447"/>
      <c r="K980" s="447"/>
      <c r="L980" s="447"/>
      <c r="M980" s="447"/>
      <c r="N980" s="447"/>
      <c r="O980" s="447"/>
      <c r="P980" s="447"/>
      <c r="Q980" s="447"/>
      <c r="R980" s="447"/>
      <c r="S980" s="447"/>
      <c r="T980" s="447"/>
      <c r="U980" s="447"/>
      <c r="V980" s="447"/>
      <c r="W980" s="447"/>
      <c r="X980" s="447"/>
      <c r="Y980" s="447"/>
      <c r="Z980" s="447"/>
      <c r="AA980" s="447"/>
      <c r="AB980" s="447"/>
      <c r="AC980" s="447"/>
      <c r="AD980" s="447"/>
      <c r="AE980" s="447"/>
      <c r="AF980" s="448"/>
      <c r="AG980" s="448"/>
      <c r="AH980" s="449"/>
      <c r="AI980" s="447"/>
      <c r="AJ980" s="447"/>
      <c r="AK980" s="447"/>
      <c r="AL980" s="447"/>
      <c r="AM980" s="447"/>
      <c r="AN980" s="447"/>
      <c r="AO980" s="447"/>
      <c r="AP980" s="447"/>
      <c r="AQ980" s="447"/>
      <c r="AR980" s="447"/>
      <c r="AS980" s="447"/>
      <c r="AT980" s="447"/>
      <c r="AU980" s="447"/>
      <c r="AV980" s="447"/>
      <c r="AW980" s="447"/>
      <c r="AX980" s="447"/>
      <c r="AY980" s="447"/>
      <c r="AZ980" s="447"/>
      <c r="BA980" s="447"/>
      <c r="BB980" s="447"/>
      <c r="BC980" s="447"/>
      <c r="BD980" s="447"/>
      <c r="BE980" s="447"/>
      <c r="BF980" s="447"/>
      <c r="BG980" s="447"/>
      <c r="BH980" s="447"/>
      <c r="BI980" s="447"/>
      <c r="BJ980" s="447"/>
      <c r="BK980" s="447"/>
      <c r="BL980" s="447"/>
      <c r="BM980" s="448"/>
      <c r="BN980" s="448"/>
    </row>
    <row r="981" spans="1:66" ht="11.25" customHeight="1">
      <c r="A981" s="450"/>
      <c r="B981" s="447"/>
      <c r="C981" s="447"/>
      <c r="D981" s="447"/>
      <c r="E981" s="447"/>
      <c r="F981" s="447"/>
      <c r="G981" s="447"/>
      <c r="H981" s="447"/>
      <c r="I981" s="447"/>
      <c r="J981" s="447"/>
      <c r="K981" s="447"/>
      <c r="L981" s="447"/>
      <c r="M981" s="447"/>
      <c r="N981" s="447"/>
      <c r="O981" s="447"/>
      <c r="P981" s="447"/>
      <c r="Q981" s="447"/>
      <c r="R981" s="447"/>
      <c r="S981" s="447"/>
      <c r="T981" s="447"/>
      <c r="U981" s="447"/>
      <c r="V981" s="447"/>
      <c r="W981" s="447"/>
      <c r="X981" s="447"/>
      <c r="Y981" s="447"/>
      <c r="Z981" s="447"/>
      <c r="AA981" s="447"/>
      <c r="AB981" s="447"/>
      <c r="AC981" s="447"/>
      <c r="AD981" s="447"/>
      <c r="AE981" s="447"/>
      <c r="AF981" s="448"/>
      <c r="AG981" s="448"/>
      <c r="AH981" s="449"/>
      <c r="AI981" s="447"/>
      <c r="AJ981" s="447"/>
      <c r="AK981" s="447"/>
      <c r="AL981" s="447"/>
      <c r="AM981" s="447"/>
      <c r="AN981" s="447"/>
      <c r="AO981" s="447"/>
      <c r="AP981" s="447"/>
      <c r="AQ981" s="447"/>
      <c r="AR981" s="447"/>
      <c r="AS981" s="447"/>
      <c r="AT981" s="447"/>
      <c r="AU981" s="447"/>
      <c r="AV981" s="447"/>
      <c r="AW981" s="447"/>
      <c r="AX981" s="447"/>
      <c r="AY981" s="447"/>
      <c r="AZ981" s="447"/>
      <c r="BA981" s="447"/>
      <c r="BB981" s="447"/>
      <c r="BC981" s="447"/>
      <c r="BD981" s="447"/>
      <c r="BE981" s="447"/>
      <c r="BF981" s="447"/>
      <c r="BG981" s="447"/>
      <c r="BH981" s="447"/>
      <c r="BI981" s="447"/>
      <c r="BJ981" s="447"/>
      <c r="BK981" s="447"/>
      <c r="BL981" s="447"/>
      <c r="BM981" s="448"/>
      <c r="BN981" s="448"/>
    </row>
    <row r="982" spans="1:66" ht="11.25" customHeight="1">
      <c r="A982" s="450"/>
      <c r="B982" s="447"/>
      <c r="C982" s="447"/>
      <c r="D982" s="447"/>
      <c r="E982" s="447"/>
      <c r="F982" s="447"/>
      <c r="G982" s="447"/>
      <c r="H982" s="447"/>
      <c r="I982" s="447"/>
      <c r="J982" s="447"/>
      <c r="K982" s="447"/>
      <c r="L982" s="447"/>
      <c r="M982" s="447"/>
      <c r="N982" s="447"/>
      <c r="O982" s="447"/>
      <c r="P982" s="447"/>
      <c r="Q982" s="447"/>
      <c r="R982" s="447"/>
      <c r="S982" s="447"/>
      <c r="T982" s="447"/>
      <c r="U982" s="447"/>
      <c r="V982" s="447"/>
      <c r="W982" s="447"/>
      <c r="X982" s="447"/>
      <c r="Y982" s="447"/>
      <c r="Z982" s="447"/>
      <c r="AA982" s="447"/>
      <c r="AB982" s="447"/>
      <c r="AC982" s="447"/>
      <c r="AD982" s="447"/>
      <c r="AE982" s="447"/>
      <c r="AF982" s="448"/>
      <c r="AG982" s="448"/>
      <c r="AH982" s="449"/>
      <c r="AI982" s="447"/>
      <c r="AJ982" s="447"/>
      <c r="AK982" s="447"/>
      <c r="AL982" s="447"/>
      <c r="AM982" s="447"/>
      <c r="AN982" s="447"/>
      <c r="AO982" s="447"/>
      <c r="AP982" s="447"/>
      <c r="AQ982" s="447"/>
      <c r="AR982" s="447"/>
      <c r="AS982" s="447"/>
      <c r="AT982" s="447"/>
      <c r="AU982" s="447"/>
      <c r="AV982" s="447"/>
      <c r="AW982" s="447"/>
      <c r="AX982" s="447"/>
      <c r="AY982" s="447"/>
      <c r="AZ982" s="447"/>
      <c r="BA982" s="447"/>
      <c r="BB982" s="447"/>
      <c r="BC982" s="447"/>
      <c r="BD982" s="447"/>
      <c r="BE982" s="447"/>
      <c r="BF982" s="447"/>
      <c r="BG982" s="447"/>
      <c r="BH982" s="447"/>
      <c r="BI982" s="447"/>
      <c r="BJ982" s="447"/>
      <c r="BK982" s="447"/>
      <c r="BL982" s="447"/>
      <c r="BM982" s="448"/>
      <c r="BN982" s="448"/>
    </row>
    <row r="983" spans="1:66" ht="11.25" customHeight="1">
      <c r="A983" s="450"/>
      <c r="B983" s="447"/>
      <c r="C983" s="447"/>
      <c r="D983" s="447"/>
      <c r="E983" s="447"/>
      <c r="F983" s="447"/>
      <c r="G983" s="447"/>
      <c r="H983" s="447"/>
      <c r="I983" s="447"/>
      <c r="J983" s="447"/>
      <c r="K983" s="447"/>
      <c r="L983" s="447"/>
      <c r="M983" s="447"/>
      <c r="N983" s="447"/>
      <c r="O983" s="447"/>
      <c r="P983" s="447"/>
      <c r="Q983" s="447"/>
      <c r="R983" s="447"/>
      <c r="S983" s="447"/>
      <c r="T983" s="447"/>
      <c r="U983" s="447"/>
      <c r="V983" s="447"/>
      <c r="W983" s="447"/>
      <c r="X983" s="447"/>
      <c r="Y983" s="447"/>
      <c r="Z983" s="447"/>
      <c r="AA983" s="447"/>
      <c r="AB983" s="447"/>
      <c r="AC983" s="447"/>
      <c r="AD983" s="447"/>
      <c r="AE983" s="447"/>
      <c r="AF983" s="448"/>
      <c r="AG983" s="448"/>
      <c r="AH983" s="449"/>
      <c r="AI983" s="447"/>
      <c r="AJ983" s="447"/>
      <c r="AK983" s="447"/>
      <c r="AL983" s="447"/>
      <c r="AM983" s="447"/>
      <c r="AN983" s="447"/>
      <c r="AO983" s="447"/>
      <c r="AP983" s="447"/>
      <c r="AQ983" s="447"/>
      <c r="AR983" s="447"/>
      <c r="AS983" s="447"/>
      <c r="AT983" s="447"/>
      <c r="AU983" s="447"/>
      <c r="AV983" s="447"/>
      <c r="AW983" s="447"/>
      <c r="AX983" s="447"/>
      <c r="AY983" s="447"/>
      <c r="AZ983" s="447"/>
      <c r="BA983" s="447"/>
      <c r="BB983" s="447"/>
      <c r="BC983" s="447"/>
      <c r="BD983" s="447"/>
      <c r="BE983" s="447"/>
      <c r="BF983" s="447"/>
      <c r="BG983" s="447"/>
      <c r="BH983" s="447"/>
      <c r="BI983" s="447"/>
      <c r="BJ983" s="447"/>
      <c r="BK983" s="447"/>
      <c r="BL983" s="447"/>
      <c r="BM983" s="448"/>
      <c r="BN983" s="448"/>
    </row>
    <row r="984" spans="1:66" ht="11.25" customHeight="1">
      <c r="A984" s="450"/>
      <c r="B984" s="447"/>
      <c r="C984" s="447"/>
      <c r="D984" s="447"/>
      <c r="E984" s="447"/>
      <c r="F984" s="447"/>
      <c r="G984" s="447"/>
      <c r="H984" s="447"/>
      <c r="I984" s="447"/>
      <c r="J984" s="447"/>
      <c r="K984" s="447"/>
      <c r="L984" s="447"/>
      <c r="M984" s="447"/>
      <c r="N984" s="447"/>
      <c r="O984" s="447"/>
      <c r="P984" s="447"/>
      <c r="Q984" s="447"/>
      <c r="R984" s="447"/>
      <c r="S984" s="447"/>
      <c r="T984" s="447"/>
      <c r="U984" s="447"/>
      <c r="V984" s="447"/>
      <c r="W984" s="447"/>
      <c r="X984" s="447"/>
      <c r="Y984" s="447"/>
      <c r="Z984" s="447"/>
      <c r="AA984" s="447"/>
      <c r="AB984" s="447"/>
      <c r="AC984" s="447"/>
      <c r="AD984" s="447"/>
      <c r="AE984" s="447"/>
      <c r="AF984" s="448"/>
      <c r="AG984" s="448"/>
      <c r="AH984" s="449"/>
      <c r="AI984" s="447"/>
      <c r="AJ984" s="447"/>
      <c r="AK984" s="447"/>
      <c r="AL984" s="447"/>
      <c r="AM984" s="447"/>
      <c r="AN984" s="447"/>
      <c r="AO984" s="447"/>
      <c r="AP984" s="447"/>
      <c r="AQ984" s="447"/>
      <c r="AR984" s="447"/>
      <c r="AS984" s="447"/>
      <c r="AT984" s="447"/>
      <c r="AU984" s="447"/>
      <c r="AV984" s="447"/>
      <c r="AW984" s="447"/>
      <c r="AX984" s="447"/>
      <c r="AY984" s="447"/>
      <c r="AZ984" s="447"/>
      <c r="BA984" s="447"/>
      <c r="BB984" s="447"/>
      <c r="BC984" s="447"/>
      <c r="BD984" s="447"/>
      <c r="BE984" s="447"/>
      <c r="BF984" s="447"/>
      <c r="BG984" s="447"/>
      <c r="BH984" s="447"/>
      <c r="BI984" s="447"/>
      <c r="BJ984" s="447"/>
      <c r="BK984" s="447"/>
      <c r="BL984" s="447"/>
      <c r="BM984" s="448"/>
      <c r="BN984" s="448"/>
    </row>
    <row r="985" spans="1:66" ht="11.25" customHeight="1">
      <c r="A985" s="450"/>
      <c r="B985" s="447"/>
      <c r="C985" s="447"/>
      <c r="D985" s="447"/>
      <c r="E985" s="447"/>
      <c r="F985" s="447"/>
      <c r="G985" s="447"/>
      <c r="H985" s="447"/>
      <c r="I985" s="447"/>
      <c r="J985" s="447"/>
      <c r="K985" s="447"/>
      <c r="L985" s="447"/>
      <c r="M985" s="447"/>
      <c r="N985" s="447"/>
      <c r="O985" s="447"/>
      <c r="P985" s="447"/>
      <c r="Q985" s="447"/>
      <c r="R985" s="447"/>
      <c r="S985" s="447"/>
      <c r="T985" s="447"/>
      <c r="U985" s="447"/>
      <c r="V985" s="447"/>
      <c r="W985" s="447"/>
      <c r="X985" s="447"/>
      <c r="Y985" s="447"/>
      <c r="Z985" s="447"/>
      <c r="AA985" s="447"/>
      <c r="AB985" s="447"/>
      <c r="AC985" s="447"/>
      <c r="AD985" s="447"/>
      <c r="AE985" s="447"/>
      <c r="AF985" s="448"/>
      <c r="AG985" s="448"/>
      <c r="AH985" s="449"/>
      <c r="AI985" s="447"/>
      <c r="AJ985" s="447"/>
      <c r="AK985" s="447"/>
      <c r="AL985" s="447"/>
      <c r="AM985" s="447"/>
      <c r="AN985" s="447"/>
      <c r="AO985" s="447"/>
      <c r="AP985" s="447"/>
      <c r="AQ985" s="447"/>
      <c r="AR985" s="447"/>
      <c r="AS985" s="447"/>
      <c r="AT985" s="447"/>
      <c r="AU985" s="447"/>
      <c r="AV985" s="447"/>
      <c r="AW985" s="447"/>
      <c r="AX985" s="447"/>
      <c r="AY985" s="447"/>
      <c r="AZ985" s="447"/>
      <c r="BA985" s="447"/>
      <c r="BB985" s="447"/>
      <c r="BC985" s="447"/>
      <c r="BD985" s="447"/>
      <c r="BE985" s="447"/>
      <c r="BF985" s="447"/>
      <c r="BG985" s="447"/>
      <c r="BH985" s="447"/>
      <c r="BI985" s="447"/>
      <c r="BJ985" s="447"/>
      <c r="BK985" s="447"/>
      <c r="BL985" s="447"/>
      <c r="BM985" s="448"/>
      <c r="BN985" s="448"/>
    </row>
    <row r="986" spans="1:66" ht="11.25" customHeight="1">
      <c r="A986" s="450"/>
      <c r="B986" s="447"/>
      <c r="C986" s="447"/>
      <c r="D986" s="447"/>
      <c r="E986" s="447"/>
      <c r="F986" s="447"/>
      <c r="G986" s="447"/>
      <c r="H986" s="447"/>
      <c r="I986" s="447"/>
      <c r="J986" s="447"/>
      <c r="K986" s="447"/>
      <c r="L986" s="447"/>
      <c r="M986" s="447"/>
      <c r="N986" s="447"/>
      <c r="O986" s="447"/>
      <c r="P986" s="447"/>
      <c r="Q986" s="447"/>
      <c r="R986" s="447"/>
      <c r="S986" s="447"/>
      <c r="T986" s="447"/>
      <c r="U986" s="447"/>
      <c r="V986" s="447"/>
      <c r="W986" s="447"/>
      <c r="X986" s="447"/>
      <c r="Y986" s="447"/>
      <c r="Z986" s="447"/>
      <c r="AA986" s="447"/>
      <c r="AB986" s="447"/>
      <c r="AC986" s="447"/>
      <c r="AD986" s="447"/>
      <c r="AE986" s="447"/>
      <c r="AF986" s="448"/>
      <c r="AG986" s="448"/>
      <c r="AH986" s="449"/>
      <c r="AI986" s="447"/>
      <c r="AJ986" s="447"/>
      <c r="AK986" s="447"/>
      <c r="AL986" s="447"/>
      <c r="AM986" s="447"/>
      <c r="AN986" s="447"/>
      <c r="AO986" s="447"/>
      <c r="AP986" s="447"/>
      <c r="AQ986" s="447"/>
      <c r="AR986" s="447"/>
      <c r="AS986" s="447"/>
      <c r="AT986" s="447"/>
      <c r="AU986" s="447"/>
      <c r="AV986" s="447"/>
      <c r="AW986" s="447"/>
      <c r="AX986" s="447"/>
      <c r="AY986" s="447"/>
      <c r="AZ986" s="447"/>
      <c r="BA986" s="447"/>
      <c r="BB986" s="447"/>
      <c r="BC986" s="447"/>
      <c r="BD986" s="447"/>
      <c r="BE986" s="447"/>
      <c r="BF986" s="447"/>
      <c r="BG986" s="447"/>
      <c r="BH986" s="447"/>
      <c r="BI986" s="447"/>
      <c r="BJ986" s="447"/>
      <c r="BK986" s="447"/>
      <c r="BL986" s="447"/>
      <c r="BM986" s="448"/>
      <c r="BN986" s="448"/>
    </row>
    <row r="987" spans="1:66" ht="11.25" customHeight="1">
      <c r="A987" s="450"/>
      <c r="B987" s="447"/>
      <c r="C987" s="447"/>
      <c r="D987" s="447"/>
      <c r="E987" s="447"/>
      <c r="F987" s="447"/>
      <c r="G987" s="447"/>
      <c r="H987" s="447"/>
      <c r="I987" s="447"/>
      <c r="J987" s="447"/>
      <c r="K987" s="447"/>
      <c r="L987" s="447"/>
      <c r="M987" s="447"/>
      <c r="N987" s="447"/>
      <c r="O987" s="447"/>
      <c r="P987" s="447"/>
      <c r="Q987" s="447"/>
      <c r="R987" s="447"/>
      <c r="S987" s="447"/>
      <c r="T987" s="447"/>
      <c r="U987" s="447"/>
      <c r="V987" s="447"/>
      <c r="W987" s="447"/>
      <c r="X987" s="447"/>
      <c r="Y987" s="447"/>
      <c r="Z987" s="447"/>
      <c r="AA987" s="447"/>
      <c r="AB987" s="447"/>
      <c r="AC987" s="447"/>
      <c r="AD987" s="447"/>
      <c r="AE987" s="447"/>
      <c r="AF987" s="448"/>
      <c r="AG987" s="448"/>
      <c r="AH987" s="449"/>
      <c r="AI987" s="447"/>
      <c r="AJ987" s="447"/>
      <c r="AK987" s="447"/>
      <c r="AL987" s="447"/>
      <c r="AM987" s="447"/>
      <c r="AN987" s="447"/>
      <c r="AO987" s="447"/>
      <c r="AP987" s="447"/>
      <c r="AQ987" s="447"/>
      <c r="AR987" s="447"/>
      <c r="AS987" s="447"/>
      <c r="AT987" s="447"/>
      <c r="AU987" s="447"/>
      <c r="AV987" s="447"/>
      <c r="AW987" s="447"/>
      <c r="AX987" s="447"/>
      <c r="AY987" s="447"/>
      <c r="AZ987" s="447"/>
      <c r="BA987" s="447"/>
      <c r="BB987" s="447"/>
      <c r="BC987" s="447"/>
      <c r="BD987" s="447"/>
      <c r="BE987" s="447"/>
      <c r="BF987" s="447"/>
      <c r="BG987" s="447"/>
      <c r="BH987" s="447"/>
      <c r="BI987" s="447"/>
      <c r="BJ987" s="447"/>
      <c r="BK987" s="447"/>
      <c r="BL987" s="447"/>
      <c r="BM987" s="448"/>
      <c r="BN987" s="448"/>
    </row>
    <row r="988" spans="1:66" ht="11.25" customHeight="1">
      <c r="A988" s="450"/>
      <c r="B988" s="447"/>
      <c r="C988" s="447"/>
      <c r="D988" s="447"/>
      <c r="E988" s="447"/>
      <c r="F988" s="447"/>
      <c r="G988" s="447"/>
      <c r="H988" s="447"/>
      <c r="I988" s="447"/>
      <c r="J988" s="447"/>
      <c r="K988" s="447"/>
      <c r="L988" s="447"/>
      <c r="M988" s="447"/>
      <c r="N988" s="447"/>
      <c r="O988" s="447"/>
      <c r="P988" s="447"/>
      <c r="Q988" s="447"/>
      <c r="R988" s="447"/>
      <c r="S988" s="447"/>
      <c r="T988" s="447"/>
      <c r="U988" s="447"/>
      <c r="V988" s="447"/>
      <c r="W988" s="447"/>
      <c r="X988" s="447"/>
      <c r="Y988" s="447"/>
      <c r="Z988" s="447"/>
      <c r="AA988" s="447"/>
      <c r="AB988" s="447"/>
      <c r="AC988" s="447"/>
      <c r="AD988" s="447"/>
      <c r="AE988" s="447"/>
      <c r="AF988" s="448"/>
      <c r="AG988" s="448"/>
      <c r="AH988" s="449"/>
      <c r="AI988" s="447"/>
      <c r="AJ988" s="447"/>
      <c r="AK988" s="447"/>
      <c r="AL988" s="447"/>
      <c r="AM988" s="447"/>
      <c r="AN988" s="447"/>
      <c r="AO988" s="447"/>
      <c r="AP988" s="447"/>
      <c r="AQ988" s="447"/>
      <c r="AR988" s="447"/>
      <c r="AS988" s="447"/>
      <c r="AT988" s="447"/>
      <c r="AU988" s="447"/>
      <c r="AV988" s="447"/>
      <c r="AW988" s="447"/>
      <c r="AX988" s="447"/>
      <c r="AY988" s="447"/>
      <c r="AZ988" s="447"/>
      <c r="BA988" s="447"/>
      <c r="BB988" s="447"/>
      <c r="BC988" s="447"/>
      <c r="BD988" s="447"/>
      <c r="BE988" s="447"/>
      <c r="BF988" s="447"/>
      <c r="BG988" s="447"/>
      <c r="BH988" s="447"/>
      <c r="BI988" s="447"/>
      <c r="BJ988" s="447"/>
      <c r="BK988" s="447"/>
      <c r="BL988" s="447"/>
      <c r="BM988" s="448"/>
      <c r="BN988" s="448"/>
    </row>
    <row r="989" spans="1:66" ht="11.25" customHeight="1">
      <c r="A989" s="450"/>
      <c r="B989" s="447"/>
      <c r="C989" s="447"/>
      <c r="D989" s="447"/>
      <c r="E989" s="447"/>
      <c r="F989" s="447"/>
      <c r="G989" s="447"/>
      <c r="H989" s="447"/>
      <c r="I989" s="447"/>
      <c r="J989" s="447"/>
      <c r="K989" s="447"/>
      <c r="L989" s="447"/>
      <c r="M989" s="447"/>
      <c r="N989" s="447"/>
      <c r="O989" s="447"/>
      <c r="P989" s="447"/>
      <c r="Q989" s="447"/>
      <c r="R989" s="447"/>
      <c r="S989" s="447"/>
      <c r="T989" s="447"/>
      <c r="U989" s="447"/>
      <c r="V989" s="447"/>
      <c r="W989" s="447"/>
      <c r="X989" s="447"/>
      <c r="Y989" s="447"/>
      <c r="Z989" s="447"/>
      <c r="AA989" s="447"/>
      <c r="AB989" s="447"/>
      <c r="AC989" s="447"/>
      <c r="AD989" s="447"/>
      <c r="AE989" s="447"/>
      <c r="AF989" s="448"/>
      <c r="AG989" s="448"/>
      <c r="AH989" s="449"/>
      <c r="AI989" s="447"/>
      <c r="AJ989" s="447"/>
      <c r="AK989" s="447"/>
      <c r="AL989" s="447"/>
      <c r="AM989" s="447"/>
      <c r="AN989" s="447"/>
      <c r="AO989" s="447"/>
      <c r="AP989" s="447"/>
      <c r="AQ989" s="447"/>
      <c r="AR989" s="447"/>
      <c r="AS989" s="447"/>
      <c r="AT989" s="447"/>
      <c r="AU989" s="447"/>
      <c r="AV989" s="447"/>
      <c r="AW989" s="447"/>
      <c r="AX989" s="447"/>
      <c r="AY989" s="447"/>
      <c r="AZ989" s="447"/>
      <c r="BA989" s="447"/>
      <c r="BB989" s="447"/>
      <c r="BC989" s="447"/>
      <c r="BD989" s="447"/>
      <c r="BE989" s="447"/>
      <c r="BF989" s="447"/>
      <c r="BG989" s="447"/>
      <c r="BH989" s="447"/>
      <c r="BI989" s="447"/>
      <c r="BJ989" s="447"/>
      <c r="BK989" s="447"/>
      <c r="BL989" s="447"/>
      <c r="BM989" s="448"/>
      <c r="BN989" s="448"/>
    </row>
    <row r="990" spans="1:66" ht="11.25" customHeight="1">
      <c r="A990" s="450"/>
      <c r="B990" s="447"/>
      <c r="C990" s="447"/>
      <c r="D990" s="447"/>
      <c r="E990" s="447"/>
      <c r="F990" s="447"/>
      <c r="G990" s="447"/>
      <c r="H990" s="447"/>
      <c r="I990" s="447"/>
      <c r="J990" s="447"/>
      <c r="K990" s="447"/>
      <c r="L990" s="447"/>
      <c r="M990" s="447"/>
      <c r="N990" s="447"/>
      <c r="O990" s="447"/>
      <c r="P990" s="447"/>
      <c r="Q990" s="447"/>
      <c r="R990" s="447"/>
      <c r="S990" s="447"/>
      <c r="T990" s="447"/>
      <c r="U990" s="447"/>
      <c r="V990" s="447"/>
      <c r="W990" s="447"/>
      <c r="X990" s="447"/>
      <c r="Y990" s="447"/>
      <c r="Z990" s="447"/>
      <c r="AA990" s="447"/>
      <c r="AB990" s="447"/>
      <c r="AC990" s="447"/>
      <c r="AD990" s="447"/>
      <c r="AE990" s="447"/>
      <c r="AF990" s="448"/>
      <c r="AG990" s="448"/>
      <c r="AH990" s="449"/>
      <c r="AI990" s="447"/>
      <c r="AJ990" s="447"/>
      <c r="AK990" s="447"/>
      <c r="AL990" s="447"/>
      <c r="AM990" s="447"/>
      <c r="AN990" s="447"/>
      <c r="AO990" s="447"/>
      <c r="AP990" s="447"/>
      <c r="AQ990" s="447"/>
      <c r="AR990" s="447"/>
      <c r="AS990" s="447"/>
      <c r="AT990" s="447"/>
      <c r="AU990" s="447"/>
      <c r="AV990" s="447"/>
      <c r="AW990" s="447"/>
      <c r="AX990" s="447"/>
      <c r="AY990" s="447"/>
      <c r="AZ990" s="447"/>
      <c r="BA990" s="447"/>
      <c r="BB990" s="447"/>
      <c r="BC990" s="447"/>
      <c r="BD990" s="447"/>
      <c r="BE990" s="447"/>
      <c r="BF990" s="447"/>
      <c r="BG990" s="447"/>
      <c r="BH990" s="447"/>
      <c r="BI990" s="447"/>
      <c r="BJ990" s="447"/>
      <c r="BK990" s="447"/>
      <c r="BL990" s="447"/>
      <c r="BM990" s="448"/>
      <c r="BN990" s="448"/>
    </row>
    <row r="991" spans="1:66" ht="11.25" customHeight="1">
      <c r="A991" s="450"/>
      <c r="B991" s="447"/>
      <c r="C991" s="447"/>
      <c r="D991" s="447"/>
      <c r="E991" s="447"/>
      <c r="F991" s="447"/>
      <c r="G991" s="447"/>
      <c r="H991" s="447"/>
      <c r="I991" s="447"/>
      <c r="J991" s="447"/>
      <c r="K991" s="447"/>
      <c r="L991" s="447"/>
      <c r="M991" s="447"/>
      <c r="N991" s="447"/>
      <c r="O991" s="447"/>
      <c r="P991" s="447"/>
      <c r="Q991" s="447"/>
      <c r="R991" s="447"/>
      <c r="S991" s="447"/>
      <c r="T991" s="447"/>
      <c r="U991" s="447"/>
      <c r="V991" s="447"/>
      <c r="W991" s="447"/>
      <c r="X991" s="447"/>
      <c r="Y991" s="447"/>
      <c r="Z991" s="447"/>
      <c r="AA991" s="447"/>
      <c r="AB991" s="447"/>
      <c r="AC991" s="447"/>
      <c r="AD991" s="447"/>
      <c r="AE991" s="447"/>
      <c r="AF991" s="448"/>
      <c r="AG991" s="448"/>
      <c r="AH991" s="449"/>
      <c r="AI991" s="447"/>
      <c r="AJ991" s="447"/>
      <c r="AK991" s="447"/>
      <c r="AL991" s="447"/>
      <c r="AM991" s="447"/>
      <c r="AN991" s="447"/>
      <c r="AO991" s="447"/>
      <c r="AP991" s="447"/>
      <c r="AQ991" s="447"/>
      <c r="AR991" s="447"/>
      <c r="AS991" s="447"/>
      <c r="AT991" s="447"/>
      <c r="AU991" s="447"/>
      <c r="AV991" s="447"/>
      <c r="AW991" s="447"/>
      <c r="AX991" s="447"/>
      <c r="AY991" s="447"/>
      <c r="AZ991" s="447"/>
      <c r="BA991" s="447"/>
      <c r="BB991" s="447"/>
      <c r="BC991" s="447"/>
      <c r="BD991" s="447"/>
      <c r="BE991" s="447"/>
      <c r="BF991" s="447"/>
      <c r="BG991" s="447"/>
      <c r="BH991" s="447"/>
      <c r="BI991" s="447"/>
      <c r="BJ991" s="447"/>
      <c r="BK991" s="447"/>
      <c r="BL991" s="447"/>
      <c r="BM991" s="448"/>
      <c r="BN991" s="448"/>
    </row>
    <row r="992" spans="1:66" ht="11.25" customHeight="1">
      <c r="A992" s="450"/>
      <c r="B992" s="447"/>
      <c r="C992" s="447"/>
      <c r="D992" s="447"/>
      <c r="E992" s="447"/>
      <c r="F992" s="447"/>
      <c r="G992" s="447"/>
      <c r="H992" s="447"/>
      <c r="I992" s="447"/>
      <c r="J992" s="447"/>
      <c r="K992" s="447"/>
      <c r="L992" s="447"/>
      <c r="M992" s="447"/>
      <c r="N992" s="447"/>
      <c r="O992" s="447"/>
      <c r="P992" s="447"/>
      <c r="Q992" s="447"/>
      <c r="R992" s="447"/>
      <c r="S992" s="447"/>
      <c r="T992" s="447"/>
      <c r="U992" s="447"/>
      <c r="V992" s="447"/>
      <c r="W992" s="447"/>
      <c r="X992" s="447"/>
      <c r="Y992" s="447"/>
      <c r="Z992" s="447"/>
      <c r="AA992" s="447"/>
      <c r="AB992" s="447"/>
      <c r="AC992" s="447"/>
      <c r="AD992" s="447"/>
      <c r="AE992" s="447"/>
      <c r="AF992" s="448"/>
      <c r="AG992" s="448"/>
      <c r="AH992" s="449"/>
      <c r="AI992" s="447"/>
      <c r="AJ992" s="447"/>
      <c r="AK992" s="447"/>
      <c r="AL992" s="447"/>
      <c r="AM992" s="447"/>
      <c r="AN992" s="447"/>
      <c r="AO992" s="447"/>
      <c r="AP992" s="447"/>
      <c r="AQ992" s="447"/>
      <c r="AR992" s="447"/>
      <c r="AS992" s="447"/>
      <c r="AT992" s="447"/>
      <c r="AU992" s="447"/>
      <c r="AV992" s="447"/>
      <c r="AW992" s="447"/>
      <c r="AX992" s="447"/>
      <c r="AY992" s="447"/>
      <c r="AZ992" s="447"/>
      <c r="BA992" s="447"/>
      <c r="BB992" s="447"/>
      <c r="BC992" s="447"/>
      <c r="BD992" s="447"/>
      <c r="BE992" s="447"/>
      <c r="BF992" s="447"/>
      <c r="BG992" s="447"/>
      <c r="BH992" s="447"/>
      <c r="BI992" s="447"/>
      <c r="BJ992" s="447"/>
      <c r="BK992" s="447"/>
      <c r="BL992" s="447"/>
      <c r="BM992" s="448"/>
      <c r="BN992" s="448"/>
    </row>
    <row r="993" spans="1:66" ht="11.25" customHeight="1">
      <c r="A993" s="450"/>
      <c r="B993" s="447"/>
      <c r="C993" s="447"/>
      <c r="D993" s="447"/>
      <c r="E993" s="447"/>
      <c r="F993" s="447"/>
      <c r="G993" s="447"/>
      <c r="H993" s="447"/>
      <c r="I993" s="447"/>
      <c r="J993" s="447"/>
      <c r="K993" s="447"/>
      <c r="L993" s="447"/>
      <c r="M993" s="447"/>
      <c r="N993" s="447"/>
      <c r="O993" s="447"/>
      <c r="P993" s="447"/>
      <c r="Q993" s="447"/>
      <c r="R993" s="447"/>
      <c r="S993" s="447"/>
      <c r="T993" s="447"/>
      <c r="U993" s="447"/>
      <c r="V993" s="447"/>
      <c r="W993" s="447"/>
      <c r="X993" s="447"/>
      <c r="Y993" s="447"/>
      <c r="Z993" s="447"/>
      <c r="AA993" s="447"/>
      <c r="AB993" s="447"/>
      <c r="AC993" s="447"/>
      <c r="AD993" s="447"/>
      <c r="AE993" s="447"/>
      <c r="AF993" s="448"/>
      <c r="AG993" s="448"/>
      <c r="AH993" s="449"/>
      <c r="AI993" s="447"/>
      <c r="AJ993" s="447"/>
      <c r="AK993" s="447"/>
      <c r="AL993" s="447"/>
      <c r="AM993" s="447"/>
      <c r="AN993" s="447"/>
      <c r="AO993" s="447"/>
      <c r="AP993" s="447"/>
      <c r="AQ993" s="447"/>
      <c r="AR993" s="447"/>
      <c r="AS993" s="447"/>
      <c r="AT993" s="447"/>
      <c r="AU993" s="447"/>
      <c r="AV993" s="447"/>
      <c r="AW993" s="447"/>
      <c r="AX993" s="447"/>
      <c r="AY993" s="447"/>
      <c r="AZ993" s="447"/>
      <c r="BA993" s="447"/>
      <c r="BB993" s="447"/>
      <c r="BC993" s="447"/>
      <c r="BD993" s="447"/>
      <c r="BE993" s="447"/>
      <c r="BF993" s="447"/>
      <c r="BG993" s="447"/>
      <c r="BH993" s="447"/>
      <c r="BI993" s="447"/>
      <c r="BJ993" s="447"/>
      <c r="BK993" s="447"/>
      <c r="BL993" s="447"/>
      <c r="BM993" s="448"/>
      <c r="BN993" s="448"/>
    </row>
    <row r="994" spans="1:66" ht="11.25" customHeight="1">
      <c r="A994" s="450"/>
      <c r="B994" s="447"/>
      <c r="C994" s="447"/>
      <c r="D994" s="447"/>
      <c r="E994" s="447"/>
      <c r="F994" s="447"/>
      <c r="G994" s="447"/>
      <c r="H994" s="447"/>
      <c r="I994" s="447"/>
      <c r="J994" s="447"/>
      <c r="K994" s="447"/>
      <c r="L994" s="447"/>
      <c r="M994" s="447"/>
      <c r="N994" s="447"/>
      <c r="O994" s="447"/>
      <c r="P994" s="447"/>
      <c r="Q994" s="447"/>
      <c r="R994" s="447"/>
      <c r="S994" s="447"/>
      <c r="T994" s="447"/>
      <c r="U994" s="447"/>
      <c r="V994" s="447"/>
      <c r="W994" s="447"/>
      <c r="X994" s="447"/>
      <c r="Y994" s="447"/>
      <c r="Z994" s="447"/>
      <c r="AA994" s="447"/>
      <c r="AB994" s="447"/>
      <c r="AC994" s="447"/>
      <c r="AD994" s="447"/>
      <c r="AE994" s="447"/>
      <c r="AF994" s="448"/>
      <c r="AG994" s="448"/>
      <c r="AH994" s="449"/>
      <c r="AI994" s="447"/>
      <c r="AJ994" s="447"/>
      <c r="AK994" s="447"/>
      <c r="AL994" s="447"/>
      <c r="AM994" s="447"/>
      <c r="AN994" s="447"/>
      <c r="AO994" s="447"/>
      <c r="AP994" s="447"/>
      <c r="AQ994" s="447"/>
      <c r="AR994" s="447"/>
      <c r="AS994" s="447"/>
      <c r="AT994" s="447"/>
      <c r="AU994" s="447"/>
      <c r="AV994" s="447"/>
      <c r="AW994" s="447"/>
      <c r="AX994" s="447"/>
      <c r="AY994" s="447"/>
      <c r="AZ994" s="447"/>
      <c r="BA994" s="447"/>
      <c r="BB994" s="447"/>
      <c r="BC994" s="447"/>
      <c r="BD994" s="447"/>
      <c r="BE994" s="447"/>
      <c r="BF994" s="447"/>
      <c r="BG994" s="447"/>
      <c r="BH994" s="447"/>
      <c r="BI994" s="447"/>
      <c r="BJ994" s="447"/>
      <c r="BK994" s="447"/>
      <c r="BL994" s="447"/>
      <c r="BM994" s="448"/>
      <c r="BN994" s="448"/>
    </row>
    <row r="995" spans="1:66" ht="11.25" customHeight="1">
      <c r="A995" s="450"/>
      <c r="B995" s="447"/>
      <c r="C995" s="447"/>
      <c r="D995" s="447"/>
      <c r="E995" s="447"/>
      <c r="F995" s="447"/>
      <c r="G995" s="447"/>
      <c r="H995" s="447"/>
      <c r="I995" s="447"/>
      <c r="J995" s="447"/>
      <c r="K995" s="447"/>
      <c r="L995" s="447"/>
      <c r="M995" s="447"/>
      <c r="N995" s="447"/>
      <c r="O995" s="447"/>
      <c r="P995" s="447"/>
      <c r="Q995" s="447"/>
      <c r="R995" s="447"/>
      <c r="S995" s="447"/>
      <c r="T995" s="447"/>
      <c r="U995" s="447"/>
      <c r="V995" s="447"/>
      <c r="W995" s="447"/>
      <c r="X995" s="447"/>
      <c r="Y995" s="447"/>
      <c r="Z995" s="447"/>
      <c r="AA995" s="447"/>
      <c r="AB995" s="447"/>
      <c r="AC995" s="447"/>
      <c r="AD995" s="447"/>
      <c r="AE995" s="447"/>
      <c r="AF995" s="448"/>
      <c r="AG995" s="448"/>
      <c r="AH995" s="449"/>
      <c r="AI995" s="447"/>
      <c r="AJ995" s="447"/>
      <c r="AK995" s="447"/>
      <c r="AL995" s="447"/>
      <c r="AM995" s="447"/>
      <c r="AN995" s="447"/>
      <c r="AO995" s="447"/>
      <c r="AP995" s="447"/>
      <c r="AQ995" s="447"/>
      <c r="AR995" s="447"/>
      <c r="AS995" s="447"/>
      <c r="AT995" s="447"/>
      <c r="AU995" s="447"/>
      <c r="AV995" s="447"/>
      <c r="AW995" s="447"/>
      <c r="AX995" s="447"/>
      <c r="AY995" s="447"/>
      <c r="AZ995" s="447"/>
      <c r="BA995" s="447"/>
      <c r="BB995" s="447"/>
      <c r="BC995" s="447"/>
      <c r="BD995" s="447"/>
      <c r="BE995" s="447"/>
      <c r="BF995" s="447"/>
      <c r="BG995" s="447"/>
      <c r="BH995" s="447"/>
      <c r="BI995" s="447"/>
      <c r="BJ995" s="447"/>
      <c r="BK995" s="447"/>
      <c r="BL995" s="447"/>
      <c r="BM995" s="448"/>
      <c r="BN995" s="448"/>
    </row>
    <row r="996" spans="1:66" ht="11.25" customHeight="1">
      <c r="A996" s="450"/>
      <c r="B996" s="447"/>
      <c r="C996" s="447"/>
      <c r="D996" s="447"/>
      <c r="E996" s="447"/>
      <c r="F996" s="447"/>
      <c r="G996" s="447"/>
      <c r="H996" s="447"/>
      <c r="I996" s="447"/>
      <c r="J996" s="447"/>
      <c r="K996" s="447"/>
      <c r="L996" s="447"/>
      <c r="M996" s="447"/>
      <c r="N996" s="447"/>
      <c r="O996" s="447"/>
      <c r="P996" s="447"/>
      <c r="Q996" s="447"/>
      <c r="R996" s="447"/>
      <c r="S996" s="447"/>
      <c r="T996" s="447"/>
      <c r="U996" s="447"/>
      <c r="V996" s="447"/>
      <c r="W996" s="447"/>
      <c r="X996" s="447"/>
      <c r="Y996" s="447"/>
      <c r="Z996" s="447"/>
      <c r="AA996" s="447"/>
      <c r="AB996" s="447"/>
      <c r="AC996" s="447"/>
      <c r="AD996" s="447"/>
      <c r="AE996" s="447"/>
      <c r="AF996" s="448"/>
      <c r="AG996" s="448"/>
      <c r="AH996" s="449"/>
      <c r="AI996" s="447"/>
      <c r="AJ996" s="447"/>
      <c r="AK996" s="447"/>
      <c r="AL996" s="447"/>
      <c r="AM996" s="447"/>
      <c r="AN996" s="447"/>
      <c r="AO996" s="447"/>
      <c r="AP996" s="447"/>
      <c r="AQ996" s="447"/>
      <c r="AR996" s="447"/>
      <c r="AS996" s="447"/>
      <c r="AT996" s="447"/>
      <c r="AU996" s="447"/>
      <c r="AV996" s="447"/>
      <c r="AW996" s="447"/>
      <c r="AX996" s="447"/>
      <c r="AY996" s="447"/>
      <c r="AZ996" s="447"/>
      <c r="BA996" s="447"/>
      <c r="BB996" s="447"/>
      <c r="BC996" s="447"/>
      <c r="BD996" s="447"/>
      <c r="BE996" s="447"/>
      <c r="BF996" s="447"/>
      <c r="BG996" s="447"/>
      <c r="BH996" s="447"/>
      <c r="BI996" s="447"/>
      <c r="BJ996" s="447"/>
      <c r="BK996" s="447"/>
      <c r="BL996" s="447"/>
      <c r="BM996" s="448"/>
      <c r="BN996" s="448"/>
    </row>
    <row r="997" spans="1:66" ht="11.25" customHeight="1">
      <c r="A997" s="450"/>
      <c r="B997" s="447"/>
      <c r="C997" s="447"/>
      <c r="D997" s="447"/>
      <c r="E997" s="447"/>
      <c r="F997" s="447"/>
      <c r="G997" s="447"/>
      <c r="H997" s="447"/>
      <c r="I997" s="447"/>
      <c r="J997" s="447"/>
      <c r="K997" s="447"/>
      <c r="L997" s="447"/>
      <c r="M997" s="447"/>
      <c r="N997" s="447"/>
      <c r="O997" s="447"/>
      <c r="P997" s="447"/>
      <c r="Q997" s="447"/>
      <c r="R997" s="447"/>
      <c r="S997" s="447"/>
      <c r="T997" s="447"/>
      <c r="U997" s="447"/>
      <c r="V997" s="447"/>
      <c r="W997" s="447"/>
      <c r="X997" s="447"/>
      <c r="Y997" s="447"/>
      <c r="Z997" s="447"/>
      <c r="AA997" s="447"/>
      <c r="AB997" s="447"/>
      <c r="AC997" s="447"/>
      <c r="AD997" s="447"/>
      <c r="AE997" s="447"/>
      <c r="AF997" s="448"/>
      <c r="AG997" s="448"/>
      <c r="AH997" s="449"/>
      <c r="AI997" s="447"/>
      <c r="AJ997" s="447"/>
      <c r="AK997" s="447"/>
      <c r="AL997" s="447"/>
      <c r="AM997" s="447"/>
      <c r="AN997" s="447"/>
      <c r="AO997" s="447"/>
      <c r="AP997" s="447"/>
      <c r="AQ997" s="447"/>
      <c r="AR997" s="447"/>
      <c r="AS997" s="447"/>
      <c r="AT997" s="447"/>
      <c r="AU997" s="447"/>
      <c r="AV997" s="447"/>
      <c r="AW997" s="447"/>
      <c r="AX997" s="447"/>
      <c r="AY997" s="447"/>
      <c r="AZ997" s="447"/>
      <c r="BA997" s="447"/>
      <c r="BB997" s="447"/>
      <c r="BC997" s="447"/>
      <c r="BD997" s="447"/>
      <c r="BE997" s="447"/>
      <c r="BF997" s="447"/>
      <c r="BG997" s="447"/>
      <c r="BH997" s="447"/>
      <c r="BI997" s="447"/>
      <c r="BJ997" s="447"/>
      <c r="BK997" s="447"/>
      <c r="BL997" s="447"/>
      <c r="BM997" s="448"/>
      <c r="BN997" s="448"/>
    </row>
    <row r="998" spans="1:66" ht="11.25" customHeight="1">
      <c r="A998" s="450"/>
      <c r="B998" s="447"/>
      <c r="C998" s="447"/>
      <c r="D998" s="447"/>
      <c r="E998" s="447"/>
      <c r="F998" s="447"/>
      <c r="G998" s="447"/>
      <c r="H998" s="447"/>
      <c r="I998" s="447"/>
      <c r="J998" s="447"/>
      <c r="K998" s="447"/>
      <c r="L998" s="447"/>
      <c r="M998" s="447"/>
      <c r="N998" s="447"/>
      <c r="O998" s="447"/>
      <c r="P998" s="447"/>
      <c r="Q998" s="447"/>
      <c r="R998" s="447"/>
      <c r="S998" s="447"/>
      <c r="T998" s="447"/>
      <c r="U998" s="447"/>
      <c r="V998" s="447"/>
      <c r="W998" s="447"/>
      <c r="X998" s="447"/>
      <c r="Y998" s="447"/>
      <c r="Z998" s="447"/>
      <c r="AA998" s="447"/>
      <c r="AB998" s="447"/>
      <c r="AC998" s="447"/>
      <c r="AD998" s="447"/>
      <c r="AE998" s="447"/>
      <c r="AF998" s="448"/>
      <c r="AG998" s="448"/>
      <c r="AH998" s="449"/>
      <c r="AI998" s="447"/>
      <c r="AJ998" s="447"/>
      <c r="AK998" s="447"/>
      <c r="AL998" s="447"/>
      <c r="AM998" s="447"/>
      <c r="AN998" s="447"/>
      <c r="AO998" s="447"/>
      <c r="AP998" s="447"/>
      <c r="AQ998" s="447"/>
      <c r="AR998" s="447"/>
      <c r="AS998" s="447"/>
      <c r="AT998" s="447"/>
      <c r="AU998" s="447"/>
      <c r="AV998" s="447"/>
      <c r="AW998" s="447"/>
      <c r="AX998" s="447"/>
      <c r="AY998" s="447"/>
      <c r="AZ998" s="447"/>
      <c r="BA998" s="447"/>
      <c r="BB998" s="447"/>
      <c r="BC998" s="447"/>
      <c r="BD998" s="447"/>
      <c r="BE998" s="447"/>
      <c r="BF998" s="447"/>
      <c r="BG998" s="447"/>
      <c r="BH998" s="447"/>
      <c r="BI998" s="447"/>
      <c r="BJ998" s="447"/>
      <c r="BK998" s="447"/>
      <c r="BL998" s="447"/>
      <c r="BM998" s="448"/>
      <c r="BN998" s="448"/>
    </row>
    <row r="999" spans="1:66" ht="11.25" customHeight="1">
      <c r="A999" s="450"/>
      <c r="B999" s="447"/>
      <c r="C999" s="447"/>
      <c r="D999" s="447"/>
      <c r="E999" s="447"/>
      <c r="F999" s="447"/>
      <c r="G999" s="447"/>
      <c r="H999" s="447"/>
      <c r="I999" s="447"/>
      <c r="J999" s="447"/>
      <c r="K999" s="447"/>
      <c r="L999" s="447"/>
      <c r="M999" s="447"/>
      <c r="N999" s="447"/>
      <c r="O999" s="447"/>
      <c r="P999" s="447"/>
      <c r="Q999" s="447"/>
      <c r="R999" s="447"/>
      <c r="S999" s="447"/>
      <c r="T999" s="447"/>
      <c r="U999" s="447"/>
      <c r="V999" s="447"/>
      <c r="W999" s="447"/>
      <c r="X999" s="447"/>
      <c r="Y999" s="447"/>
      <c r="Z999" s="447"/>
      <c r="AA999" s="447"/>
      <c r="AB999" s="447"/>
      <c r="AC999" s="447"/>
      <c r="AD999" s="447"/>
      <c r="AE999" s="447"/>
      <c r="AF999" s="448"/>
      <c r="AG999" s="448"/>
      <c r="AH999" s="449"/>
      <c r="AI999" s="447"/>
      <c r="AJ999" s="447"/>
      <c r="AK999" s="447"/>
      <c r="AL999" s="447"/>
      <c r="AM999" s="447"/>
      <c r="AN999" s="447"/>
      <c r="AO999" s="447"/>
      <c r="AP999" s="447"/>
      <c r="AQ999" s="447"/>
      <c r="AR999" s="447"/>
      <c r="AS999" s="447"/>
      <c r="AT999" s="447"/>
      <c r="AU999" s="447"/>
      <c r="AV999" s="447"/>
      <c r="AW999" s="447"/>
      <c r="AX999" s="447"/>
      <c r="AY999" s="447"/>
      <c r="AZ999" s="447"/>
      <c r="BA999" s="447"/>
      <c r="BB999" s="447"/>
      <c r="BC999" s="447"/>
      <c r="BD999" s="447"/>
      <c r="BE999" s="447"/>
      <c r="BF999" s="447"/>
      <c r="BG999" s="447"/>
      <c r="BH999" s="447"/>
      <c r="BI999" s="447"/>
      <c r="BJ999" s="447"/>
      <c r="BK999" s="447"/>
      <c r="BL999" s="447"/>
      <c r="BM999" s="448"/>
      <c r="BN999" s="448"/>
    </row>
    <row r="1000" spans="1:66" ht="11.25" customHeight="1">
      <c r="A1000" s="450"/>
      <c r="B1000" s="447"/>
      <c r="C1000" s="447"/>
      <c r="D1000" s="447"/>
      <c r="E1000" s="447"/>
      <c r="F1000" s="447"/>
      <c r="G1000" s="447"/>
      <c r="H1000" s="447"/>
      <c r="I1000" s="447"/>
      <c r="J1000" s="447"/>
      <c r="K1000" s="447"/>
      <c r="L1000" s="447"/>
      <c r="M1000" s="447"/>
      <c r="N1000" s="447"/>
      <c r="O1000" s="447"/>
      <c r="P1000" s="447"/>
      <c r="Q1000" s="447"/>
      <c r="R1000" s="447"/>
      <c r="S1000" s="447"/>
      <c r="T1000" s="447"/>
      <c r="U1000" s="447"/>
      <c r="V1000" s="447"/>
      <c r="W1000" s="447"/>
      <c r="X1000" s="447"/>
      <c r="Y1000" s="447"/>
      <c r="Z1000" s="447"/>
      <c r="AA1000" s="447"/>
      <c r="AB1000" s="447"/>
      <c r="AC1000" s="447"/>
      <c r="AD1000" s="447"/>
      <c r="AE1000" s="447"/>
      <c r="AF1000" s="448"/>
      <c r="AG1000" s="448"/>
      <c r="AH1000" s="449"/>
      <c r="AI1000" s="447"/>
      <c r="AJ1000" s="447"/>
      <c r="AK1000" s="447"/>
      <c r="AL1000" s="447"/>
      <c r="AM1000" s="447"/>
      <c r="AN1000" s="447"/>
      <c r="AO1000" s="447"/>
      <c r="AP1000" s="447"/>
      <c r="AQ1000" s="447"/>
      <c r="AR1000" s="447"/>
      <c r="AS1000" s="447"/>
      <c r="AT1000" s="447"/>
      <c r="AU1000" s="447"/>
      <c r="AV1000" s="447"/>
      <c r="AW1000" s="447"/>
      <c r="AX1000" s="447"/>
      <c r="AY1000" s="447"/>
      <c r="AZ1000" s="447"/>
      <c r="BA1000" s="447"/>
      <c r="BB1000" s="447"/>
      <c r="BC1000" s="447"/>
      <c r="BD1000" s="447"/>
      <c r="BE1000" s="447"/>
      <c r="BF1000" s="447"/>
      <c r="BG1000" s="447"/>
      <c r="BH1000" s="447"/>
      <c r="BI1000" s="447"/>
      <c r="BJ1000" s="447"/>
      <c r="BK1000" s="447"/>
      <c r="BL1000" s="447"/>
      <c r="BM1000" s="448"/>
      <c r="BN1000" s="448"/>
    </row>
  </sheetData>
  <mergeCells count="215">
    <mergeCell ref="AI30:BL30"/>
    <mergeCell ref="B31:AE31"/>
    <mergeCell ref="B32:AE32"/>
    <mergeCell ref="AI28:BL28"/>
    <mergeCell ref="AI29:BL29"/>
    <mergeCell ref="AI21:BL21"/>
    <mergeCell ref="AI22:BL22"/>
    <mergeCell ref="AI23:BL23"/>
    <mergeCell ref="AI24:BL24"/>
    <mergeCell ref="AI25:BL25"/>
    <mergeCell ref="AI26:BL26"/>
    <mergeCell ref="AI27:BL27"/>
    <mergeCell ref="B1:BN1"/>
    <mergeCell ref="B2:BN2"/>
    <mergeCell ref="B3:BN3"/>
    <mergeCell ref="B4:BN4"/>
    <mergeCell ref="B5:AE5"/>
    <mergeCell ref="AI5:BL5"/>
    <mergeCell ref="AI6:BL6"/>
    <mergeCell ref="B6:AE6"/>
    <mergeCell ref="B7:AE7"/>
    <mergeCell ref="B8:AE8"/>
    <mergeCell ref="B9:AE9"/>
    <mergeCell ref="B10:AE10"/>
    <mergeCell ref="B11:AE11"/>
    <mergeCell ref="B12:AE12"/>
    <mergeCell ref="AI7:BL7"/>
    <mergeCell ref="AI8:BL8"/>
    <mergeCell ref="AI9:BL9"/>
    <mergeCell ref="AI10:BL10"/>
    <mergeCell ref="AI11:BL11"/>
    <mergeCell ref="AI12:BL12"/>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31:BL31"/>
    <mergeCell ref="AI32:BL32"/>
    <mergeCell ref="B27:AE27"/>
    <mergeCell ref="B28:AE28"/>
    <mergeCell ref="B29:AE29"/>
    <mergeCell ref="B30:AE30"/>
    <mergeCell ref="AI60:BL60"/>
    <mergeCell ref="AI61:BL61"/>
    <mergeCell ref="AI62:BL62"/>
    <mergeCell ref="AI63:BL63"/>
    <mergeCell ref="AI64:BL64"/>
    <mergeCell ref="AI65:BL65"/>
    <mergeCell ref="AI66:BL66"/>
    <mergeCell ref="AI67:BL67"/>
    <mergeCell ref="AI40:BL40"/>
    <mergeCell ref="AI41:BL41"/>
    <mergeCell ref="AI54:BL54"/>
    <mergeCell ref="AI55:BL55"/>
    <mergeCell ref="AI56:BL56"/>
    <mergeCell ref="AI57:BL57"/>
    <mergeCell ref="AI58:BL58"/>
    <mergeCell ref="AI59:BL59"/>
    <mergeCell ref="AI68:BL68"/>
    <mergeCell ref="AI69:BL69"/>
    <mergeCell ref="AI70:BL70"/>
    <mergeCell ref="AI71:BL71"/>
    <mergeCell ref="AI72:BL72"/>
    <mergeCell ref="AI73:BL73"/>
    <mergeCell ref="AI74:BL74"/>
    <mergeCell ref="AI75:BL75"/>
    <mergeCell ref="AI76:BL76"/>
    <mergeCell ref="AI77:BL77"/>
    <mergeCell ref="AI78:BL78"/>
    <mergeCell ref="AI79:BL79"/>
    <mergeCell ref="AI80:BL80"/>
    <mergeCell ref="AI81:BL81"/>
    <mergeCell ref="AI82:BL82"/>
    <mergeCell ref="AI83:BL83"/>
    <mergeCell ref="AI84:BL84"/>
    <mergeCell ref="AI85:BL85"/>
    <mergeCell ref="AI86:BL86"/>
    <mergeCell ref="AI87:BL87"/>
    <mergeCell ref="AI88:BL88"/>
    <mergeCell ref="AI89:BL89"/>
    <mergeCell ref="AI90:BL90"/>
    <mergeCell ref="AI91:BL91"/>
    <mergeCell ref="AI92:BL92"/>
    <mergeCell ref="AI93:BL93"/>
    <mergeCell ref="AI94:BL94"/>
    <mergeCell ref="AI102:BL102"/>
    <mergeCell ref="AI103:BL103"/>
    <mergeCell ref="AI104:BL104"/>
    <mergeCell ref="AI106:BL106"/>
    <mergeCell ref="AI107:BL107"/>
    <mergeCell ref="AZ117:BL117"/>
    <mergeCell ref="AW118:BM119"/>
    <mergeCell ref="AW120:BM122"/>
    <mergeCell ref="AI95:BL95"/>
    <mergeCell ref="AI96:BL96"/>
    <mergeCell ref="AI97:BL97"/>
    <mergeCell ref="AI98:BL98"/>
    <mergeCell ref="AI99:BL99"/>
    <mergeCell ref="AI100:BL100"/>
    <mergeCell ref="AI101:BL101"/>
    <mergeCell ref="B38:AE38"/>
    <mergeCell ref="B39:AE39"/>
    <mergeCell ref="AI39:BL39"/>
    <mergeCell ref="B40:AE40"/>
    <mergeCell ref="B41:AE41"/>
    <mergeCell ref="B42:AE42"/>
    <mergeCell ref="AI42:BL42"/>
    <mergeCell ref="B43:AE43"/>
    <mergeCell ref="AI43:BL43"/>
    <mergeCell ref="AI38:BL38"/>
    <mergeCell ref="B44:AE44"/>
    <mergeCell ref="AI44:BL44"/>
    <mergeCell ref="AI45:BL45"/>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AI53:BL53"/>
    <mergeCell ref="B70:AE70"/>
    <mergeCell ref="B94:AE94"/>
    <mergeCell ref="B95:AE95"/>
    <mergeCell ref="B96:AE96"/>
    <mergeCell ref="B97:AE97"/>
    <mergeCell ref="B98:AE98"/>
    <mergeCell ref="B99:AE99"/>
    <mergeCell ref="B100:AE100"/>
    <mergeCell ref="B101:AE101"/>
    <mergeCell ref="B61:AE61"/>
    <mergeCell ref="B62:AE62"/>
    <mergeCell ref="B63:AE63"/>
    <mergeCell ref="B64:AE64"/>
    <mergeCell ref="B65:AE65"/>
    <mergeCell ref="B66:AE66"/>
    <mergeCell ref="B67:AE67"/>
    <mergeCell ref="B68:AE68"/>
    <mergeCell ref="B69:AE69"/>
    <mergeCell ref="B52:AE52"/>
    <mergeCell ref="B53:AE53"/>
    <mergeCell ref="B54:AE54"/>
    <mergeCell ref="B55:AE55"/>
    <mergeCell ref="B56:AE56"/>
    <mergeCell ref="B57:AE57"/>
    <mergeCell ref="B58:AE58"/>
    <mergeCell ref="B59:AE59"/>
    <mergeCell ref="B60:AE60"/>
    <mergeCell ref="B71:AE71"/>
    <mergeCell ref="B72:AE72"/>
    <mergeCell ref="B73:AE73"/>
    <mergeCell ref="B74:AE74"/>
    <mergeCell ref="B75:AE75"/>
    <mergeCell ref="B76:AE76"/>
    <mergeCell ref="B77:AE77"/>
    <mergeCell ref="B78:AE78"/>
    <mergeCell ref="B79:AE79"/>
    <mergeCell ref="B89:AE89"/>
    <mergeCell ref="B90:AE90"/>
    <mergeCell ref="B91:AE91"/>
    <mergeCell ref="B92:AE92"/>
    <mergeCell ref="B93:AE93"/>
    <mergeCell ref="S117:AE117"/>
    <mergeCell ref="Q118:AF119"/>
    <mergeCell ref="Q120:AF122"/>
    <mergeCell ref="B80:AE80"/>
    <mergeCell ref="B81:AE81"/>
    <mergeCell ref="B82:AE82"/>
    <mergeCell ref="B83:AE83"/>
    <mergeCell ref="B84:AE84"/>
    <mergeCell ref="B85:AE85"/>
    <mergeCell ref="B86:AE86"/>
    <mergeCell ref="B87:AE87"/>
    <mergeCell ref="B88:AE88"/>
    <mergeCell ref="B103:AE103"/>
    <mergeCell ref="B104:AE104"/>
    <mergeCell ref="B105:AE105"/>
    <mergeCell ref="B106:AE106"/>
    <mergeCell ref="B107:AE107"/>
    <mergeCell ref="B102:AE102"/>
  </mergeCells>
  <printOptions horizontalCentered="1"/>
  <pageMargins left="0.39370078740157483" right="0.39370078740157483" top="0.43307086614173229" bottom="0.86614173228346458" header="0" footer="0"/>
  <pageSetup orientation="landscape"/>
  <headerFooter>
    <oddFooter>&amp;REstado Analítico de Situación Financiera Página &amp;P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D8D8D8"/>
    <pageSetUpPr fitToPage="1"/>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7109375" customWidth="1"/>
    <col min="2" max="30" width="2.85546875" customWidth="1"/>
    <col min="31" max="31" width="4.28515625" customWidth="1"/>
    <col min="32" max="33" width="22.85546875" customWidth="1"/>
    <col min="34" max="63" width="2.85546875" customWidth="1"/>
    <col min="64" max="64" width="4.140625" customWidth="1"/>
    <col min="65" max="66" width="22.85546875" customWidth="1"/>
  </cols>
  <sheetData>
    <row r="1" spans="1:66" ht="11.25" customHeight="1">
      <c r="A1" s="457"/>
      <c r="B1" s="873" t="str">
        <f>"NOMBRE DEL ENTE PÚBLICO: "&amp;Validacion!A2</f>
        <v>NOMBRE DEL ENTE PÚBLICO: Guadalajara</v>
      </c>
      <c r="C1" s="746"/>
      <c r="D1" s="746"/>
      <c r="E1" s="746"/>
      <c r="F1" s="746"/>
      <c r="G1" s="746"/>
      <c r="H1" s="746"/>
      <c r="I1" s="746"/>
      <c r="J1" s="746"/>
      <c r="K1" s="746"/>
      <c r="L1" s="746"/>
      <c r="M1" s="746"/>
      <c r="N1" s="746"/>
      <c r="O1" s="746"/>
      <c r="P1" s="746"/>
      <c r="Q1" s="746"/>
      <c r="R1" s="746"/>
      <c r="S1" s="746"/>
      <c r="T1" s="746"/>
      <c r="U1" s="746"/>
      <c r="V1" s="746"/>
      <c r="W1" s="746"/>
      <c r="X1" s="746"/>
      <c r="Y1" s="746"/>
      <c r="Z1" s="746"/>
      <c r="AA1" s="746"/>
      <c r="AB1" s="746"/>
      <c r="AC1" s="746"/>
      <c r="AD1" s="746"/>
      <c r="AE1" s="746"/>
      <c r="AF1" s="746"/>
      <c r="AG1" s="746"/>
      <c r="AH1" s="746"/>
      <c r="AI1" s="746"/>
      <c r="AJ1" s="746"/>
      <c r="AK1" s="746"/>
      <c r="AL1" s="746"/>
      <c r="AM1" s="746"/>
      <c r="AN1" s="746"/>
      <c r="AO1" s="746"/>
      <c r="AP1" s="746"/>
      <c r="AQ1" s="746"/>
      <c r="AR1" s="746"/>
      <c r="AS1" s="746"/>
      <c r="AT1" s="746"/>
      <c r="AU1" s="746"/>
      <c r="AV1" s="746"/>
      <c r="AW1" s="746"/>
      <c r="AX1" s="746"/>
      <c r="AY1" s="746"/>
      <c r="AZ1" s="746"/>
      <c r="BA1" s="746"/>
      <c r="BB1" s="746"/>
      <c r="BC1" s="746"/>
      <c r="BD1" s="746"/>
      <c r="BE1" s="746"/>
      <c r="BF1" s="746"/>
      <c r="BG1" s="746"/>
      <c r="BH1" s="746"/>
      <c r="BI1" s="746"/>
      <c r="BJ1" s="746"/>
      <c r="BK1" s="746"/>
      <c r="BL1" s="746"/>
      <c r="BM1" s="746"/>
      <c r="BN1" s="888"/>
    </row>
    <row r="2" spans="1:66" ht="11.25" customHeight="1">
      <c r="A2" s="458"/>
      <c r="B2" s="874" t="s">
        <v>6609</v>
      </c>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c r="AT2" s="749"/>
      <c r="AU2" s="749"/>
      <c r="AV2" s="749"/>
      <c r="AW2" s="749"/>
      <c r="AX2" s="749"/>
      <c r="AY2" s="749"/>
      <c r="AZ2" s="749"/>
      <c r="BA2" s="749"/>
      <c r="BB2" s="749"/>
      <c r="BC2" s="749"/>
      <c r="BD2" s="749"/>
      <c r="BE2" s="749"/>
      <c r="BF2" s="749"/>
      <c r="BG2" s="749"/>
      <c r="BH2" s="749"/>
      <c r="BI2" s="749"/>
      <c r="BJ2" s="749"/>
      <c r="BK2" s="749"/>
      <c r="BL2" s="749"/>
      <c r="BM2" s="749"/>
      <c r="BN2" s="831"/>
    </row>
    <row r="3" spans="1:66" ht="11.25" customHeight="1">
      <c r="A3" s="458"/>
      <c r="B3" s="875" t="str">
        <f t="array" ref="B3">"Al "&amp;INDEX(Validacion!D185:D196,MATCH(Validacion!A11,Validacion!C185:C196,0))</f>
        <v>Al 31 de Agosto de 2025</v>
      </c>
      <c r="C3" s="749"/>
      <c r="D3" s="749"/>
      <c r="E3" s="749"/>
      <c r="F3" s="749"/>
      <c r="G3" s="749"/>
      <c r="H3" s="749"/>
      <c r="I3" s="749"/>
      <c r="J3" s="749"/>
      <c r="K3" s="749"/>
      <c r="L3" s="749"/>
      <c r="M3" s="749"/>
      <c r="N3" s="749"/>
      <c r="O3" s="749"/>
      <c r="P3" s="749"/>
      <c r="Q3" s="749"/>
      <c r="R3" s="749"/>
      <c r="S3" s="749"/>
      <c r="T3" s="749"/>
      <c r="U3" s="749"/>
      <c r="V3" s="749"/>
      <c r="W3" s="749"/>
      <c r="X3" s="749"/>
      <c r="Y3" s="749"/>
      <c r="Z3" s="749"/>
      <c r="AA3" s="749"/>
      <c r="AB3" s="749"/>
      <c r="AC3" s="749"/>
      <c r="AD3" s="749"/>
      <c r="AE3" s="749"/>
      <c r="AF3" s="749"/>
      <c r="AG3" s="749"/>
      <c r="AH3" s="749"/>
      <c r="AI3" s="749"/>
      <c r="AJ3" s="749"/>
      <c r="AK3" s="749"/>
      <c r="AL3" s="749"/>
      <c r="AM3" s="749"/>
      <c r="AN3" s="749"/>
      <c r="AO3" s="749"/>
      <c r="AP3" s="749"/>
      <c r="AQ3" s="749"/>
      <c r="AR3" s="749"/>
      <c r="AS3" s="749"/>
      <c r="AT3" s="749"/>
      <c r="AU3" s="749"/>
      <c r="AV3" s="749"/>
      <c r="AW3" s="749"/>
      <c r="AX3" s="749"/>
      <c r="AY3" s="749"/>
      <c r="AZ3" s="749"/>
      <c r="BA3" s="749"/>
      <c r="BB3" s="749"/>
      <c r="BC3" s="749"/>
      <c r="BD3" s="749"/>
      <c r="BE3" s="749"/>
      <c r="BF3" s="749"/>
      <c r="BG3" s="749"/>
      <c r="BH3" s="749"/>
      <c r="BI3" s="749"/>
      <c r="BJ3" s="749"/>
      <c r="BK3" s="749"/>
      <c r="BL3" s="749"/>
      <c r="BM3" s="749"/>
      <c r="BN3" s="831"/>
    </row>
    <row r="4" spans="1:66" ht="15" customHeight="1">
      <c r="A4" s="459"/>
      <c r="B4" s="876" t="s">
        <v>4447</v>
      </c>
      <c r="C4" s="753"/>
      <c r="D4" s="753"/>
      <c r="E4" s="753"/>
      <c r="F4" s="753"/>
      <c r="G4" s="753"/>
      <c r="H4" s="753"/>
      <c r="I4" s="753"/>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3"/>
      <c r="AZ4" s="753"/>
      <c r="BA4" s="753"/>
      <c r="BB4" s="753"/>
      <c r="BC4" s="753"/>
      <c r="BD4" s="753"/>
      <c r="BE4" s="753"/>
      <c r="BF4" s="753"/>
      <c r="BG4" s="753"/>
      <c r="BH4" s="753"/>
      <c r="BI4" s="753"/>
      <c r="BJ4" s="753"/>
      <c r="BK4" s="753"/>
      <c r="BL4" s="753"/>
      <c r="BM4" s="753"/>
      <c r="BN4" s="889"/>
    </row>
    <row r="5" spans="1:66" ht="30.75" customHeight="1">
      <c r="A5" s="472"/>
      <c r="B5" s="890" t="s">
        <v>4379</v>
      </c>
      <c r="C5" s="756"/>
      <c r="D5" s="756"/>
      <c r="E5" s="756"/>
      <c r="F5" s="756"/>
      <c r="G5" s="756"/>
      <c r="H5" s="756"/>
      <c r="I5" s="756"/>
      <c r="J5" s="756"/>
      <c r="K5" s="756"/>
      <c r="L5" s="756"/>
      <c r="M5" s="756"/>
      <c r="N5" s="756"/>
      <c r="O5" s="756"/>
      <c r="P5" s="756"/>
      <c r="Q5" s="756"/>
      <c r="R5" s="756"/>
      <c r="S5" s="756"/>
      <c r="T5" s="756"/>
      <c r="U5" s="756"/>
      <c r="V5" s="756"/>
      <c r="W5" s="756"/>
      <c r="X5" s="756"/>
      <c r="Y5" s="756"/>
      <c r="Z5" s="756"/>
      <c r="AA5" s="756"/>
      <c r="AB5" s="756"/>
      <c r="AC5" s="756"/>
      <c r="AD5" s="756"/>
      <c r="AE5" s="733"/>
      <c r="AF5" s="400">
        <f>Validacion!F185</f>
        <v>2025</v>
      </c>
      <c r="AG5" s="473" t="str">
        <f>"31 DE DICIEMBRE
DE "&amp;Validacion!F186</f>
        <v>31 DE DICIEMBRE
DE 2024</v>
      </c>
      <c r="AH5" s="472"/>
      <c r="AI5" s="890" t="s">
        <v>4379</v>
      </c>
      <c r="AJ5" s="756"/>
      <c r="AK5" s="756"/>
      <c r="AL5" s="756"/>
      <c r="AM5" s="756"/>
      <c r="AN5" s="756"/>
      <c r="AO5" s="756"/>
      <c r="AP5" s="756"/>
      <c r="AQ5" s="756"/>
      <c r="AR5" s="756"/>
      <c r="AS5" s="756"/>
      <c r="AT5" s="756"/>
      <c r="AU5" s="756"/>
      <c r="AV5" s="756"/>
      <c r="AW5" s="756"/>
      <c r="AX5" s="756"/>
      <c r="AY5" s="756"/>
      <c r="AZ5" s="756"/>
      <c r="BA5" s="756"/>
      <c r="BB5" s="756"/>
      <c r="BC5" s="756"/>
      <c r="BD5" s="756"/>
      <c r="BE5" s="756"/>
      <c r="BF5" s="756"/>
      <c r="BG5" s="756"/>
      <c r="BH5" s="756"/>
      <c r="BI5" s="756"/>
      <c r="BJ5" s="756"/>
      <c r="BK5" s="756"/>
      <c r="BL5" s="733"/>
      <c r="BM5" s="400">
        <f>Validacion!F185</f>
        <v>2025</v>
      </c>
      <c r="BN5" s="473" t="str">
        <f>"31 DE DICIEMBRE
DE "&amp;Validacion!F186</f>
        <v>31 DE DICIEMBRE
DE 2024</v>
      </c>
    </row>
    <row r="6" spans="1:66" ht="15" customHeight="1">
      <c r="A6" s="474"/>
      <c r="B6" s="891" t="s">
        <v>6399</v>
      </c>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c r="AD6" s="787"/>
      <c r="AE6" s="778"/>
      <c r="AF6" s="475"/>
      <c r="AG6" s="475"/>
      <c r="AH6" s="476"/>
      <c r="AI6" s="891" t="s">
        <v>703</v>
      </c>
      <c r="AJ6" s="787"/>
      <c r="AK6" s="787"/>
      <c r="AL6" s="787"/>
      <c r="AM6" s="787"/>
      <c r="AN6" s="787"/>
      <c r="AO6" s="787"/>
      <c r="AP6" s="787"/>
      <c r="AQ6" s="787"/>
      <c r="AR6" s="787"/>
      <c r="AS6" s="787"/>
      <c r="AT6" s="787"/>
      <c r="AU6" s="787"/>
      <c r="AV6" s="787"/>
      <c r="AW6" s="787"/>
      <c r="AX6" s="787"/>
      <c r="AY6" s="787"/>
      <c r="AZ6" s="787"/>
      <c r="BA6" s="787"/>
      <c r="BB6" s="787"/>
      <c r="BC6" s="787"/>
      <c r="BD6" s="787"/>
      <c r="BE6" s="787"/>
      <c r="BF6" s="787"/>
      <c r="BG6" s="787"/>
      <c r="BH6" s="787"/>
      <c r="BI6" s="787"/>
      <c r="BJ6" s="787"/>
      <c r="BK6" s="787"/>
      <c r="BL6" s="778"/>
      <c r="BM6" s="475"/>
      <c r="BN6" s="475"/>
    </row>
    <row r="7" spans="1:66" ht="15" customHeight="1">
      <c r="A7" s="477"/>
      <c r="B7" s="881" t="s">
        <v>6610</v>
      </c>
      <c r="C7" s="725"/>
      <c r="D7" s="725"/>
      <c r="E7" s="725"/>
      <c r="F7" s="725"/>
      <c r="G7" s="725"/>
      <c r="H7" s="725"/>
      <c r="I7" s="725"/>
      <c r="J7" s="725"/>
      <c r="K7" s="725"/>
      <c r="L7" s="725"/>
      <c r="M7" s="725"/>
      <c r="N7" s="725"/>
      <c r="O7" s="725"/>
      <c r="P7" s="725"/>
      <c r="Q7" s="725"/>
      <c r="R7" s="725"/>
      <c r="S7" s="725"/>
      <c r="T7" s="725"/>
      <c r="U7" s="725"/>
      <c r="V7" s="725"/>
      <c r="W7" s="725"/>
      <c r="X7" s="725"/>
      <c r="Y7" s="725"/>
      <c r="Z7" s="725"/>
      <c r="AA7" s="725"/>
      <c r="AB7" s="725"/>
      <c r="AC7" s="725"/>
      <c r="AD7" s="725"/>
      <c r="AE7" s="798"/>
      <c r="AF7" s="478"/>
      <c r="AG7" s="478"/>
      <c r="AH7" s="143"/>
      <c r="AI7" s="881" t="s">
        <v>6604</v>
      </c>
      <c r="AJ7" s="725"/>
      <c r="AK7" s="725"/>
      <c r="AL7" s="725"/>
      <c r="AM7" s="725"/>
      <c r="AN7" s="725"/>
      <c r="AO7" s="725"/>
      <c r="AP7" s="725"/>
      <c r="AQ7" s="725"/>
      <c r="AR7" s="725"/>
      <c r="AS7" s="725"/>
      <c r="AT7" s="725"/>
      <c r="AU7" s="725"/>
      <c r="AV7" s="725"/>
      <c r="AW7" s="725"/>
      <c r="AX7" s="725"/>
      <c r="AY7" s="725"/>
      <c r="AZ7" s="725"/>
      <c r="BA7" s="725"/>
      <c r="BB7" s="725"/>
      <c r="BC7" s="725"/>
      <c r="BD7" s="725"/>
      <c r="BE7" s="725"/>
      <c r="BF7" s="725"/>
      <c r="BG7" s="725"/>
      <c r="BH7" s="725"/>
      <c r="BI7" s="725"/>
      <c r="BJ7" s="725"/>
      <c r="BK7" s="725"/>
      <c r="BL7" s="798"/>
      <c r="BM7" s="479"/>
      <c r="BN7" s="479"/>
    </row>
    <row r="8" spans="1:66" ht="15" customHeight="1">
      <c r="A8" s="477"/>
      <c r="B8" s="885" t="s">
        <v>6611</v>
      </c>
      <c r="C8" s="725"/>
      <c r="D8" s="725"/>
      <c r="E8" s="725"/>
      <c r="F8" s="725"/>
      <c r="G8" s="725"/>
      <c r="H8" s="725"/>
      <c r="I8" s="725"/>
      <c r="J8" s="725"/>
      <c r="K8" s="725"/>
      <c r="L8" s="725"/>
      <c r="M8" s="725"/>
      <c r="N8" s="725"/>
      <c r="O8" s="725"/>
      <c r="P8" s="725"/>
      <c r="Q8" s="725"/>
      <c r="R8" s="725"/>
      <c r="S8" s="725"/>
      <c r="T8" s="725"/>
      <c r="U8" s="725"/>
      <c r="V8" s="725"/>
      <c r="W8" s="725"/>
      <c r="X8" s="725"/>
      <c r="Y8" s="725"/>
      <c r="Z8" s="725"/>
      <c r="AA8" s="725"/>
      <c r="AB8" s="725"/>
      <c r="AC8" s="725"/>
      <c r="AD8" s="725"/>
      <c r="AE8" s="798"/>
      <c r="AF8" s="480">
        <f t="shared" ref="AF8:AG8" si="0">SUM(AF9:AF15)</f>
        <v>2883896819.9600005</v>
      </c>
      <c r="AG8" s="480">
        <f t="shared" si="0"/>
        <v>203522811.58999997</v>
      </c>
      <c r="AH8" s="143"/>
      <c r="AI8" s="885" t="s">
        <v>6612</v>
      </c>
      <c r="AJ8" s="725"/>
      <c r="AK8" s="725"/>
      <c r="AL8" s="725"/>
      <c r="AM8" s="725"/>
      <c r="AN8" s="725"/>
      <c r="AO8" s="725"/>
      <c r="AP8" s="725"/>
      <c r="AQ8" s="725"/>
      <c r="AR8" s="725"/>
      <c r="AS8" s="725"/>
      <c r="AT8" s="725"/>
      <c r="AU8" s="725"/>
      <c r="AV8" s="725"/>
      <c r="AW8" s="725"/>
      <c r="AX8" s="725"/>
      <c r="AY8" s="725"/>
      <c r="AZ8" s="725"/>
      <c r="BA8" s="725"/>
      <c r="BB8" s="725"/>
      <c r="BC8" s="725"/>
      <c r="BD8" s="725"/>
      <c r="BE8" s="725"/>
      <c r="BF8" s="725"/>
      <c r="BG8" s="725"/>
      <c r="BH8" s="725"/>
      <c r="BI8" s="725"/>
      <c r="BJ8" s="725"/>
      <c r="BK8" s="725"/>
      <c r="BL8" s="798"/>
      <c r="BM8" s="480">
        <f t="shared" ref="BM8:BN8" si="1">SUM(BM9:BM17)</f>
        <v>206282258.27999997</v>
      </c>
      <c r="BN8" s="480">
        <f t="shared" si="1"/>
        <v>682026886.76999998</v>
      </c>
    </row>
    <row r="9" spans="1:66" ht="15" customHeight="1">
      <c r="A9" s="481"/>
      <c r="B9" s="882" t="s">
        <v>6613</v>
      </c>
      <c r="C9" s="725"/>
      <c r="D9" s="725"/>
      <c r="E9" s="725"/>
      <c r="F9" s="725"/>
      <c r="G9" s="725"/>
      <c r="H9" s="725"/>
      <c r="I9" s="725"/>
      <c r="J9" s="725"/>
      <c r="K9" s="725"/>
      <c r="L9" s="725"/>
      <c r="M9" s="725"/>
      <c r="N9" s="725"/>
      <c r="O9" s="725"/>
      <c r="P9" s="725"/>
      <c r="Q9" s="725"/>
      <c r="R9" s="725"/>
      <c r="S9" s="725"/>
      <c r="T9" s="725"/>
      <c r="U9" s="725"/>
      <c r="V9" s="725"/>
      <c r="W9" s="725"/>
      <c r="X9" s="725"/>
      <c r="Y9" s="725"/>
      <c r="Z9" s="725"/>
      <c r="AA9" s="725"/>
      <c r="AB9" s="725"/>
      <c r="AC9" s="725"/>
      <c r="AD9" s="725"/>
      <c r="AE9" s="798"/>
      <c r="AF9" s="482">
        <f>Balanza!G6</f>
        <v>588426.31999999995</v>
      </c>
      <c r="AG9" s="482">
        <f>Balanza!C6</f>
        <v>557588.04</v>
      </c>
      <c r="AH9" s="468"/>
      <c r="AI9" s="882" t="s">
        <v>6614</v>
      </c>
      <c r="AJ9" s="725"/>
      <c r="AK9" s="725"/>
      <c r="AL9" s="725"/>
      <c r="AM9" s="725"/>
      <c r="AN9" s="725"/>
      <c r="AO9" s="725"/>
      <c r="AP9" s="725"/>
      <c r="AQ9" s="725"/>
      <c r="AR9" s="725"/>
      <c r="AS9" s="725"/>
      <c r="AT9" s="725"/>
      <c r="AU9" s="725"/>
      <c r="AV9" s="725"/>
      <c r="AW9" s="725"/>
      <c r="AX9" s="725"/>
      <c r="AY9" s="725"/>
      <c r="AZ9" s="725"/>
      <c r="BA9" s="725"/>
      <c r="BB9" s="725"/>
      <c r="BC9" s="725"/>
      <c r="BD9" s="725"/>
      <c r="BE9" s="725"/>
      <c r="BF9" s="725"/>
      <c r="BG9" s="725"/>
      <c r="BH9" s="725"/>
      <c r="BI9" s="725"/>
      <c r="BJ9" s="725"/>
      <c r="BK9" s="725"/>
      <c r="BL9" s="798"/>
      <c r="BM9" s="482">
        <f>Balanza!H104</f>
        <v>4222180.67</v>
      </c>
      <c r="BN9" s="482">
        <f>Balanza!D104</f>
        <v>33988076.560000002</v>
      </c>
    </row>
    <row r="10" spans="1:66" ht="15" customHeight="1">
      <c r="A10" s="481"/>
      <c r="B10" s="882" t="s">
        <v>6615</v>
      </c>
      <c r="C10" s="725"/>
      <c r="D10" s="725"/>
      <c r="E10" s="725"/>
      <c r="F10" s="725"/>
      <c r="G10" s="725"/>
      <c r="H10" s="725"/>
      <c r="I10" s="725"/>
      <c r="J10" s="725"/>
      <c r="K10" s="725"/>
      <c r="L10" s="725"/>
      <c r="M10" s="725"/>
      <c r="N10" s="725"/>
      <c r="O10" s="725"/>
      <c r="P10" s="725"/>
      <c r="Q10" s="725"/>
      <c r="R10" s="725"/>
      <c r="S10" s="725"/>
      <c r="T10" s="725"/>
      <c r="U10" s="725"/>
      <c r="V10" s="725"/>
      <c r="W10" s="725"/>
      <c r="X10" s="725"/>
      <c r="Y10" s="725"/>
      <c r="Z10" s="725"/>
      <c r="AA10" s="725"/>
      <c r="AB10" s="725"/>
      <c r="AC10" s="725"/>
      <c r="AD10" s="725"/>
      <c r="AE10" s="798"/>
      <c r="AF10" s="482">
        <f>Balanza!G7</f>
        <v>3176784111.9200001</v>
      </c>
      <c r="AG10" s="482">
        <f>Balanza!C7</f>
        <v>190527200.34999999</v>
      </c>
      <c r="AH10" s="468"/>
      <c r="AI10" s="882" t="s">
        <v>6616</v>
      </c>
      <c r="AJ10" s="725"/>
      <c r="AK10" s="725"/>
      <c r="AL10" s="725"/>
      <c r="AM10" s="725"/>
      <c r="AN10" s="725"/>
      <c r="AO10" s="725"/>
      <c r="AP10" s="725"/>
      <c r="AQ10" s="725"/>
      <c r="AR10" s="725"/>
      <c r="AS10" s="725"/>
      <c r="AT10" s="725"/>
      <c r="AU10" s="725"/>
      <c r="AV10" s="725"/>
      <c r="AW10" s="725"/>
      <c r="AX10" s="725"/>
      <c r="AY10" s="725"/>
      <c r="AZ10" s="725"/>
      <c r="BA10" s="725"/>
      <c r="BB10" s="725"/>
      <c r="BC10" s="725"/>
      <c r="BD10" s="725"/>
      <c r="BE10" s="725"/>
      <c r="BF10" s="725"/>
      <c r="BG10" s="725"/>
      <c r="BH10" s="725"/>
      <c r="BI10" s="725"/>
      <c r="BJ10" s="725"/>
      <c r="BK10" s="725"/>
      <c r="BL10" s="798"/>
      <c r="BM10" s="482">
        <f>Balanza!H105</f>
        <v>-14130140.32</v>
      </c>
      <c r="BN10" s="482">
        <f>Balanza!D105</f>
        <v>238919399.90000001</v>
      </c>
    </row>
    <row r="11" spans="1:66" ht="15" customHeight="1">
      <c r="A11" s="481"/>
      <c r="B11" s="882" t="s">
        <v>6617</v>
      </c>
      <c r="C11" s="725"/>
      <c r="D11" s="725"/>
      <c r="E11" s="725"/>
      <c r="F11" s="725"/>
      <c r="G11" s="725"/>
      <c r="H11" s="725"/>
      <c r="I11" s="725"/>
      <c r="J11" s="725"/>
      <c r="K11" s="725"/>
      <c r="L11" s="725"/>
      <c r="M11" s="725"/>
      <c r="N11" s="725"/>
      <c r="O11" s="725"/>
      <c r="P11" s="725"/>
      <c r="Q11" s="725"/>
      <c r="R11" s="725"/>
      <c r="S11" s="725"/>
      <c r="T11" s="725"/>
      <c r="U11" s="725"/>
      <c r="V11" s="725"/>
      <c r="W11" s="725"/>
      <c r="X11" s="725"/>
      <c r="Y11" s="725"/>
      <c r="Z11" s="725"/>
      <c r="AA11" s="725"/>
      <c r="AB11" s="725"/>
      <c r="AC11" s="725"/>
      <c r="AD11" s="725"/>
      <c r="AE11" s="798"/>
      <c r="AF11" s="482">
        <f>Balanza!G8</f>
        <v>0</v>
      </c>
      <c r="AG11" s="482">
        <f>Balanza!C8</f>
        <v>0</v>
      </c>
      <c r="AH11" s="468"/>
      <c r="AI11" s="882" t="s">
        <v>6618</v>
      </c>
      <c r="AJ11" s="725"/>
      <c r="AK11" s="725"/>
      <c r="AL11" s="725"/>
      <c r="AM11" s="725"/>
      <c r="AN11" s="725"/>
      <c r="AO11" s="725"/>
      <c r="AP11" s="725"/>
      <c r="AQ11" s="725"/>
      <c r="AR11" s="725"/>
      <c r="AS11" s="725"/>
      <c r="AT11" s="725"/>
      <c r="AU11" s="725"/>
      <c r="AV11" s="725"/>
      <c r="AW11" s="725"/>
      <c r="AX11" s="725"/>
      <c r="AY11" s="725"/>
      <c r="AZ11" s="725"/>
      <c r="BA11" s="725"/>
      <c r="BB11" s="725"/>
      <c r="BC11" s="725"/>
      <c r="BD11" s="725"/>
      <c r="BE11" s="725"/>
      <c r="BF11" s="725"/>
      <c r="BG11" s="725"/>
      <c r="BH11" s="725"/>
      <c r="BI11" s="725"/>
      <c r="BJ11" s="725"/>
      <c r="BK11" s="725"/>
      <c r="BL11" s="798"/>
      <c r="BM11" s="482">
        <f>Balanza!H106</f>
        <v>-527131.16</v>
      </c>
      <c r="BN11" s="482">
        <f>Balanza!D106</f>
        <v>180699024.49000001</v>
      </c>
    </row>
    <row r="12" spans="1:66" ht="15" customHeight="1">
      <c r="A12" s="481"/>
      <c r="B12" s="882" t="s">
        <v>6619</v>
      </c>
      <c r="C12" s="725"/>
      <c r="D12" s="725"/>
      <c r="E12" s="725"/>
      <c r="F12" s="725"/>
      <c r="G12" s="725"/>
      <c r="H12" s="725"/>
      <c r="I12" s="725"/>
      <c r="J12" s="725"/>
      <c r="K12" s="725"/>
      <c r="L12" s="725"/>
      <c r="M12" s="725"/>
      <c r="N12" s="725"/>
      <c r="O12" s="725"/>
      <c r="P12" s="725"/>
      <c r="Q12" s="725"/>
      <c r="R12" s="725"/>
      <c r="S12" s="725"/>
      <c r="T12" s="725"/>
      <c r="U12" s="725"/>
      <c r="V12" s="725"/>
      <c r="W12" s="725"/>
      <c r="X12" s="725"/>
      <c r="Y12" s="725"/>
      <c r="Z12" s="725"/>
      <c r="AA12" s="725"/>
      <c r="AB12" s="725"/>
      <c r="AC12" s="725"/>
      <c r="AD12" s="725"/>
      <c r="AE12" s="798"/>
      <c r="AF12" s="482">
        <f>Balanza!G9</f>
        <v>-312242357.91000003</v>
      </c>
      <c r="AG12" s="482">
        <f>Balanza!C9</f>
        <v>7996532.0999999996</v>
      </c>
      <c r="AH12" s="468"/>
      <c r="AI12" s="882" t="s">
        <v>6620</v>
      </c>
      <c r="AJ12" s="725"/>
      <c r="AK12" s="725"/>
      <c r="AL12" s="725"/>
      <c r="AM12" s="725"/>
      <c r="AN12" s="725"/>
      <c r="AO12" s="725"/>
      <c r="AP12" s="725"/>
      <c r="AQ12" s="725"/>
      <c r="AR12" s="725"/>
      <c r="AS12" s="725"/>
      <c r="AT12" s="725"/>
      <c r="AU12" s="725"/>
      <c r="AV12" s="725"/>
      <c r="AW12" s="725"/>
      <c r="AX12" s="725"/>
      <c r="AY12" s="725"/>
      <c r="AZ12" s="725"/>
      <c r="BA12" s="725"/>
      <c r="BB12" s="725"/>
      <c r="BC12" s="725"/>
      <c r="BD12" s="725"/>
      <c r="BE12" s="725"/>
      <c r="BF12" s="725"/>
      <c r="BG12" s="725"/>
      <c r="BH12" s="725"/>
      <c r="BI12" s="725"/>
      <c r="BJ12" s="725"/>
      <c r="BK12" s="725"/>
      <c r="BL12" s="798"/>
      <c r="BM12" s="482">
        <f>Balanza!H107</f>
        <v>0</v>
      </c>
      <c r="BN12" s="482">
        <f>Balanza!D107</f>
        <v>0</v>
      </c>
    </row>
    <row r="13" spans="1:66" ht="15" customHeight="1">
      <c r="A13" s="481"/>
      <c r="B13" s="882" t="s">
        <v>6621</v>
      </c>
      <c r="C13" s="725"/>
      <c r="D13" s="725"/>
      <c r="E13" s="725"/>
      <c r="F13" s="725"/>
      <c r="G13" s="725"/>
      <c r="H13" s="725"/>
      <c r="I13" s="725"/>
      <c r="J13" s="725"/>
      <c r="K13" s="725"/>
      <c r="L13" s="725"/>
      <c r="M13" s="725"/>
      <c r="N13" s="725"/>
      <c r="O13" s="725"/>
      <c r="P13" s="725"/>
      <c r="Q13" s="725"/>
      <c r="R13" s="725"/>
      <c r="S13" s="725"/>
      <c r="T13" s="725"/>
      <c r="U13" s="725"/>
      <c r="V13" s="725"/>
      <c r="W13" s="725"/>
      <c r="X13" s="725"/>
      <c r="Y13" s="725"/>
      <c r="Z13" s="725"/>
      <c r="AA13" s="725"/>
      <c r="AB13" s="725"/>
      <c r="AC13" s="725"/>
      <c r="AD13" s="725"/>
      <c r="AE13" s="798"/>
      <c r="AF13" s="482">
        <f>Balanza!G10</f>
        <v>-17038137.600000001</v>
      </c>
      <c r="AG13" s="482">
        <f>Balanza!C10</f>
        <v>137939.59</v>
      </c>
      <c r="AH13" s="468"/>
      <c r="AI13" s="882" t="s">
        <v>6622</v>
      </c>
      <c r="AJ13" s="725"/>
      <c r="AK13" s="725"/>
      <c r="AL13" s="725"/>
      <c r="AM13" s="725"/>
      <c r="AN13" s="725"/>
      <c r="AO13" s="725"/>
      <c r="AP13" s="725"/>
      <c r="AQ13" s="725"/>
      <c r="AR13" s="725"/>
      <c r="AS13" s="725"/>
      <c r="AT13" s="725"/>
      <c r="AU13" s="725"/>
      <c r="AV13" s="725"/>
      <c r="AW13" s="725"/>
      <c r="AX13" s="725"/>
      <c r="AY13" s="725"/>
      <c r="AZ13" s="725"/>
      <c r="BA13" s="725"/>
      <c r="BB13" s="725"/>
      <c r="BC13" s="725"/>
      <c r="BD13" s="725"/>
      <c r="BE13" s="725"/>
      <c r="BF13" s="725"/>
      <c r="BG13" s="725"/>
      <c r="BH13" s="725"/>
      <c r="BI13" s="725"/>
      <c r="BJ13" s="725"/>
      <c r="BK13" s="725"/>
      <c r="BL13" s="798"/>
      <c r="BM13" s="482">
        <f>Balanza!H108</f>
        <v>60314550.049999997</v>
      </c>
      <c r="BN13" s="482">
        <f>Balanza!D108</f>
        <v>67648596.150000006</v>
      </c>
    </row>
    <row r="14" spans="1:66" ht="15" customHeight="1">
      <c r="A14" s="481"/>
      <c r="B14" s="882" t="s">
        <v>6623</v>
      </c>
      <c r="C14" s="725"/>
      <c r="D14" s="725"/>
      <c r="E14" s="725"/>
      <c r="F14" s="725"/>
      <c r="G14" s="725"/>
      <c r="H14" s="725"/>
      <c r="I14" s="725"/>
      <c r="J14" s="725"/>
      <c r="K14" s="725"/>
      <c r="L14" s="725"/>
      <c r="M14" s="725"/>
      <c r="N14" s="725"/>
      <c r="O14" s="725"/>
      <c r="P14" s="725"/>
      <c r="Q14" s="725"/>
      <c r="R14" s="725"/>
      <c r="S14" s="725"/>
      <c r="T14" s="725"/>
      <c r="U14" s="725"/>
      <c r="V14" s="725"/>
      <c r="W14" s="725"/>
      <c r="X14" s="725"/>
      <c r="Y14" s="725"/>
      <c r="Z14" s="725"/>
      <c r="AA14" s="725"/>
      <c r="AB14" s="725"/>
      <c r="AC14" s="725"/>
      <c r="AD14" s="725"/>
      <c r="AE14" s="798"/>
      <c r="AF14" s="482">
        <f>Balanza!G11</f>
        <v>799113.45</v>
      </c>
      <c r="AG14" s="482">
        <f>Balanza!C11</f>
        <v>799113.45</v>
      </c>
      <c r="AH14" s="468"/>
      <c r="AI14" s="882" t="s">
        <v>6624</v>
      </c>
      <c r="AJ14" s="725"/>
      <c r="AK14" s="725"/>
      <c r="AL14" s="725"/>
      <c r="AM14" s="725"/>
      <c r="AN14" s="725"/>
      <c r="AO14" s="725"/>
      <c r="AP14" s="725"/>
      <c r="AQ14" s="725"/>
      <c r="AR14" s="725"/>
      <c r="AS14" s="725"/>
      <c r="AT14" s="725"/>
      <c r="AU14" s="725"/>
      <c r="AV14" s="725"/>
      <c r="AW14" s="725"/>
      <c r="AX14" s="725"/>
      <c r="AY14" s="725"/>
      <c r="AZ14" s="725"/>
      <c r="BA14" s="725"/>
      <c r="BB14" s="725"/>
      <c r="BC14" s="725"/>
      <c r="BD14" s="725"/>
      <c r="BE14" s="725"/>
      <c r="BF14" s="725"/>
      <c r="BG14" s="725"/>
      <c r="BH14" s="725"/>
      <c r="BI14" s="725"/>
      <c r="BJ14" s="725"/>
      <c r="BK14" s="725"/>
      <c r="BL14" s="798"/>
      <c r="BM14" s="482">
        <f>Balanza!H109</f>
        <v>0</v>
      </c>
      <c r="BN14" s="482">
        <f>Balanza!D109</f>
        <v>0</v>
      </c>
    </row>
    <row r="15" spans="1:66" ht="15" customHeight="1">
      <c r="A15" s="481"/>
      <c r="B15" s="882" t="s">
        <v>6625</v>
      </c>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c r="AC15" s="725"/>
      <c r="AD15" s="725"/>
      <c r="AE15" s="798"/>
      <c r="AF15" s="482">
        <f>Balanza!G12</f>
        <v>35005663.780000001</v>
      </c>
      <c r="AG15" s="482">
        <f>Balanza!C12</f>
        <v>3504438.06</v>
      </c>
      <c r="AH15" s="468"/>
      <c r="AI15" s="882" t="s">
        <v>6626</v>
      </c>
      <c r="AJ15" s="725"/>
      <c r="AK15" s="725"/>
      <c r="AL15" s="725"/>
      <c r="AM15" s="725"/>
      <c r="AN15" s="725"/>
      <c r="AO15" s="725"/>
      <c r="AP15" s="725"/>
      <c r="AQ15" s="725"/>
      <c r="AR15" s="725"/>
      <c r="AS15" s="725"/>
      <c r="AT15" s="725"/>
      <c r="AU15" s="725"/>
      <c r="AV15" s="725"/>
      <c r="AW15" s="725"/>
      <c r="AX15" s="725"/>
      <c r="AY15" s="725"/>
      <c r="AZ15" s="725"/>
      <c r="BA15" s="725"/>
      <c r="BB15" s="725"/>
      <c r="BC15" s="725"/>
      <c r="BD15" s="725"/>
      <c r="BE15" s="725"/>
      <c r="BF15" s="725"/>
      <c r="BG15" s="725"/>
      <c r="BH15" s="725"/>
      <c r="BI15" s="725"/>
      <c r="BJ15" s="725"/>
      <c r="BK15" s="725"/>
      <c r="BL15" s="798"/>
      <c r="BM15" s="482">
        <f>Balanza!H110</f>
        <v>91708797.349999994</v>
      </c>
      <c r="BN15" s="482">
        <f>Balanza!D110</f>
        <v>106707722.84</v>
      </c>
    </row>
    <row r="16" spans="1:66" ht="15" customHeight="1">
      <c r="A16" s="477"/>
      <c r="B16" s="885" t="s">
        <v>6627</v>
      </c>
      <c r="C16" s="725"/>
      <c r="D16" s="725"/>
      <c r="E16" s="725"/>
      <c r="F16" s="725"/>
      <c r="G16" s="725"/>
      <c r="H16" s="725"/>
      <c r="I16" s="725"/>
      <c r="J16" s="725"/>
      <c r="K16" s="725"/>
      <c r="L16" s="725"/>
      <c r="M16" s="725"/>
      <c r="N16" s="725"/>
      <c r="O16" s="725"/>
      <c r="P16" s="725"/>
      <c r="Q16" s="725"/>
      <c r="R16" s="725"/>
      <c r="S16" s="725"/>
      <c r="T16" s="725"/>
      <c r="U16" s="725"/>
      <c r="V16" s="725"/>
      <c r="W16" s="725"/>
      <c r="X16" s="725"/>
      <c r="Y16" s="725"/>
      <c r="Z16" s="725"/>
      <c r="AA16" s="725"/>
      <c r="AB16" s="725"/>
      <c r="AC16" s="725"/>
      <c r="AD16" s="725"/>
      <c r="AE16" s="798"/>
      <c r="AF16" s="480">
        <f t="shared" ref="AF16:AG16" si="2">SUM(AF17:AF23)</f>
        <v>68809428.020000011</v>
      </c>
      <c r="AG16" s="480">
        <f t="shared" si="2"/>
        <v>51253093.140000001</v>
      </c>
      <c r="AH16" s="468"/>
      <c r="AI16" s="882" t="s">
        <v>6628</v>
      </c>
      <c r="AJ16" s="725"/>
      <c r="AK16" s="725"/>
      <c r="AL16" s="725"/>
      <c r="AM16" s="725"/>
      <c r="AN16" s="725"/>
      <c r="AO16" s="725"/>
      <c r="AP16" s="725"/>
      <c r="AQ16" s="725"/>
      <c r="AR16" s="725"/>
      <c r="AS16" s="725"/>
      <c r="AT16" s="725"/>
      <c r="AU16" s="725"/>
      <c r="AV16" s="725"/>
      <c r="AW16" s="725"/>
      <c r="AX16" s="725"/>
      <c r="AY16" s="725"/>
      <c r="AZ16" s="725"/>
      <c r="BA16" s="725"/>
      <c r="BB16" s="725"/>
      <c r="BC16" s="725"/>
      <c r="BD16" s="725"/>
      <c r="BE16" s="725"/>
      <c r="BF16" s="725"/>
      <c r="BG16" s="725"/>
      <c r="BH16" s="725"/>
      <c r="BI16" s="725"/>
      <c r="BJ16" s="725"/>
      <c r="BK16" s="725"/>
      <c r="BL16" s="798"/>
      <c r="BM16" s="482">
        <f>Balanza!H111</f>
        <v>64924538.890000001</v>
      </c>
      <c r="BN16" s="482">
        <f>Balanza!D111</f>
        <v>50127584.149999999</v>
      </c>
    </row>
    <row r="17" spans="1:66" ht="15" customHeight="1">
      <c r="A17" s="481"/>
      <c r="B17" s="882" t="s">
        <v>6629</v>
      </c>
      <c r="C17" s="725"/>
      <c r="D17" s="725"/>
      <c r="E17" s="725"/>
      <c r="F17" s="725"/>
      <c r="G17" s="725"/>
      <c r="H17" s="725"/>
      <c r="I17" s="725"/>
      <c r="J17" s="725"/>
      <c r="K17" s="725"/>
      <c r="L17" s="725"/>
      <c r="M17" s="725"/>
      <c r="N17" s="725"/>
      <c r="O17" s="725"/>
      <c r="P17" s="725"/>
      <c r="Q17" s="725"/>
      <c r="R17" s="725"/>
      <c r="S17" s="725"/>
      <c r="T17" s="725"/>
      <c r="U17" s="725"/>
      <c r="V17" s="725"/>
      <c r="W17" s="725"/>
      <c r="X17" s="725"/>
      <c r="Y17" s="725"/>
      <c r="Z17" s="725"/>
      <c r="AA17" s="725"/>
      <c r="AB17" s="725"/>
      <c r="AC17" s="725"/>
      <c r="AD17" s="725"/>
      <c r="AE17" s="798"/>
      <c r="AF17" s="482">
        <f>Balanza!G14</f>
        <v>0</v>
      </c>
      <c r="AG17" s="482">
        <f>Balanza!C14</f>
        <v>0</v>
      </c>
      <c r="AH17" s="468"/>
      <c r="AI17" s="882" t="s">
        <v>6630</v>
      </c>
      <c r="AJ17" s="725"/>
      <c r="AK17" s="725"/>
      <c r="AL17" s="725"/>
      <c r="AM17" s="725"/>
      <c r="AN17" s="725"/>
      <c r="AO17" s="725"/>
      <c r="AP17" s="725"/>
      <c r="AQ17" s="725"/>
      <c r="AR17" s="725"/>
      <c r="AS17" s="725"/>
      <c r="AT17" s="725"/>
      <c r="AU17" s="725"/>
      <c r="AV17" s="725"/>
      <c r="AW17" s="725"/>
      <c r="AX17" s="725"/>
      <c r="AY17" s="725"/>
      <c r="AZ17" s="725"/>
      <c r="BA17" s="725"/>
      <c r="BB17" s="725"/>
      <c r="BC17" s="725"/>
      <c r="BD17" s="725"/>
      <c r="BE17" s="725"/>
      <c r="BF17" s="725"/>
      <c r="BG17" s="725"/>
      <c r="BH17" s="725"/>
      <c r="BI17" s="725"/>
      <c r="BJ17" s="725"/>
      <c r="BK17" s="725"/>
      <c r="BL17" s="798"/>
      <c r="BM17" s="482">
        <f>Balanza!H112</f>
        <v>-230537.2</v>
      </c>
      <c r="BN17" s="482">
        <f>Balanza!D112</f>
        <v>3936482.68</v>
      </c>
    </row>
    <row r="18" spans="1:66" ht="15" customHeight="1">
      <c r="A18" s="481"/>
      <c r="B18" s="882" t="s">
        <v>6631</v>
      </c>
      <c r="C18" s="725"/>
      <c r="D18" s="725"/>
      <c r="E18" s="725"/>
      <c r="F18" s="725"/>
      <c r="G18" s="725"/>
      <c r="H18" s="725"/>
      <c r="I18" s="725"/>
      <c r="J18" s="725"/>
      <c r="K18" s="725"/>
      <c r="L18" s="725"/>
      <c r="M18" s="725"/>
      <c r="N18" s="725"/>
      <c r="O18" s="725"/>
      <c r="P18" s="725"/>
      <c r="Q18" s="725"/>
      <c r="R18" s="725"/>
      <c r="S18" s="725"/>
      <c r="T18" s="725"/>
      <c r="U18" s="725"/>
      <c r="V18" s="725"/>
      <c r="W18" s="725"/>
      <c r="X18" s="725"/>
      <c r="Y18" s="725"/>
      <c r="Z18" s="725"/>
      <c r="AA18" s="725"/>
      <c r="AB18" s="725"/>
      <c r="AC18" s="725"/>
      <c r="AD18" s="725"/>
      <c r="AE18" s="798"/>
      <c r="AF18" s="482">
        <f>Balanza!G15</f>
        <v>49047135.82</v>
      </c>
      <c r="AG18" s="482">
        <f>Balanza!C15</f>
        <v>33477622.41</v>
      </c>
      <c r="AH18" s="143"/>
      <c r="AI18" s="885" t="s">
        <v>6632</v>
      </c>
      <c r="AJ18" s="725"/>
      <c r="AK18" s="725"/>
      <c r="AL18" s="725"/>
      <c r="AM18" s="725"/>
      <c r="AN18" s="725"/>
      <c r="AO18" s="725"/>
      <c r="AP18" s="725"/>
      <c r="AQ18" s="725"/>
      <c r="AR18" s="725"/>
      <c r="AS18" s="725"/>
      <c r="AT18" s="725"/>
      <c r="AU18" s="725"/>
      <c r="AV18" s="725"/>
      <c r="AW18" s="725"/>
      <c r="AX18" s="725"/>
      <c r="AY18" s="725"/>
      <c r="AZ18" s="725"/>
      <c r="BA18" s="725"/>
      <c r="BB18" s="725"/>
      <c r="BC18" s="725"/>
      <c r="BD18" s="725"/>
      <c r="BE18" s="725"/>
      <c r="BF18" s="725"/>
      <c r="BG18" s="725"/>
      <c r="BH18" s="725"/>
      <c r="BI18" s="725"/>
      <c r="BJ18" s="725"/>
      <c r="BK18" s="725"/>
      <c r="BL18" s="798"/>
      <c r="BM18" s="480">
        <f t="shared" ref="BM18:BN18" si="3">SUM(BM19:BM21)</f>
        <v>0</v>
      </c>
      <c r="BN18" s="480">
        <f t="shared" si="3"/>
        <v>0</v>
      </c>
    </row>
    <row r="19" spans="1:66" ht="15" customHeight="1">
      <c r="A19" s="481"/>
      <c r="B19" s="882" t="s">
        <v>6633</v>
      </c>
      <c r="C19" s="725"/>
      <c r="D19" s="725"/>
      <c r="E19" s="725"/>
      <c r="F19" s="725"/>
      <c r="G19" s="725"/>
      <c r="H19" s="725"/>
      <c r="I19" s="725"/>
      <c r="J19" s="725"/>
      <c r="K19" s="725"/>
      <c r="L19" s="725"/>
      <c r="M19" s="725"/>
      <c r="N19" s="725"/>
      <c r="O19" s="725"/>
      <c r="P19" s="725"/>
      <c r="Q19" s="725"/>
      <c r="R19" s="725"/>
      <c r="S19" s="725"/>
      <c r="T19" s="725"/>
      <c r="U19" s="725"/>
      <c r="V19" s="725"/>
      <c r="W19" s="725"/>
      <c r="X19" s="725"/>
      <c r="Y19" s="725"/>
      <c r="Z19" s="725"/>
      <c r="AA19" s="725"/>
      <c r="AB19" s="725"/>
      <c r="AC19" s="725"/>
      <c r="AD19" s="725"/>
      <c r="AE19" s="798"/>
      <c r="AF19" s="482">
        <f>Balanza!G16</f>
        <v>13175695.4</v>
      </c>
      <c r="AG19" s="482">
        <f>Balanza!C16</f>
        <v>11886013.84</v>
      </c>
      <c r="AH19" s="468"/>
      <c r="AI19" s="882" t="s">
        <v>6634</v>
      </c>
      <c r="AJ19" s="725"/>
      <c r="AK19" s="725"/>
      <c r="AL19" s="725"/>
      <c r="AM19" s="725"/>
      <c r="AN19" s="725"/>
      <c r="AO19" s="725"/>
      <c r="AP19" s="725"/>
      <c r="AQ19" s="725"/>
      <c r="AR19" s="725"/>
      <c r="AS19" s="725"/>
      <c r="AT19" s="725"/>
      <c r="AU19" s="725"/>
      <c r="AV19" s="725"/>
      <c r="AW19" s="725"/>
      <c r="AX19" s="725"/>
      <c r="AY19" s="725"/>
      <c r="AZ19" s="725"/>
      <c r="BA19" s="725"/>
      <c r="BB19" s="725"/>
      <c r="BC19" s="725"/>
      <c r="BD19" s="725"/>
      <c r="BE19" s="725"/>
      <c r="BF19" s="725"/>
      <c r="BG19" s="725"/>
      <c r="BH19" s="725"/>
      <c r="BI19" s="725"/>
      <c r="BJ19" s="725"/>
      <c r="BK19" s="725"/>
      <c r="BL19" s="798"/>
      <c r="BM19" s="482">
        <f>Balanza!H114</f>
        <v>0</v>
      </c>
      <c r="BN19" s="482">
        <f>Balanza!D114</f>
        <v>0</v>
      </c>
    </row>
    <row r="20" spans="1:66" ht="15" customHeight="1">
      <c r="A20" s="481"/>
      <c r="B20" s="882" t="s">
        <v>6635</v>
      </c>
      <c r="C20" s="725"/>
      <c r="D20" s="725"/>
      <c r="E20" s="725"/>
      <c r="F20" s="725"/>
      <c r="G20" s="725"/>
      <c r="H20" s="725"/>
      <c r="I20" s="725"/>
      <c r="J20" s="725"/>
      <c r="K20" s="725"/>
      <c r="L20" s="725"/>
      <c r="M20" s="725"/>
      <c r="N20" s="725"/>
      <c r="O20" s="725"/>
      <c r="P20" s="725"/>
      <c r="Q20" s="725"/>
      <c r="R20" s="725"/>
      <c r="S20" s="725"/>
      <c r="T20" s="725"/>
      <c r="U20" s="725"/>
      <c r="V20" s="725"/>
      <c r="W20" s="725"/>
      <c r="X20" s="725"/>
      <c r="Y20" s="725"/>
      <c r="Z20" s="725"/>
      <c r="AA20" s="725"/>
      <c r="AB20" s="725"/>
      <c r="AC20" s="725"/>
      <c r="AD20" s="725"/>
      <c r="AE20" s="798"/>
      <c r="AF20" s="482">
        <f>Balanza!G17</f>
        <v>6388057.8700000001</v>
      </c>
      <c r="AG20" s="482">
        <f>Balanza!C17</f>
        <v>5690917.96</v>
      </c>
      <c r="AH20" s="468"/>
      <c r="AI20" s="882" t="s">
        <v>6636</v>
      </c>
      <c r="AJ20" s="725"/>
      <c r="AK20" s="725"/>
      <c r="AL20" s="725"/>
      <c r="AM20" s="725"/>
      <c r="AN20" s="725"/>
      <c r="AO20" s="725"/>
      <c r="AP20" s="725"/>
      <c r="AQ20" s="725"/>
      <c r="AR20" s="725"/>
      <c r="AS20" s="725"/>
      <c r="AT20" s="725"/>
      <c r="AU20" s="725"/>
      <c r="AV20" s="725"/>
      <c r="AW20" s="725"/>
      <c r="AX20" s="725"/>
      <c r="AY20" s="725"/>
      <c r="AZ20" s="725"/>
      <c r="BA20" s="725"/>
      <c r="BB20" s="725"/>
      <c r="BC20" s="725"/>
      <c r="BD20" s="725"/>
      <c r="BE20" s="725"/>
      <c r="BF20" s="725"/>
      <c r="BG20" s="725"/>
      <c r="BH20" s="725"/>
      <c r="BI20" s="725"/>
      <c r="BJ20" s="725"/>
      <c r="BK20" s="725"/>
      <c r="BL20" s="798"/>
      <c r="BM20" s="482">
        <f>Balanza!H115</f>
        <v>0</v>
      </c>
      <c r="BN20" s="482">
        <f>Balanza!D115</f>
        <v>0</v>
      </c>
    </row>
    <row r="21" spans="1:66" ht="15" customHeight="1">
      <c r="A21" s="481"/>
      <c r="B21" s="882" t="s">
        <v>6637</v>
      </c>
      <c r="C21" s="725"/>
      <c r="D21" s="725"/>
      <c r="E21" s="725"/>
      <c r="F21" s="725"/>
      <c r="G21" s="725"/>
      <c r="H21" s="725"/>
      <c r="I21" s="725"/>
      <c r="J21" s="725"/>
      <c r="K21" s="725"/>
      <c r="L21" s="725"/>
      <c r="M21" s="725"/>
      <c r="N21" s="725"/>
      <c r="O21" s="725"/>
      <c r="P21" s="725"/>
      <c r="Q21" s="725"/>
      <c r="R21" s="725"/>
      <c r="S21" s="725"/>
      <c r="T21" s="725"/>
      <c r="U21" s="725"/>
      <c r="V21" s="725"/>
      <c r="W21" s="725"/>
      <c r="X21" s="725"/>
      <c r="Y21" s="725"/>
      <c r="Z21" s="725"/>
      <c r="AA21" s="725"/>
      <c r="AB21" s="725"/>
      <c r="AC21" s="725"/>
      <c r="AD21" s="725"/>
      <c r="AE21" s="798"/>
      <c r="AF21" s="482">
        <f>Balanza!G18</f>
        <v>198538.93</v>
      </c>
      <c r="AG21" s="482">
        <f>Balanza!C18</f>
        <v>198538.93</v>
      </c>
      <c r="AH21" s="468"/>
      <c r="AI21" s="882" t="s">
        <v>6638</v>
      </c>
      <c r="AJ21" s="725"/>
      <c r="AK21" s="725"/>
      <c r="AL21" s="725"/>
      <c r="AM21" s="725"/>
      <c r="AN21" s="725"/>
      <c r="AO21" s="725"/>
      <c r="AP21" s="725"/>
      <c r="AQ21" s="725"/>
      <c r="AR21" s="725"/>
      <c r="AS21" s="725"/>
      <c r="AT21" s="725"/>
      <c r="AU21" s="725"/>
      <c r="AV21" s="725"/>
      <c r="AW21" s="725"/>
      <c r="AX21" s="725"/>
      <c r="AY21" s="725"/>
      <c r="AZ21" s="725"/>
      <c r="BA21" s="725"/>
      <c r="BB21" s="725"/>
      <c r="BC21" s="725"/>
      <c r="BD21" s="725"/>
      <c r="BE21" s="725"/>
      <c r="BF21" s="725"/>
      <c r="BG21" s="725"/>
      <c r="BH21" s="725"/>
      <c r="BI21" s="725"/>
      <c r="BJ21" s="725"/>
      <c r="BK21" s="725"/>
      <c r="BL21" s="798"/>
      <c r="BM21" s="482">
        <f>Balanza!H116</f>
        <v>0</v>
      </c>
      <c r="BN21" s="482">
        <f>Balanza!D116</f>
        <v>0</v>
      </c>
    </row>
    <row r="22" spans="1:66" ht="15" customHeight="1">
      <c r="A22" s="481"/>
      <c r="B22" s="882" t="s">
        <v>6639</v>
      </c>
      <c r="C22" s="725"/>
      <c r="D22" s="725"/>
      <c r="E22" s="725"/>
      <c r="F22" s="725"/>
      <c r="G22" s="725"/>
      <c r="H22" s="725"/>
      <c r="I22" s="725"/>
      <c r="J22" s="725"/>
      <c r="K22" s="725"/>
      <c r="L22" s="725"/>
      <c r="M22" s="725"/>
      <c r="N22" s="725"/>
      <c r="O22" s="725"/>
      <c r="P22" s="725"/>
      <c r="Q22" s="725"/>
      <c r="R22" s="725"/>
      <c r="S22" s="725"/>
      <c r="T22" s="725"/>
      <c r="U22" s="725"/>
      <c r="V22" s="725"/>
      <c r="W22" s="725"/>
      <c r="X22" s="725"/>
      <c r="Y22" s="725"/>
      <c r="Z22" s="725"/>
      <c r="AA22" s="725"/>
      <c r="AB22" s="725"/>
      <c r="AC22" s="725"/>
      <c r="AD22" s="725"/>
      <c r="AE22" s="798"/>
      <c r="AF22" s="482">
        <f>Balanza!G19</f>
        <v>0</v>
      </c>
      <c r="AG22" s="482">
        <f>Balanza!C19</f>
        <v>0</v>
      </c>
      <c r="AH22" s="143"/>
      <c r="AI22" s="885" t="s">
        <v>6640</v>
      </c>
      <c r="AJ22" s="725"/>
      <c r="AK22" s="725"/>
      <c r="AL22" s="725"/>
      <c r="AM22" s="725"/>
      <c r="AN22" s="725"/>
      <c r="AO22" s="725"/>
      <c r="AP22" s="725"/>
      <c r="AQ22" s="725"/>
      <c r="AR22" s="725"/>
      <c r="AS22" s="725"/>
      <c r="AT22" s="725"/>
      <c r="AU22" s="725"/>
      <c r="AV22" s="725"/>
      <c r="AW22" s="725"/>
      <c r="AX22" s="725"/>
      <c r="AY22" s="725"/>
      <c r="AZ22" s="725"/>
      <c r="BA22" s="725"/>
      <c r="BB22" s="725"/>
      <c r="BC22" s="725"/>
      <c r="BD22" s="725"/>
      <c r="BE22" s="725"/>
      <c r="BF22" s="725"/>
      <c r="BG22" s="725"/>
      <c r="BH22" s="725"/>
      <c r="BI22" s="725"/>
      <c r="BJ22" s="725"/>
      <c r="BK22" s="725"/>
      <c r="BL22" s="798"/>
      <c r="BM22" s="480">
        <f t="shared" ref="BM22:BN22" si="4">SUM(BM23:BM24)</f>
        <v>43903019.170000002</v>
      </c>
      <c r="BN22" s="480">
        <f t="shared" si="4"/>
        <v>0</v>
      </c>
    </row>
    <row r="23" spans="1:66" ht="15" customHeight="1">
      <c r="A23" s="481"/>
      <c r="B23" s="882" t="s">
        <v>6641</v>
      </c>
      <c r="C23" s="725"/>
      <c r="D23" s="725"/>
      <c r="E23" s="725"/>
      <c r="F23" s="725"/>
      <c r="G23" s="725"/>
      <c r="H23" s="725"/>
      <c r="I23" s="725"/>
      <c r="J23" s="725"/>
      <c r="K23" s="725"/>
      <c r="L23" s="725"/>
      <c r="M23" s="725"/>
      <c r="N23" s="725"/>
      <c r="O23" s="725"/>
      <c r="P23" s="725"/>
      <c r="Q23" s="725"/>
      <c r="R23" s="725"/>
      <c r="S23" s="725"/>
      <c r="T23" s="725"/>
      <c r="U23" s="725"/>
      <c r="V23" s="725"/>
      <c r="W23" s="725"/>
      <c r="X23" s="725"/>
      <c r="Y23" s="725"/>
      <c r="Z23" s="725"/>
      <c r="AA23" s="725"/>
      <c r="AB23" s="725"/>
      <c r="AC23" s="725"/>
      <c r="AD23" s="725"/>
      <c r="AE23" s="798"/>
      <c r="AF23" s="482">
        <f>Balanza!G20</f>
        <v>0</v>
      </c>
      <c r="AG23" s="482">
        <f>Balanza!C20</f>
        <v>0</v>
      </c>
      <c r="AH23" s="468"/>
      <c r="AI23" s="882" t="s">
        <v>6642</v>
      </c>
      <c r="AJ23" s="725"/>
      <c r="AK23" s="725"/>
      <c r="AL23" s="725"/>
      <c r="AM23" s="725"/>
      <c r="AN23" s="725"/>
      <c r="AO23" s="725"/>
      <c r="AP23" s="725"/>
      <c r="AQ23" s="725"/>
      <c r="AR23" s="725"/>
      <c r="AS23" s="725"/>
      <c r="AT23" s="725"/>
      <c r="AU23" s="725"/>
      <c r="AV23" s="725"/>
      <c r="AW23" s="725"/>
      <c r="AX23" s="725"/>
      <c r="AY23" s="725"/>
      <c r="AZ23" s="725"/>
      <c r="BA23" s="725"/>
      <c r="BB23" s="725"/>
      <c r="BC23" s="725"/>
      <c r="BD23" s="725"/>
      <c r="BE23" s="725"/>
      <c r="BF23" s="725"/>
      <c r="BG23" s="725"/>
      <c r="BH23" s="725"/>
      <c r="BI23" s="725"/>
      <c r="BJ23" s="725"/>
      <c r="BK23" s="725"/>
      <c r="BL23" s="798"/>
      <c r="BM23" s="482">
        <f>Balanza!H118</f>
        <v>43903019.170000002</v>
      </c>
      <c r="BN23" s="482">
        <f>Balanza!D118</f>
        <v>0</v>
      </c>
    </row>
    <row r="24" spans="1:66" ht="15" customHeight="1">
      <c r="A24" s="477"/>
      <c r="B24" s="885" t="s">
        <v>6643</v>
      </c>
      <c r="C24" s="725"/>
      <c r="D24" s="725"/>
      <c r="E24" s="725"/>
      <c r="F24" s="725"/>
      <c r="G24" s="725"/>
      <c r="H24" s="725"/>
      <c r="I24" s="725"/>
      <c r="J24" s="725"/>
      <c r="K24" s="725"/>
      <c r="L24" s="725"/>
      <c r="M24" s="725"/>
      <c r="N24" s="725"/>
      <c r="O24" s="725"/>
      <c r="P24" s="725"/>
      <c r="Q24" s="725"/>
      <c r="R24" s="725"/>
      <c r="S24" s="725"/>
      <c r="T24" s="725"/>
      <c r="U24" s="725"/>
      <c r="V24" s="725"/>
      <c r="W24" s="725"/>
      <c r="X24" s="725"/>
      <c r="Y24" s="725"/>
      <c r="Z24" s="725"/>
      <c r="AA24" s="725"/>
      <c r="AB24" s="725"/>
      <c r="AC24" s="725"/>
      <c r="AD24" s="725"/>
      <c r="AE24" s="798"/>
      <c r="AF24" s="480">
        <f t="shared" ref="AF24:AG24" si="5">SUM(AF25:AF29)</f>
        <v>77545975.379999995</v>
      </c>
      <c r="AG24" s="480">
        <f t="shared" si="5"/>
        <v>3142048.85</v>
      </c>
      <c r="AH24" s="468"/>
      <c r="AI24" s="882" t="s">
        <v>6644</v>
      </c>
      <c r="AJ24" s="725"/>
      <c r="AK24" s="725"/>
      <c r="AL24" s="725"/>
      <c r="AM24" s="725"/>
      <c r="AN24" s="725"/>
      <c r="AO24" s="725"/>
      <c r="AP24" s="725"/>
      <c r="AQ24" s="725"/>
      <c r="AR24" s="725"/>
      <c r="AS24" s="725"/>
      <c r="AT24" s="725"/>
      <c r="AU24" s="725"/>
      <c r="AV24" s="725"/>
      <c r="AW24" s="725"/>
      <c r="AX24" s="725"/>
      <c r="AY24" s="725"/>
      <c r="AZ24" s="725"/>
      <c r="BA24" s="725"/>
      <c r="BB24" s="725"/>
      <c r="BC24" s="725"/>
      <c r="BD24" s="725"/>
      <c r="BE24" s="725"/>
      <c r="BF24" s="725"/>
      <c r="BG24" s="725"/>
      <c r="BH24" s="725"/>
      <c r="BI24" s="725"/>
      <c r="BJ24" s="725"/>
      <c r="BK24" s="725"/>
      <c r="BL24" s="798"/>
      <c r="BM24" s="482">
        <f>Balanza!H120</f>
        <v>0</v>
      </c>
      <c r="BN24" s="482">
        <f>Balanza!D120</f>
        <v>0</v>
      </c>
    </row>
    <row r="25" spans="1:66" ht="15" customHeight="1">
      <c r="A25" s="481"/>
      <c r="B25" s="882" t="s">
        <v>6645</v>
      </c>
      <c r="C25" s="725"/>
      <c r="D25" s="725"/>
      <c r="E25" s="725"/>
      <c r="F25" s="725"/>
      <c r="G25" s="725"/>
      <c r="H25" s="725"/>
      <c r="I25" s="725"/>
      <c r="J25" s="725"/>
      <c r="K25" s="725"/>
      <c r="L25" s="725"/>
      <c r="M25" s="725"/>
      <c r="N25" s="725"/>
      <c r="O25" s="725"/>
      <c r="P25" s="725"/>
      <c r="Q25" s="725"/>
      <c r="R25" s="725"/>
      <c r="S25" s="725"/>
      <c r="T25" s="725"/>
      <c r="U25" s="725"/>
      <c r="V25" s="725"/>
      <c r="W25" s="725"/>
      <c r="X25" s="725"/>
      <c r="Y25" s="725"/>
      <c r="Z25" s="725"/>
      <c r="AA25" s="725"/>
      <c r="AB25" s="725"/>
      <c r="AC25" s="725"/>
      <c r="AD25" s="725"/>
      <c r="AE25" s="798"/>
      <c r="AF25" s="482">
        <f>Balanza!G22</f>
        <v>77545975.379999995</v>
      </c>
      <c r="AG25" s="482">
        <f>Balanza!C22</f>
        <v>3142048.85</v>
      </c>
      <c r="AH25" s="468"/>
      <c r="AI25" s="885" t="s">
        <v>6646</v>
      </c>
      <c r="AJ25" s="725"/>
      <c r="AK25" s="725"/>
      <c r="AL25" s="725"/>
      <c r="AM25" s="725"/>
      <c r="AN25" s="725"/>
      <c r="AO25" s="725"/>
      <c r="AP25" s="725"/>
      <c r="AQ25" s="725"/>
      <c r="AR25" s="725"/>
      <c r="AS25" s="725"/>
      <c r="AT25" s="725"/>
      <c r="AU25" s="725"/>
      <c r="AV25" s="725"/>
      <c r="AW25" s="725"/>
      <c r="AX25" s="725"/>
      <c r="AY25" s="725"/>
      <c r="AZ25" s="725"/>
      <c r="BA25" s="725"/>
      <c r="BB25" s="725"/>
      <c r="BC25" s="725"/>
      <c r="BD25" s="725"/>
      <c r="BE25" s="725"/>
      <c r="BF25" s="725"/>
      <c r="BG25" s="725"/>
      <c r="BH25" s="725"/>
      <c r="BI25" s="725"/>
      <c r="BJ25" s="725"/>
      <c r="BK25" s="725"/>
      <c r="BL25" s="798"/>
      <c r="BM25" s="480">
        <f>Balanza!H121</f>
        <v>100000000</v>
      </c>
      <c r="BN25" s="480">
        <f>Balanza!D121</f>
        <v>300000000</v>
      </c>
    </row>
    <row r="26" spans="1:66" ht="15" customHeight="1">
      <c r="A26" s="481"/>
      <c r="B26" s="882" t="s">
        <v>6647</v>
      </c>
      <c r="C26" s="725"/>
      <c r="D26" s="725"/>
      <c r="E26" s="725"/>
      <c r="F26" s="725"/>
      <c r="G26" s="725"/>
      <c r="H26" s="725"/>
      <c r="I26" s="725"/>
      <c r="J26" s="725"/>
      <c r="K26" s="725"/>
      <c r="L26" s="725"/>
      <c r="M26" s="725"/>
      <c r="N26" s="725"/>
      <c r="O26" s="725"/>
      <c r="P26" s="725"/>
      <c r="Q26" s="725"/>
      <c r="R26" s="725"/>
      <c r="S26" s="725"/>
      <c r="T26" s="725"/>
      <c r="U26" s="725"/>
      <c r="V26" s="725"/>
      <c r="W26" s="725"/>
      <c r="X26" s="725"/>
      <c r="Y26" s="725"/>
      <c r="Z26" s="725"/>
      <c r="AA26" s="725"/>
      <c r="AB26" s="725"/>
      <c r="AC26" s="725"/>
      <c r="AD26" s="725"/>
      <c r="AE26" s="798"/>
      <c r="AF26" s="482">
        <f>Balanza!G23</f>
        <v>0</v>
      </c>
      <c r="AG26" s="482">
        <f>Balanza!C23</f>
        <v>0</v>
      </c>
      <c r="AH26" s="143"/>
      <c r="AI26" s="885" t="s">
        <v>6648</v>
      </c>
      <c r="AJ26" s="725"/>
      <c r="AK26" s="725"/>
      <c r="AL26" s="725"/>
      <c r="AM26" s="725"/>
      <c r="AN26" s="725"/>
      <c r="AO26" s="725"/>
      <c r="AP26" s="725"/>
      <c r="AQ26" s="725"/>
      <c r="AR26" s="725"/>
      <c r="AS26" s="725"/>
      <c r="AT26" s="725"/>
      <c r="AU26" s="725"/>
      <c r="AV26" s="725"/>
      <c r="AW26" s="725"/>
      <c r="AX26" s="725"/>
      <c r="AY26" s="725"/>
      <c r="AZ26" s="725"/>
      <c r="BA26" s="725"/>
      <c r="BB26" s="725"/>
      <c r="BC26" s="725"/>
      <c r="BD26" s="725"/>
      <c r="BE26" s="725"/>
      <c r="BF26" s="725"/>
      <c r="BG26" s="725"/>
      <c r="BH26" s="725"/>
      <c r="BI26" s="725"/>
      <c r="BJ26" s="725"/>
      <c r="BK26" s="725"/>
      <c r="BL26" s="798"/>
      <c r="BM26" s="480">
        <f t="shared" ref="BM26:BN26" si="6">SUM(BM27:BM29)</f>
        <v>0</v>
      </c>
      <c r="BN26" s="480">
        <f t="shared" si="6"/>
        <v>0</v>
      </c>
    </row>
    <row r="27" spans="1:66" ht="15" customHeight="1">
      <c r="A27" s="481"/>
      <c r="B27" s="882" t="s">
        <v>6649</v>
      </c>
      <c r="C27" s="725"/>
      <c r="D27" s="725"/>
      <c r="E27" s="725"/>
      <c r="F27" s="725"/>
      <c r="G27" s="725"/>
      <c r="H27" s="725"/>
      <c r="I27" s="725"/>
      <c r="J27" s="725"/>
      <c r="K27" s="725"/>
      <c r="L27" s="725"/>
      <c r="M27" s="725"/>
      <c r="N27" s="725"/>
      <c r="O27" s="725"/>
      <c r="P27" s="725"/>
      <c r="Q27" s="725"/>
      <c r="R27" s="725"/>
      <c r="S27" s="725"/>
      <c r="T27" s="725"/>
      <c r="U27" s="725"/>
      <c r="V27" s="725"/>
      <c r="W27" s="725"/>
      <c r="X27" s="725"/>
      <c r="Y27" s="725"/>
      <c r="Z27" s="725"/>
      <c r="AA27" s="725"/>
      <c r="AB27" s="725"/>
      <c r="AC27" s="725"/>
      <c r="AD27" s="725"/>
      <c r="AE27" s="798"/>
      <c r="AF27" s="482">
        <f>Balanza!G24</f>
        <v>0</v>
      </c>
      <c r="AG27" s="482">
        <f>Balanza!C24</f>
        <v>0</v>
      </c>
      <c r="AH27" s="468"/>
      <c r="AI27" s="882" t="s">
        <v>6650</v>
      </c>
      <c r="AJ27" s="725"/>
      <c r="AK27" s="725"/>
      <c r="AL27" s="725"/>
      <c r="AM27" s="725"/>
      <c r="AN27" s="725"/>
      <c r="AO27" s="725"/>
      <c r="AP27" s="725"/>
      <c r="AQ27" s="725"/>
      <c r="AR27" s="725"/>
      <c r="AS27" s="725"/>
      <c r="AT27" s="725"/>
      <c r="AU27" s="725"/>
      <c r="AV27" s="725"/>
      <c r="AW27" s="725"/>
      <c r="AX27" s="725"/>
      <c r="AY27" s="725"/>
      <c r="AZ27" s="725"/>
      <c r="BA27" s="725"/>
      <c r="BB27" s="725"/>
      <c r="BC27" s="725"/>
      <c r="BD27" s="725"/>
      <c r="BE27" s="725"/>
      <c r="BF27" s="725"/>
      <c r="BG27" s="725"/>
      <c r="BH27" s="725"/>
      <c r="BI27" s="725"/>
      <c r="BJ27" s="725"/>
      <c r="BK27" s="725"/>
      <c r="BL27" s="798"/>
      <c r="BM27" s="482">
        <f>Balanza!H125</f>
        <v>0</v>
      </c>
      <c r="BN27" s="482">
        <f>Balanza!D125</f>
        <v>0</v>
      </c>
    </row>
    <row r="28" spans="1:66" ht="15" customHeight="1">
      <c r="A28" s="481"/>
      <c r="B28" s="882" t="s">
        <v>6651</v>
      </c>
      <c r="C28" s="725"/>
      <c r="D28" s="725"/>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725"/>
      <c r="AD28" s="725"/>
      <c r="AE28" s="798"/>
      <c r="AF28" s="482">
        <f>Balanza!G25</f>
        <v>0</v>
      </c>
      <c r="AG28" s="482">
        <f>Balanza!C25</f>
        <v>0</v>
      </c>
      <c r="AH28" s="468"/>
      <c r="AI28" s="882" t="s">
        <v>6652</v>
      </c>
      <c r="AJ28" s="725"/>
      <c r="AK28" s="725"/>
      <c r="AL28" s="725"/>
      <c r="AM28" s="725"/>
      <c r="AN28" s="725"/>
      <c r="AO28" s="725"/>
      <c r="AP28" s="725"/>
      <c r="AQ28" s="725"/>
      <c r="AR28" s="725"/>
      <c r="AS28" s="725"/>
      <c r="AT28" s="725"/>
      <c r="AU28" s="725"/>
      <c r="AV28" s="725"/>
      <c r="AW28" s="725"/>
      <c r="AX28" s="725"/>
      <c r="AY28" s="725"/>
      <c r="AZ28" s="725"/>
      <c r="BA28" s="725"/>
      <c r="BB28" s="725"/>
      <c r="BC28" s="725"/>
      <c r="BD28" s="725"/>
      <c r="BE28" s="725"/>
      <c r="BF28" s="725"/>
      <c r="BG28" s="725"/>
      <c r="BH28" s="725"/>
      <c r="BI28" s="725"/>
      <c r="BJ28" s="725"/>
      <c r="BK28" s="725"/>
      <c r="BL28" s="798"/>
      <c r="BM28" s="482">
        <f>Balanza!H126</f>
        <v>0</v>
      </c>
      <c r="BN28" s="482">
        <f>Balanza!D126</f>
        <v>0</v>
      </c>
    </row>
    <row r="29" spans="1:66" ht="15" customHeight="1">
      <c r="A29" s="481"/>
      <c r="B29" s="882" t="s">
        <v>6653</v>
      </c>
      <c r="C29" s="725"/>
      <c r="D29" s="725"/>
      <c r="E29" s="725"/>
      <c r="F29" s="725"/>
      <c r="G29" s="725"/>
      <c r="H29" s="725"/>
      <c r="I29" s="725"/>
      <c r="J29" s="725"/>
      <c r="K29" s="725"/>
      <c r="L29" s="725"/>
      <c r="M29" s="725"/>
      <c r="N29" s="725"/>
      <c r="O29" s="725"/>
      <c r="P29" s="725"/>
      <c r="Q29" s="725"/>
      <c r="R29" s="725"/>
      <c r="S29" s="725"/>
      <c r="T29" s="725"/>
      <c r="U29" s="725"/>
      <c r="V29" s="725"/>
      <c r="W29" s="725"/>
      <c r="X29" s="725"/>
      <c r="Y29" s="725"/>
      <c r="Z29" s="725"/>
      <c r="AA29" s="725"/>
      <c r="AB29" s="725"/>
      <c r="AC29" s="725"/>
      <c r="AD29" s="725"/>
      <c r="AE29" s="798"/>
      <c r="AF29" s="482">
        <f>Balanza!G26</f>
        <v>0</v>
      </c>
      <c r="AG29" s="482">
        <f>Balanza!C26</f>
        <v>0</v>
      </c>
      <c r="AH29" s="143"/>
      <c r="AI29" s="882" t="s">
        <v>6654</v>
      </c>
      <c r="AJ29" s="725"/>
      <c r="AK29" s="725"/>
      <c r="AL29" s="725"/>
      <c r="AM29" s="725"/>
      <c r="AN29" s="725"/>
      <c r="AO29" s="725"/>
      <c r="AP29" s="725"/>
      <c r="AQ29" s="725"/>
      <c r="AR29" s="725"/>
      <c r="AS29" s="725"/>
      <c r="AT29" s="725"/>
      <c r="AU29" s="725"/>
      <c r="AV29" s="725"/>
      <c r="AW29" s="725"/>
      <c r="AX29" s="725"/>
      <c r="AY29" s="725"/>
      <c r="AZ29" s="725"/>
      <c r="BA29" s="725"/>
      <c r="BB29" s="725"/>
      <c r="BC29" s="725"/>
      <c r="BD29" s="725"/>
      <c r="BE29" s="725"/>
      <c r="BF29" s="725"/>
      <c r="BG29" s="725"/>
      <c r="BH29" s="725"/>
      <c r="BI29" s="725"/>
      <c r="BJ29" s="725"/>
      <c r="BK29" s="725"/>
      <c r="BL29" s="798"/>
      <c r="BM29" s="482">
        <f>Balanza!H127</f>
        <v>0</v>
      </c>
      <c r="BN29" s="482">
        <f>Balanza!D127</f>
        <v>0</v>
      </c>
    </row>
    <row r="30" spans="1:66" ht="15" customHeight="1">
      <c r="A30" s="477"/>
      <c r="B30" s="885" t="s">
        <v>6655</v>
      </c>
      <c r="C30" s="725"/>
      <c r="D30" s="725"/>
      <c r="E30" s="725"/>
      <c r="F30" s="725"/>
      <c r="G30" s="725"/>
      <c r="H30" s="725"/>
      <c r="I30" s="725"/>
      <c r="J30" s="725"/>
      <c r="K30" s="725"/>
      <c r="L30" s="725"/>
      <c r="M30" s="725"/>
      <c r="N30" s="725"/>
      <c r="O30" s="725"/>
      <c r="P30" s="725"/>
      <c r="Q30" s="725"/>
      <c r="R30" s="725"/>
      <c r="S30" s="725"/>
      <c r="T30" s="725"/>
      <c r="U30" s="725"/>
      <c r="V30" s="725"/>
      <c r="W30" s="725"/>
      <c r="X30" s="725"/>
      <c r="Y30" s="725"/>
      <c r="Z30" s="725"/>
      <c r="AA30" s="725"/>
      <c r="AB30" s="725"/>
      <c r="AC30" s="725"/>
      <c r="AD30" s="725"/>
      <c r="AE30" s="798"/>
      <c r="AF30" s="480">
        <f t="shared" ref="AF30:AG30" si="7">SUM(AF31:AF35)</f>
        <v>0</v>
      </c>
      <c r="AG30" s="480">
        <f t="shared" si="7"/>
        <v>0</v>
      </c>
      <c r="AH30" s="468"/>
      <c r="AI30" s="885" t="s">
        <v>6656</v>
      </c>
      <c r="AJ30" s="725"/>
      <c r="AK30" s="725"/>
      <c r="AL30" s="725"/>
      <c r="AM30" s="725"/>
      <c r="AN30" s="725"/>
      <c r="AO30" s="725"/>
      <c r="AP30" s="725"/>
      <c r="AQ30" s="725"/>
      <c r="AR30" s="725"/>
      <c r="AS30" s="725"/>
      <c r="AT30" s="725"/>
      <c r="AU30" s="725"/>
      <c r="AV30" s="725"/>
      <c r="AW30" s="725"/>
      <c r="AX30" s="725"/>
      <c r="AY30" s="725"/>
      <c r="AZ30" s="725"/>
      <c r="BA30" s="725"/>
      <c r="BB30" s="725"/>
      <c r="BC30" s="725"/>
      <c r="BD30" s="725"/>
      <c r="BE30" s="725"/>
      <c r="BF30" s="725"/>
      <c r="BG30" s="725"/>
      <c r="BH30" s="725"/>
      <c r="BI30" s="725"/>
      <c r="BJ30" s="725"/>
      <c r="BK30" s="725"/>
      <c r="BL30" s="798"/>
      <c r="BM30" s="480">
        <f t="shared" ref="BM30:BN30" si="8">SUM(BM31:BM36)</f>
        <v>690684.62</v>
      </c>
      <c r="BN30" s="480">
        <f t="shared" si="8"/>
        <v>779633.11</v>
      </c>
    </row>
    <row r="31" spans="1:66" ht="15" customHeight="1">
      <c r="A31" s="481"/>
      <c r="B31" s="882" t="s">
        <v>6657</v>
      </c>
      <c r="C31" s="725"/>
      <c r="D31" s="725"/>
      <c r="E31" s="725"/>
      <c r="F31" s="725"/>
      <c r="G31" s="725"/>
      <c r="H31" s="725"/>
      <c r="I31" s="725"/>
      <c r="J31" s="725"/>
      <c r="K31" s="725"/>
      <c r="L31" s="725"/>
      <c r="M31" s="725"/>
      <c r="N31" s="725"/>
      <c r="O31" s="725"/>
      <c r="P31" s="725"/>
      <c r="Q31" s="725"/>
      <c r="R31" s="725"/>
      <c r="S31" s="725"/>
      <c r="T31" s="725"/>
      <c r="U31" s="725"/>
      <c r="V31" s="725"/>
      <c r="W31" s="725"/>
      <c r="X31" s="725"/>
      <c r="Y31" s="725"/>
      <c r="Z31" s="725"/>
      <c r="AA31" s="725"/>
      <c r="AB31" s="725"/>
      <c r="AC31" s="725"/>
      <c r="AD31" s="725"/>
      <c r="AE31" s="798"/>
      <c r="AF31" s="482">
        <f>Balanza!G28</f>
        <v>0</v>
      </c>
      <c r="AG31" s="482">
        <f>Balanza!C28</f>
        <v>0</v>
      </c>
      <c r="AH31" s="468"/>
      <c r="AI31" s="882" t="s">
        <v>6658</v>
      </c>
      <c r="AJ31" s="725"/>
      <c r="AK31" s="725"/>
      <c r="AL31" s="725"/>
      <c r="AM31" s="725"/>
      <c r="AN31" s="725"/>
      <c r="AO31" s="725"/>
      <c r="AP31" s="725"/>
      <c r="AQ31" s="725"/>
      <c r="AR31" s="725"/>
      <c r="AS31" s="725"/>
      <c r="AT31" s="725"/>
      <c r="AU31" s="725"/>
      <c r="AV31" s="725"/>
      <c r="AW31" s="725"/>
      <c r="AX31" s="725"/>
      <c r="AY31" s="725"/>
      <c r="AZ31" s="725"/>
      <c r="BA31" s="725"/>
      <c r="BB31" s="725"/>
      <c r="BC31" s="725"/>
      <c r="BD31" s="725"/>
      <c r="BE31" s="725"/>
      <c r="BF31" s="725"/>
      <c r="BG31" s="725"/>
      <c r="BH31" s="725"/>
      <c r="BI31" s="725"/>
      <c r="BJ31" s="725"/>
      <c r="BK31" s="725"/>
      <c r="BL31" s="798"/>
      <c r="BM31" s="482">
        <f>Balanza!H129</f>
        <v>693567.77</v>
      </c>
      <c r="BN31" s="482">
        <f>Balanza!D129</f>
        <v>782517.26</v>
      </c>
    </row>
    <row r="32" spans="1:66" ht="15" customHeight="1">
      <c r="A32" s="481"/>
      <c r="B32" s="882" t="s">
        <v>6659</v>
      </c>
      <c r="C32" s="725"/>
      <c r="D32" s="725"/>
      <c r="E32" s="725"/>
      <c r="F32" s="725"/>
      <c r="G32" s="725"/>
      <c r="H32" s="725"/>
      <c r="I32" s="725"/>
      <c r="J32" s="725"/>
      <c r="K32" s="725"/>
      <c r="L32" s="725"/>
      <c r="M32" s="725"/>
      <c r="N32" s="725"/>
      <c r="O32" s="725"/>
      <c r="P32" s="725"/>
      <c r="Q32" s="725"/>
      <c r="R32" s="725"/>
      <c r="S32" s="725"/>
      <c r="T32" s="725"/>
      <c r="U32" s="725"/>
      <c r="V32" s="725"/>
      <c r="W32" s="725"/>
      <c r="X32" s="725"/>
      <c r="Y32" s="725"/>
      <c r="Z32" s="725"/>
      <c r="AA32" s="725"/>
      <c r="AB32" s="725"/>
      <c r="AC32" s="725"/>
      <c r="AD32" s="725"/>
      <c r="AE32" s="798"/>
      <c r="AF32" s="482">
        <f>Balanza!G29</f>
        <v>0</v>
      </c>
      <c r="AG32" s="482">
        <f>Balanza!C29</f>
        <v>0</v>
      </c>
      <c r="AH32" s="468"/>
      <c r="AI32" s="882" t="s">
        <v>6660</v>
      </c>
      <c r="AJ32" s="725"/>
      <c r="AK32" s="725"/>
      <c r="AL32" s="725"/>
      <c r="AM32" s="725"/>
      <c r="AN32" s="725"/>
      <c r="AO32" s="725"/>
      <c r="AP32" s="725"/>
      <c r="AQ32" s="725"/>
      <c r="AR32" s="725"/>
      <c r="AS32" s="725"/>
      <c r="AT32" s="725"/>
      <c r="AU32" s="725"/>
      <c r="AV32" s="725"/>
      <c r="AW32" s="725"/>
      <c r="AX32" s="725"/>
      <c r="AY32" s="725"/>
      <c r="AZ32" s="725"/>
      <c r="BA32" s="725"/>
      <c r="BB32" s="725"/>
      <c r="BC32" s="725"/>
      <c r="BD32" s="725"/>
      <c r="BE32" s="725"/>
      <c r="BF32" s="725"/>
      <c r="BG32" s="725"/>
      <c r="BH32" s="725"/>
      <c r="BI32" s="725"/>
      <c r="BJ32" s="725"/>
      <c r="BK32" s="725"/>
      <c r="BL32" s="798"/>
      <c r="BM32" s="482">
        <f>Balanza!H130</f>
        <v>-2883.15</v>
      </c>
      <c r="BN32" s="482">
        <f>Balanza!D130</f>
        <v>-2884.15</v>
      </c>
    </row>
    <row r="33" spans="1:66" ht="15" customHeight="1">
      <c r="A33" s="481"/>
      <c r="B33" s="882" t="s">
        <v>6661</v>
      </c>
      <c r="C33" s="725"/>
      <c r="D33" s="725"/>
      <c r="E33" s="725"/>
      <c r="F33" s="725"/>
      <c r="G33" s="725"/>
      <c r="H33" s="725"/>
      <c r="I33" s="725"/>
      <c r="J33" s="725"/>
      <c r="K33" s="725"/>
      <c r="L33" s="725"/>
      <c r="M33" s="725"/>
      <c r="N33" s="725"/>
      <c r="O33" s="725"/>
      <c r="P33" s="725"/>
      <c r="Q33" s="725"/>
      <c r="R33" s="725"/>
      <c r="S33" s="725"/>
      <c r="T33" s="725"/>
      <c r="U33" s="725"/>
      <c r="V33" s="725"/>
      <c r="W33" s="725"/>
      <c r="X33" s="725"/>
      <c r="Y33" s="725"/>
      <c r="Z33" s="725"/>
      <c r="AA33" s="725"/>
      <c r="AB33" s="725"/>
      <c r="AC33" s="725"/>
      <c r="AD33" s="725"/>
      <c r="AE33" s="798"/>
      <c r="AF33" s="482">
        <f>Balanza!G30</f>
        <v>0</v>
      </c>
      <c r="AG33" s="482">
        <f>Balanza!C30</f>
        <v>0</v>
      </c>
      <c r="AH33" s="143"/>
      <c r="AI33" s="882" t="s">
        <v>6662</v>
      </c>
      <c r="AJ33" s="725"/>
      <c r="AK33" s="725"/>
      <c r="AL33" s="725"/>
      <c r="AM33" s="725"/>
      <c r="AN33" s="725"/>
      <c r="AO33" s="725"/>
      <c r="AP33" s="725"/>
      <c r="AQ33" s="725"/>
      <c r="AR33" s="725"/>
      <c r="AS33" s="725"/>
      <c r="AT33" s="725"/>
      <c r="AU33" s="725"/>
      <c r="AV33" s="725"/>
      <c r="AW33" s="725"/>
      <c r="AX33" s="725"/>
      <c r="AY33" s="725"/>
      <c r="AZ33" s="725"/>
      <c r="BA33" s="725"/>
      <c r="BB33" s="725"/>
      <c r="BC33" s="725"/>
      <c r="BD33" s="725"/>
      <c r="BE33" s="725"/>
      <c r="BF33" s="725"/>
      <c r="BG33" s="725"/>
      <c r="BH33" s="725"/>
      <c r="BI33" s="725"/>
      <c r="BJ33" s="725"/>
      <c r="BK33" s="725"/>
      <c r="BL33" s="798"/>
      <c r="BM33" s="482">
        <f>Balanza!H131</f>
        <v>0</v>
      </c>
      <c r="BN33" s="482">
        <f>Balanza!D131</f>
        <v>0</v>
      </c>
    </row>
    <row r="34" spans="1:66" ht="15" customHeight="1">
      <c r="A34" s="481"/>
      <c r="B34" s="882" t="s">
        <v>6663</v>
      </c>
      <c r="C34" s="725"/>
      <c r="D34" s="725"/>
      <c r="E34" s="725"/>
      <c r="F34" s="725"/>
      <c r="G34" s="725"/>
      <c r="H34" s="725"/>
      <c r="I34" s="725"/>
      <c r="J34" s="725"/>
      <c r="K34" s="725"/>
      <c r="L34" s="725"/>
      <c r="M34" s="725"/>
      <c r="N34" s="725"/>
      <c r="O34" s="725"/>
      <c r="P34" s="725"/>
      <c r="Q34" s="725"/>
      <c r="R34" s="725"/>
      <c r="S34" s="725"/>
      <c r="T34" s="725"/>
      <c r="U34" s="725"/>
      <c r="V34" s="725"/>
      <c r="W34" s="725"/>
      <c r="X34" s="725"/>
      <c r="Y34" s="725"/>
      <c r="Z34" s="725"/>
      <c r="AA34" s="725"/>
      <c r="AB34" s="725"/>
      <c r="AC34" s="725"/>
      <c r="AD34" s="725"/>
      <c r="AE34" s="798"/>
      <c r="AF34" s="482">
        <f>Balanza!G31</f>
        <v>0</v>
      </c>
      <c r="AG34" s="482">
        <f>Balanza!C31</f>
        <v>0</v>
      </c>
      <c r="AH34" s="468"/>
      <c r="AI34" s="882" t="s">
        <v>6664</v>
      </c>
      <c r="AJ34" s="725"/>
      <c r="AK34" s="725"/>
      <c r="AL34" s="725"/>
      <c r="AM34" s="725"/>
      <c r="AN34" s="725"/>
      <c r="AO34" s="725"/>
      <c r="AP34" s="725"/>
      <c r="AQ34" s="725"/>
      <c r="AR34" s="725"/>
      <c r="AS34" s="725"/>
      <c r="AT34" s="725"/>
      <c r="AU34" s="725"/>
      <c r="AV34" s="725"/>
      <c r="AW34" s="725"/>
      <c r="AX34" s="725"/>
      <c r="AY34" s="725"/>
      <c r="AZ34" s="725"/>
      <c r="BA34" s="725"/>
      <c r="BB34" s="725"/>
      <c r="BC34" s="725"/>
      <c r="BD34" s="725"/>
      <c r="BE34" s="725"/>
      <c r="BF34" s="725"/>
      <c r="BG34" s="725"/>
      <c r="BH34" s="725"/>
      <c r="BI34" s="725"/>
      <c r="BJ34" s="725"/>
      <c r="BK34" s="725"/>
      <c r="BL34" s="798"/>
      <c r="BM34" s="482">
        <f>Balanza!H132</f>
        <v>0</v>
      </c>
      <c r="BN34" s="482">
        <f>Balanza!D132</f>
        <v>0</v>
      </c>
    </row>
    <row r="35" spans="1:66" ht="15" customHeight="1">
      <c r="A35" s="481"/>
      <c r="B35" s="882" t="s">
        <v>6665</v>
      </c>
      <c r="C35" s="725"/>
      <c r="D35" s="725"/>
      <c r="E35" s="725"/>
      <c r="F35" s="725"/>
      <c r="G35" s="725"/>
      <c r="H35" s="725"/>
      <c r="I35" s="725"/>
      <c r="J35" s="725"/>
      <c r="K35" s="725"/>
      <c r="L35" s="725"/>
      <c r="M35" s="725"/>
      <c r="N35" s="725"/>
      <c r="O35" s="725"/>
      <c r="P35" s="725"/>
      <c r="Q35" s="725"/>
      <c r="R35" s="725"/>
      <c r="S35" s="725"/>
      <c r="T35" s="725"/>
      <c r="U35" s="725"/>
      <c r="V35" s="725"/>
      <c r="W35" s="725"/>
      <c r="X35" s="725"/>
      <c r="Y35" s="725"/>
      <c r="Z35" s="725"/>
      <c r="AA35" s="725"/>
      <c r="AB35" s="725"/>
      <c r="AC35" s="725"/>
      <c r="AD35" s="725"/>
      <c r="AE35" s="798"/>
      <c r="AF35" s="482">
        <f>Balanza!G32</f>
        <v>0</v>
      </c>
      <c r="AG35" s="482">
        <f>Balanza!C32</f>
        <v>0</v>
      </c>
      <c r="AH35" s="468"/>
      <c r="AI35" s="882" t="s">
        <v>6666</v>
      </c>
      <c r="AJ35" s="725"/>
      <c r="AK35" s="725"/>
      <c r="AL35" s="725"/>
      <c r="AM35" s="725"/>
      <c r="AN35" s="725"/>
      <c r="AO35" s="725"/>
      <c r="AP35" s="725"/>
      <c r="AQ35" s="725"/>
      <c r="AR35" s="725"/>
      <c r="AS35" s="725"/>
      <c r="AT35" s="725"/>
      <c r="AU35" s="725"/>
      <c r="AV35" s="725"/>
      <c r="AW35" s="725"/>
      <c r="AX35" s="725"/>
      <c r="AY35" s="725"/>
      <c r="AZ35" s="725"/>
      <c r="BA35" s="725"/>
      <c r="BB35" s="725"/>
      <c r="BC35" s="725"/>
      <c r="BD35" s="725"/>
      <c r="BE35" s="725"/>
      <c r="BF35" s="725"/>
      <c r="BG35" s="725"/>
      <c r="BH35" s="725"/>
      <c r="BI35" s="725"/>
      <c r="BJ35" s="725"/>
      <c r="BK35" s="725"/>
      <c r="BL35" s="798"/>
      <c r="BM35" s="482">
        <f>Balanza!H133</f>
        <v>0</v>
      </c>
      <c r="BN35" s="482">
        <f>Balanza!D133</f>
        <v>0</v>
      </c>
    </row>
    <row r="36" spans="1:66" ht="15" customHeight="1">
      <c r="A36" s="477"/>
      <c r="B36" s="885" t="s">
        <v>6667</v>
      </c>
      <c r="C36" s="725"/>
      <c r="D36" s="725"/>
      <c r="E36" s="725"/>
      <c r="F36" s="725"/>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5"/>
      <c r="AE36" s="798"/>
      <c r="AF36" s="480">
        <f>Balanza!G34</f>
        <v>0</v>
      </c>
      <c r="AG36" s="480">
        <f>Balanza!C34</f>
        <v>0</v>
      </c>
      <c r="AH36" s="468"/>
      <c r="AI36" s="882" t="s">
        <v>6668</v>
      </c>
      <c r="AJ36" s="725"/>
      <c r="AK36" s="725"/>
      <c r="AL36" s="725"/>
      <c r="AM36" s="725"/>
      <c r="AN36" s="725"/>
      <c r="AO36" s="725"/>
      <c r="AP36" s="725"/>
      <c r="AQ36" s="725"/>
      <c r="AR36" s="725"/>
      <c r="AS36" s="725"/>
      <c r="AT36" s="725"/>
      <c r="AU36" s="725"/>
      <c r="AV36" s="725"/>
      <c r="AW36" s="725"/>
      <c r="AX36" s="725"/>
      <c r="AY36" s="725"/>
      <c r="AZ36" s="725"/>
      <c r="BA36" s="725"/>
      <c r="BB36" s="725"/>
      <c r="BC36" s="725"/>
      <c r="BD36" s="725"/>
      <c r="BE36" s="725"/>
      <c r="BF36" s="725"/>
      <c r="BG36" s="725"/>
      <c r="BH36" s="725"/>
      <c r="BI36" s="725"/>
      <c r="BJ36" s="725"/>
      <c r="BK36" s="725"/>
      <c r="BL36" s="798"/>
      <c r="BM36" s="482">
        <f>Balanza!H134</f>
        <v>0</v>
      </c>
      <c r="BN36" s="482">
        <f>Balanza!D134</f>
        <v>0</v>
      </c>
    </row>
    <row r="37" spans="1:66" ht="15" customHeight="1">
      <c r="A37" s="477"/>
      <c r="B37" s="885" t="s">
        <v>6669</v>
      </c>
      <c r="C37" s="725"/>
      <c r="D37" s="725"/>
      <c r="E37" s="725"/>
      <c r="F37" s="725"/>
      <c r="G37" s="725"/>
      <c r="H37" s="725"/>
      <c r="I37" s="725"/>
      <c r="J37" s="725"/>
      <c r="K37" s="725"/>
      <c r="L37" s="725"/>
      <c r="M37" s="725"/>
      <c r="N37" s="725"/>
      <c r="O37" s="725"/>
      <c r="P37" s="725"/>
      <c r="Q37" s="725"/>
      <c r="R37" s="725"/>
      <c r="S37" s="725"/>
      <c r="T37" s="725"/>
      <c r="U37" s="725"/>
      <c r="V37" s="725"/>
      <c r="W37" s="725"/>
      <c r="X37" s="725"/>
      <c r="Y37" s="725"/>
      <c r="Z37" s="725"/>
      <c r="AA37" s="725"/>
      <c r="AB37" s="725"/>
      <c r="AC37" s="725"/>
      <c r="AD37" s="725"/>
      <c r="AE37" s="798"/>
      <c r="AF37" s="480">
        <f t="shared" ref="AF37:AG37" si="9">SUM(AF38:AF39)</f>
        <v>0</v>
      </c>
      <c r="AG37" s="480">
        <f t="shared" si="9"/>
        <v>0</v>
      </c>
      <c r="AH37" s="468"/>
      <c r="AI37" s="885" t="s">
        <v>6670</v>
      </c>
      <c r="AJ37" s="725"/>
      <c r="AK37" s="725"/>
      <c r="AL37" s="725"/>
      <c r="AM37" s="725"/>
      <c r="AN37" s="725"/>
      <c r="AO37" s="725"/>
      <c r="AP37" s="725"/>
      <c r="AQ37" s="725"/>
      <c r="AR37" s="725"/>
      <c r="AS37" s="725"/>
      <c r="AT37" s="725"/>
      <c r="AU37" s="725"/>
      <c r="AV37" s="725"/>
      <c r="AW37" s="725"/>
      <c r="AX37" s="725"/>
      <c r="AY37" s="725"/>
      <c r="AZ37" s="725"/>
      <c r="BA37" s="725"/>
      <c r="BB37" s="725"/>
      <c r="BC37" s="725"/>
      <c r="BD37" s="725"/>
      <c r="BE37" s="725"/>
      <c r="BF37" s="725"/>
      <c r="BG37" s="725"/>
      <c r="BH37" s="725"/>
      <c r="BI37" s="725"/>
      <c r="BJ37" s="725"/>
      <c r="BK37" s="725"/>
      <c r="BL37" s="798"/>
      <c r="BM37" s="480">
        <f t="shared" ref="BM37:BN37" si="10">SUM(BM38:BM40)</f>
        <v>109800</v>
      </c>
      <c r="BN37" s="480">
        <f t="shared" si="10"/>
        <v>109800</v>
      </c>
    </row>
    <row r="38" spans="1:66" ht="15" customHeight="1">
      <c r="A38" s="481"/>
      <c r="B38" s="882" t="s">
        <v>6671</v>
      </c>
      <c r="C38" s="725"/>
      <c r="D38" s="725"/>
      <c r="E38" s="725"/>
      <c r="F38" s="725"/>
      <c r="G38" s="725"/>
      <c r="H38" s="725"/>
      <c r="I38" s="725"/>
      <c r="J38" s="725"/>
      <c r="K38" s="725"/>
      <c r="L38" s="725"/>
      <c r="M38" s="725"/>
      <c r="N38" s="725"/>
      <c r="O38" s="725"/>
      <c r="P38" s="725"/>
      <c r="Q38" s="725"/>
      <c r="R38" s="725"/>
      <c r="S38" s="725"/>
      <c r="T38" s="725"/>
      <c r="U38" s="725"/>
      <c r="V38" s="725"/>
      <c r="W38" s="725"/>
      <c r="X38" s="725"/>
      <c r="Y38" s="725"/>
      <c r="Z38" s="725"/>
      <c r="AA38" s="725"/>
      <c r="AB38" s="725"/>
      <c r="AC38" s="725"/>
      <c r="AD38" s="725"/>
      <c r="AE38" s="798"/>
      <c r="AF38" s="482">
        <f>Balanza!G36</f>
        <v>0</v>
      </c>
      <c r="AG38" s="482">
        <f>Balanza!C36</f>
        <v>0</v>
      </c>
      <c r="AH38" s="468"/>
      <c r="AI38" s="882" t="s">
        <v>6672</v>
      </c>
      <c r="AJ38" s="725"/>
      <c r="AK38" s="725"/>
      <c r="AL38" s="725"/>
      <c r="AM38" s="725"/>
      <c r="AN38" s="725"/>
      <c r="AO38" s="725"/>
      <c r="AP38" s="725"/>
      <c r="AQ38" s="725"/>
      <c r="AR38" s="725"/>
      <c r="AS38" s="725"/>
      <c r="AT38" s="725"/>
      <c r="AU38" s="725"/>
      <c r="AV38" s="725"/>
      <c r="AW38" s="725"/>
      <c r="AX38" s="725"/>
      <c r="AY38" s="725"/>
      <c r="AZ38" s="725"/>
      <c r="BA38" s="725"/>
      <c r="BB38" s="725"/>
      <c r="BC38" s="725"/>
      <c r="BD38" s="725"/>
      <c r="BE38" s="725"/>
      <c r="BF38" s="725"/>
      <c r="BG38" s="725"/>
      <c r="BH38" s="725"/>
      <c r="BI38" s="725"/>
      <c r="BJ38" s="725"/>
      <c r="BK38" s="725"/>
      <c r="BL38" s="798"/>
      <c r="BM38" s="482">
        <f>Balanza!H136</f>
        <v>0</v>
      </c>
      <c r="BN38" s="482">
        <f>Balanza!D136</f>
        <v>0</v>
      </c>
    </row>
    <row r="39" spans="1:66" ht="15" customHeight="1">
      <c r="A39" s="481"/>
      <c r="B39" s="882" t="s">
        <v>6673</v>
      </c>
      <c r="C39" s="725"/>
      <c r="D39" s="725"/>
      <c r="E39" s="725"/>
      <c r="F39" s="725"/>
      <c r="G39" s="725"/>
      <c r="H39" s="725"/>
      <c r="I39" s="725"/>
      <c r="J39" s="725"/>
      <c r="K39" s="725"/>
      <c r="L39" s="725"/>
      <c r="M39" s="725"/>
      <c r="N39" s="725"/>
      <c r="O39" s="725"/>
      <c r="P39" s="725"/>
      <c r="Q39" s="725"/>
      <c r="R39" s="725"/>
      <c r="S39" s="725"/>
      <c r="T39" s="725"/>
      <c r="U39" s="725"/>
      <c r="V39" s="725"/>
      <c r="W39" s="725"/>
      <c r="X39" s="725"/>
      <c r="Y39" s="725"/>
      <c r="Z39" s="725"/>
      <c r="AA39" s="725"/>
      <c r="AB39" s="725"/>
      <c r="AC39" s="725"/>
      <c r="AD39" s="725"/>
      <c r="AE39" s="798"/>
      <c r="AF39" s="482">
        <f>Balanza!G37</f>
        <v>0</v>
      </c>
      <c r="AG39" s="482">
        <f>Balanza!C37</f>
        <v>0</v>
      </c>
      <c r="AH39" s="468"/>
      <c r="AI39" s="882" t="s">
        <v>6674</v>
      </c>
      <c r="AJ39" s="725"/>
      <c r="AK39" s="725"/>
      <c r="AL39" s="725"/>
      <c r="AM39" s="725"/>
      <c r="AN39" s="725"/>
      <c r="AO39" s="725"/>
      <c r="AP39" s="725"/>
      <c r="AQ39" s="725"/>
      <c r="AR39" s="725"/>
      <c r="AS39" s="725"/>
      <c r="AT39" s="725"/>
      <c r="AU39" s="725"/>
      <c r="AV39" s="725"/>
      <c r="AW39" s="725"/>
      <c r="AX39" s="725"/>
      <c r="AY39" s="725"/>
      <c r="AZ39" s="725"/>
      <c r="BA39" s="725"/>
      <c r="BB39" s="725"/>
      <c r="BC39" s="725"/>
      <c r="BD39" s="725"/>
      <c r="BE39" s="725"/>
      <c r="BF39" s="725"/>
      <c r="BG39" s="725"/>
      <c r="BH39" s="725"/>
      <c r="BI39" s="725"/>
      <c r="BJ39" s="725"/>
      <c r="BK39" s="725"/>
      <c r="BL39" s="798"/>
      <c r="BM39" s="482">
        <f>Balanza!H137</f>
        <v>109800</v>
      </c>
      <c r="BN39" s="482">
        <f>Balanza!D137</f>
        <v>109800</v>
      </c>
    </row>
    <row r="40" spans="1:66" ht="15" customHeight="1">
      <c r="A40" s="477"/>
      <c r="B40" s="885" t="s">
        <v>6675</v>
      </c>
      <c r="C40" s="725"/>
      <c r="D40" s="725"/>
      <c r="E40" s="725"/>
      <c r="F40" s="725"/>
      <c r="G40" s="725"/>
      <c r="H40" s="725"/>
      <c r="I40" s="725"/>
      <c r="J40" s="725"/>
      <c r="K40" s="725"/>
      <c r="L40" s="725"/>
      <c r="M40" s="725"/>
      <c r="N40" s="725"/>
      <c r="O40" s="725"/>
      <c r="P40" s="725"/>
      <c r="Q40" s="725"/>
      <c r="R40" s="725"/>
      <c r="S40" s="725"/>
      <c r="T40" s="725"/>
      <c r="U40" s="725"/>
      <c r="V40" s="725"/>
      <c r="W40" s="725"/>
      <c r="X40" s="725"/>
      <c r="Y40" s="725"/>
      <c r="Z40" s="725"/>
      <c r="AA40" s="725"/>
      <c r="AB40" s="725"/>
      <c r="AC40" s="725"/>
      <c r="AD40" s="725"/>
      <c r="AE40" s="798"/>
      <c r="AF40" s="480">
        <f t="shared" ref="AF40:AG40" si="11">SUM(AF41:AF44)</f>
        <v>0</v>
      </c>
      <c r="AG40" s="480">
        <f t="shared" si="11"/>
        <v>0</v>
      </c>
      <c r="AH40" s="143"/>
      <c r="AI40" s="882" t="s">
        <v>6676</v>
      </c>
      <c r="AJ40" s="725"/>
      <c r="AK40" s="725"/>
      <c r="AL40" s="725"/>
      <c r="AM40" s="725"/>
      <c r="AN40" s="725"/>
      <c r="AO40" s="725"/>
      <c r="AP40" s="725"/>
      <c r="AQ40" s="725"/>
      <c r="AR40" s="725"/>
      <c r="AS40" s="725"/>
      <c r="AT40" s="725"/>
      <c r="AU40" s="725"/>
      <c r="AV40" s="725"/>
      <c r="AW40" s="725"/>
      <c r="AX40" s="725"/>
      <c r="AY40" s="725"/>
      <c r="AZ40" s="725"/>
      <c r="BA40" s="725"/>
      <c r="BB40" s="725"/>
      <c r="BC40" s="725"/>
      <c r="BD40" s="725"/>
      <c r="BE40" s="725"/>
      <c r="BF40" s="725"/>
      <c r="BG40" s="725"/>
      <c r="BH40" s="725"/>
      <c r="BI40" s="725"/>
      <c r="BJ40" s="725"/>
      <c r="BK40" s="725"/>
      <c r="BL40" s="798"/>
      <c r="BM40" s="482">
        <f>Balanza!H138</f>
        <v>0</v>
      </c>
      <c r="BN40" s="482">
        <f>Balanza!D138</f>
        <v>0</v>
      </c>
    </row>
    <row r="41" spans="1:66" ht="15" customHeight="1">
      <c r="A41" s="481"/>
      <c r="B41" s="882" t="s">
        <v>6677</v>
      </c>
      <c r="C41" s="725"/>
      <c r="D41" s="725"/>
      <c r="E41" s="725"/>
      <c r="F41" s="725"/>
      <c r="G41" s="725"/>
      <c r="H41" s="725"/>
      <c r="I41" s="725"/>
      <c r="J41" s="725"/>
      <c r="K41" s="725"/>
      <c r="L41" s="725"/>
      <c r="M41" s="725"/>
      <c r="N41" s="725"/>
      <c r="O41" s="725"/>
      <c r="P41" s="725"/>
      <c r="Q41" s="725"/>
      <c r="R41" s="725"/>
      <c r="S41" s="725"/>
      <c r="T41" s="725"/>
      <c r="U41" s="725"/>
      <c r="V41" s="725"/>
      <c r="W41" s="725"/>
      <c r="X41" s="725"/>
      <c r="Y41" s="725"/>
      <c r="Z41" s="725"/>
      <c r="AA41" s="725"/>
      <c r="AB41" s="725"/>
      <c r="AC41" s="725"/>
      <c r="AD41" s="725"/>
      <c r="AE41" s="798"/>
      <c r="AF41" s="482">
        <f>Balanza!G39</f>
        <v>0</v>
      </c>
      <c r="AG41" s="482">
        <f>Balanza!C39</f>
        <v>0</v>
      </c>
      <c r="AH41" s="468"/>
      <c r="AI41" s="885" t="s">
        <v>6678</v>
      </c>
      <c r="AJ41" s="725"/>
      <c r="AK41" s="725"/>
      <c r="AL41" s="725"/>
      <c r="AM41" s="725"/>
      <c r="AN41" s="725"/>
      <c r="AO41" s="725"/>
      <c r="AP41" s="725"/>
      <c r="AQ41" s="725"/>
      <c r="AR41" s="725"/>
      <c r="AS41" s="725"/>
      <c r="AT41" s="725"/>
      <c r="AU41" s="725"/>
      <c r="AV41" s="725"/>
      <c r="AW41" s="725"/>
      <c r="AX41" s="725"/>
      <c r="AY41" s="725"/>
      <c r="AZ41" s="725"/>
      <c r="BA41" s="725"/>
      <c r="BB41" s="725"/>
      <c r="BC41" s="725"/>
      <c r="BD41" s="725"/>
      <c r="BE41" s="725"/>
      <c r="BF41" s="725"/>
      <c r="BG41" s="725"/>
      <c r="BH41" s="725"/>
      <c r="BI41" s="725"/>
      <c r="BJ41" s="725"/>
      <c r="BK41" s="725"/>
      <c r="BL41" s="798"/>
      <c r="BM41" s="480">
        <f t="shared" ref="BM41:BN41" si="12">SUM(BM42:BM44)</f>
        <v>618600.78</v>
      </c>
      <c r="BN41" s="480">
        <f t="shared" si="12"/>
        <v>103367.21</v>
      </c>
    </row>
    <row r="42" spans="1:66" ht="15" customHeight="1">
      <c r="A42" s="481"/>
      <c r="B42" s="882" t="s">
        <v>6679</v>
      </c>
      <c r="C42" s="725"/>
      <c r="D42" s="725"/>
      <c r="E42" s="725"/>
      <c r="F42" s="725"/>
      <c r="G42" s="725"/>
      <c r="H42" s="725"/>
      <c r="I42" s="725"/>
      <c r="J42" s="725"/>
      <c r="K42" s="725"/>
      <c r="L42" s="725"/>
      <c r="M42" s="725"/>
      <c r="N42" s="725"/>
      <c r="O42" s="725"/>
      <c r="P42" s="725"/>
      <c r="Q42" s="725"/>
      <c r="R42" s="725"/>
      <c r="S42" s="725"/>
      <c r="T42" s="725"/>
      <c r="U42" s="725"/>
      <c r="V42" s="725"/>
      <c r="W42" s="725"/>
      <c r="X42" s="725"/>
      <c r="Y42" s="725"/>
      <c r="Z42" s="725"/>
      <c r="AA42" s="725"/>
      <c r="AB42" s="725"/>
      <c r="AC42" s="725"/>
      <c r="AD42" s="725"/>
      <c r="AE42" s="798"/>
      <c r="AF42" s="482">
        <f>Balanza!G40</f>
        <v>0</v>
      </c>
      <c r="AG42" s="482">
        <f>Balanza!C40</f>
        <v>0</v>
      </c>
      <c r="AH42" s="468"/>
      <c r="AI42" s="882" t="s">
        <v>6680</v>
      </c>
      <c r="AJ42" s="725"/>
      <c r="AK42" s="725"/>
      <c r="AL42" s="725"/>
      <c r="AM42" s="725"/>
      <c r="AN42" s="725"/>
      <c r="AO42" s="725"/>
      <c r="AP42" s="725"/>
      <c r="AQ42" s="725"/>
      <c r="AR42" s="725"/>
      <c r="AS42" s="725"/>
      <c r="AT42" s="725"/>
      <c r="AU42" s="725"/>
      <c r="AV42" s="725"/>
      <c r="AW42" s="725"/>
      <c r="AX42" s="725"/>
      <c r="AY42" s="725"/>
      <c r="AZ42" s="725"/>
      <c r="BA42" s="725"/>
      <c r="BB42" s="725"/>
      <c r="BC42" s="725"/>
      <c r="BD42" s="725"/>
      <c r="BE42" s="725"/>
      <c r="BF42" s="725"/>
      <c r="BG42" s="725"/>
      <c r="BH42" s="725"/>
      <c r="BI42" s="725"/>
      <c r="BJ42" s="725"/>
      <c r="BK42" s="725"/>
      <c r="BL42" s="798"/>
      <c r="BM42" s="482">
        <f>Balanza!H140</f>
        <v>618600.78</v>
      </c>
      <c r="BN42" s="482">
        <f>Balanza!D140</f>
        <v>103367.21</v>
      </c>
    </row>
    <row r="43" spans="1:66" ht="15" customHeight="1">
      <c r="A43" s="481"/>
      <c r="B43" s="882" t="s">
        <v>6681</v>
      </c>
      <c r="C43" s="725"/>
      <c r="D43" s="725"/>
      <c r="E43" s="725"/>
      <c r="F43" s="725"/>
      <c r="G43" s="725"/>
      <c r="H43" s="725"/>
      <c r="I43" s="725"/>
      <c r="J43" s="725"/>
      <c r="K43" s="725"/>
      <c r="L43" s="725"/>
      <c r="M43" s="725"/>
      <c r="N43" s="725"/>
      <c r="O43" s="725"/>
      <c r="P43" s="725"/>
      <c r="Q43" s="725"/>
      <c r="R43" s="725"/>
      <c r="S43" s="725"/>
      <c r="T43" s="725"/>
      <c r="U43" s="725"/>
      <c r="V43" s="725"/>
      <c r="W43" s="725"/>
      <c r="X43" s="725"/>
      <c r="Y43" s="725"/>
      <c r="Z43" s="725"/>
      <c r="AA43" s="725"/>
      <c r="AB43" s="725"/>
      <c r="AC43" s="725"/>
      <c r="AD43" s="725"/>
      <c r="AE43" s="798"/>
      <c r="AF43" s="482">
        <f>Balanza!G41</f>
        <v>0</v>
      </c>
      <c r="AG43" s="482">
        <f>Balanza!C41</f>
        <v>0</v>
      </c>
      <c r="AH43" s="468"/>
      <c r="AI43" s="882" t="s">
        <v>6682</v>
      </c>
      <c r="AJ43" s="725"/>
      <c r="AK43" s="725"/>
      <c r="AL43" s="725"/>
      <c r="AM43" s="725"/>
      <c r="AN43" s="725"/>
      <c r="AO43" s="725"/>
      <c r="AP43" s="725"/>
      <c r="AQ43" s="725"/>
      <c r="AR43" s="725"/>
      <c r="AS43" s="725"/>
      <c r="AT43" s="725"/>
      <c r="AU43" s="725"/>
      <c r="AV43" s="725"/>
      <c r="AW43" s="725"/>
      <c r="AX43" s="725"/>
      <c r="AY43" s="725"/>
      <c r="AZ43" s="725"/>
      <c r="BA43" s="725"/>
      <c r="BB43" s="725"/>
      <c r="BC43" s="725"/>
      <c r="BD43" s="725"/>
      <c r="BE43" s="725"/>
      <c r="BF43" s="725"/>
      <c r="BG43" s="725"/>
      <c r="BH43" s="725"/>
      <c r="BI43" s="725"/>
      <c r="BJ43" s="725"/>
      <c r="BK43" s="725"/>
      <c r="BL43" s="798"/>
      <c r="BM43" s="482">
        <f>Balanza!H141</f>
        <v>0</v>
      </c>
      <c r="BN43" s="482">
        <f>Balanza!D141</f>
        <v>0</v>
      </c>
    </row>
    <row r="44" spans="1:66" ht="15" customHeight="1">
      <c r="A44" s="481"/>
      <c r="B44" s="883" t="s">
        <v>6683</v>
      </c>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5"/>
      <c r="AC44" s="725"/>
      <c r="AD44" s="725"/>
      <c r="AE44" s="798"/>
      <c r="AF44" s="482">
        <f>Balanza!G42</f>
        <v>0</v>
      </c>
      <c r="AG44" s="482">
        <f>Balanza!C42</f>
        <v>0</v>
      </c>
      <c r="AH44" s="143"/>
      <c r="AI44" s="882" t="s">
        <v>6684</v>
      </c>
      <c r="AJ44" s="725"/>
      <c r="AK44" s="725"/>
      <c r="AL44" s="725"/>
      <c r="AM44" s="725"/>
      <c r="AN44" s="725"/>
      <c r="AO44" s="725"/>
      <c r="AP44" s="725"/>
      <c r="AQ44" s="725"/>
      <c r="AR44" s="725"/>
      <c r="AS44" s="725"/>
      <c r="AT44" s="725"/>
      <c r="AU44" s="725"/>
      <c r="AV44" s="725"/>
      <c r="AW44" s="725"/>
      <c r="AX44" s="725"/>
      <c r="AY44" s="725"/>
      <c r="AZ44" s="725"/>
      <c r="BA44" s="725"/>
      <c r="BB44" s="725"/>
      <c r="BC44" s="725"/>
      <c r="BD44" s="725"/>
      <c r="BE44" s="725"/>
      <c r="BF44" s="725"/>
      <c r="BG44" s="725"/>
      <c r="BH44" s="725"/>
      <c r="BI44" s="725"/>
      <c r="BJ44" s="725"/>
      <c r="BK44" s="725"/>
      <c r="BL44" s="798"/>
      <c r="BM44" s="482">
        <f>Balanza!H142</f>
        <v>0</v>
      </c>
      <c r="BN44" s="482">
        <f>Balanza!D142</f>
        <v>0</v>
      </c>
    </row>
    <row r="45" spans="1:66" ht="15" customHeight="1">
      <c r="A45" s="481"/>
      <c r="B45" s="881" t="s">
        <v>6685</v>
      </c>
      <c r="C45" s="725"/>
      <c r="D45" s="725"/>
      <c r="E45" s="725"/>
      <c r="F45" s="725"/>
      <c r="G45" s="725"/>
      <c r="H45" s="725"/>
      <c r="I45" s="725"/>
      <c r="J45" s="725"/>
      <c r="K45" s="725"/>
      <c r="L45" s="725"/>
      <c r="M45" s="725"/>
      <c r="N45" s="725"/>
      <c r="O45" s="725"/>
      <c r="P45" s="725"/>
      <c r="Q45" s="725"/>
      <c r="R45" s="725"/>
      <c r="S45" s="725"/>
      <c r="T45" s="725"/>
      <c r="U45" s="725"/>
      <c r="V45" s="725"/>
      <c r="W45" s="725"/>
      <c r="X45" s="725"/>
      <c r="Y45" s="725"/>
      <c r="Z45" s="725"/>
      <c r="AA45" s="725"/>
      <c r="AB45" s="725"/>
      <c r="AC45" s="725"/>
      <c r="AD45" s="725"/>
      <c r="AE45" s="798"/>
      <c r="AF45" s="431">
        <f t="shared" ref="AF45:AG45" si="13">AF8+AF16+AF24+AF30+AF36+AF37+AF40</f>
        <v>3030252223.3600006</v>
      </c>
      <c r="AG45" s="431">
        <f t="shared" si="13"/>
        <v>257917953.57999995</v>
      </c>
      <c r="AH45" s="468"/>
      <c r="AI45" s="881" t="s">
        <v>6686</v>
      </c>
      <c r="AJ45" s="725"/>
      <c r="AK45" s="725"/>
      <c r="AL45" s="725"/>
      <c r="AM45" s="725"/>
      <c r="AN45" s="725"/>
      <c r="AO45" s="725"/>
      <c r="AP45" s="725"/>
      <c r="AQ45" s="725"/>
      <c r="AR45" s="725"/>
      <c r="AS45" s="725"/>
      <c r="AT45" s="725"/>
      <c r="AU45" s="725"/>
      <c r="AV45" s="725"/>
      <c r="AW45" s="725"/>
      <c r="AX45" s="725"/>
      <c r="AY45" s="725"/>
      <c r="AZ45" s="725"/>
      <c r="BA45" s="725"/>
      <c r="BB45" s="725"/>
      <c r="BC45" s="725"/>
      <c r="BD45" s="725"/>
      <c r="BE45" s="725"/>
      <c r="BF45" s="725"/>
      <c r="BG45" s="725"/>
      <c r="BH45" s="725"/>
      <c r="BI45" s="725"/>
      <c r="BJ45" s="725"/>
      <c r="BK45" s="725"/>
      <c r="BL45" s="798"/>
      <c r="BM45" s="431">
        <f t="shared" ref="BM45:BN45" si="14">BM8+BM18+BM22+BM25+BM26+BM30+BM37+BM41</f>
        <v>351604362.84999996</v>
      </c>
      <c r="BN45" s="431">
        <f t="shared" si="14"/>
        <v>983019687.09000003</v>
      </c>
    </row>
    <row r="46" spans="1:66" ht="15" customHeight="1">
      <c r="A46" s="477"/>
      <c r="B46" s="881" t="s">
        <v>6605</v>
      </c>
      <c r="C46" s="725"/>
      <c r="D46" s="725"/>
      <c r="E46" s="725"/>
      <c r="F46" s="725"/>
      <c r="G46" s="725"/>
      <c r="H46" s="725"/>
      <c r="I46" s="725"/>
      <c r="J46" s="725"/>
      <c r="K46" s="725"/>
      <c r="L46" s="725"/>
      <c r="M46" s="725"/>
      <c r="N46" s="725"/>
      <c r="O46" s="725"/>
      <c r="P46" s="725"/>
      <c r="Q46" s="725"/>
      <c r="R46" s="725"/>
      <c r="S46" s="725"/>
      <c r="T46" s="725"/>
      <c r="U46" s="725"/>
      <c r="V46" s="725"/>
      <c r="W46" s="725"/>
      <c r="X46" s="725"/>
      <c r="Y46" s="725"/>
      <c r="Z46" s="725"/>
      <c r="AA46" s="725"/>
      <c r="AB46" s="725"/>
      <c r="AC46" s="725"/>
      <c r="AD46" s="725"/>
      <c r="AE46" s="798"/>
      <c r="AF46" s="431"/>
      <c r="AG46" s="431"/>
      <c r="AH46" s="468"/>
      <c r="AI46" s="881" t="s">
        <v>6687</v>
      </c>
      <c r="AJ46" s="725"/>
      <c r="AK46" s="725"/>
      <c r="AL46" s="725"/>
      <c r="AM46" s="725"/>
      <c r="AN46" s="725"/>
      <c r="AO46" s="725"/>
      <c r="AP46" s="725"/>
      <c r="AQ46" s="725"/>
      <c r="AR46" s="725"/>
      <c r="AS46" s="725"/>
      <c r="AT46" s="725"/>
      <c r="AU46" s="725"/>
      <c r="AV46" s="725"/>
      <c r="AW46" s="725"/>
      <c r="AX46" s="725"/>
      <c r="AY46" s="725"/>
      <c r="AZ46" s="725"/>
      <c r="BA46" s="725"/>
      <c r="BB46" s="725"/>
      <c r="BC46" s="725"/>
      <c r="BD46" s="725"/>
      <c r="BE46" s="725"/>
      <c r="BF46" s="725"/>
      <c r="BG46" s="725"/>
      <c r="BH46" s="725"/>
      <c r="BI46" s="725"/>
      <c r="BJ46" s="725"/>
      <c r="BK46" s="725"/>
      <c r="BL46" s="798"/>
      <c r="BM46" s="478"/>
      <c r="BN46" s="478"/>
    </row>
    <row r="47" spans="1:66" ht="15" customHeight="1">
      <c r="A47" s="477"/>
      <c r="B47" s="882" t="s">
        <v>6688</v>
      </c>
      <c r="C47" s="725"/>
      <c r="D47" s="725"/>
      <c r="E47" s="725"/>
      <c r="F47" s="725"/>
      <c r="G47" s="725"/>
      <c r="H47" s="725"/>
      <c r="I47" s="725"/>
      <c r="J47" s="725"/>
      <c r="K47" s="725"/>
      <c r="L47" s="725"/>
      <c r="M47" s="725"/>
      <c r="N47" s="725"/>
      <c r="O47" s="725"/>
      <c r="P47" s="725"/>
      <c r="Q47" s="725"/>
      <c r="R47" s="725"/>
      <c r="S47" s="725"/>
      <c r="T47" s="725"/>
      <c r="U47" s="725"/>
      <c r="V47" s="725"/>
      <c r="W47" s="725"/>
      <c r="X47" s="725"/>
      <c r="Y47" s="725"/>
      <c r="Z47" s="725"/>
      <c r="AA47" s="725"/>
      <c r="AB47" s="725"/>
      <c r="AC47" s="725"/>
      <c r="AD47" s="725"/>
      <c r="AE47" s="798"/>
      <c r="AF47" s="483">
        <f>Balanza!G44</f>
        <v>321338474.07999998</v>
      </c>
      <c r="AG47" s="483">
        <f>Balanza!C44</f>
        <v>271372363.85000002</v>
      </c>
      <c r="AH47" s="468"/>
      <c r="AI47" s="882" t="s">
        <v>6689</v>
      </c>
      <c r="AJ47" s="725"/>
      <c r="AK47" s="725"/>
      <c r="AL47" s="725"/>
      <c r="AM47" s="725"/>
      <c r="AN47" s="725"/>
      <c r="AO47" s="725"/>
      <c r="AP47" s="725"/>
      <c r="AQ47" s="725"/>
      <c r="AR47" s="725"/>
      <c r="AS47" s="725"/>
      <c r="AT47" s="725"/>
      <c r="AU47" s="725"/>
      <c r="AV47" s="725"/>
      <c r="AW47" s="725"/>
      <c r="AX47" s="725"/>
      <c r="AY47" s="725"/>
      <c r="AZ47" s="725"/>
      <c r="BA47" s="725"/>
      <c r="BB47" s="725"/>
      <c r="BC47" s="725"/>
      <c r="BD47" s="725"/>
      <c r="BE47" s="725"/>
      <c r="BF47" s="725"/>
      <c r="BG47" s="725"/>
      <c r="BH47" s="725"/>
      <c r="BI47" s="725"/>
      <c r="BJ47" s="725"/>
      <c r="BK47" s="725"/>
      <c r="BL47" s="798"/>
      <c r="BM47" s="483">
        <f>Balanza!H144</f>
        <v>0</v>
      </c>
      <c r="BN47" s="483">
        <f>Balanza!D144</f>
        <v>0</v>
      </c>
    </row>
    <row r="48" spans="1:66" ht="15" customHeight="1">
      <c r="A48" s="481"/>
      <c r="B48" s="882" t="s">
        <v>6690</v>
      </c>
      <c r="C48" s="725"/>
      <c r="D48" s="725"/>
      <c r="E48" s="725"/>
      <c r="F48" s="725"/>
      <c r="G48" s="725"/>
      <c r="H48" s="725"/>
      <c r="I48" s="725"/>
      <c r="J48" s="725"/>
      <c r="K48" s="725"/>
      <c r="L48" s="725"/>
      <c r="M48" s="725"/>
      <c r="N48" s="725"/>
      <c r="O48" s="725"/>
      <c r="P48" s="725"/>
      <c r="Q48" s="725"/>
      <c r="R48" s="725"/>
      <c r="S48" s="725"/>
      <c r="T48" s="725"/>
      <c r="U48" s="725"/>
      <c r="V48" s="725"/>
      <c r="W48" s="725"/>
      <c r="X48" s="725"/>
      <c r="Y48" s="725"/>
      <c r="Z48" s="725"/>
      <c r="AA48" s="725"/>
      <c r="AB48" s="725"/>
      <c r="AC48" s="725"/>
      <c r="AD48" s="725"/>
      <c r="AE48" s="798"/>
      <c r="AF48" s="483">
        <f>Balanza!G49</f>
        <v>644018.16</v>
      </c>
      <c r="AG48" s="483">
        <f>Balanza!C49</f>
        <v>644018.16</v>
      </c>
      <c r="AH48" s="143"/>
      <c r="AI48" s="882" t="s">
        <v>6691</v>
      </c>
      <c r="AJ48" s="725"/>
      <c r="AK48" s="725"/>
      <c r="AL48" s="725"/>
      <c r="AM48" s="725"/>
      <c r="AN48" s="725"/>
      <c r="AO48" s="725"/>
      <c r="AP48" s="725"/>
      <c r="AQ48" s="725"/>
      <c r="AR48" s="725"/>
      <c r="AS48" s="725"/>
      <c r="AT48" s="725"/>
      <c r="AU48" s="725"/>
      <c r="AV48" s="725"/>
      <c r="AW48" s="725"/>
      <c r="AX48" s="725"/>
      <c r="AY48" s="725"/>
      <c r="AZ48" s="725"/>
      <c r="BA48" s="725"/>
      <c r="BB48" s="725"/>
      <c r="BC48" s="725"/>
      <c r="BD48" s="725"/>
      <c r="BE48" s="725"/>
      <c r="BF48" s="725"/>
      <c r="BG48" s="725"/>
      <c r="BH48" s="725"/>
      <c r="BI48" s="725"/>
      <c r="BJ48" s="725"/>
      <c r="BK48" s="725"/>
      <c r="BL48" s="798"/>
      <c r="BM48" s="483">
        <f>Balanza!H147</f>
        <v>0</v>
      </c>
      <c r="BN48" s="483">
        <f>Balanza!D147</f>
        <v>0</v>
      </c>
    </row>
    <row r="49" spans="1:66" ht="15" customHeight="1">
      <c r="A49" s="481"/>
      <c r="B49" s="882" t="s">
        <v>6692</v>
      </c>
      <c r="C49" s="725"/>
      <c r="D49" s="725"/>
      <c r="E49" s="725"/>
      <c r="F49" s="725"/>
      <c r="G49" s="725"/>
      <c r="H49" s="725"/>
      <c r="I49" s="725"/>
      <c r="J49" s="725"/>
      <c r="K49" s="725"/>
      <c r="L49" s="725"/>
      <c r="M49" s="725"/>
      <c r="N49" s="725"/>
      <c r="O49" s="725"/>
      <c r="P49" s="725"/>
      <c r="Q49" s="725"/>
      <c r="R49" s="725"/>
      <c r="S49" s="725"/>
      <c r="T49" s="725"/>
      <c r="U49" s="725"/>
      <c r="V49" s="725"/>
      <c r="W49" s="725"/>
      <c r="X49" s="725"/>
      <c r="Y49" s="725"/>
      <c r="Z49" s="725"/>
      <c r="AA49" s="725"/>
      <c r="AB49" s="725"/>
      <c r="AC49" s="725"/>
      <c r="AD49" s="725"/>
      <c r="AE49" s="798"/>
      <c r="AF49" s="483">
        <f>Balanza!G55</f>
        <v>10248949149.199999</v>
      </c>
      <c r="AG49" s="483">
        <f>Balanza!C55</f>
        <v>9910739499.8099995</v>
      </c>
      <c r="AH49" s="143"/>
      <c r="AI49" s="882" t="s">
        <v>6693</v>
      </c>
      <c r="AJ49" s="725"/>
      <c r="AK49" s="725"/>
      <c r="AL49" s="725"/>
      <c r="AM49" s="725"/>
      <c r="AN49" s="725"/>
      <c r="AO49" s="725"/>
      <c r="AP49" s="725"/>
      <c r="AQ49" s="725"/>
      <c r="AR49" s="725"/>
      <c r="AS49" s="725"/>
      <c r="AT49" s="725"/>
      <c r="AU49" s="725"/>
      <c r="AV49" s="725"/>
      <c r="AW49" s="725"/>
      <c r="AX49" s="725"/>
      <c r="AY49" s="725"/>
      <c r="AZ49" s="725"/>
      <c r="BA49" s="725"/>
      <c r="BB49" s="725"/>
      <c r="BC49" s="725"/>
      <c r="BD49" s="725"/>
      <c r="BE49" s="725"/>
      <c r="BF49" s="725"/>
      <c r="BG49" s="725"/>
      <c r="BH49" s="725"/>
      <c r="BI49" s="725"/>
      <c r="BJ49" s="725"/>
      <c r="BK49" s="725"/>
      <c r="BL49" s="798"/>
      <c r="BM49" s="483">
        <f>Balanza!H151</f>
        <v>963679405.22000003</v>
      </c>
      <c r="BN49" s="483">
        <f>Balanza!D151</f>
        <v>1077738973.26</v>
      </c>
    </row>
    <row r="50" spans="1:66" ht="15" customHeight="1">
      <c r="A50" s="481"/>
      <c r="B50" s="882" t="s">
        <v>6694</v>
      </c>
      <c r="C50" s="725"/>
      <c r="D50" s="725"/>
      <c r="E50" s="725"/>
      <c r="F50" s="725"/>
      <c r="G50" s="725"/>
      <c r="H50" s="725"/>
      <c r="I50" s="725"/>
      <c r="J50" s="725"/>
      <c r="K50" s="725"/>
      <c r="L50" s="725"/>
      <c r="M50" s="725"/>
      <c r="N50" s="725"/>
      <c r="O50" s="725"/>
      <c r="P50" s="725"/>
      <c r="Q50" s="725"/>
      <c r="R50" s="725"/>
      <c r="S50" s="725"/>
      <c r="T50" s="725"/>
      <c r="U50" s="725"/>
      <c r="V50" s="725"/>
      <c r="W50" s="725"/>
      <c r="X50" s="725"/>
      <c r="Y50" s="725"/>
      <c r="Z50" s="725"/>
      <c r="AA50" s="725"/>
      <c r="AB50" s="725"/>
      <c r="AC50" s="725"/>
      <c r="AD50" s="725"/>
      <c r="AE50" s="798"/>
      <c r="AF50" s="483">
        <f>Balanza!G63</f>
        <v>3140896290.3700004</v>
      </c>
      <c r="AG50" s="483">
        <f>Balanza!C63</f>
        <v>2907121555.0099998</v>
      </c>
      <c r="AH50" s="143"/>
      <c r="AI50" s="882" t="s">
        <v>6695</v>
      </c>
      <c r="AJ50" s="725"/>
      <c r="AK50" s="725"/>
      <c r="AL50" s="725"/>
      <c r="AM50" s="725"/>
      <c r="AN50" s="725"/>
      <c r="AO50" s="725"/>
      <c r="AP50" s="725"/>
      <c r="AQ50" s="725"/>
      <c r="AR50" s="725"/>
      <c r="AS50" s="725"/>
      <c r="AT50" s="725"/>
      <c r="AU50" s="725"/>
      <c r="AV50" s="725"/>
      <c r="AW50" s="725"/>
      <c r="AX50" s="725"/>
      <c r="AY50" s="725"/>
      <c r="AZ50" s="725"/>
      <c r="BA50" s="725"/>
      <c r="BB50" s="725"/>
      <c r="BC50" s="725"/>
      <c r="BD50" s="725"/>
      <c r="BE50" s="725"/>
      <c r="BF50" s="725"/>
      <c r="BG50" s="725"/>
      <c r="BH50" s="725"/>
      <c r="BI50" s="725"/>
      <c r="BJ50" s="725"/>
      <c r="BK50" s="725"/>
      <c r="BL50" s="798"/>
      <c r="BM50" s="483">
        <f>Balanza!H157</f>
        <v>0</v>
      </c>
      <c r="BN50" s="483">
        <f>Balanza!D157</f>
        <v>0</v>
      </c>
    </row>
    <row r="51" spans="1:66" ht="15" customHeight="1">
      <c r="A51" s="481"/>
      <c r="B51" s="882" t="s">
        <v>6696</v>
      </c>
      <c r="C51" s="725"/>
      <c r="D51" s="725"/>
      <c r="E51" s="725"/>
      <c r="F51" s="725"/>
      <c r="G51" s="725"/>
      <c r="H51" s="725"/>
      <c r="I51" s="725"/>
      <c r="J51" s="725"/>
      <c r="K51" s="725"/>
      <c r="L51" s="725"/>
      <c r="M51" s="725"/>
      <c r="N51" s="725"/>
      <c r="O51" s="725"/>
      <c r="P51" s="725"/>
      <c r="Q51" s="725"/>
      <c r="R51" s="725"/>
      <c r="S51" s="725"/>
      <c r="T51" s="725"/>
      <c r="U51" s="725"/>
      <c r="V51" s="725"/>
      <c r="W51" s="725"/>
      <c r="X51" s="725"/>
      <c r="Y51" s="725"/>
      <c r="Z51" s="725"/>
      <c r="AA51" s="725"/>
      <c r="AB51" s="725"/>
      <c r="AC51" s="725"/>
      <c r="AD51" s="725"/>
      <c r="AE51" s="798"/>
      <c r="AF51" s="483">
        <f>Balanza!G72</f>
        <v>227295998.75000003</v>
      </c>
      <c r="AG51" s="483">
        <f>Balanza!C72</f>
        <v>212020646.59</v>
      </c>
      <c r="AH51" s="468"/>
      <c r="AI51" s="882" t="s">
        <v>6697</v>
      </c>
      <c r="AJ51" s="725"/>
      <c r="AK51" s="725"/>
      <c r="AL51" s="725"/>
      <c r="AM51" s="725"/>
      <c r="AN51" s="725"/>
      <c r="AO51" s="725"/>
      <c r="AP51" s="725"/>
      <c r="AQ51" s="725"/>
      <c r="AR51" s="725"/>
      <c r="AS51" s="725"/>
      <c r="AT51" s="725"/>
      <c r="AU51" s="725"/>
      <c r="AV51" s="725"/>
      <c r="AW51" s="725"/>
      <c r="AX51" s="725"/>
      <c r="AY51" s="725"/>
      <c r="AZ51" s="725"/>
      <c r="BA51" s="725"/>
      <c r="BB51" s="725"/>
      <c r="BC51" s="725"/>
      <c r="BD51" s="725"/>
      <c r="BE51" s="725"/>
      <c r="BF51" s="725"/>
      <c r="BG51" s="725"/>
      <c r="BH51" s="725"/>
      <c r="BI51" s="725"/>
      <c r="BJ51" s="725"/>
      <c r="BK51" s="725"/>
      <c r="BL51" s="798"/>
      <c r="BM51" s="483">
        <f>Balanza!H161</f>
        <v>0</v>
      </c>
      <c r="BN51" s="483">
        <f>Balanza!D161</f>
        <v>0</v>
      </c>
    </row>
    <row r="52" spans="1:66" ht="15" customHeight="1">
      <c r="A52" s="477"/>
      <c r="B52" s="882" t="s">
        <v>6698</v>
      </c>
      <c r="C52" s="725"/>
      <c r="D52" s="725"/>
      <c r="E52" s="725"/>
      <c r="F52" s="725"/>
      <c r="G52" s="725"/>
      <c r="H52" s="725"/>
      <c r="I52" s="725"/>
      <c r="J52" s="725"/>
      <c r="K52" s="725"/>
      <c r="L52" s="725"/>
      <c r="M52" s="725"/>
      <c r="N52" s="725"/>
      <c r="O52" s="725"/>
      <c r="P52" s="725"/>
      <c r="Q52" s="725"/>
      <c r="R52" s="725"/>
      <c r="S52" s="725"/>
      <c r="T52" s="725"/>
      <c r="U52" s="725"/>
      <c r="V52" s="725"/>
      <c r="W52" s="725"/>
      <c r="X52" s="725"/>
      <c r="Y52" s="725"/>
      <c r="Z52" s="725"/>
      <c r="AA52" s="725"/>
      <c r="AB52" s="725"/>
      <c r="AC52" s="725"/>
      <c r="AD52" s="725"/>
      <c r="AE52" s="798"/>
      <c r="AF52" s="483">
        <f>(Balanza!H78)*-1</f>
        <v>0</v>
      </c>
      <c r="AG52" s="483">
        <f>(Balanza!D78)*-1</f>
        <v>0</v>
      </c>
      <c r="AH52" s="468"/>
      <c r="AI52" s="882" t="s">
        <v>6699</v>
      </c>
      <c r="AJ52" s="725"/>
      <c r="AK52" s="725"/>
      <c r="AL52" s="725"/>
      <c r="AM52" s="725"/>
      <c r="AN52" s="725"/>
      <c r="AO52" s="725"/>
      <c r="AP52" s="725"/>
      <c r="AQ52" s="725"/>
      <c r="AR52" s="725"/>
      <c r="AS52" s="725"/>
      <c r="AT52" s="725"/>
      <c r="AU52" s="725"/>
      <c r="AV52" s="725"/>
      <c r="AW52" s="725"/>
      <c r="AX52" s="725"/>
      <c r="AY52" s="725"/>
      <c r="AZ52" s="725"/>
      <c r="BA52" s="725"/>
      <c r="BB52" s="725"/>
      <c r="BC52" s="725"/>
      <c r="BD52" s="725"/>
      <c r="BE52" s="725"/>
      <c r="BF52" s="725"/>
      <c r="BG52" s="725"/>
      <c r="BH52" s="725"/>
      <c r="BI52" s="725"/>
      <c r="BJ52" s="725"/>
      <c r="BK52" s="725"/>
      <c r="BL52" s="798"/>
      <c r="BM52" s="483">
        <f>Balanza!H168</f>
        <v>0</v>
      </c>
      <c r="BN52" s="483">
        <f>Balanza!D168</f>
        <v>0</v>
      </c>
    </row>
    <row r="53" spans="1:66" ht="15" customHeight="1">
      <c r="A53" s="481"/>
      <c r="B53" s="882" t="s">
        <v>6700</v>
      </c>
      <c r="C53" s="725"/>
      <c r="D53" s="725"/>
      <c r="E53" s="725"/>
      <c r="F53" s="725"/>
      <c r="G53" s="725"/>
      <c r="H53" s="725"/>
      <c r="I53" s="725"/>
      <c r="J53" s="725"/>
      <c r="K53" s="725"/>
      <c r="L53" s="725"/>
      <c r="M53" s="725"/>
      <c r="N53" s="725"/>
      <c r="O53" s="725"/>
      <c r="P53" s="725"/>
      <c r="Q53" s="725"/>
      <c r="R53" s="725"/>
      <c r="S53" s="725"/>
      <c r="T53" s="725"/>
      <c r="U53" s="725"/>
      <c r="V53" s="725"/>
      <c r="W53" s="725"/>
      <c r="X53" s="725"/>
      <c r="Y53" s="725"/>
      <c r="Z53" s="725"/>
      <c r="AA53" s="725"/>
      <c r="AB53" s="725"/>
      <c r="AC53" s="725"/>
      <c r="AD53" s="725"/>
      <c r="AE53" s="798"/>
      <c r="AF53" s="483">
        <f>Balanza!G84</f>
        <v>75624760.670000002</v>
      </c>
      <c r="AG53" s="483">
        <f>Balanza!C84</f>
        <v>75624760.670000002</v>
      </c>
      <c r="AH53" s="468"/>
      <c r="AI53" s="881" t="s">
        <v>6701</v>
      </c>
      <c r="AJ53" s="725"/>
      <c r="AK53" s="725"/>
      <c r="AL53" s="725"/>
      <c r="AM53" s="725"/>
      <c r="AN53" s="725"/>
      <c r="AO53" s="725"/>
      <c r="AP53" s="725"/>
      <c r="AQ53" s="725"/>
      <c r="AR53" s="725"/>
      <c r="AS53" s="725"/>
      <c r="AT53" s="725"/>
      <c r="AU53" s="725"/>
      <c r="AV53" s="725"/>
      <c r="AW53" s="725"/>
      <c r="AX53" s="725"/>
      <c r="AY53" s="725"/>
      <c r="AZ53" s="725"/>
      <c r="BA53" s="725"/>
      <c r="BB53" s="725"/>
      <c r="BC53" s="725"/>
      <c r="BD53" s="725"/>
      <c r="BE53" s="725"/>
      <c r="BF53" s="725"/>
      <c r="BG53" s="725"/>
      <c r="BH53" s="725"/>
      <c r="BI53" s="725"/>
      <c r="BJ53" s="725"/>
      <c r="BK53" s="725"/>
      <c r="BL53" s="798"/>
      <c r="BM53" s="431">
        <f t="shared" ref="BM53:BN53" si="15">BM47+BM48+BM49+BM50+BM51+BM52</f>
        <v>963679405.22000003</v>
      </c>
      <c r="BN53" s="431">
        <f t="shared" si="15"/>
        <v>1077738973.26</v>
      </c>
    </row>
    <row r="54" spans="1:66" ht="15" customHeight="1">
      <c r="A54" s="481"/>
      <c r="B54" s="882" t="s">
        <v>6702</v>
      </c>
      <c r="C54" s="725"/>
      <c r="D54" s="725"/>
      <c r="E54" s="725"/>
      <c r="F54" s="725"/>
      <c r="G54" s="725"/>
      <c r="H54" s="725"/>
      <c r="I54" s="725"/>
      <c r="J54" s="725"/>
      <c r="K54" s="725"/>
      <c r="L54" s="725"/>
      <c r="M54" s="725"/>
      <c r="N54" s="725"/>
      <c r="O54" s="725"/>
      <c r="P54" s="725"/>
      <c r="Q54" s="725"/>
      <c r="R54" s="725"/>
      <c r="S54" s="725"/>
      <c r="T54" s="725"/>
      <c r="U54" s="725"/>
      <c r="V54" s="725"/>
      <c r="W54" s="725"/>
      <c r="X54" s="725"/>
      <c r="Y54" s="725"/>
      <c r="Z54" s="725"/>
      <c r="AA54" s="725"/>
      <c r="AB54" s="725"/>
      <c r="AC54" s="725"/>
      <c r="AD54" s="725"/>
      <c r="AE54" s="798"/>
      <c r="AF54" s="483">
        <f>(Balanza!H91)*-1</f>
        <v>0</v>
      </c>
      <c r="AG54" s="483">
        <f>(Balanza!D91)*-1</f>
        <v>0</v>
      </c>
      <c r="AH54" s="468"/>
      <c r="AI54" s="881" t="s">
        <v>6703</v>
      </c>
      <c r="AJ54" s="725"/>
      <c r="AK54" s="725"/>
      <c r="AL54" s="725"/>
      <c r="AM54" s="725"/>
      <c r="AN54" s="725"/>
      <c r="AO54" s="725"/>
      <c r="AP54" s="725"/>
      <c r="AQ54" s="725"/>
      <c r="AR54" s="725"/>
      <c r="AS54" s="725"/>
      <c r="AT54" s="725"/>
      <c r="AU54" s="725"/>
      <c r="AV54" s="725"/>
      <c r="AW54" s="725"/>
      <c r="AX54" s="725"/>
      <c r="AY54" s="725"/>
      <c r="AZ54" s="725"/>
      <c r="BA54" s="725"/>
      <c r="BB54" s="725"/>
      <c r="BC54" s="725"/>
      <c r="BD54" s="725"/>
      <c r="BE54" s="725"/>
      <c r="BF54" s="725"/>
      <c r="BG54" s="725"/>
      <c r="BH54" s="725"/>
      <c r="BI54" s="725"/>
      <c r="BJ54" s="725"/>
      <c r="BK54" s="725"/>
      <c r="BL54" s="798"/>
      <c r="BM54" s="484">
        <f t="shared" ref="BM54:BN54" si="16">BM45+BM53</f>
        <v>1315283768.0699999</v>
      </c>
      <c r="BN54" s="484">
        <f t="shared" si="16"/>
        <v>2060758660.3499999</v>
      </c>
    </row>
    <row r="55" spans="1:66" ht="15" customHeight="1">
      <c r="A55" s="481"/>
      <c r="B55" s="882" t="s">
        <v>6704</v>
      </c>
      <c r="C55" s="725"/>
      <c r="D55" s="725"/>
      <c r="E55" s="725"/>
      <c r="F55" s="725"/>
      <c r="G55" s="725"/>
      <c r="H55" s="725"/>
      <c r="I55" s="725"/>
      <c r="J55" s="725"/>
      <c r="K55" s="725"/>
      <c r="L55" s="725"/>
      <c r="M55" s="725"/>
      <c r="N55" s="725"/>
      <c r="O55" s="725"/>
      <c r="P55" s="725"/>
      <c r="Q55" s="725"/>
      <c r="R55" s="725"/>
      <c r="S55" s="725"/>
      <c r="T55" s="725"/>
      <c r="U55" s="725"/>
      <c r="V55" s="725"/>
      <c r="W55" s="725"/>
      <c r="X55" s="725"/>
      <c r="Y55" s="725"/>
      <c r="Z55" s="725"/>
      <c r="AA55" s="725"/>
      <c r="AB55" s="725"/>
      <c r="AC55" s="725"/>
      <c r="AD55" s="725"/>
      <c r="AE55" s="798"/>
      <c r="AF55" s="483">
        <f>Balanza!G97</f>
        <v>1040586.75</v>
      </c>
      <c r="AG55" s="483">
        <f>Balanza!C97</f>
        <v>1040586.75</v>
      </c>
      <c r="AH55" s="468"/>
      <c r="AI55" s="887" t="s">
        <v>847</v>
      </c>
      <c r="AJ55" s="725"/>
      <c r="AK55" s="725"/>
      <c r="AL55" s="725"/>
      <c r="AM55" s="725"/>
      <c r="AN55" s="725"/>
      <c r="AO55" s="725"/>
      <c r="AP55" s="725"/>
      <c r="AQ55" s="725"/>
      <c r="AR55" s="725"/>
      <c r="AS55" s="725"/>
      <c r="AT55" s="725"/>
      <c r="AU55" s="725"/>
      <c r="AV55" s="725"/>
      <c r="AW55" s="725"/>
      <c r="AX55" s="725"/>
      <c r="AY55" s="725"/>
      <c r="AZ55" s="725"/>
      <c r="BA55" s="725"/>
      <c r="BB55" s="725"/>
      <c r="BC55" s="725"/>
      <c r="BD55" s="725"/>
      <c r="BE55" s="725"/>
      <c r="BF55" s="725"/>
      <c r="BG55" s="725"/>
      <c r="BH55" s="725"/>
      <c r="BI55" s="725"/>
      <c r="BJ55" s="725"/>
      <c r="BK55" s="725"/>
      <c r="BL55" s="798"/>
      <c r="BM55" s="482"/>
      <c r="BN55" s="482"/>
    </row>
    <row r="56" spans="1:66" ht="15" customHeight="1">
      <c r="A56" s="481"/>
      <c r="B56" s="881" t="s">
        <v>6705</v>
      </c>
      <c r="C56" s="725"/>
      <c r="D56" s="725"/>
      <c r="E56" s="725"/>
      <c r="F56" s="725"/>
      <c r="G56" s="725"/>
      <c r="H56" s="725"/>
      <c r="I56" s="725"/>
      <c r="J56" s="725"/>
      <c r="K56" s="725"/>
      <c r="L56" s="725"/>
      <c r="M56" s="725"/>
      <c r="N56" s="725"/>
      <c r="O56" s="725"/>
      <c r="P56" s="725"/>
      <c r="Q56" s="725"/>
      <c r="R56" s="725"/>
      <c r="S56" s="725"/>
      <c r="T56" s="725"/>
      <c r="U56" s="725"/>
      <c r="V56" s="725"/>
      <c r="W56" s="725"/>
      <c r="X56" s="725"/>
      <c r="Y56" s="725"/>
      <c r="Z56" s="725"/>
      <c r="AA56" s="725"/>
      <c r="AB56" s="725"/>
      <c r="AC56" s="725"/>
      <c r="AD56" s="725"/>
      <c r="AE56" s="798"/>
      <c r="AF56" s="431">
        <f t="shared" ref="AF56:AG56" si="17">AF47+AF48+AF49+AF50+AF51+AF52+AF53+AF54+AF55</f>
        <v>14015789277.98</v>
      </c>
      <c r="AG56" s="431">
        <f t="shared" si="17"/>
        <v>13378563430.84</v>
      </c>
      <c r="AH56" s="468"/>
      <c r="AI56" s="881" t="s">
        <v>6706</v>
      </c>
      <c r="AJ56" s="725"/>
      <c r="AK56" s="725"/>
      <c r="AL56" s="725"/>
      <c r="AM56" s="725"/>
      <c r="AN56" s="725"/>
      <c r="AO56" s="725"/>
      <c r="AP56" s="725"/>
      <c r="AQ56" s="725"/>
      <c r="AR56" s="725"/>
      <c r="AS56" s="725"/>
      <c r="AT56" s="725"/>
      <c r="AU56" s="725"/>
      <c r="AV56" s="725"/>
      <c r="AW56" s="725"/>
      <c r="AX56" s="725"/>
      <c r="AY56" s="725"/>
      <c r="AZ56" s="725"/>
      <c r="BA56" s="725"/>
      <c r="BB56" s="725"/>
      <c r="BC56" s="725"/>
      <c r="BD56" s="725"/>
      <c r="BE56" s="725"/>
      <c r="BF56" s="725"/>
      <c r="BG56" s="725"/>
      <c r="BH56" s="725"/>
      <c r="BI56" s="725"/>
      <c r="BJ56" s="725"/>
      <c r="BK56" s="725"/>
      <c r="BL56" s="798"/>
      <c r="BM56" s="480">
        <f t="shared" ref="BM56:BN56" si="18">SUM(BM57:BM59)</f>
        <v>70029434.019999996</v>
      </c>
      <c r="BN56" s="480">
        <f t="shared" si="18"/>
        <v>70029434.019999996</v>
      </c>
    </row>
    <row r="57" spans="1:66" ht="15" customHeight="1">
      <c r="A57" s="481"/>
      <c r="B57" s="884" t="s">
        <v>6707</v>
      </c>
      <c r="C57" s="725"/>
      <c r="D57" s="725"/>
      <c r="E57" s="725"/>
      <c r="F57" s="725"/>
      <c r="G57" s="725"/>
      <c r="H57" s="725"/>
      <c r="I57" s="725"/>
      <c r="J57" s="725"/>
      <c r="K57" s="725"/>
      <c r="L57" s="725"/>
      <c r="M57" s="725"/>
      <c r="N57" s="725"/>
      <c r="O57" s="725"/>
      <c r="P57" s="725"/>
      <c r="Q57" s="725"/>
      <c r="R57" s="725"/>
      <c r="S57" s="725"/>
      <c r="T57" s="725"/>
      <c r="U57" s="725"/>
      <c r="V57" s="725"/>
      <c r="W57" s="725"/>
      <c r="X57" s="725"/>
      <c r="Y57" s="725"/>
      <c r="Z57" s="725"/>
      <c r="AA57" s="725"/>
      <c r="AB57" s="725"/>
      <c r="AC57" s="725"/>
      <c r="AD57" s="725"/>
      <c r="AE57" s="798"/>
      <c r="AF57" s="484">
        <f t="shared" ref="AF57:AG57" si="19">AF45+AF56</f>
        <v>17046041501.34</v>
      </c>
      <c r="AG57" s="484">
        <f t="shared" si="19"/>
        <v>13636481384.42</v>
      </c>
      <c r="AH57" s="468"/>
      <c r="AI57" s="882" t="s">
        <v>6708</v>
      </c>
      <c r="AJ57" s="725"/>
      <c r="AK57" s="725"/>
      <c r="AL57" s="725"/>
      <c r="AM57" s="725"/>
      <c r="AN57" s="725"/>
      <c r="AO57" s="725"/>
      <c r="AP57" s="725"/>
      <c r="AQ57" s="725"/>
      <c r="AR57" s="725"/>
      <c r="AS57" s="725"/>
      <c r="AT57" s="725"/>
      <c r="AU57" s="725"/>
      <c r="AV57" s="725"/>
      <c r="AW57" s="725"/>
      <c r="AX57" s="725"/>
      <c r="AY57" s="725"/>
      <c r="AZ57" s="725"/>
      <c r="BA57" s="725"/>
      <c r="BB57" s="725"/>
      <c r="BC57" s="725"/>
      <c r="BD57" s="725"/>
      <c r="BE57" s="725"/>
      <c r="BF57" s="725"/>
      <c r="BG57" s="725"/>
      <c r="BH57" s="725"/>
      <c r="BI57" s="725"/>
      <c r="BJ57" s="725"/>
      <c r="BK57" s="725"/>
      <c r="BL57" s="798"/>
      <c r="BM57" s="482">
        <f>Balanza!H175</f>
        <v>0</v>
      </c>
      <c r="BN57" s="482">
        <f>Balanza!D175</f>
        <v>0</v>
      </c>
    </row>
    <row r="58" spans="1:66" ht="15" customHeight="1">
      <c r="A58" s="477"/>
      <c r="B58" s="880"/>
      <c r="C58" s="725"/>
      <c r="D58" s="725"/>
      <c r="E58" s="725"/>
      <c r="F58" s="725"/>
      <c r="G58" s="725"/>
      <c r="H58" s="725"/>
      <c r="I58" s="725"/>
      <c r="J58" s="725"/>
      <c r="K58" s="725"/>
      <c r="L58" s="725"/>
      <c r="M58" s="725"/>
      <c r="N58" s="725"/>
      <c r="O58" s="725"/>
      <c r="P58" s="725"/>
      <c r="Q58" s="725"/>
      <c r="R58" s="725"/>
      <c r="S58" s="725"/>
      <c r="T58" s="725"/>
      <c r="U58" s="725"/>
      <c r="V58" s="725"/>
      <c r="W58" s="725"/>
      <c r="X58" s="725"/>
      <c r="Y58" s="725"/>
      <c r="Z58" s="725"/>
      <c r="AA58" s="725"/>
      <c r="AB58" s="725"/>
      <c r="AC58" s="725"/>
      <c r="AD58" s="725"/>
      <c r="AE58" s="798"/>
      <c r="AF58" s="484"/>
      <c r="AG58" s="484"/>
      <c r="AH58" s="143"/>
      <c r="AI58" s="882" t="s">
        <v>6709</v>
      </c>
      <c r="AJ58" s="725"/>
      <c r="AK58" s="725"/>
      <c r="AL58" s="725"/>
      <c r="AM58" s="725"/>
      <c r="AN58" s="725"/>
      <c r="AO58" s="725"/>
      <c r="AP58" s="725"/>
      <c r="AQ58" s="725"/>
      <c r="AR58" s="725"/>
      <c r="AS58" s="725"/>
      <c r="AT58" s="725"/>
      <c r="AU58" s="725"/>
      <c r="AV58" s="725"/>
      <c r="AW58" s="725"/>
      <c r="AX58" s="725"/>
      <c r="AY58" s="725"/>
      <c r="AZ58" s="725"/>
      <c r="BA58" s="725"/>
      <c r="BB58" s="725"/>
      <c r="BC58" s="725"/>
      <c r="BD58" s="725"/>
      <c r="BE58" s="725"/>
      <c r="BF58" s="725"/>
      <c r="BG58" s="725"/>
      <c r="BH58" s="725"/>
      <c r="BI58" s="725"/>
      <c r="BJ58" s="725"/>
      <c r="BK58" s="725"/>
      <c r="BL58" s="798"/>
      <c r="BM58" s="482">
        <f>Balanza!H176</f>
        <v>0</v>
      </c>
      <c r="BN58" s="482">
        <f>Balanza!D176</f>
        <v>0</v>
      </c>
    </row>
    <row r="59" spans="1:66" ht="15" customHeight="1">
      <c r="A59" s="477"/>
      <c r="B59" s="466"/>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485"/>
      <c r="AF59" s="484"/>
      <c r="AG59" s="484"/>
      <c r="AH59" s="468"/>
      <c r="AI59" s="882" t="s">
        <v>6710</v>
      </c>
      <c r="AJ59" s="725"/>
      <c r="AK59" s="725"/>
      <c r="AL59" s="725"/>
      <c r="AM59" s="725"/>
      <c r="AN59" s="725"/>
      <c r="AO59" s="725"/>
      <c r="AP59" s="725"/>
      <c r="AQ59" s="725"/>
      <c r="AR59" s="725"/>
      <c r="AS59" s="725"/>
      <c r="AT59" s="725"/>
      <c r="AU59" s="725"/>
      <c r="AV59" s="725"/>
      <c r="AW59" s="725"/>
      <c r="AX59" s="725"/>
      <c r="AY59" s="725"/>
      <c r="AZ59" s="725"/>
      <c r="BA59" s="725"/>
      <c r="BB59" s="725"/>
      <c r="BC59" s="725"/>
      <c r="BD59" s="725"/>
      <c r="BE59" s="725"/>
      <c r="BF59" s="725"/>
      <c r="BG59" s="725"/>
      <c r="BH59" s="725"/>
      <c r="BI59" s="725"/>
      <c r="BJ59" s="725"/>
      <c r="BK59" s="725"/>
      <c r="BL59" s="798"/>
      <c r="BM59" s="482">
        <f>Balanza!H177</f>
        <v>70029434.019999996</v>
      </c>
      <c r="BN59" s="482">
        <f>Balanza!D177</f>
        <v>70029434.019999996</v>
      </c>
    </row>
    <row r="60" spans="1:66" ht="15" customHeight="1">
      <c r="A60" s="477"/>
      <c r="B60" s="466"/>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85"/>
      <c r="AF60" s="484"/>
      <c r="AG60" s="484"/>
      <c r="AH60" s="468"/>
      <c r="AI60" s="881" t="s">
        <v>6711</v>
      </c>
      <c r="AJ60" s="725"/>
      <c r="AK60" s="725"/>
      <c r="AL60" s="725"/>
      <c r="AM60" s="725"/>
      <c r="AN60" s="725"/>
      <c r="AO60" s="725"/>
      <c r="AP60" s="725"/>
      <c r="AQ60" s="725"/>
      <c r="AR60" s="725"/>
      <c r="AS60" s="725"/>
      <c r="AT60" s="725"/>
      <c r="AU60" s="725"/>
      <c r="AV60" s="725"/>
      <c r="AW60" s="725"/>
      <c r="AX60" s="725"/>
      <c r="AY60" s="725"/>
      <c r="AZ60" s="725"/>
      <c r="BA60" s="725"/>
      <c r="BB60" s="725"/>
      <c r="BC60" s="725"/>
      <c r="BD60" s="725"/>
      <c r="BE60" s="725"/>
      <c r="BF60" s="725"/>
      <c r="BG60" s="725"/>
      <c r="BH60" s="725"/>
      <c r="BI60" s="725"/>
      <c r="BJ60" s="725"/>
      <c r="BK60" s="725"/>
      <c r="BL60" s="798"/>
      <c r="BM60" s="480">
        <f t="shared" ref="BM60:BN60" si="20">BM61+BM62+BM63+BM64+BM65</f>
        <v>14431271881.73</v>
      </c>
      <c r="BN60" s="480">
        <f t="shared" si="20"/>
        <v>10276236872.530003</v>
      </c>
    </row>
    <row r="61" spans="1:66" ht="15" customHeight="1">
      <c r="A61" s="477"/>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85"/>
      <c r="AF61" s="484"/>
      <c r="AG61" s="484"/>
      <c r="AH61" s="468"/>
      <c r="AI61" s="882" t="s">
        <v>6712</v>
      </c>
      <c r="AJ61" s="725"/>
      <c r="AK61" s="725"/>
      <c r="AL61" s="725"/>
      <c r="AM61" s="725"/>
      <c r="AN61" s="725"/>
      <c r="AO61" s="725"/>
      <c r="AP61" s="725"/>
      <c r="AQ61" s="725"/>
      <c r="AR61" s="725"/>
      <c r="AS61" s="725"/>
      <c r="AT61" s="725"/>
      <c r="AU61" s="725"/>
      <c r="AV61" s="725"/>
      <c r="AW61" s="725"/>
      <c r="AX61" s="725"/>
      <c r="AY61" s="725"/>
      <c r="AZ61" s="725"/>
      <c r="BA61" s="725"/>
      <c r="BB61" s="725"/>
      <c r="BC61" s="725"/>
      <c r="BD61" s="725"/>
      <c r="BE61" s="725"/>
      <c r="BF61" s="725"/>
      <c r="BG61" s="725"/>
      <c r="BH61" s="725"/>
      <c r="BI61" s="725"/>
      <c r="BJ61" s="725"/>
      <c r="BK61" s="725"/>
      <c r="BL61" s="798"/>
      <c r="BM61" s="482">
        <f>Balanza!H179</f>
        <v>4179415006.9699998</v>
      </c>
      <c r="BN61" s="482">
        <f>Balanza!D179</f>
        <v>2121149963.2400017</v>
      </c>
    </row>
    <row r="62" spans="1:66" ht="15" customHeight="1">
      <c r="A62" s="477"/>
      <c r="B62" s="466"/>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85"/>
      <c r="AF62" s="484"/>
      <c r="AG62" s="484"/>
      <c r="AH62" s="468"/>
      <c r="AI62" s="882" t="s">
        <v>6713</v>
      </c>
      <c r="AJ62" s="725"/>
      <c r="AK62" s="725"/>
      <c r="AL62" s="725"/>
      <c r="AM62" s="725"/>
      <c r="AN62" s="725"/>
      <c r="AO62" s="725"/>
      <c r="AP62" s="725"/>
      <c r="AQ62" s="725"/>
      <c r="AR62" s="725"/>
      <c r="AS62" s="725"/>
      <c r="AT62" s="725"/>
      <c r="AU62" s="725"/>
      <c r="AV62" s="725"/>
      <c r="AW62" s="725"/>
      <c r="AX62" s="725"/>
      <c r="AY62" s="725"/>
      <c r="AZ62" s="725"/>
      <c r="BA62" s="725"/>
      <c r="BB62" s="725"/>
      <c r="BC62" s="725"/>
      <c r="BD62" s="725"/>
      <c r="BE62" s="725"/>
      <c r="BF62" s="725"/>
      <c r="BG62" s="725"/>
      <c r="BH62" s="725"/>
      <c r="BI62" s="725"/>
      <c r="BJ62" s="725"/>
      <c r="BK62" s="725"/>
      <c r="BL62" s="798"/>
      <c r="BM62" s="482">
        <f>Balanza!H180</f>
        <v>10018584382.24</v>
      </c>
      <c r="BN62" s="482">
        <f>Balanza!D180</f>
        <v>7921795339.7700005</v>
      </c>
    </row>
    <row r="63" spans="1:66" ht="15" customHeight="1">
      <c r="A63" s="477"/>
      <c r="B63" s="466"/>
      <c r="C63" s="466"/>
      <c r="D63" s="466"/>
      <c r="E63" s="466"/>
      <c r="F63" s="466"/>
      <c r="G63" s="466"/>
      <c r="H63" s="466"/>
      <c r="I63" s="466"/>
      <c r="J63" s="466"/>
      <c r="K63" s="466"/>
      <c r="L63" s="466"/>
      <c r="M63" s="466"/>
      <c r="N63" s="466"/>
      <c r="O63" s="466"/>
      <c r="P63" s="466"/>
      <c r="Q63" s="466"/>
      <c r="R63" s="466"/>
      <c r="S63" s="466"/>
      <c r="T63" s="466"/>
      <c r="U63" s="466"/>
      <c r="V63" s="466"/>
      <c r="W63" s="466"/>
      <c r="X63" s="466"/>
      <c r="Y63" s="466"/>
      <c r="Z63" s="466"/>
      <c r="AA63" s="466"/>
      <c r="AB63" s="466"/>
      <c r="AC63" s="466"/>
      <c r="AD63" s="466"/>
      <c r="AE63" s="485"/>
      <c r="AF63" s="484"/>
      <c r="AG63" s="484"/>
      <c r="AH63" s="468"/>
      <c r="AI63" s="886" t="s">
        <v>6714</v>
      </c>
      <c r="AJ63" s="725"/>
      <c r="AK63" s="725"/>
      <c r="AL63" s="725"/>
      <c r="AM63" s="725"/>
      <c r="AN63" s="725"/>
      <c r="AO63" s="725"/>
      <c r="AP63" s="725"/>
      <c r="AQ63" s="725"/>
      <c r="AR63" s="725"/>
      <c r="AS63" s="725"/>
      <c r="AT63" s="725"/>
      <c r="AU63" s="725"/>
      <c r="AV63" s="725"/>
      <c r="AW63" s="725"/>
      <c r="AX63" s="725"/>
      <c r="AY63" s="725"/>
      <c r="AZ63" s="725"/>
      <c r="BA63" s="725"/>
      <c r="BB63" s="725"/>
      <c r="BC63" s="725"/>
      <c r="BD63" s="725"/>
      <c r="BE63" s="725"/>
      <c r="BF63" s="725"/>
      <c r="BG63" s="725"/>
      <c r="BH63" s="725"/>
      <c r="BI63" s="725"/>
      <c r="BJ63" s="725"/>
      <c r="BK63" s="725"/>
      <c r="BL63" s="798"/>
      <c r="BM63" s="483">
        <f>Balanza!H181</f>
        <v>0</v>
      </c>
      <c r="BN63" s="483">
        <f>Balanza!D181</f>
        <v>0</v>
      </c>
    </row>
    <row r="64" spans="1:66" ht="15" customHeight="1">
      <c r="A64" s="477"/>
      <c r="B64" s="466"/>
      <c r="C64" s="466"/>
      <c r="D64" s="466"/>
      <c r="E64" s="466"/>
      <c r="F64" s="466"/>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85"/>
      <c r="AF64" s="484"/>
      <c r="AG64" s="484"/>
      <c r="AH64" s="468"/>
      <c r="AI64" s="886" t="s">
        <v>6715</v>
      </c>
      <c r="AJ64" s="725"/>
      <c r="AK64" s="725"/>
      <c r="AL64" s="725"/>
      <c r="AM64" s="725"/>
      <c r="AN64" s="725"/>
      <c r="AO64" s="725"/>
      <c r="AP64" s="725"/>
      <c r="AQ64" s="725"/>
      <c r="AR64" s="725"/>
      <c r="AS64" s="725"/>
      <c r="AT64" s="725"/>
      <c r="AU64" s="725"/>
      <c r="AV64" s="725"/>
      <c r="AW64" s="725"/>
      <c r="AX64" s="725"/>
      <c r="AY64" s="725"/>
      <c r="AZ64" s="725"/>
      <c r="BA64" s="725"/>
      <c r="BB64" s="725"/>
      <c r="BC64" s="725"/>
      <c r="BD64" s="725"/>
      <c r="BE64" s="725"/>
      <c r="BF64" s="725"/>
      <c r="BG64" s="725"/>
      <c r="BH64" s="725"/>
      <c r="BI64" s="725"/>
      <c r="BJ64" s="725"/>
      <c r="BK64" s="725"/>
      <c r="BL64" s="798"/>
      <c r="BM64" s="483">
        <f>Balanza!H186</f>
        <v>0</v>
      </c>
      <c r="BN64" s="483">
        <f>Balanza!D186</f>
        <v>0</v>
      </c>
    </row>
    <row r="65" spans="1:66" ht="15" customHeight="1">
      <c r="A65" s="477"/>
      <c r="B65" s="466"/>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c r="AA65" s="466"/>
      <c r="AB65" s="466"/>
      <c r="AC65" s="466"/>
      <c r="AD65" s="466"/>
      <c r="AE65" s="485"/>
      <c r="AF65" s="484"/>
      <c r="AG65" s="484"/>
      <c r="AH65" s="143"/>
      <c r="AI65" s="886" t="s">
        <v>6716</v>
      </c>
      <c r="AJ65" s="725"/>
      <c r="AK65" s="725"/>
      <c r="AL65" s="725"/>
      <c r="AM65" s="725"/>
      <c r="AN65" s="725"/>
      <c r="AO65" s="725"/>
      <c r="AP65" s="725"/>
      <c r="AQ65" s="725"/>
      <c r="AR65" s="725"/>
      <c r="AS65" s="725"/>
      <c r="AT65" s="725"/>
      <c r="AU65" s="725"/>
      <c r="AV65" s="725"/>
      <c r="AW65" s="725"/>
      <c r="AX65" s="725"/>
      <c r="AY65" s="725"/>
      <c r="AZ65" s="725"/>
      <c r="BA65" s="725"/>
      <c r="BB65" s="725"/>
      <c r="BC65" s="725"/>
      <c r="BD65" s="725"/>
      <c r="BE65" s="725"/>
      <c r="BF65" s="725"/>
      <c r="BG65" s="725"/>
      <c r="BH65" s="725"/>
      <c r="BI65" s="725"/>
      <c r="BJ65" s="725"/>
      <c r="BK65" s="725"/>
      <c r="BL65" s="798"/>
      <c r="BM65" s="483">
        <f>Balanza!H190</f>
        <v>233272492.52000001</v>
      </c>
      <c r="BN65" s="483">
        <f>Balanza!D190</f>
        <v>233291569.52000001</v>
      </c>
    </row>
    <row r="66" spans="1:66" ht="15" customHeight="1">
      <c r="A66" s="477"/>
      <c r="B66" s="466"/>
      <c r="C66" s="466"/>
      <c r="D66" s="466"/>
      <c r="E66" s="466"/>
      <c r="F66" s="466"/>
      <c r="G66" s="466"/>
      <c r="H66" s="466"/>
      <c r="I66" s="466"/>
      <c r="J66" s="466"/>
      <c r="K66" s="466"/>
      <c r="L66" s="466"/>
      <c r="M66" s="466"/>
      <c r="N66" s="466"/>
      <c r="O66" s="466"/>
      <c r="P66" s="466"/>
      <c r="Q66" s="466"/>
      <c r="R66" s="466"/>
      <c r="S66" s="466"/>
      <c r="T66" s="466"/>
      <c r="U66" s="466"/>
      <c r="V66" s="466"/>
      <c r="W66" s="466"/>
      <c r="X66" s="466"/>
      <c r="Y66" s="466"/>
      <c r="Z66" s="466"/>
      <c r="AA66" s="466"/>
      <c r="AB66" s="466"/>
      <c r="AC66" s="466"/>
      <c r="AD66" s="466"/>
      <c r="AE66" s="485"/>
      <c r="AF66" s="484"/>
      <c r="AG66" s="484"/>
      <c r="AH66" s="143"/>
      <c r="AI66" s="881" t="s">
        <v>6717</v>
      </c>
      <c r="AJ66" s="725"/>
      <c r="AK66" s="725"/>
      <c r="AL66" s="725"/>
      <c r="AM66" s="725"/>
      <c r="AN66" s="725"/>
      <c r="AO66" s="725"/>
      <c r="AP66" s="725"/>
      <c r="AQ66" s="725"/>
      <c r="AR66" s="725"/>
      <c r="AS66" s="725"/>
      <c r="AT66" s="725"/>
      <c r="AU66" s="725"/>
      <c r="AV66" s="725"/>
      <c r="AW66" s="725"/>
      <c r="AX66" s="725"/>
      <c r="AY66" s="725"/>
      <c r="AZ66" s="725"/>
      <c r="BA66" s="725"/>
      <c r="BB66" s="725"/>
      <c r="BC66" s="725"/>
      <c r="BD66" s="725"/>
      <c r="BE66" s="725"/>
      <c r="BF66" s="725"/>
      <c r="BG66" s="725"/>
      <c r="BH66" s="725"/>
      <c r="BI66" s="725"/>
      <c r="BJ66" s="725"/>
      <c r="BK66" s="725"/>
      <c r="BL66" s="798"/>
      <c r="BM66" s="480">
        <f t="shared" ref="BM66:BN66" si="21">SUM(BM67:BM68)</f>
        <v>1229456417.52</v>
      </c>
      <c r="BN66" s="480">
        <f t="shared" si="21"/>
        <v>1229456417.52</v>
      </c>
    </row>
    <row r="67" spans="1:66" ht="15" customHeight="1">
      <c r="A67" s="477"/>
      <c r="B67" s="466"/>
      <c r="C67" s="466"/>
      <c r="D67" s="466"/>
      <c r="E67" s="466"/>
      <c r="F67" s="466"/>
      <c r="G67" s="466"/>
      <c r="H67" s="466"/>
      <c r="I67" s="466"/>
      <c r="J67" s="466"/>
      <c r="K67" s="466"/>
      <c r="L67" s="466"/>
      <c r="M67" s="466"/>
      <c r="N67" s="466"/>
      <c r="O67" s="466"/>
      <c r="P67" s="466"/>
      <c r="Q67" s="466"/>
      <c r="R67" s="466"/>
      <c r="S67" s="466"/>
      <c r="T67" s="466"/>
      <c r="U67" s="466"/>
      <c r="V67" s="466"/>
      <c r="W67" s="466"/>
      <c r="X67" s="466"/>
      <c r="Y67" s="466"/>
      <c r="Z67" s="466"/>
      <c r="AA67" s="466"/>
      <c r="AB67" s="466"/>
      <c r="AC67" s="466"/>
      <c r="AD67" s="466"/>
      <c r="AE67" s="485"/>
      <c r="AF67" s="484"/>
      <c r="AG67" s="484"/>
      <c r="AH67" s="468"/>
      <c r="AI67" s="882" t="s">
        <v>6718</v>
      </c>
      <c r="AJ67" s="725"/>
      <c r="AK67" s="725"/>
      <c r="AL67" s="725"/>
      <c r="AM67" s="725"/>
      <c r="AN67" s="725"/>
      <c r="AO67" s="725"/>
      <c r="AP67" s="725"/>
      <c r="AQ67" s="725"/>
      <c r="AR67" s="725"/>
      <c r="AS67" s="725"/>
      <c r="AT67" s="725"/>
      <c r="AU67" s="725"/>
      <c r="AV67" s="725"/>
      <c r="AW67" s="725"/>
      <c r="AX67" s="725"/>
      <c r="AY67" s="725"/>
      <c r="AZ67" s="725"/>
      <c r="BA67" s="725"/>
      <c r="BB67" s="725"/>
      <c r="BC67" s="725"/>
      <c r="BD67" s="725"/>
      <c r="BE67" s="725"/>
      <c r="BF67" s="725"/>
      <c r="BG67" s="725"/>
      <c r="BH67" s="725"/>
      <c r="BI67" s="725"/>
      <c r="BJ67" s="725"/>
      <c r="BK67" s="725"/>
      <c r="BL67" s="798"/>
      <c r="BM67" s="482">
        <f>Balanza!H195</f>
        <v>0</v>
      </c>
      <c r="BN67" s="482">
        <f>Balanza!D195</f>
        <v>0</v>
      </c>
    </row>
    <row r="68" spans="1:66" ht="15" customHeight="1">
      <c r="A68" s="477"/>
      <c r="B68" s="466"/>
      <c r="C68" s="466"/>
      <c r="D68" s="466"/>
      <c r="E68" s="466"/>
      <c r="F68" s="466"/>
      <c r="G68" s="466"/>
      <c r="H68" s="466"/>
      <c r="I68" s="466"/>
      <c r="J68" s="466"/>
      <c r="K68" s="466"/>
      <c r="L68" s="466"/>
      <c r="M68" s="466"/>
      <c r="N68" s="466"/>
      <c r="O68" s="466"/>
      <c r="P68" s="466"/>
      <c r="Q68" s="466"/>
      <c r="R68" s="466"/>
      <c r="S68" s="466"/>
      <c r="T68" s="466"/>
      <c r="U68" s="466"/>
      <c r="V68" s="466"/>
      <c r="W68" s="466"/>
      <c r="X68" s="466"/>
      <c r="Y68" s="466"/>
      <c r="Z68" s="466"/>
      <c r="AA68" s="466"/>
      <c r="AB68" s="466"/>
      <c r="AC68" s="466"/>
      <c r="AD68" s="466"/>
      <c r="AE68" s="485"/>
      <c r="AF68" s="484"/>
      <c r="AG68" s="484"/>
      <c r="AH68" s="468"/>
      <c r="AI68" s="882" t="s">
        <v>6719</v>
      </c>
      <c r="AJ68" s="725"/>
      <c r="AK68" s="725"/>
      <c r="AL68" s="725"/>
      <c r="AM68" s="725"/>
      <c r="AN68" s="725"/>
      <c r="AO68" s="725"/>
      <c r="AP68" s="725"/>
      <c r="AQ68" s="725"/>
      <c r="AR68" s="725"/>
      <c r="AS68" s="725"/>
      <c r="AT68" s="725"/>
      <c r="AU68" s="725"/>
      <c r="AV68" s="725"/>
      <c r="AW68" s="725"/>
      <c r="AX68" s="725"/>
      <c r="AY68" s="725"/>
      <c r="AZ68" s="725"/>
      <c r="BA68" s="725"/>
      <c r="BB68" s="725"/>
      <c r="BC68" s="725"/>
      <c r="BD68" s="725"/>
      <c r="BE68" s="725"/>
      <c r="BF68" s="725"/>
      <c r="BG68" s="725"/>
      <c r="BH68" s="725"/>
      <c r="BI68" s="725"/>
      <c r="BJ68" s="725"/>
      <c r="BK68" s="725"/>
      <c r="BL68" s="798"/>
      <c r="BM68" s="482">
        <f>Balanza!H196</f>
        <v>1229456417.52</v>
      </c>
      <c r="BN68" s="482">
        <f>Balanza!D196</f>
        <v>1229456417.52</v>
      </c>
    </row>
    <row r="69" spans="1:66" ht="15" customHeight="1">
      <c r="A69" s="477"/>
      <c r="B69" s="466"/>
      <c r="C69" s="466"/>
      <c r="D69" s="466"/>
      <c r="E69" s="466"/>
      <c r="F69" s="466"/>
      <c r="G69" s="466"/>
      <c r="H69" s="466"/>
      <c r="I69" s="466"/>
      <c r="J69" s="466"/>
      <c r="K69" s="466"/>
      <c r="L69" s="466"/>
      <c r="M69" s="466"/>
      <c r="N69" s="466"/>
      <c r="O69" s="466"/>
      <c r="P69" s="466"/>
      <c r="Q69" s="466"/>
      <c r="R69" s="466"/>
      <c r="S69" s="466"/>
      <c r="T69" s="466"/>
      <c r="U69" s="466"/>
      <c r="V69" s="466"/>
      <c r="W69" s="466"/>
      <c r="X69" s="466"/>
      <c r="Y69" s="466"/>
      <c r="Z69" s="466"/>
      <c r="AA69" s="466"/>
      <c r="AB69" s="466"/>
      <c r="AC69" s="466"/>
      <c r="AD69" s="466"/>
      <c r="AE69" s="485"/>
      <c r="AF69" s="484"/>
      <c r="AG69" s="484"/>
      <c r="AH69" s="468"/>
      <c r="AI69" s="884" t="s">
        <v>6720</v>
      </c>
      <c r="AJ69" s="725"/>
      <c r="AK69" s="725"/>
      <c r="AL69" s="725"/>
      <c r="AM69" s="725"/>
      <c r="AN69" s="725"/>
      <c r="AO69" s="725"/>
      <c r="AP69" s="725"/>
      <c r="AQ69" s="725"/>
      <c r="AR69" s="725"/>
      <c r="AS69" s="725"/>
      <c r="AT69" s="725"/>
      <c r="AU69" s="725"/>
      <c r="AV69" s="725"/>
      <c r="AW69" s="725"/>
      <c r="AX69" s="725"/>
      <c r="AY69" s="725"/>
      <c r="AZ69" s="725"/>
      <c r="BA69" s="725"/>
      <c r="BB69" s="725"/>
      <c r="BC69" s="725"/>
      <c r="BD69" s="725"/>
      <c r="BE69" s="725"/>
      <c r="BF69" s="725"/>
      <c r="BG69" s="725"/>
      <c r="BH69" s="725"/>
      <c r="BI69" s="725"/>
      <c r="BJ69" s="725"/>
      <c r="BK69" s="725"/>
      <c r="BL69" s="798"/>
      <c r="BM69" s="486">
        <f t="shared" ref="BM69:BN69" si="22">BM56+BM60+BM66</f>
        <v>15730757733.27</v>
      </c>
      <c r="BN69" s="486">
        <f t="shared" si="22"/>
        <v>11575722724.070004</v>
      </c>
    </row>
    <row r="70" spans="1:66" ht="15" customHeight="1">
      <c r="A70" s="477"/>
      <c r="B70" s="466"/>
      <c r="C70" s="466"/>
      <c r="D70" s="466"/>
      <c r="E70" s="466"/>
      <c r="F70" s="466"/>
      <c r="G70" s="466"/>
      <c r="H70" s="466"/>
      <c r="I70" s="466"/>
      <c r="J70" s="466"/>
      <c r="K70" s="466"/>
      <c r="L70" s="466"/>
      <c r="M70" s="466"/>
      <c r="N70" s="466"/>
      <c r="O70" s="466"/>
      <c r="P70" s="466"/>
      <c r="Q70" s="466"/>
      <c r="R70" s="466"/>
      <c r="S70" s="466"/>
      <c r="T70" s="466"/>
      <c r="U70" s="466"/>
      <c r="V70" s="466"/>
      <c r="W70" s="466"/>
      <c r="X70" s="466"/>
      <c r="Y70" s="466"/>
      <c r="Z70" s="466"/>
      <c r="AA70" s="466"/>
      <c r="AB70" s="466"/>
      <c r="AC70" s="466"/>
      <c r="AD70" s="466"/>
      <c r="AE70" s="485"/>
      <c r="AF70" s="484"/>
      <c r="AG70" s="484"/>
      <c r="AH70" s="143"/>
      <c r="AI70" s="884" t="s">
        <v>6721</v>
      </c>
      <c r="AJ70" s="725"/>
      <c r="AK70" s="725"/>
      <c r="AL70" s="725"/>
      <c r="AM70" s="725"/>
      <c r="AN70" s="725"/>
      <c r="AO70" s="725"/>
      <c r="AP70" s="725"/>
      <c r="AQ70" s="725"/>
      <c r="AR70" s="725"/>
      <c r="AS70" s="725"/>
      <c r="AT70" s="725"/>
      <c r="AU70" s="725"/>
      <c r="AV70" s="725"/>
      <c r="AW70" s="725"/>
      <c r="AX70" s="725"/>
      <c r="AY70" s="725"/>
      <c r="AZ70" s="725"/>
      <c r="BA70" s="725"/>
      <c r="BB70" s="725"/>
      <c r="BC70" s="725"/>
      <c r="BD70" s="725"/>
      <c r="BE70" s="725"/>
      <c r="BF70" s="725"/>
      <c r="BG70" s="725"/>
      <c r="BH70" s="725"/>
      <c r="BI70" s="725"/>
      <c r="BJ70" s="725"/>
      <c r="BK70" s="725"/>
      <c r="BL70" s="798"/>
      <c r="BM70" s="487">
        <f t="shared" ref="BM70:BN70" si="23">BM54+BM69</f>
        <v>17046041501.34</v>
      </c>
      <c r="BN70" s="487">
        <f t="shared" si="23"/>
        <v>13636481384.420004</v>
      </c>
    </row>
    <row r="71" spans="1:66" ht="15" customHeight="1">
      <c r="A71" s="488"/>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89"/>
      <c r="AF71" s="490"/>
      <c r="AG71" s="490"/>
      <c r="AH71" s="491"/>
      <c r="AI71" s="864"/>
      <c r="AJ71" s="793"/>
      <c r="AK71" s="793"/>
      <c r="AL71" s="793"/>
      <c r="AM71" s="793"/>
      <c r="AN71" s="793"/>
      <c r="AO71" s="793"/>
      <c r="AP71" s="793"/>
      <c r="AQ71" s="793"/>
      <c r="AR71" s="793"/>
      <c r="AS71" s="793"/>
      <c r="AT71" s="793"/>
      <c r="AU71" s="793"/>
      <c r="AV71" s="793"/>
      <c r="AW71" s="793"/>
      <c r="AX71" s="793"/>
      <c r="AY71" s="793"/>
      <c r="AZ71" s="793"/>
      <c r="BA71" s="793"/>
      <c r="BB71" s="793"/>
      <c r="BC71" s="793"/>
      <c r="BD71" s="793"/>
      <c r="BE71" s="793"/>
      <c r="BF71" s="793"/>
      <c r="BG71" s="793"/>
      <c r="BH71" s="793"/>
      <c r="BI71" s="793"/>
      <c r="BJ71" s="793"/>
      <c r="BK71" s="793"/>
      <c r="BL71" s="780"/>
      <c r="BM71" s="444"/>
      <c r="BN71" s="444"/>
    </row>
    <row r="72" spans="1:66" ht="15" customHeight="1">
      <c r="A72" s="492"/>
      <c r="B72" s="308" t="s">
        <v>4422</v>
      </c>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448"/>
      <c r="AG72" s="448"/>
      <c r="AH72" s="468"/>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347"/>
      <c r="BN72" s="448"/>
    </row>
    <row r="73" spans="1:66" ht="15" customHeight="1">
      <c r="A73" s="492"/>
      <c r="B73" s="447"/>
      <c r="C73" s="447"/>
      <c r="D73" s="447"/>
      <c r="E73" s="447"/>
      <c r="F73" s="447"/>
      <c r="G73" s="447"/>
      <c r="H73" s="447"/>
      <c r="I73" s="447"/>
      <c r="J73" s="447"/>
      <c r="K73" s="447"/>
      <c r="L73" s="447"/>
      <c r="M73" s="447"/>
      <c r="N73" s="447"/>
      <c r="O73" s="447"/>
      <c r="P73" s="447"/>
      <c r="Q73" s="447"/>
      <c r="R73" s="447"/>
      <c r="S73" s="447"/>
      <c r="T73" s="447"/>
      <c r="U73" s="447"/>
      <c r="V73" s="447"/>
      <c r="W73" s="447"/>
      <c r="X73" s="447"/>
      <c r="Y73" s="447"/>
      <c r="Z73" s="447"/>
      <c r="AA73" s="447"/>
      <c r="AB73" s="447"/>
      <c r="AC73" s="447"/>
      <c r="AD73" s="447"/>
      <c r="AE73" s="447"/>
      <c r="AF73" s="448"/>
      <c r="AG73" s="448"/>
      <c r="AH73" s="143"/>
      <c r="AI73" s="447"/>
      <c r="AJ73" s="447"/>
      <c r="AK73" s="447"/>
      <c r="AL73" s="447"/>
      <c r="AM73" s="447"/>
      <c r="AN73" s="447"/>
      <c r="AO73" s="447"/>
      <c r="AP73" s="447"/>
      <c r="AQ73" s="447"/>
      <c r="AR73" s="447"/>
      <c r="AS73" s="447"/>
      <c r="AT73" s="447"/>
      <c r="AU73" s="447"/>
      <c r="AV73" s="447"/>
      <c r="AW73" s="447"/>
      <c r="AX73" s="447"/>
      <c r="AY73" s="447"/>
      <c r="AZ73" s="447"/>
      <c r="BA73" s="447"/>
      <c r="BB73" s="447"/>
      <c r="BC73" s="447"/>
      <c r="BD73" s="447"/>
      <c r="BE73" s="447"/>
      <c r="BF73" s="447"/>
      <c r="BG73" s="447"/>
      <c r="BH73" s="447"/>
      <c r="BI73" s="447"/>
      <c r="BJ73" s="447"/>
      <c r="BK73" s="447"/>
      <c r="BL73" s="447"/>
      <c r="BM73" s="448"/>
      <c r="BN73" s="448"/>
    </row>
    <row r="74" spans="1:66" ht="15" customHeight="1">
      <c r="A74" s="492"/>
      <c r="B74" s="447"/>
      <c r="C74" s="447"/>
      <c r="D74" s="447"/>
      <c r="E74" s="447"/>
      <c r="F74" s="447"/>
      <c r="G74" s="447"/>
      <c r="H74" s="447"/>
      <c r="I74" s="447"/>
      <c r="J74" s="447"/>
      <c r="K74" s="447"/>
      <c r="L74" s="447"/>
      <c r="M74" s="447"/>
      <c r="N74" s="447"/>
      <c r="O74" s="447"/>
      <c r="P74" s="447"/>
      <c r="Q74" s="447"/>
      <c r="R74" s="447"/>
      <c r="S74" s="447"/>
      <c r="T74" s="447"/>
      <c r="U74" s="447"/>
      <c r="V74" s="447"/>
      <c r="W74" s="447"/>
      <c r="X74" s="447"/>
      <c r="Y74" s="447"/>
      <c r="Z74" s="447"/>
      <c r="AA74" s="447"/>
      <c r="AB74" s="447"/>
      <c r="AC74" s="447"/>
      <c r="AD74" s="447"/>
      <c r="AE74" s="447"/>
      <c r="AF74" s="448"/>
      <c r="AG74" s="448"/>
      <c r="AH74" s="468"/>
      <c r="AI74" s="1"/>
      <c r="AJ74" s="447"/>
      <c r="AK74" s="447"/>
      <c r="AL74" s="447"/>
      <c r="AM74" s="447"/>
      <c r="AN74" s="447"/>
      <c r="AO74" s="447"/>
      <c r="AP74" s="447"/>
      <c r="AQ74" s="447"/>
      <c r="AR74" s="447"/>
      <c r="AS74" s="447"/>
      <c r="AT74" s="447"/>
      <c r="AU74" s="447"/>
      <c r="AV74" s="447"/>
      <c r="AW74" s="447"/>
      <c r="AX74" s="447"/>
      <c r="AY74" s="447"/>
      <c r="AZ74" s="447"/>
      <c r="BA74" s="447"/>
      <c r="BB74" s="447"/>
      <c r="BC74" s="447"/>
      <c r="BD74" s="447"/>
      <c r="BE74" s="447"/>
      <c r="BF74" s="447"/>
      <c r="BG74" s="447"/>
      <c r="BH74" s="447"/>
      <c r="BI74" s="447"/>
      <c r="BJ74" s="447"/>
      <c r="BK74" s="447"/>
      <c r="BL74" s="447"/>
      <c r="BM74" s="448"/>
      <c r="BN74" s="448"/>
    </row>
    <row r="75" spans="1:66" ht="15" customHeight="1">
      <c r="A75" s="492"/>
      <c r="B75" s="308"/>
      <c r="C75" s="308"/>
      <c r="D75" s="308"/>
      <c r="E75" s="308"/>
      <c r="F75" s="308"/>
      <c r="G75" s="308"/>
      <c r="H75" s="308"/>
      <c r="I75" s="308"/>
      <c r="J75" s="308"/>
      <c r="K75" s="308"/>
      <c r="L75" s="308"/>
      <c r="M75" s="308"/>
      <c r="N75" s="308"/>
      <c r="O75" s="308"/>
      <c r="P75" s="308"/>
      <c r="Q75" s="451"/>
      <c r="R75" s="451"/>
      <c r="S75" s="855"/>
      <c r="T75" s="793"/>
      <c r="U75" s="793"/>
      <c r="V75" s="793"/>
      <c r="W75" s="793"/>
      <c r="X75" s="793"/>
      <c r="Y75" s="793"/>
      <c r="Z75" s="793"/>
      <c r="AA75" s="793"/>
      <c r="AB75" s="793"/>
      <c r="AC75" s="793"/>
      <c r="AD75" s="793"/>
      <c r="AE75" s="793"/>
      <c r="AF75" s="452"/>
      <c r="AG75" s="448"/>
      <c r="AH75" s="468"/>
      <c r="AI75" s="447"/>
      <c r="AJ75" s="447"/>
      <c r="AK75" s="447"/>
      <c r="AL75" s="447"/>
      <c r="AM75" s="447"/>
      <c r="AN75" s="447"/>
      <c r="AO75" s="447"/>
      <c r="AP75" s="447"/>
      <c r="AQ75" s="447"/>
      <c r="AR75" s="447"/>
      <c r="AS75" s="447"/>
      <c r="AT75" s="447"/>
      <c r="AU75" s="447"/>
      <c r="AV75" s="447"/>
      <c r="AW75" s="453"/>
      <c r="AX75" s="453"/>
      <c r="AY75" s="453"/>
      <c r="AZ75" s="869"/>
      <c r="BA75" s="793"/>
      <c r="BB75" s="793"/>
      <c r="BC75" s="793"/>
      <c r="BD75" s="793"/>
      <c r="BE75" s="793"/>
      <c r="BF75" s="793"/>
      <c r="BG75" s="793"/>
      <c r="BH75" s="793"/>
      <c r="BI75" s="793"/>
      <c r="BJ75" s="793"/>
      <c r="BK75" s="793"/>
      <c r="BL75" s="793"/>
      <c r="BM75" s="452"/>
      <c r="BN75" s="448"/>
    </row>
    <row r="76" spans="1:66" ht="15" customHeight="1">
      <c r="A76" s="492"/>
      <c r="B76" s="1"/>
      <c r="C76" s="1"/>
      <c r="D76" s="1"/>
      <c r="E76" s="1"/>
      <c r="F76" s="1"/>
      <c r="G76" s="1"/>
      <c r="H76" s="1"/>
      <c r="I76" s="1"/>
      <c r="J76" s="1"/>
      <c r="K76" s="1"/>
      <c r="L76" s="1"/>
      <c r="M76" s="1"/>
      <c r="N76" s="1"/>
      <c r="O76" s="1"/>
      <c r="P76" s="1"/>
      <c r="Q76" s="834" t="str">
        <f>Validacion!A7</f>
        <v>Vero</v>
      </c>
      <c r="R76" s="787"/>
      <c r="S76" s="787"/>
      <c r="T76" s="787"/>
      <c r="U76" s="787"/>
      <c r="V76" s="787"/>
      <c r="W76" s="787"/>
      <c r="X76" s="787"/>
      <c r="Y76" s="787"/>
      <c r="Z76" s="787"/>
      <c r="AA76" s="787"/>
      <c r="AB76" s="787"/>
      <c r="AC76" s="787"/>
      <c r="AD76" s="787"/>
      <c r="AE76" s="787"/>
      <c r="AF76" s="787"/>
      <c r="AG76" s="454"/>
      <c r="AH76" s="468"/>
      <c r="AI76" s="447"/>
      <c r="AJ76" s="456"/>
      <c r="AK76" s="456"/>
      <c r="AL76" s="456"/>
      <c r="AM76" s="456"/>
      <c r="AN76" s="456"/>
      <c r="AO76" s="456"/>
      <c r="AP76" s="456"/>
      <c r="AQ76" s="456"/>
      <c r="AR76" s="456"/>
      <c r="AS76" s="456"/>
      <c r="AT76" s="456"/>
      <c r="AU76" s="456"/>
      <c r="AV76" s="456"/>
      <c r="AW76" s="786" t="str">
        <f>Validacion!A9</f>
        <v>Irlanda</v>
      </c>
      <c r="AX76" s="787"/>
      <c r="AY76" s="787"/>
      <c r="AZ76" s="787"/>
      <c r="BA76" s="787"/>
      <c r="BB76" s="787"/>
      <c r="BC76" s="787"/>
      <c r="BD76" s="787"/>
      <c r="BE76" s="787"/>
      <c r="BF76" s="787"/>
      <c r="BG76" s="787"/>
      <c r="BH76" s="787"/>
      <c r="BI76" s="787"/>
      <c r="BJ76" s="787"/>
      <c r="BK76" s="787"/>
      <c r="BL76" s="787"/>
      <c r="BM76" s="787"/>
      <c r="BN76" s="448"/>
    </row>
    <row r="77" spans="1:66" ht="15" customHeight="1">
      <c r="A77" s="492"/>
      <c r="B77" s="1"/>
      <c r="C77" s="1"/>
      <c r="D77" s="1"/>
      <c r="E77" s="1"/>
      <c r="F77" s="1"/>
      <c r="G77" s="1"/>
      <c r="H77" s="1"/>
      <c r="I77" s="1"/>
      <c r="J77" s="1"/>
      <c r="K77" s="1"/>
      <c r="L77" s="1"/>
      <c r="M77" s="1"/>
      <c r="N77" s="1"/>
      <c r="O77" s="1"/>
      <c r="P77" s="1"/>
      <c r="Q77" s="725"/>
      <c r="R77" s="725"/>
      <c r="S77" s="725"/>
      <c r="T77" s="725"/>
      <c r="U77" s="725"/>
      <c r="V77" s="725"/>
      <c r="W77" s="725"/>
      <c r="X77" s="725"/>
      <c r="Y77" s="725"/>
      <c r="Z77" s="725"/>
      <c r="AA77" s="725"/>
      <c r="AB77" s="725"/>
      <c r="AC77" s="725"/>
      <c r="AD77" s="725"/>
      <c r="AE77" s="725"/>
      <c r="AF77" s="725"/>
      <c r="AG77" s="454"/>
      <c r="AH77" s="143"/>
      <c r="AI77" s="455"/>
      <c r="AJ77" s="456"/>
      <c r="AK77" s="456"/>
      <c r="AL77" s="456"/>
      <c r="AM77" s="456"/>
      <c r="AN77" s="456"/>
      <c r="AO77" s="456"/>
      <c r="AP77" s="456"/>
      <c r="AQ77" s="456"/>
      <c r="AR77" s="456"/>
      <c r="AS77" s="456"/>
      <c r="AT77" s="456"/>
      <c r="AU77" s="456"/>
      <c r="AV77" s="456"/>
      <c r="AW77" s="725"/>
      <c r="AX77" s="725"/>
      <c r="AY77" s="725"/>
      <c r="AZ77" s="725"/>
      <c r="BA77" s="725"/>
      <c r="BB77" s="725"/>
      <c r="BC77" s="725"/>
      <c r="BD77" s="725"/>
      <c r="BE77" s="725"/>
      <c r="BF77" s="725"/>
      <c r="BG77" s="725"/>
      <c r="BH77" s="725"/>
      <c r="BI77" s="725"/>
      <c r="BJ77" s="725"/>
      <c r="BK77" s="725"/>
      <c r="BL77" s="725"/>
      <c r="BM77" s="725"/>
      <c r="BN77" s="448"/>
    </row>
    <row r="78" spans="1:66" ht="15" customHeight="1">
      <c r="A78" s="492"/>
      <c r="B78" s="1"/>
      <c r="C78" s="1"/>
      <c r="D78" s="1"/>
      <c r="E78" s="1"/>
      <c r="F78" s="1"/>
      <c r="G78" s="1"/>
      <c r="H78" s="1"/>
      <c r="I78" s="1"/>
      <c r="J78" s="1"/>
      <c r="K78" s="1"/>
      <c r="L78" s="1"/>
      <c r="M78" s="1"/>
      <c r="N78" s="1"/>
      <c r="O78" s="1"/>
      <c r="P78" s="1"/>
      <c r="Q78" s="856" t="s">
        <v>6601</v>
      </c>
      <c r="R78" s="725"/>
      <c r="S78" s="725"/>
      <c r="T78" s="725"/>
      <c r="U78" s="725"/>
      <c r="V78" s="725"/>
      <c r="W78" s="725"/>
      <c r="X78" s="725"/>
      <c r="Y78" s="725"/>
      <c r="Z78" s="725"/>
      <c r="AA78" s="725"/>
      <c r="AB78" s="725"/>
      <c r="AC78" s="725"/>
      <c r="AD78" s="725"/>
      <c r="AE78" s="725"/>
      <c r="AF78" s="725"/>
      <c r="AG78" s="448"/>
      <c r="AH78" s="468"/>
      <c r="AI78" s="455"/>
      <c r="AJ78" s="456"/>
      <c r="AK78" s="456"/>
      <c r="AL78" s="456"/>
      <c r="AM78" s="456"/>
      <c r="AN78" s="456"/>
      <c r="AO78" s="456"/>
      <c r="AP78" s="456"/>
      <c r="AQ78" s="456"/>
      <c r="AR78" s="456"/>
      <c r="AS78" s="456"/>
      <c r="AT78" s="456"/>
      <c r="AU78" s="456"/>
      <c r="AV78" s="456"/>
      <c r="AW78" s="856" t="s">
        <v>6602</v>
      </c>
      <c r="AX78" s="725"/>
      <c r="AY78" s="725"/>
      <c r="AZ78" s="725"/>
      <c r="BA78" s="725"/>
      <c r="BB78" s="725"/>
      <c r="BC78" s="725"/>
      <c r="BD78" s="725"/>
      <c r="BE78" s="725"/>
      <c r="BF78" s="725"/>
      <c r="BG78" s="725"/>
      <c r="BH78" s="725"/>
      <c r="BI78" s="725"/>
      <c r="BJ78" s="725"/>
      <c r="BK78" s="725"/>
      <c r="BL78" s="725"/>
      <c r="BM78" s="725"/>
      <c r="BN78" s="448"/>
    </row>
    <row r="79" spans="1:66" ht="15" customHeight="1">
      <c r="A79" s="492"/>
      <c r="B79" s="1"/>
      <c r="C79" s="1"/>
      <c r="D79" s="1"/>
      <c r="E79" s="1"/>
      <c r="F79" s="1"/>
      <c r="G79" s="1"/>
      <c r="H79" s="1"/>
      <c r="I79" s="1"/>
      <c r="J79" s="1"/>
      <c r="K79" s="1"/>
      <c r="L79" s="1"/>
      <c r="M79" s="1"/>
      <c r="N79" s="1"/>
      <c r="O79" s="1"/>
      <c r="P79" s="1"/>
      <c r="Q79" s="725"/>
      <c r="R79" s="725"/>
      <c r="S79" s="725"/>
      <c r="T79" s="725"/>
      <c r="U79" s="725"/>
      <c r="V79" s="725"/>
      <c r="W79" s="725"/>
      <c r="X79" s="725"/>
      <c r="Y79" s="725"/>
      <c r="Z79" s="725"/>
      <c r="AA79" s="725"/>
      <c r="AB79" s="725"/>
      <c r="AC79" s="725"/>
      <c r="AD79" s="725"/>
      <c r="AE79" s="725"/>
      <c r="AF79" s="725"/>
      <c r="AG79" s="448"/>
      <c r="AH79" s="468"/>
      <c r="AI79" s="455"/>
      <c r="AJ79" s="456"/>
      <c r="AK79" s="456"/>
      <c r="AL79" s="456"/>
      <c r="AM79" s="456"/>
      <c r="AN79" s="456"/>
      <c r="AO79" s="456"/>
      <c r="AP79" s="456"/>
      <c r="AQ79" s="456"/>
      <c r="AR79" s="456"/>
      <c r="AS79" s="456"/>
      <c r="AT79" s="456"/>
      <c r="AU79" s="456"/>
      <c r="AV79" s="456"/>
      <c r="AW79" s="725"/>
      <c r="AX79" s="725"/>
      <c r="AY79" s="725"/>
      <c r="AZ79" s="725"/>
      <c r="BA79" s="725"/>
      <c r="BB79" s="725"/>
      <c r="BC79" s="725"/>
      <c r="BD79" s="725"/>
      <c r="BE79" s="725"/>
      <c r="BF79" s="725"/>
      <c r="BG79" s="725"/>
      <c r="BH79" s="725"/>
      <c r="BI79" s="725"/>
      <c r="BJ79" s="725"/>
      <c r="BK79" s="725"/>
      <c r="BL79" s="725"/>
      <c r="BM79" s="725"/>
      <c r="BN79" s="448"/>
    </row>
    <row r="80" spans="1:66" ht="15" customHeight="1">
      <c r="A80" s="492"/>
      <c r="B80" s="447"/>
      <c r="C80" s="447"/>
      <c r="D80" s="447"/>
      <c r="E80" s="447"/>
      <c r="F80" s="447"/>
      <c r="G80" s="447"/>
      <c r="H80" s="447"/>
      <c r="I80" s="447"/>
      <c r="J80" s="447"/>
      <c r="K80" s="447"/>
      <c r="L80" s="447"/>
      <c r="M80" s="447"/>
      <c r="N80" s="447"/>
      <c r="O80" s="447"/>
      <c r="P80" s="447"/>
      <c r="Q80" s="725"/>
      <c r="R80" s="725"/>
      <c r="S80" s="725"/>
      <c r="T80" s="725"/>
      <c r="U80" s="725"/>
      <c r="V80" s="725"/>
      <c r="W80" s="725"/>
      <c r="X80" s="725"/>
      <c r="Y80" s="725"/>
      <c r="Z80" s="725"/>
      <c r="AA80" s="725"/>
      <c r="AB80" s="725"/>
      <c r="AC80" s="725"/>
      <c r="AD80" s="725"/>
      <c r="AE80" s="725"/>
      <c r="AF80" s="725"/>
      <c r="AG80" s="448"/>
      <c r="AH80" s="143"/>
      <c r="AI80" s="455"/>
      <c r="AJ80" s="456"/>
      <c r="AK80" s="456"/>
      <c r="AL80" s="456"/>
      <c r="AM80" s="456"/>
      <c r="AN80" s="456"/>
      <c r="AO80" s="456"/>
      <c r="AP80" s="456"/>
      <c r="AQ80" s="456"/>
      <c r="AR80" s="456"/>
      <c r="AS80" s="456"/>
      <c r="AT80" s="456"/>
      <c r="AU80" s="456"/>
      <c r="AV80" s="456"/>
      <c r="AW80" s="725"/>
      <c r="AX80" s="725"/>
      <c r="AY80" s="725"/>
      <c r="AZ80" s="725"/>
      <c r="BA80" s="725"/>
      <c r="BB80" s="725"/>
      <c r="BC80" s="725"/>
      <c r="BD80" s="725"/>
      <c r="BE80" s="725"/>
      <c r="BF80" s="725"/>
      <c r="BG80" s="725"/>
      <c r="BH80" s="725"/>
      <c r="BI80" s="725"/>
      <c r="BJ80" s="725"/>
      <c r="BK80" s="725"/>
      <c r="BL80" s="725"/>
      <c r="BM80" s="725"/>
      <c r="BN80" s="448"/>
    </row>
    <row r="81" spans="1:66" ht="15" hidden="1" customHeight="1">
      <c r="A81" s="492"/>
      <c r="B81" s="447"/>
      <c r="C81" s="447"/>
      <c r="D81" s="447"/>
      <c r="E81" s="447"/>
      <c r="F81" s="447"/>
      <c r="G81" s="447"/>
      <c r="H81" s="447"/>
      <c r="I81" s="447"/>
      <c r="J81" s="447"/>
      <c r="K81" s="447"/>
      <c r="L81" s="447"/>
      <c r="M81" s="447"/>
      <c r="N81" s="447"/>
      <c r="O81" s="447"/>
      <c r="P81" s="447"/>
      <c r="Q81" s="447"/>
      <c r="R81" s="447"/>
      <c r="S81" s="447"/>
      <c r="T81" s="447"/>
      <c r="U81" s="447"/>
      <c r="V81" s="447"/>
      <c r="W81" s="447"/>
      <c r="X81" s="447"/>
      <c r="Y81" s="447"/>
      <c r="Z81" s="447"/>
      <c r="AA81" s="447"/>
      <c r="AB81" s="447"/>
      <c r="AC81" s="447"/>
      <c r="AD81" s="447"/>
      <c r="AE81" s="447"/>
      <c r="AF81" s="448"/>
      <c r="AG81" s="448"/>
      <c r="AH81" s="468"/>
      <c r="AI81" s="455"/>
      <c r="AJ81" s="456"/>
      <c r="AK81" s="456"/>
      <c r="AL81" s="456"/>
      <c r="AM81" s="456"/>
      <c r="AN81" s="456"/>
      <c r="AO81" s="456"/>
      <c r="AP81" s="456"/>
      <c r="AQ81" s="456"/>
      <c r="AR81" s="456"/>
      <c r="AS81" s="456"/>
      <c r="AT81" s="456"/>
      <c r="AU81" s="456"/>
      <c r="AV81" s="456"/>
      <c r="AW81" s="456"/>
      <c r="AX81" s="456"/>
      <c r="AY81" s="456"/>
      <c r="AZ81" s="456"/>
      <c r="BA81" s="456"/>
      <c r="BB81" s="456"/>
      <c r="BC81" s="456"/>
      <c r="BD81" s="456"/>
      <c r="BE81" s="456"/>
      <c r="BF81" s="456"/>
      <c r="BG81" s="456"/>
      <c r="BH81" s="456"/>
      <c r="BI81" s="456"/>
      <c r="BJ81" s="456"/>
      <c r="BK81" s="456"/>
      <c r="BL81" s="456"/>
      <c r="BM81" s="448"/>
      <c r="BN81" s="448"/>
    </row>
    <row r="82" spans="1:66" ht="15" hidden="1" customHeight="1">
      <c r="A82" s="493"/>
      <c r="B82" s="447"/>
      <c r="C82" s="447"/>
      <c r="D82" s="447"/>
      <c r="E82" s="447"/>
      <c r="F82" s="447"/>
      <c r="G82" s="447"/>
      <c r="H82" s="447"/>
      <c r="I82" s="447"/>
      <c r="J82" s="447"/>
      <c r="K82" s="447"/>
      <c r="L82" s="447"/>
      <c r="M82" s="447"/>
      <c r="N82" s="447"/>
      <c r="O82" s="447"/>
      <c r="P82" s="447"/>
      <c r="Q82" s="447"/>
      <c r="R82" s="447"/>
      <c r="S82" s="447"/>
      <c r="T82" s="447"/>
      <c r="U82" s="447"/>
      <c r="V82" s="447"/>
      <c r="W82" s="447"/>
      <c r="X82" s="447"/>
      <c r="Y82" s="447"/>
      <c r="Z82" s="447"/>
      <c r="AA82" s="447"/>
      <c r="AB82" s="447"/>
      <c r="AC82" s="447"/>
      <c r="AD82" s="447"/>
      <c r="AE82" s="447"/>
      <c r="AF82" s="448"/>
      <c r="AG82" s="448"/>
      <c r="AH82" s="468"/>
      <c r="AI82" s="455"/>
      <c r="AJ82" s="447"/>
      <c r="AK82" s="447"/>
      <c r="AL82" s="447"/>
      <c r="AM82" s="447"/>
      <c r="AN82" s="447"/>
      <c r="AO82" s="447"/>
      <c r="AP82" s="447"/>
      <c r="AQ82" s="447"/>
      <c r="AR82" s="447"/>
      <c r="AS82" s="447"/>
      <c r="AT82" s="447"/>
      <c r="AU82" s="447"/>
      <c r="AV82" s="447"/>
      <c r="AW82" s="447"/>
      <c r="AX82" s="447"/>
      <c r="AY82" s="447"/>
      <c r="AZ82" s="447"/>
      <c r="BA82" s="447"/>
      <c r="BB82" s="447"/>
      <c r="BC82" s="447"/>
      <c r="BD82" s="447"/>
      <c r="BE82" s="447"/>
      <c r="BF82" s="447"/>
      <c r="BG82" s="447"/>
      <c r="BH82" s="447"/>
      <c r="BI82" s="447"/>
      <c r="BJ82" s="447"/>
      <c r="BK82" s="447"/>
      <c r="BL82" s="447"/>
      <c r="BM82" s="448"/>
      <c r="BN82" s="448"/>
    </row>
    <row r="83" spans="1:66" ht="15" hidden="1" customHeight="1">
      <c r="A83" s="492"/>
      <c r="B83" s="447"/>
      <c r="C83" s="447"/>
      <c r="D83" s="447"/>
      <c r="E83" s="447"/>
      <c r="F83" s="447"/>
      <c r="G83" s="447"/>
      <c r="H83" s="447"/>
      <c r="I83" s="447"/>
      <c r="J83" s="447"/>
      <c r="K83" s="447"/>
      <c r="L83" s="447"/>
      <c r="M83" s="447"/>
      <c r="N83" s="447"/>
      <c r="O83" s="447"/>
      <c r="P83" s="447"/>
      <c r="Q83" s="447"/>
      <c r="R83" s="447"/>
      <c r="S83" s="447"/>
      <c r="T83" s="447"/>
      <c r="U83" s="447"/>
      <c r="V83" s="447"/>
      <c r="W83" s="447"/>
      <c r="X83" s="447"/>
      <c r="Y83" s="447"/>
      <c r="Z83" s="447"/>
      <c r="AA83" s="447"/>
      <c r="AB83" s="447"/>
      <c r="AC83" s="447"/>
      <c r="AD83" s="447"/>
      <c r="AE83" s="447"/>
      <c r="AF83" s="448"/>
      <c r="AG83" s="448"/>
      <c r="AH83" s="470"/>
      <c r="AI83" s="447"/>
      <c r="AJ83" s="447"/>
      <c r="AK83" s="447"/>
      <c r="AL83" s="447"/>
      <c r="AM83" s="447"/>
      <c r="AN83" s="447"/>
      <c r="AO83" s="447"/>
      <c r="AP83" s="447"/>
      <c r="AQ83" s="447"/>
      <c r="AR83" s="447"/>
      <c r="AS83" s="447"/>
      <c r="AT83" s="447"/>
      <c r="AU83" s="447"/>
      <c r="AV83" s="447"/>
      <c r="AW83" s="447"/>
      <c r="AX83" s="447"/>
      <c r="AY83" s="447"/>
      <c r="AZ83" s="447"/>
      <c r="BA83" s="447"/>
      <c r="BB83" s="447"/>
      <c r="BC83" s="447"/>
      <c r="BD83" s="447"/>
      <c r="BE83" s="447"/>
      <c r="BF83" s="447"/>
      <c r="BG83" s="447"/>
      <c r="BH83" s="447"/>
      <c r="BI83" s="447"/>
      <c r="BJ83" s="447"/>
      <c r="BK83" s="447"/>
      <c r="BL83" s="447"/>
      <c r="BM83" s="448"/>
      <c r="BN83" s="448"/>
    </row>
    <row r="84" spans="1:66" ht="15" hidden="1" customHeight="1">
      <c r="A84" s="492"/>
      <c r="B84" s="447"/>
      <c r="C84" s="447"/>
      <c r="D84" s="447"/>
      <c r="E84" s="447"/>
      <c r="F84" s="447"/>
      <c r="G84" s="447"/>
      <c r="H84" s="447"/>
      <c r="I84" s="447"/>
      <c r="J84" s="447"/>
      <c r="K84" s="447"/>
      <c r="L84" s="447"/>
      <c r="M84" s="447"/>
      <c r="N84" s="447"/>
      <c r="O84" s="447"/>
      <c r="P84" s="447"/>
      <c r="Q84" s="447"/>
      <c r="R84" s="447"/>
      <c r="S84" s="447"/>
      <c r="T84" s="447"/>
      <c r="U84" s="447"/>
      <c r="V84" s="447"/>
      <c r="W84" s="447"/>
      <c r="X84" s="447"/>
      <c r="Y84" s="447"/>
      <c r="Z84" s="447"/>
      <c r="AA84" s="447"/>
      <c r="AB84" s="447"/>
      <c r="AC84" s="447"/>
      <c r="AD84" s="447"/>
      <c r="AE84" s="447"/>
      <c r="AF84" s="448"/>
      <c r="AG84" s="448"/>
      <c r="AH84" s="471"/>
      <c r="AI84" s="447"/>
      <c r="AJ84" s="447"/>
      <c r="AK84" s="447"/>
      <c r="AL84" s="447"/>
      <c r="AM84" s="447"/>
      <c r="AN84" s="447"/>
      <c r="AO84" s="447"/>
      <c r="AP84" s="447"/>
      <c r="AQ84" s="447"/>
      <c r="AR84" s="447"/>
      <c r="AS84" s="447"/>
      <c r="AT84" s="447"/>
      <c r="AU84" s="447"/>
      <c r="AV84" s="447"/>
      <c r="AW84" s="447"/>
      <c r="AX84" s="447"/>
      <c r="AY84" s="447"/>
      <c r="AZ84" s="447"/>
      <c r="BA84" s="447"/>
      <c r="BB84" s="447"/>
      <c r="BC84" s="447"/>
      <c r="BD84" s="447"/>
      <c r="BE84" s="447"/>
      <c r="BF84" s="447"/>
      <c r="BG84" s="447"/>
      <c r="BH84" s="447"/>
      <c r="BI84" s="447"/>
      <c r="BJ84" s="447"/>
      <c r="BK84" s="447"/>
      <c r="BL84" s="447"/>
      <c r="BM84" s="448"/>
      <c r="BN84" s="448"/>
    </row>
    <row r="85" spans="1:66" ht="15" hidden="1" customHeight="1">
      <c r="A85" s="492"/>
      <c r="B85" s="447"/>
      <c r="C85" s="447"/>
      <c r="D85" s="447"/>
      <c r="E85" s="447"/>
      <c r="F85" s="447"/>
      <c r="G85" s="447"/>
      <c r="H85" s="447"/>
      <c r="I85" s="447"/>
      <c r="J85" s="447"/>
      <c r="K85" s="447"/>
      <c r="L85" s="447"/>
      <c r="M85" s="447"/>
      <c r="N85" s="447"/>
      <c r="O85" s="447"/>
      <c r="P85" s="447"/>
      <c r="Q85" s="447"/>
      <c r="R85" s="447"/>
      <c r="S85" s="447"/>
      <c r="T85" s="447"/>
      <c r="U85" s="447"/>
      <c r="V85" s="447"/>
      <c r="W85" s="447"/>
      <c r="X85" s="447"/>
      <c r="Y85" s="447"/>
      <c r="Z85" s="447"/>
      <c r="AA85" s="447"/>
      <c r="AB85" s="447"/>
      <c r="AC85" s="447"/>
      <c r="AD85" s="447"/>
      <c r="AE85" s="447"/>
      <c r="AF85" s="448"/>
      <c r="AG85" s="448"/>
      <c r="AH85" s="467"/>
      <c r="AI85" s="447"/>
      <c r="AJ85" s="447"/>
      <c r="AK85" s="447"/>
      <c r="AL85" s="447"/>
      <c r="AM85" s="447"/>
      <c r="AN85" s="447"/>
      <c r="AO85" s="447"/>
      <c r="AP85" s="447"/>
      <c r="AQ85" s="447"/>
      <c r="AR85" s="447"/>
      <c r="AS85" s="447"/>
      <c r="AT85" s="447"/>
      <c r="AU85" s="447"/>
      <c r="AV85" s="447"/>
      <c r="AW85" s="447"/>
      <c r="AX85" s="447"/>
      <c r="AY85" s="447"/>
      <c r="AZ85" s="447"/>
      <c r="BA85" s="447"/>
      <c r="BB85" s="447"/>
      <c r="BC85" s="447"/>
      <c r="BD85" s="447"/>
      <c r="BE85" s="447"/>
      <c r="BF85" s="447"/>
      <c r="BG85" s="447"/>
      <c r="BH85" s="447"/>
      <c r="BI85" s="447"/>
      <c r="BJ85" s="447"/>
      <c r="BK85" s="447"/>
      <c r="BL85" s="447"/>
      <c r="BM85" s="448"/>
      <c r="BN85" s="448"/>
    </row>
    <row r="86" spans="1:66" ht="15" hidden="1" customHeight="1">
      <c r="A86" s="492"/>
      <c r="B86" s="447"/>
      <c r="C86" s="447"/>
      <c r="D86" s="447"/>
      <c r="E86" s="447"/>
      <c r="F86" s="447"/>
      <c r="G86" s="447"/>
      <c r="H86" s="447"/>
      <c r="I86" s="447"/>
      <c r="J86" s="447"/>
      <c r="K86" s="447"/>
      <c r="L86" s="447"/>
      <c r="M86" s="447"/>
      <c r="N86" s="447"/>
      <c r="O86" s="447"/>
      <c r="P86" s="447"/>
      <c r="Q86" s="447"/>
      <c r="R86" s="447"/>
      <c r="S86" s="447"/>
      <c r="T86" s="447"/>
      <c r="U86" s="447"/>
      <c r="V86" s="447"/>
      <c r="W86" s="447"/>
      <c r="X86" s="447"/>
      <c r="Y86" s="447"/>
      <c r="Z86" s="447"/>
      <c r="AA86" s="447"/>
      <c r="AB86" s="447"/>
      <c r="AC86" s="447"/>
      <c r="AD86" s="447"/>
      <c r="AE86" s="447"/>
      <c r="AF86" s="448"/>
      <c r="AG86" s="448"/>
      <c r="AH86" s="467"/>
      <c r="AI86" s="447"/>
      <c r="AJ86" s="447"/>
      <c r="AK86" s="447"/>
      <c r="AL86" s="447"/>
      <c r="AM86" s="447"/>
      <c r="AN86" s="447"/>
      <c r="AO86" s="447"/>
      <c r="AP86" s="447"/>
      <c r="AQ86" s="447"/>
      <c r="AR86" s="447"/>
      <c r="AS86" s="447"/>
      <c r="AT86" s="447"/>
      <c r="AU86" s="447"/>
      <c r="AV86" s="447"/>
      <c r="AW86" s="447"/>
      <c r="AX86" s="447"/>
      <c r="AY86" s="447"/>
      <c r="AZ86" s="447"/>
      <c r="BA86" s="447"/>
      <c r="BB86" s="447"/>
      <c r="BC86" s="447"/>
      <c r="BD86" s="447"/>
      <c r="BE86" s="447"/>
      <c r="BF86" s="447"/>
      <c r="BG86" s="447"/>
      <c r="BH86" s="447"/>
      <c r="BI86" s="447"/>
      <c r="BJ86" s="447"/>
      <c r="BK86" s="447"/>
      <c r="BL86" s="447"/>
      <c r="BM86" s="448"/>
      <c r="BN86" s="448"/>
    </row>
    <row r="87" spans="1:66" ht="15" hidden="1" customHeight="1">
      <c r="A87" s="492"/>
      <c r="B87" s="447"/>
      <c r="C87" s="447"/>
      <c r="D87" s="447"/>
      <c r="E87" s="447"/>
      <c r="F87" s="447"/>
      <c r="G87" s="447"/>
      <c r="H87" s="447"/>
      <c r="I87" s="447"/>
      <c r="J87" s="447"/>
      <c r="K87" s="447"/>
      <c r="L87" s="447"/>
      <c r="M87" s="447"/>
      <c r="N87" s="447"/>
      <c r="O87" s="447"/>
      <c r="P87" s="447"/>
      <c r="Q87" s="447"/>
      <c r="R87" s="447"/>
      <c r="S87" s="447"/>
      <c r="T87" s="447"/>
      <c r="U87" s="447"/>
      <c r="V87" s="447"/>
      <c r="W87" s="447"/>
      <c r="X87" s="447"/>
      <c r="Y87" s="447"/>
      <c r="Z87" s="447"/>
      <c r="AA87" s="447"/>
      <c r="AB87" s="447"/>
      <c r="AC87" s="447"/>
      <c r="AD87" s="447"/>
      <c r="AE87" s="447"/>
      <c r="AF87" s="448"/>
      <c r="AG87" s="448"/>
      <c r="AH87" s="448"/>
      <c r="AI87" s="447"/>
      <c r="AJ87" s="447"/>
      <c r="AK87" s="447"/>
      <c r="AL87" s="447"/>
      <c r="AM87" s="447"/>
      <c r="AN87" s="447"/>
      <c r="AO87" s="447"/>
      <c r="AP87" s="447"/>
      <c r="AQ87" s="447"/>
      <c r="AR87" s="447"/>
      <c r="AS87" s="447"/>
      <c r="AT87" s="447"/>
      <c r="AU87" s="447"/>
      <c r="AV87" s="447"/>
      <c r="AW87" s="447"/>
      <c r="AX87" s="447"/>
      <c r="AY87" s="447"/>
      <c r="AZ87" s="447"/>
      <c r="BA87" s="447"/>
      <c r="BB87" s="447"/>
      <c r="BC87" s="447"/>
      <c r="BD87" s="447"/>
      <c r="BE87" s="447"/>
      <c r="BF87" s="447"/>
      <c r="BG87" s="447"/>
      <c r="BH87" s="447"/>
      <c r="BI87" s="447"/>
      <c r="BJ87" s="447"/>
      <c r="BK87" s="447"/>
      <c r="BL87" s="447"/>
      <c r="BM87" s="448"/>
      <c r="BN87" s="448"/>
    </row>
    <row r="88" spans="1:66" ht="15" hidden="1" customHeight="1">
      <c r="A88" s="493"/>
      <c r="B88" s="447"/>
      <c r="C88" s="447"/>
      <c r="D88" s="447"/>
      <c r="E88" s="447"/>
      <c r="F88" s="447"/>
      <c r="G88" s="447"/>
      <c r="H88" s="447"/>
      <c r="I88" s="447"/>
      <c r="J88" s="447"/>
      <c r="K88" s="447"/>
      <c r="L88" s="447"/>
      <c r="M88" s="447"/>
      <c r="N88" s="447"/>
      <c r="O88" s="447"/>
      <c r="P88" s="447"/>
      <c r="Q88" s="447"/>
      <c r="R88" s="447"/>
      <c r="S88" s="447"/>
      <c r="T88" s="447"/>
      <c r="U88" s="447"/>
      <c r="V88" s="447"/>
      <c r="W88" s="447"/>
      <c r="X88" s="447"/>
      <c r="Y88" s="447"/>
      <c r="Z88" s="447"/>
      <c r="AA88" s="447"/>
      <c r="AB88" s="447"/>
      <c r="AC88" s="447"/>
      <c r="AD88" s="447"/>
      <c r="AE88" s="447"/>
      <c r="AF88" s="448"/>
      <c r="AG88" s="448"/>
      <c r="AH88" s="448"/>
      <c r="AI88" s="447"/>
      <c r="AJ88" s="447"/>
      <c r="AK88" s="447"/>
      <c r="AL88" s="447"/>
      <c r="AM88" s="447"/>
      <c r="AN88" s="447"/>
      <c r="AO88" s="447"/>
      <c r="AP88" s="447"/>
      <c r="AQ88" s="447"/>
      <c r="AR88" s="447"/>
      <c r="AS88" s="447"/>
      <c r="AT88" s="447"/>
      <c r="AU88" s="447"/>
      <c r="AV88" s="447"/>
      <c r="AW88" s="447"/>
      <c r="AX88" s="447"/>
      <c r="AY88" s="447"/>
      <c r="AZ88" s="447"/>
      <c r="BA88" s="447"/>
      <c r="BB88" s="447"/>
      <c r="BC88" s="447"/>
      <c r="BD88" s="447"/>
      <c r="BE88" s="447"/>
      <c r="BF88" s="447"/>
      <c r="BG88" s="447"/>
      <c r="BH88" s="447"/>
      <c r="BI88" s="447"/>
      <c r="BJ88" s="447"/>
      <c r="BK88" s="447"/>
      <c r="BL88" s="447"/>
      <c r="BM88" s="448"/>
      <c r="BN88" s="448"/>
    </row>
    <row r="89" spans="1:66" ht="15" hidden="1" customHeight="1">
      <c r="A89" s="492"/>
      <c r="B89" s="447"/>
      <c r="C89" s="447"/>
      <c r="D89" s="447"/>
      <c r="E89" s="447"/>
      <c r="F89" s="447"/>
      <c r="G89" s="447"/>
      <c r="H89" s="447"/>
      <c r="I89" s="447"/>
      <c r="J89" s="447"/>
      <c r="K89" s="447"/>
      <c r="L89" s="447"/>
      <c r="M89" s="447"/>
      <c r="N89" s="447"/>
      <c r="O89" s="447"/>
      <c r="P89" s="447"/>
      <c r="Q89" s="447"/>
      <c r="R89" s="447"/>
      <c r="S89" s="447"/>
      <c r="T89" s="447"/>
      <c r="U89" s="447"/>
      <c r="V89" s="447"/>
      <c r="W89" s="447"/>
      <c r="X89" s="447"/>
      <c r="Y89" s="447"/>
      <c r="Z89" s="447"/>
      <c r="AA89" s="447"/>
      <c r="AB89" s="447"/>
      <c r="AC89" s="447"/>
      <c r="AD89" s="447"/>
      <c r="AE89" s="447"/>
      <c r="AF89" s="448"/>
      <c r="AG89" s="448"/>
      <c r="AH89" s="448"/>
      <c r="AI89" s="447"/>
      <c r="AJ89" s="447"/>
      <c r="AK89" s="447"/>
      <c r="AL89" s="447"/>
      <c r="AM89" s="447"/>
      <c r="AN89" s="447"/>
      <c r="AO89" s="447"/>
      <c r="AP89" s="447"/>
      <c r="AQ89" s="447"/>
      <c r="AR89" s="447"/>
      <c r="AS89" s="447"/>
      <c r="AT89" s="447"/>
      <c r="AU89" s="447"/>
      <c r="AV89" s="447"/>
      <c r="AW89" s="447"/>
      <c r="AX89" s="447"/>
      <c r="AY89" s="447"/>
      <c r="AZ89" s="447"/>
      <c r="BA89" s="447"/>
      <c r="BB89" s="447"/>
      <c r="BC89" s="447"/>
      <c r="BD89" s="447"/>
      <c r="BE89" s="447"/>
      <c r="BF89" s="447"/>
      <c r="BG89" s="447"/>
      <c r="BH89" s="447"/>
      <c r="BI89" s="447"/>
      <c r="BJ89" s="447"/>
      <c r="BK89" s="447"/>
      <c r="BL89" s="447"/>
      <c r="BM89" s="448"/>
      <c r="BN89" s="448"/>
    </row>
    <row r="90" spans="1:66" ht="15" hidden="1" customHeight="1">
      <c r="A90" s="492"/>
      <c r="B90" s="447"/>
      <c r="C90" s="447"/>
      <c r="D90" s="447"/>
      <c r="E90" s="447"/>
      <c r="F90" s="447"/>
      <c r="G90" s="447"/>
      <c r="H90" s="447"/>
      <c r="I90" s="447"/>
      <c r="J90" s="447"/>
      <c r="K90" s="447"/>
      <c r="L90" s="447"/>
      <c r="M90" s="447"/>
      <c r="N90" s="447"/>
      <c r="O90" s="447"/>
      <c r="P90" s="447"/>
      <c r="Q90" s="447"/>
      <c r="R90" s="447"/>
      <c r="S90" s="447"/>
      <c r="T90" s="447"/>
      <c r="U90" s="447"/>
      <c r="V90" s="447"/>
      <c r="W90" s="447"/>
      <c r="X90" s="447"/>
      <c r="Y90" s="447"/>
      <c r="Z90" s="447"/>
      <c r="AA90" s="447"/>
      <c r="AB90" s="447"/>
      <c r="AC90" s="447"/>
      <c r="AD90" s="447"/>
      <c r="AE90" s="447"/>
      <c r="AF90" s="448"/>
      <c r="AG90" s="448"/>
      <c r="AH90" s="448"/>
      <c r="AI90" s="447"/>
      <c r="AJ90" s="447"/>
      <c r="AK90" s="447"/>
      <c r="AL90" s="447"/>
      <c r="AM90" s="447"/>
      <c r="AN90" s="447"/>
      <c r="AO90" s="447"/>
      <c r="AP90" s="447"/>
      <c r="AQ90" s="447"/>
      <c r="AR90" s="447"/>
      <c r="AS90" s="447"/>
      <c r="AT90" s="447"/>
      <c r="AU90" s="447"/>
      <c r="AV90" s="447"/>
      <c r="AW90" s="447"/>
      <c r="AX90" s="447"/>
      <c r="AY90" s="447"/>
      <c r="AZ90" s="447"/>
      <c r="BA90" s="447"/>
      <c r="BB90" s="447"/>
      <c r="BC90" s="447"/>
      <c r="BD90" s="447"/>
      <c r="BE90" s="447"/>
      <c r="BF90" s="447"/>
      <c r="BG90" s="447"/>
      <c r="BH90" s="447"/>
      <c r="BI90" s="447"/>
      <c r="BJ90" s="447"/>
      <c r="BK90" s="447"/>
      <c r="BL90" s="447"/>
      <c r="BM90" s="448"/>
      <c r="BN90" s="448"/>
    </row>
    <row r="91" spans="1:66" ht="15" hidden="1" customHeight="1">
      <c r="A91" s="492"/>
      <c r="B91" s="447"/>
      <c r="C91" s="447"/>
      <c r="D91" s="447"/>
      <c r="E91" s="447"/>
      <c r="F91" s="447"/>
      <c r="G91" s="447"/>
      <c r="H91" s="447"/>
      <c r="I91" s="447"/>
      <c r="J91" s="447"/>
      <c r="K91" s="447"/>
      <c r="L91" s="447"/>
      <c r="M91" s="447"/>
      <c r="N91" s="447"/>
      <c r="O91" s="447"/>
      <c r="P91" s="447"/>
      <c r="Q91" s="447"/>
      <c r="R91" s="447"/>
      <c r="S91" s="447"/>
      <c r="T91" s="447"/>
      <c r="U91" s="447"/>
      <c r="V91" s="447"/>
      <c r="W91" s="447"/>
      <c r="X91" s="447"/>
      <c r="Y91" s="447"/>
      <c r="Z91" s="447"/>
      <c r="AA91" s="447"/>
      <c r="AB91" s="447"/>
      <c r="AC91" s="447"/>
      <c r="AD91" s="447"/>
      <c r="AE91" s="447"/>
      <c r="AF91" s="448"/>
      <c r="AG91" s="448"/>
      <c r="AH91" s="448"/>
      <c r="AI91" s="447"/>
      <c r="AJ91" s="447"/>
      <c r="AK91" s="447"/>
      <c r="AL91" s="447"/>
      <c r="AM91" s="447"/>
      <c r="AN91" s="447"/>
      <c r="AO91" s="447"/>
      <c r="AP91" s="447"/>
      <c r="AQ91" s="447"/>
      <c r="AR91" s="447"/>
      <c r="AS91" s="447"/>
      <c r="AT91" s="447"/>
      <c r="AU91" s="447"/>
      <c r="AV91" s="447"/>
      <c r="AW91" s="447"/>
      <c r="AX91" s="447"/>
      <c r="AY91" s="447"/>
      <c r="AZ91" s="447"/>
      <c r="BA91" s="447"/>
      <c r="BB91" s="447"/>
      <c r="BC91" s="447"/>
      <c r="BD91" s="447"/>
      <c r="BE91" s="447"/>
      <c r="BF91" s="447"/>
      <c r="BG91" s="447"/>
      <c r="BH91" s="447"/>
      <c r="BI91" s="447"/>
      <c r="BJ91" s="447"/>
      <c r="BK91" s="447"/>
      <c r="BL91" s="447"/>
      <c r="BM91" s="448"/>
      <c r="BN91" s="448"/>
    </row>
    <row r="92" spans="1:66" ht="15" hidden="1" customHeight="1">
      <c r="A92" s="492"/>
      <c r="B92" s="447"/>
      <c r="C92" s="447"/>
      <c r="D92" s="447"/>
      <c r="E92" s="447"/>
      <c r="F92" s="447"/>
      <c r="G92" s="447"/>
      <c r="H92" s="447"/>
      <c r="I92" s="447"/>
      <c r="J92" s="447"/>
      <c r="K92" s="447"/>
      <c r="L92" s="447"/>
      <c r="M92" s="447"/>
      <c r="N92" s="447"/>
      <c r="O92" s="447"/>
      <c r="P92" s="447"/>
      <c r="Q92" s="447"/>
      <c r="R92" s="447"/>
      <c r="S92" s="447"/>
      <c r="T92" s="447"/>
      <c r="U92" s="447"/>
      <c r="V92" s="447"/>
      <c r="W92" s="447"/>
      <c r="X92" s="447"/>
      <c r="Y92" s="447"/>
      <c r="Z92" s="447"/>
      <c r="AA92" s="447"/>
      <c r="AB92" s="447"/>
      <c r="AC92" s="447"/>
      <c r="AD92" s="447"/>
      <c r="AE92" s="447"/>
      <c r="AF92" s="448"/>
      <c r="AG92" s="448"/>
      <c r="AH92" s="448"/>
      <c r="AI92" s="447"/>
      <c r="AJ92" s="447"/>
      <c r="AK92" s="447"/>
      <c r="AL92" s="447"/>
      <c r="AM92" s="447"/>
      <c r="AN92" s="447"/>
      <c r="AO92" s="447"/>
      <c r="AP92" s="447"/>
      <c r="AQ92" s="447"/>
      <c r="AR92" s="447"/>
      <c r="AS92" s="447"/>
      <c r="AT92" s="447"/>
      <c r="AU92" s="447"/>
      <c r="AV92" s="447"/>
      <c r="AW92" s="447"/>
      <c r="AX92" s="447"/>
      <c r="AY92" s="447"/>
      <c r="AZ92" s="447"/>
      <c r="BA92" s="447"/>
      <c r="BB92" s="447"/>
      <c r="BC92" s="447"/>
      <c r="BD92" s="447"/>
      <c r="BE92" s="447"/>
      <c r="BF92" s="447"/>
      <c r="BG92" s="447"/>
      <c r="BH92" s="447"/>
      <c r="BI92" s="447"/>
      <c r="BJ92" s="447"/>
      <c r="BK92" s="447"/>
      <c r="BL92" s="447"/>
      <c r="BM92" s="448"/>
      <c r="BN92" s="448"/>
    </row>
    <row r="93" spans="1:66" ht="15" hidden="1" customHeight="1">
      <c r="A93" s="492"/>
      <c r="B93" s="447"/>
      <c r="C93" s="447"/>
      <c r="D93" s="447"/>
      <c r="E93" s="447"/>
      <c r="F93" s="447"/>
      <c r="G93" s="447"/>
      <c r="H93" s="447"/>
      <c r="I93" s="447"/>
      <c r="J93" s="447"/>
      <c r="K93" s="447"/>
      <c r="L93" s="447"/>
      <c r="M93" s="447"/>
      <c r="N93" s="447"/>
      <c r="O93" s="447"/>
      <c r="P93" s="447"/>
      <c r="Q93" s="447"/>
      <c r="R93" s="447"/>
      <c r="S93" s="447"/>
      <c r="T93" s="447"/>
      <c r="U93" s="447"/>
      <c r="V93" s="447"/>
      <c r="W93" s="447"/>
      <c r="X93" s="447"/>
      <c r="Y93" s="447"/>
      <c r="Z93" s="447"/>
      <c r="AA93" s="447"/>
      <c r="AB93" s="447"/>
      <c r="AC93" s="447"/>
      <c r="AD93" s="447"/>
      <c r="AE93" s="447"/>
      <c r="AF93" s="448"/>
      <c r="AG93" s="448"/>
      <c r="AH93" s="448"/>
      <c r="AI93" s="447"/>
      <c r="AJ93" s="447"/>
      <c r="AK93" s="447"/>
      <c r="AL93" s="447"/>
      <c r="AM93" s="447"/>
      <c r="AN93" s="447"/>
      <c r="AO93" s="447"/>
      <c r="AP93" s="447"/>
      <c r="AQ93" s="447"/>
      <c r="AR93" s="447"/>
      <c r="AS93" s="447"/>
      <c r="AT93" s="447"/>
      <c r="AU93" s="447"/>
      <c r="AV93" s="447"/>
      <c r="AW93" s="447"/>
      <c r="AX93" s="447"/>
      <c r="AY93" s="447"/>
      <c r="AZ93" s="447"/>
      <c r="BA93" s="447"/>
      <c r="BB93" s="447"/>
      <c r="BC93" s="447"/>
      <c r="BD93" s="447"/>
      <c r="BE93" s="447"/>
      <c r="BF93" s="447"/>
      <c r="BG93" s="447"/>
      <c r="BH93" s="447"/>
      <c r="BI93" s="447"/>
      <c r="BJ93" s="447"/>
      <c r="BK93" s="447"/>
      <c r="BL93" s="447"/>
      <c r="BM93" s="448"/>
      <c r="BN93" s="448"/>
    </row>
    <row r="94" spans="1:66" ht="15" hidden="1" customHeight="1">
      <c r="A94" s="493"/>
      <c r="B94" s="447"/>
      <c r="C94" s="447"/>
      <c r="D94" s="447"/>
      <c r="E94" s="447"/>
      <c r="F94" s="447"/>
      <c r="G94" s="447"/>
      <c r="H94" s="447"/>
      <c r="I94" s="447"/>
      <c r="J94" s="447"/>
      <c r="K94" s="447"/>
      <c r="L94" s="447"/>
      <c r="M94" s="447"/>
      <c r="N94" s="447"/>
      <c r="O94" s="447"/>
      <c r="P94" s="447"/>
      <c r="Q94" s="447"/>
      <c r="R94" s="447"/>
      <c r="S94" s="447"/>
      <c r="T94" s="447"/>
      <c r="U94" s="447"/>
      <c r="V94" s="447"/>
      <c r="W94" s="447"/>
      <c r="X94" s="447"/>
      <c r="Y94" s="447"/>
      <c r="Z94" s="447"/>
      <c r="AA94" s="447"/>
      <c r="AB94" s="447"/>
      <c r="AC94" s="447"/>
      <c r="AD94" s="447"/>
      <c r="AE94" s="447"/>
      <c r="AF94" s="448"/>
      <c r="AG94" s="448"/>
      <c r="AH94" s="448"/>
      <c r="AI94" s="447"/>
      <c r="AJ94" s="447"/>
      <c r="AK94" s="447"/>
      <c r="AL94" s="447"/>
      <c r="AM94" s="447"/>
      <c r="AN94" s="447"/>
      <c r="AO94" s="447"/>
      <c r="AP94" s="447"/>
      <c r="AQ94" s="447"/>
      <c r="AR94" s="447"/>
      <c r="AS94" s="447"/>
      <c r="AT94" s="447"/>
      <c r="AU94" s="447"/>
      <c r="AV94" s="447"/>
      <c r="AW94" s="447"/>
      <c r="AX94" s="447"/>
      <c r="AY94" s="447"/>
      <c r="AZ94" s="447"/>
      <c r="BA94" s="447"/>
      <c r="BB94" s="447"/>
      <c r="BC94" s="447"/>
      <c r="BD94" s="447"/>
      <c r="BE94" s="447"/>
      <c r="BF94" s="447"/>
      <c r="BG94" s="447"/>
      <c r="BH94" s="447"/>
      <c r="BI94" s="447"/>
      <c r="BJ94" s="447"/>
      <c r="BK94" s="447"/>
      <c r="BL94" s="447"/>
      <c r="BM94" s="448"/>
      <c r="BN94" s="448"/>
    </row>
    <row r="95" spans="1:66" ht="15" hidden="1" customHeight="1">
      <c r="A95" s="492"/>
      <c r="B95" s="447"/>
      <c r="C95" s="447"/>
      <c r="D95" s="447"/>
      <c r="E95" s="447"/>
      <c r="F95" s="447"/>
      <c r="G95" s="447"/>
      <c r="H95" s="447"/>
      <c r="I95" s="447"/>
      <c r="J95" s="447"/>
      <c r="K95" s="447"/>
      <c r="L95" s="447"/>
      <c r="M95" s="447"/>
      <c r="N95" s="447"/>
      <c r="O95" s="447"/>
      <c r="P95" s="447"/>
      <c r="Q95" s="447"/>
      <c r="R95" s="447"/>
      <c r="S95" s="447"/>
      <c r="T95" s="447"/>
      <c r="U95" s="447"/>
      <c r="V95" s="447"/>
      <c r="W95" s="447"/>
      <c r="X95" s="447"/>
      <c r="Y95" s="447"/>
      <c r="Z95" s="447"/>
      <c r="AA95" s="447"/>
      <c r="AB95" s="447"/>
      <c r="AC95" s="447"/>
      <c r="AD95" s="447"/>
      <c r="AE95" s="447"/>
      <c r="AF95" s="448"/>
      <c r="AG95" s="448"/>
      <c r="AH95" s="448"/>
      <c r="AI95" s="447"/>
      <c r="AJ95" s="447"/>
      <c r="AK95" s="447"/>
      <c r="AL95" s="447"/>
      <c r="AM95" s="447"/>
      <c r="AN95" s="447"/>
      <c r="AO95" s="447"/>
      <c r="AP95" s="447"/>
      <c r="AQ95" s="447"/>
      <c r="AR95" s="447"/>
      <c r="AS95" s="447"/>
      <c r="AT95" s="447"/>
      <c r="AU95" s="447"/>
      <c r="AV95" s="447"/>
      <c r="AW95" s="447"/>
      <c r="AX95" s="447"/>
      <c r="AY95" s="447"/>
      <c r="AZ95" s="447"/>
      <c r="BA95" s="447"/>
      <c r="BB95" s="447"/>
      <c r="BC95" s="447"/>
      <c r="BD95" s="447"/>
      <c r="BE95" s="447"/>
      <c r="BF95" s="447"/>
      <c r="BG95" s="447"/>
      <c r="BH95" s="447"/>
      <c r="BI95" s="447"/>
      <c r="BJ95" s="447"/>
      <c r="BK95" s="447"/>
      <c r="BL95" s="447"/>
      <c r="BM95" s="448"/>
      <c r="BN95" s="448"/>
    </row>
    <row r="96" spans="1:66" ht="15" hidden="1" customHeight="1">
      <c r="A96" s="492"/>
      <c r="B96" s="447"/>
      <c r="C96" s="447"/>
      <c r="D96" s="447"/>
      <c r="E96" s="447"/>
      <c r="F96" s="447"/>
      <c r="G96" s="447"/>
      <c r="H96" s="447"/>
      <c r="I96" s="447"/>
      <c r="J96" s="447"/>
      <c r="K96" s="447"/>
      <c r="L96" s="447"/>
      <c r="M96" s="447"/>
      <c r="N96" s="447"/>
      <c r="O96" s="447"/>
      <c r="P96" s="447"/>
      <c r="Q96" s="447"/>
      <c r="R96" s="447"/>
      <c r="S96" s="447"/>
      <c r="T96" s="447"/>
      <c r="U96" s="447"/>
      <c r="V96" s="447"/>
      <c r="W96" s="447"/>
      <c r="X96" s="447"/>
      <c r="Y96" s="447"/>
      <c r="Z96" s="447"/>
      <c r="AA96" s="447"/>
      <c r="AB96" s="447"/>
      <c r="AC96" s="447"/>
      <c r="AD96" s="447"/>
      <c r="AE96" s="447"/>
      <c r="AF96" s="448"/>
      <c r="AG96" s="448"/>
      <c r="AH96" s="448"/>
      <c r="AI96" s="447"/>
      <c r="AJ96" s="447"/>
      <c r="AK96" s="447"/>
      <c r="AL96" s="447"/>
      <c r="AM96" s="447"/>
      <c r="AN96" s="447"/>
      <c r="AO96" s="447"/>
      <c r="AP96" s="447"/>
      <c r="AQ96" s="447"/>
      <c r="AR96" s="447"/>
      <c r="AS96" s="447"/>
      <c r="AT96" s="447"/>
      <c r="AU96" s="447"/>
      <c r="AV96" s="447"/>
      <c r="AW96" s="447"/>
      <c r="AX96" s="447"/>
      <c r="AY96" s="447"/>
      <c r="AZ96" s="447"/>
      <c r="BA96" s="447"/>
      <c r="BB96" s="447"/>
      <c r="BC96" s="447"/>
      <c r="BD96" s="447"/>
      <c r="BE96" s="447"/>
      <c r="BF96" s="447"/>
      <c r="BG96" s="447"/>
      <c r="BH96" s="447"/>
      <c r="BI96" s="447"/>
      <c r="BJ96" s="447"/>
      <c r="BK96" s="447"/>
      <c r="BL96" s="447"/>
      <c r="BM96" s="448"/>
      <c r="BN96" s="448"/>
    </row>
    <row r="97" spans="1:66" ht="15" hidden="1" customHeight="1">
      <c r="A97" s="492"/>
      <c r="B97" s="447"/>
      <c r="C97" s="447"/>
      <c r="D97" s="447"/>
      <c r="E97" s="447"/>
      <c r="F97" s="447"/>
      <c r="G97" s="447"/>
      <c r="H97" s="447"/>
      <c r="I97" s="447"/>
      <c r="J97" s="447"/>
      <c r="K97" s="447"/>
      <c r="L97" s="447"/>
      <c r="M97" s="447"/>
      <c r="N97" s="447"/>
      <c r="O97" s="447"/>
      <c r="P97" s="447"/>
      <c r="Q97" s="447"/>
      <c r="R97" s="447"/>
      <c r="S97" s="447"/>
      <c r="T97" s="447"/>
      <c r="U97" s="447"/>
      <c r="V97" s="447"/>
      <c r="W97" s="447"/>
      <c r="X97" s="447"/>
      <c r="Y97" s="447"/>
      <c r="Z97" s="447"/>
      <c r="AA97" s="447"/>
      <c r="AB97" s="447"/>
      <c r="AC97" s="447"/>
      <c r="AD97" s="447"/>
      <c r="AE97" s="447"/>
      <c r="AF97" s="448"/>
      <c r="AG97" s="448"/>
      <c r="AH97" s="454"/>
      <c r="AI97" s="447"/>
      <c r="AJ97" s="447"/>
      <c r="AK97" s="447"/>
      <c r="AL97" s="447"/>
      <c r="AM97" s="447"/>
      <c r="AN97" s="447"/>
      <c r="AO97" s="447"/>
      <c r="AP97" s="447"/>
      <c r="AQ97" s="447"/>
      <c r="AR97" s="447"/>
      <c r="AS97" s="447"/>
      <c r="AT97" s="447"/>
      <c r="AU97" s="447"/>
      <c r="AV97" s="447"/>
      <c r="AW97" s="447"/>
      <c r="AX97" s="447"/>
      <c r="AY97" s="447"/>
      <c r="AZ97" s="447"/>
      <c r="BA97" s="447"/>
      <c r="BB97" s="447"/>
      <c r="BC97" s="447"/>
      <c r="BD97" s="447"/>
      <c r="BE97" s="447"/>
      <c r="BF97" s="447"/>
      <c r="BG97" s="447"/>
      <c r="BH97" s="447"/>
      <c r="BI97" s="447"/>
      <c r="BJ97" s="447"/>
      <c r="BK97" s="447"/>
      <c r="BL97" s="447"/>
      <c r="BM97" s="448"/>
      <c r="BN97" s="448"/>
    </row>
    <row r="98" spans="1:66" ht="15" hidden="1" customHeight="1">
      <c r="A98" s="492"/>
      <c r="B98" s="447"/>
      <c r="C98" s="447"/>
      <c r="D98" s="447"/>
      <c r="E98" s="447"/>
      <c r="F98" s="447"/>
      <c r="G98" s="447"/>
      <c r="H98" s="447"/>
      <c r="I98" s="447"/>
      <c r="J98" s="447"/>
      <c r="K98" s="447"/>
      <c r="L98" s="447"/>
      <c r="M98" s="447"/>
      <c r="N98" s="447"/>
      <c r="O98" s="447"/>
      <c r="P98" s="447"/>
      <c r="Q98" s="447"/>
      <c r="R98" s="447"/>
      <c r="S98" s="447"/>
      <c r="T98" s="447"/>
      <c r="U98" s="447"/>
      <c r="V98" s="447"/>
      <c r="W98" s="447"/>
      <c r="X98" s="447"/>
      <c r="Y98" s="447"/>
      <c r="Z98" s="447"/>
      <c r="AA98" s="447"/>
      <c r="AB98" s="447"/>
      <c r="AC98" s="447"/>
      <c r="AD98" s="447"/>
      <c r="AE98" s="447"/>
      <c r="AF98" s="448"/>
      <c r="AG98" s="448"/>
      <c r="AH98" s="454"/>
      <c r="AI98" s="447"/>
      <c r="AJ98" s="447"/>
      <c r="AK98" s="447"/>
      <c r="AL98" s="447"/>
      <c r="AM98" s="447"/>
      <c r="AN98" s="447"/>
      <c r="AO98" s="447"/>
      <c r="AP98" s="447"/>
      <c r="AQ98" s="447"/>
      <c r="AR98" s="447"/>
      <c r="AS98" s="447"/>
      <c r="AT98" s="447"/>
      <c r="AU98" s="447"/>
      <c r="AV98" s="447"/>
      <c r="AW98" s="447"/>
      <c r="AX98" s="447"/>
      <c r="AY98" s="447"/>
      <c r="AZ98" s="447"/>
      <c r="BA98" s="447"/>
      <c r="BB98" s="447"/>
      <c r="BC98" s="447"/>
      <c r="BD98" s="447"/>
      <c r="BE98" s="447"/>
      <c r="BF98" s="447"/>
      <c r="BG98" s="447"/>
      <c r="BH98" s="447"/>
      <c r="BI98" s="447"/>
      <c r="BJ98" s="447"/>
      <c r="BK98" s="447"/>
      <c r="BL98" s="447"/>
      <c r="BM98" s="448"/>
      <c r="BN98" s="448"/>
    </row>
    <row r="99" spans="1:66" ht="15" hidden="1" customHeight="1">
      <c r="A99" s="492"/>
      <c r="B99" s="447"/>
      <c r="C99" s="447"/>
      <c r="D99" s="447"/>
      <c r="E99" s="447"/>
      <c r="F99" s="447"/>
      <c r="G99" s="447"/>
      <c r="H99" s="447"/>
      <c r="I99" s="447"/>
      <c r="J99" s="447"/>
      <c r="K99" s="447"/>
      <c r="L99" s="447"/>
      <c r="M99" s="447"/>
      <c r="N99" s="447"/>
      <c r="O99" s="447"/>
      <c r="P99" s="447"/>
      <c r="Q99" s="447"/>
      <c r="R99" s="447"/>
      <c r="S99" s="447"/>
      <c r="T99" s="447"/>
      <c r="U99" s="447"/>
      <c r="V99" s="447"/>
      <c r="W99" s="447"/>
      <c r="X99" s="447"/>
      <c r="Y99" s="447"/>
      <c r="Z99" s="447"/>
      <c r="AA99" s="447"/>
      <c r="AB99" s="447"/>
      <c r="AC99" s="447"/>
      <c r="AD99" s="447"/>
      <c r="AE99" s="447"/>
      <c r="AF99" s="448"/>
      <c r="AG99" s="448"/>
      <c r="AH99" s="448"/>
      <c r="AI99" s="447"/>
      <c r="AJ99" s="447"/>
      <c r="AK99" s="447"/>
      <c r="AL99" s="447"/>
      <c r="AM99" s="447"/>
      <c r="AN99" s="447"/>
      <c r="AO99" s="447"/>
      <c r="AP99" s="447"/>
      <c r="AQ99" s="447"/>
      <c r="AR99" s="447"/>
      <c r="AS99" s="447"/>
      <c r="AT99" s="447"/>
      <c r="AU99" s="447"/>
      <c r="AV99" s="447"/>
      <c r="AW99" s="447"/>
      <c r="AX99" s="447"/>
      <c r="AY99" s="447"/>
      <c r="AZ99" s="447"/>
      <c r="BA99" s="447"/>
      <c r="BB99" s="447"/>
      <c r="BC99" s="447"/>
      <c r="BD99" s="447"/>
      <c r="BE99" s="447"/>
      <c r="BF99" s="447"/>
      <c r="BG99" s="447"/>
      <c r="BH99" s="447"/>
      <c r="BI99" s="447"/>
      <c r="BJ99" s="447"/>
      <c r="BK99" s="447"/>
      <c r="BL99" s="447"/>
      <c r="BM99" s="448"/>
      <c r="BN99" s="448"/>
    </row>
    <row r="100" spans="1:66" ht="15" hidden="1" customHeight="1">
      <c r="A100" s="492"/>
      <c r="B100" s="447"/>
      <c r="C100" s="447"/>
      <c r="D100" s="447"/>
      <c r="E100" s="447"/>
      <c r="F100" s="447"/>
      <c r="G100" s="447"/>
      <c r="H100" s="447"/>
      <c r="I100" s="447"/>
      <c r="J100" s="447"/>
      <c r="K100" s="447"/>
      <c r="L100" s="447"/>
      <c r="M100" s="447"/>
      <c r="N100" s="447"/>
      <c r="O100" s="447"/>
      <c r="P100" s="447"/>
      <c r="Q100" s="447"/>
      <c r="R100" s="447"/>
      <c r="S100" s="447"/>
      <c r="T100" s="447"/>
      <c r="U100" s="447"/>
      <c r="V100" s="447"/>
      <c r="W100" s="447"/>
      <c r="X100" s="447"/>
      <c r="Y100" s="447"/>
      <c r="Z100" s="447"/>
      <c r="AA100" s="447"/>
      <c r="AB100" s="447"/>
      <c r="AC100" s="447"/>
      <c r="AD100" s="447"/>
      <c r="AE100" s="447"/>
      <c r="AF100" s="448"/>
      <c r="AG100" s="448"/>
      <c r="AH100" s="448"/>
      <c r="AI100" s="447"/>
      <c r="AJ100" s="447"/>
      <c r="AK100" s="447"/>
      <c r="AL100" s="447"/>
      <c r="AM100" s="447"/>
      <c r="AN100" s="447"/>
      <c r="AO100" s="447"/>
      <c r="AP100" s="447"/>
      <c r="AQ100" s="447"/>
      <c r="AR100" s="447"/>
      <c r="AS100" s="447"/>
      <c r="AT100" s="447"/>
      <c r="AU100" s="447"/>
      <c r="AV100" s="447"/>
      <c r="AW100" s="447"/>
      <c r="AX100" s="447"/>
      <c r="AY100" s="447"/>
      <c r="AZ100" s="447"/>
      <c r="BA100" s="447"/>
      <c r="BB100" s="447"/>
      <c r="BC100" s="447"/>
      <c r="BD100" s="447"/>
      <c r="BE100" s="447"/>
      <c r="BF100" s="447"/>
      <c r="BG100" s="447"/>
      <c r="BH100" s="447"/>
      <c r="BI100" s="447"/>
      <c r="BJ100" s="447"/>
      <c r="BK100" s="447"/>
      <c r="BL100" s="447"/>
      <c r="BM100" s="448"/>
      <c r="BN100" s="448"/>
    </row>
    <row r="101" spans="1:66" ht="15" hidden="1" customHeight="1">
      <c r="A101" s="493"/>
      <c r="B101" s="447"/>
      <c r="C101" s="447"/>
      <c r="D101" s="447"/>
      <c r="E101" s="447"/>
      <c r="F101" s="447"/>
      <c r="G101" s="447"/>
      <c r="H101" s="447"/>
      <c r="I101" s="447"/>
      <c r="J101" s="447"/>
      <c r="K101" s="447"/>
      <c r="L101" s="447"/>
      <c r="M101" s="447"/>
      <c r="N101" s="447"/>
      <c r="O101" s="447"/>
      <c r="P101" s="447"/>
      <c r="Q101" s="447"/>
      <c r="R101" s="447"/>
      <c r="S101" s="447"/>
      <c r="T101" s="447"/>
      <c r="U101" s="447"/>
      <c r="V101" s="447"/>
      <c r="W101" s="447"/>
      <c r="X101" s="447"/>
      <c r="Y101" s="447"/>
      <c r="Z101" s="447"/>
      <c r="AA101" s="447"/>
      <c r="AB101" s="447"/>
      <c r="AC101" s="447"/>
      <c r="AD101" s="447"/>
      <c r="AE101" s="447"/>
      <c r="AF101" s="448"/>
      <c r="AG101" s="448"/>
      <c r="AH101" s="448"/>
      <c r="AI101" s="447"/>
      <c r="AJ101" s="447"/>
      <c r="AK101" s="447"/>
      <c r="AL101" s="447"/>
      <c r="AM101" s="447"/>
      <c r="AN101" s="447"/>
      <c r="AO101" s="447"/>
      <c r="AP101" s="447"/>
      <c r="AQ101" s="447"/>
      <c r="AR101" s="447"/>
      <c r="AS101" s="447"/>
      <c r="AT101" s="447"/>
      <c r="AU101" s="447"/>
      <c r="AV101" s="447"/>
      <c r="AW101" s="447"/>
      <c r="AX101" s="447"/>
      <c r="AY101" s="447"/>
      <c r="AZ101" s="447"/>
      <c r="BA101" s="447"/>
      <c r="BB101" s="447"/>
      <c r="BC101" s="447"/>
      <c r="BD101" s="447"/>
      <c r="BE101" s="447"/>
      <c r="BF101" s="447"/>
      <c r="BG101" s="447"/>
      <c r="BH101" s="447"/>
      <c r="BI101" s="447"/>
      <c r="BJ101" s="447"/>
      <c r="BK101" s="447"/>
      <c r="BL101" s="447"/>
      <c r="BM101" s="448"/>
      <c r="BN101" s="448"/>
    </row>
    <row r="102" spans="1:66" ht="15" hidden="1" customHeight="1">
      <c r="A102" s="492"/>
      <c r="B102" s="447"/>
      <c r="C102" s="447"/>
      <c r="D102" s="447"/>
      <c r="E102" s="447"/>
      <c r="F102" s="447"/>
      <c r="G102" s="447"/>
      <c r="H102" s="447"/>
      <c r="I102" s="447"/>
      <c r="J102" s="447"/>
      <c r="K102" s="447"/>
      <c r="L102" s="447"/>
      <c r="M102" s="447"/>
      <c r="N102" s="447"/>
      <c r="O102" s="447"/>
      <c r="P102" s="447"/>
      <c r="Q102" s="447"/>
      <c r="R102" s="447"/>
      <c r="S102" s="447"/>
      <c r="T102" s="447"/>
      <c r="U102" s="447"/>
      <c r="V102" s="447"/>
      <c r="W102" s="447"/>
      <c r="X102" s="447"/>
      <c r="Y102" s="447"/>
      <c r="Z102" s="447"/>
      <c r="AA102" s="447"/>
      <c r="AB102" s="447"/>
      <c r="AC102" s="447"/>
      <c r="AD102" s="447"/>
      <c r="AE102" s="447"/>
      <c r="AF102" s="448"/>
      <c r="AG102" s="448"/>
      <c r="AH102" s="448"/>
      <c r="AI102" s="447"/>
      <c r="AJ102" s="447"/>
      <c r="AK102" s="447"/>
      <c r="AL102" s="447"/>
      <c r="AM102" s="447"/>
      <c r="AN102" s="447"/>
      <c r="AO102" s="447"/>
      <c r="AP102" s="447"/>
      <c r="AQ102" s="447"/>
      <c r="AR102" s="447"/>
      <c r="AS102" s="447"/>
      <c r="AT102" s="447"/>
      <c r="AU102" s="447"/>
      <c r="AV102" s="447"/>
      <c r="AW102" s="447"/>
      <c r="AX102" s="447"/>
      <c r="AY102" s="447"/>
      <c r="AZ102" s="447"/>
      <c r="BA102" s="447"/>
      <c r="BB102" s="447"/>
      <c r="BC102" s="447"/>
      <c r="BD102" s="447"/>
      <c r="BE102" s="447"/>
      <c r="BF102" s="447"/>
      <c r="BG102" s="447"/>
      <c r="BH102" s="447"/>
      <c r="BI102" s="447"/>
      <c r="BJ102" s="447"/>
      <c r="BK102" s="447"/>
      <c r="BL102" s="447"/>
      <c r="BM102" s="448"/>
      <c r="BN102" s="448"/>
    </row>
    <row r="103" spans="1:66" ht="15" hidden="1" customHeight="1">
      <c r="A103" s="492"/>
      <c r="B103" s="447"/>
      <c r="C103" s="447"/>
      <c r="D103" s="447"/>
      <c r="E103" s="447"/>
      <c r="F103" s="447"/>
      <c r="G103" s="447"/>
      <c r="H103" s="447"/>
      <c r="I103" s="447"/>
      <c r="J103" s="447"/>
      <c r="K103" s="447"/>
      <c r="L103" s="447"/>
      <c r="M103" s="447"/>
      <c r="N103" s="447"/>
      <c r="O103" s="447"/>
      <c r="P103" s="447"/>
      <c r="Q103" s="447"/>
      <c r="R103" s="447"/>
      <c r="S103" s="447"/>
      <c r="T103" s="447"/>
      <c r="U103" s="447"/>
      <c r="V103" s="447"/>
      <c r="W103" s="447"/>
      <c r="X103" s="447"/>
      <c r="Y103" s="447"/>
      <c r="Z103" s="447"/>
      <c r="AA103" s="447"/>
      <c r="AB103" s="447"/>
      <c r="AC103" s="447"/>
      <c r="AD103" s="447"/>
      <c r="AE103" s="447"/>
      <c r="AF103" s="448"/>
      <c r="AG103" s="448"/>
      <c r="AH103" s="448"/>
      <c r="AI103" s="447"/>
      <c r="AJ103" s="447"/>
      <c r="AK103" s="447"/>
      <c r="AL103" s="447"/>
      <c r="AM103" s="447"/>
      <c r="AN103" s="447"/>
      <c r="AO103" s="447"/>
      <c r="AP103" s="447"/>
      <c r="AQ103" s="447"/>
      <c r="AR103" s="447"/>
      <c r="AS103" s="447"/>
      <c r="AT103" s="447"/>
      <c r="AU103" s="447"/>
      <c r="AV103" s="447"/>
      <c r="AW103" s="447"/>
      <c r="AX103" s="447"/>
      <c r="AY103" s="447"/>
      <c r="AZ103" s="447"/>
      <c r="BA103" s="447"/>
      <c r="BB103" s="447"/>
      <c r="BC103" s="447"/>
      <c r="BD103" s="447"/>
      <c r="BE103" s="447"/>
      <c r="BF103" s="447"/>
      <c r="BG103" s="447"/>
      <c r="BH103" s="447"/>
      <c r="BI103" s="447"/>
      <c r="BJ103" s="447"/>
      <c r="BK103" s="447"/>
      <c r="BL103" s="447"/>
      <c r="BM103" s="448"/>
      <c r="BN103" s="448"/>
    </row>
    <row r="104" spans="1:66" ht="15" hidden="1" customHeight="1">
      <c r="A104" s="492"/>
      <c r="B104" s="447"/>
      <c r="C104" s="447"/>
      <c r="D104" s="447"/>
      <c r="E104" s="447"/>
      <c r="F104" s="447"/>
      <c r="G104" s="447"/>
      <c r="H104" s="447"/>
      <c r="I104" s="447"/>
      <c r="J104" s="447"/>
      <c r="K104" s="447"/>
      <c r="L104" s="447"/>
      <c r="M104" s="447"/>
      <c r="N104" s="447"/>
      <c r="O104" s="447"/>
      <c r="P104" s="447"/>
      <c r="Q104" s="447"/>
      <c r="R104" s="447"/>
      <c r="S104" s="447"/>
      <c r="T104" s="447"/>
      <c r="U104" s="447"/>
      <c r="V104" s="447"/>
      <c r="W104" s="447"/>
      <c r="X104" s="447"/>
      <c r="Y104" s="447"/>
      <c r="Z104" s="447"/>
      <c r="AA104" s="447"/>
      <c r="AB104" s="447"/>
      <c r="AC104" s="447"/>
      <c r="AD104" s="447"/>
      <c r="AE104" s="447"/>
      <c r="AF104" s="448"/>
      <c r="AG104" s="448"/>
      <c r="AH104" s="448"/>
      <c r="AI104" s="447"/>
      <c r="AJ104" s="447"/>
      <c r="AK104" s="447"/>
      <c r="AL104" s="447"/>
      <c r="AM104" s="447"/>
      <c r="AN104" s="447"/>
      <c r="AO104" s="447"/>
      <c r="AP104" s="447"/>
      <c r="AQ104" s="447"/>
      <c r="AR104" s="447"/>
      <c r="AS104" s="447"/>
      <c r="AT104" s="447"/>
      <c r="AU104" s="447"/>
      <c r="AV104" s="447"/>
      <c r="AW104" s="447"/>
      <c r="AX104" s="447"/>
      <c r="AY104" s="447"/>
      <c r="AZ104" s="447"/>
      <c r="BA104" s="447"/>
      <c r="BB104" s="447"/>
      <c r="BC104" s="447"/>
      <c r="BD104" s="447"/>
      <c r="BE104" s="447"/>
      <c r="BF104" s="447"/>
      <c r="BG104" s="447"/>
      <c r="BH104" s="447"/>
      <c r="BI104" s="447"/>
      <c r="BJ104" s="447"/>
      <c r="BK104" s="447"/>
      <c r="BL104" s="447"/>
      <c r="BM104" s="448"/>
      <c r="BN104" s="448"/>
    </row>
    <row r="105" spans="1:66" ht="15" hidden="1" customHeight="1">
      <c r="A105" s="492"/>
      <c r="B105" s="447"/>
      <c r="C105" s="447"/>
      <c r="D105" s="447"/>
      <c r="E105" s="447"/>
      <c r="F105" s="447"/>
      <c r="G105" s="447"/>
      <c r="H105" s="447"/>
      <c r="I105" s="447"/>
      <c r="J105" s="447"/>
      <c r="K105" s="447"/>
      <c r="L105" s="447"/>
      <c r="M105" s="447"/>
      <c r="N105" s="447"/>
      <c r="O105" s="447"/>
      <c r="P105" s="447"/>
      <c r="Q105" s="447"/>
      <c r="R105" s="447"/>
      <c r="S105" s="447"/>
      <c r="T105" s="447"/>
      <c r="U105" s="447"/>
      <c r="V105" s="447"/>
      <c r="W105" s="447"/>
      <c r="X105" s="447"/>
      <c r="Y105" s="447"/>
      <c r="Z105" s="447"/>
      <c r="AA105" s="447"/>
      <c r="AB105" s="447"/>
      <c r="AC105" s="447"/>
      <c r="AD105" s="447"/>
      <c r="AE105" s="447"/>
      <c r="AF105" s="448"/>
      <c r="AG105" s="448"/>
      <c r="AH105" s="448"/>
      <c r="AI105" s="447"/>
      <c r="AJ105" s="447"/>
      <c r="AK105" s="447"/>
      <c r="AL105" s="447"/>
      <c r="AM105" s="447"/>
      <c r="AN105" s="447"/>
      <c r="AO105" s="447"/>
      <c r="AP105" s="447"/>
      <c r="AQ105" s="447"/>
      <c r="AR105" s="447"/>
      <c r="AS105" s="447"/>
      <c r="AT105" s="447"/>
      <c r="AU105" s="447"/>
      <c r="AV105" s="447"/>
      <c r="AW105" s="447"/>
      <c r="AX105" s="447"/>
      <c r="AY105" s="447"/>
      <c r="AZ105" s="447"/>
      <c r="BA105" s="447"/>
      <c r="BB105" s="447"/>
      <c r="BC105" s="447"/>
      <c r="BD105" s="447"/>
      <c r="BE105" s="447"/>
      <c r="BF105" s="447"/>
      <c r="BG105" s="447"/>
      <c r="BH105" s="447"/>
      <c r="BI105" s="447"/>
      <c r="BJ105" s="447"/>
      <c r="BK105" s="447"/>
      <c r="BL105" s="447"/>
      <c r="BM105" s="448"/>
      <c r="BN105" s="448"/>
    </row>
    <row r="106" spans="1:66" ht="15" hidden="1" customHeight="1">
      <c r="A106" s="492"/>
      <c r="B106" s="447"/>
      <c r="C106" s="447"/>
      <c r="D106" s="447"/>
      <c r="E106" s="447"/>
      <c r="F106" s="447"/>
      <c r="G106" s="447"/>
      <c r="H106" s="447"/>
      <c r="I106" s="447"/>
      <c r="J106" s="447"/>
      <c r="K106" s="447"/>
      <c r="L106" s="447"/>
      <c r="M106" s="447"/>
      <c r="N106" s="447"/>
      <c r="O106" s="447"/>
      <c r="P106" s="447"/>
      <c r="Q106" s="447"/>
      <c r="R106" s="447"/>
      <c r="S106" s="447"/>
      <c r="T106" s="447"/>
      <c r="U106" s="447"/>
      <c r="V106" s="447"/>
      <c r="W106" s="447"/>
      <c r="X106" s="447"/>
      <c r="Y106" s="447"/>
      <c r="Z106" s="447"/>
      <c r="AA106" s="447"/>
      <c r="AB106" s="447"/>
      <c r="AC106" s="447"/>
      <c r="AD106" s="447"/>
      <c r="AE106" s="447"/>
      <c r="AF106" s="448"/>
      <c r="AG106" s="448"/>
      <c r="AH106" s="448"/>
      <c r="AI106" s="447"/>
      <c r="AJ106" s="447"/>
      <c r="AK106" s="447"/>
      <c r="AL106" s="447"/>
      <c r="AM106" s="447"/>
      <c r="AN106" s="447"/>
      <c r="AO106" s="447"/>
      <c r="AP106" s="447"/>
      <c r="AQ106" s="447"/>
      <c r="AR106" s="447"/>
      <c r="AS106" s="447"/>
      <c r="AT106" s="447"/>
      <c r="AU106" s="447"/>
      <c r="AV106" s="447"/>
      <c r="AW106" s="447"/>
      <c r="AX106" s="447"/>
      <c r="AY106" s="447"/>
      <c r="AZ106" s="447"/>
      <c r="BA106" s="447"/>
      <c r="BB106" s="447"/>
      <c r="BC106" s="447"/>
      <c r="BD106" s="447"/>
      <c r="BE106" s="447"/>
      <c r="BF106" s="447"/>
      <c r="BG106" s="447"/>
      <c r="BH106" s="447"/>
      <c r="BI106" s="447"/>
      <c r="BJ106" s="447"/>
      <c r="BK106" s="447"/>
      <c r="BL106" s="447"/>
      <c r="BM106" s="448"/>
      <c r="BN106" s="448"/>
    </row>
    <row r="107" spans="1:66" ht="15" hidden="1" customHeight="1">
      <c r="A107" s="493"/>
      <c r="B107" s="447"/>
      <c r="C107" s="447"/>
      <c r="D107" s="447"/>
      <c r="E107" s="447"/>
      <c r="F107" s="447"/>
      <c r="G107" s="447"/>
      <c r="H107" s="447"/>
      <c r="I107" s="447"/>
      <c r="J107" s="447"/>
      <c r="K107" s="447"/>
      <c r="L107" s="447"/>
      <c r="M107" s="447"/>
      <c r="N107" s="447"/>
      <c r="O107" s="447"/>
      <c r="P107" s="447"/>
      <c r="Q107" s="447"/>
      <c r="R107" s="447"/>
      <c r="S107" s="447"/>
      <c r="T107" s="447"/>
      <c r="U107" s="447"/>
      <c r="V107" s="447"/>
      <c r="W107" s="447"/>
      <c r="X107" s="447"/>
      <c r="Y107" s="447"/>
      <c r="Z107" s="447"/>
      <c r="AA107" s="447"/>
      <c r="AB107" s="447"/>
      <c r="AC107" s="447"/>
      <c r="AD107" s="447"/>
      <c r="AE107" s="447"/>
      <c r="AF107" s="448"/>
      <c r="AG107" s="448"/>
      <c r="AH107" s="448"/>
      <c r="AI107" s="447"/>
      <c r="AJ107" s="447"/>
      <c r="AK107" s="447"/>
      <c r="AL107" s="447"/>
      <c r="AM107" s="447"/>
      <c r="AN107" s="447"/>
      <c r="AO107" s="447"/>
      <c r="AP107" s="447"/>
      <c r="AQ107" s="447"/>
      <c r="AR107" s="447"/>
      <c r="AS107" s="447"/>
      <c r="AT107" s="447"/>
      <c r="AU107" s="447"/>
      <c r="AV107" s="447"/>
      <c r="AW107" s="447"/>
      <c r="AX107" s="447"/>
      <c r="AY107" s="447"/>
      <c r="AZ107" s="447"/>
      <c r="BA107" s="447"/>
      <c r="BB107" s="447"/>
      <c r="BC107" s="447"/>
      <c r="BD107" s="447"/>
      <c r="BE107" s="447"/>
      <c r="BF107" s="447"/>
      <c r="BG107" s="447"/>
      <c r="BH107" s="447"/>
      <c r="BI107" s="447"/>
      <c r="BJ107" s="447"/>
      <c r="BK107" s="447"/>
      <c r="BL107" s="447"/>
      <c r="BM107" s="448"/>
      <c r="BN107" s="448"/>
    </row>
    <row r="108" spans="1:66" ht="15" hidden="1" customHeight="1">
      <c r="A108" s="492"/>
      <c r="B108" s="447"/>
      <c r="C108" s="447"/>
      <c r="D108" s="447"/>
      <c r="E108" s="447"/>
      <c r="F108" s="447"/>
      <c r="G108" s="447"/>
      <c r="H108" s="447"/>
      <c r="I108" s="447"/>
      <c r="J108" s="447"/>
      <c r="K108" s="447"/>
      <c r="L108" s="447"/>
      <c r="M108" s="447"/>
      <c r="N108" s="447"/>
      <c r="O108" s="447"/>
      <c r="P108" s="447"/>
      <c r="Q108" s="447"/>
      <c r="R108" s="447"/>
      <c r="S108" s="447"/>
      <c r="T108" s="447"/>
      <c r="U108" s="447"/>
      <c r="V108" s="447"/>
      <c r="W108" s="447"/>
      <c r="X108" s="447"/>
      <c r="Y108" s="447"/>
      <c r="Z108" s="447"/>
      <c r="AA108" s="447"/>
      <c r="AB108" s="447"/>
      <c r="AC108" s="447"/>
      <c r="AD108" s="447"/>
      <c r="AE108" s="447"/>
      <c r="AF108" s="448"/>
      <c r="AG108" s="448"/>
      <c r="AH108" s="448"/>
      <c r="AI108" s="447"/>
      <c r="AJ108" s="447"/>
      <c r="AK108" s="447"/>
      <c r="AL108" s="447"/>
      <c r="AM108" s="447"/>
      <c r="AN108" s="447"/>
      <c r="AO108" s="447"/>
      <c r="AP108" s="447"/>
      <c r="AQ108" s="447"/>
      <c r="AR108" s="447"/>
      <c r="AS108" s="447"/>
      <c r="AT108" s="447"/>
      <c r="AU108" s="447"/>
      <c r="AV108" s="447"/>
      <c r="AW108" s="447"/>
      <c r="AX108" s="447"/>
      <c r="AY108" s="447"/>
      <c r="AZ108" s="447"/>
      <c r="BA108" s="447"/>
      <c r="BB108" s="447"/>
      <c r="BC108" s="447"/>
      <c r="BD108" s="447"/>
      <c r="BE108" s="447"/>
      <c r="BF108" s="447"/>
      <c r="BG108" s="447"/>
      <c r="BH108" s="447"/>
      <c r="BI108" s="447"/>
      <c r="BJ108" s="447"/>
      <c r="BK108" s="447"/>
      <c r="BL108" s="447"/>
      <c r="BM108" s="448"/>
      <c r="BN108" s="448"/>
    </row>
    <row r="109" spans="1:66" ht="15" hidden="1" customHeight="1">
      <c r="A109" s="492"/>
      <c r="B109" s="447"/>
      <c r="C109" s="447"/>
      <c r="D109" s="447"/>
      <c r="E109" s="447"/>
      <c r="F109" s="447"/>
      <c r="G109" s="447"/>
      <c r="H109" s="447"/>
      <c r="I109" s="447"/>
      <c r="J109" s="447"/>
      <c r="K109" s="447"/>
      <c r="L109" s="447"/>
      <c r="M109" s="447"/>
      <c r="N109" s="447"/>
      <c r="O109" s="447"/>
      <c r="P109" s="447"/>
      <c r="Q109" s="447"/>
      <c r="R109" s="447"/>
      <c r="S109" s="447"/>
      <c r="T109" s="447"/>
      <c r="U109" s="447"/>
      <c r="V109" s="447"/>
      <c r="W109" s="447"/>
      <c r="X109" s="447"/>
      <c r="Y109" s="447"/>
      <c r="Z109" s="447"/>
      <c r="AA109" s="447"/>
      <c r="AB109" s="447"/>
      <c r="AC109" s="447"/>
      <c r="AD109" s="447"/>
      <c r="AE109" s="447"/>
      <c r="AF109" s="448"/>
      <c r="AG109" s="448"/>
      <c r="AH109" s="448"/>
      <c r="AI109" s="447"/>
      <c r="AJ109" s="447"/>
      <c r="AK109" s="447"/>
      <c r="AL109" s="447"/>
      <c r="AM109" s="447"/>
      <c r="AN109" s="447"/>
      <c r="AO109" s="447"/>
      <c r="AP109" s="447"/>
      <c r="AQ109" s="447"/>
      <c r="AR109" s="447"/>
      <c r="AS109" s="447"/>
      <c r="AT109" s="447"/>
      <c r="AU109" s="447"/>
      <c r="AV109" s="447"/>
      <c r="AW109" s="447"/>
      <c r="AX109" s="447"/>
      <c r="AY109" s="447"/>
      <c r="AZ109" s="447"/>
      <c r="BA109" s="447"/>
      <c r="BB109" s="447"/>
      <c r="BC109" s="447"/>
      <c r="BD109" s="447"/>
      <c r="BE109" s="447"/>
      <c r="BF109" s="447"/>
      <c r="BG109" s="447"/>
      <c r="BH109" s="447"/>
      <c r="BI109" s="447"/>
      <c r="BJ109" s="447"/>
      <c r="BK109" s="447"/>
      <c r="BL109" s="447"/>
      <c r="BM109" s="448"/>
      <c r="BN109" s="448"/>
    </row>
    <row r="110" spans="1:66" ht="15" hidden="1" customHeight="1">
      <c r="A110" s="492"/>
      <c r="B110" s="447"/>
      <c r="C110" s="447"/>
      <c r="D110" s="447"/>
      <c r="E110" s="447"/>
      <c r="F110" s="447"/>
      <c r="G110" s="447"/>
      <c r="H110" s="447"/>
      <c r="I110" s="447"/>
      <c r="J110" s="447"/>
      <c r="K110" s="447"/>
      <c r="L110" s="447"/>
      <c r="M110" s="447"/>
      <c r="N110" s="447"/>
      <c r="O110" s="447"/>
      <c r="P110" s="447"/>
      <c r="Q110" s="447"/>
      <c r="R110" s="447"/>
      <c r="S110" s="447"/>
      <c r="T110" s="447"/>
      <c r="U110" s="447"/>
      <c r="V110" s="447"/>
      <c r="W110" s="447"/>
      <c r="X110" s="447"/>
      <c r="Y110" s="447"/>
      <c r="Z110" s="447"/>
      <c r="AA110" s="447"/>
      <c r="AB110" s="447"/>
      <c r="AC110" s="447"/>
      <c r="AD110" s="447"/>
      <c r="AE110" s="447"/>
      <c r="AF110" s="448"/>
      <c r="AG110" s="448"/>
      <c r="AH110" s="448"/>
      <c r="AI110" s="447"/>
      <c r="AJ110" s="447"/>
      <c r="AK110" s="447"/>
      <c r="AL110" s="447"/>
      <c r="AM110" s="447"/>
      <c r="AN110" s="447"/>
      <c r="AO110" s="447"/>
      <c r="AP110" s="447"/>
      <c r="AQ110" s="447"/>
      <c r="AR110" s="447"/>
      <c r="AS110" s="447"/>
      <c r="AT110" s="447"/>
      <c r="AU110" s="447"/>
      <c r="AV110" s="447"/>
      <c r="AW110" s="447"/>
      <c r="AX110" s="447"/>
      <c r="AY110" s="447"/>
      <c r="AZ110" s="447"/>
      <c r="BA110" s="447"/>
      <c r="BB110" s="447"/>
      <c r="BC110" s="447"/>
      <c r="BD110" s="447"/>
      <c r="BE110" s="447"/>
      <c r="BF110" s="447"/>
      <c r="BG110" s="447"/>
      <c r="BH110" s="447"/>
      <c r="BI110" s="447"/>
      <c r="BJ110" s="447"/>
      <c r="BK110" s="447"/>
      <c r="BL110" s="447"/>
      <c r="BM110" s="448"/>
      <c r="BN110" s="448"/>
    </row>
    <row r="111" spans="1:66" ht="15" hidden="1" customHeight="1">
      <c r="A111" s="465"/>
      <c r="B111" s="447"/>
      <c r="C111" s="447"/>
      <c r="D111" s="447"/>
      <c r="E111" s="447"/>
      <c r="F111" s="447"/>
      <c r="G111" s="447"/>
      <c r="H111" s="447"/>
      <c r="I111" s="447"/>
      <c r="J111" s="447"/>
      <c r="K111" s="447"/>
      <c r="L111" s="447"/>
      <c r="M111" s="447"/>
      <c r="N111" s="447"/>
      <c r="O111" s="447"/>
      <c r="P111" s="447"/>
      <c r="Q111" s="447"/>
      <c r="R111" s="447"/>
      <c r="S111" s="447"/>
      <c r="T111" s="447"/>
      <c r="U111" s="447"/>
      <c r="V111" s="447"/>
      <c r="W111" s="447"/>
      <c r="X111" s="447"/>
      <c r="Y111" s="447"/>
      <c r="Z111" s="447"/>
      <c r="AA111" s="447"/>
      <c r="AB111" s="447"/>
      <c r="AC111" s="447"/>
      <c r="AD111" s="447"/>
      <c r="AE111" s="447"/>
      <c r="AF111" s="448"/>
      <c r="AG111" s="448"/>
      <c r="AH111" s="448"/>
      <c r="AI111" s="447"/>
      <c r="AJ111" s="447"/>
      <c r="AK111" s="447"/>
      <c r="AL111" s="447"/>
      <c r="AM111" s="447"/>
      <c r="AN111" s="447"/>
      <c r="AO111" s="447"/>
      <c r="AP111" s="447"/>
      <c r="AQ111" s="447"/>
      <c r="AR111" s="447"/>
      <c r="AS111" s="447"/>
      <c r="AT111" s="447"/>
      <c r="AU111" s="447"/>
      <c r="AV111" s="447"/>
      <c r="AW111" s="447"/>
      <c r="AX111" s="447"/>
      <c r="AY111" s="447"/>
      <c r="AZ111" s="447"/>
      <c r="BA111" s="447"/>
      <c r="BB111" s="447"/>
      <c r="BC111" s="447"/>
      <c r="BD111" s="447"/>
      <c r="BE111" s="447"/>
      <c r="BF111" s="447"/>
      <c r="BG111" s="447"/>
      <c r="BH111" s="447"/>
      <c r="BI111" s="447"/>
      <c r="BJ111" s="447"/>
      <c r="BK111" s="447"/>
      <c r="BL111" s="447"/>
      <c r="BM111" s="448"/>
      <c r="BN111" s="448"/>
    </row>
    <row r="112" spans="1:66" ht="15" hidden="1" customHeight="1">
      <c r="A112" s="465"/>
      <c r="B112" s="447"/>
      <c r="C112" s="447"/>
      <c r="D112" s="447"/>
      <c r="E112" s="447"/>
      <c r="F112" s="447"/>
      <c r="G112" s="447"/>
      <c r="H112" s="447"/>
      <c r="I112" s="447"/>
      <c r="J112" s="447"/>
      <c r="K112" s="447"/>
      <c r="L112" s="447"/>
      <c r="M112" s="447"/>
      <c r="N112" s="447"/>
      <c r="O112" s="447"/>
      <c r="P112" s="447"/>
      <c r="Q112" s="447"/>
      <c r="R112" s="447"/>
      <c r="S112" s="447"/>
      <c r="T112" s="447"/>
      <c r="U112" s="447"/>
      <c r="V112" s="447"/>
      <c r="W112" s="447"/>
      <c r="X112" s="447"/>
      <c r="Y112" s="447"/>
      <c r="Z112" s="447"/>
      <c r="AA112" s="447"/>
      <c r="AB112" s="447"/>
      <c r="AC112" s="447"/>
      <c r="AD112" s="447"/>
      <c r="AE112" s="447"/>
      <c r="AF112" s="448"/>
      <c r="AG112" s="448"/>
      <c r="AH112" s="448"/>
      <c r="AI112" s="447"/>
      <c r="AJ112" s="447"/>
      <c r="AK112" s="447"/>
      <c r="AL112" s="447"/>
      <c r="AM112" s="447"/>
      <c r="AN112" s="447"/>
      <c r="AO112" s="447"/>
      <c r="AP112" s="447"/>
      <c r="AQ112" s="447"/>
      <c r="AR112" s="447"/>
      <c r="AS112" s="447"/>
      <c r="AT112" s="447"/>
      <c r="AU112" s="447"/>
      <c r="AV112" s="447"/>
      <c r="AW112" s="447"/>
      <c r="AX112" s="447"/>
      <c r="AY112" s="447"/>
      <c r="AZ112" s="447"/>
      <c r="BA112" s="447"/>
      <c r="BB112" s="447"/>
      <c r="BC112" s="447"/>
      <c r="BD112" s="447"/>
      <c r="BE112" s="447"/>
      <c r="BF112" s="447"/>
      <c r="BG112" s="447"/>
      <c r="BH112" s="447"/>
      <c r="BI112" s="447"/>
      <c r="BJ112" s="447"/>
      <c r="BK112" s="447"/>
      <c r="BL112" s="447"/>
      <c r="BM112" s="448"/>
      <c r="BN112" s="448"/>
    </row>
    <row r="113" spans="1:66" ht="15" hidden="1" customHeight="1">
      <c r="A113" s="465"/>
      <c r="B113" s="447"/>
      <c r="C113" s="447"/>
      <c r="D113" s="447"/>
      <c r="E113" s="447"/>
      <c r="F113" s="447"/>
      <c r="G113" s="447"/>
      <c r="H113" s="447"/>
      <c r="I113" s="447"/>
      <c r="J113" s="447"/>
      <c r="K113" s="447"/>
      <c r="L113" s="447"/>
      <c r="M113" s="447"/>
      <c r="N113" s="447"/>
      <c r="O113" s="447"/>
      <c r="P113" s="447"/>
      <c r="Q113" s="447"/>
      <c r="R113" s="447"/>
      <c r="S113" s="447"/>
      <c r="T113" s="447"/>
      <c r="U113" s="447"/>
      <c r="V113" s="447"/>
      <c r="W113" s="447"/>
      <c r="X113" s="447"/>
      <c r="Y113" s="447"/>
      <c r="Z113" s="447"/>
      <c r="AA113" s="447"/>
      <c r="AB113" s="447"/>
      <c r="AC113" s="447"/>
      <c r="AD113" s="447"/>
      <c r="AE113" s="447"/>
      <c r="AF113" s="448"/>
      <c r="AG113" s="448"/>
      <c r="AH113" s="448"/>
      <c r="AI113" s="447"/>
      <c r="AJ113" s="447"/>
      <c r="AK113" s="447"/>
      <c r="AL113" s="447"/>
      <c r="AM113" s="447"/>
      <c r="AN113" s="447"/>
      <c r="AO113" s="447"/>
      <c r="AP113" s="447"/>
      <c r="AQ113" s="447"/>
      <c r="AR113" s="447"/>
      <c r="AS113" s="447"/>
      <c r="AT113" s="447"/>
      <c r="AU113" s="447"/>
      <c r="AV113" s="447"/>
      <c r="AW113" s="447"/>
      <c r="AX113" s="447"/>
      <c r="AY113" s="447"/>
      <c r="AZ113" s="447"/>
      <c r="BA113" s="447"/>
      <c r="BB113" s="447"/>
      <c r="BC113" s="447"/>
      <c r="BD113" s="447"/>
      <c r="BE113" s="447"/>
      <c r="BF113" s="447"/>
      <c r="BG113" s="447"/>
      <c r="BH113" s="447"/>
      <c r="BI113" s="447"/>
      <c r="BJ113" s="447"/>
      <c r="BK113" s="447"/>
      <c r="BL113" s="447"/>
      <c r="BM113" s="448"/>
      <c r="BN113" s="448"/>
    </row>
    <row r="114" spans="1:66" ht="15" hidden="1" customHeight="1">
      <c r="A114" s="465"/>
      <c r="B114" s="447"/>
      <c r="C114" s="447"/>
      <c r="D114" s="447"/>
      <c r="E114" s="447"/>
      <c r="F114" s="447"/>
      <c r="G114" s="447"/>
      <c r="H114" s="447"/>
      <c r="I114" s="447"/>
      <c r="J114" s="447"/>
      <c r="K114" s="447"/>
      <c r="L114" s="447"/>
      <c r="M114" s="447"/>
      <c r="N114" s="447"/>
      <c r="O114" s="447"/>
      <c r="P114" s="447"/>
      <c r="Q114" s="447"/>
      <c r="R114" s="447"/>
      <c r="S114" s="447"/>
      <c r="T114" s="447"/>
      <c r="U114" s="447"/>
      <c r="V114" s="447"/>
      <c r="W114" s="447"/>
      <c r="X114" s="447"/>
      <c r="Y114" s="447"/>
      <c r="Z114" s="447"/>
      <c r="AA114" s="447"/>
      <c r="AB114" s="447"/>
      <c r="AC114" s="447"/>
      <c r="AD114" s="447"/>
      <c r="AE114" s="447"/>
      <c r="AF114" s="448"/>
      <c r="AG114" s="448"/>
      <c r="AH114" s="448"/>
      <c r="AI114" s="447"/>
      <c r="AJ114" s="447"/>
      <c r="AK114" s="447"/>
      <c r="AL114" s="447"/>
      <c r="AM114" s="447"/>
      <c r="AN114" s="447"/>
      <c r="AO114" s="447"/>
      <c r="AP114" s="447"/>
      <c r="AQ114" s="447"/>
      <c r="AR114" s="447"/>
      <c r="AS114" s="447"/>
      <c r="AT114" s="447"/>
      <c r="AU114" s="447"/>
      <c r="AV114" s="447"/>
      <c r="AW114" s="447"/>
      <c r="AX114" s="447"/>
      <c r="AY114" s="447"/>
      <c r="AZ114" s="447"/>
      <c r="BA114" s="447"/>
      <c r="BB114" s="447"/>
      <c r="BC114" s="447"/>
      <c r="BD114" s="447"/>
      <c r="BE114" s="447"/>
      <c r="BF114" s="447"/>
      <c r="BG114" s="447"/>
      <c r="BH114" s="447"/>
      <c r="BI114" s="447"/>
      <c r="BJ114" s="447"/>
      <c r="BK114" s="447"/>
      <c r="BL114" s="447"/>
      <c r="BM114" s="448"/>
      <c r="BN114" s="448"/>
    </row>
    <row r="115" spans="1:66" ht="15" hidden="1" customHeight="1">
      <c r="A115" s="469"/>
      <c r="B115" s="447"/>
      <c r="C115" s="447"/>
      <c r="D115" s="447"/>
      <c r="E115" s="447"/>
      <c r="F115" s="447"/>
      <c r="G115" s="447"/>
      <c r="H115" s="447"/>
      <c r="I115" s="447"/>
      <c r="J115" s="447"/>
      <c r="K115" s="447"/>
      <c r="L115" s="447"/>
      <c r="M115" s="447"/>
      <c r="N115" s="447"/>
      <c r="O115" s="447"/>
      <c r="P115" s="447"/>
      <c r="Q115" s="447"/>
      <c r="R115" s="447"/>
      <c r="S115" s="447"/>
      <c r="T115" s="447"/>
      <c r="U115" s="447"/>
      <c r="V115" s="447"/>
      <c r="W115" s="447"/>
      <c r="X115" s="447"/>
      <c r="Y115" s="447"/>
      <c r="Z115" s="447"/>
      <c r="AA115" s="447"/>
      <c r="AB115" s="447"/>
      <c r="AC115" s="447"/>
      <c r="AD115" s="447"/>
      <c r="AE115" s="447"/>
      <c r="AF115" s="448"/>
      <c r="AG115" s="448"/>
      <c r="AH115" s="448"/>
      <c r="AI115" s="447"/>
      <c r="AJ115" s="447"/>
      <c r="AK115" s="447"/>
      <c r="AL115" s="447"/>
      <c r="AM115" s="447"/>
      <c r="AN115" s="447"/>
      <c r="AO115" s="447"/>
      <c r="AP115" s="447"/>
      <c r="AQ115" s="447"/>
      <c r="AR115" s="447"/>
      <c r="AS115" s="447"/>
      <c r="AT115" s="447"/>
      <c r="AU115" s="447"/>
      <c r="AV115" s="447"/>
      <c r="AW115" s="447"/>
      <c r="AX115" s="447"/>
      <c r="AY115" s="447"/>
      <c r="AZ115" s="447"/>
      <c r="BA115" s="447"/>
      <c r="BB115" s="447"/>
      <c r="BC115" s="447"/>
      <c r="BD115" s="447"/>
      <c r="BE115" s="447"/>
      <c r="BF115" s="447"/>
      <c r="BG115" s="447"/>
      <c r="BH115" s="447"/>
      <c r="BI115" s="447"/>
      <c r="BJ115" s="447"/>
      <c r="BK115" s="447"/>
      <c r="BL115" s="447"/>
      <c r="BM115" s="448"/>
      <c r="BN115" s="448"/>
    </row>
    <row r="116" spans="1:66" ht="15" hidden="1" customHeight="1">
      <c r="A116" s="465"/>
      <c r="B116" s="447"/>
      <c r="C116" s="447"/>
      <c r="D116" s="447"/>
      <c r="E116" s="447"/>
      <c r="F116" s="447"/>
      <c r="G116" s="447"/>
      <c r="H116" s="447"/>
      <c r="I116" s="447"/>
      <c r="J116" s="447"/>
      <c r="K116" s="447"/>
      <c r="L116" s="447"/>
      <c r="M116" s="447"/>
      <c r="N116" s="447"/>
      <c r="O116" s="447"/>
      <c r="P116" s="447"/>
      <c r="Q116" s="447"/>
      <c r="R116" s="447"/>
      <c r="S116" s="447"/>
      <c r="T116" s="447"/>
      <c r="U116" s="447"/>
      <c r="V116" s="447"/>
      <c r="W116" s="447"/>
      <c r="X116" s="447"/>
      <c r="Y116" s="447"/>
      <c r="Z116" s="447"/>
      <c r="AA116" s="447"/>
      <c r="AB116" s="447"/>
      <c r="AC116" s="447"/>
      <c r="AD116" s="447"/>
      <c r="AE116" s="447"/>
      <c r="AF116" s="448"/>
      <c r="AG116" s="448"/>
      <c r="AH116" s="448"/>
      <c r="AI116" s="447"/>
      <c r="AJ116" s="447"/>
      <c r="AK116" s="447"/>
      <c r="AL116" s="447"/>
      <c r="AM116" s="447"/>
      <c r="AN116" s="447"/>
      <c r="AO116" s="447"/>
      <c r="AP116" s="447"/>
      <c r="AQ116" s="447"/>
      <c r="AR116" s="447"/>
      <c r="AS116" s="447"/>
      <c r="AT116" s="447"/>
      <c r="AU116" s="447"/>
      <c r="AV116" s="447"/>
      <c r="AW116" s="447"/>
      <c r="AX116" s="447"/>
      <c r="AY116" s="447"/>
      <c r="AZ116" s="447"/>
      <c r="BA116" s="447"/>
      <c r="BB116" s="447"/>
      <c r="BC116" s="447"/>
      <c r="BD116" s="447"/>
      <c r="BE116" s="447"/>
      <c r="BF116" s="447"/>
      <c r="BG116" s="447"/>
      <c r="BH116" s="447"/>
      <c r="BI116" s="447"/>
      <c r="BJ116" s="447"/>
      <c r="BK116" s="447"/>
      <c r="BL116" s="447"/>
      <c r="BM116" s="448"/>
      <c r="BN116" s="448"/>
    </row>
    <row r="117" spans="1:66" ht="15" hidden="1" customHeight="1">
      <c r="A117" s="465"/>
      <c r="B117" s="447"/>
      <c r="C117" s="447"/>
      <c r="D117" s="447"/>
      <c r="E117" s="447"/>
      <c r="F117" s="447"/>
      <c r="G117" s="447"/>
      <c r="H117" s="447"/>
      <c r="I117" s="447"/>
      <c r="J117" s="447"/>
      <c r="K117" s="447"/>
      <c r="L117" s="447"/>
      <c r="M117" s="447"/>
      <c r="N117" s="447"/>
      <c r="O117" s="447"/>
      <c r="P117" s="447"/>
      <c r="Q117" s="447"/>
      <c r="R117" s="447"/>
      <c r="S117" s="447"/>
      <c r="T117" s="447"/>
      <c r="U117" s="447"/>
      <c r="V117" s="447"/>
      <c r="W117" s="447"/>
      <c r="X117" s="447"/>
      <c r="Y117" s="447"/>
      <c r="Z117" s="447"/>
      <c r="AA117" s="447"/>
      <c r="AB117" s="447"/>
      <c r="AC117" s="447"/>
      <c r="AD117" s="447"/>
      <c r="AE117" s="447"/>
      <c r="AF117" s="448"/>
      <c r="AG117" s="448"/>
      <c r="AH117" s="448"/>
      <c r="AI117" s="447"/>
      <c r="AJ117" s="447"/>
      <c r="AK117" s="447"/>
      <c r="AL117" s="447"/>
      <c r="AM117" s="447"/>
      <c r="AN117" s="447"/>
      <c r="AO117" s="447"/>
      <c r="AP117" s="447"/>
      <c r="AQ117" s="447"/>
      <c r="AR117" s="447"/>
      <c r="AS117" s="447"/>
      <c r="AT117" s="447"/>
      <c r="AU117" s="447"/>
      <c r="AV117" s="447"/>
      <c r="AW117" s="447"/>
      <c r="AX117" s="447"/>
      <c r="AY117" s="447"/>
      <c r="AZ117" s="447"/>
      <c r="BA117" s="447"/>
      <c r="BB117" s="447"/>
      <c r="BC117" s="447"/>
      <c r="BD117" s="447"/>
      <c r="BE117" s="447"/>
      <c r="BF117" s="447"/>
      <c r="BG117" s="447"/>
      <c r="BH117" s="447"/>
      <c r="BI117" s="447"/>
      <c r="BJ117" s="447"/>
      <c r="BK117" s="447"/>
      <c r="BL117" s="447"/>
      <c r="BM117" s="448"/>
      <c r="BN117" s="448"/>
    </row>
    <row r="118" spans="1:66" ht="15" hidden="1" customHeight="1">
      <c r="A118" s="465"/>
      <c r="B118" s="447"/>
      <c r="C118" s="447"/>
      <c r="D118" s="447"/>
      <c r="E118" s="447"/>
      <c r="F118" s="447"/>
      <c r="G118" s="447"/>
      <c r="H118" s="447"/>
      <c r="I118" s="447"/>
      <c r="J118" s="447"/>
      <c r="K118" s="447"/>
      <c r="L118" s="447"/>
      <c r="M118" s="447"/>
      <c r="N118" s="447"/>
      <c r="O118" s="447"/>
      <c r="P118" s="447"/>
      <c r="Q118" s="447"/>
      <c r="R118" s="447"/>
      <c r="S118" s="447"/>
      <c r="T118" s="447"/>
      <c r="U118" s="447"/>
      <c r="V118" s="447"/>
      <c r="W118" s="447"/>
      <c r="X118" s="447"/>
      <c r="Y118" s="447"/>
      <c r="Z118" s="447"/>
      <c r="AA118" s="447"/>
      <c r="AB118" s="447"/>
      <c r="AC118" s="447"/>
      <c r="AD118" s="447"/>
      <c r="AE118" s="447"/>
      <c r="AF118" s="448"/>
      <c r="AG118" s="448"/>
      <c r="AH118" s="448"/>
      <c r="AI118" s="447"/>
      <c r="AJ118" s="447"/>
      <c r="AK118" s="447"/>
      <c r="AL118" s="447"/>
      <c r="AM118" s="447"/>
      <c r="AN118" s="447"/>
      <c r="AO118" s="447"/>
      <c r="AP118" s="447"/>
      <c r="AQ118" s="447"/>
      <c r="AR118" s="447"/>
      <c r="AS118" s="447"/>
      <c r="AT118" s="447"/>
      <c r="AU118" s="447"/>
      <c r="AV118" s="447"/>
      <c r="AW118" s="447"/>
      <c r="AX118" s="447"/>
      <c r="AY118" s="447"/>
      <c r="AZ118" s="447"/>
      <c r="BA118" s="447"/>
      <c r="BB118" s="447"/>
      <c r="BC118" s="447"/>
      <c r="BD118" s="447"/>
      <c r="BE118" s="447"/>
      <c r="BF118" s="447"/>
      <c r="BG118" s="447"/>
      <c r="BH118" s="447"/>
      <c r="BI118" s="447"/>
      <c r="BJ118" s="447"/>
      <c r="BK118" s="447"/>
      <c r="BL118" s="447"/>
      <c r="BM118" s="448"/>
      <c r="BN118" s="448"/>
    </row>
    <row r="119" spans="1:66" ht="11.25" hidden="1" customHeight="1">
      <c r="A119" s="465"/>
      <c r="B119" s="447"/>
      <c r="C119" s="447"/>
      <c r="D119" s="447"/>
      <c r="E119" s="447"/>
      <c r="F119" s="447"/>
      <c r="G119" s="447"/>
      <c r="H119" s="447"/>
      <c r="I119" s="447"/>
      <c r="J119" s="447"/>
      <c r="K119" s="447"/>
      <c r="L119" s="447"/>
      <c r="M119" s="447"/>
      <c r="N119" s="447"/>
      <c r="O119" s="447"/>
      <c r="P119" s="447"/>
      <c r="Q119" s="447"/>
      <c r="R119" s="447"/>
      <c r="S119" s="447"/>
      <c r="T119" s="447"/>
      <c r="U119" s="447"/>
      <c r="V119" s="447"/>
      <c r="W119" s="447"/>
      <c r="X119" s="447"/>
      <c r="Y119" s="447"/>
      <c r="Z119" s="447"/>
      <c r="AA119" s="447"/>
      <c r="AB119" s="447"/>
      <c r="AC119" s="447"/>
      <c r="AD119" s="447"/>
      <c r="AE119" s="447"/>
      <c r="AF119" s="448"/>
      <c r="AG119" s="448"/>
      <c r="AH119" s="448"/>
      <c r="AI119" s="447"/>
      <c r="AJ119" s="447"/>
      <c r="AK119" s="447"/>
      <c r="AL119" s="447"/>
      <c r="AM119" s="447"/>
      <c r="AN119" s="447"/>
      <c r="AO119" s="447"/>
      <c r="AP119" s="447"/>
      <c r="AQ119" s="447"/>
      <c r="AR119" s="447"/>
      <c r="AS119" s="447"/>
      <c r="AT119" s="447"/>
      <c r="AU119" s="447"/>
      <c r="AV119" s="447"/>
      <c r="AW119" s="447"/>
      <c r="AX119" s="447"/>
      <c r="AY119" s="447"/>
      <c r="AZ119" s="447"/>
      <c r="BA119" s="447"/>
      <c r="BB119" s="447"/>
      <c r="BC119" s="447"/>
      <c r="BD119" s="447"/>
      <c r="BE119" s="447"/>
      <c r="BF119" s="447"/>
      <c r="BG119" s="447"/>
      <c r="BH119" s="447"/>
      <c r="BI119" s="447"/>
      <c r="BJ119" s="447"/>
      <c r="BK119" s="447"/>
      <c r="BL119" s="447"/>
      <c r="BM119" s="448"/>
      <c r="BN119" s="448"/>
    </row>
    <row r="120" spans="1:66" ht="15" hidden="1" customHeight="1">
      <c r="A120" s="465"/>
      <c r="B120" s="447"/>
      <c r="C120" s="447"/>
      <c r="D120" s="447"/>
      <c r="E120" s="447"/>
      <c r="F120" s="447"/>
      <c r="G120" s="447"/>
      <c r="H120" s="447"/>
      <c r="I120" s="447"/>
      <c r="J120" s="447"/>
      <c r="K120" s="447"/>
      <c r="L120" s="447"/>
      <c r="M120" s="447"/>
      <c r="N120" s="447"/>
      <c r="O120" s="447"/>
      <c r="P120" s="447"/>
      <c r="Q120" s="447"/>
      <c r="R120" s="447"/>
      <c r="S120" s="447"/>
      <c r="T120" s="447"/>
      <c r="U120" s="447"/>
      <c r="V120" s="447"/>
      <c r="W120" s="447"/>
      <c r="X120" s="447"/>
      <c r="Y120" s="447"/>
      <c r="Z120" s="447"/>
      <c r="AA120" s="447"/>
      <c r="AB120" s="447"/>
      <c r="AC120" s="447"/>
      <c r="AD120" s="447"/>
      <c r="AE120" s="447"/>
      <c r="AF120" s="448"/>
      <c r="AG120" s="448"/>
      <c r="AH120" s="448"/>
      <c r="AI120" s="447"/>
      <c r="AJ120" s="447"/>
      <c r="AK120" s="447"/>
      <c r="AL120" s="447"/>
      <c r="AM120" s="447"/>
      <c r="AN120" s="447"/>
      <c r="AO120" s="447"/>
      <c r="AP120" s="447"/>
      <c r="AQ120" s="447"/>
      <c r="AR120" s="447"/>
      <c r="AS120" s="447"/>
      <c r="AT120" s="447"/>
      <c r="AU120" s="447"/>
      <c r="AV120" s="447"/>
      <c r="AW120" s="447"/>
      <c r="AX120" s="447"/>
      <c r="AY120" s="447"/>
      <c r="AZ120" s="447"/>
      <c r="BA120" s="447"/>
      <c r="BB120" s="447"/>
      <c r="BC120" s="447"/>
      <c r="BD120" s="447"/>
      <c r="BE120" s="447"/>
      <c r="BF120" s="447"/>
      <c r="BG120" s="447"/>
      <c r="BH120" s="447"/>
      <c r="BI120" s="447"/>
      <c r="BJ120" s="447"/>
      <c r="BK120" s="447"/>
      <c r="BL120" s="447"/>
      <c r="BM120" s="448"/>
      <c r="BN120" s="448"/>
    </row>
    <row r="121" spans="1:66" ht="15" hidden="1" customHeight="1">
      <c r="A121" s="465"/>
      <c r="B121" s="447"/>
      <c r="C121" s="447"/>
      <c r="D121" s="447"/>
      <c r="E121" s="447"/>
      <c r="F121" s="447"/>
      <c r="G121" s="447"/>
      <c r="H121" s="447"/>
      <c r="I121" s="447"/>
      <c r="J121" s="447"/>
      <c r="K121" s="447"/>
      <c r="L121" s="447"/>
      <c r="M121" s="447"/>
      <c r="N121" s="447"/>
      <c r="O121" s="447"/>
      <c r="P121" s="447"/>
      <c r="Q121" s="447"/>
      <c r="R121" s="447"/>
      <c r="S121" s="447"/>
      <c r="T121" s="447"/>
      <c r="U121" s="447"/>
      <c r="V121" s="447"/>
      <c r="W121" s="447"/>
      <c r="X121" s="447"/>
      <c r="Y121" s="447"/>
      <c r="Z121" s="447"/>
      <c r="AA121" s="447"/>
      <c r="AB121" s="447"/>
      <c r="AC121" s="447"/>
      <c r="AD121" s="447"/>
      <c r="AE121" s="447"/>
      <c r="AF121" s="448"/>
      <c r="AG121" s="448"/>
      <c r="AH121" s="448"/>
      <c r="AI121" s="447"/>
      <c r="AJ121" s="447"/>
      <c r="AK121" s="447"/>
      <c r="AL121" s="447"/>
      <c r="AM121" s="447"/>
      <c r="AN121" s="447"/>
      <c r="AO121" s="447"/>
      <c r="AP121" s="447"/>
      <c r="AQ121" s="447"/>
      <c r="AR121" s="447"/>
      <c r="AS121" s="447"/>
      <c r="AT121" s="447"/>
      <c r="AU121" s="447"/>
      <c r="AV121" s="447"/>
      <c r="AW121" s="447"/>
      <c r="AX121" s="447"/>
      <c r="AY121" s="447"/>
      <c r="AZ121" s="447"/>
      <c r="BA121" s="447"/>
      <c r="BB121" s="447"/>
      <c r="BC121" s="447"/>
      <c r="BD121" s="447"/>
      <c r="BE121" s="447"/>
      <c r="BF121" s="447"/>
      <c r="BG121" s="447"/>
      <c r="BH121" s="447"/>
      <c r="BI121" s="447"/>
      <c r="BJ121" s="447"/>
      <c r="BK121" s="447"/>
      <c r="BL121" s="447"/>
      <c r="BM121" s="448"/>
      <c r="BN121" s="448"/>
    </row>
    <row r="122" spans="1:66" ht="15" hidden="1" customHeight="1">
      <c r="A122" s="465"/>
      <c r="B122" s="447"/>
      <c r="C122" s="447"/>
      <c r="D122" s="447"/>
      <c r="E122" s="447"/>
      <c r="F122" s="447"/>
      <c r="G122" s="447"/>
      <c r="H122" s="447"/>
      <c r="I122" s="447"/>
      <c r="J122" s="447"/>
      <c r="K122" s="447"/>
      <c r="L122" s="447"/>
      <c r="M122" s="447"/>
      <c r="N122" s="447"/>
      <c r="O122" s="447"/>
      <c r="P122" s="447"/>
      <c r="Q122" s="447"/>
      <c r="R122" s="447"/>
      <c r="S122" s="447"/>
      <c r="T122" s="447"/>
      <c r="U122" s="447"/>
      <c r="V122" s="447"/>
      <c r="W122" s="447"/>
      <c r="X122" s="447"/>
      <c r="Y122" s="447"/>
      <c r="Z122" s="447"/>
      <c r="AA122" s="447"/>
      <c r="AB122" s="447"/>
      <c r="AC122" s="447"/>
      <c r="AD122" s="447"/>
      <c r="AE122" s="447"/>
      <c r="AF122" s="448"/>
      <c r="AG122" s="448"/>
      <c r="AH122" s="448"/>
      <c r="AI122" s="447"/>
      <c r="AJ122" s="447"/>
      <c r="AK122" s="447"/>
      <c r="AL122" s="447"/>
      <c r="AM122" s="447"/>
      <c r="AN122" s="447"/>
      <c r="AO122" s="447"/>
      <c r="AP122" s="447"/>
      <c r="AQ122" s="447"/>
      <c r="AR122" s="447"/>
      <c r="AS122" s="447"/>
      <c r="AT122" s="447"/>
      <c r="AU122" s="447"/>
      <c r="AV122" s="447"/>
      <c r="AW122" s="447"/>
      <c r="AX122" s="447"/>
      <c r="AY122" s="447"/>
      <c r="AZ122" s="447"/>
      <c r="BA122" s="447"/>
      <c r="BB122" s="447"/>
      <c r="BC122" s="447"/>
      <c r="BD122" s="447"/>
      <c r="BE122" s="447"/>
      <c r="BF122" s="447"/>
      <c r="BG122" s="447"/>
      <c r="BH122" s="447"/>
      <c r="BI122" s="447"/>
      <c r="BJ122" s="447"/>
      <c r="BK122" s="447"/>
      <c r="BL122" s="447"/>
      <c r="BM122" s="448"/>
      <c r="BN122" s="448"/>
    </row>
    <row r="123" spans="1:66" ht="11.25" hidden="1" customHeight="1">
      <c r="A123" s="465"/>
      <c r="B123" s="447"/>
      <c r="C123" s="447"/>
      <c r="D123" s="447"/>
      <c r="E123" s="447"/>
      <c r="F123" s="447"/>
      <c r="G123" s="447"/>
      <c r="H123" s="447"/>
      <c r="I123" s="447"/>
      <c r="J123" s="447"/>
      <c r="K123" s="447"/>
      <c r="L123" s="447"/>
      <c r="M123" s="447"/>
      <c r="N123" s="447"/>
      <c r="O123" s="447"/>
      <c r="P123" s="447"/>
      <c r="Q123" s="447"/>
      <c r="R123" s="447"/>
      <c r="S123" s="447"/>
      <c r="T123" s="447"/>
      <c r="U123" s="447"/>
      <c r="V123" s="447"/>
      <c r="W123" s="447"/>
      <c r="X123" s="447"/>
      <c r="Y123" s="447"/>
      <c r="Z123" s="447"/>
      <c r="AA123" s="447"/>
      <c r="AB123" s="447"/>
      <c r="AC123" s="447"/>
      <c r="AD123" s="447"/>
      <c r="AE123" s="447"/>
      <c r="AF123" s="448"/>
      <c r="AG123" s="448"/>
      <c r="AH123" s="448"/>
      <c r="AI123" s="447"/>
      <c r="AJ123" s="447"/>
      <c r="AK123" s="447"/>
      <c r="AL123" s="447"/>
      <c r="AM123" s="447"/>
      <c r="AN123" s="447"/>
      <c r="AO123" s="447"/>
      <c r="AP123" s="447"/>
      <c r="AQ123" s="447"/>
      <c r="AR123" s="447"/>
      <c r="AS123" s="447"/>
      <c r="AT123" s="447"/>
      <c r="AU123" s="447"/>
      <c r="AV123" s="447"/>
      <c r="AW123" s="447"/>
      <c r="AX123" s="447"/>
      <c r="AY123" s="447"/>
      <c r="AZ123" s="447"/>
      <c r="BA123" s="447"/>
      <c r="BB123" s="447"/>
      <c r="BC123" s="447"/>
      <c r="BD123" s="447"/>
      <c r="BE123" s="447"/>
      <c r="BF123" s="447"/>
      <c r="BG123" s="447"/>
      <c r="BH123" s="447"/>
      <c r="BI123" s="447"/>
      <c r="BJ123" s="447"/>
      <c r="BK123" s="447"/>
      <c r="BL123" s="447"/>
      <c r="BM123" s="448"/>
      <c r="BN123" s="448"/>
    </row>
    <row r="124" spans="1:66" ht="11.25" hidden="1" customHeight="1">
      <c r="A124" s="465"/>
      <c r="B124" s="447"/>
      <c r="C124" s="447"/>
      <c r="D124" s="447"/>
      <c r="E124" s="447"/>
      <c r="F124" s="447"/>
      <c r="G124" s="447"/>
      <c r="H124" s="447"/>
      <c r="I124" s="447"/>
      <c r="J124" s="447"/>
      <c r="K124" s="447"/>
      <c r="L124" s="447"/>
      <c r="M124" s="447"/>
      <c r="N124" s="447"/>
      <c r="O124" s="447"/>
      <c r="P124" s="447"/>
      <c r="Q124" s="447"/>
      <c r="R124" s="447"/>
      <c r="S124" s="447"/>
      <c r="T124" s="447"/>
      <c r="U124" s="447"/>
      <c r="V124" s="447"/>
      <c r="W124" s="447"/>
      <c r="X124" s="447"/>
      <c r="Y124" s="447"/>
      <c r="Z124" s="447"/>
      <c r="AA124" s="447"/>
      <c r="AB124" s="447"/>
      <c r="AC124" s="447"/>
      <c r="AD124" s="447"/>
      <c r="AE124" s="447"/>
      <c r="AF124" s="448"/>
      <c r="AG124" s="448"/>
      <c r="AH124" s="448"/>
      <c r="AI124" s="447"/>
      <c r="AJ124" s="447"/>
      <c r="AK124" s="447"/>
      <c r="AL124" s="447"/>
      <c r="AM124" s="447"/>
      <c r="AN124" s="447"/>
      <c r="AO124" s="447"/>
      <c r="AP124" s="447"/>
      <c r="AQ124" s="447"/>
      <c r="AR124" s="447"/>
      <c r="AS124" s="447"/>
      <c r="AT124" s="447"/>
      <c r="AU124" s="447"/>
      <c r="AV124" s="447"/>
      <c r="AW124" s="447"/>
      <c r="AX124" s="447"/>
      <c r="AY124" s="447"/>
      <c r="AZ124" s="447"/>
      <c r="BA124" s="447"/>
      <c r="BB124" s="447"/>
      <c r="BC124" s="447"/>
      <c r="BD124" s="447"/>
      <c r="BE124" s="447"/>
      <c r="BF124" s="447"/>
      <c r="BG124" s="447"/>
      <c r="BH124" s="447"/>
      <c r="BI124" s="447"/>
      <c r="BJ124" s="447"/>
      <c r="BK124" s="447"/>
      <c r="BL124" s="447"/>
      <c r="BM124" s="448"/>
      <c r="BN124" s="448"/>
    </row>
    <row r="125" spans="1:66" ht="11.25" hidden="1" customHeight="1">
      <c r="A125" s="465"/>
      <c r="B125" s="447"/>
      <c r="C125" s="447"/>
      <c r="D125" s="447"/>
      <c r="E125" s="447"/>
      <c r="F125" s="447"/>
      <c r="G125" s="447"/>
      <c r="H125" s="447"/>
      <c r="I125" s="447"/>
      <c r="J125" s="447"/>
      <c r="K125" s="447"/>
      <c r="L125" s="447"/>
      <c r="M125" s="447"/>
      <c r="N125" s="447"/>
      <c r="O125" s="447"/>
      <c r="P125" s="447"/>
      <c r="Q125" s="447"/>
      <c r="R125" s="447"/>
      <c r="S125" s="447"/>
      <c r="T125" s="447"/>
      <c r="U125" s="447"/>
      <c r="V125" s="447"/>
      <c r="W125" s="447"/>
      <c r="X125" s="447"/>
      <c r="Y125" s="447"/>
      <c r="Z125" s="447"/>
      <c r="AA125" s="447"/>
      <c r="AB125" s="447"/>
      <c r="AC125" s="447"/>
      <c r="AD125" s="447"/>
      <c r="AE125" s="447"/>
      <c r="AF125" s="448"/>
      <c r="AG125" s="448"/>
      <c r="AH125" s="448"/>
      <c r="AI125" s="447"/>
      <c r="AJ125" s="447"/>
      <c r="AK125" s="447"/>
      <c r="AL125" s="447"/>
      <c r="AM125" s="447"/>
      <c r="AN125" s="447"/>
      <c r="AO125" s="447"/>
      <c r="AP125" s="447"/>
      <c r="AQ125" s="447"/>
      <c r="AR125" s="447"/>
      <c r="AS125" s="447"/>
      <c r="AT125" s="447"/>
      <c r="AU125" s="447"/>
      <c r="AV125" s="447"/>
      <c r="AW125" s="447"/>
      <c r="AX125" s="447"/>
      <c r="AY125" s="447"/>
      <c r="AZ125" s="447"/>
      <c r="BA125" s="447"/>
      <c r="BB125" s="447"/>
      <c r="BC125" s="447"/>
      <c r="BD125" s="447"/>
      <c r="BE125" s="447"/>
      <c r="BF125" s="447"/>
      <c r="BG125" s="447"/>
      <c r="BH125" s="447"/>
      <c r="BI125" s="447"/>
      <c r="BJ125" s="447"/>
      <c r="BK125" s="447"/>
      <c r="BL125" s="447"/>
      <c r="BM125" s="448"/>
      <c r="BN125" s="448"/>
    </row>
    <row r="126" spans="1:66" ht="11.25" customHeight="1">
      <c r="A126" s="469"/>
      <c r="B126" s="447"/>
      <c r="C126" s="447"/>
      <c r="D126" s="447"/>
      <c r="E126" s="447"/>
      <c r="F126" s="447"/>
      <c r="G126" s="447"/>
      <c r="H126" s="447"/>
      <c r="I126" s="447"/>
      <c r="J126" s="447"/>
      <c r="K126" s="447"/>
      <c r="L126" s="447"/>
      <c r="M126" s="447"/>
      <c r="N126" s="447"/>
      <c r="O126" s="447"/>
      <c r="P126" s="447"/>
      <c r="Q126" s="447"/>
      <c r="R126" s="447"/>
      <c r="S126" s="447"/>
      <c r="T126" s="447"/>
      <c r="U126" s="447"/>
      <c r="V126" s="447"/>
      <c r="W126" s="447"/>
      <c r="X126" s="447"/>
      <c r="Y126" s="447"/>
      <c r="Z126" s="447"/>
      <c r="AA126" s="447"/>
      <c r="AB126" s="447"/>
      <c r="AC126" s="447"/>
      <c r="AD126" s="447"/>
      <c r="AE126" s="447"/>
      <c r="AF126" s="448"/>
      <c r="AG126" s="448"/>
      <c r="AH126" s="448"/>
      <c r="AI126" s="447"/>
      <c r="AJ126" s="447"/>
      <c r="AK126" s="447"/>
      <c r="AL126" s="447"/>
      <c r="AM126" s="447"/>
      <c r="AN126" s="447"/>
      <c r="AO126" s="447"/>
      <c r="AP126" s="447"/>
      <c r="AQ126" s="447"/>
      <c r="AR126" s="447"/>
      <c r="AS126" s="447"/>
      <c r="AT126" s="447"/>
      <c r="AU126" s="447"/>
      <c r="AV126" s="447"/>
      <c r="AW126" s="447"/>
      <c r="AX126" s="447"/>
      <c r="AY126" s="447"/>
      <c r="AZ126" s="447"/>
      <c r="BA126" s="447"/>
      <c r="BB126" s="447"/>
      <c r="BC126" s="447"/>
      <c r="BD126" s="447"/>
      <c r="BE126" s="447"/>
      <c r="BF126" s="447"/>
      <c r="BG126" s="447"/>
      <c r="BH126" s="447"/>
      <c r="BI126" s="447"/>
      <c r="BJ126" s="447"/>
      <c r="BK126" s="447"/>
      <c r="BL126" s="447"/>
      <c r="BM126" s="448"/>
      <c r="BN126" s="448"/>
    </row>
    <row r="127" spans="1:66" ht="11.25" customHeight="1">
      <c r="A127" s="469"/>
      <c r="B127" s="447"/>
      <c r="C127" s="447"/>
      <c r="D127" s="447"/>
      <c r="E127" s="447"/>
      <c r="F127" s="447"/>
      <c r="G127" s="447"/>
      <c r="H127" s="447"/>
      <c r="I127" s="447"/>
      <c r="J127" s="447"/>
      <c r="K127" s="447"/>
      <c r="L127" s="447"/>
      <c r="M127" s="447"/>
      <c r="N127" s="447"/>
      <c r="O127" s="447"/>
      <c r="P127" s="447"/>
      <c r="Q127" s="447"/>
      <c r="R127" s="447"/>
      <c r="S127" s="447"/>
      <c r="T127" s="447"/>
      <c r="U127" s="447"/>
      <c r="V127" s="447"/>
      <c r="W127" s="447"/>
      <c r="X127" s="447"/>
      <c r="Y127" s="447"/>
      <c r="Z127" s="447"/>
      <c r="AA127" s="447"/>
      <c r="AB127" s="447"/>
      <c r="AC127" s="447"/>
      <c r="AD127" s="447"/>
      <c r="AE127" s="447"/>
      <c r="AF127" s="448"/>
      <c r="AG127" s="448"/>
      <c r="AH127" s="448"/>
      <c r="AI127" s="447"/>
      <c r="AJ127" s="447"/>
      <c r="AK127" s="447"/>
      <c r="AL127" s="447"/>
      <c r="AM127" s="447"/>
      <c r="AN127" s="447"/>
      <c r="AO127" s="447"/>
      <c r="AP127" s="447"/>
      <c r="AQ127" s="447"/>
      <c r="AR127" s="447"/>
      <c r="AS127" s="447"/>
      <c r="AT127" s="447"/>
      <c r="AU127" s="447"/>
      <c r="AV127" s="447"/>
      <c r="AW127" s="447"/>
      <c r="AX127" s="447"/>
      <c r="AY127" s="447"/>
      <c r="AZ127" s="447"/>
      <c r="BA127" s="447"/>
      <c r="BB127" s="447"/>
      <c r="BC127" s="447"/>
      <c r="BD127" s="447"/>
      <c r="BE127" s="447"/>
      <c r="BF127" s="447"/>
      <c r="BG127" s="447"/>
      <c r="BH127" s="447"/>
      <c r="BI127" s="447"/>
      <c r="BJ127" s="447"/>
      <c r="BK127" s="447"/>
      <c r="BL127" s="447"/>
      <c r="BM127" s="448"/>
      <c r="BN127" s="448"/>
    </row>
    <row r="128" spans="1:66" ht="11.25" customHeight="1">
      <c r="A128" s="469"/>
      <c r="B128" s="447"/>
      <c r="C128" s="447"/>
      <c r="D128" s="447"/>
      <c r="E128" s="447"/>
      <c r="F128" s="447"/>
      <c r="G128" s="447"/>
      <c r="H128" s="447"/>
      <c r="I128" s="447"/>
      <c r="J128" s="447"/>
      <c r="K128" s="447"/>
      <c r="L128" s="447"/>
      <c r="M128" s="447"/>
      <c r="N128" s="447"/>
      <c r="O128" s="447"/>
      <c r="P128" s="447"/>
      <c r="Q128" s="447"/>
      <c r="R128" s="447"/>
      <c r="S128" s="447"/>
      <c r="T128" s="447"/>
      <c r="U128" s="447"/>
      <c r="V128" s="447"/>
      <c r="W128" s="447"/>
      <c r="X128" s="447"/>
      <c r="Y128" s="447"/>
      <c r="Z128" s="447"/>
      <c r="AA128" s="447"/>
      <c r="AB128" s="447"/>
      <c r="AC128" s="447"/>
      <c r="AD128" s="447"/>
      <c r="AE128" s="447"/>
      <c r="AF128" s="448"/>
      <c r="AG128" s="448"/>
      <c r="AH128" s="448"/>
      <c r="AI128" s="447"/>
      <c r="AJ128" s="447"/>
      <c r="AK128" s="447"/>
      <c r="AL128" s="447"/>
      <c r="AM128" s="447"/>
      <c r="AN128" s="447"/>
      <c r="AO128" s="447"/>
      <c r="AP128" s="447"/>
      <c r="AQ128" s="447"/>
      <c r="AR128" s="447"/>
      <c r="AS128" s="447"/>
      <c r="AT128" s="447"/>
      <c r="AU128" s="447"/>
      <c r="AV128" s="447"/>
      <c r="AW128" s="447"/>
      <c r="AX128" s="447"/>
      <c r="AY128" s="447"/>
      <c r="AZ128" s="447"/>
      <c r="BA128" s="447"/>
      <c r="BB128" s="447"/>
      <c r="BC128" s="447"/>
      <c r="BD128" s="447"/>
      <c r="BE128" s="447"/>
      <c r="BF128" s="447"/>
      <c r="BG128" s="447"/>
      <c r="BH128" s="447"/>
      <c r="BI128" s="447"/>
      <c r="BJ128" s="447"/>
      <c r="BK128" s="447"/>
      <c r="BL128" s="447"/>
      <c r="BM128" s="448"/>
      <c r="BN128" s="448"/>
    </row>
    <row r="129" spans="1:66" ht="11.25" customHeight="1">
      <c r="A129" s="469"/>
      <c r="B129" s="447"/>
      <c r="C129" s="447"/>
      <c r="D129" s="447"/>
      <c r="E129" s="447"/>
      <c r="F129" s="447"/>
      <c r="G129" s="447"/>
      <c r="H129" s="447"/>
      <c r="I129" s="447"/>
      <c r="J129" s="447"/>
      <c r="K129" s="447"/>
      <c r="L129" s="447"/>
      <c r="M129" s="447"/>
      <c r="N129" s="447"/>
      <c r="O129" s="447"/>
      <c r="P129" s="447"/>
      <c r="Q129" s="447"/>
      <c r="R129" s="447"/>
      <c r="S129" s="447"/>
      <c r="T129" s="447"/>
      <c r="U129" s="447"/>
      <c r="V129" s="447"/>
      <c r="W129" s="447"/>
      <c r="X129" s="447"/>
      <c r="Y129" s="447"/>
      <c r="Z129" s="447"/>
      <c r="AA129" s="447"/>
      <c r="AB129" s="447"/>
      <c r="AC129" s="447"/>
      <c r="AD129" s="447"/>
      <c r="AE129" s="447"/>
      <c r="AF129" s="448"/>
      <c r="AG129" s="448"/>
      <c r="AH129" s="448"/>
      <c r="AI129" s="447"/>
      <c r="AJ129" s="447"/>
      <c r="AK129" s="447"/>
      <c r="AL129" s="447"/>
      <c r="AM129" s="447"/>
      <c r="AN129" s="447"/>
      <c r="AO129" s="447"/>
      <c r="AP129" s="447"/>
      <c r="AQ129" s="447"/>
      <c r="AR129" s="447"/>
      <c r="AS129" s="447"/>
      <c r="AT129" s="447"/>
      <c r="AU129" s="447"/>
      <c r="AV129" s="447"/>
      <c r="AW129" s="447"/>
      <c r="AX129" s="447"/>
      <c r="AY129" s="447"/>
      <c r="AZ129" s="447"/>
      <c r="BA129" s="447"/>
      <c r="BB129" s="447"/>
      <c r="BC129" s="447"/>
      <c r="BD129" s="447"/>
      <c r="BE129" s="447"/>
      <c r="BF129" s="447"/>
      <c r="BG129" s="447"/>
      <c r="BH129" s="447"/>
      <c r="BI129" s="447"/>
      <c r="BJ129" s="447"/>
      <c r="BK129" s="447"/>
      <c r="BL129" s="447"/>
      <c r="BM129" s="448"/>
      <c r="BN129" s="448"/>
    </row>
    <row r="130" spans="1:66" ht="11.25" customHeight="1">
      <c r="A130" s="469"/>
      <c r="B130" s="447"/>
      <c r="C130" s="447"/>
      <c r="D130" s="447"/>
      <c r="E130" s="447"/>
      <c r="F130" s="447"/>
      <c r="G130" s="447"/>
      <c r="H130" s="447"/>
      <c r="I130" s="447"/>
      <c r="J130" s="447"/>
      <c r="K130" s="447"/>
      <c r="L130" s="447"/>
      <c r="M130" s="447"/>
      <c r="N130" s="447"/>
      <c r="O130" s="447"/>
      <c r="P130" s="447"/>
      <c r="Q130" s="447"/>
      <c r="R130" s="447"/>
      <c r="S130" s="447"/>
      <c r="T130" s="447"/>
      <c r="U130" s="447"/>
      <c r="V130" s="447"/>
      <c r="W130" s="447"/>
      <c r="X130" s="447"/>
      <c r="Y130" s="447"/>
      <c r="Z130" s="447"/>
      <c r="AA130" s="447"/>
      <c r="AB130" s="447"/>
      <c r="AC130" s="447"/>
      <c r="AD130" s="447"/>
      <c r="AE130" s="447"/>
      <c r="AF130" s="448"/>
      <c r="AG130" s="448"/>
      <c r="AH130" s="448"/>
      <c r="AI130" s="447"/>
      <c r="AJ130" s="447"/>
      <c r="AK130" s="447"/>
      <c r="AL130" s="447"/>
      <c r="AM130" s="447"/>
      <c r="AN130" s="447"/>
      <c r="AO130" s="447"/>
      <c r="AP130" s="447"/>
      <c r="AQ130" s="447"/>
      <c r="AR130" s="447"/>
      <c r="AS130" s="447"/>
      <c r="AT130" s="447"/>
      <c r="AU130" s="447"/>
      <c r="AV130" s="447"/>
      <c r="AW130" s="447"/>
      <c r="AX130" s="447"/>
      <c r="AY130" s="447"/>
      <c r="AZ130" s="447"/>
      <c r="BA130" s="447"/>
      <c r="BB130" s="447"/>
      <c r="BC130" s="447"/>
      <c r="BD130" s="447"/>
      <c r="BE130" s="447"/>
      <c r="BF130" s="447"/>
      <c r="BG130" s="447"/>
      <c r="BH130" s="447"/>
      <c r="BI130" s="447"/>
      <c r="BJ130" s="447"/>
      <c r="BK130" s="447"/>
      <c r="BL130" s="447"/>
      <c r="BM130" s="448"/>
      <c r="BN130" s="448"/>
    </row>
    <row r="131" spans="1:66" ht="11.25" customHeight="1">
      <c r="A131" s="469"/>
      <c r="B131" s="447"/>
      <c r="C131" s="447"/>
      <c r="D131" s="447"/>
      <c r="E131" s="447"/>
      <c r="F131" s="447"/>
      <c r="G131" s="447"/>
      <c r="H131" s="447"/>
      <c r="I131" s="447"/>
      <c r="J131" s="447"/>
      <c r="K131" s="447"/>
      <c r="L131" s="447"/>
      <c r="M131" s="447"/>
      <c r="N131" s="447"/>
      <c r="O131" s="447"/>
      <c r="P131" s="447"/>
      <c r="Q131" s="447"/>
      <c r="R131" s="447"/>
      <c r="S131" s="447"/>
      <c r="T131" s="447"/>
      <c r="U131" s="447"/>
      <c r="V131" s="447"/>
      <c r="W131" s="447"/>
      <c r="X131" s="447"/>
      <c r="Y131" s="447"/>
      <c r="Z131" s="447"/>
      <c r="AA131" s="447"/>
      <c r="AB131" s="447"/>
      <c r="AC131" s="447"/>
      <c r="AD131" s="447"/>
      <c r="AE131" s="447"/>
      <c r="AF131" s="448"/>
      <c r="AG131" s="448"/>
      <c r="AH131" s="448"/>
      <c r="AI131" s="447"/>
      <c r="AJ131" s="447"/>
      <c r="AK131" s="447"/>
      <c r="AL131" s="447"/>
      <c r="AM131" s="447"/>
      <c r="AN131" s="447"/>
      <c r="AO131" s="447"/>
      <c r="AP131" s="447"/>
      <c r="AQ131" s="447"/>
      <c r="AR131" s="447"/>
      <c r="AS131" s="447"/>
      <c r="AT131" s="447"/>
      <c r="AU131" s="447"/>
      <c r="AV131" s="447"/>
      <c r="AW131" s="447"/>
      <c r="AX131" s="447"/>
      <c r="AY131" s="447"/>
      <c r="AZ131" s="447"/>
      <c r="BA131" s="447"/>
      <c r="BB131" s="447"/>
      <c r="BC131" s="447"/>
      <c r="BD131" s="447"/>
      <c r="BE131" s="447"/>
      <c r="BF131" s="447"/>
      <c r="BG131" s="447"/>
      <c r="BH131" s="447"/>
      <c r="BI131" s="447"/>
      <c r="BJ131" s="447"/>
      <c r="BK131" s="447"/>
      <c r="BL131" s="447"/>
      <c r="BM131" s="448"/>
      <c r="BN131" s="448"/>
    </row>
    <row r="132" spans="1:66" ht="11.25" customHeight="1">
      <c r="A132" s="469"/>
      <c r="B132" s="447"/>
      <c r="C132" s="447"/>
      <c r="D132" s="447"/>
      <c r="E132" s="447"/>
      <c r="F132" s="447"/>
      <c r="G132" s="447"/>
      <c r="H132" s="447"/>
      <c r="I132" s="447"/>
      <c r="J132" s="447"/>
      <c r="K132" s="447"/>
      <c r="L132" s="447"/>
      <c r="M132" s="447"/>
      <c r="N132" s="447"/>
      <c r="O132" s="447"/>
      <c r="P132" s="447"/>
      <c r="Q132" s="447"/>
      <c r="R132" s="447"/>
      <c r="S132" s="447"/>
      <c r="T132" s="447"/>
      <c r="U132" s="447"/>
      <c r="V132" s="447"/>
      <c r="W132" s="447"/>
      <c r="X132" s="447"/>
      <c r="Y132" s="447"/>
      <c r="Z132" s="447"/>
      <c r="AA132" s="447"/>
      <c r="AB132" s="447"/>
      <c r="AC132" s="447"/>
      <c r="AD132" s="447"/>
      <c r="AE132" s="447"/>
      <c r="AF132" s="448"/>
      <c r="AG132" s="448"/>
      <c r="AH132" s="448"/>
      <c r="AI132" s="447"/>
      <c r="AJ132" s="447"/>
      <c r="AK132" s="447"/>
      <c r="AL132" s="447"/>
      <c r="AM132" s="447"/>
      <c r="AN132" s="447"/>
      <c r="AO132" s="447"/>
      <c r="AP132" s="447"/>
      <c r="AQ132" s="447"/>
      <c r="AR132" s="447"/>
      <c r="AS132" s="447"/>
      <c r="AT132" s="447"/>
      <c r="AU132" s="447"/>
      <c r="AV132" s="447"/>
      <c r="AW132" s="447"/>
      <c r="AX132" s="447"/>
      <c r="AY132" s="447"/>
      <c r="AZ132" s="447"/>
      <c r="BA132" s="447"/>
      <c r="BB132" s="447"/>
      <c r="BC132" s="447"/>
      <c r="BD132" s="447"/>
      <c r="BE132" s="447"/>
      <c r="BF132" s="447"/>
      <c r="BG132" s="447"/>
      <c r="BH132" s="447"/>
      <c r="BI132" s="447"/>
      <c r="BJ132" s="447"/>
      <c r="BK132" s="447"/>
      <c r="BL132" s="447"/>
      <c r="BM132" s="448"/>
      <c r="BN132" s="448"/>
    </row>
    <row r="133" spans="1:66" ht="11.25" customHeight="1">
      <c r="A133" s="469"/>
      <c r="B133" s="447"/>
      <c r="C133" s="447"/>
      <c r="D133" s="447"/>
      <c r="E133" s="447"/>
      <c r="F133" s="447"/>
      <c r="G133" s="447"/>
      <c r="H133" s="447"/>
      <c r="I133" s="447"/>
      <c r="J133" s="447"/>
      <c r="K133" s="447"/>
      <c r="L133" s="447"/>
      <c r="M133" s="447"/>
      <c r="N133" s="447"/>
      <c r="O133" s="447"/>
      <c r="P133" s="447"/>
      <c r="Q133" s="447"/>
      <c r="R133" s="447"/>
      <c r="S133" s="447"/>
      <c r="T133" s="447"/>
      <c r="U133" s="447"/>
      <c r="V133" s="447"/>
      <c r="W133" s="447"/>
      <c r="X133" s="447"/>
      <c r="Y133" s="447"/>
      <c r="Z133" s="447"/>
      <c r="AA133" s="447"/>
      <c r="AB133" s="447"/>
      <c r="AC133" s="447"/>
      <c r="AD133" s="447"/>
      <c r="AE133" s="447"/>
      <c r="AF133" s="448"/>
      <c r="AG133" s="448"/>
      <c r="AH133" s="448"/>
      <c r="AI133" s="447"/>
      <c r="AJ133" s="447"/>
      <c r="AK133" s="447"/>
      <c r="AL133" s="447"/>
      <c r="AM133" s="447"/>
      <c r="AN133" s="447"/>
      <c r="AO133" s="447"/>
      <c r="AP133" s="447"/>
      <c r="AQ133" s="447"/>
      <c r="AR133" s="447"/>
      <c r="AS133" s="447"/>
      <c r="AT133" s="447"/>
      <c r="AU133" s="447"/>
      <c r="AV133" s="447"/>
      <c r="AW133" s="447"/>
      <c r="AX133" s="447"/>
      <c r="AY133" s="447"/>
      <c r="AZ133" s="447"/>
      <c r="BA133" s="447"/>
      <c r="BB133" s="447"/>
      <c r="BC133" s="447"/>
      <c r="BD133" s="447"/>
      <c r="BE133" s="447"/>
      <c r="BF133" s="447"/>
      <c r="BG133" s="447"/>
      <c r="BH133" s="447"/>
      <c r="BI133" s="447"/>
      <c r="BJ133" s="447"/>
      <c r="BK133" s="447"/>
      <c r="BL133" s="447"/>
      <c r="BM133" s="448"/>
      <c r="BN133" s="448"/>
    </row>
    <row r="134" spans="1:66" ht="11.25" customHeight="1">
      <c r="A134" s="469"/>
      <c r="B134" s="447"/>
      <c r="C134" s="447"/>
      <c r="D134" s="447"/>
      <c r="E134" s="447"/>
      <c r="F134" s="447"/>
      <c r="G134" s="447"/>
      <c r="H134" s="447"/>
      <c r="I134" s="447"/>
      <c r="J134" s="447"/>
      <c r="K134" s="447"/>
      <c r="L134" s="447"/>
      <c r="M134" s="447"/>
      <c r="N134" s="447"/>
      <c r="O134" s="447"/>
      <c r="P134" s="447"/>
      <c r="Q134" s="447"/>
      <c r="R134" s="447"/>
      <c r="S134" s="447"/>
      <c r="T134" s="447"/>
      <c r="U134" s="447"/>
      <c r="V134" s="447"/>
      <c r="W134" s="447"/>
      <c r="X134" s="447"/>
      <c r="Y134" s="447"/>
      <c r="Z134" s="447"/>
      <c r="AA134" s="447"/>
      <c r="AB134" s="447"/>
      <c r="AC134" s="447"/>
      <c r="AD134" s="447"/>
      <c r="AE134" s="447"/>
      <c r="AF134" s="448"/>
      <c r="AG134" s="448"/>
      <c r="AH134" s="448"/>
      <c r="AI134" s="447"/>
      <c r="AJ134" s="447"/>
      <c r="AK134" s="447"/>
      <c r="AL134" s="447"/>
      <c r="AM134" s="447"/>
      <c r="AN134" s="447"/>
      <c r="AO134" s="447"/>
      <c r="AP134" s="447"/>
      <c r="AQ134" s="447"/>
      <c r="AR134" s="447"/>
      <c r="AS134" s="447"/>
      <c r="AT134" s="447"/>
      <c r="AU134" s="447"/>
      <c r="AV134" s="447"/>
      <c r="AW134" s="447"/>
      <c r="AX134" s="447"/>
      <c r="AY134" s="447"/>
      <c r="AZ134" s="447"/>
      <c r="BA134" s="447"/>
      <c r="BB134" s="447"/>
      <c r="BC134" s="447"/>
      <c r="BD134" s="447"/>
      <c r="BE134" s="447"/>
      <c r="BF134" s="447"/>
      <c r="BG134" s="447"/>
      <c r="BH134" s="447"/>
      <c r="BI134" s="447"/>
      <c r="BJ134" s="447"/>
      <c r="BK134" s="447"/>
      <c r="BL134" s="447"/>
      <c r="BM134" s="448"/>
      <c r="BN134" s="448"/>
    </row>
    <row r="135" spans="1:66" ht="11.25" customHeight="1">
      <c r="A135" s="469"/>
      <c r="B135" s="447"/>
      <c r="C135" s="447"/>
      <c r="D135" s="447"/>
      <c r="E135" s="447"/>
      <c r="F135" s="447"/>
      <c r="G135" s="447"/>
      <c r="H135" s="447"/>
      <c r="I135" s="447"/>
      <c r="J135" s="447"/>
      <c r="K135" s="447"/>
      <c r="L135" s="447"/>
      <c r="M135" s="447"/>
      <c r="N135" s="447"/>
      <c r="O135" s="447"/>
      <c r="P135" s="447"/>
      <c r="Q135" s="447"/>
      <c r="R135" s="447"/>
      <c r="S135" s="447"/>
      <c r="T135" s="447"/>
      <c r="U135" s="447"/>
      <c r="V135" s="447"/>
      <c r="W135" s="447"/>
      <c r="X135" s="447"/>
      <c r="Y135" s="447"/>
      <c r="Z135" s="447"/>
      <c r="AA135" s="447"/>
      <c r="AB135" s="447"/>
      <c r="AC135" s="447"/>
      <c r="AD135" s="447"/>
      <c r="AE135" s="447"/>
      <c r="AF135" s="448"/>
      <c r="AG135" s="448"/>
      <c r="AH135" s="448"/>
      <c r="AI135" s="447"/>
      <c r="AJ135" s="447"/>
      <c r="AK135" s="447"/>
      <c r="AL135" s="447"/>
      <c r="AM135" s="447"/>
      <c r="AN135" s="447"/>
      <c r="AO135" s="447"/>
      <c r="AP135" s="447"/>
      <c r="AQ135" s="447"/>
      <c r="AR135" s="447"/>
      <c r="AS135" s="447"/>
      <c r="AT135" s="447"/>
      <c r="AU135" s="447"/>
      <c r="AV135" s="447"/>
      <c r="AW135" s="447"/>
      <c r="AX135" s="447"/>
      <c r="AY135" s="447"/>
      <c r="AZ135" s="447"/>
      <c r="BA135" s="447"/>
      <c r="BB135" s="447"/>
      <c r="BC135" s="447"/>
      <c r="BD135" s="447"/>
      <c r="BE135" s="447"/>
      <c r="BF135" s="447"/>
      <c r="BG135" s="447"/>
      <c r="BH135" s="447"/>
      <c r="BI135" s="447"/>
      <c r="BJ135" s="447"/>
      <c r="BK135" s="447"/>
      <c r="BL135" s="447"/>
      <c r="BM135" s="448"/>
      <c r="BN135" s="448"/>
    </row>
    <row r="136" spans="1:66" ht="11.25" customHeight="1">
      <c r="A136" s="469"/>
      <c r="B136" s="447"/>
      <c r="C136" s="447"/>
      <c r="D136" s="447"/>
      <c r="E136" s="447"/>
      <c r="F136" s="447"/>
      <c r="G136" s="447"/>
      <c r="H136" s="447"/>
      <c r="I136" s="447"/>
      <c r="J136" s="447"/>
      <c r="K136" s="447"/>
      <c r="L136" s="447"/>
      <c r="M136" s="447"/>
      <c r="N136" s="447"/>
      <c r="O136" s="447"/>
      <c r="P136" s="447"/>
      <c r="Q136" s="447"/>
      <c r="R136" s="447"/>
      <c r="S136" s="447"/>
      <c r="T136" s="447"/>
      <c r="U136" s="447"/>
      <c r="V136" s="447"/>
      <c r="W136" s="447"/>
      <c r="X136" s="447"/>
      <c r="Y136" s="447"/>
      <c r="Z136" s="447"/>
      <c r="AA136" s="447"/>
      <c r="AB136" s="447"/>
      <c r="AC136" s="447"/>
      <c r="AD136" s="447"/>
      <c r="AE136" s="447"/>
      <c r="AF136" s="448"/>
      <c r="AG136" s="448"/>
      <c r="AH136" s="448"/>
      <c r="AI136" s="447"/>
      <c r="AJ136" s="447"/>
      <c r="AK136" s="447"/>
      <c r="AL136" s="447"/>
      <c r="AM136" s="447"/>
      <c r="AN136" s="447"/>
      <c r="AO136" s="447"/>
      <c r="AP136" s="447"/>
      <c r="AQ136" s="447"/>
      <c r="AR136" s="447"/>
      <c r="AS136" s="447"/>
      <c r="AT136" s="447"/>
      <c r="AU136" s="447"/>
      <c r="AV136" s="447"/>
      <c r="AW136" s="447"/>
      <c r="AX136" s="447"/>
      <c r="AY136" s="447"/>
      <c r="AZ136" s="447"/>
      <c r="BA136" s="447"/>
      <c r="BB136" s="447"/>
      <c r="BC136" s="447"/>
      <c r="BD136" s="447"/>
      <c r="BE136" s="447"/>
      <c r="BF136" s="447"/>
      <c r="BG136" s="447"/>
      <c r="BH136" s="447"/>
      <c r="BI136" s="447"/>
      <c r="BJ136" s="447"/>
      <c r="BK136" s="447"/>
      <c r="BL136" s="447"/>
      <c r="BM136" s="448"/>
      <c r="BN136" s="448"/>
    </row>
    <row r="137" spans="1:66" ht="11.25" customHeight="1">
      <c r="A137" s="469"/>
      <c r="B137" s="447"/>
      <c r="C137" s="447"/>
      <c r="D137" s="447"/>
      <c r="E137" s="447"/>
      <c r="F137" s="447"/>
      <c r="G137" s="447"/>
      <c r="H137" s="447"/>
      <c r="I137" s="447"/>
      <c r="J137" s="447"/>
      <c r="K137" s="447"/>
      <c r="L137" s="447"/>
      <c r="M137" s="447"/>
      <c r="N137" s="447"/>
      <c r="O137" s="447"/>
      <c r="P137" s="447"/>
      <c r="Q137" s="447"/>
      <c r="R137" s="447"/>
      <c r="S137" s="447"/>
      <c r="T137" s="447"/>
      <c r="U137" s="447"/>
      <c r="V137" s="447"/>
      <c r="W137" s="447"/>
      <c r="X137" s="447"/>
      <c r="Y137" s="447"/>
      <c r="Z137" s="447"/>
      <c r="AA137" s="447"/>
      <c r="AB137" s="447"/>
      <c r="AC137" s="447"/>
      <c r="AD137" s="447"/>
      <c r="AE137" s="447"/>
      <c r="AF137" s="448"/>
      <c r="AG137" s="448"/>
      <c r="AH137" s="448"/>
      <c r="AI137" s="447"/>
      <c r="AJ137" s="447"/>
      <c r="AK137" s="447"/>
      <c r="AL137" s="447"/>
      <c r="AM137" s="447"/>
      <c r="AN137" s="447"/>
      <c r="AO137" s="447"/>
      <c r="AP137" s="447"/>
      <c r="AQ137" s="447"/>
      <c r="AR137" s="447"/>
      <c r="AS137" s="447"/>
      <c r="AT137" s="447"/>
      <c r="AU137" s="447"/>
      <c r="AV137" s="447"/>
      <c r="AW137" s="447"/>
      <c r="AX137" s="447"/>
      <c r="AY137" s="447"/>
      <c r="AZ137" s="447"/>
      <c r="BA137" s="447"/>
      <c r="BB137" s="447"/>
      <c r="BC137" s="447"/>
      <c r="BD137" s="447"/>
      <c r="BE137" s="447"/>
      <c r="BF137" s="447"/>
      <c r="BG137" s="447"/>
      <c r="BH137" s="447"/>
      <c r="BI137" s="447"/>
      <c r="BJ137" s="447"/>
      <c r="BK137" s="447"/>
      <c r="BL137" s="447"/>
      <c r="BM137" s="448"/>
      <c r="BN137" s="448"/>
    </row>
    <row r="138" spans="1:66" ht="11.25" customHeight="1">
      <c r="A138" s="469"/>
      <c r="B138" s="447"/>
      <c r="C138" s="447"/>
      <c r="D138" s="447"/>
      <c r="E138" s="447"/>
      <c r="F138" s="447"/>
      <c r="G138" s="447"/>
      <c r="H138" s="447"/>
      <c r="I138" s="447"/>
      <c r="J138" s="447"/>
      <c r="K138" s="447"/>
      <c r="L138" s="447"/>
      <c r="M138" s="447"/>
      <c r="N138" s="447"/>
      <c r="O138" s="447"/>
      <c r="P138" s="447"/>
      <c r="Q138" s="447"/>
      <c r="R138" s="447"/>
      <c r="S138" s="447"/>
      <c r="T138" s="447"/>
      <c r="U138" s="447"/>
      <c r="V138" s="447"/>
      <c r="W138" s="447"/>
      <c r="X138" s="447"/>
      <c r="Y138" s="447"/>
      <c r="Z138" s="447"/>
      <c r="AA138" s="447"/>
      <c r="AB138" s="447"/>
      <c r="AC138" s="447"/>
      <c r="AD138" s="447"/>
      <c r="AE138" s="447"/>
      <c r="AF138" s="448"/>
      <c r="AG138" s="448"/>
      <c r="AH138" s="448"/>
      <c r="AI138" s="447"/>
      <c r="AJ138" s="447"/>
      <c r="AK138" s="447"/>
      <c r="AL138" s="447"/>
      <c r="AM138" s="447"/>
      <c r="AN138" s="447"/>
      <c r="AO138" s="447"/>
      <c r="AP138" s="447"/>
      <c r="AQ138" s="447"/>
      <c r="AR138" s="447"/>
      <c r="AS138" s="447"/>
      <c r="AT138" s="447"/>
      <c r="AU138" s="447"/>
      <c r="AV138" s="447"/>
      <c r="AW138" s="447"/>
      <c r="AX138" s="447"/>
      <c r="AY138" s="447"/>
      <c r="AZ138" s="447"/>
      <c r="BA138" s="447"/>
      <c r="BB138" s="447"/>
      <c r="BC138" s="447"/>
      <c r="BD138" s="447"/>
      <c r="BE138" s="447"/>
      <c r="BF138" s="447"/>
      <c r="BG138" s="447"/>
      <c r="BH138" s="447"/>
      <c r="BI138" s="447"/>
      <c r="BJ138" s="447"/>
      <c r="BK138" s="447"/>
      <c r="BL138" s="447"/>
      <c r="BM138" s="448"/>
      <c r="BN138" s="448"/>
    </row>
    <row r="139" spans="1:66" ht="11.25" customHeight="1">
      <c r="A139" s="469"/>
      <c r="B139" s="447"/>
      <c r="C139" s="447"/>
      <c r="D139" s="447"/>
      <c r="E139" s="447"/>
      <c r="F139" s="447"/>
      <c r="G139" s="447"/>
      <c r="H139" s="447"/>
      <c r="I139" s="447"/>
      <c r="J139" s="447"/>
      <c r="K139" s="447"/>
      <c r="L139" s="447"/>
      <c r="M139" s="447"/>
      <c r="N139" s="447"/>
      <c r="O139" s="447"/>
      <c r="P139" s="447"/>
      <c r="Q139" s="447"/>
      <c r="R139" s="447"/>
      <c r="S139" s="447"/>
      <c r="T139" s="447"/>
      <c r="U139" s="447"/>
      <c r="V139" s="447"/>
      <c r="W139" s="447"/>
      <c r="X139" s="447"/>
      <c r="Y139" s="447"/>
      <c r="Z139" s="447"/>
      <c r="AA139" s="447"/>
      <c r="AB139" s="447"/>
      <c r="AC139" s="447"/>
      <c r="AD139" s="447"/>
      <c r="AE139" s="447"/>
      <c r="AF139" s="448"/>
      <c r="AG139" s="448"/>
      <c r="AH139" s="448"/>
      <c r="AI139" s="447"/>
      <c r="AJ139" s="447"/>
      <c r="AK139" s="447"/>
      <c r="AL139" s="447"/>
      <c r="AM139" s="447"/>
      <c r="AN139" s="447"/>
      <c r="AO139" s="447"/>
      <c r="AP139" s="447"/>
      <c r="AQ139" s="447"/>
      <c r="AR139" s="447"/>
      <c r="AS139" s="447"/>
      <c r="AT139" s="447"/>
      <c r="AU139" s="447"/>
      <c r="AV139" s="447"/>
      <c r="AW139" s="447"/>
      <c r="AX139" s="447"/>
      <c r="AY139" s="447"/>
      <c r="AZ139" s="447"/>
      <c r="BA139" s="447"/>
      <c r="BB139" s="447"/>
      <c r="BC139" s="447"/>
      <c r="BD139" s="447"/>
      <c r="BE139" s="447"/>
      <c r="BF139" s="447"/>
      <c r="BG139" s="447"/>
      <c r="BH139" s="447"/>
      <c r="BI139" s="447"/>
      <c r="BJ139" s="447"/>
      <c r="BK139" s="447"/>
      <c r="BL139" s="447"/>
      <c r="BM139" s="448"/>
      <c r="BN139" s="448"/>
    </row>
    <row r="140" spans="1:66" ht="11.25" customHeight="1">
      <c r="A140" s="469"/>
      <c r="B140" s="447"/>
      <c r="C140" s="447"/>
      <c r="D140" s="447"/>
      <c r="E140" s="447"/>
      <c r="F140" s="447"/>
      <c r="G140" s="447"/>
      <c r="H140" s="447"/>
      <c r="I140" s="447"/>
      <c r="J140" s="447"/>
      <c r="K140" s="447"/>
      <c r="L140" s="447"/>
      <c r="M140" s="447"/>
      <c r="N140" s="447"/>
      <c r="O140" s="447"/>
      <c r="P140" s="447"/>
      <c r="Q140" s="447"/>
      <c r="R140" s="447"/>
      <c r="S140" s="447"/>
      <c r="T140" s="447"/>
      <c r="U140" s="447"/>
      <c r="V140" s="447"/>
      <c r="W140" s="447"/>
      <c r="X140" s="447"/>
      <c r="Y140" s="447"/>
      <c r="Z140" s="447"/>
      <c r="AA140" s="447"/>
      <c r="AB140" s="447"/>
      <c r="AC140" s="447"/>
      <c r="AD140" s="447"/>
      <c r="AE140" s="447"/>
      <c r="AF140" s="448"/>
      <c r="AG140" s="448"/>
      <c r="AH140" s="448"/>
      <c r="AI140" s="447"/>
      <c r="AJ140" s="447"/>
      <c r="AK140" s="447"/>
      <c r="AL140" s="447"/>
      <c r="AM140" s="447"/>
      <c r="AN140" s="447"/>
      <c r="AO140" s="447"/>
      <c r="AP140" s="447"/>
      <c r="AQ140" s="447"/>
      <c r="AR140" s="447"/>
      <c r="AS140" s="447"/>
      <c r="AT140" s="447"/>
      <c r="AU140" s="447"/>
      <c r="AV140" s="447"/>
      <c r="AW140" s="447"/>
      <c r="AX140" s="447"/>
      <c r="AY140" s="447"/>
      <c r="AZ140" s="447"/>
      <c r="BA140" s="447"/>
      <c r="BB140" s="447"/>
      <c r="BC140" s="447"/>
      <c r="BD140" s="447"/>
      <c r="BE140" s="447"/>
      <c r="BF140" s="447"/>
      <c r="BG140" s="447"/>
      <c r="BH140" s="447"/>
      <c r="BI140" s="447"/>
      <c r="BJ140" s="447"/>
      <c r="BK140" s="447"/>
      <c r="BL140" s="447"/>
      <c r="BM140" s="448"/>
      <c r="BN140" s="448"/>
    </row>
    <row r="141" spans="1:66" ht="11.25" customHeight="1">
      <c r="A141" s="469"/>
      <c r="B141" s="447"/>
      <c r="C141" s="447"/>
      <c r="D141" s="447"/>
      <c r="E141" s="447"/>
      <c r="F141" s="447"/>
      <c r="G141" s="447"/>
      <c r="H141" s="447"/>
      <c r="I141" s="447"/>
      <c r="J141" s="447"/>
      <c r="K141" s="447"/>
      <c r="L141" s="447"/>
      <c r="M141" s="447"/>
      <c r="N141" s="447"/>
      <c r="O141" s="447"/>
      <c r="P141" s="447"/>
      <c r="Q141" s="447"/>
      <c r="R141" s="447"/>
      <c r="S141" s="447"/>
      <c r="T141" s="447"/>
      <c r="U141" s="447"/>
      <c r="V141" s="447"/>
      <c r="W141" s="447"/>
      <c r="X141" s="447"/>
      <c r="Y141" s="447"/>
      <c r="Z141" s="447"/>
      <c r="AA141" s="447"/>
      <c r="AB141" s="447"/>
      <c r="AC141" s="447"/>
      <c r="AD141" s="447"/>
      <c r="AE141" s="447"/>
      <c r="AF141" s="448"/>
      <c r="AG141" s="448"/>
      <c r="AH141" s="448"/>
      <c r="AI141" s="447"/>
      <c r="AJ141" s="447"/>
      <c r="AK141" s="447"/>
      <c r="AL141" s="447"/>
      <c r="AM141" s="447"/>
      <c r="AN141" s="447"/>
      <c r="AO141" s="447"/>
      <c r="AP141" s="447"/>
      <c r="AQ141" s="447"/>
      <c r="AR141" s="447"/>
      <c r="AS141" s="447"/>
      <c r="AT141" s="447"/>
      <c r="AU141" s="447"/>
      <c r="AV141" s="447"/>
      <c r="AW141" s="447"/>
      <c r="AX141" s="447"/>
      <c r="AY141" s="447"/>
      <c r="AZ141" s="447"/>
      <c r="BA141" s="447"/>
      <c r="BB141" s="447"/>
      <c r="BC141" s="447"/>
      <c r="BD141" s="447"/>
      <c r="BE141" s="447"/>
      <c r="BF141" s="447"/>
      <c r="BG141" s="447"/>
      <c r="BH141" s="447"/>
      <c r="BI141" s="447"/>
      <c r="BJ141" s="447"/>
      <c r="BK141" s="447"/>
      <c r="BL141" s="447"/>
      <c r="BM141" s="448"/>
      <c r="BN141" s="448"/>
    </row>
    <row r="142" spans="1:66" ht="11.25" customHeight="1">
      <c r="A142" s="469"/>
      <c r="B142" s="447"/>
      <c r="C142" s="447"/>
      <c r="D142" s="447"/>
      <c r="E142" s="447"/>
      <c r="F142" s="447"/>
      <c r="G142" s="447"/>
      <c r="H142" s="447"/>
      <c r="I142" s="447"/>
      <c r="J142" s="447"/>
      <c r="K142" s="447"/>
      <c r="L142" s="447"/>
      <c r="M142" s="447"/>
      <c r="N142" s="447"/>
      <c r="O142" s="447"/>
      <c r="P142" s="447"/>
      <c r="Q142" s="447"/>
      <c r="R142" s="447"/>
      <c r="S142" s="447"/>
      <c r="T142" s="447"/>
      <c r="U142" s="447"/>
      <c r="V142" s="447"/>
      <c r="W142" s="447"/>
      <c r="X142" s="447"/>
      <c r="Y142" s="447"/>
      <c r="Z142" s="447"/>
      <c r="AA142" s="447"/>
      <c r="AB142" s="447"/>
      <c r="AC142" s="447"/>
      <c r="AD142" s="447"/>
      <c r="AE142" s="447"/>
      <c r="AF142" s="448"/>
      <c r="AG142" s="448"/>
      <c r="AH142" s="448"/>
      <c r="AI142" s="447"/>
      <c r="AJ142" s="447"/>
      <c r="AK142" s="447"/>
      <c r="AL142" s="447"/>
      <c r="AM142" s="447"/>
      <c r="AN142" s="447"/>
      <c r="AO142" s="447"/>
      <c r="AP142" s="447"/>
      <c r="AQ142" s="447"/>
      <c r="AR142" s="447"/>
      <c r="AS142" s="447"/>
      <c r="AT142" s="447"/>
      <c r="AU142" s="447"/>
      <c r="AV142" s="447"/>
      <c r="AW142" s="447"/>
      <c r="AX142" s="447"/>
      <c r="AY142" s="447"/>
      <c r="AZ142" s="447"/>
      <c r="BA142" s="447"/>
      <c r="BB142" s="447"/>
      <c r="BC142" s="447"/>
      <c r="BD142" s="447"/>
      <c r="BE142" s="447"/>
      <c r="BF142" s="447"/>
      <c r="BG142" s="447"/>
      <c r="BH142" s="447"/>
      <c r="BI142" s="447"/>
      <c r="BJ142" s="447"/>
      <c r="BK142" s="447"/>
      <c r="BL142" s="447"/>
      <c r="BM142" s="448"/>
      <c r="BN142" s="448"/>
    </row>
    <row r="143" spans="1:66" ht="11.25" customHeight="1">
      <c r="A143" s="469"/>
      <c r="B143" s="447"/>
      <c r="C143" s="447"/>
      <c r="D143" s="447"/>
      <c r="E143" s="447"/>
      <c r="F143" s="447"/>
      <c r="G143" s="447"/>
      <c r="H143" s="447"/>
      <c r="I143" s="447"/>
      <c r="J143" s="447"/>
      <c r="K143" s="447"/>
      <c r="L143" s="447"/>
      <c r="M143" s="447"/>
      <c r="N143" s="447"/>
      <c r="O143" s="447"/>
      <c r="P143" s="447"/>
      <c r="Q143" s="447"/>
      <c r="R143" s="447"/>
      <c r="S143" s="447"/>
      <c r="T143" s="447"/>
      <c r="U143" s="447"/>
      <c r="V143" s="447"/>
      <c r="W143" s="447"/>
      <c r="X143" s="447"/>
      <c r="Y143" s="447"/>
      <c r="Z143" s="447"/>
      <c r="AA143" s="447"/>
      <c r="AB143" s="447"/>
      <c r="AC143" s="447"/>
      <c r="AD143" s="447"/>
      <c r="AE143" s="447"/>
      <c r="AF143" s="448"/>
      <c r="AG143" s="448"/>
      <c r="AH143" s="448"/>
      <c r="AI143" s="447"/>
      <c r="AJ143" s="447"/>
      <c r="AK143" s="447"/>
      <c r="AL143" s="447"/>
      <c r="AM143" s="447"/>
      <c r="AN143" s="447"/>
      <c r="AO143" s="447"/>
      <c r="AP143" s="447"/>
      <c r="AQ143" s="447"/>
      <c r="AR143" s="447"/>
      <c r="AS143" s="447"/>
      <c r="AT143" s="447"/>
      <c r="AU143" s="447"/>
      <c r="AV143" s="447"/>
      <c r="AW143" s="447"/>
      <c r="AX143" s="447"/>
      <c r="AY143" s="447"/>
      <c r="AZ143" s="447"/>
      <c r="BA143" s="447"/>
      <c r="BB143" s="447"/>
      <c r="BC143" s="447"/>
      <c r="BD143" s="447"/>
      <c r="BE143" s="447"/>
      <c r="BF143" s="447"/>
      <c r="BG143" s="447"/>
      <c r="BH143" s="447"/>
      <c r="BI143" s="447"/>
      <c r="BJ143" s="447"/>
      <c r="BK143" s="447"/>
      <c r="BL143" s="447"/>
      <c r="BM143" s="448"/>
      <c r="BN143" s="448"/>
    </row>
    <row r="144" spans="1:66" ht="11.25" customHeight="1">
      <c r="A144" s="469"/>
      <c r="B144" s="447"/>
      <c r="C144" s="447"/>
      <c r="D144" s="447"/>
      <c r="E144" s="447"/>
      <c r="F144" s="447"/>
      <c r="G144" s="447"/>
      <c r="H144" s="447"/>
      <c r="I144" s="447"/>
      <c r="J144" s="447"/>
      <c r="K144" s="447"/>
      <c r="L144" s="447"/>
      <c r="M144" s="447"/>
      <c r="N144" s="447"/>
      <c r="O144" s="447"/>
      <c r="P144" s="447"/>
      <c r="Q144" s="447"/>
      <c r="R144" s="447"/>
      <c r="S144" s="447"/>
      <c r="T144" s="447"/>
      <c r="U144" s="447"/>
      <c r="V144" s="447"/>
      <c r="W144" s="447"/>
      <c r="X144" s="447"/>
      <c r="Y144" s="447"/>
      <c r="Z144" s="447"/>
      <c r="AA144" s="447"/>
      <c r="AB144" s="447"/>
      <c r="AC144" s="447"/>
      <c r="AD144" s="447"/>
      <c r="AE144" s="447"/>
      <c r="AF144" s="448"/>
      <c r="AG144" s="448"/>
      <c r="AH144" s="448"/>
      <c r="AI144" s="447"/>
      <c r="AJ144" s="447"/>
      <c r="AK144" s="447"/>
      <c r="AL144" s="447"/>
      <c r="AM144" s="447"/>
      <c r="AN144" s="447"/>
      <c r="AO144" s="447"/>
      <c r="AP144" s="447"/>
      <c r="AQ144" s="447"/>
      <c r="AR144" s="447"/>
      <c r="AS144" s="447"/>
      <c r="AT144" s="447"/>
      <c r="AU144" s="447"/>
      <c r="AV144" s="447"/>
      <c r="AW144" s="447"/>
      <c r="AX144" s="447"/>
      <c r="AY144" s="447"/>
      <c r="AZ144" s="447"/>
      <c r="BA144" s="447"/>
      <c r="BB144" s="447"/>
      <c r="BC144" s="447"/>
      <c r="BD144" s="447"/>
      <c r="BE144" s="447"/>
      <c r="BF144" s="447"/>
      <c r="BG144" s="447"/>
      <c r="BH144" s="447"/>
      <c r="BI144" s="447"/>
      <c r="BJ144" s="447"/>
      <c r="BK144" s="447"/>
      <c r="BL144" s="447"/>
      <c r="BM144" s="448"/>
      <c r="BN144" s="448"/>
    </row>
    <row r="145" spans="1:66" ht="11.25" customHeight="1">
      <c r="A145" s="469"/>
      <c r="B145" s="447"/>
      <c r="C145" s="447"/>
      <c r="D145" s="447"/>
      <c r="E145" s="447"/>
      <c r="F145" s="447"/>
      <c r="G145" s="447"/>
      <c r="H145" s="447"/>
      <c r="I145" s="447"/>
      <c r="J145" s="447"/>
      <c r="K145" s="447"/>
      <c r="L145" s="447"/>
      <c r="M145" s="447"/>
      <c r="N145" s="447"/>
      <c r="O145" s="447"/>
      <c r="P145" s="447"/>
      <c r="Q145" s="447"/>
      <c r="R145" s="447"/>
      <c r="S145" s="447"/>
      <c r="T145" s="447"/>
      <c r="U145" s="447"/>
      <c r="V145" s="447"/>
      <c r="W145" s="447"/>
      <c r="X145" s="447"/>
      <c r="Y145" s="447"/>
      <c r="Z145" s="447"/>
      <c r="AA145" s="447"/>
      <c r="AB145" s="447"/>
      <c r="AC145" s="447"/>
      <c r="AD145" s="447"/>
      <c r="AE145" s="447"/>
      <c r="AF145" s="448"/>
      <c r="AG145" s="448"/>
      <c r="AH145" s="448"/>
      <c r="AI145" s="447"/>
      <c r="AJ145" s="447"/>
      <c r="AK145" s="447"/>
      <c r="AL145" s="447"/>
      <c r="AM145" s="447"/>
      <c r="AN145" s="447"/>
      <c r="AO145" s="447"/>
      <c r="AP145" s="447"/>
      <c r="AQ145" s="447"/>
      <c r="AR145" s="447"/>
      <c r="AS145" s="447"/>
      <c r="AT145" s="447"/>
      <c r="AU145" s="447"/>
      <c r="AV145" s="447"/>
      <c r="AW145" s="447"/>
      <c r="AX145" s="447"/>
      <c r="AY145" s="447"/>
      <c r="AZ145" s="447"/>
      <c r="BA145" s="447"/>
      <c r="BB145" s="447"/>
      <c r="BC145" s="447"/>
      <c r="BD145" s="447"/>
      <c r="BE145" s="447"/>
      <c r="BF145" s="447"/>
      <c r="BG145" s="447"/>
      <c r="BH145" s="447"/>
      <c r="BI145" s="447"/>
      <c r="BJ145" s="447"/>
      <c r="BK145" s="447"/>
      <c r="BL145" s="447"/>
      <c r="BM145" s="448"/>
      <c r="BN145" s="448"/>
    </row>
    <row r="146" spans="1:66" ht="11.25" customHeight="1">
      <c r="A146" s="469"/>
      <c r="B146" s="447"/>
      <c r="C146" s="447"/>
      <c r="D146" s="447"/>
      <c r="E146" s="447"/>
      <c r="F146" s="447"/>
      <c r="G146" s="447"/>
      <c r="H146" s="447"/>
      <c r="I146" s="447"/>
      <c r="J146" s="447"/>
      <c r="K146" s="447"/>
      <c r="L146" s="447"/>
      <c r="M146" s="447"/>
      <c r="N146" s="447"/>
      <c r="O146" s="447"/>
      <c r="P146" s="447"/>
      <c r="Q146" s="447"/>
      <c r="R146" s="447"/>
      <c r="S146" s="447"/>
      <c r="T146" s="447"/>
      <c r="U146" s="447"/>
      <c r="V146" s="447"/>
      <c r="W146" s="447"/>
      <c r="X146" s="447"/>
      <c r="Y146" s="447"/>
      <c r="Z146" s="447"/>
      <c r="AA146" s="447"/>
      <c r="AB146" s="447"/>
      <c r="AC146" s="447"/>
      <c r="AD146" s="447"/>
      <c r="AE146" s="447"/>
      <c r="AF146" s="448"/>
      <c r="AG146" s="448"/>
      <c r="AH146" s="448"/>
      <c r="AI146" s="447"/>
      <c r="AJ146" s="447"/>
      <c r="AK146" s="447"/>
      <c r="AL146" s="447"/>
      <c r="AM146" s="447"/>
      <c r="AN146" s="447"/>
      <c r="AO146" s="447"/>
      <c r="AP146" s="447"/>
      <c r="AQ146" s="447"/>
      <c r="AR146" s="447"/>
      <c r="AS146" s="447"/>
      <c r="AT146" s="447"/>
      <c r="AU146" s="447"/>
      <c r="AV146" s="447"/>
      <c r="AW146" s="447"/>
      <c r="AX146" s="447"/>
      <c r="AY146" s="447"/>
      <c r="AZ146" s="447"/>
      <c r="BA146" s="447"/>
      <c r="BB146" s="447"/>
      <c r="BC146" s="447"/>
      <c r="BD146" s="447"/>
      <c r="BE146" s="447"/>
      <c r="BF146" s="447"/>
      <c r="BG146" s="447"/>
      <c r="BH146" s="447"/>
      <c r="BI146" s="447"/>
      <c r="BJ146" s="447"/>
      <c r="BK146" s="447"/>
      <c r="BL146" s="447"/>
      <c r="BM146" s="448"/>
      <c r="BN146" s="448"/>
    </row>
    <row r="147" spans="1:66" ht="11.25" customHeight="1">
      <c r="A147" s="469"/>
      <c r="B147" s="447"/>
      <c r="C147" s="447"/>
      <c r="D147" s="447"/>
      <c r="E147" s="447"/>
      <c r="F147" s="447"/>
      <c r="G147" s="447"/>
      <c r="H147" s="447"/>
      <c r="I147" s="447"/>
      <c r="J147" s="447"/>
      <c r="K147" s="447"/>
      <c r="L147" s="447"/>
      <c r="M147" s="447"/>
      <c r="N147" s="447"/>
      <c r="O147" s="447"/>
      <c r="P147" s="447"/>
      <c r="Q147" s="447"/>
      <c r="R147" s="447"/>
      <c r="S147" s="447"/>
      <c r="T147" s="447"/>
      <c r="U147" s="447"/>
      <c r="V147" s="447"/>
      <c r="W147" s="447"/>
      <c r="X147" s="447"/>
      <c r="Y147" s="447"/>
      <c r="Z147" s="447"/>
      <c r="AA147" s="447"/>
      <c r="AB147" s="447"/>
      <c r="AC147" s="447"/>
      <c r="AD147" s="447"/>
      <c r="AE147" s="447"/>
      <c r="AF147" s="448"/>
      <c r="AG147" s="448"/>
      <c r="AH147" s="448"/>
      <c r="AI147" s="447"/>
      <c r="AJ147" s="447"/>
      <c r="AK147" s="447"/>
      <c r="AL147" s="447"/>
      <c r="AM147" s="447"/>
      <c r="AN147" s="447"/>
      <c r="AO147" s="447"/>
      <c r="AP147" s="447"/>
      <c r="AQ147" s="447"/>
      <c r="AR147" s="447"/>
      <c r="AS147" s="447"/>
      <c r="AT147" s="447"/>
      <c r="AU147" s="447"/>
      <c r="AV147" s="447"/>
      <c r="AW147" s="447"/>
      <c r="AX147" s="447"/>
      <c r="AY147" s="447"/>
      <c r="AZ147" s="447"/>
      <c r="BA147" s="447"/>
      <c r="BB147" s="447"/>
      <c r="BC147" s="447"/>
      <c r="BD147" s="447"/>
      <c r="BE147" s="447"/>
      <c r="BF147" s="447"/>
      <c r="BG147" s="447"/>
      <c r="BH147" s="447"/>
      <c r="BI147" s="447"/>
      <c r="BJ147" s="447"/>
      <c r="BK147" s="447"/>
      <c r="BL147" s="447"/>
      <c r="BM147" s="448"/>
      <c r="BN147" s="448"/>
    </row>
    <row r="148" spans="1:66" ht="11.25" customHeight="1">
      <c r="A148" s="469"/>
      <c r="B148" s="447"/>
      <c r="C148" s="447"/>
      <c r="D148" s="447"/>
      <c r="E148" s="447"/>
      <c r="F148" s="447"/>
      <c r="G148" s="447"/>
      <c r="H148" s="447"/>
      <c r="I148" s="447"/>
      <c r="J148" s="447"/>
      <c r="K148" s="447"/>
      <c r="L148" s="447"/>
      <c r="M148" s="447"/>
      <c r="N148" s="447"/>
      <c r="O148" s="447"/>
      <c r="P148" s="447"/>
      <c r="Q148" s="447"/>
      <c r="R148" s="447"/>
      <c r="S148" s="447"/>
      <c r="T148" s="447"/>
      <c r="U148" s="447"/>
      <c r="V148" s="447"/>
      <c r="W148" s="447"/>
      <c r="X148" s="447"/>
      <c r="Y148" s="447"/>
      <c r="Z148" s="447"/>
      <c r="AA148" s="447"/>
      <c r="AB148" s="447"/>
      <c r="AC148" s="447"/>
      <c r="AD148" s="447"/>
      <c r="AE148" s="447"/>
      <c r="AF148" s="448"/>
      <c r="AG148" s="448"/>
      <c r="AH148" s="448"/>
      <c r="AI148" s="447"/>
      <c r="AJ148" s="447"/>
      <c r="AK148" s="447"/>
      <c r="AL148" s="447"/>
      <c r="AM148" s="447"/>
      <c r="AN148" s="447"/>
      <c r="AO148" s="447"/>
      <c r="AP148" s="447"/>
      <c r="AQ148" s="447"/>
      <c r="AR148" s="447"/>
      <c r="AS148" s="447"/>
      <c r="AT148" s="447"/>
      <c r="AU148" s="447"/>
      <c r="AV148" s="447"/>
      <c r="AW148" s="447"/>
      <c r="AX148" s="447"/>
      <c r="AY148" s="447"/>
      <c r="AZ148" s="447"/>
      <c r="BA148" s="447"/>
      <c r="BB148" s="447"/>
      <c r="BC148" s="447"/>
      <c r="BD148" s="447"/>
      <c r="BE148" s="447"/>
      <c r="BF148" s="447"/>
      <c r="BG148" s="447"/>
      <c r="BH148" s="447"/>
      <c r="BI148" s="447"/>
      <c r="BJ148" s="447"/>
      <c r="BK148" s="447"/>
      <c r="BL148" s="447"/>
      <c r="BM148" s="448"/>
      <c r="BN148" s="448"/>
    </row>
    <row r="149" spans="1:66" ht="11.25" customHeight="1">
      <c r="A149" s="469"/>
      <c r="B149" s="447"/>
      <c r="C149" s="447"/>
      <c r="D149" s="447"/>
      <c r="E149" s="447"/>
      <c r="F149" s="447"/>
      <c r="G149" s="447"/>
      <c r="H149" s="447"/>
      <c r="I149" s="447"/>
      <c r="J149" s="447"/>
      <c r="K149" s="447"/>
      <c r="L149" s="447"/>
      <c r="M149" s="447"/>
      <c r="N149" s="447"/>
      <c r="O149" s="447"/>
      <c r="P149" s="447"/>
      <c r="Q149" s="447"/>
      <c r="R149" s="447"/>
      <c r="S149" s="447"/>
      <c r="T149" s="447"/>
      <c r="U149" s="447"/>
      <c r="V149" s="447"/>
      <c r="W149" s="447"/>
      <c r="X149" s="447"/>
      <c r="Y149" s="447"/>
      <c r="Z149" s="447"/>
      <c r="AA149" s="447"/>
      <c r="AB149" s="447"/>
      <c r="AC149" s="447"/>
      <c r="AD149" s="447"/>
      <c r="AE149" s="447"/>
      <c r="AF149" s="448"/>
      <c r="AG149" s="448"/>
      <c r="AH149" s="448"/>
      <c r="AI149" s="447"/>
      <c r="AJ149" s="447"/>
      <c r="AK149" s="447"/>
      <c r="AL149" s="447"/>
      <c r="AM149" s="447"/>
      <c r="AN149" s="447"/>
      <c r="AO149" s="447"/>
      <c r="AP149" s="447"/>
      <c r="AQ149" s="447"/>
      <c r="AR149" s="447"/>
      <c r="AS149" s="447"/>
      <c r="AT149" s="447"/>
      <c r="AU149" s="447"/>
      <c r="AV149" s="447"/>
      <c r="AW149" s="447"/>
      <c r="AX149" s="447"/>
      <c r="AY149" s="447"/>
      <c r="AZ149" s="447"/>
      <c r="BA149" s="447"/>
      <c r="BB149" s="447"/>
      <c r="BC149" s="447"/>
      <c r="BD149" s="447"/>
      <c r="BE149" s="447"/>
      <c r="BF149" s="447"/>
      <c r="BG149" s="447"/>
      <c r="BH149" s="447"/>
      <c r="BI149" s="447"/>
      <c r="BJ149" s="447"/>
      <c r="BK149" s="447"/>
      <c r="BL149" s="447"/>
      <c r="BM149" s="448"/>
      <c r="BN149" s="448"/>
    </row>
    <row r="150" spans="1:66" ht="11.25" customHeight="1">
      <c r="A150" s="469"/>
      <c r="B150" s="447"/>
      <c r="C150" s="447"/>
      <c r="D150" s="447"/>
      <c r="E150" s="447"/>
      <c r="F150" s="447"/>
      <c r="G150" s="447"/>
      <c r="H150" s="447"/>
      <c r="I150" s="447"/>
      <c r="J150" s="447"/>
      <c r="K150" s="447"/>
      <c r="L150" s="447"/>
      <c r="M150" s="447"/>
      <c r="N150" s="447"/>
      <c r="O150" s="447"/>
      <c r="P150" s="447"/>
      <c r="Q150" s="447"/>
      <c r="R150" s="447"/>
      <c r="S150" s="447"/>
      <c r="T150" s="447"/>
      <c r="U150" s="447"/>
      <c r="V150" s="447"/>
      <c r="W150" s="447"/>
      <c r="X150" s="447"/>
      <c r="Y150" s="447"/>
      <c r="Z150" s="447"/>
      <c r="AA150" s="447"/>
      <c r="AB150" s="447"/>
      <c r="AC150" s="447"/>
      <c r="AD150" s="447"/>
      <c r="AE150" s="447"/>
      <c r="AF150" s="448"/>
      <c r="AG150" s="448"/>
      <c r="AH150" s="448"/>
      <c r="AI150" s="447"/>
      <c r="AJ150" s="447"/>
      <c r="AK150" s="447"/>
      <c r="AL150" s="447"/>
      <c r="AM150" s="447"/>
      <c r="AN150" s="447"/>
      <c r="AO150" s="447"/>
      <c r="AP150" s="447"/>
      <c r="AQ150" s="447"/>
      <c r="AR150" s="447"/>
      <c r="AS150" s="447"/>
      <c r="AT150" s="447"/>
      <c r="AU150" s="447"/>
      <c r="AV150" s="447"/>
      <c r="AW150" s="447"/>
      <c r="AX150" s="447"/>
      <c r="AY150" s="447"/>
      <c r="AZ150" s="447"/>
      <c r="BA150" s="447"/>
      <c r="BB150" s="447"/>
      <c r="BC150" s="447"/>
      <c r="BD150" s="447"/>
      <c r="BE150" s="447"/>
      <c r="BF150" s="447"/>
      <c r="BG150" s="447"/>
      <c r="BH150" s="447"/>
      <c r="BI150" s="447"/>
      <c r="BJ150" s="447"/>
      <c r="BK150" s="447"/>
      <c r="BL150" s="447"/>
      <c r="BM150" s="448"/>
      <c r="BN150" s="448"/>
    </row>
    <row r="151" spans="1:66" ht="11.25" customHeight="1">
      <c r="A151" s="469"/>
      <c r="B151" s="447"/>
      <c r="C151" s="447"/>
      <c r="D151" s="447"/>
      <c r="E151" s="447"/>
      <c r="F151" s="447"/>
      <c r="G151" s="447"/>
      <c r="H151" s="447"/>
      <c r="I151" s="447"/>
      <c r="J151" s="447"/>
      <c r="K151" s="447"/>
      <c r="L151" s="447"/>
      <c r="M151" s="447"/>
      <c r="N151" s="447"/>
      <c r="O151" s="447"/>
      <c r="P151" s="447"/>
      <c r="Q151" s="447"/>
      <c r="R151" s="447"/>
      <c r="S151" s="447"/>
      <c r="T151" s="447"/>
      <c r="U151" s="447"/>
      <c r="V151" s="447"/>
      <c r="W151" s="447"/>
      <c r="X151" s="447"/>
      <c r="Y151" s="447"/>
      <c r="Z151" s="447"/>
      <c r="AA151" s="447"/>
      <c r="AB151" s="447"/>
      <c r="AC151" s="447"/>
      <c r="AD151" s="447"/>
      <c r="AE151" s="447"/>
      <c r="AF151" s="448"/>
      <c r="AG151" s="448"/>
      <c r="AH151" s="448"/>
      <c r="AI151" s="447"/>
      <c r="AJ151" s="447"/>
      <c r="AK151" s="447"/>
      <c r="AL151" s="447"/>
      <c r="AM151" s="447"/>
      <c r="AN151" s="447"/>
      <c r="AO151" s="447"/>
      <c r="AP151" s="447"/>
      <c r="AQ151" s="447"/>
      <c r="AR151" s="447"/>
      <c r="AS151" s="447"/>
      <c r="AT151" s="447"/>
      <c r="AU151" s="447"/>
      <c r="AV151" s="447"/>
      <c r="AW151" s="447"/>
      <c r="AX151" s="447"/>
      <c r="AY151" s="447"/>
      <c r="AZ151" s="447"/>
      <c r="BA151" s="447"/>
      <c r="BB151" s="447"/>
      <c r="BC151" s="447"/>
      <c r="BD151" s="447"/>
      <c r="BE151" s="447"/>
      <c r="BF151" s="447"/>
      <c r="BG151" s="447"/>
      <c r="BH151" s="447"/>
      <c r="BI151" s="447"/>
      <c r="BJ151" s="447"/>
      <c r="BK151" s="447"/>
      <c r="BL151" s="447"/>
      <c r="BM151" s="448"/>
      <c r="BN151" s="448"/>
    </row>
    <row r="152" spans="1:66" ht="11.25" customHeight="1">
      <c r="A152" s="469"/>
      <c r="B152" s="447"/>
      <c r="C152" s="447"/>
      <c r="D152" s="447"/>
      <c r="E152" s="447"/>
      <c r="F152" s="447"/>
      <c r="G152" s="447"/>
      <c r="H152" s="447"/>
      <c r="I152" s="447"/>
      <c r="J152" s="447"/>
      <c r="K152" s="447"/>
      <c r="L152" s="447"/>
      <c r="M152" s="447"/>
      <c r="N152" s="447"/>
      <c r="O152" s="447"/>
      <c r="P152" s="447"/>
      <c r="Q152" s="447"/>
      <c r="R152" s="447"/>
      <c r="S152" s="447"/>
      <c r="T152" s="447"/>
      <c r="U152" s="447"/>
      <c r="V152" s="447"/>
      <c r="W152" s="447"/>
      <c r="X152" s="447"/>
      <c r="Y152" s="447"/>
      <c r="Z152" s="447"/>
      <c r="AA152" s="447"/>
      <c r="AB152" s="447"/>
      <c r="AC152" s="447"/>
      <c r="AD152" s="447"/>
      <c r="AE152" s="447"/>
      <c r="AF152" s="448"/>
      <c r="AG152" s="448"/>
      <c r="AH152" s="448"/>
      <c r="AI152" s="447"/>
      <c r="AJ152" s="447"/>
      <c r="AK152" s="447"/>
      <c r="AL152" s="447"/>
      <c r="AM152" s="447"/>
      <c r="AN152" s="447"/>
      <c r="AO152" s="447"/>
      <c r="AP152" s="447"/>
      <c r="AQ152" s="447"/>
      <c r="AR152" s="447"/>
      <c r="AS152" s="447"/>
      <c r="AT152" s="447"/>
      <c r="AU152" s="447"/>
      <c r="AV152" s="447"/>
      <c r="AW152" s="447"/>
      <c r="AX152" s="447"/>
      <c r="AY152" s="447"/>
      <c r="AZ152" s="447"/>
      <c r="BA152" s="447"/>
      <c r="BB152" s="447"/>
      <c r="BC152" s="447"/>
      <c r="BD152" s="447"/>
      <c r="BE152" s="447"/>
      <c r="BF152" s="447"/>
      <c r="BG152" s="447"/>
      <c r="BH152" s="447"/>
      <c r="BI152" s="447"/>
      <c r="BJ152" s="447"/>
      <c r="BK152" s="447"/>
      <c r="BL152" s="447"/>
      <c r="BM152" s="448"/>
      <c r="BN152" s="448"/>
    </row>
    <row r="153" spans="1:66" ht="11.25" customHeight="1">
      <c r="A153" s="469"/>
      <c r="B153" s="447"/>
      <c r="C153" s="447"/>
      <c r="D153" s="447"/>
      <c r="E153" s="447"/>
      <c r="F153" s="447"/>
      <c r="G153" s="447"/>
      <c r="H153" s="447"/>
      <c r="I153" s="447"/>
      <c r="J153" s="447"/>
      <c r="K153" s="447"/>
      <c r="L153" s="447"/>
      <c r="M153" s="447"/>
      <c r="N153" s="447"/>
      <c r="O153" s="447"/>
      <c r="P153" s="447"/>
      <c r="Q153" s="447"/>
      <c r="R153" s="447"/>
      <c r="S153" s="447"/>
      <c r="T153" s="447"/>
      <c r="U153" s="447"/>
      <c r="V153" s="447"/>
      <c r="W153" s="447"/>
      <c r="X153" s="447"/>
      <c r="Y153" s="447"/>
      <c r="Z153" s="447"/>
      <c r="AA153" s="447"/>
      <c r="AB153" s="447"/>
      <c r="AC153" s="447"/>
      <c r="AD153" s="447"/>
      <c r="AE153" s="447"/>
      <c r="AF153" s="448"/>
      <c r="AG153" s="448"/>
      <c r="AH153" s="448"/>
      <c r="AI153" s="447"/>
      <c r="AJ153" s="447"/>
      <c r="AK153" s="447"/>
      <c r="AL153" s="447"/>
      <c r="AM153" s="447"/>
      <c r="AN153" s="447"/>
      <c r="AO153" s="447"/>
      <c r="AP153" s="447"/>
      <c r="AQ153" s="447"/>
      <c r="AR153" s="447"/>
      <c r="AS153" s="447"/>
      <c r="AT153" s="447"/>
      <c r="AU153" s="447"/>
      <c r="AV153" s="447"/>
      <c r="AW153" s="447"/>
      <c r="AX153" s="447"/>
      <c r="AY153" s="447"/>
      <c r="AZ153" s="447"/>
      <c r="BA153" s="447"/>
      <c r="BB153" s="447"/>
      <c r="BC153" s="447"/>
      <c r="BD153" s="447"/>
      <c r="BE153" s="447"/>
      <c r="BF153" s="447"/>
      <c r="BG153" s="447"/>
      <c r="BH153" s="447"/>
      <c r="BI153" s="447"/>
      <c r="BJ153" s="447"/>
      <c r="BK153" s="447"/>
      <c r="BL153" s="447"/>
      <c r="BM153" s="448"/>
      <c r="BN153" s="448"/>
    </row>
    <row r="154" spans="1:66" ht="11.25" customHeight="1">
      <c r="A154" s="469"/>
      <c r="B154" s="447"/>
      <c r="C154" s="447"/>
      <c r="D154" s="447"/>
      <c r="E154" s="447"/>
      <c r="F154" s="447"/>
      <c r="G154" s="447"/>
      <c r="H154" s="447"/>
      <c r="I154" s="447"/>
      <c r="J154" s="447"/>
      <c r="K154" s="447"/>
      <c r="L154" s="447"/>
      <c r="M154" s="447"/>
      <c r="N154" s="447"/>
      <c r="O154" s="447"/>
      <c r="P154" s="447"/>
      <c r="Q154" s="447"/>
      <c r="R154" s="447"/>
      <c r="S154" s="447"/>
      <c r="T154" s="447"/>
      <c r="U154" s="447"/>
      <c r="V154" s="447"/>
      <c r="W154" s="447"/>
      <c r="X154" s="447"/>
      <c r="Y154" s="447"/>
      <c r="Z154" s="447"/>
      <c r="AA154" s="447"/>
      <c r="AB154" s="447"/>
      <c r="AC154" s="447"/>
      <c r="AD154" s="447"/>
      <c r="AE154" s="447"/>
      <c r="AF154" s="448"/>
      <c r="AG154" s="448"/>
      <c r="AH154" s="448"/>
      <c r="AI154" s="447"/>
      <c r="AJ154" s="447"/>
      <c r="AK154" s="447"/>
      <c r="AL154" s="447"/>
      <c r="AM154" s="447"/>
      <c r="AN154" s="447"/>
      <c r="AO154" s="447"/>
      <c r="AP154" s="447"/>
      <c r="AQ154" s="447"/>
      <c r="AR154" s="447"/>
      <c r="AS154" s="447"/>
      <c r="AT154" s="447"/>
      <c r="AU154" s="447"/>
      <c r="AV154" s="447"/>
      <c r="AW154" s="447"/>
      <c r="AX154" s="447"/>
      <c r="AY154" s="447"/>
      <c r="AZ154" s="447"/>
      <c r="BA154" s="447"/>
      <c r="BB154" s="447"/>
      <c r="BC154" s="447"/>
      <c r="BD154" s="447"/>
      <c r="BE154" s="447"/>
      <c r="BF154" s="447"/>
      <c r="BG154" s="447"/>
      <c r="BH154" s="447"/>
      <c r="BI154" s="447"/>
      <c r="BJ154" s="447"/>
      <c r="BK154" s="447"/>
      <c r="BL154" s="447"/>
      <c r="BM154" s="448"/>
      <c r="BN154" s="448"/>
    </row>
    <row r="155" spans="1:66" ht="11.25" customHeight="1">
      <c r="A155" s="469"/>
      <c r="B155" s="447"/>
      <c r="C155" s="447"/>
      <c r="D155" s="447"/>
      <c r="E155" s="447"/>
      <c r="F155" s="447"/>
      <c r="G155" s="447"/>
      <c r="H155" s="447"/>
      <c r="I155" s="447"/>
      <c r="J155" s="447"/>
      <c r="K155" s="447"/>
      <c r="L155" s="447"/>
      <c r="M155" s="447"/>
      <c r="N155" s="447"/>
      <c r="O155" s="447"/>
      <c r="P155" s="447"/>
      <c r="Q155" s="447"/>
      <c r="R155" s="447"/>
      <c r="S155" s="447"/>
      <c r="T155" s="447"/>
      <c r="U155" s="447"/>
      <c r="V155" s="447"/>
      <c r="W155" s="447"/>
      <c r="X155" s="447"/>
      <c r="Y155" s="447"/>
      <c r="Z155" s="447"/>
      <c r="AA155" s="447"/>
      <c r="AB155" s="447"/>
      <c r="AC155" s="447"/>
      <c r="AD155" s="447"/>
      <c r="AE155" s="447"/>
      <c r="AF155" s="448"/>
      <c r="AG155" s="448"/>
      <c r="AH155" s="448"/>
      <c r="AI155" s="447"/>
      <c r="AJ155" s="447"/>
      <c r="AK155" s="447"/>
      <c r="AL155" s="447"/>
      <c r="AM155" s="447"/>
      <c r="AN155" s="447"/>
      <c r="AO155" s="447"/>
      <c r="AP155" s="447"/>
      <c r="AQ155" s="447"/>
      <c r="AR155" s="447"/>
      <c r="AS155" s="447"/>
      <c r="AT155" s="447"/>
      <c r="AU155" s="447"/>
      <c r="AV155" s="447"/>
      <c r="AW155" s="447"/>
      <c r="AX155" s="447"/>
      <c r="AY155" s="447"/>
      <c r="AZ155" s="447"/>
      <c r="BA155" s="447"/>
      <c r="BB155" s="447"/>
      <c r="BC155" s="447"/>
      <c r="BD155" s="447"/>
      <c r="BE155" s="447"/>
      <c r="BF155" s="447"/>
      <c r="BG155" s="447"/>
      <c r="BH155" s="447"/>
      <c r="BI155" s="447"/>
      <c r="BJ155" s="447"/>
      <c r="BK155" s="447"/>
      <c r="BL155" s="447"/>
      <c r="BM155" s="448"/>
      <c r="BN155" s="448"/>
    </row>
    <row r="156" spans="1:66" ht="11.25" customHeight="1">
      <c r="A156" s="469"/>
      <c r="B156" s="447"/>
      <c r="C156" s="447"/>
      <c r="D156" s="447"/>
      <c r="E156" s="447"/>
      <c r="F156" s="447"/>
      <c r="G156" s="447"/>
      <c r="H156" s="447"/>
      <c r="I156" s="447"/>
      <c r="J156" s="447"/>
      <c r="K156" s="447"/>
      <c r="L156" s="447"/>
      <c r="M156" s="447"/>
      <c r="N156" s="447"/>
      <c r="O156" s="447"/>
      <c r="P156" s="447"/>
      <c r="Q156" s="447"/>
      <c r="R156" s="447"/>
      <c r="S156" s="447"/>
      <c r="T156" s="447"/>
      <c r="U156" s="447"/>
      <c r="V156" s="447"/>
      <c r="W156" s="447"/>
      <c r="X156" s="447"/>
      <c r="Y156" s="447"/>
      <c r="Z156" s="447"/>
      <c r="AA156" s="447"/>
      <c r="AB156" s="447"/>
      <c r="AC156" s="447"/>
      <c r="AD156" s="447"/>
      <c r="AE156" s="447"/>
      <c r="AF156" s="448"/>
      <c r="AG156" s="448"/>
      <c r="AH156" s="448"/>
      <c r="AI156" s="447"/>
      <c r="AJ156" s="447"/>
      <c r="AK156" s="447"/>
      <c r="AL156" s="447"/>
      <c r="AM156" s="447"/>
      <c r="AN156" s="447"/>
      <c r="AO156" s="447"/>
      <c r="AP156" s="447"/>
      <c r="AQ156" s="447"/>
      <c r="AR156" s="447"/>
      <c r="AS156" s="447"/>
      <c r="AT156" s="447"/>
      <c r="AU156" s="447"/>
      <c r="AV156" s="447"/>
      <c r="AW156" s="447"/>
      <c r="AX156" s="447"/>
      <c r="AY156" s="447"/>
      <c r="AZ156" s="447"/>
      <c r="BA156" s="447"/>
      <c r="BB156" s="447"/>
      <c r="BC156" s="447"/>
      <c r="BD156" s="447"/>
      <c r="BE156" s="447"/>
      <c r="BF156" s="447"/>
      <c r="BG156" s="447"/>
      <c r="BH156" s="447"/>
      <c r="BI156" s="447"/>
      <c r="BJ156" s="447"/>
      <c r="BK156" s="447"/>
      <c r="BL156" s="447"/>
      <c r="BM156" s="448"/>
      <c r="BN156" s="448"/>
    </row>
    <row r="157" spans="1:66" ht="11.25" customHeight="1">
      <c r="A157" s="469"/>
      <c r="B157" s="447"/>
      <c r="C157" s="447"/>
      <c r="D157" s="447"/>
      <c r="E157" s="447"/>
      <c r="F157" s="447"/>
      <c r="G157" s="447"/>
      <c r="H157" s="447"/>
      <c r="I157" s="447"/>
      <c r="J157" s="447"/>
      <c r="K157" s="447"/>
      <c r="L157" s="447"/>
      <c r="M157" s="447"/>
      <c r="N157" s="447"/>
      <c r="O157" s="447"/>
      <c r="P157" s="447"/>
      <c r="Q157" s="447"/>
      <c r="R157" s="447"/>
      <c r="S157" s="447"/>
      <c r="T157" s="447"/>
      <c r="U157" s="447"/>
      <c r="V157" s="447"/>
      <c r="W157" s="447"/>
      <c r="X157" s="447"/>
      <c r="Y157" s="447"/>
      <c r="Z157" s="447"/>
      <c r="AA157" s="447"/>
      <c r="AB157" s="447"/>
      <c r="AC157" s="447"/>
      <c r="AD157" s="447"/>
      <c r="AE157" s="447"/>
      <c r="AF157" s="448"/>
      <c r="AG157" s="448"/>
      <c r="AH157" s="448"/>
      <c r="AI157" s="447"/>
      <c r="AJ157" s="447"/>
      <c r="AK157" s="447"/>
      <c r="AL157" s="447"/>
      <c r="AM157" s="447"/>
      <c r="AN157" s="447"/>
      <c r="AO157" s="447"/>
      <c r="AP157" s="447"/>
      <c r="AQ157" s="447"/>
      <c r="AR157" s="447"/>
      <c r="AS157" s="447"/>
      <c r="AT157" s="447"/>
      <c r="AU157" s="447"/>
      <c r="AV157" s="447"/>
      <c r="AW157" s="447"/>
      <c r="AX157" s="447"/>
      <c r="AY157" s="447"/>
      <c r="AZ157" s="447"/>
      <c r="BA157" s="447"/>
      <c r="BB157" s="447"/>
      <c r="BC157" s="447"/>
      <c r="BD157" s="447"/>
      <c r="BE157" s="447"/>
      <c r="BF157" s="447"/>
      <c r="BG157" s="447"/>
      <c r="BH157" s="447"/>
      <c r="BI157" s="447"/>
      <c r="BJ157" s="447"/>
      <c r="BK157" s="447"/>
      <c r="BL157" s="447"/>
      <c r="BM157" s="448"/>
      <c r="BN157" s="448"/>
    </row>
    <row r="158" spans="1:66" ht="11.25" customHeight="1">
      <c r="A158" s="469"/>
      <c r="B158" s="447"/>
      <c r="C158" s="447"/>
      <c r="D158" s="447"/>
      <c r="E158" s="447"/>
      <c r="F158" s="447"/>
      <c r="G158" s="447"/>
      <c r="H158" s="447"/>
      <c r="I158" s="447"/>
      <c r="J158" s="447"/>
      <c r="K158" s="447"/>
      <c r="L158" s="447"/>
      <c r="M158" s="447"/>
      <c r="N158" s="447"/>
      <c r="O158" s="447"/>
      <c r="P158" s="447"/>
      <c r="Q158" s="447"/>
      <c r="R158" s="447"/>
      <c r="S158" s="447"/>
      <c r="T158" s="447"/>
      <c r="U158" s="447"/>
      <c r="V158" s="447"/>
      <c r="W158" s="447"/>
      <c r="X158" s="447"/>
      <c r="Y158" s="447"/>
      <c r="Z158" s="447"/>
      <c r="AA158" s="447"/>
      <c r="AB158" s="447"/>
      <c r="AC158" s="447"/>
      <c r="AD158" s="447"/>
      <c r="AE158" s="447"/>
      <c r="AF158" s="448"/>
      <c r="AG158" s="448"/>
      <c r="AH158" s="448"/>
      <c r="AI158" s="447"/>
      <c r="AJ158" s="447"/>
      <c r="AK158" s="447"/>
      <c r="AL158" s="447"/>
      <c r="AM158" s="447"/>
      <c r="AN158" s="447"/>
      <c r="AO158" s="447"/>
      <c r="AP158" s="447"/>
      <c r="AQ158" s="447"/>
      <c r="AR158" s="447"/>
      <c r="AS158" s="447"/>
      <c r="AT158" s="447"/>
      <c r="AU158" s="447"/>
      <c r="AV158" s="447"/>
      <c r="AW158" s="447"/>
      <c r="AX158" s="447"/>
      <c r="AY158" s="447"/>
      <c r="AZ158" s="447"/>
      <c r="BA158" s="447"/>
      <c r="BB158" s="447"/>
      <c r="BC158" s="447"/>
      <c r="BD158" s="447"/>
      <c r="BE158" s="447"/>
      <c r="BF158" s="447"/>
      <c r="BG158" s="447"/>
      <c r="BH158" s="447"/>
      <c r="BI158" s="447"/>
      <c r="BJ158" s="447"/>
      <c r="BK158" s="447"/>
      <c r="BL158" s="447"/>
      <c r="BM158" s="448"/>
      <c r="BN158" s="448"/>
    </row>
    <row r="159" spans="1:66" ht="11.25" customHeight="1">
      <c r="A159" s="469"/>
      <c r="B159" s="447"/>
      <c r="C159" s="447"/>
      <c r="D159" s="447"/>
      <c r="E159" s="447"/>
      <c r="F159" s="447"/>
      <c r="G159" s="447"/>
      <c r="H159" s="447"/>
      <c r="I159" s="447"/>
      <c r="J159" s="447"/>
      <c r="K159" s="447"/>
      <c r="L159" s="447"/>
      <c r="M159" s="447"/>
      <c r="N159" s="447"/>
      <c r="O159" s="447"/>
      <c r="P159" s="447"/>
      <c r="Q159" s="447"/>
      <c r="R159" s="447"/>
      <c r="S159" s="447"/>
      <c r="T159" s="447"/>
      <c r="U159" s="447"/>
      <c r="V159" s="447"/>
      <c r="W159" s="447"/>
      <c r="X159" s="447"/>
      <c r="Y159" s="447"/>
      <c r="Z159" s="447"/>
      <c r="AA159" s="447"/>
      <c r="AB159" s="447"/>
      <c r="AC159" s="447"/>
      <c r="AD159" s="447"/>
      <c r="AE159" s="447"/>
      <c r="AF159" s="448"/>
      <c r="AG159" s="448"/>
      <c r="AH159" s="448"/>
      <c r="AI159" s="447"/>
      <c r="AJ159" s="447"/>
      <c r="AK159" s="447"/>
      <c r="AL159" s="447"/>
      <c r="AM159" s="447"/>
      <c r="AN159" s="447"/>
      <c r="AO159" s="447"/>
      <c r="AP159" s="447"/>
      <c r="AQ159" s="447"/>
      <c r="AR159" s="447"/>
      <c r="AS159" s="447"/>
      <c r="AT159" s="447"/>
      <c r="AU159" s="447"/>
      <c r="AV159" s="447"/>
      <c r="AW159" s="447"/>
      <c r="AX159" s="447"/>
      <c r="AY159" s="447"/>
      <c r="AZ159" s="447"/>
      <c r="BA159" s="447"/>
      <c r="BB159" s="447"/>
      <c r="BC159" s="447"/>
      <c r="BD159" s="447"/>
      <c r="BE159" s="447"/>
      <c r="BF159" s="447"/>
      <c r="BG159" s="447"/>
      <c r="BH159" s="447"/>
      <c r="BI159" s="447"/>
      <c r="BJ159" s="447"/>
      <c r="BK159" s="447"/>
      <c r="BL159" s="447"/>
      <c r="BM159" s="448"/>
      <c r="BN159" s="448"/>
    </row>
    <row r="160" spans="1:66" ht="11.25" customHeight="1">
      <c r="A160" s="469"/>
      <c r="B160" s="447"/>
      <c r="C160" s="447"/>
      <c r="D160" s="447"/>
      <c r="E160" s="447"/>
      <c r="F160" s="447"/>
      <c r="G160" s="447"/>
      <c r="H160" s="447"/>
      <c r="I160" s="447"/>
      <c r="J160" s="447"/>
      <c r="K160" s="447"/>
      <c r="L160" s="447"/>
      <c r="M160" s="447"/>
      <c r="N160" s="447"/>
      <c r="O160" s="447"/>
      <c r="P160" s="447"/>
      <c r="Q160" s="447"/>
      <c r="R160" s="447"/>
      <c r="S160" s="447"/>
      <c r="T160" s="447"/>
      <c r="U160" s="447"/>
      <c r="V160" s="447"/>
      <c r="W160" s="447"/>
      <c r="X160" s="447"/>
      <c r="Y160" s="447"/>
      <c r="Z160" s="447"/>
      <c r="AA160" s="447"/>
      <c r="AB160" s="447"/>
      <c r="AC160" s="447"/>
      <c r="AD160" s="447"/>
      <c r="AE160" s="447"/>
      <c r="AF160" s="448"/>
      <c r="AG160" s="448"/>
      <c r="AH160" s="448"/>
      <c r="AI160" s="447"/>
      <c r="AJ160" s="447"/>
      <c r="AK160" s="447"/>
      <c r="AL160" s="447"/>
      <c r="AM160" s="447"/>
      <c r="AN160" s="447"/>
      <c r="AO160" s="447"/>
      <c r="AP160" s="447"/>
      <c r="AQ160" s="447"/>
      <c r="AR160" s="447"/>
      <c r="AS160" s="447"/>
      <c r="AT160" s="447"/>
      <c r="AU160" s="447"/>
      <c r="AV160" s="447"/>
      <c r="AW160" s="447"/>
      <c r="AX160" s="447"/>
      <c r="AY160" s="447"/>
      <c r="AZ160" s="447"/>
      <c r="BA160" s="447"/>
      <c r="BB160" s="447"/>
      <c r="BC160" s="447"/>
      <c r="BD160" s="447"/>
      <c r="BE160" s="447"/>
      <c r="BF160" s="447"/>
      <c r="BG160" s="447"/>
      <c r="BH160" s="447"/>
      <c r="BI160" s="447"/>
      <c r="BJ160" s="447"/>
      <c r="BK160" s="447"/>
      <c r="BL160" s="447"/>
      <c r="BM160" s="448"/>
      <c r="BN160" s="448"/>
    </row>
    <row r="161" spans="1:66" ht="11.25" customHeight="1">
      <c r="A161" s="469"/>
      <c r="B161" s="447"/>
      <c r="C161" s="447"/>
      <c r="D161" s="447"/>
      <c r="E161" s="447"/>
      <c r="F161" s="447"/>
      <c r="G161" s="447"/>
      <c r="H161" s="447"/>
      <c r="I161" s="447"/>
      <c r="J161" s="447"/>
      <c r="K161" s="447"/>
      <c r="L161" s="447"/>
      <c r="M161" s="447"/>
      <c r="N161" s="447"/>
      <c r="O161" s="447"/>
      <c r="P161" s="447"/>
      <c r="Q161" s="447"/>
      <c r="R161" s="447"/>
      <c r="S161" s="447"/>
      <c r="T161" s="447"/>
      <c r="U161" s="447"/>
      <c r="V161" s="447"/>
      <c r="W161" s="447"/>
      <c r="X161" s="447"/>
      <c r="Y161" s="447"/>
      <c r="Z161" s="447"/>
      <c r="AA161" s="447"/>
      <c r="AB161" s="447"/>
      <c r="AC161" s="447"/>
      <c r="AD161" s="447"/>
      <c r="AE161" s="447"/>
      <c r="AF161" s="448"/>
      <c r="AG161" s="448"/>
      <c r="AH161" s="448"/>
      <c r="AI161" s="447"/>
      <c r="AJ161" s="447"/>
      <c r="AK161" s="447"/>
      <c r="AL161" s="447"/>
      <c r="AM161" s="447"/>
      <c r="AN161" s="447"/>
      <c r="AO161" s="447"/>
      <c r="AP161" s="447"/>
      <c r="AQ161" s="447"/>
      <c r="AR161" s="447"/>
      <c r="AS161" s="447"/>
      <c r="AT161" s="447"/>
      <c r="AU161" s="447"/>
      <c r="AV161" s="447"/>
      <c r="AW161" s="447"/>
      <c r="AX161" s="447"/>
      <c r="AY161" s="447"/>
      <c r="AZ161" s="447"/>
      <c r="BA161" s="447"/>
      <c r="BB161" s="447"/>
      <c r="BC161" s="447"/>
      <c r="BD161" s="447"/>
      <c r="BE161" s="447"/>
      <c r="BF161" s="447"/>
      <c r="BG161" s="447"/>
      <c r="BH161" s="447"/>
      <c r="BI161" s="447"/>
      <c r="BJ161" s="447"/>
      <c r="BK161" s="447"/>
      <c r="BL161" s="447"/>
      <c r="BM161" s="448"/>
      <c r="BN161" s="448"/>
    </row>
    <row r="162" spans="1:66" ht="11.25" customHeight="1">
      <c r="A162" s="469"/>
      <c r="B162" s="447"/>
      <c r="C162" s="447"/>
      <c r="D162" s="447"/>
      <c r="E162" s="447"/>
      <c r="F162" s="447"/>
      <c r="G162" s="447"/>
      <c r="H162" s="447"/>
      <c r="I162" s="447"/>
      <c r="J162" s="447"/>
      <c r="K162" s="447"/>
      <c r="L162" s="447"/>
      <c r="M162" s="447"/>
      <c r="N162" s="447"/>
      <c r="O162" s="447"/>
      <c r="P162" s="447"/>
      <c r="Q162" s="447"/>
      <c r="R162" s="447"/>
      <c r="S162" s="447"/>
      <c r="T162" s="447"/>
      <c r="U162" s="447"/>
      <c r="V162" s="447"/>
      <c r="W162" s="447"/>
      <c r="X162" s="447"/>
      <c r="Y162" s="447"/>
      <c r="Z162" s="447"/>
      <c r="AA162" s="447"/>
      <c r="AB162" s="447"/>
      <c r="AC162" s="447"/>
      <c r="AD162" s="447"/>
      <c r="AE162" s="447"/>
      <c r="AF162" s="448"/>
      <c r="AG162" s="448"/>
      <c r="AH162" s="448"/>
      <c r="AI162" s="447"/>
      <c r="AJ162" s="447"/>
      <c r="AK162" s="447"/>
      <c r="AL162" s="447"/>
      <c r="AM162" s="447"/>
      <c r="AN162" s="447"/>
      <c r="AO162" s="447"/>
      <c r="AP162" s="447"/>
      <c r="AQ162" s="447"/>
      <c r="AR162" s="447"/>
      <c r="AS162" s="447"/>
      <c r="AT162" s="447"/>
      <c r="AU162" s="447"/>
      <c r="AV162" s="447"/>
      <c r="AW162" s="447"/>
      <c r="AX162" s="447"/>
      <c r="AY162" s="447"/>
      <c r="AZ162" s="447"/>
      <c r="BA162" s="447"/>
      <c r="BB162" s="447"/>
      <c r="BC162" s="447"/>
      <c r="BD162" s="447"/>
      <c r="BE162" s="447"/>
      <c r="BF162" s="447"/>
      <c r="BG162" s="447"/>
      <c r="BH162" s="447"/>
      <c r="BI162" s="447"/>
      <c r="BJ162" s="447"/>
      <c r="BK162" s="447"/>
      <c r="BL162" s="447"/>
      <c r="BM162" s="448"/>
      <c r="BN162" s="448"/>
    </row>
    <row r="163" spans="1:66" ht="11.25" customHeight="1">
      <c r="A163" s="469"/>
      <c r="B163" s="447"/>
      <c r="C163" s="447"/>
      <c r="D163" s="447"/>
      <c r="E163" s="447"/>
      <c r="F163" s="447"/>
      <c r="G163" s="447"/>
      <c r="H163" s="447"/>
      <c r="I163" s="447"/>
      <c r="J163" s="447"/>
      <c r="K163" s="447"/>
      <c r="L163" s="447"/>
      <c r="M163" s="447"/>
      <c r="N163" s="447"/>
      <c r="O163" s="447"/>
      <c r="P163" s="447"/>
      <c r="Q163" s="447"/>
      <c r="R163" s="447"/>
      <c r="S163" s="447"/>
      <c r="T163" s="447"/>
      <c r="U163" s="447"/>
      <c r="V163" s="447"/>
      <c r="W163" s="447"/>
      <c r="X163" s="447"/>
      <c r="Y163" s="447"/>
      <c r="Z163" s="447"/>
      <c r="AA163" s="447"/>
      <c r="AB163" s="447"/>
      <c r="AC163" s="447"/>
      <c r="AD163" s="447"/>
      <c r="AE163" s="447"/>
      <c r="AF163" s="448"/>
      <c r="AG163" s="448"/>
      <c r="AH163" s="448"/>
      <c r="AI163" s="447"/>
      <c r="AJ163" s="447"/>
      <c r="AK163" s="447"/>
      <c r="AL163" s="447"/>
      <c r="AM163" s="447"/>
      <c r="AN163" s="447"/>
      <c r="AO163" s="447"/>
      <c r="AP163" s="447"/>
      <c r="AQ163" s="447"/>
      <c r="AR163" s="447"/>
      <c r="AS163" s="447"/>
      <c r="AT163" s="447"/>
      <c r="AU163" s="447"/>
      <c r="AV163" s="447"/>
      <c r="AW163" s="447"/>
      <c r="AX163" s="447"/>
      <c r="AY163" s="447"/>
      <c r="AZ163" s="447"/>
      <c r="BA163" s="447"/>
      <c r="BB163" s="447"/>
      <c r="BC163" s="447"/>
      <c r="BD163" s="447"/>
      <c r="BE163" s="447"/>
      <c r="BF163" s="447"/>
      <c r="BG163" s="447"/>
      <c r="BH163" s="447"/>
      <c r="BI163" s="447"/>
      <c r="BJ163" s="447"/>
      <c r="BK163" s="447"/>
      <c r="BL163" s="447"/>
      <c r="BM163" s="448"/>
      <c r="BN163" s="448"/>
    </row>
    <row r="164" spans="1:66" ht="11.25" customHeight="1">
      <c r="A164" s="469"/>
      <c r="B164" s="447"/>
      <c r="C164" s="447"/>
      <c r="D164" s="447"/>
      <c r="E164" s="447"/>
      <c r="F164" s="447"/>
      <c r="G164" s="447"/>
      <c r="H164" s="447"/>
      <c r="I164" s="447"/>
      <c r="J164" s="447"/>
      <c r="K164" s="447"/>
      <c r="L164" s="447"/>
      <c r="M164" s="447"/>
      <c r="N164" s="447"/>
      <c r="O164" s="447"/>
      <c r="P164" s="447"/>
      <c r="Q164" s="447"/>
      <c r="R164" s="447"/>
      <c r="S164" s="447"/>
      <c r="T164" s="447"/>
      <c r="U164" s="447"/>
      <c r="V164" s="447"/>
      <c r="W164" s="447"/>
      <c r="X164" s="447"/>
      <c r="Y164" s="447"/>
      <c r="Z164" s="447"/>
      <c r="AA164" s="447"/>
      <c r="AB164" s="447"/>
      <c r="AC164" s="447"/>
      <c r="AD164" s="447"/>
      <c r="AE164" s="447"/>
      <c r="AF164" s="448"/>
      <c r="AG164" s="448"/>
      <c r="AH164" s="448"/>
      <c r="AI164" s="447"/>
      <c r="AJ164" s="447"/>
      <c r="AK164" s="447"/>
      <c r="AL164" s="447"/>
      <c r="AM164" s="447"/>
      <c r="AN164" s="447"/>
      <c r="AO164" s="447"/>
      <c r="AP164" s="447"/>
      <c r="AQ164" s="447"/>
      <c r="AR164" s="447"/>
      <c r="AS164" s="447"/>
      <c r="AT164" s="447"/>
      <c r="AU164" s="447"/>
      <c r="AV164" s="447"/>
      <c r="AW164" s="447"/>
      <c r="AX164" s="447"/>
      <c r="AY164" s="447"/>
      <c r="AZ164" s="447"/>
      <c r="BA164" s="447"/>
      <c r="BB164" s="447"/>
      <c r="BC164" s="447"/>
      <c r="BD164" s="447"/>
      <c r="BE164" s="447"/>
      <c r="BF164" s="447"/>
      <c r="BG164" s="447"/>
      <c r="BH164" s="447"/>
      <c r="BI164" s="447"/>
      <c r="BJ164" s="447"/>
      <c r="BK164" s="447"/>
      <c r="BL164" s="447"/>
      <c r="BM164" s="448"/>
      <c r="BN164" s="448"/>
    </row>
    <row r="165" spans="1:66" ht="11.25" customHeight="1">
      <c r="A165" s="469"/>
      <c r="B165" s="447"/>
      <c r="C165" s="447"/>
      <c r="D165" s="447"/>
      <c r="E165" s="447"/>
      <c r="F165" s="447"/>
      <c r="G165" s="447"/>
      <c r="H165" s="447"/>
      <c r="I165" s="447"/>
      <c r="J165" s="447"/>
      <c r="K165" s="447"/>
      <c r="L165" s="447"/>
      <c r="M165" s="447"/>
      <c r="N165" s="447"/>
      <c r="O165" s="447"/>
      <c r="P165" s="447"/>
      <c r="Q165" s="447"/>
      <c r="R165" s="447"/>
      <c r="S165" s="447"/>
      <c r="T165" s="447"/>
      <c r="U165" s="447"/>
      <c r="V165" s="447"/>
      <c r="W165" s="447"/>
      <c r="X165" s="447"/>
      <c r="Y165" s="447"/>
      <c r="Z165" s="447"/>
      <c r="AA165" s="447"/>
      <c r="AB165" s="447"/>
      <c r="AC165" s="447"/>
      <c r="AD165" s="447"/>
      <c r="AE165" s="447"/>
      <c r="AF165" s="448"/>
      <c r="AG165" s="448"/>
      <c r="AH165" s="448"/>
      <c r="AI165" s="447"/>
      <c r="AJ165" s="447"/>
      <c r="AK165" s="447"/>
      <c r="AL165" s="447"/>
      <c r="AM165" s="447"/>
      <c r="AN165" s="447"/>
      <c r="AO165" s="447"/>
      <c r="AP165" s="447"/>
      <c r="AQ165" s="447"/>
      <c r="AR165" s="447"/>
      <c r="AS165" s="447"/>
      <c r="AT165" s="447"/>
      <c r="AU165" s="447"/>
      <c r="AV165" s="447"/>
      <c r="AW165" s="447"/>
      <c r="AX165" s="447"/>
      <c r="AY165" s="447"/>
      <c r="AZ165" s="447"/>
      <c r="BA165" s="447"/>
      <c r="BB165" s="447"/>
      <c r="BC165" s="447"/>
      <c r="BD165" s="447"/>
      <c r="BE165" s="447"/>
      <c r="BF165" s="447"/>
      <c r="BG165" s="447"/>
      <c r="BH165" s="447"/>
      <c r="BI165" s="447"/>
      <c r="BJ165" s="447"/>
      <c r="BK165" s="447"/>
      <c r="BL165" s="447"/>
      <c r="BM165" s="448"/>
      <c r="BN165" s="448"/>
    </row>
    <row r="166" spans="1:66" ht="11.25" customHeight="1">
      <c r="A166" s="469"/>
      <c r="B166" s="447"/>
      <c r="C166" s="447"/>
      <c r="D166" s="447"/>
      <c r="E166" s="447"/>
      <c r="F166" s="447"/>
      <c r="G166" s="447"/>
      <c r="H166" s="447"/>
      <c r="I166" s="447"/>
      <c r="J166" s="447"/>
      <c r="K166" s="447"/>
      <c r="L166" s="447"/>
      <c r="M166" s="447"/>
      <c r="N166" s="447"/>
      <c r="O166" s="447"/>
      <c r="P166" s="447"/>
      <c r="Q166" s="447"/>
      <c r="R166" s="447"/>
      <c r="S166" s="447"/>
      <c r="T166" s="447"/>
      <c r="U166" s="447"/>
      <c r="V166" s="447"/>
      <c r="W166" s="447"/>
      <c r="X166" s="447"/>
      <c r="Y166" s="447"/>
      <c r="Z166" s="447"/>
      <c r="AA166" s="447"/>
      <c r="AB166" s="447"/>
      <c r="AC166" s="447"/>
      <c r="AD166" s="447"/>
      <c r="AE166" s="447"/>
      <c r="AF166" s="448"/>
      <c r="AG166" s="448"/>
      <c r="AH166" s="448"/>
      <c r="AI166" s="447"/>
      <c r="AJ166" s="447"/>
      <c r="AK166" s="447"/>
      <c r="AL166" s="447"/>
      <c r="AM166" s="447"/>
      <c r="AN166" s="447"/>
      <c r="AO166" s="447"/>
      <c r="AP166" s="447"/>
      <c r="AQ166" s="447"/>
      <c r="AR166" s="447"/>
      <c r="AS166" s="447"/>
      <c r="AT166" s="447"/>
      <c r="AU166" s="447"/>
      <c r="AV166" s="447"/>
      <c r="AW166" s="447"/>
      <c r="AX166" s="447"/>
      <c r="AY166" s="447"/>
      <c r="AZ166" s="447"/>
      <c r="BA166" s="447"/>
      <c r="BB166" s="447"/>
      <c r="BC166" s="447"/>
      <c r="BD166" s="447"/>
      <c r="BE166" s="447"/>
      <c r="BF166" s="447"/>
      <c r="BG166" s="447"/>
      <c r="BH166" s="447"/>
      <c r="BI166" s="447"/>
      <c r="BJ166" s="447"/>
      <c r="BK166" s="447"/>
      <c r="BL166" s="447"/>
      <c r="BM166" s="448"/>
      <c r="BN166" s="448"/>
    </row>
    <row r="167" spans="1:66" ht="11.25" customHeight="1">
      <c r="A167" s="469"/>
      <c r="B167" s="447"/>
      <c r="C167" s="447"/>
      <c r="D167" s="447"/>
      <c r="E167" s="447"/>
      <c r="F167" s="447"/>
      <c r="G167" s="447"/>
      <c r="H167" s="447"/>
      <c r="I167" s="447"/>
      <c r="J167" s="447"/>
      <c r="K167" s="447"/>
      <c r="L167" s="447"/>
      <c r="M167" s="447"/>
      <c r="N167" s="447"/>
      <c r="O167" s="447"/>
      <c r="P167" s="447"/>
      <c r="Q167" s="447"/>
      <c r="R167" s="447"/>
      <c r="S167" s="447"/>
      <c r="T167" s="447"/>
      <c r="U167" s="447"/>
      <c r="V167" s="447"/>
      <c r="W167" s="447"/>
      <c r="X167" s="447"/>
      <c r="Y167" s="447"/>
      <c r="Z167" s="447"/>
      <c r="AA167" s="447"/>
      <c r="AB167" s="447"/>
      <c r="AC167" s="447"/>
      <c r="AD167" s="447"/>
      <c r="AE167" s="447"/>
      <c r="AF167" s="448"/>
      <c r="AG167" s="448"/>
      <c r="AH167" s="448"/>
      <c r="AI167" s="447"/>
      <c r="AJ167" s="447"/>
      <c r="AK167" s="447"/>
      <c r="AL167" s="447"/>
      <c r="AM167" s="447"/>
      <c r="AN167" s="447"/>
      <c r="AO167" s="447"/>
      <c r="AP167" s="447"/>
      <c r="AQ167" s="447"/>
      <c r="AR167" s="447"/>
      <c r="AS167" s="447"/>
      <c r="AT167" s="447"/>
      <c r="AU167" s="447"/>
      <c r="AV167" s="447"/>
      <c r="AW167" s="447"/>
      <c r="AX167" s="447"/>
      <c r="AY167" s="447"/>
      <c r="AZ167" s="447"/>
      <c r="BA167" s="447"/>
      <c r="BB167" s="447"/>
      <c r="BC167" s="447"/>
      <c r="BD167" s="447"/>
      <c r="BE167" s="447"/>
      <c r="BF167" s="447"/>
      <c r="BG167" s="447"/>
      <c r="BH167" s="447"/>
      <c r="BI167" s="447"/>
      <c r="BJ167" s="447"/>
      <c r="BK167" s="447"/>
      <c r="BL167" s="447"/>
      <c r="BM167" s="448"/>
      <c r="BN167" s="448"/>
    </row>
    <row r="168" spans="1:66" ht="11.25" customHeight="1">
      <c r="A168" s="469"/>
      <c r="B168" s="447"/>
      <c r="C168" s="447"/>
      <c r="D168" s="447"/>
      <c r="E168" s="447"/>
      <c r="F168" s="447"/>
      <c r="G168" s="447"/>
      <c r="H168" s="447"/>
      <c r="I168" s="447"/>
      <c r="J168" s="447"/>
      <c r="K168" s="447"/>
      <c r="L168" s="447"/>
      <c r="M168" s="447"/>
      <c r="N168" s="447"/>
      <c r="O168" s="447"/>
      <c r="P168" s="447"/>
      <c r="Q168" s="447"/>
      <c r="R168" s="447"/>
      <c r="S168" s="447"/>
      <c r="T168" s="447"/>
      <c r="U168" s="447"/>
      <c r="V168" s="447"/>
      <c r="W168" s="447"/>
      <c r="X168" s="447"/>
      <c r="Y168" s="447"/>
      <c r="Z168" s="447"/>
      <c r="AA168" s="447"/>
      <c r="AB168" s="447"/>
      <c r="AC168" s="447"/>
      <c r="AD168" s="447"/>
      <c r="AE168" s="447"/>
      <c r="AF168" s="448"/>
      <c r="AG168" s="448"/>
      <c r="AH168" s="448"/>
      <c r="AI168" s="447"/>
      <c r="AJ168" s="447"/>
      <c r="AK168" s="447"/>
      <c r="AL168" s="447"/>
      <c r="AM168" s="447"/>
      <c r="AN168" s="447"/>
      <c r="AO168" s="447"/>
      <c r="AP168" s="447"/>
      <c r="AQ168" s="447"/>
      <c r="AR168" s="447"/>
      <c r="AS168" s="447"/>
      <c r="AT168" s="447"/>
      <c r="AU168" s="447"/>
      <c r="AV168" s="447"/>
      <c r="AW168" s="447"/>
      <c r="AX168" s="447"/>
      <c r="AY168" s="447"/>
      <c r="AZ168" s="447"/>
      <c r="BA168" s="447"/>
      <c r="BB168" s="447"/>
      <c r="BC168" s="447"/>
      <c r="BD168" s="447"/>
      <c r="BE168" s="447"/>
      <c r="BF168" s="447"/>
      <c r="BG168" s="447"/>
      <c r="BH168" s="447"/>
      <c r="BI168" s="447"/>
      <c r="BJ168" s="447"/>
      <c r="BK168" s="447"/>
      <c r="BL168" s="447"/>
      <c r="BM168" s="448"/>
      <c r="BN168" s="448"/>
    </row>
    <row r="169" spans="1:66" ht="11.25" customHeight="1">
      <c r="A169" s="469"/>
      <c r="B169" s="447"/>
      <c r="C169" s="447"/>
      <c r="D169" s="447"/>
      <c r="E169" s="447"/>
      <c r="F169" s="447"/>
      <c r="G169" s="447"/>
      <c r="H169" s="447"/>
      <c r="I169" s="447"/>
      <c r="J169" s="447"/>
      <c r="K169" s="447"/>
      <c r="L169" s="447"/>
      <c r="M169" s="447"/>
      <c r="N169" s="447"/>
      <c r="O169" s="447"/>
      <c r="P169" s="447"/>
      <c r="Q169" s="447"/>
      <c r="R169" s="447"/>
      <c r="S169" s="447"/>
      <c r="T169" s="447"/>
      <c r="U169" s="447"/>
      <c r="V169" s="447"/>
      <c r="W169" s="447"/>
      <c r="X169" s="447"/>
      <c r="Y169" s="447"/>
      <c r="Z169" s="447"/>
      <c r="AA169" s="447"/>
      <c r="AB169" s="447"/>
      <c r="AC169" s="447"/>
      <c r="AD169" s="447"/>
      <c r="AE169" s="447"/>
      <c r="AF169" s="448"/>
      <c r="AG169" s="448"/>
      <c r="AH169" s="448"/>
      <c r="AI169" s="447"/>
      <c r="AJ169" s="447"/>
      <c r="AK169" s="447"/>
      <c r="AL169" s="447"/>
      <c r="AM169" s="447"/>
      <c r="AN169" s="447"/>
      <c r="AO169" s="447"/>
      <c r="AP169" s="447"/>
      <c r="AQ169" s="447"/>
      <c r="AR169" s="447"/>
      <c r="AS169" s="447"/>
      <c r="AT169" s="447"/>
      <c r="AU169" s="447"/>
      <c r="AV169" s="447"/>
      <c r="AW169" s="447"/>
      <c r="AX169" s="447"/>
      <c r="AY169" s="447"/>
      <c r="AZ169" s="447"/>
      <c r="BA169" s="447"/>
      <c r="BB169" s="447"/>
      <c r="BC169" s="447"/>
      <c r="BD169" s="447"/>
      <c r="BE169" s="447"/>
      <c r="BF169" s="447"/>
      <c r="BG169" s="447"/>
      <c r="BH169" s="447"/>
      <c r="BI169" s="447"/>
      <c r="BJ169" s="447"/>
      <c r="BK169" s="447"/>
      <c r="BL169" s="447"/>
      <c r="BM169" s="448"/>
      <c r="BN169" s="448"/>
    </row>
    <row r="170" spans="1:66" ht="11.25" customHeight="1">
      <c r="A170" s="469"/>
      <c r="B170" s="447"/>
      <c r="C170" s="447"/>
      <c r="D170" s="447"/>
      <c r="E170" s="447"/>
      <c r="F170" s="447"/>
      <c r="G170" s="447"/>
      <c r="H170" s="447"/>
      <c r="I170" s="447"/>
      <c r="J170" s="447"/>
      <c r="K170" s="447"/>
      <c r="L170" s="447"/>
      <c r="M170" s="447"/>
      <c r="N170" s="447"/>
      <c r="O170" s="447"/>
      <c r="P170" s="447"/>
      <c r="Q170" s="447"/>
      <c r="R170" s="447"/>
      <c r="S170" s="447"/>
      <c r="T170" s="447"/>
      <c r="U170" s="447"/>
      <c r="V170" s="447"/>
      <c r="W170" s="447"/>
      <c r="X170" s="447"/>
      <c r="Y170" s="447"/>
      <c r="Z170" s="447"/>
      <c r="AA170" s="447"/>
      <c r="AB170" s="447"/>
      <c r="AC170" s="447"/>
      <c r="AD170" s="447"/>
      <c r="AE170" s="447"/>
      <c r="AF170" s="448"/>
      <c r="AG170" s="448"/>
      <c r="AH170" s="448"/>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8"/>
      <c r="BN170" s="448"/>
    </row>
    <row r="171" spans="1:66" ht="11.25" customHeight="1">
      <c r="A171" s="469"/>
      <c r="B171" s="447"/>
      <c r="C171" s="447"/>
      <c r="D171" s="447"/>
      <c r="E171" s="447"/>
      <c r="F171" s="447"/>
      <c r="G171" s="447"/>
      <c r="H171" s="447"/>
      <c r="I171" s="447"/>
      <c r="J171" s="447"/>
      <c r="K171" s="447"/>
      <c r="L171" s="447"/>
      <c r="M171" s="447"/>
      <c r="N171" s="447"/>
      <c r="O171" s="447"/>
      <c r="P171" s="447"/>
      <c r="Q171" s="447"/>
      <c r="R171" s="447"/>
      <c r="S171" s="447"/>
      <c r="T171" s="447"/>
      <c r="U171" s="447"/>
      <c r="V171" s="447"/>
      <c r="W171" s="447"/>
      <c r="X171" s="447"/>
      <c r="Y171" s="447"/>
      <c r="Z171" s="447"/>
      <c r="AA171" s="447"/>
      <c r="AB171" s="447"/>
      <c r="AC171" s="447"/>
      <c r="AD171" s="447"/>
      <c r="AE171" s="447"/>
      <c r="AF171" s="448"/>
      <c r="AG171" s="448"/>
      <c r="AH171" s="448"/>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8"/>
      <c r="BN171" s="448"/>
    </row>
    <row r="172" spans="1:66" ht="11.25" customHeight="1">
      <c r="A172" s="469"/>
      <c r="B172" s="447"/>
      <c r="C172" s="447"/>
      <c r="D172" s="447"/>
      <c r="E172" s="447"/>
      <c r="F172" s="447"/>
      <c r="G172" s="447"/>
      <c r="H172" s="447"/>
      <c r="I172" s="447"/>
      <c r="J172" s="447"/>
      <c r="K172" s="447"/>
      <c r="L172" s="447"/>
      <c r="M172" s="447"/>
      <c r="N172" s="447"/>
      <c r="O172" s="447"/>
      <c r="P172" s="447"/>
      <c r="Q172" s="447"/>
      <c r="R172" s="447"/>
      <c r="S172" s="447"/>
      <c r="T172" s="447"/>
      <c r="U172" s="447"/>
      <c r="V172" s="447"/>
      <c r="W172" s="447"/>
      <c r="X172" s="447"/>
      <c r="Y172" s="447"/>
      <c r="Z172" s="447"/>
      <c r="AA172" s="447"/>
      <c r="AB172" s="447"/>
      <c r="AC172" s="447"/>
      <c r="AD172" s="447"/>
      <c r="AE172" s="447"/>
      <c r="AF172" s="448"/>
      <c r="AG172" s="448"/>
      <c r="AH172" s="448"/>
      <c r="AI172" s="447"/>
      <c r="AJ172" s="447"/>
      <c r="AK172" s="447"/>
      <c r="AL172" s="447"/>
      <c r="AM172" s="447"/>
      <c r="AN172" s="447"/>
      <c r="AO172" s="447"/>
      <c r="AP172" s="447"/>
      <c r="AQ172" s="447"/>
      <c r="AR172" s="447"/>
      <c r="AS172" s="447"/>
      <c r="AT172" s="447"/>
      <c r="AU172" s="447"/>
      <c r="AV172" s="447"/>
      <c r="AW172" s="447"/>
      <c r="AX172" s="447"/>
      <c r="AY172" s="447"/>
      <c r="AZ172" s="447"/>
      <c r="BA172" s="447"/>
      <c r="BB172" s="447"/>
      <c r="BC172" s="447"/>
      <c r="BD172" s="447"/>
      <c r="BE172" s="447"/>
      <c r="BF172" s="447"/>
      <c r="BG172" s="447"/>
      <c r="BH172" s="447"/>
      <c r="BI172" s="447"/>
      <c r="BJ172" s="447"/>
      <c r="BK172" s="447"/>
      <c r="BL172" s="447"/>
      <c r="BM172" s="448"/>
      <c r="BN172" s="448"/>
    </row>
    <row r="173" spans="1:66" ht="11.25" customHeight="1">
      <c r="A173" s="469"/>
      <c r="B173" s="447"/>
      <c r="C173" s="447"/>
      <c r="D173" s="447"/>
      <c r="E173" s="447"/>
      <c r="F173" s="447"/>
      <c r="G173" s="447"/>
      <c r="H173" s="447"/>
      <c r="I173" s="447"/>
      <c r="J173" s="447"/>
      <c r="K173" s="447"/>
      <c r="L173" s="447"/>
      <c r="M173" s="447"/>
      <c r="N173" s="447"/>
      <c r="O173" s="447"/>
      <c r="P173" s="447"/>
      <c r="Q173" s="447"/>
      <c r="R173" s="447"/>
      <c r="S173" s="447"/>
      <c r="T173" s="447"/>
      <c r="U173" s="447"/>
      <c r="V173" s="447"/>
      <c r="W173" s="447"/>
      <c r="X173" s="447"/>
      <c r="Y173" s="447"/>
      <c r="Z173" s="447"/>
      <c r="AA173" s="447"/>
      <c r="AB173" s="447"/>
      <c r="AC173" s="447"/>
      <c r="AD173" s="447"/>
      <c r="AE173" s="447"/>
      <c r="AF173" s="448"/>
      <c r="AG173" s="448"/>
      <c r="AH173" s="448"/>
      <c r="AI173" s="447"/>
      <c r="AJ173" s="447"/>
      <c r="AK173" s="447"/>
      <c r="AL173" s="447"/>
      <c r="AM173" s="447"/>
      <c r="AN173" s="447"/>
      <c r="AO173" s="447"/>
      <c r="AP173" s="447"/>
      <c r="AQ173" s="447"/>
      <c r="AR173" s="447"/>
      <c r="AS173" s="447"/>
      <c r="AT173" s="447"/>
      <c r="AU173" s="447"/>
      <c r="AV173" s="447"/>
      <c r="AW173" s="447"/>
      <c r="AX173" s="447"/>
      <c r="AY173" s="447"/>
      <c r="AZ173" s="447"/>
      <c r="BA173" s="447"/>
      <c r="BB173" s="447"/>
      <c r="BC173" s="447"/>
      <c r="BD173" s="447"/>
      <c r="BE173" s="447"/>
      <c r="BF173" s="447"/>
      <c r="BG173" s="447"/>
      <c r="BH173" s="447"/>
      <c r="BI173" s="447"/>
      <c r="BJ173" s="447"/>
      <c r="BK173" s="447"/>
      <c r="BL173" s="447"/>
      <c r="BM173" s="448"/>
      <c r="BN173" s="448"/>
    </row>
    <row r="174" spans="1:66" ht="11.25" customHeight="1">
      <c r="A174" s="469"/>
      <c r="B174" s="447"/>
      <c r="C174" s="447"/>
      <c r="D174" s="447"/>
      <c r="E174" s="447"/>
      <c r="F174" s="447"/>
      <c r="G174" s="447"/>
      <c r="H174" s="447"/>
      <c r="I174" s="447"/>
      <c r="J174" s="447"/>
      <c r="K174" s="447"/>
      <c r="L174" s="447"/>
      <c r="M174" s="447"/>
      <c r="N174" s="447"/>
      <c r="O174" s="447"/>
      <c r="P174" s="447"/>
      <c r="Q174" s="447"/>
      <c r="R174" s="447"/>
      <c r="S174" s="447"/>
      <c r="T174" s="447"/>
      <c r="U174" s="447"/>
      <c r="V174" s="447"/>
      <c r="W174" s="447"/>
      <c r="X174" s="447"/>
      <c r="Y174" s="447"/>
      <c r="Z174" s="447"/>
      <c r="AA174" s="447"/>
      <c r="AB174" s="447"/>
      <c r="AC174" s="447"/>
      <c r="AD174" s="447"/>
      <c r="AE174" s="447"/>
      <c r="AF174" s="448"/>
      <c r="AG174" s="448"/>
      <c r="AH174" s="448"/>
      <c r="AI174" s="447"/>
      <c r="AJ174" s="447"/>
      <c r="AK174" s="447"/>
      <c r="AL174" s="447"/>
      <c r="AM174" s="447"/>
      <c r="AN174" s="447"/>
      <c r="AO174" s="447"/>
      <c r="AP174" s="447"/>
      <c r="AQ174" s="447"/>
      <c r="AR174" s="447"/>
      <c r="AS174" s="447"/>
      <c r="AT174" s="447"/>
      <c r="AU174" s="447"/>
      <c r="AV174" s="447"/>
      <c r="AW174" s="447"/>
      <c r="AX174" s="447"/>
      <c r="AY174" s="447"/>
      <c r="AZ174" s="447"/>
      <c r="BA174" s="447"/>
      <c r="BB174" s="447"/>
      <c r="BC174" s="447"/>
      <c r="BD174" s="447"/>
      <c r="BE174" s="447"/>
      <c r="BF174" s="447"/>
      <c r="BG174" s="447"/>
      <c r="BH174" s="447"/>
      <c r="BI174" s="447"/>
      <c r="BJ174" s="447"/>
      <c r="BK174" s="447"/>
      <c r="BL174" s="447"/>
      <c r="BM174" s="448"/>
      <c r="BN174" s="448"/>
    </row>
    <row r="175" spans="1:66" ht="11.25" customHeight="1">
      <c r="A175" s="469"/>
      <c r="B175" s="447"/>
      <c r="C175" s="447"/>
      <c r="D175" s="447"/>
      <c r="E175" s="447"/>
      <c r="F175" s="447"/>
      <c r="G175" s="447"/>
      <c r="H175" s="447"/>
      <c r="I175" s="447"/>
      <c r="J175" s="447"/>
      <c r="K175" s="447"/>
      <c r="L175" s="447"/>
      <c r="M175" s="447"/>
      <c r="N175" s="447"/>
      <c r="O175" s="447"/>
      <c r="P175" s="447"/>
      <c r="Q175" s="447"/>
      <c r="R175" s="447"/>
      <c r="S175" s="447"/>
      <c r="T175" s="447"/>
      <c r="U175" s="447"/>
      <c r="V175" s="447"/>
      <c r="W175" s="447"/>
      <c r="X175" s="447"/>
      <c r="Y175" s="447"/>
      <c r="Z175" s="447"/>
      <c r="AA175" s="447"/>
      <c r="AB175" s="447"/>
      <c r="AC175" s="447"/>
      <c r="AD175" s="447"/>
      <c r="AE175" s="447"/>
      <c r="AF175" s="448"/>
      <c r="AG175" s="448"/>
      <c r="AH175" s="448"/>
      <c r="AI175" s="447"/>
      <c r="AJ175" s="447"/>
      <c r="AK175" s="447"/>
      <c r="AL175" s="447"/>
      <c r="AM175" s="447"/>
      <c r="AN175" s="447"/>
      <c r="AO175" s="447"/>
      <c r="AP175" s="447"/>
      <c r="AQ175" s="447"/>
      <c r="AR175" s="447"/>
      <c r="AS175" s="447"/>
      <c r="AT175" s="447"/>
      <c r="AU175" s="447"/>
      <c r="AV175" s="447"/>
      <c r="AW175" s="447"/>
      <c r="AX175" s="447"/>
      <c r="AY175" s="447"/>
      <c r="AZ175" s="447"/>
      <c r="BA175" s="447"/>
      <c r="BB175" s="447"/>
      <c r="BC175" s="447"/>
      <c r="BD175" s="447"/>
      <c r="BE175" s="447"/>
      <c r="BF175" s="447"/>
      <c r="BG175" s="447"/>
      <c r="BH175" s="447"/>
      <c r="BI175" s="447"/>
      <c r="BJ175" s="447"/>
      <c r="BK175" s="447"/>
      <c r="BL175" s="447"/>
      <c r="BM175" s="448"/>
      <c r="BN175" s="448"/>
    </row>
    <row r="176" spans="1:66" ht="11.25" customHeight="1">
      <c r="A176" s="469"/>
      <c r="B176" s="447"/>
      <c r="C176" s="447"/>
      <c r="D176" s="447"/>
      <c r="E176" s="447"/>
      <c r="F176" s="447"/>
      <c r="G176" s="447"/>
      <c r="H176" s="447"/>
      <c r="I176" s="447"/>
      <c r="J176" s="447"/>
      <c r="K176" s="447"/>
      <c r="L176" s="447"/>
      <c r="M176" s="447"/>
      <c r="N176" s="447"/>
      <c r="O176" s="447"/>
      <c r="P176" s="447"/>
      <c r="Q176" s="447"/>
      <c r="R176" s="447"/>
      <c r="S176" s="447"/>
      <c r="T176" s="447"/>
      <c r="U176" s="447"/>
      <c r="V176" s="447"/>
      <c r="W176" s="447"/>
      <c r="X176" s="447"/>
      <c r="Y176" s="447"/>
      <c r="Z176" s="447"/>
      <c r="AA176" s="447"/>
      <c r="AB176" s="447"/>
      <c r="AC176" s="447"/>
      <c r="AD176" s="447"/>
      <c r="AE176" s="447"/>
      <c r="AF176" s="448"/>
      <c r="AG176" s="448"/>
      <c r="AH176" s="448"/>
      <c r="AI176" s="447"/>
      <c r="AJ176" s="447"/>
      <c r="AK176" s="447"/>
      <c r="AL176" s="447"/>
      <c r="AM176" s="447"/>
      <c r="AN176" s="447"/>
      <c r="AO176" s="447"/>
      <c r="AP176" s="447"/>
      <c r="AQ176" s="447"/>
      <c r="AR176" s="447"/>
      <c r="AS176" s="447"/>
      <c r="AT176" s="447"/>
      <c r="AU176" s="447"/>
      <c r="AV176" s="447"/>
      <c r="AW176" s="447"/>
      <c r="AX176" s="447"/>
      <c r="AY176" s="447"/>
      <c r="AZ176" s="447"/>
      <c r="BA176" s="447"/>
      <c r="BB176" s="447"/>
      <c r="BC176" s="447"/>
      <c r="BD176" s="447"/>
      <c r="BE176" s="447"/>
      <c r="BF176" s="447"/>
      <c r="BG176" s="447"/>
      <c r="BH176" s="447"/>
      <c r="BI176" s="447"/>
      <c r="BJ176" s="447"/>
      <c r="BK176" s="447"/>
      <c r="BL176" s="447"/>
      <c r="BM176" s="448"/>
      <c r="BN176" s="448"/>
    </row>
    <row r="177" spans="1:66" ht="11.25" customHeight="1">
      <c r="A177" s="469"/>
      <c r="B177" s="447"/>
      <c r="C177" s="447"/>
      <c r="D177" s="447"/>
      <c r="E177" s="447"/>
      <c r="F177" s="447"/>
      <c r="G177" s="447"/>
      <c r="H177" s="447"/>
      <c r="I177" s="447"/>
      <c r="J177" s="447"/>
      <c r="K177" s="447"/>
      <c r="L177" s="447"/>
      <c r="M177" s="447"/>
      <c r="N177" s="447"/>
      <c r="O177" s="447"/>
      <c r="P177" s="447"/>
      <c r="Q177" s="447"/>
      <c r="R177" s="447"/>
      <c r="S177" s="447"/>
      <c r="T177" s="447"/>
      <c r="U177" s="447"/>
      <c r="V177" s="447"/>
      <c r="W177" s="447"/>
      <c r="X177" s="447"/>
      <c r="Y177" s="447"/>
      <c r="Z177" s="447"/>
      <c r="AA177" s="447"/>
      <c r="AB177" s="447"/>
      <c r="AC177" s="447"/>
      <c r="AD177" s="447"/>
      <c r="AE177" s="447"/>
      <c r="AF177" s="448"/>
      <c r="AG177" s="448"/>
      <c r="AH177" s="448"/>
      <c r="AI177" s="447"/>
      <c r="AJ177" s="447"/>
      <c r="AK177" s="447"/>
      <c r="AL177" s="447"/>
      <c r="AM177" s="447"/>
      <c r="AN177" s="447"/>
      <c r="AO177" s="447"/>
      <c r="AP177" s="447"/>
      <c r="AQ177" s="447"/>
      <c r="AR177" s="447"/>
      <c r="AS177" s="447"/>
      <c r="AT177" s="447"/>
      <c r="AU177" s="447"/>
      <c r="AV177" s="447"/>
      <c r="AW177" s="447"/>
      <c r="AX177" s="447"/>
      <c r="AY177" s="447"/>
      <c r="AZ177" s="447"/>
      <c r="BA177" s="447"/>
      <c r="BB177" s="447"/>
      <c r="BC177" s="447"/>
      <c r="BD177" s="447"/>
      <c r="BE177" s="447"/>
      <c r="BF177" s="447"/>
      <c r="BG177" s="447"/>
      <c r="BH177" s="447"/>
      <c r="BI177" s="447"/>
      <c r="BJ177" s="447"/>
      <c r="BK177" s="447"/>
      <c r="BL177" s="447"/>
      <c r="BM177" s="448"/>
      <c r="BN177" s="448"/>
    </row>
    <row r="178" spans="1:66" ht="11.25" customHeight="1">
      <c r="A178" s="469"/>
      <c r="B178" s="447"/>
      <c r="C178" s="447"/>
      <c r="D178" s="447"/>
      <c r="E178" s="447"/>
      <c r="F178" s="447"/>
      <c r="G178" s="447"/>
      <c r="H178" s="447"/>
      <c r="I178" s="447"/>
      <c r="J178" s="447"/>
      <c r="K178" s="447"/>
      <c r="L178" s="447"/>
      <c r="M178" s="447"/>
      <c r="N178" s="447"/>
      <c r="O178" s="447"/>
      <c r="P178" s="447"/>
      <c r="Q178" s="447"/>
      <c r="R178" s="447"/>
      <c r="S178" s="447"/>
      <c r="T178" s="447"/>
      <c r="U178" s="447"/>
      <c r="V178" s="447"/>
      <c r="W178" s="447"/>
      <c r="X178" s="447"/>
      <c r="Y178" s="447"/>
      <c r="Z178" s="447"/>
      <c r="AA178" s="447"/>
      <c r="AB178" s="447"/>
      <c r="AC178" s="447"/>
      <c r="AD178" s="447"/>
      <c r="AE178" s="447"/>
      <c r="AF178" s="448"/>
      <c r="AG178" s="448"/>
      <c r="AH178" s="448"/>
      <c r="AI178" s="447"/>
      <c r="AJ178" s="447"/>
      <c r="AK178" s="447"/>
      <c r="AL178" s="447"/>
      <c r="AM178" s="447"/>
      <c r="AN178" s="447"/>
      <c r="AO178" s="447"/>
      <c r="AP178" s="447"/>
      <c r="AQ178" s="447"/>
      <c r="AR178" s="447"/>
      <c r="AS178" s="447"/>
      <c r="AT178" s="447"/>
      <c r="AU178" s="447"/>
      <c r="AV178" s="447"/>
      <c r="AW178" s="447"/>
      <c r="AX178" s="447"/>
      <c r="AY178" s="447"/>
      <c r="AZ178" s="447"/>
      <c r="BA178" s="447"/>
      <c r="BB178" s="447"/>
      <c r="BC178" s="447"/>
      <c r="BD178" s="447"/>
      <c r="BE178" s="447"/>
      <c r="BF178" s="447"/>
      <c r="BG178" s="447"/>
      <c r="BH178" s="447"/>
      <c r="BI178" s="447"/>
      <c r="BJ178" s="447"/>
      <c r="BK178" s="447"/>
      <c r="BL178" s="447"/>
      <c r="BM178" s="448"/>
      <c r="BN178" s="448"/>
    </row>
    <row r="179" spans="1:66" ht="11.25" customHeight="1">
      <c r="A179" s="469"/>
      <c r="B179" s="447"/>
      <c r="C179" s="447"/>
      <c r="D179" s="447"/>
      <c r="E179" s="447"/>
      <c r="F179" s="447"/>
      <c r="G179" s="447"/>
      <c r="H179" s="447"/>
      <c r="I179" s="447"/>
      <c r="J179" s="447"/>
      <c r="K179" s="447"/>
      <c r="L179" s="447"/>
      <c r="M179" s="447"/>
      <c r="N179" s="447"/>
      <c r="O179" s="447"/>
      <c r="P179" s="447"/>
      <c r="Q179" s="447"/>
      <c r="R179" s="447"/>
      <c r="S179" s="447"/>
      <c r="T179" s="447"/>
      <c r="U179" s="447"/>
      <c r="V179" s="447"/>
      <c r="W179" s="447"/>
      <c r="X179" s="447"/>
      <c r="Y179" s="447"/>
      <c r="Z179" s="447"/>
      <c r="AA179" s="447"/>
      <c r="AB179" s="447"/>
      <c r="AC179" s="447"/>
      <c r="AD179" s="447"/>
      <c r="AE179" s="447"/>
      <c r="AF179" s="448"/>
      <c r="AG179" s="448"/>
      <c r="AH179" s="448"/>
      <c r="AI179" s="447"/>
      <c r="AJ179" s="447"/>
      <c r="AK179" s="447"/>
      <c r="AL179" s="447"/>
      <c r="AM179" s="447"/>
      <c r="AN179" s="447"/>
      <c r="AO179" s="447"/>
      <c r="AP179" s="447"/>
      <c r="AQ179" s="447"/>
      <c r="AR179" s="447"/>
      <c r="AS179" s="447"/>
      <c r="AT179" s="447"/>
      <c r="AU179" s="447"/>
      <c r="AV179" s="447"/>
      <c r="AW179" s="447"/>
      <c r="AX179" s="447"/>
      <c r="AY179" s="447"/>
      <c r="AZ179" s="447"/>
      <c r="BA179" s="447"/>
      <c r="BB179" s="447"/>
      <c r="BC179" s="447"/>
      <c r="BD179" s="447"/>
      <c r="BE179" s="447"/>
      <c r="BF179" s="447"/>
      <c r="BG179" s="447"/>
      <c r="BH179" s="447"/>
      <c r="BI179" s="447"/>
      <c r="BJ179" s="447"/>
      <c r="BK179" s="447"/>
      <c r="BL179" s="447"/>
      <c r="BM179" s="448"/>
      <c r="BN179" s="448"/>
    </row>
    <row r="180" spans="1:66" ht="11.25" customHeight="1">
      <c r="A180" s="469"/>
      <c r="B180" s="447"/>
      <c r="C180" s="447"/>
      <c r="D180" s="447"/>
      <c r="E180" s="447"/>
      <c r="F180" s="447"/>
      <c r="G180" s="447"/>
      <c r="H180" s="447"/>
      <c r="I180" s="447"/>
      <c r="J180" s="447"/>
      <c r="K180" s="447"/>
      <c r="L180" s="447"/>
      <c r="M180" s="447"/>
      <c r="N180" s="447"/>
      <c r="O180" s="447"/>
      <c r="P180" s="447"/>
      <c r="Q180" s="447"/>
      <c r="R180" s="447"/>
      <c r="S180" s="447"/>
      <c r="T180" s="447"/>
      <c r="U180" s="447"/>
      <c r="V180" s="447"/>
      <c r="W180" s="447"/>
      <c r="X180" s="447"/>
      <c r="Y180" s="447"/>
      <c r="Z180" s="447"/>
      <c r="AA180" s="447"/>
      <c r="AB180" s="447"/>
      <c r="AC180" s="447"/>
      <c r="AD180" s="447"/>
      <c r="AE180" s="447"/>
      <c r="AF180" s="448"/>
      <c r="AG180" s="448"/>
      <c r="AH180" s="448"/>
      <c r="AI180" s="447"/>
      <c r="AJ180" s="447"/>
      <c r="AK180" s="447"/>
      <c r="AL180" s="447"/>
      <c r="AM180" s="447"/>
      <c r="AN180" s="447"/>
      <c r="AO180" s="447"/>
      <c r="AP180" s="447"/>
      <c r="AQ180" s="447"/>
      <c r="AR180" s="447"/>
      <c r="AS180" s="447"/>
      <c r="AT180" s="447"/>
      <c r="AU180" s="447"/>
      <c r="AV180" s="447"/>
      <c r="AW180" s="447"/>
      <c r="AX180" s="447"/>
      <c r="AY180" s="447"/>
      <c r="AZ180" s="447"/>
      <c r="BA180" s="447"/>
      <c r="BB180" s="447"/>
      <c r="BC180" s="447"/>
      <c r="BD180" s="447"/>
      <c r="BE180" s="447"/>
      <c r="BF180" s="447"/>
      <c r="BG180" s="447"/>
      <c r="BH180" s="447"/>
      <c r="BI180" s="447"/>
      <c r="BJ180" s="447"/>
      <c r="BK180" s="447"/>
      <c r="BL180" s="447"/>
      <c r="BM180" s="448"/>
      <c r="BN180" s="448"/>
    </row>
    <row r="181" spans="1:66" ht="11.25" customHeight="1">
      <c r="A181" s="469"/>
      <c r="B181" s="447"/>
      <c r="C181" s="447"/>
      <c r="D181" s="447"/>
      <c r="E181" s="447"/>
      <c r="F181" s="447"/>
      <c r="G181" s="447"/>
      <c r="H181" s="447"/>
      <c r="I181" s="447"/>
      <c r="J181" s="447"/>
      <c r="K181" s="447"/>
      <c r="L181" s="447"/>
      <c r="M181" s="447"/>
      <c r="N181" s="447"/>
      <c r="O181" s="447"/>
      <c r="P181" s="447"/>
      <c r="Q181" s="447"/>
      <c r="R181" s="447"/>
      <c r="S181" s="447"/>
      <c r="T181" s="447"/>
      <c r="U181" s="447"/>
      <c r="V181" s="447"/>
      <c r="W181" s="447"/>
      <c r="X181" s="447"/>
      <c r="Y181" s="447"/>
      <c r="Z181" s="447"/>
      <c r="AA181" s="447"/>
      <c r="AB181" s="447"/>
      <c r="AC181" s="447"/>
      <c r="AD181" s="447"/>
      <c r="AE181" s="447"/>
      <c r="AF181" s="448"/>
      <c r="AG181" s="448"/>
      <c r="AH181" s="448"/>
      <c r="AI181" s="447"/>
      <c r="AJ181" s="447"/>
      <c r="AK181" s="447"/>
      <c r="AL181" s="447"/>
      <c r="AM181" s="447"/>
      <c r="AN181" s="447"/>
      <c r="AO181" s="447"/>
      <c r="AP181" s="447"/>
      <c r="AQ181" s="447"/>
      <c r="AR181" s="447"/>
      <c r="AS181" s="447"/>
      <c r="AT181" s="447"/>
      <c r="AU181" s="447"/>
      <c r="AV181" s="447"/>
      <c r="AW181" s="447"/>
      <c r="AX181" s="447"/>
      <c r="AY181" s="447"/>
      <c r="AZ181" s="447"/>
      <c r="BA181" s="447"/>
      <c r="BB181" s="447"/>
      <c r="BC181" s="447"/>
      <c r="BD181" s="447"/>
      <c r="BE181" s="447"/>
      <c r="BF181" s="447"/>
      <c r="BG181" s="447"/>
      <c r="BH181" s="447"/>
      <c r="BI181" s="447"/>
      <c r="BJ181" s="447"/>
      <c r="BK181" s="447"/>
      <c r="BL181" s="447"/>
      <c r="BM181" s="448"/>
      <c r="BN181" s="448"/>
    </row>
    <row r="182" spans="1:66" ht="11.25" customHeight="1">
      <c r="A182" s="469"/>
      <c r="B182" s="447"/>
      <c r="C182" s="447"/>
      <c r="D182" s="447"/>
      <c r="E182" s="447"/>
      <c r="F182" s="447"/>
      <c r="G182" s="447"/>
      <c r="H182" s="447"/>
      <c r="I182" s="447"/>
      <c r="J182" s="447"/>
      <c r="K182" s="447"/>
      <c r="L182" s="447"/>
      <c r="M182" s="447"/>
      <c r="N182" s="447"/>
      <c r="O182" s="447"/>
      <c r="P182" s="447"/>
      <c r="Q182" s="447"/>
      <c r="R182" s="447"/>
      <c r="S182" s="447"/>
      <c r="T182" s="447"/>
      <c r="U182" s="447"/>
      <c r="V182" s="447"/>
      <c r="W182" s="447"/>
      <c r="X182" s="447"/>
      <c r="Y182" s="447"/>
      <c r="Z182" s="447"/>
      <c r="AA182" s="447"/>
      <c r="AB182" s="447"/>
      <c r="AC182" s="447"/>
      <c r="AD182" s="447"/>
      <c r="AE182" s="447"/>
      <c r="AF182" s="448"/>
      <c r="AG182" s="448"/>
      <c r="AH182" s="448"/>
      <c r="AI182" s="447"/>
      <c r="AJ182" s="447"/>
      <c r="AK182" s="447"/>
      <c r="AL182" s="447"/>
      <c r="AM182" s="447"/>
      <c r="AN182" s="447"/>
      <c r="AO182" s="447"/>
      <c r="AP182" s="447"/>
      <c r="AQ182" s="447"/>
      <c r="AR182" s="447"/>
      <c r="AS182" s="447"/>
      <c r="AT182" s="447"/>
      <c r="AU182" s="447"/>
      <c r="AV182" s="447"/>
      <c r="AW182" s="447"/>
      <c r="AX182" s="447"/>
      <c r="AY182" s="447"/>
      <c r="AZ182" s="447"/>
      <c r="BA182" s="447"/>
      <c r="BB182" s="447"/>
      <c r="BC182" s="447"/>
      <c r="BD182" s="447"/>
      <c r="BE182" s="447"/>
      <c r="BF182" s="447"/>
      <c r="BG182" s="447"/>
      <c r="BH182" s="447"/>
      <c r="BI182" s="447"/>
      <c r="BJ182" s="447"/>
      <c r="BK182" s="447"/>
      <c r="BL182" s="447"/>
      <c r="BM182" s="448"/>
      <c r="BN182" s="448"/>
    </row>
    <row r="183" spans="1:66" ht="11.25" customHeight="1">
      <c r="A183" s="469"/>
      <c r="B183" s="447"/>
      <c r="C183" s="447"/>
      <c r="D183" s="447"/>
      <c r="E183" s="447"/>
      <c r="F183" s="447"/>
      <c r="G183" s="447"/>
      <c r="H183" s="447"/>
      <c r="I183" s="447"/>
      <c r="J183" s="447"/>
      <c r="K183" s="447"/>
      <c r="L183" s="447"/>
      <c r="M183" s="447"/>
      <c r="N183" s="447"/>
      <c r="O183" s="447"/>
      <c r="P183" s="447"/>
      <c r="Q183" s="447"/>
      <c r="R183" s="447"/>
      <c r="S183" s="447"/>
      <c r="T183" s="447"/>
      <c r="U183" s="447"/>
      <c r="V183" s="447"/>
      <c r="W183" s="447"/>
      <c r="X183" s="447"/>
      <c r="Y183" s="447"/>
      <c r="Z183" s="447"/>
      <c r="AA183" s="447"/>
      <c r="AB183" s="447"/>
      <c r="AC183" s="447"/>
      <c r="AD183" s="447"/>
      <c r="AE183" s="447"/>
      <c r="AF183" s="448"/>
      <c r="AG183" s="448"/>
      <c r="AH183" s="448"/>
      <c r="AI183" s="447"/>
      <c r="AJ183" s="447"/>
      <c r="AK183" s="447"/>
      <c r="AL183" s="447"/>
      <c r="AM183" s="447"/>
      <c r="AN183" s="447"/>
      <c r="AO183" s="447"/>
      <c r="AP183" s="447"/>
      <c r="AQ183" s="447"/>
      <c r="AR183" s="447"/>
      <c r="AS183" s="447"/>
      <c r="AT183" s="447"/>
      <c r="AU183" s="447"/>
      <c r="AV183" s="447"/>
      <c r="AW183" s="447"/>
      <c r="AX183" s="447"/>
      <c r="AY183" s="447"/>
      <c r="AZ183" s="447"/>
      <c r="BA183" s="447"/>
      <c r="BB183" s="447"/>
      <c r="BC183" s="447"/>
      <c r="BD183" s="447"/>
      <c r="BE183" s="447"/>
      <c r="BF183" s="447"/>
      <c r="BG183" s="447"/>
      <c r="BH183" s="447"/>
      <c r="BI183" s="447"/>
      <c r="BJ183" s="447"/>
      <c r="BK183" s="447"/>
      <c r="BL183" s="447"/>
      <c r="BM183" s="448"/>
      <c r="BN183" s="448"/>
    </row>
    <row r="184" spans="1:66" ht="11.25" customHeight="1">
      <c r="A184" s="469"/>
      <c r="B184" s="447"/>
      <c r="C184" s="447"/>
      <c r="D184" s="447"/>
      <c r="E184" s="447"/>
      <c r="F184" s="447"/>
      <c r="G184" s="447"/>
      <c r="H184" s="447"/>
      <c r="I184" s="447"/>
      <c r="J184" s="447"/>
      <c r="K184" s="447"/>
      <c r="L184" s="447"/>
      <c r="M184" s="447"/>
      <c r="N184" s="447"/>
      <c r="O184" s="447"/>
      <c r="P184" s="447"/>
      <c r="Q184" s="447"/>
      <c r="R184" s="447"/>
      <c r="S184" s="447"/>
      <c r="T184" s="447"/>
      <c r="U184" s="447"/>
      <c r="V184" s="447"/>
      <c r="W184" s="447"/>
      <c r="X184" s="447"/>
      <c r="Y184" s="447"/>
      <c r="Z184" s="447"/>
      <c r="AA184" s="447"/>
      <c r="AB184" s="447"/>
      <c r="AC184" s="447"/>
      <c r="AD184" s="447"/>
      <c r="AE184" s="447"/>
      <c r="AF184" s="448"/>
      <c r="AG184" s="448"/>
      <c r="AH184" s="448"/>
      <c r="AI184" s="447"/>
      <c r="AJ184" s="447"/>
      <c r="AK184" s="447"/>
      <c r="AL184" s="447"/>
      <c r="AM184" s="447"/>
      <c r="AN184" s="447"/>
      <c r="AO184" s="447"/>
      <c r="AP184" s="447"/>
      <c r="AQ184" s="447"/>
      <c r="AR184" s="447"/>
      <c r="AS184" s="447"/>
      <c r="AT184" s="447"/>
      <c r="AU184" s="447"/>
      <c r="AV184" s="447"/>
      <c r="AW184" s="447"/>
      <c r="AX184" s="447"/>
      <c r="AY184" s="447"/>
      <c r="AZ184" s="447"/>
      <c r="BA184" s="447"/>
      <c r="BB184" s="447"/>
      <c r="BC184" s="447"/>
      <c r="BD184" s="447"/>
      <c r="BE184" s="447"/>
      <c r="BF184" s="447"/>
      <c r="BG184" s="447"/>
      <c r="BH184" s="447"/>
      <c r="BI184" s="447"/>
      <c r="BJ184" s="447"/>
      <c r="BK184" s="447"/>
      <c r="BL184" s="447"/>
      <c r="BM184" s="448"/>
      <c r="BN184" s="448"/>
    </row>
    <row r="185" spans="1:66" ht="11.25" customHeight="1">
      <c r="A185" s="469"/>
      <c r="B185" s="447"/>
      <c r="C185" s="447"/>
      <c r="D185" s="447"/>
      <c r="E185" s="447"/>
      <c r="F185" s="447"/>
      <c r="G185" s="447"/>
      <c r="H185" s="447"/>
      <c r="I185" s="447"/>
      <c r="J185" s="447"/>
      <c r="K185" s="447"/>
      <c r="L185" s="447"/>
      <c r="M185" s="447"/>
      <c r="N185" s="447"/>
      <c r="O185" s="447"/>
      <c r="P185" s="447"/>
      <c r="Q185" s="447"/>
      <c r="R185" s="447"/>
      <c r="S185" s="447"/>
      <c r="T185" s="447"/>
      <c r="U185" s="447"/>
      <c r="V185" s="447"/>
      <c r="W185" s="447"/>
      <c r="X185" s="447"/>
      <c r="Y185" s="447"/>
      <c r="Z185" s="447"/>
      <c r="AA185" s="447"/>
      <c r="AB185" s="447"/>
      <c r="AC185" s="447"/>
      <c r="AD185" s="447"/>
      <c r="AE185" s="447"/>
      <c r="AF185" s="448"/>
      <c r="AG185" s="448"/>
      <c r="AH185" s="448"/>
      <c r="AI185" s="447"/>
      <c r="AJ185" s="447"/>
      <c r="AK185" s="447"/>
      <c r="AL185" s="447"/>
      <c r="AM185" s="447"/>
      <c r="AN185" s="447"/>
      <c r="AO185" s="447"/>
      <c r="AP185" s="447"/>
      <c r="AQ185" s="447"/>
      <c r="AR185" s="447"/>
      <c r="AS185" s="447"/>
      <c r="AT185" s="447"/>
      <c r="AU185" s="447"/>
      <c r="AV185" s="447"/>
      <c r="AW185" s="447"/>
      <c r="AX185" s="447"/>
      <c r="AY185" s="447"/>
      <c r="AZ185" s="447"/>
      <c r="BA185" s="447"/>
      <c r="BB185" s="447"/>
      <c r="BC185" s="447"/>
      <c r="BD185" s="447"/>
      <c r="BE185" s="447"/>
      <c r="BF185" s="447"/>
      <c r="BG185" s="447"/>
      <c r="BH185" s="447"/>
      <c r="BI185" s="447"/>
      <c r="BJ185" s="447"/>
      <c r="BK185" s="447"/>
      <c r="BL185" s="447"/>
      <c r="BM185" s="448"/>
      <c r="BN185" s="448"/>
    </row>
    <row r="186" spans="1:66" ht="11.25" customHeight="1">
      <c r="A186" s="469"/>
      <c r="B186" s="447"/>
      <c r="C186" s="447"/>
      <c r="D186" s="447"/>
      <c r="E186" s="447"/>
      <c r="F186" s="447"/>
      <c r="G186" s="447"/>
      <c r="H186" s="447"/>
      <c r="I186" s="447"/>
      <c r="J186" s="447"/>
      <c r="K186" s="447"/>
      <c r="L186" s="447"/>
      <c r="M186" s="447"/>
      <c r="N186" s="447"/>
      <c r="O186" s="447"/>
      <c r="P186" s="447"/>
      <c r="Q186" s="447"/>
      <c r="R186" s="447"/>
      <c r="S186" s="447"/>
      <c r="T186" s="447"/>
      <c r="U186" s="447"/>
      <c r="V186" s="447"/>
      <c r="W186" s="447"/>
      <c r="X186" s="447"/>
      <c r="Y186" s="447"/>
      <c r="Z186" s="447"/>
      <c r="AA186" s="447"/>
      <c r="AB186" s="447"/>
      <c r="AC186" s="447"/>
      <c r="AD186" s="447"/>
      <c r="AE186" s="447"/>
      <c r="AF186" s="448"/>
      <c r="AG186" s="448"/>
      <c r="AH186" s="448"/>
      <c r="AI186" s="447"/>
      <c r="AJ186" s="447"/>
      <c r="AK186" s="447"/>
      <c r="AL186" s="447"/>
      <c r="AM186" s="447"/>
      <c r="AN186" s="447"/>
      <c r="AO186" s="447"/>
      <c r="AP186" s="447"/>
      <c r="AQ186" s="447"/>
      <c r="AR186" s="447"/>
      <c r="AS186" s="447"/>
      <c r="AT186" s="447"/>
      <c r="AU186" s="447"/>
      <c r="AV186" s="447"/>
      <c r="AW186" s="447"/>
      <c r="AX186" s="447"/>
      <c r="AY186" s="447"/>
      <c r="AZ186" s="447"/>
      <c r="BA186" s="447"/>
      <c r="BB186" s="447"/>
      <c r="BC186" s="447"/>
      <c r="BD186" s="447"/>
      <c r="BE186" s="447"/>
      <c r="BF186" s="447"/>
      <c r="BG186" s="447"/>
      <c r="BH186" s="447"/>
      <c r="BI186" s="447"/>
      <c r="BJ186" s="447"/>
      <c r="BK186" s="447"/>
      <c r="BL186" s="447"/>
      <c r="BM186" s="448"/>
      <c r="BN186" s="448"/>
    </row>
    <row r="187" spans="1:66" ht="11.25" customHeight="1">
      <c r="A187" s="469"/>
      <c r="B187" s="447"/>
      <c r="C187" s="447"/>
      <c r="D187" s="447"/>
      <c r="E187" s="447"/>
      <c r="F187" s="447"/>
      <c r="G187" s="447"/>
      <c r="H187" s="447"/>
      <c r="I187" s="447"/>
      <c r="J187" s="447"/>
      <c r="K187" s="447"/>
      <c r="L187" s="447"/>
      <c r="M187" s="447"/>
      <c r="N187" s="447"/>
      <c r="O187" s="447"/>
      <c r="P187" s="447"/>
      <c r="Q187" s="447"/>
      <c r="R187" s="447"/>
      <c r="S187" s="447"/>
      <c r="T187" s="447"/>
      <c r="U187" s="447"/>
      <c r="V187" s="447"/>
      <c r="W187" s="447"/>
      <c r="X187" s="447"/>
      <c r="Y187" s="447"/>
      <c r="Z187" s="447"/>
      <c r="AA187" s="447"/>
      <c r="AB187" s="447"/>
      <c r="AC187" s="447"/>
      <c r="AD187" s="447"/>
      <c r="AE187" s="447"/>
      <c r="AF187" s="448"/>
      <c r="AG187" s="448"/>
      <c r="AH187" s="448"/>
      <c r="AI187" s="447"/>
      <c r="AJ187" s="447"/>
      <c r="AK187" s="447"/>
      <c r="AL187" s="447"/>
      <c r="AM187" s="447"/>
      <c r="AN187" s="447"/>
      <c r="AO187" s="447"/>
      <c r="AP187" s="447"/>
      <c r="AQ187" s="447"/>
      <c r="AR187" s="447"/>
      <c r="AS187" s="447"/>
      <c r="AT187" s="447"/>
      <c r="AU187" s="447"/>
      <c r="AV187" s="447"/>
      <c r="AW187" s="447"/>
      <c r="AX187" s="447"/>
      <c r="AY187" s="447"/>
      <c r="AZ187" s="447"/>
      <c r="BA187" s="447"/>
      <c r="BB187" s="447"/>
      <c r="BC187" s="447"/>
      <c r="BD187" s="447"/>
      <c r="BE187" s="447"/>
      <c r="BF187" s="447"/>
      <c r="BG187" s="447"/>
      <c r="BH187" s="447"/>
      <c r="BI187" s="447"/>
      <c r="BJ187" s="447"/>
      <c r="BK187" s="447"/>
      <c r="BL187" s="447"/>
      <c r="BM187" s="448"/>
      <c r="BN187" s="448"/>
    </row>
    <row r="188" spans="1:66" ht="11.25" customHeight="1">
      <c r="A188" s="469"/>
      <c r="B188" s="447"/>
      <c r="C188" s="447"/>
      <c r="D188" s="447"/>
      <c r="E188" s="447"/>
      <c r="F188" s="447"/>
      <c r="G188" s="447"/>
      <c r="H188" s="447"/>
      <c r="I188" s="447"/>
      <c r="J188" s="447"/>
      <c r="K188" s="447"/>
      <c r="L188" s="447"/>
      <c r="M188" s="447"/>
      <c r="N188" s="447"/>
      <c r="O188" s="447"/>
      <c r="P188" s="447"/>
      <c r="Q188" s="447"/>
      <c r="R188" s="447"/>
      <c r="S188" s="447"/>
      <c r="T188" s="447"/>
      <c r="U188" s="447"/>
      <c r="V188" s="447"/>
      <c r="W188" s="447"/>
      <c r="X188" s="447"/>
      <c r="Y188" s="447"/>
      <c r="Z188" s="447"/>
      <c r="AA188" s="447"/>
      <c r="AB188" s="447"/>
      <c r="AC188" s="447"/>
      <c r="AD188" s="447"/>
      <c r="AE188" s="447"/>
      <c r="AF188" s="448"/>
      <c r="AG188" s="448"/>
      <c r="AH188" s="448"/>
      <c r="AI188" s="447"/>
      <c r="AJ188" s="447"/>
      <c r="AK188" s="447"/>
      <c r="AL188" s="447"/>
      <c r="AM188" s="447"/>
      <c r="AN188" s="447"/>
      <c r="AO188" s="447"/>
      <c r="AP188" s="447"/>
      <c r="AQ188" s="447"/>
      <c r="AR188" s="447"/>
      <c r="AS188" s="447"/>
      <c r="AT188" s="447"/>
      <c r="AU188" s="447"/>
      <c r="AV188" s="447"/>
      <c r="AW188" s="447"/>
      <c r="AX188" s="447"/>
      <c r="AY188" s="447"/>
      <c r="AZ188" s="447"/>
      <c r="BA188" s="447"/>
      <c r="BB188" s="447"/>
      <c r="BC188" s="447"/>
      <c r="BD188" s="447"/>
      <c r="BE188" s="447"/>
      <c r="BF188" s="447"/>
      <c r="BG188" s="447"/>
      <c r="BH188" s="447"/>
      <c r="BI188" s="447"/>
      <c r="BJ188" s="447"/>
      <c r="BK188" s="447"/>
      <c r="BL188" s="447"/>
      <c r="BM188" s="448"/>
      <c r="BN188" s="448"/>
    </row>
    <row r="189" spans="1:66" ht="11.25" customHeight="1">
      <c r="A189" s="469"/>
      <c r="B189" s="447"/>
      <c r="C189" s="447"/>
      <c r="D189" s="447"/>
      <c r="E189" s="447"/>
      <c r="F189" s="447"/>
      <c r="G189" s="447"/>
      <c r="H189" s="447"/>
      <c r="I189" s="447"/>
      <c r="J189" s="447"/>
      <c r="K189" s="447"/>
      <c r="L189" s="447"/>
      <c r="M189" s="447"/>
      <c r="N189" s="447"/>
      <c r="O189" s="447"/>
      <c r="P189" s="447"/>
      <c r="Q189" s="447"/>
      <c r="R189" s="447"/>
      <c r="S189" s="447"/>
      <c r="T189" s="447"/>
      <c r="U189" s="447"/>
      <c r="V189" s="447"/>
      <c r="W189" s="447"/>
      <c r="X189" s="447"/>
      <c r="Y189" s="447"/>
      <c r="Z189" s="447"/>
      <c r="AA189" s="447"/>
      <c r="AB189" s="447"/>
      <c r="AC189" s="447"/>
      <c r="AD189" s="447"/>
      <c r="AE189" s="447"/>
      <c r="AF189" s="448"/>
      <c r="AG189" s="448"/>
      <c r="AH189" s="448"/>
      <c r="AI189" s="447"/>
      <c r="AJ189" s="447"/>
      <c r="AK189" s="447"/>
      <c r="AL189" s="447"/>
      <c r="AM189" s="447"/>
      <c r="AN189" s="447"/>
      <c r="AO189" s="447"/>
      <c r="AP189" s="447"/>
      <c r="AQ189" s="447"/>
      <c r="AR189" s="447"/>
      <c r="AS189" s="447"/>
      <c r="AT189" s="447"/>
      <c r="AU189" s="447"/>
      <c r="AV189" s="447"/>
      <c r="AW189" s="447"/>
      <c r="AX189" s="447"/>
      <c r="AY189" s="447"/>
      <c r="AZ189" s="447"/>
      <c r="BA189" s="447"/>
      <c r="BB189" s="447"/>
      <c r="BC189" s="447"/>
      <c r="BD189" s="447"/>
      <c r="BE189" s="447"/>
      <c r="BF189" s="447"/>
      <c r="BG189" s="447"/>
      <c r="BH189" s="447"/>
      <c r="BI189" s="447"/>
      <c r="BJ189" s="447"/>
      <c r="BK189" s="447"/>
      <c r="BL189" s="447"/>
      <c r="BM189" s="448"/>
      <c r="BN189" s="448"/>
    </row>
    <row r="190" spans="1:66" ht="11.25" customHeight="1">
      <c r="A190" s="469"/>
      <c r="B190" s="447"/>
      <c r="C190" s="447"/>
      <c r="D190" s="447"/>
      <c r="E190" s="447"/>
      <c r="F190" s="447"/>
      <c r="G190" s="447"/>
      <c r="H190" s="447"/>
      <c r="I190" s="447"/>
      <c r="J190" s="447"/>
      <c r="K190" s="447"/>
      <c r="L190" s="447"/>
      <c r="M190" s="447"/>
      <c r="N190" s="447"/>
      <c r="O190" s="447"/>
      <c r="P190" s="447"/>
      <c r="Q190" s="447"/>
      <c r="R190" s="447"/>
      <c r="S190" s="447"/>
      <c r="T190" s="447"/>
      <c r="U190" s="447"/>
      <c r="V190" s="447"/>
      <c r="W190" s="447"/>
      <c r="X190" s="447"/>
      <c r="Y190" s="447"/>
      <c r="Z190" s="447"/>
      <c r="AA190" s="447"/>
      <c r="AB190" s="447"/>
      <c r="AC190" s="447"/>
      <c r="AD190" s="447"/>
      <c r="AE190" s="447"/>
      <c r="AF190" s="448"/>
      <c r="AG190" s="448"/>
      <c r="AH190" s="448"/>
      <c r="AI190" s="447"/>
      <c r="AJ190" s="447"/>
      <c r="AK190" s="447"/>
      <c r="AL190" s="447"/>
      <c r="AM190" s="447"/>
      <c r="AN190" s="447"/>
      <c r="AO190" s="447"/>
      <c r="AP190" s="447"/>
      <c r="AQ190" s="447"/>
      <c r="AR190" s="447"/>
      <c r="AS190" s="447"/>
      <c r="AT190" s="447"/>
      <c r="AU190" s="447"/>
      <c r="AV190" s="447"/>
      <c r="AW190" s="447"/>
      <c r="AX190" s="447"/>
      <c r="AY190" s="447"/>
      <c r="AZ190" s="447"/>
      <c r="BA190" s="447"/>
      <c r="BB190" s="447"/>
      <c r="BC190" s="447"/>
      <c r="BD190" s="447"/>
      <c r="BE190" s="447"/>
      <c r="BF190" s="447"/>
      <c r="BG190" s="447"/>
      <c r="BH190" s="447"/>
      <c r="BI190" s="447"/>
      <c r="BJ190" s="447"/>
      <c r="BK190" s="447"/>
      <c r="BL190" s="447"/>
      <c r="BM190" s="448"/>
      <c r="BN190" s="448"/>
    </row>
    <row r="191" spans="1:66" ht="11.25" customHeight="1">
      <c r="A191" s="469"/>
      <c r="B191" s="447"/>
      <c r="C191" s="447"/>
      <c r="D191" s="447"/>
      <c r="E191" s="447"/>
      <c r="F191" s="447"/>
      <c r="G191" s="447"/>
      <c r="H191" s="447"/>
      <c r="I191" s="447"/>
      <c r="J191" s="447"/>
      <c r="K191" s="447"/>
      <c r="L191" s="447"/>
      <c r="M191" s="447"/>
      <c r="N191" s="447"/>
      <c r="O191" s="447"/>
      <c r="P191" s="447"/>
      <c r="Q191" s="447"/>
      <c r="R191" s="447"/>
      <c r="S191" s="447"/>
      <c r="T191" s="447"/>
      <c r="U191" s="447"/>
      <c r="V191" s="447"/>
      <c r="W191" s="447"/>
      <c r="X191" s="447"/>
      <c r="Y191" s="447"/>
      <c r="Z191" s="447"/>
      <c r="AA191" s="447"/>
      <c r="AB191" s="447"/>
      <c r="AC191" s="447"/>
      <c r="AD191" s="447"/>
      <c r="AE191" s="447"/>
      <c r="AF191" s="448"/>
      <c r="AG191" s="448"/>
      <c r="AH191" s="448"/>
      <c r="AI191" s="447"/>
      <c r="AJ191" s="447"/>
      <c r="AK191" s="447"/>
      <c r="AL191" s="447"/>
      <c r="AM191" s="447"/>
      <c r="AN191" s="447"/>
      <c r="AO191" s="447"/>
      <c r="AP191" s="447"/>
      <c r="AQ191" s="447"/>
      <c r="AR191" s="447"/>
      <c r="AS191" s="447"/>
      <c r="AT191" s="447"/>
      <c r="AU191" s="447"/>
      <c r="AV191" s="447"/>
      <c r="AW191" s="447"/>
      <c r="AX191" s="447"/>
      <c r="AY191" s="447"/>
      <c r="AZ191" s="447"/>
      <c r="BA191" s="447"/>
      <c r="BB191" s="447"/>
      <c r="BC191" s="447"/>
      <c r="BD191" s="447"/>
      <c r="BE191" s="447"/>
      <c r="BF191" s="447"/>
      <c r="BG191" s="447"/>
      <c r="BH191" s="447"/>
      <c r="BI191" s="447"/>
      <c r="BJ191" s="447"/>
      <c r="BK191" s="447"/>
      <c r="BL191" s="447"/>
      <c r="BM191" s="448"/>
      <c r="BN191" s="448"/>
    </row>
    <row r="192" spans="1:66" ht="11.25" customHeight="1">
      <c r="A192" s="469"/>
      <c r="B192" s="447"/>
      <c r="C192" s="447"/>
      <c r="D192" s="447"/>
      <c r="E192" s="447"/>
      <c r="F192" s="447"/>
      <c r="G192" s="447"/>
      <c r="H192" s="447"/>
      <c r="I192" s="447"/>
      <c r="J192" s="447"/>
      <c r="K192" s="447"/>
      <c r="L192" s="447"/>
      <c r="M192" s="447"/>
      <c r="N192" s="447"/>
      <c r="O192" s="447"/>
      <c r="P192" s="447"/>
      <c r="Q192" s="447"/>
      <c r="R192" s="447"/>
      <c r="S192" s="447"/>
      <c r="T192" s="447"/>
      <c r="U192" s="447"/>
      <c r="V192" s="447"/>
      <c r="W192" s="447"/>
      <c r="X192" s="447"/>
      <c r="Y192" s="447"/>
      <c r="Z192" s="447"/>
      <c r="AA192" s="447"/>
      <c r="AB192" s="447"/>
      <c r="AC192" s="447"/>
      <c r="AD192" s="447"/>
      <c r="AE192" s="447"/>
      <c r="AF192" s="448"/>
      <c r="AG192" s="448"/>
      <c r="AH192" s="448"/>
      <c r="AI192" s="447"/>
      <c r="AJ192" s="447"/>
      <c r="AK192" s="447"/>
      <c r="AL192" s="447"/>
      <c r="AM192" s="447"/>
      <c r="AN192" s="447"/>
      <c r="AO192" s="447"/>
      <c r="AP192" s="447"/>
      <c r="AQ192" s="447"/>
      <c r="AR192" s="447"/>
      <c r="AS192" s="447"/>
      <c r="AT192" s="447"/>
      <c r="AU192" s="447"/>
      <c r="AV192" s="447"/>
      <c r="AW192" s="447"/>
      <c r="AX192" s="447"/>
      <c r="AY192" s="447"/>
      <c r="AZ192" s="447"/>
      <c r="BA192" s="447"/>
      <c r="BB192" s="447"/>
      <c r="BC192" s="447"/>
      <c r="BD192" s="447"/>
      <c r="BE192" s="447"/>
      <c r="BF192" s="447"/>
      <c r="BG192" s="447"/>
      <c r="BH192" s="447"/>
      <c r="BI192" s="447"/>
      <c r="BJ192" s="447"/>
      <c r="BK192" s="447"/>
      <c r="BL192" s="447"/>
      <c r="BM192" s="448"/>
      <c r="BN192" s="448"/>
    </row>
    <row r="193" spans="1:66" ht="11.25" customHeight="1">
      <c r="A193" s="469"/>
      <c r="B193" s="447"/>
      <c r="C193" s="447"/>
      <c r="D193" s="447"/>
      <c r="E193" s="447"/>
      <c r="F193" s="447"/>
      <c r="G193" s="447"/>
      <c r="H193" s="447"/>
      <c r="I193" s="447"/>
      <c r="J193" s="447"/>
      <c r="K193" s="447"/>
      <c r="L193" s="447"/>
      <c r="M193" s="447"/>
      <c r="N193" s="447"/>
      <c r="O193" s="447"/>
      <c r="P193" s="447"/>
      <c r="Q193" s="447"/>
      <c r="R193" s="447"/>
      <c r="S193" s="447"/>
      <c r="T193" s="447"/>
      <c r="U193" s="447"/>
      <c r="V193" s="447"/>
      <c r="W193" s="447"/>
      <c r="X193" s="447"/>
      <c r="Y193" s="447"/>
      <c r="Z193" s="447"/>
      <c r="AA193" s="447"/>
      <c r="AB193" s="447"/>
      <c r="AC193" s="447"/>
      <c r="AD193" s="447"/>
      <c r="AE193" s="447"/>
      <c r="AF193" s="448"/>
      <c r="AG193" s="448"/>
      <c r="AH193" s="448"/>
      <c r="AI193" s="447"/>
      <c r="AJ193" s="447"/>
      <c r="AK193" s="447"/>
      <c r="AL193" s="447"/>
      <c r="AM193" s="447"/>
      <c r="AN193" s="447"/>
      <c r="AO193" s="447"/>
      <c r="AP193" s="447"/>
      <c r="AQ193" s="447"/>
      <c r="AR193" s="447"/>
      <c r="AS193" s="447"/>
      <c r="AT193" s="447"/>
      <c r="AU193" s="447"/>
      <c r="AV193" s="447"/>
      <c r="AW193" s="447"/>
      <c r="AX193" s="447"/>
      <c r="AY193" s="447"/>
      <c r="AZ193" s="447"/>
      <c r="BA193" s="447"/>
      <c r="BB193" s="447"/>
      <c r="BC193" s="447"/>
      <c r="BD193" s="447"/>
      <c r="BE193" s="447"/>
      <c r="BF193" s="447"/>
      <c r="BG193" s="447"/>
      <c r="BH193" s="447"/>
      <c r="BI193" s="447"/>
      <c r="BJ193" s="447"/>
      <c r="BK193" s="447"/>
      <c r="BL193" s="447"/>
      <c r="BM193" s="448"/>
      <c r="BN193" s="448"/>
    </row>
    <row r="194" spans="1:66" ht="11.25" customHeight="1">
      <c r="A194" s="469"/>
      <c r="B194" s="447"/>
      <c r="C194" s="447"/>
      <c r="D194" s="447"/>
      <c r="E194" s="447"/>
      <c r="F194" s="447"/>
      <c r="G194" s="447"/>
      <c r="H194" s="447"/>
      <c r="I194" s="447"/>
      <c r="J194" s="447"/>
      <c r="K194" s="447"/>
      <c r="L194" s="447"/>
      <c r="M194" s="447"/>
      <c r="N194" s="447"/>
      <c r="O194" s="447"/>
      <c r="P194" s="447"/>
      <c r="Q194" s="447"/>
      <c r="R194" s="447"/>
      <c r="S194" s="447"/>
      <c r="T194" s="447"/>
      <c r="U194" s="447"/>
      <c r="V194" s="447"/>
      <c r="W194" s="447"/>
      <c r="X194" s="447"/>
      <c r="Y194" s="447"/>
      <c r="Z194" s="447"/>
      <c r="AA194" s="447"/>
      <c r="AB194" s="447"/>
      <c r="AC194" s="447"/>
      <c r="AD194" s="447"/>
      <c r="AE194" s="447"/>
      <c r="AF194" s="448"/>
      <c r="AG194" s="448"/>
      <c r="AH194" s="448"/>
      <c r="AI194" s="447"/>
      <c r="AJ194" s="447"/>
      <c r="AK194" s="447"/>
      <c r="AL194" s="447"/>
      <c r="AM194" s="447"/>
      <c r="AN194" s="447"/>
      <c r="AO194" s="447"/>
      <c r="AP194" s="447"/>
      <c r="AQ194" s="447"/>
      <c r="AR194" s="447"/>
      <c r="AS194" s="447"/>
      <c r="AT194" s="447"/>
      <c r="AU194" s="447"/>
      <c r="AV194" s="447"/>
      <c r="AW194" s="447"/>
      <c r="AX194" s="447"/>
      <c r="AY194" s="447"/>
      <c r="AZ194" s="447"/>
      <c r="BA194" s="447"/>
      <c r="BB194" s="447"/>
      <c r="BC194" s="447"/>
      <c r="BD194" s="447"/>
      <c r="BE194" s="447"/>
      <c r="BF194" s="447"/>
      <c r="BG194" s="447"/>
      <c r="BH194" s="447"/>
      <c r="BI194" s="447"/>
      <c r="BJ194" s="447"/>
      <c r="BK194" s="447"/>
      <c r="BL194" s="447"/>
      <c r="BM194" s="448"/>
      <c r="BN194" s="448"/>
    </row>
    <row r="195" spans="1:66" ht="11.25" customHeight="1">
      <c r="A195" s="469"/>
      <c r="B195" s="447"/>
      <c r="C195" s="447"/>
      <c r="D195" s="447"/>
      <c r="E195" s="447"/>
      <c r="F195" s="447"/>
      <c r="G195" s="447"/>
      <c r="H195" s="447"/>
      <c r="I195" s="447"/>
      <c r="J195" s="447"/>
      <c r="K195" s="447"/>
      <c r="L195" s="447"/>
      <c r="M195" s="447"/>
      <c r="N195" s="447"/>
      <c r="O195" s="447"/>
      <c r="P195" s="447"/>
      <c r="Q195" s="447"/>
      <c r="R195" s="447"/>
      <c r="S195" s="447"/>
      <c r="T195" s="447"/>
      <c r="U195" s="447"/>
      <c r="V195" s="447"/>
      <c r="W195" s="447"/>
      <c r="X195" s="447"/>
      <c r="Y195" s="447"/>
      <c r="Z195" s="447"/>
      <c r="AA195" s="447"/>
      <c r="AB195" s="447"/>
      <c r="AC195" s="447"/>
      <c r="AD195" s="447"/>
      <c r="AE195" s="447"/>
      <c r="AF195" s="448"/>
      <c r="AG195" s="448"/>
      <c r="AH195" s="448"/>
      <c r="AI195" s="447"/>
      <c r="AJ195" s="447"/>
      <c r="AK195" s="447"/>
      <c r="AL195" s="447"/>
      <c r="AM195" s="447"/>
      <c r="AN195" s="447"/>
      <c r="AO195" s="447"/>
      <c r="AP195" s="447"/>
      <c r="AQ195" s="447"/>
      <c r="AR195" s="447"/>
      <c r="AS195" s="447"/>
      <c r="AT195" s="447"/>
      <c r="AU195" s="447"/>
      <c r="AV195" s="447"/>
      <c r="AW195" s="447"/>
      <c r="AX195" s="447"/>
      <c r="AY195" s="447"/>
      <c r="AZ195" s="447"/>
      <c r="BA195" s="447"/>
      <c r="BB195" s="447"/>
      <c r="BC195" s="447"/>
      <c r="BD195" s="447"/>
      <c r="BE195" s="447"/>
      <c r="BF195" s="447"/>
      <c r="BG195" s="447"/>
      <c r="BH195" s="447"/>
      <c r="BI195" s="447"/>
      <c r="BJ195" s="447"/>
      <c r="BK195" s="447"/>
      <c r="BL195" s="447"/>
      <c r="BM195" s="448"/>
      <c r="BN195" s="448"/>
    </row>
    <row r="196" spans="1:66" ht="11.25" customHeight="1">
      <c r="A196" s="469"/>
      <c r="B196" s="447"/>
      <c r="C196" s="447"/>
      <c r="D196" s="447"/>
      <c r="E196" s="447"/>
      <c r="F196" s="447"/>
      <c r="G196" s="447"/>
      <c r="H196" s="447"/>
      <c r="I196" s="447"/>
      <c r="J196" s="447"/>
      <c r="K196" s="447"/>
      <c r="L196" s="447"/>
      <c r="M196" s="447"/>
      <c r="N196" s="447"/>
      <c r="O196" s="447"/>
      <c r="P196" s="447"/>
      <c r="Q196" s="447"/>
      <c r="R196" s="447"/>
      <c r="S196" s="447"/>
      <c r="T196" s="447"/>
      <c r="U196" s="447"/>
      <c r="V196" s="447"/>
      <c r="W196" s="447"/>
      <c r="X196" s="447"/>
      <c r="Y196" s="447"/>
      <c r="Z196" s="447"/>
      <c r="AA196" s="447"/>
      <c r="AB196" s="447"/>
      <c r="AC196" s="447"/>
      <c r="AD196" s="447"/>
      <c r="AE196" s="447"/>
      <c r="AF196" s="448"/>
      <c r="AG196" s="448"/>
      <c r="AH196" s="448"/>
      <c r="AI196" s="447"/>
      <c r="AJ196" s="447"/>
      <c r="AK196" s="447"/>
      <c r="AL196" s="447"/>
      <c r="AM196" s="447"/>
      <c r="AN196" s="447"/>
      <c r="AO196" s="447"/>
      <c r="AP196" s="447"/>
      <c r="AQ196" s="447"/>
      <c r="AR196" s="447"/>
      <c r="AS196" s="447"/>
      <c r="AT196" s="447"/>
      <c r="AU196" s="447"/>
      <c r="AV196" s="447"/>
      <c r="AW196" s="447"/>
      <c r="AX196" s="447"/>
      <c r="AY196" s="447"/>
      <c r="AZ196" s="447"/>
      <c r="BA196" s="447"/>
      <c r="BB196" s="447"/>
      <c r="BC196" s="447"/>
      <c r="BD196" s="447"/>
      <c r="BE196" s="447"/>
      <c r="BF196" s="447"/>
      <c r="BG196" s="447"/>
      <c r="BH196" s="447"/>
      <c r="BI196" s="447"/>
      <c r="BJ196" s="447"/>
      <c r="BK196" s="447"/>
      <c r="BL196" s="447"/>
      <c r="BM196" s="448"/>
      <c r="BN196" s="448"/>
    </row>
    <row r="197" spans="1:66" ht="11.25" customHeight="1">
      <c r="A197" s="469"/>
      <c r="B197" s="447"/>
      <c r="C197" s="447"/>
      <c r="D197" s="447"/>
      <c r="E197" s="447"/>
      <c r="F197" s="447"/>
      <c r="G197" s="447"/>
      <c r="H197" s="447"/>
      <c r="I197" s="447"/>
      <c r="J197" s="447"/>
      <c r="K197" s="447"/>
      <c r="L197" s="447"/>
      <c r="M197" s="447"/>
      <c r="N197" s="447"/>
      <c r="O197" s="447"/>
      <c r="P197" s="447"/>
      <c r="Q197" s="447"/>
      <c r="R197" s="447"/>
      <c r="S197" s="447"/>
      <c r="T197" s="447"/>
      <c r="U197" s="447"/>
      <c r="V197" s="447"/>
      <c r="W197" s="447"/>
      <c r="X197" s="447"/>
      <c r="Y197" s="447"/>
      <c r="Z197" s="447"/>
      <c r="AA197" s="447"/>
      <c r="AB197" s="447"/>
      <c r="AC197" s="447"/>
      <c r="AD197" s="447"/>
      <c r="AE197" s="447"/>
      <c r="AF197" s="448"/>
      <c r="AG197" s="448"/>
      <c r="AH197" s="448"/>
      <c r="AI197" s="447"/>
      <c r="AJ197" s="447"/>
      <c r="AK197" s="447"/>
      <c r="AL197" s="447"/>
      <c r="AM197" s="447"/>
      <c r="AN197" s="447"/>
      <c r="AO197" s="447"/>
      <c r="AP197" s="447"/>
      <c r="AQ197" s="447"/>
      <c r="AR197" s="447"/>
      <c r="AS197" s="447"/>
      <c r="AT197" s="447"/>
      <c r="AU197" s="447"/>
      <c r="AV197" s="447"/>
      <c r="AW197" s="447"/>
      <c r="AX197" s="447"/>
      <c r="AY197" s="447"/>
      <c r="AZ197" s="447"/>
      <c r="BA197" s="447"/>
      <c r="BB197" s="447"/>
      <c r="BC197" s="447"/>
      <c r="BD197" s="447"/>
      <c r="BE197" s="447"/>
      <c r="BF197" s="447"/>
      <c r="BG197" s="447"/>
      <c r="BH197" s="447"/>
      <c r="BI197" s="447"/>
      <c r="BJ197" s="447"/>
      <c r="BK197" s="447"/>
      <c r="BL197" s="447"/>
      <c r="BM197" s="448"/>
      <c r="BN197" s="448"/>
    </row>
    <row r="198" spans="1:66" ht="11.25" customHeight="1">
      <c r="A198" s="469"/>
      <c r="B198" s="447"/>
      <c r="C198" s="447"/>
      <c r="D198" s="447"/>
      <c r="E198" s="447"/>
      <c r="F198" s="447"/>
      <c r="G198" s="447"/>
      <c r="H198" s="447"/>
      <c r="I198" s="447"/>
      <c r="J198" s="447"/>
      <c r="K198" s="447"/>
      <c r="L198" s="447"/>
      <c r="M198" s="447"/>
      <c r="N198" s="447"/>
      <c r="O198" s="447"/>
      <c r="P198" s="447"/>
      <c r="Q198" s="447"/>
      <c r="R198" s="447"/>
      <c r="S198" s="447"/>
      <c r="T198" s="447"/>
      <c r="U198" s="447"/>
      <c r="V198" s="447"/>
      <c r="W198" s="447"/>
      <c r="X198" s="447"/>
      <c r="Y198" s="447"/>
      <c r="Z198" s="447"/>
      <c r="AA198" s="447"/>
      <c r="AB198" s="447"/>
      <c r="AC198" s="447"/>
      <c r="AD198" s="447"/>
      <c r="AE198" s="447"/>
      <c r="AF198" s="448"/>
      <c r="AG198" s="448"/>
      <c r="AH198" s="448"/>
      <c r="AI198" s="447"/>
      <c r="AJ198" s="447"/>
      <c r="AK198" s="447"/>
      <c r="AL198" s="447"/>
      <c r="AM198" s="447"/>
      <c r="AN198" s="447"/>
      <c r="AO198" s="447"/>
      <c r="AP198" s="447"/>
      <c r="AQ198" s="447"/>
      <c r="AR198" s="447"/>
      <c r="AS198" s="447"/>
      <c r="AT198" s="447"/>
      <c r="AU198" s="447"/>
      <c r="AV198" s="447"/>
      <c r="AW198" s="447"/>
      <c r="AX198" s="447"/>
      <c r="AY198" s="447"/>
      <c r="AZ198" s="447"/>
      <c r="BA198" s="447"/>
      <c r="BB198" s="447"/>
      <c r="BC198" s="447"/>
      <c r="BD198" s="447"/>
      <c r="BE198" s="447"/>
      <c r="BF198" s="447"/>
      <c r="BG198" s="447"/>
      <c r="BH198" s="447"/>
      <c r="BI198" s="447"/>
      <c r="BJ198" s="447"/>
      <c r="BK198" s="447"/>
      <c r="BL198" s="447"/>
      <c r="BM198" s="448"/>
      <c r="BN198" s="448"/>
    </row>
    <row r="199" spans="1:66" ht="11.25" customHeight="1">
      <c r="A199" s="469"/>
      <c r="B199" s="447"/>
      <c r="C199" s="447"/>
      <c r="D199" s="447"/>
      <c r="E199" s="447"/>
      <c r="F199" s="447"/>
      <c r="G199" s="447"/>
      <c r="H199" s="447"/>
      <c r="I199" s="447"/>
      <c r="J199" s="447"/>
      <c r="K199" s="447"/>
      <c r="L199" s="447"/>
      <c r="M199" s="447"/>
      <c r="N199" s="447"/>
      <c r="O199" s="447"/>
      <c r="P199" s="447"/>
      <c r="Q199" s="447"/>
      <c r="R199" s="447"/>
      <c r="S199" s="447"/>
      <c r="T199" s="447"/>
      <c r="U199" s="447"/>
      <c r="V199" s="447"/>
      <c r="W199" s="447"/>
      <c r="X199" s="447"/>
      <c r="Y199" s="447"/>
      <c r="Z199" s="447"/>
      <c r="AA199" s="447"/>
      <c r="AB199" s="447"/>
      <c r="AC199" s="447"/>
      <c r="AD199" s="447"/>
      <c r="AE199" s="447"/>
      <c r="AF199" s="448"/>
      <c r="AG199" s="448"/>
      <c r="AH199" s="448"/>
      <c r="AI199" s="447"/>
      <c r="AJ199" s="447"/>
      <c r="AK199" s="447"/>
      <c r="AL199" s="447"/>
      <c r="AM199" s="447"/>
      <c r="AN199" s="447"/>
      <c r="AO199" s="447"/>
      <c r="AP199" s="447"/>
      <c r="AQ199" s="447"/>
      <c r="AR199" s="447"/>
      <c r="AS199" s="447"/>
      <c r="AT199" s="447"/>
      <c r="AU199" s="447"/>
      <c r="AV199" s="447"/>
      <c r="AW199" s="447"/>
      <c r="AX199" s="447"/>
      <c r="AY199" s="447"/>
      <c r="AZ199" s="447"/>
      <c r="BA199" s="447"/>
      <c r="BB199" s="447"/>
      <c r="BC199" s="447"/>
      <c r="BD199" s="447"/>
      <c r="BE199" s="447"/>
      <c r="BF199" s="447"/>
      <c r="BG199" s="447"/>
      <c r="BH199" s="447"/>
      <c r="BI199" s="447"/>
      <c r="BJ199" s="447"/>
      <c r="BK199" s="447"/>
      <c r="BL199" s="447"/>
      <c r="BM199" s="448"/>
      <c r="BN199" s="448"/>
    </row>
    <row r="200" spans="1:66" ht="11.25" customHeight="1">
      <c r="A200" s="469"/>
      <c r="B200" s="447"/>
      <c r="C200" s="447"/>
      <c r="D200" s="447"/>
      <c r="E200" s="447"/>
      <c r="F200" s="447"/>
      <c r="G200" s="447"/>
      <c r="H200" s="447"/>
      <c r="I200" s="447"/>
      <c r="J200" s="447"/>
      <c r="K200" s="447"/>
      <c r="L200" s="447"/>
      <c r="M200" s="447"/>
      <c r="N200" s="447"/>
      <c r="O200" s="447"/>
      <c r="P200" s="447"/>
      <c r="Q200" s="447"/>
      <c r="R200" s="447"/>
      <c r="S200" s="447"/>
      <c r="T200" s="447"/>
      <c r="U200" s="447"/>
      <c r="V200" s="447"/>
      <c r="W200" s="447"/>
      <c r="X200" s="447"/>
      <c r="Y200" s="447"/>
      <c r="Z200" s="447"/>
      <c r="AA200" s="447"/>
      <c r="AB200" s="447"/>
      <c r="AC200" s="447"/>
      <c r="AD200" s="447"/>
      <c r="AE200" s="447"/>
      <c r="AF200" s="448"/>
      <c r="AG200" s="448"/>
      <c r="AH200" s="448"/>
      <c r="AI200" s="447"/>
      <c r="AJ200" s="447"/>
      <c r="AK200" s="447"/>
      <c r="AL200" s="447"/>
      <c r="AM200" s="447"/>
      <c r="AN200" s="447"/>
      <c r="AO200" s="447"/>
      <c r="AP200" s="447"/>
      <c r="AQ200" s="447"/>
      <c r="AR200" s="447"/>
      <c r="AS200" s="447"/>
      <c r="AT200" s="447"/>
      <c r="AU200" s="447"/>
      <c r="AV200" s="447"/>
      <c r="AW200" s="447"/>
      <c r="AX200" s="447"/>
      <c r="AY200" s="447"/>
      <c r="AZ200" s="447"/>
      <c r="BA200" s="447"/>
      <c r="BB200" s="447"/>
      <c r="BC200" s="447"/>
      <c r="BD200" s="447"/>
      <c r="BE200" s="447"/>
      <c r="BF200" s="447"/>
      <c r="BG200" s="447"/>
      <c r="BH200" s="447"/>
      <c r="BI200" s="447"/>
      <c r="BJ200" s="447"/>
      <c r="BK200" s="447"/>
      <c r="BL200" s="447"/>
      <c r="BM200" s="448"/>
      <c r="BN200" s="448"/>
    </row>
    <row r="201" spans="1:66" ht="11.25" customHeight="1">
      <c r="A201" s="469"/>
      <c r="B201" s="447"/>
      <c r="C201" s="447"/>
      <c r="D201" s="447"/>
      <c r="E201" s="447"/>
      <c r="F201" s="447"/>
      <c r="G201" s="447"/>
      <c r="H201" s="447"/>
      <c r="I201" s="447"/>
      <c r="J201" s="447"/>
      <c r="K201" s="447"/>
      <c r="L201" s="447"/>
      <c r="M201" s="447"/>
      <c r="N201" s="447"/>
      <c r="O201" s="447"/>
      <c r="P201" s="447"/>
      <c r="Q201" s="447"/>
      <c r="R201" s="447"/>
      <c r="S201" s="447"/>
      <c r="T201" s="447"/>
      <c r="U201" s="447"/>
      <c r="V201" s="447"/>
      <c r="W201" s="447"/>
      <c r="X201" s="447"/>
      <c r="Y201" s="447"/>
      <c r="Z201" s="447"/>
      <c r="AA201" s="447"/>
      <c r="AB201" s="447"/>
      <c r="AC201" s="447"/>
      <c r="AD201" s="447"/>
      <c r="AE201" s="447"/>
      <c r="AF201" s="448"/>
      <c r="AG201" s="448"/>
      <c r="AH201" s="448"/>
      <c r="AI201" s="447"/>
      <c r="AJ201" s="447"/>
      <c r="AK201" s="447"/>
      <c r="AL201" s="447"/>
      <c r="AM201" s="447"/>
      <c r="AN201" s="447"/>
      <c r="AO201" s="447"/>
      <c r="AP201" s="447"/>
      <c r="AQ201" s="447"/>
      <c r="AR201" s="447"/>
      <c r="AS201" s="447"/>
      <c r="AT201" s="447"/>
      <c r="AU201" s="447"/>
      <c r="AV201" s="447"/>
      <c r="AW201" s="447"/>
      <c r="AX201" s="447"/>
      <c r="AY201" s="447"/>
      <c r="AZ201" s="447"/>
      <c r="BA201" s="447"/>
      <c r="BB201" s="447"/>
      <c r="BC201" s="447"/>
      <c r="BD201" s="447"/>
      <c r="BE201" s="447"/>
      <c r="BF201" s="447"/>
      <c r="BG201" s="447"/>
      <c r="BH201" s="447"/>
      <c r="BI201" s="447"/>
      <c r="BJ201" s="447"/>
      <c r="BK201" s="447"/>
      <c r="BL201" s="447"/>
      <c r="BM201" s="448"/>
      <c r="BN201" s="448"/>
    </row>
    <row r="202" spans="1:66" ht="11.25" customHeight="1">
      <c r="A202" s="469"/>
      <c r="B202" s="447"/>
      <c r="C202" s="447"/>
      <c r="D202" s="447"/>
      <c r="E202" s="447"/>
      <c r="F202" s="447"/>
      <c r="G202" s="447"/>
      <c r="H202" s="447"/>
      <c r="I202" s="447"/>
      <c r="J202" s="447"/>
      <c r="K202" s="447"/>
      <c r="L202" s="447"/>
      <c r="M202" s="447"/>
      <c r="N202" s="447"/>
      <c r="O202" s="447"/>
      <c r="P202" s="447"/>
      <c r="Q202" s="447"/>
      <c r="R202" s="447"/>
      <c r="S202" s="447"/>
      <c r="T202" s="447"/>
      <c r="U202" s="447"/>
      <c r="V202" s="447"/>
      <c r="W202" s="447"/>
      <c r="X202" s="447"/>
      <c r="Y202" s="447"/>
      <c r="Z202" s="447"/>
      <c r="AA202" s="447"/>
      <c r="AB202" s="447"/>
      <c r="AC202" s="447"/>
      <c r="AD202" s="447"/>
      <c r="AE202" s="447"/>
      <c r="AF202" s="448"/>
      <c r="AG202" s="448"/>
      <c r="AH202" s="448"/>
      <c r="AI202" s="447"/>
      <c r="AJ202" s="447"/>
      <c r="AK202" s="447"/>
      <c r="AL202" s="447"/>
      <c r="AM202" s="447"/>
      <c r="AN202" s="447"/>
      <c r="AO202" s="447"/>
      <c r="AP202" s="447"/>
      <c r="AQ202" s="447"/>
      <c r="AR202" s="447"/>
      <c r="AS202" s="447"/>
      <c r="AT202" s="447"/>
      <c r="AU202" s="447"/>
      <c r="AV202" s="447"/>
      <c r="AW202" s="447"/>
      <c r="AX202" s="447"/>
      <c r="AY202" s="447"/>
      <c r="AZ202" s="447"/>
      <c r="BA202" s="447"/>
      <c r="BB202" s="447"/>
      <c r="BC202" s="447"/>
      <c r="BD202" s="447"/>
      <c r="BE202" s="447"/>
      <c r="BF202" s="447"/>
      <c r="BG202" s="447"/>
      <c r="BH202" s="447"/>
      <c r="BI202" s="447"/>
      <c r="BJ202" s="447"/>
      <c r="BK202" s="447"/>
      <c r="BL202" s="447"/>
      <c r="BM202" s="448"/>
      <c r="BN202" s="448"/>
    </row>
    <row r="203" spans="1:66" ht="11.25" customHeight="1">
      <c r="A203" s="469"/>
      <c r="B203" s="447"/>
      <c r="C203" s="447"/>
      <c r="D203" s="447"/>
      <c r="E203" s="447"/>
      <c r="F203" s="447"/>
      <c r="G203" s="447"/>
      <c r="H203" s="447"/>
      <c r="I203" s="447"/>
      <c r="J203" s="447"/>
      <c r="K203" s="447"/>
      <c r="L203" s="447"/>
      <c r="M203" s="447"/>
      <c r="N203" s="447"/>
      <c r="O203" s="447"/>
      <c r="P203" s="447"/>
      <c r="Q203" s="447"/>
      <c r="R203" s="447"/>
      <c r="S203" s="447"/>
      <c r="T203" s="447"/>
      <c r="U203" s="447"/>
      <c r="V203" s="447"/>
      <c r="W203" s="447"/>
      <c r="X203" s="447"/>
      <c r="Y203" s="447"/>
      <c r="Z203" s="447"/>
      <c r="AA203" s="447"/>
      <c r="AB203" s="447"/>
      <c r="AC203" s="447"/>
      <c r="AD203" s="447"/>
      <c r="AE203" s="447"/>
      <c r="AF203" s="448"/>
      <c r="AG203" s="448"/>
      <c r="AH203" s="448"/>
      <c r="AI203" s="447"/>
      <c r="AJ203" s="447"/>
      <c r="AK203" s="447"/>
      <c r="AL203" s="447"/>
      <c r="AM203" s="447"/>
      <c r="AN203" s="447"/>
      <c r="AO203" s="447"/>
      <c r="AP203" s="447"/>
      <c r="AQ203" s="447"/>
      <c r="AR203" s="447"/>
      <c r="AS203" s="447"/>
      <c r="AT203" s="447"/>
      <c r="AU203" s="447"/>
      <c r="AV203" s="447"/>
      <c r="AW203" s="447"/>
      <c r="AX203" s="447"/>
      <c r="AY203" s="447"/>
      <c r="AZ203" s="447"/>
      <c r="BA203" s="447"/>
      <c r="BB203" s="447"/>
      <c r="BC203" s="447"/>
      <c r="BD203" s="447"/>
      <c r="BE203" s="447"/>
      <c r="BF203" s="447"/>
      <c r="BG203" s="447"/>
      <c r="BH203" s="447"/>
      <c r="BI203" s="447"/>
      <c r="BJ203" s="447"/>
      <c r="BK203" s="447"/>
      <c r="BL203" s="447"/>
      <c r="BM203" s="448"/>
      <c r="BN203" s="448"/>
    </row>
    <row r="204" spans="1:66" ht="11.25" customHeight="1">
      <c r="A204" s="469"/>
      <c r="B204" s="447"/>
      <c r="C204" s="447"/>
      <c r="D204" s="447"/>
      <c r="E204" s="447"/>
      <c r="F204" s="447"/>
      <c r="G204" s="447"/>
      <c r="H204" s="447"/>
      <c r="I204" s="447"/>
      <c r="J204" s="447"/>
      <c r="K204" s="447"/>
      <c r="L204" s="447"/>
      <c r="M204" s="447"/>
      <c r="N204" s="447"/>
      <c r="O204" s="447"/>
      <c r="P204" s="447"/>
      <c r="Q204" s="447"/>
      <c r="R204" s="447"/>
      <c r="S204" s="447"/>
      <c r="T204" s="447"/>
      <c r="U204" s="447"/>
      <c r="V204" s="447"/>
      <c r="W204" s="447"/>
      <c r="X204" s="447"/>
      <c r="Y204" s="447"/>
      <c r="Z204" s="447"/>
      <c r="AA204" s="447"/>
      <c r="AB204" s="447"/>
      <c r="AC204" s="447"/>
      <c r="AD204" s="447"/>
      <c r="AE204" s="447"/>
      <c r="AF204" s="448"/>
      <c r="AG204" s="448"/>
      <c r="AH204" s="448"/>
      <c r="AI204" s="447"/>
      <c r="AJ204" s="447"/>
      <c r="AK204" s="447"/>
      <c r="AL204" s="447"/>
      <c r="AM204" s="447"/>
      <c r="AN204" s="447"/>
      <c r="AO204" s="447"/>
      <c r="AP204" s="447"/>
      <c r="AQ204" s="447"/>
      <c r="AR204" s="447"/>
      <c r="AS204" s="447"/>
      <c r="AT204" s="447"/>
      <c r="AU204" s="447"/>
      <c r="AV204" s="447"/>
      <c r="AW204" s="447"/>
      <c r="AX204" s="447"/>
      <c r="AY204" s="447"/>
      <c r="AZ204" s="447"/>
      <c r="BA204" s="447"/>
      <c r="BB204" s="447"/>
      <c r="BC204" s="447"/>
      <c r="BD204" s="447"/>
      <c r="BE204" s="447"/>
      <c r="BF204" s="447"/>
      <c r="BG204" s="447"/>
      <c r="BH204" s="447"/>
      <c r="BI204" s="447"/>
      <c r="BJ204" s="447"/>
      <c r="BK204" s="447"/>
      <c r="BL204" s="447"/>
      <c r="BM204" s="448"/>
      <c r="BN204" s="448"/>
    </row>
    <row r="205" spans="1:66" ht="11.25" customHeight="1">
      <c r="A205" s="469"/>
      <c r="B205" s="447"/>
      <c r="C205" s="447"/>
      <c r="D205" s="447"/>
      <c r="E205" s="447"/>
      <c r="F205" s="447"/>
      <c r="G205" s="447"/>
      <c r="H205" s="447"/>
      <c r="I205" s="447"/>
      <c r="J205" s="447"/>
      <c r="K205" s="447"/>
      <c r="L205" s="447"/>
      <c r="M205" s="447"/>
      <c r="N205" s="447"/>
      <c r="O205" s="447"/>
      <c r="P205" s="447"/>
      <c r="Q205" s="447"/>
      <c r="R205" s="447"/>
      <c r="S205" s="447"/>
      <c r="T205" s="447"/>
      <c r="U205" s="447"/>
      <c r="V205" s="447"/>
      <c r="W205" s="447"/>
      <c r="X205" s="447"/>
      <c r="Y205" s="447"/>
      <c r="Z205" s="447"/>
      <c r="AA205" s="447"/>
      <c r="AB205" s="447"/>
      <c r="AC205" s="447"/>
      <c r="AD205" s="447"/>
      <c r="AE205" s="447"/>
      <c r="AF205" s="448"/>
      <c r="AG205" s="448"/>
      <c r="AH205" s="448"/>
      <c r="AI205" s="447"/>
      <c r="AJ205" s="447"/>
      <c r="AK205" s="447"/>
      <c r="AL205" s="447"/>
      <c r="AM205" s="447"/>
      <c r="AN205" s="447"/>
      <c r="AO205" s="447"/>
      <c r="AP205" s="447"/>
      <c r="AQ205" s="447"/>
      <c r="AR205" s="447"/>
      <c r="AS205" s="447"/>
      <c r="AT205" s="447"/>
      <c r="AU205" s="447"/>
      <c r="AV205" s="447"/>
      <c r="AW205" s="447"/>
      <c r="AX205" s="447"/>
      <c r="AY205" s="447"/>
      <c r="AZ205" s="447"/>
      <c r="BA205" s="447"/>
      <c r="BB205" s="447"/>
      <c r="BC205" s="447"/>
      <c r="BD205" s="447"/>
      <c r="BE205" s="447"/>
      <c r="BF205" s="447"/>
      <c r="BG205" s="447"/>
      <c r="BH205" s="447"/>
      <c r="BI205" s="447"/>
      <c r="BJ205" s="447"/>
      <c r="BK205" s="447"/>
      <c r="BL205" s="447"/>
      <c r="BM205" s="448"/>
      <c r="BN205" s="448"/>
    </row>
    <row r="206" spans="1:66" ht="11.25" customHeight="1">
      <c r="A206" s="469"/>
      <c r="B206" s="447"/>
      <c r="C206" s="447"/>
      <c r="D206" s="447"/>
      <c r="E206" s="447"/>
      <c r="F206" s="447"/>
      <c r="G206" s="447"/>
      <c r="H206" s="447"/>
      <c r="I206" s="447"/>
      <c r="J206" s="447"/>
      <c r="K206" s="447"/>
      <c r="L206" s="447"/>
      <c r="M206" s="447"/>
      <c r="N206" s="447"/>
      <c r="O206" s="447"/>
      <c r="P206" s="447"/>
      <c r="Q206" s="447"/>
      <c r="R206" s="447"/>
      <c r="S206" s="447"/>
      <c r="T206" s="447"/>
      <c r="U206" s="447"/>
      <c r="V206" s="447"/>
      <c r="W206" s="447"/>
      <c r="X206" s="447"/>
      <c r="Y206" s="447"/>
      <c r="Z206" s="447"/>
      <c r="AA206" s="447"/>
      <c r="AB206" s="447"/>
      <c r="AC206" s="447"/>
      <c r="AD206" s="447"/>
      <c r="AE206" s="447"/>
      <c r="AF206" s="448"/>
      <c r="AG206" s="448"/>
      <c r="AH206" s="448"/>
      <c r="AI206" s="447"/>
      <c r="AJ206" s="447"/>
      <c r="AK206" s="447"/>
      <c r="AL206" s="447"/>
      <c r="AM206" s="447"/>
      <c r="AN206" s="447"/>
      <c r="AO206" s="447"/>
      <c r="AP206" s="447"/>
      <c r="AQ206" s="447"/>
      <c r="AR206" s="447"/>
      <c r="AS206" s="447"/>
      <c r="AT206" s="447"/>
      <c r="AU206" s="447"/>
      <c r="AV206" s="447"/>
      <c r="AW206" s="447"/>
      <c r="AX206" s="447"/>
      <c r="AY206" s="447"/>
      <c r="AZ206" s="447"/>
      <c r="BA206" s="447"/>
      <c r="BB206" s="447"/>
      <c r="BC206" s="447"/>
      <c r="BD206" s="447"/>
      <c r="BE206" s="447"/>
      <c r="BF206" s="447"/>
      <c r="BG206" s="447"/>
      <c r="BH206" s="447"/>
      <c r="BI206" s="447"/>
      <c r="BJ206" s="447"/>
      <c r="BK206" s="447"/>
      <c r="BL206" s="447"/>
      <c r="BM206" s="448"/>
      <c r="BN206" s="448"/>
    </row>
    <row r="207" spans="1:66" ht="11.25" customHeight="1">
      <c r="A207" s="469"/>
      <c r="B207" s="447"/>
      <c r="C207" s="447"/>
      <c r="D207" s="447"/>
      <c r="E207" s="447"/>
      <c r="F207" s="447"/>
      <c r="G207" s="447"/>
      <c r="H207" s="447"/>
      <c r="I207" s="447"/>
      <c r="J207" s="447"/>
      <c r="K207" s="447"/>
      <c r="L207" s="447"/>
      <c r="M207" s="447"/>
      <c r="N207" s="447"/>
      <c r="O207" s="447"/>
      <c r="P207" s="447"/>
      <c r="Q207" s="447"/>
      <c r="R207" s="447"/>
      <c r="S207" s="447"/>
      <c r="T207" s="447"/>
      <c r="U207" s="447"/>
      <c r="V207" s="447"/>
      <c r="W207" s="447"/>
      <c r="X207" s="447"/>
      <c r="Y207" s="447"/>
      <c r="Z207" s="447"/>
      <c r="AA207" s="447"/>
      <c r="AB207" s="447"/>
      <c r="AC207" s="447"/>
      <c r="AD207" s="447"/>
      <c r="AE207" s="447"/>
      <c r="AF207" s="448"/>
      <c r="AG207" s="448"/>
      <c r="AH207" s="448"/>
      <c r="AI207" s="447"/>
      <c r="AJ207" s="447"/>
      <c r="AK207" s="447"/>
      <c r="AL207" s="447"/>
      <c r="AM207" s="447"/>
      <c r="AN207" s="447"/>
      <c r="AO207" s="447"/>
      <c r="AP207" s="447"/>
      <c r="AQ207" s="447"/>
      <c r="AR207" s="447"/>
      <c r="AS207" s="447"/>
      <c r="AT207" s="447"/>
      <c r="AU207" s="447"/>
      <c r="AV207" s="447"/>
      <c r="AW207" s="447"/>
      <c r="AX207" s="447"/>
      <c r="AY207" s="447"/>
      <c r="AZ207" s="447"/>
      <c r="BA207" s="447"/>
      <c r="BB207" s="447"/>
      <c r="BC207" s="447"/>
      <c r="BD207" s="447"/>
      <c r="BE207" s="447"/>
      <c r="BF207" s="447"/>
      <c r="BG207" s="447"/>
      <c r="BH207" s="447"/>
      <c r="BI207" s="447"/>
      <c r="BJ207" s="447"/>
      <c r="BK207" s="447"/>
      <c r="BL207" s="447"/>
      <c r="BM207" s="448"/>
      <c r="BN207" s="448"/>
    </row>
    <row r="208" spans="1:66" ht="11.25" customHeight="1">
      <c r="A208" s="469"/>
      <c r="B208" s="447"/>
      <c r="C208" s="447"/>
      <c r="D208" s="447"/>
      <c r="E208" s="447"/>
      <c r="F208" s="447"/>
      <c r="G208" s="447"/>
      <c r="H208" s="447"/>
      <c r="I208" s="447"/>
      <c r="J208" s="447"/>
      <c r="K208" s="447"/>
      <c r="L208" s="447"/>
      <c r="M208" s="447"/>
      <c r="N208" s="447"/>
      <c r="O208" s="447"/>
      <c r="P208" s="447"/>
      <c r="Q208" s="447"/>
      <c r="R208" s="447"/>
      <c r="S208" s="447"/>
      <c r="T208" s="447"/>
      <c r="U208" s="447"/>
      <c r="V208" s="447"/>
      <c r="W208" s="447"/>
      <c r="X208" s="447"/>
      <c r="Y208" s="447"/>
      <c r="Z208" s="447"/>
      <c r="AA208" s="447"/>
      <c r="AB208" s="447"/>
      <c r="AC208" s="447"/>
      <c r="AD208" s="447"/>
      <c r="AE208" s="447"/>
      <c r="AF208" s="448"/>
      <c r="AG208" s="448"/>
      <c r="AH208" s="448"/>
      <c r="AI208" s="447"/>
      <c r="AJ208" s="447"/>
      <c r="AK208" s="447"/>
      <c r="AL208" s="447"/>
      <c r="AM208" s="447"/>
      <c r="AN208" s="447"/>
      <c r="AO208" s="447"/>
      <c r="AP208" s="447"/>
      <c r="AQ208" s="447"/>
      <c r="AR208" s="447"/>
      <c r="AS208" s="447"/>
      <c r="AT208" s="447"/>
      <c r="AU208" s="447"/>
      <c r="AV208" s="447"/>
      <c r="AW208" s="447"/>
      <c r="AX208" s="447"/>
      <c r="AY208" s="447"/>
      <c r="AZ208" s="447"/>
      <c r="BA208" s="447"/>
      <c r="BB208" s="447"/>
      <c r="BC208" s="447"/>
      <c r="BD208" s="447"/>
      <c r="BE208" s="447"/>
      <c r="BF208" s="447"/>
      <c r="BG208" s="447"/>
      <c r="BH208" s="447"/>
      <c r="BI208" s="447"/>
      <c r="BJ208" s="447"/>
      <c r="BK208" s="447"/>
      <c r="BL208" s="447"/>
      <c r="BM208" s="448"/>
      <c r="BN208" s="448"/>
    </row>
    <row r="209" spans="1:66" ht="11.25" customHeight="1">
      <c r="A209" s="469"/>
      <c r="B209" s="447"/>
      <c r="C209" s="447"/>
      <c r="D209" s="447"/>
      <c r="E209" s="447"/>
      <c r="F209" s="447"/>
      <c r="G209" s="447"/>
      <c r="H209" s="447"/>
      <c r="I209" s="447"/>
      <c r="J209" s="447"/>
      <c r="K209" s="447"/>
      <c r="L209" s="447"/>
      <c r="M209" s="447"/>
      <c r="N209" s="447"/>
      <c r="O209" s="447"/>
      <c r="P209" s="447"/>
      <c r="Q209" s="447"/>
      <c r="R209" s="447"/>
      <c r="S209" s="447"/>
      <c r="T209" s="447"/>
      <c r="U209" s="447"/>
      <c r="V209" s="447"/>
      <c r="W209" s="447"/>
      <c r="X209" s="447"/>
      <c r="Y209" s="447"/>
      <c r="Z209" s="447"/>
      <c r="AA209" s="447"/>
      <c r="AB209" s="447"/>
      <c r="AC209" s="447"/>
      <c r="AD209" s="447"/>
      <c r="AE209" s="447"/>
      <c r="AF209" s="448"/>
      <c r="AG209" s="448"/>
      <c r="AH209" s="448"/>
      <c r="AI209" s="447"/>
      <c r="AJ209" s="447"/>
      <c r="AK209" s="447"/>
      <c r="AL209" s="447"/>
      <c r="AM209" s="447"/>
      <c r="AN209" s="447"/>
      <c r="AO209" s="447"/>
      <c r="AP209" s="447"/>
      <c r="AQ209" s="447"/>
      <c r="AR209" s="447"/>
      <c r="AS209" s="447"/>
      <c r="AT209" s="447"/>
      <c r="AU209" s="447"/>
      <c r="AV209" s="447"/>
      <c r="AW209" s="447"/>
      <c r="AX209" s="447"/>
      <c r="AY209" s="447"/>
      <c r="AZ209" s="447"/>
      <c r="BA209" s="447"/>
      <c r="BB209" s="447"/>
      <c r="BC209" s="447"/>
      <c r="BD209" s="447"/>
      <c r="BE209" s="447"/>
      <c r="BF209" s="447"/>
      <c r="BG209" s="447"/>
      <c r="BH209" s="447"/>
      <c r="BI209" s="447"/>
      <c r="BJ209" s="447"/>
      <c r="BK209" s="447"/>
      <c r="BL209" s="447"/>
      <c r="BM209" s="448"/>
      <c r="BN209" s="448"/>
    </row>
    <row r="210" spans="1:66" ht="11.25" customHeight="1">
      <c r="A210" s="469"/>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447"/>
      <c r="AC210" s="447"/>
      <c r="AD210" s="447"/>
      <c r="AE210" s="447"/>
      <c r="AF210" s="448"/>
      <c r="AG210" s="448"/>
      <c r="AH210" s="448"/>
      <c r="AI210" s="447"/>
      <c r="AJ210" s="447"/>
      <c r="AK210" s="447"/>
      <c r="AL210" s="447"/>
      <c r="AM210" s="447"/>
      <c r="AN210" s="447"/>
      <c r="AO210" s="447"/>
      <c r="AP210" s="447"/>
      <c r="AQ210" s="447"/>
      <c r="AR210" s="447"/>
      <c r="AS210" s="447"/>
      <c r="AT210" s="447"/>
      <c r="AU210" s="447"/>
      <c r="AV210" s="447"/>
      <c r="AW210" s="447"/>
      <c r="AX210" s="447"/>
      <c r="AY210" s="447"/>
      <c r="AZ210" s="447"/>
      <c r="BA210" s="447"/>
      <c r="BB210" s="447"/>
      <c r="BC210" s="447"/>
      <c r="BD210" s="447"/>
      <c r="BE210" s="447"/>
      <c r="BF210" s="447"/>
      <c r="BG210" s="447"/>
      <c r="BH210" s="447"/>
      <c r="BI210" s="447"/>
      <c r="BJ210" s="447"/>
      <c r="BK210" s="447"/>
      <c r="BL210" s="447"/>
      <c r="BM210" s="448"/>
      <c r="BN210" s="448"/>
    </row>
    <row r="211" spans="1:66" ht="11.25" customHeight="1">
      <c r="A211" s="469"/>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447"/>
      <c r="AC211" s="447"/>
      <c r="AD211" s="447"/>
      <c r="AE211" s="447"/>
      <c r="AF211" s="448"/>
      <c r="AG211" s="448"/>
      <c r="AH211" s="448"/>
      <c r="AI211" s="447"/>
      <c r="AJ211" s="447"/>
      <c r="AK211" s="447"/>
      <c r="AL211" s="447"/>
      <c r="AM211" s="447"/>
      <c r="AN211" s="447"/>
      <c r="AO211" s="447"/>
      <c r="AP211" s="447"/>
      <c r="AQ211" s="447"/>
      <c r="AR211" s="447"/>
      <c r="AS211" s="447"/>
      <c r="AT211" s="447"/>
      <c r="AU211" s="447"/>
      <c r="AV211" s="447"/>
      <c r="AW211" s="447"/>
      <c r="AX211" s="447"/>
      <c r="AY211" s="447"/>
      <c r="AZ211" s="447"/>
      <c r="BA211" s="447"/>
      <c r="BB211" s="447"/>
      <c r="BC211" s="447"/>
      <c r="BD211" s="447"/>
      <c r="BE211" s="447"/>
      <c r="BF211" s="447"/>
      <c r="BG211" s="447"/>
      <c r="BH211" s="447"/>
      <c r="BI211" s="447"/>
      <c r="BJ211" s="447"/>
      <c r="BK211" s="447"/>
      <c r="BL211" s="447"/>
      <c r="BM211" s="448"/>
      <c r="BN211" s="448"/>
    </row>
    <row r="212" spans="1:66" ht="11.25" customHeight="1">
      <c r="A212" s="469"/>
      <c r="B212" s="447"/>
      <c r="C212" s="447"/>
      <c r="D212" s="447"/>
      <c r="E212" s="447"/>
      <c r="F212" s="447"/>
      <c r="G212" s="447"/>
      <c r="H212" s="447"/>
      <c r="I212" s="447"/>
      <c r="J212" s="447"/>
      <c r="K212" s="447"/>
      <c r="L212" s="447"/>
      <c r="M212" s="447"/>
      <c r="N212" s="447"/>
      <c r="O212" s="447"/>
      <c r="P212" s="447"/>
      <c r="Q212" s="447"/>
      <c r="R212" s="447"/>
      <c r="S212" s="447"/>
      <c r="T212" s="447"/>
      <c r="U212" s="447"/>
      <c r="V212" s="447"/>
      <c r="W212" s="447"/>
      <c r="X212" s="447"/>
      <c r="Y212" s="447"/>
      <c r="Z212" s="447"/>
      <c r="AA212" s="447"/>
      <c r="AB212" s="447"/>
      <c r="AC212" s="447"/>
      <c r="AD212" s="447"/>
      <c r="AE212" s="447"/>
      <c r="AF212" s="448"/>
      <c r="AG212" s="448"/>
      <c r="AH212" s="448"/>
      <c r="AI212" s="447"/>
      <c r="AJ212" s="447"/>
      <c r="AK212" s="447"/>
      <c r="AL212" s="447"/>
      <c r="AM212" s="447"/>
      <c r="AN212" s="447"/>
      <c r="AO212" s="447"/>
      <c r="AP212" s="447"/>
      <c r="AQ212" s="447"/>
      <c r="AR212" s="447"/>
      <c r="AS212" s="447"/>
      <c r="AT212" s="447"/>
      <c r="AU212" s="447"/>
      <c r="AV212" s="447"/>
      <c r="AW212" s="447"/>
      <c r="AX212" s="447"/>
      <c r="AY212" s="447"/>
      <c r="AZ212" s="447"/>
      <c r="BA212" s="447"/>
      <c r="BB212" s="447"/>
      <c r="BC212" s="447"/>
      <c r="BD212" s="447"/>
      <c r="BE212" s="447"/>
      <c r="BF212" s="447"/>
      <c r="BG212" s="447"/>
      <c r="BH212" s="447"/>
      <c r="BI212" s="447"/>
      <c r="BJ212" s="447"/>
      <c r="BK212" s="447"/>
      <c r="BL212" s="447"/>
      <c r="BM212" s="448"/>
      <c r="BN212" s="448"/>
    </row>
    <row r="213" spans="1:66" ht="11.25" customHeight="1">
      <c r="A213" s="469"/>
      <c r="B213" s="447"/>
      <c r="C213" s="447"/>
      <c r="D213" s="447"/>
      <c r="E213" s="447"/>
      <c r="F213" s="447"/>
      <c r="G213" s="447"/>
      <c r="H213" s="447"/>
      <c r="I213" s="447"/>
      <c r="J213" s="447"/>
      <c r="K213" s="447"/>
      <c r="L213" s="447"/>
      <c r="M213" s="447"/>
      <c r="N213" s="447"/>
      <c r="O213" s="447"/>
      <c r="P213" s="447"/>
      <c r="Q213" s="447"/>
      <c r="R213" s="447"/>
      <c r="S213" s="447"/>
      <c r="T213" s="447"/>
      <c r="U213" s="447"/>
      <c r="V213" s="447"/>
      <c r="W213" s="447"/>
      <c r="X213" s="447"/>
      <c r="Y213" s="447"/>
      <c r="Z213" s="447"/>
      <c r="AA213" s="447"/>
      <c r="AB213" s="447"/>
      <c r="AC213" s="447"/>
      <c r="AD213" s="447"/>
      <c r="AE213" s="447"/>
      <c r="AF213" s="448"/>
      <c r="AG213" s="448"/>
      <c r="AH213" s="448"/>
      <c r="AI213" s="447"/>
      <c r="AJ213" s="447"/>
      <c r="AK213" s="447"/>
      <c r="AL213" s="447"/>
      <c r="AM213" s="447"/>
      <c r="AN213" s="447"/>
      <c r="AO213" s="447"/>
      <c r="AP213" s="447"/>
      <c r="AQ213" s="447"/>
      <c r="AR213" s="447"/>
      <c r="AS213" s="447"/>
      <c r="AT213" s="447"/>
      <c r="AU213" s="447"/>
      <c r="AV213" s="447"/>
      <c r="AW213" s="447"/>
      <c r="AX213" s="447"/>
      <c r="AY213" s="447"/>
      <c r="AZ213" s="447"/>
      <c r="BA213" s="447"/>
      <c r="BB213" s="447"/>
      <c r="BC213" s="447"/>
      <c r="BD213" s="447"/>
      <c r="BE213" s="447"/>
      <c r="BF213" s="447"/>
      <c r="BG213" s="447"/>
      <c r="BH213" s="447"/>
      <c r="BI213" s="447"/>
      <c r="BJ213" s="447"/>
      <c r="BK213" s="447"/>
      <c r="BL213" s="447"/>
      <c r="BM213" s="448"/>
      <c r="BN213" s="448"/>
    </row>
    <row r="214" spans="1:66" ht="11.25" customHeight="1">
      <c r="A214" s="469"/>
      <c r="B214" s="447"/>
      <c r="C214" s="447"/>
      <c r="D214" s="447"/>
      <c r="E214" s="447"/>
      <c r="F214" s="447"/>
      <c r="G214" s="447"/>
      <c r="H214" s="447"/>
      <c r="I214" s="447"/>
      <c r="J214" s="447"/>
      <c r="K214" s="447"/>
      <c r="L214" s="447"/>
      <c r="M214" s="447"/>
      <c r="N214" s="447"/>
      <c r="O214" s="447"/>
      <c r="P214" s="447"/>
      <c r="Q214" s="447"/>
      <c r="R214" s="447"/>
      <c r="S214" s="447"/>
      <c r="T214" s="447"/>
      <c r="U214" s="447"/>
      <c r="V214" s="447"/>
      <c r="W214" s="447"/>
      <c r="X214" s="447"/>
      <c r="Y214" s="447"/>
      <c r="Z214" s="447"/>
      <c r="AA214" s="447"/>
      <c r="AB214" s="447"/>
      <c r="AC214" s="447"/>
      <c r="AD214" s="447"/>
      <c r="AE214" s="447"/>
      <c r="AF214" s="448"/>
      <c r="AG214" s="448"/>
      <c r="AH214" s="448"/>
      <c r="AI214" s="447"/>
      <c r="AJ214" s="447"/>
      <c r="AK214" s="447"/>
      <c r="AL214" s="447"/>
      <c r="AM214" s="447"/>
      <c r="AN214" s="447"/>
      <c r="AO214" s="447"/>
      <c r="AP214" s="447"/>
      <c r="AQ214" s="447"/>
      <c r="AR214" s="447"/>
      <c r="AS214" s="447"/>
      <c r="AT214" s="447"/>
      <c r="AU214" s="447"/>
      <c r="AV214" s="447"/>
      <c r="AW214" s="447"/>
      <c r="AX214" s="447"/>
      <c r="AY214" s="447"/>
      <c r="AZ214" s="447"/>
      <c r="BA214" s="447"/>
      <c r="BB214" s="447"/>
      <c r="BC214" s="447"/>
      <c r="BD214" s="447"/>
      <c r="BE214" s="447"/>
      <c r="BF214" s="447"/>
      <c r="BG214" s="447"/>
      <c r="BH214" s="447"/>
      <c r="BI214" s="447"/>
      <c r="BJ214" s="447"/>
      <c r="BK214" s="447"/>
      <c r="BL214" s="447"/>
      <c r="BM214" s="448"/>
      <c r="BN214" s="448"/>
    </row>
    <row r="215" spans="1:66" ht="11.25" customHeight="1">
      <c r="A215" s="469"/>
      <c r="B215" s="447"/>
      <c r="C215" s="447"/>
      <c r="D215" s="447"/>
      <c r="E215" s="447"/>
      <c r="F215" s="447"/>
      <c r="G215" s="447"/>
      <c r="H215" s="447"/>
      <c r="I215" s="447"/>
      <c r="J215" s="447"/>
      <c r="K215" s="447"/>
      <c r="L215" s="447"/>
      <c r="M215" s="447"/>
      <c r="N215" s="447"/>
      <c r="O215" s="447"/>
      <c r="P215" s="447"/>
      <c r="Q215" s="447"/>
      <c r="R215" s="447"/>
      <c r="S215" s="447"/>
      <c r="T215" s="447"/>
      <c r="U215" s="447"/>
      <c r="V215" s="447"/>
      <c r="W215" s="447"/>
      <c r="X215" s="447"/>
      <c r="Y215" s="447"/>
      <c r="Z215" s="447"/>
      <c r="AA215" s="447"/>
      <c r="AB215" s="447"/>
      <c r="AC215" s="447"/>
      <c r="AD215" s="447"/>
      <c r="AE215" s="447"/>
      <c r="AF215" s="448"/>
      <c r="AG215" s="448"/>
      <c r="AH215" s="448"/>
      <c r="AI215" s="447"/>
      <c r="AJ215" s="447"/>
      <c r="AK215" s="447"/>
      <c r="AL215" s="447"/>
      <c r="AM215" s="447"/>
      <c r="AN215" s="447"/>
      <c r="AO215" s="447"/>
      <c r="AP215" s="447"/>
      <c r="AQ215" s="447"/>
      <c r="AR215" s="447"/>
      <c r="AS215" s="447"/>
      <c r="AT215" s="447"/>
      <c r="AU215" s="447"/>
      <c r="AV215" s="447"/>
      <c r="AW215" s="447"/>
      <c r="AX215" s="447"/>
      <c r="AY215" s="447"/>
      <c r="AZ215" s="447"/>
      <c r="BA215" s="447"/>
      <c r="BB215" s="447"/>
      <c r="BC215" s="447"/>
      <c r="BD215" s="447"/>
      <c r="BE215" s="447"/>
      <c r="BF215" s="447"/>
      <c r="BG215" s="447"/>
      <c r="BH215" s="447"/>
      <c r="BI215" s="447"/>
      <c r="BJ215" s="447"/>
      <c r="BK215" s="447"/>
      <c r="BL215" s="447"/>
      <c r="BM215" s="448"/>
      <c r="BN215" s="448"/>
    </row>
    <row r="216" spans="1:66" ht="11.25" customHeight="1">
      <c r="A216" s="469"/>
      <c r="B216" s="447"/>
      <c r="C216" s="447"/>
      <c r="D216" s="447"/>
      <c r="E216" s="447"/>
      <c r="F216" s="447"/>
      <c r="G216" s="447"/>
      <c r="H216" s="447"/>
      <c r="I216" s="447"/>
      <c r="J216" s="447"/>
      <c r="K216" s="447"/>
      <c r="L216" s="447"/>
      <c r="M216" s="447"/>
      <c r="N216" s="447"/>
      <c r="O216" s="447"/>
      <c r="P216" s="447"/>
      <c r="Q216" s="447"/>
      <c r="R216" s="447"/>
      <c r="S216" s="447"/>
      <c r="T216" s="447"/>
      <c r="U216" s="447"/>
      <c r="V216" s="447"/>
      <c r="W216" s="447"/>
      <c r="X216" s="447"/>
      <c r="Y216" s="447"/>
      <c r="Z216" s="447"/>
      <c r="AA216" s="447"/>
      <c r="AB216" s="447"/>
      <c r="AC216" s="447"/>
      <c r="AD216" s="447"/>
      <c r="AE216" s="447"/>
      <c r="AF216" s="448"/>
      <c r="AG216" s="448"/>
      <c r="AH216" s="448"/>
      <c r="AI216" s="447"/>
      <c r="AJ216" s="447"/>
      <c r="AK216" s="447"/>
      <c r="AL216" s="447"/>
      <c r="AM216" s="447"/>
      <c r="AN216" s="447"/>
      <c r="AO216" s="447"/>
      <c r="AP216" s="447"/>
      <c r="AQ216" s="447"/>
      <c r="AR216" s="447"/>
      <c r="AS216" s="447"/>
      <c r="AT216" s="447"/>
      <c r="AU216" s="447"/>
      <c r="AV216" s="447"/>
      <c r="AW216" s="447"/>
      <c r="AX216" s="447"/>
      <c r="AY216" s="447"/>
      <c r="AZ216" s="447"/>
      <c r="BA216" s="447"/>
      <c r="BB216" s="447"/>
      <c r="BC216" s="447"/>
      <c r="BD216" s="447"/>
      <c r="BE216" s="447"/>
      <c r="BF216" s="447"/>
      <c r="BG216" s="447"/>
      <c r="BH216" s="447"/>
      <c r="BI216" s="447"/>
      <c r="BJ216" s="447"/>
      <c r="BK216" s="447"/>
      <c r="BL216" s="447"/>
      <c r="BM216" s="448"/>
      <c r="BN216" s="448"/>
    </row>
    <row r="217" spans="1:66" ht="11.25" customHeight="1">
      <c r="A217" s="469"/>
      <c r="B217" s="447"/>
      <c r="C217" s="447"/>
      <c r="D217" s="447"/>
      <c r="E217" s="447"/>
      <c r="F217" s="447"/>
      <c r="G217" s="447"/>
      <c r="H217" s="447"/>
      <c r="I217" s="447"/>
      <c r="J217" s="447"/>
      <c r="K217" s="447"/>
      <c r="L217" s="447"/>
      <c r="M217" s="447"/>
      <c r="N217" s="447"/>
      <c r="O217" s="447"/>
      <c r="P217" s="447"/>
      <c r="Q217" s="447"/>
      <c r="R217" s="447"/>
      <c r="S217" s="447"/>
      <c r="T217" s="447"/>
      <c r="U217" s="447"/>
      <c r="V217" s="447"/>
      <c r="W217" s="447"/>
      <c r="X217" s="447"/>
      <c r="Y217" s="447"/>
      <c r="Z217" s="447"/>
      <c r="AA217" s="447"/>
      <c r="AB217" s="447"/>
      <c r="AC217" s="447"/>
      <c r="AD217" s="447"/>
      <c r="AE217" s="447"/>
      <c r="AF217" s="448"/>
      <c r="AG217" s="448"/>
      <c r="AH217" s="448"/>
      <c r="AI217" s="447"/>
      <c r="AJ217" s="447"/>
      <c r="AK217" s="447"/>
      <c r="AL217" s="447"/>
      <c r="AM217" s="447"/>
      <c r="AN217" s="447"/>
      <c r="AO217" s="447"/>
      <c r="AP217" s="447"/>
      <c r="AQ217" s="447"/>
      <c r="AR217" s="447"/>
      <c r="AS217" s="447"/>
      <c r="AT217" s="447"/>
      <c r="AU217" s="447"/>
      <c r="AV217" s="447"/>
      <c r="AW217" s="447"/>
      <c r="AX217" s="447"/>
      <c r="AY217" s="447"/>
      <c r="AZ217" s="447"/>
      <c r="BA217" s="447"/>
      <c r="BB217" s="447"/>
      <c r="BC217" s="447"/>
      <c r="BD217" s="447"/>
      <c r="BE217" s="447"/>
      <c r="BF217" s="447"/>
      <c r="BG217" s="447"/>
      <c r="BH217" s="447"/>
      <c r="BI217" s="447"/>
      <c r="BJ217" s="447"/>
      <c r="BK217" s="447"/>
      <c r="BL217" s="447"/>
      <c r="BM217" s="448"/>
      <c r="BN217" s="448"/>
    </row>
    <row r="218" spans="1:66" ht="11.25" customHeight="1">
      <c r="A218" s="469"/>
      <c r="B218" s="447"/>
      <c r="C218" s="447"/>
      <c r="D218" s="447"/>
      <c r="E218" s="447"/>
      <c r="F218" s="447"/>
      <c r="G218" s="447"/>
      <c r="H218" s="447"/>
      <c r="I218" s="447"/>
      <c r="J218" s="447"/>
      <c r="K218" s="447"/>
      <c r="L218" s="447"/>
      <c r="M218" s="447"/>
      <c r="N218" s="447"/>
      <c r="O218" s="447"/>
      <c r="P218" s="447"/>
      <c r="Q218" s="447"/>
      <c r="R218" s="447"/>
      <c r="S218" s="447"/>
      <c r="T218" s="447"/>
      <c r="U218" s="447"/>
      <c r="V218" s="447"/>
      <c r="W218" s="447"/>
      <c r="X218" s="447"/>
      <c r="Y218" s="447"/>
      <c r="Z218" s="447"/>
      <c r="AA218" s="447"/>
      <c r="AB218" s="447"/>
      <c r="AC218" s="447"/>
      <c r="AD218" s="447"/>
      <c r="AE218" s="447"/>
      <c r="AF218" s="448"/>
      <c r="AG218" s="448"/>
      <c r="AH218" s="448"/>
      <c r="AI218" s="447"/>
      <c r="AJ218" s="447"/>
      <c r="AK218" s="447"/>
      <c r="AL218" s="447"/>
      <c r="AM218" s="447"/>
      <c r="AN218" s="447"/>
      <c r="AO218" s="447"/>
      <c r="AP218" s="447"/>
      <c r="AQ218" s="447"/>
      <c r="AR218" s="447"/>
      <c r="AS218" s="447"/>
      <c r="AT218" s="447"/>
      <c r="AU218" s="447"/>
      <c r="AV218" s="447"/>
      <c r="AW218" s="447"/>
      <c r="AX218" s="447"/>
      <c r="AY218" s="447"/>
      <c r="AZ218" s="447"/>
      <c r="BA218" s="447"/>
      <c r="BB218" s="447"/>
      <c r="BC218" s="447"/>
      <c r="BD218" s="447"/>
      <c r="BE218" s="447"/>
      <c r="BF218" s="447"/>
      <c r="BG218" s="447"/>
      <c r="BH218" s="447"/>
      <c r="BI218" s="447"/>
      <c r="BJ218" s="447"/>
      <c r="BK218" s="447"/>
      <c r="BL218" s="447"/>
      <c r="BM218" s="448"/>
      <c r="BN218" s="448"/>
    </row>
    <row r="219" spans="1:66" ht="11.25" customHeight="1">
      <c r="A219" s="469"/>
      <c r="B219" s="447"/>
      <c r="C219" s="447"/>
      <c r="D219" s="447"/>
      <c r="E219" s="447"/>
      <c r="F219" s="447"/>
      <c r="G219" s="447"/>
      <c r="H219" s="447"/>
      <c r="I219" s="447"/>
      <c r="J219" s="447"/>
      <c r="K219" s="447"/>
      <c r="L219" s="447"/>
      <c r="M219" s="447"/>
      <c r="N219" s="447"/>
      <c r="O219" s="447"/>
      <c r="P219" s="447"/>
      <c r="Q219" s="447"/>
      <c r="R219" s="447"/>
      <c r="S219" s="447"/>
      <c r="T219" s="447"/>
      <c r="U219" s="447"/>
      <c r="V219" s="447"/>
      <c r="W219" s="447"/>
      <c r="X219" s="447"/>
      <c r="Y219" s="447"/>
      <c r="Z219" s="447"/>
      <c r="AA219" s="447"/>
      <c r="AB219" s="447"/>
      <c r="AC219" s="447"/>
      <c r="AD219" s="447"/>
      <c r="AE219" s="447"/>
      <c r="AF219" s="448"/>
      <c r="AG219" s="448"/>
      <c r="AH219" s="448"/>
      <c r="AI219" s="447"/>
      <c r="AJ219" s="447"/>
      <c r="AK219" s="447"/>
      <c r="AL219" s="447"/>
      <c r="AM219" s="447"/>
      <c r="AN219" s="447"/>
      <c r="AO219" s="447"/>
      <c r="AP219" s="447"/>
      <c r="AQ219" s="447"/>
      <c r="AR219" s="447"/>
      <c r="AS219" s="447"/>
      <c r="AT219" s="447"/>
      <c r="AU219" s="447"/>
      <c r="AV219" s="447"/>
      <c r="AW219" s="447"/>
      <c r="AX219" s="447"/>
      <c r="AY219" s="447"/>
      <c r="AZ219" s="447"/>
      <c r="BA219" s="447"/>
      <c r="BB219" s="447"/>
      <c r="BC219" s="447"/>
      <c r="BD219" s="447"/>
      <c r="BE219" s="447"/>
      <c r="BF219" s="447"/>
      <c r="BG219" s="447"/>
      <c r="BH219" s="447"/>
      <c r="BI219" s="447"/>
      <c r="BJ219" s="447"/>
      <c r="BK219" s="447"/>
      <c r="BL219" s="447"/>
      <c r="BM219" s="448"/>
      <c r="BN219" s="448"/>
    </row>
    <row r="220" spans="1:66" ht="11.25" customHeight="1">
      <c r="A220" s="469"/>
      <c r="B220" s="447"/>
      <c r="C220" s="447"/>
      <c r="D220" s="447"/>
      <c r="E220" s="447"/>
      <c r="F220" s="447"/>
      <c r="G220" s="447"/>
      <c r="H220" s="447"/>
      <c r="I220" s="447"/>
      <c r="J220" s="447"/>
      <c r="K220" s="447"/>
      <c r="L220" s="447"/>
      <c r="M220" s="447"/>
      <c r="N220" s="447"/>
      <c r="O220" s="447"/>
      <c r="P220" s="447"/>
      <c r="Q220" s="447"/>
      <c r="R220" s="447"/>
      <c r="S220" s="447"/>
      <c r="T220" s="447"/>
      <c r="U220" s="447"/>
      <c r="V220" s="447"/>
      <c r="W220" s="447"/>
      <c r="X220" s="447"/>
      <c r="Y220" s="447"/>
      <c r="Z220" s="447"/>
      <c r="AA220" s="447"/>
      <c r="AB220" s="447"/>
      <c r="AC220" s="447"/>
      <c r="AD220" s="447"/>
      <c r="AE220" s="447"/>
      <c r="AF220" s="448"/>
      <c r="AG220" s="448"/>
      <c r="AH220" s="448"/>
      <c r="AI220" s="447"/>
      <c r="AJ220" s="447"/>
      <c r="AK220" s="447"/>
      <c r="AL220" s="447"/>
      <c r="AM220" s="447"/>
      <c r="AN220" s="447"/>
      <c r="AO220" s="447"/>
      <c r="AP220" s="447"/>
      <c r="AQ220" s="447"/>
      <c r="AR220" s="447"/>
      <c r="AS220" s="447"/>
      <c r="AT220" s="447"/>
      <c r="AU220" s="447"/>
      <c r="AV220" s="447"/>
      <c r="AW220" s="447"/>
      <c r="AX220" s="447"/>
      <c r="AY220" s="447"/>
      <c r="AZ220" s="447"/>
      <c r="BA220" s="447"/>
      <c r="BB220" s="447"/>
      <c r="BC220" s="447"/>
      <c r="BD220" s="447"/>
      <c r="BE220" s="447"/>
      <c r="BF220" s="447"/>
      <c r="BG220" s="447"/>
      <c r="BH220" s="447"/>
      <c r="BI220" s="447"/>
      <c r="BJ220" s="447"/>
      <c r="BK220" s="447"/>
      <c r="BL220" s="447"/>
      <c r="BM220" s="448"/>
      <c r="BN220" s="448"/>
    </row>
    <row r="221" spans="1:66" ht="11.25" customHeight="1">
      <c r="A221" s="469"/>
      <c r="B221" s="447"/>
      <c r="C221" s="447"/>
      <c r="D221" s="447"/>
      <c r="E221" s="447"/>
      <c r="F221" s="447"/>
      <c r="G221" s="447"/>
      <c r="H221" s="447"/>
      <c r="I221" s="447"/>
      <c r="J221" s="447"/>
      <c r="K221" s="447"/>
      <c r="L221" s="447"/>
      <c r="M221" s="447"/>
      <c r="N221" s="447"/>
      <c r="O221" s="447"/>
      <c r="P221" s="447"/>
      <c r="Q221" s="447"/>
      <c r="R221" s="447"/>
      <c r="S221" s="447"/>
      <c r="T221" s="447"/>
      <c r="U221" s="447"/>
      <c r="V221" s="447"/>
      <c r="W221" s="447"/>
      <c r="X221" s="447"/>
      <c r="Y221" s="447"/>
      <c r="Z221" s="447"/>
      <c r="AA221" s="447"/>
      <c r="AB221" s="447"/>
      <c r="AC221" s="447"/>
      <c r="AD221" s="447"/>
      <c r="AE221" s="447"/>
      <c r="AF221" s="448"/>
      <c r="AG221" s="448"/>
      <c r="AH221" s="448"/>
      <c r="AI221" s="447"/>
      <c r="AJ221" s="447"/>
      <c r="AK221" s="447"/>
      <c r="AL221" s="447"/>
      <c r="AM221" s="447"/>
      <c r="AN221" s="447"/>
      <c r="AO221" s="447"/>
      <c r="AP221" s="447"/>
      <c r="AQ221" s="447"/>
      <c r="AR221" s="447"/>
      <c r="AS221" s="447"/>
      <c r="AT221" s="447"/>
      <c r="AU221" s="447"/>
      <c r="AV221" s="447"/>
      <c r="AW221" s="447"/>
      <c r="AX221" s="447"/>
      <c r="AY221" s="447"/>
      <c r="AZ221" s="447"/>
      <c r="BA221" s="447"/>
      <c r="BB221" s="447"/>
      <c r="BC221" s="447"/>
      <c r="BD221" s="447"/>
      <c r="BE221" s="447"/>
      <c r="BF221" s="447"/>
      <c r="BG221" s="447"/>
      <c r="BH221" s="447"/>
      <c r="BI221" s="447"/>
      <c r="BJ221" s="447"/>
      <c r="BK221" s="447"/>
      <c r="BL221" s="447"/>
      <c r="BM221" s="448"/>
      <c r="BN221" s="448"/>
    </row>
    <row r="222" spans="1:66" ht="11.25" customHeight="1">
      <c r="A222" s="469"/>
      <c r="B222" s="447"/>
      <c r="C222" s="447"/>
      <c r="D222" s="447"/>
      <c r="E222" s="447"/>
      <c r="F222" s="447"/>
      <c r="G222" s="447"/>
      <c r="H222" s="447"/>
      <c r="I222" s="447"/>
      <c r="J222" s="447"/>
      <c r="K222" s="447"/>
      <c r="L222" s="447"/>
      <c r="M222" s="447"/>
      <c r="N222" s="447"/>
      <c r="O222" s="447"/>
      <c r="P222" s="447"/>
      <c r="Q222" s="447"/>
      <c r="R222" s="447"/>
      <c r="S222" s="447"/>
      <c r="T222" s="447"/>
      <c r="U222" s="447"/>
      <c r="V222" s="447"/>
      <c r="W222" s="447"/>
      <c r="X222" s="447"/>
      <c r="Y222" s="447"/>
      <c r="Z222" s="447"/>
      <c r="AA222" s="447"/>
      <c r="AB222" s="447"/>
      <c r="AC222" s="447"/>
      <c r="AD222" s="447"/>
      <c r="AE222" s="447"/>
      <c r="AF222" s="448"/>
      <c r="AG222" s="448"/>
      <c r="AH222" s="448"/>
      <c r="AI222" s="447"/>
      <c r="AJ222" s="447"/>
      <c r="AK222" s="447"/>
      <c r="AL222" s="447"/>
      <c r="AM222" s="447"/>
      <c r="AN222" s="447"/>
      <c r="AO222" s="447"/>
      <c r="AP222" s="447"/>
      <c r="AQ222" s="447"/>
      <c r="AR222" s="447"/>
      <c r="AS222" s="447"/>
      <c r="AT222" s="447"/>
      <c r="AU222" s="447"/>
      <c r="AV222" s="447"/>
      <c r="AW222" s="447"/>
      <c r="AX222" s="447"/>
      <c r="AY222" s="447"/>
      <c r="AZ222" s="447"/>
      <c r="BA222" s="447"/>
      <c r="BB222" s="447"/>
      <c r="BC222" s="447"/>
      <c r="BD222" s="447"/>
      <c r="BE222" s="447"/>
      <c r="BF222" s="447"/>
      <c r="BG222" s="447"/>
      <c r="BH222" s="447"/>
      <c r="BI222" s="447"/>
      <c r="BJ222" s="447"/>
      <c r="BK222" s="447"/>
      <c r="BL222" s="447"/>
      <c r="BM222" s="448"/>
      <c r="BN222" s="448"/>
    </row>
    <row r="223" spans="1:66" ht="11.25" customHeight="1">
      <c r="A223" s="469"/>
      <c r="B223" s="447"/>
      <c r="C223" s="447"/>
      <c r="D223" s="447"/>
      <c r="E223" s="447"/>
      <c r="F223" s="447"/>
      <c r="G223" s="447"/>
      <c r="H223" s="447"/>
      <c r="I223" s="447"/>
      <c r="J223" s="447"/>
      <c r="K223" s="447"/>
      <c r="L223" s="447"/>
      <c r="M223" s="447"/>
      <c r="N223" s="447"/>
      <c r="O223" s="447"/>
      <c r="P223" s="447"/>
      <c r="Q223" s="447"/>
      <c r="R223" s="447"/>
      <c r="S223" s="447"/>
      <c r="T223" s="447"/>
      <c r="U223" s="447"/>
      <c r="V223" s="447"/>
      <c r="W223" s="447"/>
      <c r="X223" s="447"/>
      <c r="Y223" s="447"/>
      <c r="Z223" s="447"/>
      <c r="AA223" s="447"/>
      <c r="AB223" s="447"/>
      <c r="AC223" s="447"/>
      <c r="AD223" s="447"/>
      <c r="AE223" s="447"/>
      <c r="AF223" s="448"/>
      <c r="AG223" s="448"/>
      <c r="AH223" s="448"/>
      <c r="AI223" s="447"/>
      <c r="AJ223" s="447"/>
      <c r="AK223" s="447"/>
      <c r="AL223" s="447"/>
      <c r="AM223" s="447"/>
      <c r="AN223" s="447"/>
      <c r="AO223" s="447"/>
      <c r="AP223" s="447"/>
      <c r="AQ223" s="447"/>
      <c r="AR223" s="447"/>
      <c r="AS223" s="447"/>
      <c r="AT223" s="447"/>
      <c r="AU223" s="447"/>
      <c r="AV223" s="447"/>
      <c r="AW223" s="447"/>
      <c r="AX223" s="447"/>
      <c r="AY223" s="447"/>
      <c r="AZ223" s="447"/>
      <c r="BA223" s="447"/>
      <c r="BB223" s="447"/>
      <c r="BC223" s="447"/>
      <c r="BD223" s="447"/>
      <c r="BE223" s="447"/>
      <c r="BF223" s="447"/>
      <c r="BG223" s="447"/>
      <c r="BH223" s="447"/>
      <c r="BI223" s="447"/>
      <c r="BJ223" s="447"/>
      <c r="BK223" s="447"/>
      <c r="BL223" s="447"/>
      <c r="BM223" s="448"/>
      <c r="BN223" s="448"/>
    </row>
    <row r="224" spans="1:66" ht="11.25" customHeight="1">
      <c r="A224" s="469"/>
      <c r="B224" s="447"/>
      <c r="C224" s="447"/>
      <c r="D224" s="447"/>
      <c r="E224" s="447"/>
      <c r="F224" s="447"/>
      <c r="G224" s="447"/>
      <c r="H224" s="447"/>
      <c r="I224" s="447"/>
      <c r="J224" s="447"/>
      <c r="K224" s="447"/>
      <c r="L224" s="447"/>
      <c r="M224" s="447"/>
      <c r="N224" s="447"/>
      <c r="O224" s="447"/>
      <c r="P224" s="447"/>
      <c r="Q224" s="447"/>
      <c r="R224" s="447"/>
      <c r="S224" s="447"/>
      <c r="T224" s="447"/>
      <c r="U224" s="447"/>
      <c r="V224" s="447"/>
      <c r="W224" s="447"/>
      <c r="X224" s="447"/>
      <c r="Y224" s="447"/>
      <c r="Z224" s="447"/>
      <c r="AA224" s="447"/>
      <c r="AB224" s="447"/>
      <c r="AC224" s="447"/>
      <c r="AD224" s="447"/>
      <c r="AE224" s="447"/>
      <c r="AF224" s="448"/>
      <c r="AG224" s="448"/>
      <c r="AH224" s="448"/>
      <c r="AI224" s="447"/>
      <c r="AJ224" s="447"/>
      <c r="AK224" s="447"/>
      <c r="AL224" s="447"/>
      <c r="AM224" s="447"/>
      <c r="AN224" s="447"/>
      <c r="AO224" s="447"/>
      <c r="AP224" s="447"/>
      <c r="AQ224" s="447"/>
      <c r="AR224" s="447"/>
      <c r="AS224" s="447"/>
      <c r="AT224" s="447"/>
      <c r="AU224" s="447"/>
      <c r="AV224" s="447"/>
      <c r="AW224" s="447"/>
      <c r="AX224" s="447"/>
      <c r="AY224" s="447"/>
      <c r="AZ224" s="447"/>
      <c r="BA224" s="447"/>
      <c r="BB224" s="447"/>
      <c r="BC224" s="447"/>
      <c r="BD224" s="447"/>
      <c r="BE224" s="447"/>
      <c r="BF224" s="447"/>
      <c r="BG224" s="447"/>
      <c r="BH224" s="447"/>
      <c r="BI224" s="447"/>
      <c r="BJ224" s="447"/>
      <c r="BK224" s="447"/>
      <c r="BL224" s="447"/>
      <c r="BM224" s="448"/>
      <c r="BN224" s="448"/>
    </row>
    <row r="225" spans="1:66" ht="11.25" customHeight="1">
      <c r="A225" s="469"/>
      <c r="B225" s="447"/>
      <c r="C225" s="447"/>
      <c r="D225" s="447"/>
      <c r="E225" s="447"/>
      <c r="F225" s="447"/>
      <c r="G225" s="447"/>
      <c r="H225" s="447"/>
      <c r="I225" s="447"/>
      <c r="J225" s="447"/>
      <c r="K225" s="447"/>
      <c r="L225" s="447"/>
      <c r="M225" s="447"/>
      <c r="N225" s="447"/>
      <c r="O225" s="447"/>
      <c r="P225" s="447"/>
      <c r="Q225" s="447"/>
      <c r="R225" s="447"/>
      <c r="S225" s="447"/>
      <c r="T225" s="447"/>
      <c r="U225" s="447"/>
      <c r="V225" s="447"/>
      <c r="W225" s="447"/>
      <c r="X225" s="447"/>
      <c r="Y225" s="447"/>
      <c r="Z225" s="447"/>
      <c r="AA225" s="447"/>
      <c r="AB225" s="447"/>
      <c r="AC225" s="447"/>
      <c r="AD225" s="447"/>
      <c r="AE225" s="447"/>
      <c r="AF225" s="448"/>
      <c r="AG225" s="448"/>
      <c r="AH225" s="448"/>
      <c r="AI225" s="447"/>
      <c r="AJ225" s="447"/>
      <c r="AK225" s="447"/>
      <c r="AL225" s="447"/>
      <c r="AM225" s="447"/>
      <c r="AN225" s="447"/>
      <c r="AO225" s="447"/>
      <c r="AP225" s="447"/>
      <c r="AQ225" s="447"/>
      <c r="AR225" s="447"/>
      <c r="AS225" s="447"/>
      <c r="AT225" s="447"/>
      <c r="AU225" s="447"/>
      <c r="AV225" s="447"/>
      <c r="AW225" s="447"/>
      <c r="AX225" s="447"/>
      <c r="AY225" s="447"/>
      <c r="AZ225" s="447"/>
      <c r="BA225" s="447"/>
      <c r="BB225" s="447"/>
      <c r="BC225" s="447"/>
      <c r="BD225" s="447"/>
      <c r="BE225" s="447"/>
      <c r="BF225" s="447"/>
      <c r="BG225" s="447"/>
      <c r="BH225" s="447"/>
      <c r="BI225" s="447"/>
      <c r="BJ225" s="447"/>
      <c r="BK225" s="447"/>
      <c r="BL225" s="447"/>
      <c r="BM225" s="448"/>
      <c r="BN225" s="448"/>
    </row>
    <row r="226" spans="1:66" ht="11.25" customHeight="1">
      <c r="A226" s="469"/>
      <c r="B226" s="447"/>
      <c r="C226" s="447"/>
      <c r="D226" s="447"/>
      <c r="E226" s="447"/>
      <c r="F226" s="447"/>
      <c r="G226" s="447"/>
      <c r="H226" s="447"/>
      <c r="I226" s="447"/>
      <c r="J226" s="447"/>
      <c r="K226" s="447"/>
      <c r="L226" s="447"/>
      <c r="M226" s="447"/>
      <c r="N226" s="447"/>
      <c r="O226" s="447"/>
      <c r="P226" s="447"/>
      <c r="Q226" s="447"/>
      <c r="R226" s="447"/>
      <c r="S226" s="447"/>
      <c r="T226" s="447"/>
      <c r="U226" s="447"/>
      <c r="V226" s="447"/>
      <c r="W226" s="447"/>
      <c r="X226" s="447"/>
      <c r="Y226" s="447"/>
      <c r="Z226" s="447"/>
      <c r="AA226" s="447"/>
      <c r="AB226" s="447"/>
      <c r="AC226" s="447"/>
      <c r="AD226" s="447"/>
      <c r="AE226" s="447"/>
      <c r="AF226" s="448"/>
      <c r="AG226" s="448"/>
      <c r="AH226" s="448"/>
      <c r="AI226" s="447"/>
      <c r="AJ226" s="447"/>
      <c r="AK226" s="447"/>
      <c r="AL226" s="447"/>
      <c r="AM226" s="447"/>
      <c r="AN226" s="447"/>
      <c r="AO226" s="447"/>
      <c r="AP226" s="447"/>
      <c r="AQ226" s="447"/>
      <c r="AR226" s="447"/>
      <c r="AS226" s="447"/>
      <c r="AT226" s="447"/>
      <c r="AU226" s="447"/>
      <c r="AV226" s="447"/>
      <c r="AW226" s="447"/>
      <c r="AX226" s="447"/>
      <c r="AY226" s="447"/>
      <c r="AZ226" s="447"/>
      <c r="BA226" s="447"/>
      <c r="BB226" s="447"/>
      <c r="BC226" s="447"/>
      <c r="BD226" s="447"/>
      <c r="BE226" s="447"/>
      <c r="BF226" s="447"/>
      <c r="BG226" s="447"/>
      <c r="BH226" s="447"/>
      <c r="BI226" s="447"/>
      <c r="BJ226" s="447"/>
      <c r="BK226" s="447"/>
      <c r="BL226" s="447"/>
      <c r="BM226" s="448"/>
      <c r="BN226" s="448"/>
    </row>
    <row r="227" spans="1:66" ht="11.25" customHeight="1">
      <c r="A227" s="469"/>
      <c r="B227" s="447"/>
      <c r="C227" s="447"/>
      <c r="D227" s="447"/>
      <c r="E227" s="447"/>
      <c r="F227" s="447"/>
      <c r="G227" s="447"/>
      <c r="H227" s="447"/>
      <c r="I227" s="447"/>
      <c r="J227" s="447"/>
      <c r="K227" s="447"/>
      <c r="L227" s="447"/>
      <c r="M227" s="447"/>
      <c r="N227" s="447"/>
      <c r="O227" s="447"/>
      <c r="P227" s="447"/>
      <c r="Q227" s="447"/>
      <c r="R227" s="447"/>
      <c r="S227" s="447"/>
      <c r="T227" s="447"/>
      <c r="U227" s="447"/>
      <c r="V227" s="447"/>
      <c r="W227" s="447"/>
      <c r="X227" s="447"/>
      <c r="Y227" s="447"/>
      <c r="Z227" s="447"/>
      <c r="AA227" s="447"/>
      <c r="AB227" s="447"/>
      <c r="AC227" s="447"/>
      <c r="AD227" s="447"/>
      <c r="AE227" s="447"/>
      <c r="AF227" s="448"/>
      <c r="AG227" s="448"/>
      <c r="AH227" s="448"/>
      <c r="AI227" s="447"/>
      <c r="AJ227" s="447"/>
      <c r="AK227" s="447"/>
      <c r="AL227" s="447"/>
      <c r="AM227" s="447"/>
      <c r="AN227" s="447"/>
      <c r="AO227" s="447"/>
      <c r="AP227" s="447"/>
      <c r="AQ227" s="447"/>
      <c r="AR227" s="447"/>
      <c r="AS227" s="447"/>
      <c r="AT227" s="447"/>
      <c r="AU227" s="447"/>
      <c r="AV227" s="447"/>
      <c r="AW227" s="447"/>
      <c r="AX227" s="447"/>
      <c r="AY227" s="447"/>
      <c r="AZ227" s="447"/>
      <c r="BA227" s="447"/>
      <c r="BB227" s="447"/>
      <c r="BC227" s="447"/>
      <c r="BD227" s="447"/>
      <c r="BE227" s="447"/>
      <c r="BF227" s="447"/>
      <c r="BG227" s="447"/>
      <c r="BH227" s="447"/>
      <c r="BI227" s="447"/>
      <c r="BJ227" s="447"/>
      <c r="BK227" s="447"/>
      <c r="BL227" s="447"/>
      <c r="BM227" s="448"/>
      <c r="BN227" s="448"/>
    </row>
    <row r="228" spans="1:66" ht="11.25" customHeight="1">
      <c r="A228" s="469"/>
      <c r="B228" s="447"/>
      <c r="C228" s="447"/>
      <c r="D228" s="447"/>
      <c r="E228" s="447"/>
      <c r="F228" s="447"/>
      <c r="G228" s="447"/>
      <c r="H228" s="447"/>
      <c r="I228" s="447"/>
      <c r="J228" s="447"/>
      <c r="K228" s="447"/>
      <c r="L228" s="447"/>
      <c r="M228" s="447"/>
      <c r="N228" s="447"/>
      <c r="O228" s="447"/>
      <c r="P228" s="447"/>
      <c r="Q228" s="447"/>
      <c r="R228" s="447"/>
      <c r="S228" s="447"/>
      <c r="T228" s="447"/>
      <c r="U228" s="447"/>
      <c r="V228" s="447"/>
      <c r="W228" s="447"/>
      <c r="X228" s="447"/>
      <c r="Y228" s="447"/>
      <c r="Z228" s="447"/>
      <c r="AA228" s="447"/>
      <c r="AB228" s="447"/>
      <c r="AC228" s="447"/>
      <c r="AD228" s="447"/>
      <c r="AE228" s="447"/>
      <c r="AF228" s="448"/>
      <c r="AG228" s="448"/>
      <c r="AH228" s="448"/>
      <c r="AI228" s="447"/>
      <c r="AJ228" s="447"/>
      <c r="AK228" s="447"/>
      <c r="AL228" s="447"/>
      <c r="AM228" s="447"/>
      <c r="AN228" s="447"/>
      <c r="AO228" s="447"/>
      <c r="AP228" s="447"/>
      <c r="AQ228" s="447"/>
      <c r="AR228" s="447"/>
      <c r="AS228" s="447"/>
      <c r="AT228" s="447"/>
      <c r="AU228" s="447"/>
      <c r="AV228" s="447"/>
      <c r="AW228" s="447"/>
      <c r="AX228" s="447"/>
      <c r="AY228" s="447"/>
      <c r="AZ228" s="447"/>
      <c r="BA228" s="447"/>
      <c r="BB228" s="447"/>
      <c r="BC228" s="447"/>
      <c r="BD228" s="447"/>
      <c r="BE228" s="447"/>
      <c r="BF228" s="447"/>
      <c r="BG228" s="447"/>
      <c r="BH228" s="447"/>
      <c r="BI228" s="447"/>
      <c r="BJ228" s="447"/>
      <c r="BK228" s="447"/>
      <c r="BL228" s="447"/>
      <c r="BM228" s="448"/>
      <c r="BN228" s="448"/>
    </row>
    <row r="229" spans="1:66" ht="11.25" customHeight="1">
      <c r="A229" s="469"/>
      <c r="B229" s="447"/>
      <c r="C229" s="447"/>
      <c r="D229" s="447"/>
      <c r="E229" s="447"/>
      <c r="F229" s="447"/>
      <c r="G229" s="447"/>
      <c r="H229" s="447"/>
      <c r="I229" s="447"/>
      <c r="J229" s="447"/>
      <c r="K229" s="447"/>
      <c r="L229" s="447"/>
      <c r="M229" s="447"/>
      <c r="N229" s="447"/>
      <c r="O229" s="447"/>
      <c r="P229" s="447"/>
      <c r="Q229" s="447"/>
      <c r="R229" s="447"/>
      <c r="S229" s="447"/>
      <c r="T229" s="447"/>
      <c r="U229" s="447"/>
      <c r="V229" s="447"/>
      <c r="W229" s="447"/>
      <c r="X229" s="447"/>
      <c r="Y229" s="447"/>
      <c r="Z229" s="447"/>
      <c r="AA229" s="447"/>
      <c r="AB229" s="447"/>
      <c r="AC229" s="447"/>
      <c r="AD229" s="447"/>
      <c r="AE229" s="447"/>
      <c r="AF229" s="448"/>
      <c r="AG229" s="448"/>
      <c r="AH229" s="448"/>
      <c r="AI229" s="447"/>
      <c r="AJ229" s="447"/>
      <c r="AK229" s="447"/>
      <c r="AL229" s="447"/>
      <c r="AM229" s="447"/>
      <c r="AN229" s="447"/>
      <c r="AO229" s="447"/>
      <c r="AP229" s="447"/>
      <c r="AQ229" s="447"/>
      <c r="AR229" s="447"/>
      <c r="AS229" s="447"/>
      <c r="AT229" s="447"/>
      <c r="AU229" s="447"/>
      <c r="AV229" s="447"/>
      <c r="AW229" s="447"/>
      <c r="AX229" s="447"/>
      <c r="AY229" s="447"/>
      <c r="AZ229" s="447"/>
      <c r="BA229" s="447"/>
      <c r="BB229" s="447"/>
      <c r="BC229" s="447"/>
      <c r="BD229" s="447"/>
      <c r="BE229" s="447"/>
      <c r="BF229" s="447"/>
      <c r="BG229" s="447"/>
      <c r="BH229" s="447"/>
      <c r="BI229" s="447"/>
      <c r="BJ229" s="447"/>
      <c r="BK229" s="447"/>
      <c r="BL229" s="447"/>
      <c r="BM229" s="448"/>
      <c r="BN229" s="448"/>
    </row>
    <row r="230" spans="1:66" ht="11.25" customHeight="1">
      <c r="A230" s="469"/>
      <c r="B230" s="447"/>
      <c r="C230" s="447"/>
      <c r="D230" s="447"/>
      <c r="E230" s="447"/>
      <c r="F230" s="447"/>
      <c r="G230" s="447"/>
      <c r="H230" s="447"/>
      <c r="I230" s="447"/>
      <c r="J230" s="447"/>
      <c r="K230" s="447"/>
      <c r="L230" s="447"/>
      <c r="M230" s="447"/>
      <c r="N230" s="447"/>
      <c r="O230" s="447"/>
      <c r="P230" s="447"/>
      <c r="Q230" s="447"/>
      <c r="R230" s="447"/>
      <c r="S230" s="447"/>
      <c r="T230" s="447"/>
      <c r="U230" s="447"/>
      <c r="V230" s="447"/>
      <c r="W230" s="447"/>
      <c r="X230" s="447"/>
      <c r="Y230" s="447"/>
      <c r="Z230" s="447"/>
      <c r="AA230" s="447"/>
      <c r="AB230" s="447"/>
      <c r="AC230" s="447"/>
      <c r="AD230" s="447"/>
      <c r="AE230" s="447"/>
      <c r="AF230" s="448"/>
      <c r="AG230" s="448"/>
      <c r="AH230" s="448"/>
      <c r="AI230" s="447"/>
      <c r="AJ230" s="447"/>
      <c r="AK230" s="447"/>
      <c r="AL230" s="447"/>
      <c r="AM230" s="447"/>
      <c r="AN230" s="447"/>
      <c r="AO230" s="447"/>
      <c r="AP230" s="447"/>
      <c r="AQ230" s="447"/>
      <c r="AR230" s="447"/>
      <c r="AS230" s="447"/>
      <c r="AT230" s="447"/>
      <c r="AU230" s="447"/>
      <c r="AV230" s="447"/>
      <c r="AW230" s="447"/>
      <c r="AX230" s="447"/>
      <c r="AY230" s="447"/>
      <c r="AZ230" s="447"/>
      <c r="BA230" s="447"/>
      <c r="BB230" s="447"/>
      <c r="BC230" s="447"/>
      <c r="BD230" s="447"/>
      <c r="BE230" s="447"/>
      <c r="BF230" s="447"/>
      <c r="BG230" s="447"/>
      <c r="BH230" s="447"/>
      <c r="BI230" s="447"/>
      <c r="BJ230" s="447"/>
      <c r="BK230" s="447"/>
      <c r="BL230" s="447"/>
      <c r="BM230" s="448"/>
      <c r="BN230" s="448"/>
    </row>
    <row r="231" spans="1:66" ht="11.25" customHeight="1">
      <c r="A231" s="469"/>
      <c r="B231" s="447"/>
      <c r="C231" s="447"/>
      <c r="D231" s="447"/>
      <c r="E231" s="447"/>
      <c r="F231" s="447"/>
      <c r="G231" s="447"/>
      <c r="H231" s="447"/>
      <c r="I231" s="447"/>
      <c r="J231" s="447"/>
      <c r="K231" s="447"/>
      <c r="L231" s="447"/>
      <c r="M231" s="447"/>
      <c r="N231" s="447"/>
      <c r="O231" s="447"/>
      <c r="P231" s="447"/>
      <c r="Q231" s="447"/>
      <c r="R231" s="447"/>
      <c r="S231" s="447"/>
      <c r="T231" s="447"/>
      <c r="U231" s="447"/>
      <c r="V231" s="447"/>
      <c r="W231" s="447"/>
      <c r="X231" s="447"/>
      <c r="Y231" s="447"/>
      <c r="Z231" s="447"/>
      <c r="AA231" s="447"/>
      <c r="AB231" s="447"/>
      <c r="AC231" s="447"/>
      <c r="AD231" s="447"/>
      <c r="AE231" s="447"/>
      <c r="AF231" s="448"/>
      <c r="AG231" s="448"/>
      <c r="AH231" s="448"/>
      <c r="AI231" s="447"/>
      <c r="AJ231" s="447"/>
      <c r="AK231" s="447"/>
      <c r="AL231" s="447"/>
      <c r="AM231" s="447"/>
      <c r="AN231" s="447"/>
      <c r="AO231" s="447"/>
      <c r="AP231" s="447"/>
      <c r="AQ231" s="447"/>
      <c r="AR231" s="447"/>
      <c r="AS231" s="447"/>
      <c r="AT231" s="447"/>
      <c r="AU231" s="447"/>
      <c r="AV231" s="447"/>
      <c r="AW231" s="447"/>
      <c r="AX231" s="447"/>
      <c r="AY231" s="447"/>
      <c r="AZ231" s="447"/>
      <c r="BA231" s="447"/>
      <c r="BB231" s="447"/>
      <c r="BC231" s="447"/>
      <c r="BD231" s="447"/>
      <c r="BE231" s="447"/>
      <c r="BF231" s="447"/>
      <c r="BG231" s="447"/>
      <c r="BH231" s="447"/>
      <c r="BI231" s="447"/>
      <c r="BJ231" s="447"/>
      <c r="BK231" s="447"/>
      <c r="BL231" s="447"/>
      <c r="BM231" s="448"/>
      <c r="BN231" s="448"/>
    </row>
    <row r="232" spans="1:66" ht="11.25" customHeight="1">
      <c r="A232" s="469"/>
      <c r="B232" s="447"/>
      <c r="C232" s="447"/>
      <c r="D232" s="447"/>
      <c r="E232" s="447"/>
      <c r="F232" s="447"/>
      <c r="G232" s="447"/>
      <c r="H232" s="447"/>
      <c r="I232" s="447"/>
      <c r="J232" s="447"/>
      <c r="K232" s="447"/>
      <c r="L232" s="447"/>
      <c r="M232" s="447"/>
      <c r="N232" s="447"/>
      <c r="O232" s="447"/>
      <c r="P232" s="447"/>
      <c r="Q232" s="447"/>
      <c r="R232" s="447"/>
      <c r="S232" s="447"/>
      <c r="T232" s="447"/>
      <c r="U232" s="447"/>
      <c r="V232" s="447"/>
      <c r="W232" s="447"/>
      <c r="X232" s="447"/>
      <c r="Y232" s="447"/>
      <c r="Z232" s="447"/>
      <c r="AA232" s="447"/>
      <c r="AB232" s="447"/>
      <c r="AC232" s="447"/>
      <c r="AD232" s="447"/>
      <c r="AE232" s="447"/>
      <c r="AF232" s="448"/>
      <c r="AG232" s="448"/>
      <c r="AH232" s="448"/>
      <c r="AI232" s="447"/>
      <c r="AJ232" s="447"/>
      <c r="AK232" s="447"/>
      <c r="AL232" s="447"/>
      <c r="AM232" s="447"/>
      <c r="AN232" s="447"/>
      <c r="AO232" s="447"/>
      <c r="AP232" s="447"/>
      <c r="AQ232" s="447"/>
      <c r="AR232" s="447"/>
      <c r="AS232" s="447"/>
      <c r="AT232" s="447"/>
      <c r="AU232" s="447"/>
      <c r="AV232" s="447"/>
      <c r="AW232" s="447"/>
      <c r="AX232" s="447"/>
      <c r="AY232" s="447"/>
      <c r="AZ232" s="447"/>
      <c r="BA232" s="447"/>
      <c r="BB232" s="447"/>
      <c r="BC232" s="447"/>
      <c r="BD232" s="447"/>
      <c r="BE232" s="447"/>
      <c r="BF232" s="447"/>
      <c r="BG232" s="447"/>
      <c r="BH232" s="447"/>
      <c r="BI232" s="447"/>
      <c r="BJ232" s="447"/>
      <c r="BK232" s="447"/>
      <c r="BL232" s="447"/>
      <c r="BM232" s="448"/>
      <c r="BN232" s="448"/>
    </row>
    <row r="233" spans="1:66" ht="11.25" customHeight="1">
      <c r="A233" s="469"/>
      <c r="B233" s="447"/>
      <c r="C233" s="447"/>
      <c r="D233" s="447"/>
      <c r="E233" s="447"/>
      <c r="F233" s="447"/>
      <c r="G233" s="447"/>
      <c r="H233" s="447"/>
      <c r="I233" s="447"/>
      <c r="J233" s="447"/>
      <c r="K233" s="447"/>
      <c r="L233" s="447"/>
      <c r="M233" s="447"/>
      <c r="N233" s="447"/>
      <c r="O233" s="447"/>
      <c r="P233" s="447"/>
      <c r="Q233" s="447"/>
      <c r="R233" s="447"/>
      <c r="S233" s="447"/>
      <c r="T233" s="447"/>
      <c r="U233" s="447"/>
      <c r="V233" s="447"/>
      <c r="W233" s="447"/>
      <c r="X233" s="447"/>
      <c r="Y233" s="447"/>
      <c r="Z233" s="447"/>
      <c r="AA233" s="447"/>
      <c r="AB233" s="447"/>
      <c r="AC233" s="447"/>
      <c r="AD233" s="447"/>
      <c r="AE233" s="447"/>
      <c r="AF233" s="448"/>
      <c r="AG233" s="448"/>
      <c r="AH233" s="448"/>
      <c r="AI233" s="447"/>
      <c r="AJ233" s="447"/>
      <c r="AK233" s="447"/>
      <c r="AL233" s="447"/>
      <c r="AM233" s="447"/>
      <c r="AN233" s="447"/>
      <c r="AO233" s="447"/>
      <c r="AP233" s="447"/>
      <c r="AQ233" s="447"/>
      <c r="AR233" s="447"/>
      <c r="AS233" s="447"/>
      <c r="AT233" s="447"/>
      <c r="AU233" s="447"/>
      <c r="AV233" s="447"/>
      <c r="AW233" s="447"/>
      <c r="AX233" s="447"/>
      <c r="AY233" s="447"/>
      <c r="AZ233" s="447"/>
      <c r="BA233" s="447"/>
      <c r="BB233" s="447"/>
      <c r="BC233" s="447"/>
      <c r="BD233" s="447"/>
      <c r="BE233" s="447"/>
      <c r="BF233" s="447"/>
      <c r="BG233" s="447"/>
      <c r="BH233" s="447"/>
      <c r="BI233" s="447"/>
      <c r="BJ233" s="447"/>
      <c r="BK233" s="447"/>
      <c r="BL233" s="447"/>
      <c r="BM233" s="448"/>
      <c r="BN233" s="448"/>
    </row>
    <row r="234" spans="1:66" ht="11.25" customHeight="1">
      <c r="A234" s="469"/>
      <c r="B234" s="447"/>
      <c r="C234" s="447"/>
      <c r="D234" s="447"/>
      <c r="E234" s="447"/>
      <c r="F234" s="447"/>
      <c r="G234" s="447"/>
      <c r="H234" s="447"/>
      <c r="I234" s="447"/>
      <c r="J234" s="447"/>
      <c r="K234" s="447"/>
      <c r="L234" s="447"/>
      <c r="M234" s="447"/>
      <c r="N234" s="447"/>
      <c r="O234" s="447"/>
      <c r="P234" s="447"/>
      <c r="Q234" s="447"/>
      <c r="R234" s="447"/>
      <c r="S234" s="447"/>
      <c r="T234" s="447"/>
      <c r="U234" s="447"/>
      <c r="V234" s="447"/>
      <c r="W234" s="447"/>
      <c r="X234" s="447"/>
      <c r="Y234" s="447"/>
      <c r="Z234" s="447"/>
      <c r="AA234" s="447"/>
      <c r="AB234" s="447"/>
      <c r="AC234" s="447"/>
      <c r="AD234" s="447"/>
      <c r="AE234" s="447"/>
      <c r="AF234" s="448"/>
      <c r="AG234" s="448"/>
      <c r="AH234" s="448"/>
      <c r="AI234" s="447"/>
      <c r="AJ234" s="447"/>
      <c r="AK234" s="447"/>
      <c r="AL234" s="447"/>
      <c r="AM234" s="447"/>
      <c r="AN234" s="447"/>
      <c r="AO234" s="447"/>
      <c r="AP234" s="447"/>
      <c r="AQ234" s="447"/>
      <c r="AR234" s="447"/>
      <c r="AS234" s="447"/>
      <c r="AT234" s="447"/>
      <c r="AU234" s="447"/>
      <c r="AV234" s="447"/>
      <c r="AW234" s="447"/>
      <c r="AX234" s="447"/>
      <c r="AY234" s="447"/>
      <c r="AZ234" s="447"/>
      <c r="BA234" s="447"/>
      <c r="BB234" s="447"/>
      <c r="BC234" s="447"/>
      <c r="BD234" s="447"/>
      <c r="BE234" s="447"/>
      <c r="BF234" s="447"/>
      <c r="BG234" s="447"/>
      <c r="BH234" s="447"/>
      <c r="BI234" s="447"/>
      <c r="BJ234" s="447"/>
      <c r="BK234" s="447"/>
      <c r="BL234" s="447"/>
      <c r="BM234" s="448"/>
      <c r="BN234" s="448"/>
    </row>
    <row r="235" spans="1:66" ht="11.25" customHeight="1">
      <c r="A235" s="469"/>
      <c r="B235" s="447"/>
      <c r="C235" s="447"/>
      <c r="D235" s="447"/>
      <c r="E235" s="447"/>
      <c r="F235" s="447"/>
      <c r="G235" s="447"/>
      <c r="H235" s="447"/>
      <c r="I235" s="447"/>
      <c r="J235" s="447"/>
      <c r="K235" s="447"/>
      <c r="L235" s="447"/>
      <c r="M235" s="447"/>
      <c r="N235" s="447"/>
      <c r="O235" s="447"/>
      <c r="P235" s="447"/>
      <c r="Q235" s="447"/>
      <c r="R235" s="447"/>
      <c r="S235" s="447"/>
      <c r="T235" s="447"/>
      <c r="U235" s="447"/>
      <c r="V235" s="447"/>
      <c r="W235" s="447"/>
      <c r="X235" s="447"/>
      <c r="Y235" s="447"/>
      <c r="Z235" s="447"/>
      <c r="AA235" s="447"/>
      <c r="AB235" s="447"/>
      <c r="AC235" s="447"/>
      <c r="AD235" s="447"/>
      <c r="AE235" s="447"/>
      <c r="AF235" s="448"/>
      <c r="AG235" s="448"/>
      <c r="AH235" s="448"/>
      <c r="AI235" s="447"/>
      <c r="AJ235" s="447"/>
      <c r="AK235" s="447"/>
      <c r="AL235" s="447"/>
      <c r="AM235" s="447"/>
      <c r="AN235" s="447"/>
      <c r="AO235" s="447"/>
      <c r="AP235" s="447"/>
      <c r="AQ235" s="447"/>
      <c r="AR235" s="447"/>
      <c r="AS235" s="447"/>
      <c r="AT235" s="447"/>
      <c r="AU235" s="447"/>
      <c r="AV235" s="447"/>
      <c r="AW235" s="447"/>
      <c r="AX235" s="447"/>
      <c r="AY235" s="447"/>
      <c r="AZ235" s="447"/>
      <c r="BA235" s="447"/>
      <c r="BB235" s="447"/>
      <c r="BC235" s="447"/>
      <c r="BD235" s="447"/>
      <c r="BE235" s="447"/>
      <c r="BF235" s="447"/>
      <c r="BG235" s="447"/>
      <c r="BH235" s="447"/>
      <c r="BI235" s="447"/>
      <c r="BJ235" s="447"/>
      <c r="BK235" s="447"/>
      <c r="BL235" s="447"/>
      <c r="BM235" s="448"/>
      <c r="BN235" s="448"/>
    </row>
    <row r="236" spans="1:66" ht="11.25" customHeight="1">
      <c r="A236" s="469"/>
      <c r="B236" s="447"/>
      <c r="C236" s="447"/>
      <c r="D236" s="447"/>
      <c r="E236" s="447"/>
      <c r="F236" s="447"/>
      <c r="G236" s="447"/>
      <c r="H236" s="447"/>
      <c r="I236" s="447"/>
      <c r="J236" s="447"/>
      <c r="K236" s="447"/>
      <c r="L236" s="447"/>
      <c r="M236" s="447"/>
      <c r="N236" s="447"/>
      <c r="O236" s="447"/>
      <c r="P236" s="447"/>
      <c r="Q236" s="447"/>
      <c r="R236" s="447"/>
      <c r="S236" s="447"/>
      <c r="T236" s="447"/>
      <c r="U236" s="447"/>
      <c r="V236" s="447"/>
      <c r="W236" s="447"/>
      <c r="X236" s="447"/>
      <c r="Y236" s="447"/>
      <c r="Z236" s="447"/>
      <c r="AA236" s="447"/>
      <c r="AB236" s="447"/>
      <c r="AC236" s="447"/>
      <c r="AD236" s="447"/>
      <c r="AE236" s="447"/>
      <c r="AF236" s="448"/>
      <c r="AG236" s="448"/>
      <c r="AH236" s="448"/>
      <c r="AI236" s="447"/>
      <c r="AJ236" s="447"/>
      <c r="AK236" s="447"/>
      <c r="AL236" s="447"/>
      <c r="AM236" s="447"/>
      <c r="AN236" s="447"/>
      <c r="AO236" s="447"/>
      <c r="AP236" s="447"/>
      <c r="AQ236" s="447"/>
      <c r="AR236" s="447"/>
      <c r="AS236" s="447"/>
      <c r="AT236" s="447"/>
      <c r="AU236" s="447"/>
      <c r="AV236" s="447"/>
      <c r="AW236" s="447"/>
      <c r="AX236" s="447"/>
      <c r="AY236" s="447"/>
      <c r="AZ236" s="447"/>
      <c r="BA236" s="447"/>
      <c r="BB236" s="447"/>
      <c r="BC236" s="447"/>
      <c r="BD236" s="447"/>
      <c r="BE236" s="447"/>
      <c r="BF236" s="447"/>
      <c r="BG236" s="447"/>
      <c r="BH236" s="447"/>
      <c r="BI236" s="447"/>
      <c r="BJ236" s="447"/>
      <c r="BK236" s="447"/>
      <c r="BL236" s="447"/>
      <c r="BM236" s="448"/>
      <c r="BN236" s="448"/>
    </row>
    <row r="237" spans="1:66" ht="11.25" customHeight="1">
      <c r="A237" s="469"/>
      <c r="B237" s="447"/>
      <c r="C237" s="447"/>
      <c r="D237" s="447"/>
      <c r="E237" s="447"/>
      <c r="F237" s="447"/>
      <c r="G237" s="447"/>
      <c r="H237" s="447"/>
      <c r="I237" s="447"/>
      <c r="J237" s="447"/>
      <c r="K237" s="447"/>
      <c r="L237" s="447"/>
      <c r="M237" s="447"/>
      <c r="N237" s="447"/>
      <c r="O237" s="447"/>
      <c r="P237" s="447"/>
      <c r="Q237" s="447"/>
      <c r="R237" s="447"/>
      <c r="S237" s="447"/>
      <c r="T237" s="447"/>
      <c r="U237" s="447"/>
      <c r="V237" s="447"/>
      <c r="W237" s="447"/>
      <c r="X237" s="447"/>
      <c r="Y237" s="447"/>
      <c r="Z237" s="447"/>
      <c r="AA237" s="447"/>
      <c r="AB237" s="447"/>
      <c r="AC237" s="447"/>
      <c r="AD237" s="447"/>
      <c r="AE237" s="447"/>
      <c r="AF237" s="448"/>
      <c r="AG237" s="448"/>
      <c r="AH237" s="448"/>
      <c r="AI237" s="447"/>
      <c r="AJ237" s="447"/>
      <c r="AK237" s="447"/>
      <c r="AL237" s="447"/>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I237" s="447"/>
      <c r="BJ237" s="447"/>
      <c r="BK237" s="447"/>
      <c r="BL237" s="447"/>
      <c r="BM237" s="448"/>
      <c r="BN237" s="448"/>
    </row>
    <row r="238" spans="1:66" ht="11.25" customHeight="1">
      <c r="A238" s="469"/>
      <c r="B238" s="447"/>
      <c r="C238" s="447"/>
      <c r="D238" s="447"/>
      <c r="E238" s="447"/>
      <c r="F238" s="447"/>
      <c r="G238" s="447"/>
      <c r="H238" s="447"/>
      <c r="I238" s="447"/>
      <c r="J238" s="447"/>
      <c r="K238" s="447"/>
      <c r="L238" s="447"/>
      <c r="M238" s="447"/>
      <c r="N238" s="447"/>
      <c r="O238" s="447"/>
      <c r="P238" s="447"/>
      <c r="Q238" s="447"/>
      <c r="R238" s="447"/>
      <c r="S238" s="447"/>
      <c r="T238" s="447"/>
      <c r="U238" s="447"/>
      <c r="V238" s="447"/>
      <c r="W238" s="447"/>
      <c r="X238" s="447"/>
      <c r="Y238" s="447"/>
      <c r="Z238" s="447"/>
      <c r="AA238" s="447"/>
      <c r="AB238" s="447"/>
      <c r="AC238" s="447"/>
      <c r="AD238" s="447"/>
      <c r="AE238" s="447"/>
      <c r="AF238" s="448"/>
      <c r="AG238" s="448"/>
      <c r="AH238" s="448"/>
      <c r="AI238" s="447"/>
      <c r="AJ238" s="447"/>
      <c r="AK238" s="447"/>
      <c r="AL238" s="447"/>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c r="BJ238" s="447"/>
      <c r="BK238" s="447"/>
      <c r="BL238" s="447"/>
      <c r="BM238" s="448"/>
      <c r="BN238" s="448"/>
    </row>
    <row r="239" spans="1:66" ht="11.25" customHeight="1">
      <c r="A239" s="469"/>
      <c r="B239" s="447"/>
      <c r="C239" s="447"/>
      <c r="D239" s="447"/>
      <c r="E239" s="447"/>
      <c r="F239" s="447"/>
      <c r="G239" s="447"/>
      <c r="H239" s="447"/>
      <c r="I239" s="447"/>
      <c r="J239" s="447"/>
      <c r="K239" s="447"/>
      <c r="L239" s="447"/>
      <c r="M239" s="447"/>
      <c r="N239" s="447"/>
      <c r="O239" s="447"/>
      <c r="P239" s="447"/>
      <c r="Q239" s="447"/>
      <c r="R239" s="447"/>
      <c r="S239" s="447"/>
      <c r="T239" s="447"/>
      <c r="U239" s="447"/>
      <c r="V239" s="447"/>
      <c r="W239" s="447"/>
      <c r="X239" s="447"/>
      <c r="Y239" s="447"/>
      <c r="Z239" s="447"/>
      <c r="AA239" s="447"/>
      <c r="AB239" s="447"/>
      <c r="AC239" s="447"/>
      <c r="AD239" s="447"/>
      <c r="AE239" s="447"/>
      <c r="AF239" s="448"/>
      <c r="AG239" s="448"/>
      <c r="AH239" s="448"/>
      <c r="AI239" s="447"/>
      <c r="AJ239" s="447"/>
      <c r="AK239" s="447"/>
      <c r="AL239" s="447"/>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I239" s="447"/>
      <c r="BJ239" s="447"/>
      <c r="BK239" s="447"/>
      <c r="BL239" s="447"/>
      <c r="BM239" s="448"/>
      <c r="BN239" s="448"/>
    </row>
    <row r="240" spans="1:66" ht="11.25" customHeight="1">
      <c r="A240" s="469"/>
      <c r="B240" s="447"/>
      <c r="C240" s="447"/>
      <c r="D240" s="447"/>
      <c r="E240" s="447"/>
      <c r="F240" s="447"/>
      <c r="G240" s="447"/>
      <c r="H240" s="447"/>
      <c r="I240" s="447"/>
      <c r="J240" s="447"/>
      <c r="K240" s="447"/>
      <c r="L240" s="447"/>
      <c r="M240" s="447"/>
      <c r="N240" s="447"/>
      <c r="O240" s="447"/>
      <c r="P240" s="447"/>
      <c r="Q240" s="447"/>
      <c r="R240" s="447"/>
      <c r="S240" s="447"/>
      <c r="T240" s="447"/>
      <c r="U240" s="447"/>
      <c r="V240" s="447"/>
      <c r="W240" s="447"/>
      <c r="X240" s="447"/>
      <c r="Y240" s="447"/>
      <c r="Z240" s="447"/>
      <c r="AA240" s="447"/>
      <c r="AB240" s="447"/>
      <c r="AC240" s="447"/>
      <c r="AD240" s="447"/>
      <c r="AE240" s="447"/>
      <c r="AF240" s="448"/>
      <c r="AG240" s="448"/>
      <c r="AH240" s="448"/>
      <c r="AI240" s="447"/>
      <c r="AJ240" s="447"/>
      <c r="AK240" s="447"/>
      <c r="AL240" s="447"/>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I240" s="447"/>
      <c r="BJ240" s="447"/>
      <c r="BK240" s="447"/>
      <c r="BL240" s="447"/>
      <c r="BM240" s="448"/>
      <c r="BN240" s="448"/>
    </row>
    <row r="241" spans="1:66" ht="11.25" customHeight="1">
      <c r="A241" s="469"/>
      <c r="B241" s="447"/>
      <c r="C241" s="447"/>
      <c r="D241" s="447"/>
      <c r="E241" s="447"/>
      <c r="F241" s="447"/>
      <c r="G241" s="447"/>
      <c r="H241" s="447"/>
      <c r="I241" s="447"/>
      <c r="J241" s="447"/>
      <c r="K241" s="447"/>
      <c r="L241" s="447"/>
      <c r="M241" s="447"/>
      <c r="N241" s="447"/>
      <c r="O241" s="447"/>
      <c r="P241" s="447"/>
      <c r="Q241" s="447"/>
      <c r="R241" s="447"/>
      <c r="S241" s="447"/>
      <c r="T241" s="447"/>
      <c r="U241" s="447"/>
      <c r="V241" s="447"/>
      <c r="W241" s="447"/>
      <c r="X241" s="447"/>
      <c r="Y241" s="447"/>
      <c r="Z241" s="447"/>
      <c r="AA241" s="447"/>
      <c r="AB241" s="447"/>
      <c r="AC241" s="447"/>
      <c r="AD241" s="447"/>
      <c r="AE241" s="447"/>
      <c r="AF241" s="448"/>
      <c r="AG241" s="448"/>
      <c r="AH241" s="448"/>
      <c r="AI241" s="447"/>
      <c r="AJ241" s="447"/>
      <c r="AK241" s="447"/>
      <c r="AL241" s="447"/>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I241" s="447"/>
      <c r="BJ241" s="447"/>
      <c r="BK241" s="447"/>
      <c r="BL241" s="447"/>
      <c r="BM241" s="448"/>
      <c r="BN241" s="448"/>
    </row>
    <row r="242" spans="1:66" ht="11.25" customHeight="1">
      <c r="A242" s="469"/>
      <c r="B242" s="447"/>
      <c r="C242" s="447"/>
      <c r="D242" s="447"/>
      <c r="E242" s="447"/>
      <c r="F242" s="447"/>
      <c r="G242" s="447"/>
      <c r="H242" s="447"/>
      <c r="I242" s="447"/>
      <c r="J242" s="447"/>
      <c r="K242" s="447"/>
      <c r="L242" s="447"/>
      <c r="M242" s="447"/>
      <c r="N242" s="447"/>
      <c r="O242" s="447"/>
      <c r="P242" s="447"/>
      <c r="Q242" s="447"/>
      <c r="R242" s="447"/>
      <c r="S242" s="447"/>
      <c r="T242" s="447"/>
      <c r="U242" s="447"/>
      <c r="V242" s="447"/>
      <c r="W242" s="447"/>
      <c r="X242" s="447"/>
      <c r="Y242" s="447"/>
      <c r="Z242" s="447"/>
      <c r="AA242" s="447"/>
      <c r="AB242" s="447"/>
      <c r="AC242" s="447"/>
      <c r="AD242" s="447"/>
      <c r="AE242" s="447"/>
      <c r="AF242" s="448"/>
      <c r="AG242" s="448"/>
      <c r="AH242" s="448"/>
      <c r="AI242" s="447"/>
      <c r="AJ242" s="447"/>
      <c r="AK242" s="447"/>
      <c r="AL242" s="447"/>
      <c r="AM242" s="447"/>
      <c r="AN242" s="447"/>
      <c r="AO242" s="447"/>
      <c r="AP242" s="447"/>
      <c r="AQ242" s="447"/>
      <c r="AR242" s="447"/>
      <c r="AS242" s="447"/>
      <c r="AT242" s="447"/>
      <c r="AU242" s="447"/>
      <c r="AV242" s="447"/>
      <c r="AW242" s="447"/>
      <c r="AX242" s="447"/>
      <c r="AY242" s="447"/>
      <c r="AZ242" s="447"/>
      <c r="BA242" s="447"/>
      <c r="BB242" s="447"/>
      <c r="BC242" s="447"/>
      <c r="BD242" s="447"/>
      <c r="BE242" s="447"/>
      <c r="BF242" s="447"/>
      <c r="BG242" s="447"/>
      <c r="BH242" s="447"/>
      <c r="BI242" s="447"/>
      <c r="BJ242" s="447"/>
      <c r="BK242" s="447"/>
      <c r="BL242" s="447"/>
      <c r="BM242" s="448"/>
      <c r="BN242" s="448"/>
    </row>
    <row r="243" spans="1:66" ht="11.25" customHeight="1">
      <c r="A243" s="469"/>
      <c r="B243" s="447"/>
      <c r="C243" s="447"/>
      <c r="D243" s="447"/>
      <c r="E243" s="447"/>
      <c r="F243" s="447"/>
      <c r="G243" s="447"/>
      <c r="H243" s="447"/>
      <c r="I243" s="447"/>
      <c r="J243" s="447"/>
      <c r="K243" s="447"/>
      <c r="L243" s="447"/>
      <c r="M243" s="447"/>
      <c r="N243" s="447"/>
      <c r="O243" s="447"/>
      <c r="P243" s="447"/>
      <c r="Q243" s="447"/>
      <c r="R243" s="447"/>
      <c r="S243" s="447"/>
      <c r="T243" s="447"/>
      <c r="U243" s="447"/>
      <c r="V243" s="447"/>
      <c r="W243" s="447"/>
      <c r="X243" s="447"/>
      <c r="Y243" s="447"/>
      <c r="Z243" s="447"/>
      <c r="AA243" s="447"/>
      <c r="AB243" s="447"/>
      <c r="AC243" s="447"/>
      <c r="AD243" s="447"/>
      <c r="AE243" s="447"/>
      <c r="AF243" s="448"/>
      <c r="AG243" s="448"/>
      <c r="AH243" s="448"/>
      <c r="AI243" s="447"/>
      <c r="AJ243" s="447"/>
      <c r="AK243" s="447"/>
      <c r="AL243" s="447"/>
      <c r="AM243" s="447"/>
      <c r="AN243" s="447"/>
      <c r="AO243" s="447"/>
      <c r="AP243" s="447"/>
      <c r="AQ243" s="447"/>
      <c r="AR243" s="447"/>
      <c r="AS243" s="447"/>
      <c r="AT243" s="447"/>
      <c r="AU243" s="447"/>
      <c r="AV243" s="447"/>
      <c r="AW243" s="447"/>
      <c r="AX243" s="447"/>
      <c r="AY243" s="447"/>
      <c r="AZ243" s="447"/>
      <c r="BA243" s="447"/>
      <c r="BB243" s="447"/>
      <c r="BC243" s="447"/>
      <c r="BD243" s="447"/>
      <c r="BE243" s="447"/>
      <c r="BF243" s="447"/>
      <c r="BG243" s="447"/>
      <c r="BH243" s="447"/>
      <c r="BI243" s="447"/>
      <c r="BJ243" s="447"/>
      <c r="BK243" s="447"/>
      <c r="BL243" s="447"/>
      <c r="BM243" s="448"/>
      <c r="BN243" s="448"/>
    </row>
    <row r="244" spans="1:66" ht="11.25" customHeight="1">
      <c r="A244" s="469"/>
      <c r="B244" s="447"/>
      <c r="C244" s="447"/>
      <c r="D244" s="447"/>
      <c r="E244" s="447"/>
      <c r="F244" s="447"/>
      <c r="G244" s="447"/>
      <c r="H244" s="447"/>
      <c r="I244" s="447"/>
      <c r="J244" s="447"/>
      <c r="K244" s="447"/>
      <c r="L244" s="447"/>
      <c r="M244" s="447"/>
      <c r="N244" s="447"/>
      <c r="O244" s="447"/>
      <c r="P244" s="447"/>
      <c r="Q244" s="447"/>
      <c r="R244" s="447"/>
      <c r="S244" s="447"/>
      <c r="T244" s="447"/>
      <c r="U244" s="447"/>
      <c r="V244" s="447"/>
      <c r="W244" s="447"/>
      <c r="X244" s="447"/>
      <c r="Y244" s="447"/>
      <c r="Z244" s="447"/>
      <c r="AA244" s="447"/>
      <c r="AB244" s="447"/>
      <c r="AC244" s="447"/>
      <c r="AD244" s="447"/>
      <c r="AE244" s="447"/>
      <c r="AF244" s="448"/>
      <c r="AG244" s="448"/>
      <c r="AH244" s="448"/>
      <c r="AI244" s="447"/>
      <c r="AJ244" s="447"/>
      <c r="AK244" s="447"/>
      <c r="AL244" s="447"/>
      <c r="AM244" s="447"/>
      <c r="AN244" s="447"/>
      <c r="AO244" s="447"/>
      <c r="AP244" s="447"/>
      <c r="AQ244" s="447"/>
      <c r="AR244" s="447"/>
      <c r="AS244" s="447"/>
      <c r="AT244" s="447"/>
      <c r="AU244" s="447"/>
      <c r="AV244" s="447"/>
      <c r="AW244" s="447"/>
      <c r="AX244" s="447"/>
      <c r="AY244" s="447"/>
      <c r="AZ244" s="447"/>
      <c r="BA244" s="447"/>
      <c r="BB244" s="447"/>
      <c r="BC244" s="447"/>
      <c r="BD244" s="447"/>
      <c r="BE244" s="447"/>
      <c r="BF244" s="447"/>
      <c r="BG244" s="447"/>
      <c r="BH244" s="447"/>
      <c r="BI244" s="447"/>
      <c r="BJ244" s="447"/>
      <c r="BK244" s="447"/>
      <c r="BL244" s="447"/>
      <c r="BM244" s="448"/>
      <c r="BN244" s="448"/>
    </row>
    <row r="245" spans="1:66" ht="11.25" customHeight="1">
      <c r="A245" s="469"/>
      <c r="B245" s="447"/>
      <c r="C245" s="447"/>
      <c r="D245" s="447"/>
      <c r="E245" s="447"/>
      <c r="F245" s="447"/>
      <c r="G245" s="447"/>
      <c r="H245" s="447"/>
      <c r="I245" s="447"/>
      <c r="J245" s="447"/>
      <c r="K245" s="447"/>
      <c r="L245" s="447"/>
      <c r="M245" s="447"/>
      <c r="N245" s="447"/>
      <c r="O245" s="447"/>
      <c r="P245" s="447"/>
      <c r="Q245" s="447"/>
      <c r="R245" s="447"/>
      <c r="S245" s="447"/>
      <c r="T245" s="447"/>
      <c r="U245" s="447"/>
      <c r="V245" s="447"/>
      <c r="W245" s="447"/>
      <c r="X245" s="447"/>
      <c r="Y245" s="447"/>
      <c r="Z245" s="447"/>
      <c r="AA245" s="447"/>
      <c r="AB245" s="447"/>
      <c r="AC245" s="447"/>
      <c r="AD245" s="447"/>
      <c r="AE245" s="447"/>
      <c r="AF245" s="448"/>
      <c r="AG245" s="448"/>
      <c r="AH245" s="448"/>
      <c r="AI245" s="447"/>
      <c r="AJ245" s="447"/>
      <c r="AK245" s="447"/>
      <c r="AL245" s="447"/>
      <c r="AM245" s="447"/>
      <c r="AN245" s="447"/>
      <c r="AO245" s="447"/>
      <c r="AP245" s="447"/>
      <c r="AQ245" s="447"/>
      <c r="AR245" s="447"/>
      <c r="AS245" s="447"/>
      <c r="AT245" s="447"/>
      <c r="AU245" s="447"/>
      <c r="AV245" s="447"/>
      <c r="AW245" s="447"/>
      <c r="AX245" s="447"/>
      <c r="AY245" s="447"/>
      <c r="AZ245" s="447"/>
      <c r="BA245" s="447"/>
      <c r="BB245" s="447"/>
      <c r="BC245" s="447"/>
      <c r="BD245" s="447"/>
      <c r="BE245" s="447"/>
      <c r="BF245" s="447"/>
      <c r="BG245" s="447"/>
      <c r="BH245" s="447"/>
      <c r="BI245" s="447"/>
      <c r="BJ245" s="447"/>
      <c r="BK245" s="447"/>
      <c r="BL245" s="447"/>
      <c r="BM245" s="448"/>
      <c r="BN245" s="448"/>
    </row>
    <row r="246" spans="1:66" ht="11.25" customHeight="1">
      <c r="A246" s="469"/>
      <c r="B246" s="447"/>
      <c r="C246" s="447"/>
      <c r="D246" s="447"/>
      <c r="E246" s="447"/>
      <c r="F246" s="447"/>
      <c r="G246" s="447"/>
      <c r="H246" s="447"/>
      <c r="I246" s="447"/>
      <c r="J246" s="447"/>
      <c r="K246" s="447"/>
      <c r="L246" s="447"/>
      <c r="M246" s="447"/>
      <c r="N246" s="447"/>
      <c r="O246" s="447"/>
      <c r="P246" s="447"/>
      <c r="Q246" s="447"/>
      <c r="R246" s="447"/>
      <c r="S246" s="447"/>
      <c r="T246" s="447"/>
      <c r="U246" s="447"/>
      <c r="V246" s="447"/>
      <c r="W246" s="447"/>
      <c r="X246" s="447"/>
      <c r="Y246" s="447"/>
      <c r="Z246" s="447"/>
      <c r="AA246" s="447"/>
      <c r="AB246" s="447"/>
      <c r="AC246" s="447"/>
      <c r="AD246" s="447"/>
      <c r="AE246" s="447"/>
      <c r="AF246" s="448"/>
      <c r="AG246" s="448"/>
      <c r="AH246" s="448"/>
      <c r="AI246" s="447"/>
      <c r="AJ246" s="447"/>
      <c r="AK246" s="447"/>
      <c r="AL246" s="447"/>
      <c r="AM246" s="447"/>
      <c r="AN246" s="447"/>
      <c r="AO246" s="447"/>
      <c r="AP246" s="447"/>
      <c r="AQ246" s="447"/>
      <c r="AR246" s="447"/>
      <c r="AS246" s="447"/>
      <c r="AT246" s="447"/>
      <c r="AU246" s="447"/>
      <c r="AV246" s="447"/>
      <c r="AW246" s="447"/>
      <c r="AX246" s="447"/>
      <c r="AY246" s="447"/>
      <c r="AZ246" s="447"/>
      <c r="BA246" s="447"/>
      <c r="BB246" s="447"/>
      <c r="BC246" s="447"/>
      <c r="BD246" s="447"/>
      <c r="BE246" s="447"/>
      <c r="BF246" s="447"/>
      <c r="BG246" s="447"/>
      <c r="BH246" s="447"/>
      <c r="BI246" s="447"/>
      <c r="BJ246" s="447"/>
      <c r="BK246" s="447"/>
      <c r="BL246" s="447"/>
      <c r="BM246" s="448"/>
      <c r="BN246" s="448"/>
    </row>
    <row r="247" spans="1:66" ht="11.25" customHeight="1">
      <c r="A247" s="469"/>
      <c r="B247" s="447"/>
      <c r="C247" s="447"/>
      <c r="D247" s="447"/>
      <c r="E247" s="447"/>
      <c r="F247" s="447"/>
      <c r="G247" s="447"/>
      <c r="H247" s="447"/>
      <c r="I247" s="447"/>
      <c r="J247" s="447"/>
      <c r="K247" s="447"/>
      <c r="L247" s="447"/>
      <c r="M247" s="447"/>
      <c r="N247" s="447"/>
      <c r="O247" s="447"/>
      <c r="P247" s="447"/>
      <c r="Q247" s="447"/>
      <c r="R247" s="447"/>
      <c r="S247" s="447"/>
      <c r="T247" s="447"/>
      <c r="U247" s="447"/>
      <c r="V247" s="447"/>
      <c r="W247" s="447"/>
      <c r="X247" s="447"/>
      <c r="Y247" s="447"/>
      <c r="Z247" s="447"/>
      <c r="AA247" s="447"/>
      <c r="AB247" s="447"/>
      <c r="AC247" s="447"/>
      <c r="AD247" s="447"/>
      <c r="AE247" s="447"/>
      <c r="AF247" s="448"/>
      <c r="AG247" s="448"/>
      <c r="AH247" s="448"/>
      <c r="AI247" s="447"/>
      <c r="AJ247" s="447"/>
      <c r="AK247" s="447"/>
      <c r="AL247" s="447"/>
      <c r="AM247" s="447"/>
      <c r="AN247" s="447"/>
      <c r="AO247" s="447"/>
      <c r="AP247" s="447"/>
      <c r="AQ247" s="447"/>
      <c r="AR247" s="447"/>
      <c r="AS247" s="447"/>
      <c r="AT247" s="447"/>
      <c r="AU247" s="447"/>
      <c r="AV247" s="447"/>
      <c r="AW247" s="447"/>
      <c r="AX247" s="447"/>
      <c r="AY247" s="447"/>
      <c r="AZ247" s="447"/>
      <c r="BA247" s="447"/>
      <c r="BB247" s="447"/>
      <c r="BC247" s="447"/>
      <c r="BD247" s="447"/>
      <c r="BE247" s="447"/>
      <c r="BF247" s="447"/>
      <c r="BG247" s="447"/>
      <c r="BH247" s="447"/>
      <c r="BI247" s="447"/>
      <c r="BJ247" s="447"/>
      <c r="BK247" s="447"/>
      <c r="BL247" s="447"/>
      <c r="BM247" s="448"/>
      <c r="BN247" s="448"/>
    </row>
    <row r="248" spans="1:66" ht="11.25" customHeight="1">
      <c r="A248" s="469"/>
      <c r="B248" s="447"/>
      <c r="C248" s="447"/>
      <c r="D248" s="447"/>
      <c r="E248" s="447"/>
      <c r="F248" s="447"/>
      <c r="G248" s="447"/>
      <c r="H248" s="447"/>
      <c r="I248" s="447"/>
      <c r="J248" s="447"/>
      <c r="K248" s="447"/>
      <c r="L248" s="447"/>
      <c r="M248" s="447"/>
      <c r="N248" s="447"/>
      <c r="O248" s="447"/>
      <c r="P248" s="447"/>
      <c r="Q248" s="447"/>
      <c r="R248" s="447"/>
      <c r="S248" s="447"/>
      <c r="T248" s="447"/>
      <c r="U248" s="447"/>
      <c r="V248" s="447"/>
      <c r="W248" s="447"/>
      <c r="X248" s="447"/>
      <c r="Y248" s="447"/>
      <c r="Z248" s="447"/>
      <c r="AA248" s="447"/>
      <c r="AB248" s="447"/>
      <c r="AC248" s="447"/>
      <c r="AD248" s="447"/>
      <c r="AE248" s="447"/>
      <c r="AF248" s="448"/>
      <c r="AG248" s="448"/>
      <c r="AH248" s="448"/>
      <c r="AI248" s="447"/>
      <c r="AJ248" s="447"/>
      <c r="AK248" s="447"/>
      <c r="AL248" s="447"/>
      <c r="AM248" s="447"/>
      <c r="AN248" s="447"/>
      <c r="AO248" s="447"/>
      <c r="AP248" s="447"/>
      <c r="AQ248" s="447"/>
      <c r="AR248" s="447"/>
      <c r="AS248" s="447"/>
      <c r="AT248" s="447"/>
      <c r="AU248" s="447"/>
      <c r="AV248" s="447"/>
      <c r="AW248" s="447"/>
      <c r="AX248" s="447"/>
      <c r="AY248" s="447"/>
      <c r="AZ248" s="447"/>
      <c r="BA248" s="447"/>
      <c r="BB248" s="447"/>
      <c r="BC248" s="447"/>
      <c r="BD248" s="447"/>
      <c r="BE248" s="447"/>
      <c r="BF248" s="447"/>
      <c r="BG248" s="447"/>
      <c r="BH248" s="447"/>
      <c r="BI248" s="447"/>
      <c r="BJ248" s="447"/>
      <c r="BK248" s="447"/>
      <c r="BL248" s="447"/>
      <c r="BM248" s="448"/>
      <c r="BN248" s="448"/>
    </row>
    <row r="249" spans="1:66" ht="11.25" customHeight="1">
      <c r="A249" s="469"/>
      <c r="B249" s="447"/>
      <c r="C249" s="447"/>
      <c r="D249" s="447"/>
      <c r="E249" s="447"/>
      <c r="F249" s="447"/>
      <c r="G249" s="447"/>
      <c r="H249" s="447"/>
      <c r="I249" s="447"/>
      <c r="J249" s="447"/>
      <c r="K249" s="447"/>
      <c r="L249" s="447"/>
      <c r="M249" s="447"/>
      <c r="N249" s="447"/>
      <c r="O249" s="447"/>
      <c r="P249" s="447"/>
      <c r="Q249" s="447"/>
      <c r="R249" s="447"/>
      <c r="S249" s="447"/>
      <c r="T249" s="447"/>
      <c r="U249" s="447"/>
      <c r="V249" s="447"/>
      <c r="W249" s="447"/>
      <c r="X249" s="447"/>
      <c r="Y249" s="447"/>
      <c r="Z249" s="447"/>
      <c r="AA249" s="447"/>
      <c r="AB249" s="447"/>
      <c r="AC249" s="447"/>
      <c r="AD249" s="447"/>
      <c r="AE249" s="447"/>
      <c r="AF249" s="448"/>
      <c r="AG249" s="448"/>
      <c r="AH249" s="448"/>
      <c r="AI249" s="447"/>
      <c r="AJ249" s="447"/>
      <c r="AK249" s="447"/>
      <c r="AL249" s="447"/>
      <c r="AM249" s="447"/>
      <c r="AN249" s="447"/>
      <c r="AO249" s="447"/>
      <c r="AP249" s="447"/>
      <c r="AQ249" s="447"/>
      <c r="AR249" s="447"/>
      <c r="AS249" s="447"/>
      <c r="AT249" s="447"/>
      <c r="AU249" s="447"/>
      <c r="AV249" s="447"/>
      <c r="AW249" s="447"/>
      <c r="AX249" s="447"/>
      <c r="AY249" s="447"/>
      <c r="AZ249" s="447"/>
      <c r="BA249" s="447"/>
      <c r="BB249" s="447"/>
      <c r="BC249" s="447"/>
      <c r="BD249" s="447"/>
      <c r="BE249" s="447"/>
      <c r="BF249" s="447"/>
      <c r="BG249" s="447"/>
      <c r="BH249" s="447"/>
      <c r="BI249" s="447"/>
      <c r="BJ249" s="447"/>
      <c r="BK249" s="447"/>
      <c r="BL249" s="447"/>
      <c r="BM249" s="448"/>
      <c r="BN249" s="448"/>
    </row>
    <row r="250" spans="1:66" ht="11.25" customHeight="1">
      <c r="A250" s="469"/>
      <c r="B250" s="447"/>
      <c r="C250" s="447"/>
      <c r="D250" s="447"/>
      <c r="E250" s="447"/>
      <c r="F250" s="447"/>
      <c r="G250" s="447"/>
      <c r="H250" s="447"/>
      <c r="I250" s="447"/>
      <c r="J250" s="447"/>
      <c r="K250" s="447"/>
      <c r="L250" s="447"/>
      <c r="M250" s="447"/>
      <c r="N250" s="447"/>
      <c r="O250" s="447"/>
      <c r="P250" s="447"/>
      <c r="Q250" s="447"/>
      <c r="R250" s="447"/>
      <c r="S250" s="447"/>
      <c r="T250" s="447"/>
      <c r="U250" s="447"/>
      <c r="V250" s="447"/>
      <c r="W250" s="447"/>
      <c r="X250" s="447"/>
      <c r="Y250" s="447"/>
      <c r="Z250" s="447"/>
      <c r="AA250" s="447"/>
      <c r="AB250" s="447"/>
      <c r="AC250" s="447"/>
      <c r="AD250" s="447"/>
      <c r="AE250" s="447"/>
      <c r="AF250" s="448"/>
      <c r="AG250" s="448"/>
      <c r="AH250" s="448"/>
      <c r="AI250" s="447"/>
      <c r="AJ250" s="447"/>
      <c r="AK250" s="447"/>
      <c r="AL250" s="447"/>
      <c r="AM250" s="447"/>
      <c r="AN250" s="447"/>
      <c r="AO250" s="447"/>
      <c r="AP250" s="447"/>
      <c r="AQ250" s="447"/>
      <c r="AR250" s="447"/>
      <c r="AS250" s="447"/>
      <c r="AT250" s="447"/>
      <c r="AU250" s="447"/>
      <c r="AV250" s="447"/>
      <c r="AW250" s="447"/>
      <c r="AX250" s="447"/>
      <c r="AY250" s="447"/>
      <c r="AZ250" s="447"/>
      <c r="BA250" s="447"/>
      <c r="BB250" s="447"/>
      <c r="BC250" s="447"/>
      <c r="BD250" s="447"/>
      <c r="BE250" s="447"/>
      <c r="BF250" s="447"/>
      <c r="BG250" s="447"/>
      <c r="BH250" s="447"/>
      <c r="BI250" s="447"/>
      <c r="BJ250" s="447"/>
      <c r="BK250" s="447"/>
      <c r="BL250" s="447"/>
      <c r="BM250" s="448"/>
      <c r="BN250" s="448"/>
    </row>
    <row r="251" spans="1:66" ht="11.25" customHeight="1">
      <c r="A251" s="469"/>
      <c r="B251" s="447"/>
      <c r="C251" s="447"/>
      <c r="D251" s="447"/>
      <c r="E251" s="447"/>
      <c r="F251" s="447"/>
      <c r="G251" s="447"/>
      <c r="H251" s="447"/>
      <c r="I251" s="447"/>
      <c r="J251" s="447"/>
      <c r="K251" s="447"/>
      <c r="L251" s="447"/>
      <c r="M251" s="447"/>
      <c r="N251" s="447"/>
      <c r="O251" s="447"/>
      <c r="P251" s="447"/>
      <c r="Q251" s="447"/>
      <c r="R251" s="447"/>
      <c r="S251" s="447"/>
      <c r="T251" s="447"/>
      <c r="U251" s="447"/>
      <c r="V251" s="447"/>
      <c r="W251" s="447"/>
      <c r="X251" s="447"/>
      <c r="Y251" s="447"/>
      <c r="Z251" s="447"/>
      <c r="AA251" s="447"/>
      <c r="AB251" s="447"/>
      <c r="AC251" s="447"/>
      <c r="AD251" s="447"/>
      <c r="AE251" s="447"/>
      <c r="AF251" s="448"/>
      <c r="AG251" s="448"/>
      <c r="AH251" s="448"/>
      <c r="AI251" s="447"/>
      <c r="AJ251" s="447"/>
      <c r="AK251" s="447"/>
      <c r="AL251" s="447"/>
      <c r="AM251" s="447"/>
      <c r="AN251" s="447"/>
      <c r="AO251" s="447"/>
      <c r="AP251" s="447"/>
      <c r="AQ251" s="447"/>
      <c r="AR251" s="447"/>
      <c r="AS251" s="447"/>
      <c r="AT251" s="447"/>
      <c r="AU251" s="447"/>
      <c r="AV251" s="447"/>
      <c r="AW251" s="447"/>
      <c r="AX251" s="447"/>
      <c r="AY251" s="447"/>
      <c r="AZ251" s="447"/>
      <c r="BA251" s="447"/>
      <c r="BB251" s="447"/>
      <c r="BC251" s="447"/>
      <c r="BD251" s="447"/>
      <c r="BE251" s="447"/>
      <c r="BF251" s="447"/>
      <c r="BG251" s="447"/>
      <c r="BH251" s="447"/>
      <c r="BI251" s="447"/>
      <c r="BJ251" s="447"/>
      <c r="BK251" s="447"/>
      <c r="BL251" s="447"/>
      <c r="BM251" s="448"/>
      <c r="BN251" s="448"/>
    </row>
    <row r="252" spans="1:66" ht="11.25" customHeight="1">
      <c r="A252" s="469"/>
      <c r="B252" s="447"/>
      <c r="C252" s="447"/>
      <c r="D252" s="447"/>
      <c r="E252" s="447"/>
      <c r="F252" s="447"/>
      <c r="G252" s="447"/>
      <c r="H252" s="447"/>
      <c r="I252" s="447"/>
      <c r="J252" s="447"/>
      <c r="K252" s="447"/>
      <c r="L252" s="447"/>
      <c r="M252" s="447"/>
      <c r="N252" s="447"/>
      <c r="O252" s="447"/>
      <c r="P252" s="447"/>
      <c r="Q252" s="447"/>
      <c r="R252" s="447"/>
      <c r="S252" s="447"/>
      <c r="T252" s="447"/>
      <c r="U252" s="447"/>
      <c r="V252" s="447"/>
      <c r="W252" s="447"/>
      <c r="X252" s="447"/>
      <c r="Y252" s="447"/>
      <c r="Z252" s="447"/>
      <c r="AA252" s="447"/>
      <c r="AB252" s="447"/>
      <c r="AC252" s="447"/>
      <c r="AD252" s="447"/>
      <c r="AE252" s="447"/>
      <c r="AF252" s="448"/>
      <c r="AG252" s="448"/>
      <c r="AH252" s="448"/>
      <c r="AI252" s="447"/>
      <c r="AJ252" s="447"/>
      <c r="AK252" s="447"/>
      <c r="AL252" s="447"/>
      <c r="AM252" s="447"/>
      <c r="AN252" s="447"/>
      <c r="AO252" s="447"/>
      <c r="AP252" s="447"/>
      <c r="AQ252" s="447"/>
      <c r="AR252" s="447"/>
      <c r="AS252" s="447"/>
      <c r="AT252" s="447"/>
      <c r="AU252" s="447"/>
      <c r="AV252" s="447"/>
      <c r="AW252" s="447"/>
      <c r="AX252" s="447"/>
      <c r="AY252" s="447"/>
      <c r="AZ252" s="447"/>
      <c r="BA252" s="447"/>
      <c r="BB252" s="447"/>
      <c r="BC252" s="447"/>
      <c r="BD252" s="447"/>
      <c r="BE252" s="447"/>
      <c r="BF252" s="447"/>
      <c r="BG252" s="447"/>
      <c r="BH252" s="447"/>
      <c r="BI252" s="447"/>
      <c r="BJ252" s="447"/>
      <c r="BK252" s="447"/>
      <c r="BL252" s="447"/>
      <c r="BM252" s="448"/>
      <c r="BN252" s="448"/>
    </row>
    <row r="253" spans="1:66" ht="11.25" customHeight="1">
      <c r="A253" s="469"/>
      <c r="B253" s="447"/>
      <c r="C253" s="447"/>
      <c r="D253" s="447"/>
      <c r="E253" s="447"/>
      <c r="F253" s="447"/>
      <c r="G253" s="447"/>
      <c r="H253" s="447"/>
      <c r="I253" s="447"/>
      <c r="J253" s="447"/>
      <c r="K253" s="447"/>
      <c r="L253" s="447"/>
      <c r="M253" s="447"/>
      <c r="N253" s="447"/>
      <c r="O253" s="447"/>
      <c r="P253" s="447"/>
      <c r="Q253" s="447"/>
      <c r="R253" s="447"/>
      <c r="S253" s="447"/>
      <c r="T253" s="447"/>
      <c r="U253" s="447"/>
      <c r="V253" s="447"/>
      <c r="W253" s="447"/>
      <c r="X253" s="447"/>
      <c r="Y253" s="447"/>
      <c r="Z253" s="447"/>
      <c r="AA253" s="447"/>
      <c r="AB253" s="447"/>
      <c r="AC253" s="447"/>
      <c r="AD253" s="447"/>
      <c r="AE253" s="447"/>
      <c r="AF253" s="448"/>
      <c r="AG253" s="448"/>
      <c r="AH253" s="448"/>
      <c r="AI253" s="447"/>
      <c r="AJ253" s="447"/>
      <c r="AK253" s="447"/>
      <c r="AL253" s="447"/>
      <c r="AM253" s="447"/>
      <c r="AN253" s="447"/>
      <c r="AO253" s="447"/>
      <c r="AP253" s="447"/>
      <c r="AQ253" s="447"/>
      <c r="AR253" s="447"/>
      <c r="AS253" s="447"/>
      <c r="AT253" s="447"/>
      <c r="AU253" s="447"/>
      <c r="AV253" s="447"/>
      <c r="AW253" s="447"/>
      <c r="AX253" s="447"/>
      <c r="AY253" s="447"/>
      <c r="AZ253" s="447"/>
      <c r="BA253" s="447"/>
      <c r="BB253" s="447"/>
      <c r="BC253" s="447"/>
      <c r="BD253" s="447"/>
      <c r="BE253" s="447"/>
      <c r="BF253" s="447"/>
      <c r="BG253" s="447"/>
      <c r="BH253" s="447"/>
      <c r="BI253" s="447"/>
      <c r="BJ253" s="447"/>
      <c r="BK253" s="447"/>
      <c r="BL253" s="447"/>
      <c r="BM253" s="448"/>
      <c r="BN253" s="448"/>
    </row>
    <row r="254" spans="1:66" ht="11.25" customHeight="1">
      <c r="A254" s="469"/>
      <c r="B254" s="447"/>
      <c r="C254" s="447"/>
      <c r="D254" s="447"/>
      <c r="E254" s="447"/>
      <c r="F254" s="447"/>
      <c r="G254" s="447"/>
      <c r="H254" s="447"/>
      <c r="I254" s="447"/>
      <c r="J254" s="447"/>
      <c r="K254" s="447"/>
      <c r="L254" s="447"/>
      <c r="M254" s="447"/>
      <c r="N254" s="447"/>
      <c r="O254" s="447"/>
      <c r="P254" s="447"/>
      <c r="Q254" s="447"/>
      <c r="R254" s="447"/>
      <c r="S254" s="447"/>
      <c r="T254" s="447"/>
      <c r="U254" s="447"/>
      <c r="V254" s="447"/>
      <c r="W254" s="447"/>
      <c r="X254" s="447"/>
      <c r="Y254" s="447"/>
      <c r="Z254" s="447"/>
      <c r="AA254" s="447"/>
      <c r="AB254" s="447"/>
      <c r="AC254" s="447"/>
      <c r="AD254" s="447"/>
      <c r="AE254" s="447"/>
      <c r="AF254" s="448"/>
      <c r="AG254" s="448"/>
      <c r="AH254" s="448"/>
      <c r="AI254" s="447"/>
      <c r="AJ254" s="447"/>
      <c r="AK254" s="447"/>
      <c r="AL254" s="447"/>
      <c r="AM254" s="447"/>
      <c r="AN254" s="447"/>
      <c r="AO254" s="447"/>
      <c r="AP254" s="447"/>
      <c r="AQ254" s="447"/>
      <c r="AR254" s="447"/>
      <c r="AS254" s="447"/>
      <c r="AT254" s="447"/>
      <c r="AU254" s="447"/>
      <c r="AV254" s="447"/>
      <c r="AW254" s="447"/>
      <c r="AX254" s="447"/>
      <c r="AY254" s="447"/>
      <c r="AZ254" s="447"/>
      <c r="BA254" s="447"/>
      <c r="BB254" s="447"/>
      <c r="BC254" s="447"/>
      <c r="BD254" s="447"/>
      <c r="BE254" s="447"/>
      <c r="BF254" s="447"/>
      <c r="BG254" s="447"/>
      <c r="BH254" s="447"/>
      <c r="BI254" s="447"/>
      <c r="BJ254" s="447"/>
      <c r="BK254" s="447"/>
      <c r="BL254" s="447"/>
      <c r="BM254" s="448"/>
      <c r="BN254" s="448"/>
    </row>
    <row r="255" spans="1:66" ht="11.25" customHeight="1">
      <c r="A255" s="469"/>
      <c r="B255" s="447"/>
      <c r="C255" s="447"/>
      <c r="D255" s="447"/>
      <c r="E255" s="447"/>
      <c r="F255" s="447"/>
      <c r="G255" s="447"/>
      <c r="H255" s="447"/>
      <c r="I255" s="447"/>
      <c r="J255" s="447"/>
      <c r="K255" s="447"/>
      <c r="L255" s="447"/>
      <c r="M255" s="447"/>
      <c r="N255" s="447"/>
      <c r="O255" s="447"/>
      <c r="P255" s="447"/>
      <c r="Q255" s="447"/>
      <c r="R255" s="447"/>
      <c r="S255" s="447"/>
      <c r="T255" s="447"/>
      <c r="U255" s="447"/>
      <c r="V255" s="447"/>
      <c r="W255" s="447"/>
      <c r="X255" s="447"/>
      <c r="Y255" s="447"/>
      <c r="Z255" s="447"/>
      <c r="AA255" s="447"/>
      <c r="AB255" s="447"/>
      <c r="AC255" s="447"/>
      <c r="AD255" s="447"/>
      <c r="AE255" s="447"/>
      <c r="AF255" s="448"/>
      <c r="AG255" s="448"/>
      <c r="AH255" s="448"/>
      <c r="AI255" s="447"/>
      <c r="AJ255" s="447"/>
      <c r="AK255" s="447"/>
      <c r="AL255" s="447"/>
      <c r="AM255" s="447"/>
      <c r="AN255" s="447"/>
      <c r="AO255" s="447"/>
      <c r="AP255" s="447"/>
      <c r="AQ255" s="447"/>
      <c r="AR255" s="447"/>
      <c r="AS255" s="447"/>
      <c r="AT255" s="447"/>
      <c r="AU255" s="447"/>
      <c r="AV255" s="447"/>
      <c r="AW255" s="447"/>
      <c r="AX255" s="447"/>
      <c r="AY255" s="447"/>
      <c r="AZ255" s="447"/>
      <c r="BA255" s="447"/>
      <c r="BB255" s="447"/>
      <c r="BC255" s="447"/>
      <c r="BD255" s="447"/>
      <c r="BE255" s="447"/>
      <c r="BF255" s="447"/>
      <c r="BG255" s="447"/>
      <c r="BH255" s="447"/>
      <c r="BI255" s="447"/>
      <c r="BJ255" s="447"/>
      <c r="BK255" s="447"/>
      <c r="BL255" s="447"/>
      <c r="BM255" s="448"/>
      <c r="BN255" s="448"/>
    </row>
    <row r="256" spans="1:66" ht="11.25" customHeight="1">
      <c r="A256" s="469"/>
      <c r="B256" s="447"/>
      <c r="C256" s="447"/>
      <c r="D256" s="447"/>
      <c r="E256" s="447"/>
      <c r="F256" s="447"/>
      <c r="G256" s="447"/>
      <c r="H256" s="447"/>
      <c r="I256" s="447"/>
      <c r="J256" s="447"/>
      <c r="K256" s="447"/>
      <c r="L256" s="447"/>
      <c r="M256" s="447"/>
      <c r="N256" s="447"/>
      <c r="O256" s="447"/>
      <c r="P256" s="447"/>
      <c r="Q256" s="447"/>
      <c r="R256" s="447"/>
      <c r="S256" s="447"/>
      <c r="T256" s="447"/>
      <c r="U256" s="447"/>
      <c r="V256" s="447"/>
      <c r="W256" s="447"/>
      <c r="X256" s="447"/>
      <c r="Y256" s="447"/>
      <c r="Z256" s="447"/>
      <c r="AA256" s="447"/>
      <c r="AB256" s="447"/>
      <c r="AC256" s="447"/>
      <c r="AD256" s="447"/>
      <c r="AE256" s="447"/>
      <c r="AF256" s="448"/>
      <c r="AG256" s="448"/>
      <c r="AH256" s="448"/>
      <c r="AI256" s="447"/>
      <c r="AJ256" s="447"/>
      <c r="AK256" s="447"/>
      <c r="AL256" s="447"/>
      <c r="AM256" s="447"/>
      <c r="AN256" s="447"/>
      <c r="AO256" s="447"/>
      <c r="AP256" s="447"/>
      <c r="AQ256" s="447"/>
      <c r="AR256" s="447"/>
      <c r="AS256" s="447"/>
      <c r="AT256" s="447"/>
      <c r="AU256" s="447"/>
      <c r="AV256" s="447"/>
      <c r="AW256" s="447"/>
      <c r="AX256" s="447"/>
      <c r="AY256" s="447"/>
      <c r="AZ256" s="447"/>
      <c r="BA256" s="447"/>
      <c r="BB256" s="447"/>
      <c r="BC256" s="447"/>
      <c r="BD256" s="447"/>
      <c r="BE256" s="447"/>
      <c r="BF256" s="447"/>
      <c r="BG256" s="447"/>
      <c r="BH256" s="447"/>
      <c r="BI256" s="447"/>
      <c r="BJ256" s="447"/>
      <c r="BK256" s="447"/>
      <c r="BL256" s="447"/>
      <c r="BM256" s="448"/>
      <c r="BN256" s="448"/>
    </row>
    <row r="257" spans="1:66" ht="11.25" customHeight="1">
      <c r="A257" s="469"/>
      <c r="B257" s="447"/>
      <c r="C257" s="447"/>
      <c r="D257" s="447"/>
      <c r="E257" s="447"/>
      <c r="F257" s="447"/>
      <c r="G257" s="447"/>
      <c r="H257" s="447"/>
      <c r="I257" s="447"/>
      <c r="J257" s="447"/>
      <c r="K257" s="447"/>
      <c r="L257" s="447"/>
      <c r="M257" s="447"/>
      <c r="N257" s="447"/>
      <c r="O257" s="447"/>
      <c r="P257" s="447"/>
      <c r="Q257" s="447"/>
      <c r="R257" s="447"/>
      <c r="S257" s="447"/>
      <c r="T257" s="447"/>
      <c r="U257" s="447"/>
      <c r="V257" s="447"/>
      <c r="W257" s="447"/>
      <c r="X257" s="447"/>
      <c r="Y257" s="447"/>
      <c r="Z257" s="447"/>
      <c r="AA257" s="447"/>
      <c r="AB257" s="447"/>
      <c r="AC257" s="447"/>
      <c r="AD257" s="447"/>
      <c r="AE257" s="447"/>
      <c r="AF257" s="448"/>
      <c r="AG257" s="448"/>
      <c r="AH257" s="448"/>
      <c r="AI257" s="447"/>
      <c r="AJ257" s="447"/>
      <c r="AK257" s="447"/>
      <c r="AL257" s="447"/>
      <c r="AM257" s="447"/>
      <c r="AN257" s="447"/>
      <c r="AO257" s="447"/>
      <c r="AP257" s="447"/>
      <c r="AQ257" s="447"/>
      <c r="AR257" s="447"/>
      <c r="AS257" s="447"/>
      <c r="AT257" s="447"/>
      <c r="AU257" s="447"/>
      <c r="AV257" s="447"/>
      <c r="AW257" s="447"/>
      <c r="AX257" s="447"/>
      <c r="AY257" s="447"/>
      <c r="AZ257" s="447"/>
      <c r="BA257" s="447"/>
      <c r="BB257" s="447"/>
      <c r="BC257" s="447"/>
      <c r="BD257" s="447"/>
      <c r="BE257" s="447"/>
      <c r="BF257" s="447"/>
      <c r="BG257" s="447"/>
      <c r="BH257" s="447"/>
      <c r="BI257" s="447"/>
      <c r="BJ257" s="447"/>
      <c r="BK257" s="447"/>
      <c r="BL257" s="447"/>
      <c r="BM257" s="448"/>
      <c r="BN257" s="448"/>
    </row>
    <row r="258" spans="1:66" ht="11.25" customHeight="1">
      <c r="A258" s="469"/>
      <c r="B258" s="447"/>
      <c r="C258" s="447"/>
      <c r="D258" s="447"/>
      <c r="E258" s="447"/>
      <c r="F258" s="447"/>
      <c r="G258" s="447"/>
      <c r="H258" s="447"/>
      <c r="I258" s="447"/>
      <c r="J258" s="447"/>
      <c r="K258" s="447"/>
      <c r="L258" s="447"/>
      <c r="M258" s="447"/>
      <c r="N258" s="447"/>
      <c r="O258" s="447"/>
      <c r="P258" s="447"/>
      <c r="Q258" s="447"/>
      <c r="R258" s="447"/>
      <c r="S258" s="447"/>
      <c r="T258" s="447"/>
      <c r="U258" s="447"/>
      <c r="V258" s="447"/>
      <c r="W258" s="447"/>
      <c r="X258" s="447"/>
      <c r="Y258" s="447"/>
      <c r="Z258" s="447"/>
      <c r="AA258" s="447"/>
      <c r="AB258" s="447"/>
      <c r="AC258" s="447"/>
      <c r="AD258" s="447"/>
      <c r="AE258" s="447"/>
      <c r="AF258" s="448"/>
      <c r="AG258" s="448"/>
      <c r="AH258" s="448"/>
      <c r="AI258" s="447"/>
      <c r="AJ258" s="447"/>
      <c r="AK258" s="447"/>
      <c r="AL258" s="447"/>
      <c r="AM258" s="447"/>
      <c r="AN258" s="447"/>
      <c r="AO258" s="447"/>
      <c r="AP258" s="447"/>
      <c r="AQ258" s="447"/>
      <c r="AR258" s="447"/>
      <c r="AS258" s="447"/>
      <c r="AT258" s="447"/>
      <c r="AU258" s="447"/>
      <c r="AV258" s="447"/>
      <c r="AW258" s="447"/>
      <c r="AX258" s="447"/>
      <c r="AY258" s="447"/>
      <c r="AZ258" s="447"/>
      <c r="BA258" s="447"/>
      <c r="BB258" s="447"/>
      <c r="BC258" s="447"/>
      <c r="BD258" s="447"/>
      <c r="BE258" s="447"/>
      <c r="BF258" s="447"/>
      <c r="BG258" s="447"/>
      <c r="BH258" s="447"/>
      <c r="BI258" s="447"/>
      <c r="BJ258" s="447"/>
      <c r="BK258" s="447"/>
      <c r="BL258" s="447"/>
      <c r="BM258" s="448"/>
      <c r="BN258" s="448"/>
    </row>
    <row r="259" spans="1:66" ht="11.25" customHeight="1">
      <c r="A259" s="469"/>
      <c r="B259" s="447"/>
      <c r="C259" s="447"/>
      <c r="D259" s="447"/>
      <c r="E259" s="447"/>
      <c r="F259" s="447"/>
      <c r="G259" s="447"/>
      <c r="H259" s="447"/>
      <c r="I259" s="447"/>
      <c r="J259" s="447"/>
      <c r="K259" s="447"/>
      <c r="L259" s="447"/>
      <c r="M259" s="447"/>
      <c r="N259" s="447"/>
      <c r="O259" s="447"/>
      <c r="P259" s="447"/>
      <c r="Q259" s="447"/>
      <c r="R259" s="447"/>
      <c r="S259" s="447"/>
      <c r="T259" s="447"/>
      <c r="U259" s="447"/>
      <c r="V259" s="447"/>
      <c r="W259" s="447"/>
      <c r="X259" s="447"/>
      <c r="Y259" s="447"/>
      <c r="Z259" s="447"/>
      <c r="AA259" s="447"/>
      <c r="AB259" s="447"/>
      <c r="AC259" s="447"/>
      <c r="AD259" s="447"/>
      <c r="AE259" s="447"/>
      <c r="AF259" s="448"/>
      <c r="AG259" s="448"/>
      <c r="AH259" s="448"/>
      <c r="AI259" s="447"/>
      <c r="AJ259" s="447"/>
      <c r="AK259" s="447"/>
      <c r="AL259" s="447"/>
      <c r="AM259" s="447"/>
      <c r="AN259" s="447"/>
      <c r="AO259" s="447"/>
      <c r="AP259" s="447"/>
      <c r="AQ259" s="447"/>
      <c r="AR259" s="447"/>
      <c r="AS259" s="447"/>
      <c r="AT259" s="447"/>
      <c r="AU259" s="447"/>
      <c r="AV259" s="447"/>
      <c r="AW259" s="447"/>
      <c r="AX259" s="447"/>
      <c r="AY259" s="447"/>
      <c r="AZ259" s="447"/>
      <c r="BA259" s="447"/>
      <c r="BB259" s="447"/>
      <c r="BC259" s="447"/>
      <c r="BD259" s="447"/>
      <c r="BE259" s="447"/>
      <c r="BF259" s="447"/>
      <c r="BG259" s="447"/>
      <c r="BH259" s="447"/>
      <c r="BI259" s="447"/>
      <c r="BJ259" s="447"/>
      <c r="BK259" s="447"/>
      <c r="BL259" s="447"/>
      <c r="BM259" s="448"/>
      <c r="BN259" s="448"/>
    </row>
    <row r="260" spans="1:66" ht="11.25" customHeight="1">
      <c r="A260" s="469"/>
      <c r="B260" s="447"/>
      <c r="C260" s="447"/>
      <c r="D260" s="447"/>
      <c r="E260" s="447"/>
      <c r="F260" s="447"/>
      <c r="G260" s="447"/>
      <c r="H260" s="447"/>
      <c r="I260" s="447"/>
      <c r="J260" s="447"/>
      <c r="K260" s="447"/>
      <c r="L260" s="447"/>
      <c r="M260" s="447"/>
      <c r="N260" s="447"/>
      <c r="O260" s="447"/>
      <c r="P260" s="447"/>
      <c r="Q260" s="447"/>
      <c r="R260" s="447"/>
      <c r="S260" s="447"/>
      <c r="T260" s="447"/>
      <c r="U260" s="447"/>
      <c r="V260" s="447"/>
      <c r="W260" s="447"/>
      <c r="X260" s="447"/>
      <c r="Y260" s="447"/>
      <c r="Z260" s="447"/>
      <c r="AA260" s="447"/>
      <c r="AB260" s="447"/>
      <c r="AC260" s="447"/>
      <c r="AD260" s="447"/>
      <c r="AE260" s="447"/>
      <c r="AF260" s="448"/>
      <c r="AG260" s="448"/>
      <c r="AH260" s="448"/>
      <c r="AI260" s="447"/>
      <c r="AJ260" s="447"/>
      <c r="AK260" s="447"/>
      <c r="AL260" s="447"/>
      <c r="AM260" s="447"/>
      <c r="AN260" s="447"/>
      <c r="AO260" s="447"/>
      <c r="AP260" s="447"/>
      <c r="AQ260" s="447"/>
      <c r="AR260" s="447"/>
      <c r="AS260" s="447"/>
      <c r="AT260" s="447"/>
      <c r="AU260" s="447"/>
      <c r="AV260" s="447"/>
      <c r="AW260" s="447"/>
      <c r="AX260" s="447"/>
      <c r="AY260" s="447"/>
      <c r="AZ260" s="447"/>
      <c r="BA260" s="447"/>
      <c r="BB260" s="447"/>
      <c r="BC260" s="447"/>
      <c r="BD260" s="447"/>
      <c r="BE260" s="447"/>
      <c r="BF260" s="447"/>
      <c r="BG260" s="447"/>
      <c r="BH260" s="447"/>
      <c r="BI260" s="447"/>
      <c r="BJ260" s="447"/>
      <c r="BK260" s="447"/>
      <c r="BL260" s="447"/>
      <c r="BM260" s="448"/>
      <c r="BN260" s="448"/>
    </row>
    <row r="261" spans="1:66" ht="11.25" customHeight="1">
      <c r="A261" s="469"/>
      <c r="B261" s="447"/>
      <c r="C261" s="447"/>
      <c r="D261" s="447"/>
      <c r="E261" s="447"/>
      <c r="F261" s="447"/>
      <c r="G261" s="447"/>
      <c r="H261" s="447"/>
      <c r="I261" s="447"/>
      <c r="J261" s="447"/>
      <c r="K261" s="447"/>
      <c r="L261" s="447"/>
      <c r="M261" s="447"/>
      <c r="N261" s="447"/>
      <c r="O261" s="447"/>
      <c r="P261" s="447"/>
      <c r="Q261" s="447"/>
      <c r="R261" s="447"/>
      <c r="S261" s="447"/>
      <c r="T261" s="447"/>
      <c r="U261" s="447"/>
      <c r="V261" s="447"/>
      <c r="W261" s="447"/>
      <c r="X261" s="447"/>
      <c r="Y261" s="447"/>
      <c r="Z261" s="447"/>
      <c r="AA261" s="447"/>
      <c r="AB261" s="447"/>
      <c r="AC261" s="447"/>
      <c r="AD261" s="447"/>
      <c r="AE261" s="447"/>
      <c r="AF261" s="448"/>
      <c r="AG261" s="448"/>
      <c r="AH261" s="448"/>
      <c r="AI261" s="447"/>
      <c r="AJ261" s="447"/>
      <c r="AK261" s="447"/>
      <c r="AL261" s="447"/>
      <c r="AM261" s="447"/>
      <c r="AN261" s="447"/>
      <c r="AO261" s="447"/>
      <c r="AP261" s="447"/>
      <c r="AQ261" s="447"/>
      <c r="AR261" s="447"/>
      <c r="AS261" s="447"/>
      <c r="AT261" s="447"/>
      <c r="AU261" s="447"/>
      <c r="AV261" s="447"/>
      <c r="AW261" s="447"/>
      <c r="AX261" s="447"/>
      <c r="AY261" s="447"/>
      <c r="AZ261" s="447"/>
      <c r="BA261" s="447"/>
      <c r="BB261" s="447"/>
      <c r="BC261" s="447"/>
      <c r="BD261" s="447"/>
      <c r="BE261" s="447"/>
      <c r="BF261" s="447"/>
      <c r="BG261" s="447"/>
      <c r="BH261" s="447"/>
      <c r="BI261" s="447"/>
      <c r="BJ261" s="447"/>
      <c r="BK261" s="447"/>
      <c r="BL261" s="447"/>
      <c r="BM261" s="448"/>
      <c r="BN261" s="448"/>
    </row>
    <row r="262" spans="1:66" ht="11.25" customHeight="1">
      <c r="A262" s="469"/>
      <c r="B262" s="447"/>
      <c r="C262" s="447"/>
      <c r="D262" s="447"/>
      <c r="E262" s="447"/>
      <c r="F262" s="447"/>
      <c r="G262" s="447"/>
      <c r="H262" s="447"/>
      <c r="I262" s="447"/>
      <c r="J262" s="447"/>
      <c r="K262" s="447"/>
      <c r="L262" s="447"/>
      <c r="M262" s="447"/>
      <c r="N262" s="447"/>
      <c r="O262" s="447"/>
      <c r="P262" s="447"/>
      <c r="Q262" s="447"/>
      <c r="R262" s="447"/>
      <c r="S262" s="447"/>
      <c r="T262" s="447"/>
      <c r="U262" s="447"/>
      <c r="V262" s="447"/>
      <c r="W262" s="447"/>
      <c r="X262" s="447"/>
      <c r="Y262" s="447"/>
      <c r="Z262" s="447"/>
      <c r="AA262" s="447"/>
      <c r="AB262" s="447"/>
      <c r="AC262" s="447"/>
      <c r="AD262" s="447"/>
      <c r="AE262" s="447"/>
      <c r="AF262" s="448"/>
      <c r="AG262" s="448"/>
      <c r="AH262" s="448"/>
      <c r="AI262" s="447"/>
      <c r="AJ262" s="447"/>
      <c r="AK262" s="447"/>
      <c r="AL262" s="447"/>
      <c r="AM262" s="447"/>
      <c r="AN262" s="447"/>
      <c r="AO262" s="447"/>
      <c r="AP262" s="447"/>
      <c r="AQ262" s="447"/>
      <c r="AR262" s="447"/>
      <c r="AS262" s="447"/>
      <c r="AT262" s="447"/>
      <c r="AU262" s="447"/>
      <c r="AV262" s="447"/>
      <c r="AW262" s="447"/>
      <c r="AX262" s="447"/>
      <c r="AY262" s="447"/>
      <c r="AZ262" s="447"/>
      <c r="BA262" s="447"/>
      <c r="BB262" s="447"/>
      <c r="BC262" s="447"/>
      <c r="BD262" s="447"/>
      <c r="BE262" s="447"/>
      <c r="BF262" s="447"/>
      <c r="BG262" s="447"/>
      <c r="BH262" s="447"/>
      <c r="BI262" s="447"/>
      <c r="BJ262" s="447"/>
      <c r="BK262" s="447"/>
      <c r="BL262" s="447"/>
      <c r="BM262" s="448"/>
      <c r="BN262" s="448"/>
    </row>
    <row r="263" spans="1:66" ht="11.25" customHeight="1">
      <c r="A263" s="469"/>
      <c r="B263" s="447"/>
      <c r="C263" s="447"/>
      <c r="D263" s="447"/>
      <c r="E263" s="447"/>
      <c r="F263" s="447"/>
      <c r="G263" s="447"/>
      <c r="H263" s="447"/>
      <c r="I263" s="447"/>
      <c r="J263" s="447"/>
      <c r="K263" s="447"/>
      <c r="L263" s="447"/>
      <c r="M263" s="447"/>
      <c r="N263" s="447"/>
      <c r="O263" s="447"/>
      <c r="P263" s="447"/>
      <c r="Q263" s="447"/>
      <c r="R263" s="447"/>
      <c r="S263" s="447"/>
      <c r="T263" s="447"/>
      <c r="U263" s="447"/>
      <c r="V263" s="447"/>
      <c r="W263" s="447"/>
      <c r="X263" s="447"/>
      <c r="Y263" s="447"/>
      <c r="Z263" s="447"/>
      <c r="AA263" s="447"/>
      <c r="AB263" s="447"/>
      <c r="AC263" s="447"/>
      <c r="AD263" s="447"/>
      <c r="AE263" s="447"/>
      <c r="AF263" s="448"/>
      <c r="AG263" s="448"/>
      <c r="AH263" s="448"/>
      <c r="AI263" s="447"/>
      <c r="AJ263" s="447"/>
      <c r="AK263" s="447"/>
      <c r="AL263" s="447"/>
      <c r="AM263" s="447"/>
      <c r="AN263" s="447"/>
      <c r="AO263" s="447"/>
      <c r="AP263" s="447"/>
      <c r="AQ263" s="447"/>
      <c r="AR263" s="447"/>
      <c r="AS263" s="447"/>
      <c r="AT263" s="447"/>
      <c r="AU263" s="447"/>
      <c r="AV263" s="447"/>
      <c r="AW263" s="447"/>
      <c r="AX263" s="447"/>
      <c r="AY263" s="447"/>
      <c r="AZ263" s="447"/>
      <c r="BA263" s="447"/>
      <c r="BB263" s="447"/>
      <c r="BC263" s="447"/>
      <c r="BD263" s="447"/>
      <c r="BE263" s="447"/>
      <c r="BF263" s="447"/>
      <c r="BG263" s="447"/>
      <c r="BH263" s="447"/>
      <c r="BI263" s="447"/>
      <c r="BJ263" s="447"/>
      <c r="BK263" s="447"/>
      <c r="BL263" s="447"/>
      <c r="BM263" s="448"/>
      <c r="BN263" s="448"/>
    </row>
    <row r="264" spans="1:66" ht="11.25" customHeight="1">
      <c r="A264" s="469"/>
      <c r="B264" s="447"/>
      <c r="C264" s="447"/>
      <c r="D264" s="447"/>
      <c r="E264" s="447"/>
      <c r="F264" s="447"/>
      <c r="G264" s="447"/>
      <c r="H264" s="447"/>
      <c r="I264" s="447"/>
      <c r="J264" s="447"/>
      <c r="K264" s="447"/>
      <c r="L264" s="447"/>
      <c r="M264" s="447"/>
      <c r="N264" s="447"/>
      <c r="O264" s="447"/>
      <c r="P264" s="447"/>
      <c r="Q264" s="447"/>
      <c r="R264" s="447"/>
      <c r="S264" s="447"/>
      <c r="T264" s="447"/>
      <c r="U264" s="447"/>
      <c r="V264" s="447"/>
      <c r="W264" s="447"/>
      <c r="X264" s="447"/>
      <c r="Y264" s="447"/>
      <c r="Z264" s="447"/>
      <c r="AA264" s="447"/>
      <c r="AB264" s="447"/>
      <c r="AC264" s="447"/>
      <c r="AD264" s="447"/>
      <c r="AE264" s="447"/>
      <c r="AF264" s="448"/>
      <c r="AG264" s="448"/>
      <c r="AH264" s="448"/>
      <c r="AI264" s="447"/>
      <c r="AJ264" s="447"/>
      <c r="AK264" s="447"/>
      <c r="AL264" s="447"/>
      <c r="AM264" s="447"/>
      <c r="AN264" s="447"/>
      <c r="AO264" s="447"/>
      <c r="AP264" s="447"/>
      <c r="AQ264" s="447"/>
      <c r="AR264" s="447"/>
      <c r="AS264" s="447"/>
      <c r="AT264" s="447"/>
      <c r="AU264" s="447"/>
      <c r="AV264" s="447"/>
      <c r="AW264" s="447"/>
      <c r="AX264" s="447"/>
      <c r="AY264" s="447"/>
      <c r="AZ264" s="447"/>
      <c r="BA264" s="447"/>
      <c r="BB264" s="447"/>
      <c r="BC264" s="447"/>
      <c r="BD264" s="447"/>
      <c r="BE264" s="447"/>
      <c r="BF264" s="447"/>
      <c r="BG264" s="447"/>
      <c r="BH264" s="447"/>
      <c r="BI264" s="447"/>
      <c r="BJ264" s="447"/>
      <c r="BK264" s="447"/>
      <c r="BL264" s="447"/>
      <c r="BM264" s="448"/>
      <c r="BN264" s="448"/>
    </row>
    <row r="265" spans="1:66" ht="11.25" customHeight="1">
      <c r="A265" s="469"/>
      <c r="B265" s="447"/>
      <c r="C265" s="447"/>
      <c r="D265" s="447"/>
      <c r="E265" s="447"/>
      <c r="F265" s="447"/>
      <c r="G265" s="447"/>
      <c r="H265" s="447"/>
      <c r="I265" s="447"/>
      <c r="J265" s="447"/>
      <c r="K265" s="447"/>
      <c r="L265" s="447"/>
      <c r="M265" s="447"/>
      <c r="N265" s="447"/>
      <c r="O265" s="447"/>
      <c r="P265" s="447"/>
      <c r="Q265" s="447"/>
      <c r="R265" s="447"/>
      <c r="S265" s="447"/>
      <c r="T265" s="447"/>
      <c r="U265" s="447"/>
      <c r="V265" s="447"/>
      <c r="W265" s="447"/>
      <c r="X265" s="447"/>
      <c r="Y265" s="447"/>
      <c r="Z265" s="447"/>
      <c r="AA265" s="447"/>
      <c r="AB265" s="447"/>
      <c r="AC265" s="447"/>
      <c r="AD265" s="447"/>
      <c r="AE265" s="447"/>
      <c r="AF265" s="448"/>
      <c r="AG265" s="448"/>
      <c r="AH265" s="448"/>
      <c r="AI265" s="447"/>
      <c r="AJ265" s="447"/>
      <c r="AK265" s="447"/>
      <c r="AL265" s="447"/>
      <c r="AM265" s="447"/>
      <c r="AN265" s="447"/>
      <c r="AO265" s="447"/>
      <c r="AP265" s="447"/>
      <c r="AQ265" s="447"/>
      <c r="AR265" s="447"/>
      <c r="AS265" s="447"/>
      <c r="AT265" s="447"/>
      <c r="AU265" s="447"/>
      <c r="AV265" s="447"/>
      <c r="AW265" s="447"/>
      <c r="AX265" s="447"/>
      <c r="AY265" s="447"/>
      <c r="AZ265" s="447"/>
      <c r="BA265" s="447"/>
      <c r="BB265" s="447"/>
      <c r="BC265" s="447"/>
      <c r="BD265" s="447"/>
      <c r="BE265" s="447"/>
      <c r="BF265" s="447"/>
      <c r="BG265" s="447"/>
      <c r="BH265" s="447"/>
      <c r="BI265" s="447"/>
      <c r="BJ265" s="447"/>
      <c r="BK265" s="447"/>
      <c r="BL265" s="447"/>
      <c r="BM265" s="448"/>
      <c r="BN265" s="448"/>
    </row>
    <row r="266" spans="1:66" ht="11.25" customHeight="1">
      <c r="A266" s="469"/>
      <c r="B266" s="447"/>
      <c r="C266" s="447"/>
      <c r="D266" s="447"/>
      <c r="E266" s="447"/>
      <c r="F266" s="447"/>
      <c r="G266" s="447"/>
      <c r="H266" s="447"/>
      <c r="I266" s="447"/>
      <c r="J266" s="447"/>
      <c r="K266" s="447"/>
      <c r="L266" s="447"/>
      <c r="M266" s="447"/>
      <c r="N266" s="447"/>
      <c r="O266" s="447"/>
      <c r="P266" s="447"/>
      <c r="Q266" s="447"/>
      <c r="R266" s="447"/>
      <c r="S266" s="447"/>
      <c r="T266" s="447"/>
      <c r="U266" s="447"/>
      <c r="V266" s="447"/>
      <c r="W266" s="447"/>
      <c r="X266" s="447"/>
      <c r="Y266" s="447"/>
      <c r="Z266" s="447"/>
      <c r="AA266" s="447"/>
      <c r="AB266" s="447"/>
      <c r="AC266" s="447"/>
      <c r="AD266" s="447"/>
      <c r="AE266" s="447"/>
      <c r="AF266" s="448"/>
      <c r="AG266" s="448"/>
      <c r="AH266" s="448"/>
      <c r="AI266" s="447"/>
      <c r="AJ266" s="447"/>
      <c r="AK266" s="447"/>
      <c r="AL266" s="447"/>
      <c r="AM266" s="447"/>
      <c r="AN266" s="447"/>
      <c r="AO266" s="447"/>
      <c r="AP266" s="447"/>
      <c r="AQ266" s="447"/>
      <c r="AR266" s="447"/>
      <c r="AS266" s="447"/>
      <c r="AT266" s="447"/>
      <c r="AU266" s="447"/>
      <c r="AV266" s="447"/>
      <c r="AW266" s="447"/>
      <c r="AX266" s="447"/>
      <c r="AY266" s="447"/>
      <c r="AZ266" s="447"/>
      <c r="BA266" s="447"/>
      <c r="BB266" s="447"/>
      <c r="BC266" s="447"/>
      <c r="BD266" s="447"/>
      <c r="BE266" s="447"/>
      <c r="BF266" s="447"/>
      <c r="BG266" s="447"/>
      <c r="BH266" s="447"/>
      <c r="BI266" s="447"/>
      <c r="BJ266" s="447"/>
      <c r="BK266" s="447"/>
      <c r="BL266" s="447"/>
      <c r="BM266" s="448"/>
      <c r="BN266" s="448"/>
    </row>
    <row r="267" spans="1:66" ht="11.25" customHeight="1">
      <c r="A267" s="469"/>
      <c r="B267" s="447"/>
      <c r="C267" s="447"/>
      <c r="D267" s="447"/>
      <c r="E267" s="447"/>
      <c r="F267" s="447"/>
      <c r="G267" s="447"/>
      <c r="H267" s="447"/>
      <c r="I267" s="447"/>
      <c r="J267" s="447"/>
      <c r="K267" s="447"/>
      <c r="L267" s="447"/>
      <c r="M267" s="447"/>
      <c r="N267" s="447"/>
      <c r="O267" s="447"/>
      <c r="P267" s="447"/>
      <c r="Q267" s="447"/>
      <c r="R267" s="447"/>
      <c r="S267" s="447"/>
      <c r="T267" s="447"/>
      <c r="U267" s="447"/>
      <c r="V267" s="447"/>
      <c r="W267" s="447"/>
      <c r="X267" s="447"/>
      <c r="Y267" s="447"/>
      <c r="Z267" s="447"/>
      <c r="AA267" s="447"/>
      <c r="AB267" s="447"/>
      <c r="AC267" s="447"/>
      <c r="AD267" s="447"/>
      <c r="AE267" s="447"/>
      <c r="AF267" s="448"/>
      <c r="AG267" s="448"/>
      <c r="AH267" s="448"/>
      <c r="AI267" s="447"/>
      <c r="AJ267" s="447"/>
      <c r="AK267" s="447"/>
      <c r="AL267" s="447"/>
      <c r="AM267" s="447"/>
      <c r="AN267" s="447"/>
      <c r="AO267" s="447"/>
      <c r="AP267" s="447"/>
      <c r="AQ267" s="447"/>
      <c r="AR267" s="447"/>
      <c r="AS267" s="447"/>
      <c r="AT267" s="447"/>
      <c r="AU267" s="447"/>
      <c r="AV267" s="447"/>
      <c r="AW267" s="447"/>
      <c r="AX267" s="447"/>
      <c r="AY267" s="447"/>
      <c r="AZ267" s="447"/>
      <c r="BA267" s="447"/>
      <c r="BB267" s="447"/>
      <c r="BC267" s="447"/>
      <c r="BD267" s="447"/>
      <c r="BE267" s="447"/>
      <c r="BF267" s="447"/>
      <c r="BG267" s="447"/>
      <c r="BH267" s="447"/>
      <c r="BI267" s="447"/>
      <c r="BJ267" s="447"/>
      <c r="BK267" s="447"/>
      <c r="BL267" s="447"/>
      <c r="BM267" s="448"/>
      <c r="BN267" s="448"/>
    </row>
    <row r="268" spans="1:66" ht="11.25" customHeight="1">
      <c r="A268" s="469"/>
      <c r="B268" s="447"/>
      <c r="C268" s="447"/>
      <c r="D268" s="447"/>
      <c r="E268" s="447"/>
      <c r="F268" s="447"/>
      <c r="G268" s="447"/>
      <c r="H268" s="447"/>
      <c r="I268" s="447"/>
      <c r="J268" s="447"/>
      <c r="K268" s="447"/>
      <c r="L268" s="447"/>
      <c r="M268" s="447"/>
      <c r="N268" s="447"/>
      <c r="O268" s="447"/>
      <c r="P268" s="447"/>
      <c r="Q268" s="447"/>
      <c r="R268" s="447"/>
      <c r="S268" s="447"/>
      <c r="T268" s="447"/>
      <c r="U268" s="447"/>
      <c r="V268" s="447"/>
      <c r="W268" s="447"/>
      <c r="X268" s="447"/>
      <c r="Y268" s="447"/>
      <c r="Z268" s="447"/>
      <c r="AA268" s="447"/>
      <c r="AB268" s="447"/>
      <c r="AC268" s="447"/>
      <c r="AD268" s="447"/>
      <c r="AE268" s="447"/>
      <c r="AF268" s="448"/>
      <c r="AG268" s="448"/>
      <c r="AH268" s="448"/>
      <c r="AI268" s="447"/>
      <c r="AJ268" s="447"/>
      <c r="AK268" s="447"/>
      <c r="AL268" s="447"/>
      <c r="AM268" s="447"/>
      <c r="AN268" s="447"/>
      <c r="AO268" s="447"/>
      <c r="AP268" s="447"/>
      <c r="AQ268" s="447"/>
      <c r="AR268" s="447"/>
      <c r="AS268" s="447"/>
      <c r="AT268" s="447"/>
      <c r="AU268" s="447"/>
      <c r="AV268" s="447"/>
      <c r="AW268" s="447"/>
      <c r="AX268" s="447"/>
      <c r="AY268" s="447"/>
      <c r="AZ268" s="447"/>
      <c r="BA268" s="447"/>
      <c r="BB268" s="447"/>
      <c r="BC268" s="447"/>
      <c r="BD268" s="447"/>
      <c r="BE268" s="447"/>
      <c r="BF268" s="447"/>
      <c r="BG268" s="447"/>
      <c r="BH268" s="447"/>
      <c r="BI268" s="447"/>
      <c r="BJ268" s="447"/>
      <c r="BK268" s="447"/>
      <c r="BL268" s="447"/>
      <c r="BM268" s="448"/>
      <c r="BN268" s="448"/>
    </row>
    <row r="269" spans="1:66" ht="11.25" customHeight="1">
      <c r="A269" s="469"/>
      <c r="B269" s="447"/>
      <c r="C269" s="447"/>
      <c r="D269" s="447"/>
      <c r="E269" s="447"/>
      <c r="F269" s="447"/>
      <c r="G269" s="447"/>
      <c r="H269" s="447"/>
      <c r="I269" s="447"/>
      <c r="J269" s="447"/>
      <c r="K269" s="447"/>
      <c r="L269" s="447"/>
      <c r="M269" s="447"/>
      <c r="N269" s="447"/>
      <c r="O269" s="447"/>
      <c r="P269" s="447"/>
      <c r="Q269" s="447"/>
      <c r="R269" s="447"/>
      <c r="S269" s="447"/>
      <c r="T269" s="447"/>
      <c r="U269" s="447"/>
      <c r="V269" s="447"/>
      <c r="W269" s="447"/>
      <c r="X269" s="447"/>
      <c r="Y269" s="447"/>
      <c r="Z269" s="447"/>
      <c r="AA269" s="447"/>
      <c r="AB269" s="447"/>
      <c r="AC269" s="447"/>
      <c r="AD269" s="447"/>
      <c r="AE269" s="447"/>
      <c r="AF269" s="448"/>
      <c r="AG269" s="448"/>
      <c r="AH269" s="448"/>
      <c r="AI269" s="447"/>
      <c r="AJ269" s="447"/>
      <c r="AK269" s="447"/>
      <c r="AL269" s="447"/>
      <c r="AM269" s="447"/>
      <c r="AN269" s="447"/>
      <c r="AO269" s="447"/>
      <c r="AP269" s="447"/>
      <c r="AQ269" s="447"/>
      <c r="AR269" s="447"/>
      <c r="AS269" s="447"/>
      <c r="AT269" s="447"/>
      <c r="AU269" s="447"/>
      <c r="AV269" s="447"/>
      <c r="AW269" s="447"/>
      <c r="AX269" s="447"/>
      <c r="AY269" s="447"/>
      <c r="AZ269" s="447"/>
      <c r="BA269" s="447"/>
      <c r="BB269" s="447"/>
      <c r="BC269" s="447"/>
      <c r="BD269" s="447"/>
      <c r="BE269" s="447"/>
      <c r="BF269" s="447"/>
      <c r="BG269" s="447"/>
      <c r="BH269" s="447"/>
      <c r="BI269" s="447"/>
      <c r="BJ269" s="447"/>
      <c r="BK269" s="447"/>
      <c r="BL269" s="447"/>
      <c r="BM269" s="448"/>
      <c r="BN269" s="448"/>
    </row>
    <row r="270" spans="1:66" ht="11.25" customHeight="1">
      <c r="A270" s="469"/>
      <c r="B270" s="447"/>
      <c r="C270" s="447"/>
      <c r="D270" s="447"/>
      <c r="E270" s="447"/>
      <c r="F270" s="447"/>
      <c r="G270" s="447"/>
      <c r="H270" s="447"/>
      <c r="I270" s="447"/>
      <c r="J270" s="447"/>
      <c r="K270" s="447"/>
      <c r="L270" s="447"/>
      <c r="M270" s="447"/>
      <c r="N270" s="447"/>
      <c r="O270" s="447"/>
      <c r="P270" s="447"/>
      <c r="Q270" s="447"/>
      <c r="R270" s="447"/>
      <c r="S270" s="447"/>
      <c r="T270" s="447"/>
      <c r="U270" s="447"/>
      <c r="V270" s="447"/>
      <c r="W270" s="447"/>
      <c r="X270" s="447"/>
      <c r="Y270" s="447"/>
      <c r="Z270" s="447"/>
      <c r="AA270" s="447"/>
      <c r="AB270" s="447"/>
      <c r="AC270" s="447"/>
      <c r="AD270" s="447"/>
      <c r="AE270" s="447"/>
      <c r="AF270" s="448"/>
      <c r="AG270" s="448"/>
      <c r="AH270" s="448"/>
      <c r="AI270" s="447"/>
      <c r="AJ270" s="447"/>
      <c r="AK270" s="447"/>
      <c r="AL270" s="447"/>
      <c r="AM270" s="447"/>
      <c r="AN270" s="447"/>
      <c r="AO270" s="447"/>
      <c r="AP270" s="447"/>
      <c r="AQ270" s="447"/>
      <c r="AR270" s="447"/>
      <c r="AS270" s="447"/>
      <c r="AT270" s="447"/>
      <c r="AU270" s="447"/>
      <c r="AV270" s="447"/>
      <c r="AW270" s="447"/>
      <c r="AX270" s="447"/>
      <c r="AY270" s="447"/>
      <c r="AZ270" s="447"/>
      <c r="BA270" s="447"/>
      <c r="BB270" s="447"/>
      <c r="BC270" s="447"/>
      <c r="BD270" s="447"/>
      <c r="BE270" s="447"/>
      <c r="BF270" s="447"/>
      <c r="BG270" s="447"/>
      <c r="BH270" s="447"/>
      <c r="BI270" s="447"/>
      <c r="BJ270" s="447"/>
      <c r="BK270" s="447"/>
      <c r="BL270" s="447"/>
      <c r="BM270" s="448"/>
      <c r="BN270" s="448"/>
    </row>
    <row r="271" spans="1:66" ht="11.25" customHeight="1">
      <c r="A271" s="469"/>
      <c r="B271" s="447"/>
      <c r="C271" s="447"/>
      <c r="D271" s="447"/>
      <c r="E271" s="447"/>
      <c r="F271" s="447"/>
      <c r="G271" s="447"/>
      <c r="H271" s="447"/>
      <c r="I271" s="447"/>
      <c r="J271" s="447"/>
      <c r="K271" s="447"/>
      <c r="L271" s="447"/>
      <c r="M271" s="447"/>
      <c r="N271" s="447"/>
      <c r="O271" s="447"/>
      <c r="P271" s="447"/>
      <c r="Q271" s="447"/>
      <c r="R271" s="447"/>
      <c r="S271" s="447"/>
      <c r="T271" s="447"/>
      <c r="U271" s="447"/>
      <c r="V271" s="447"/>
      <c r="W271" s="447"/>
      <c r="X271" s="447"/>
      <c r="Y271" s="447"/>
      <c r="Z271" s="447"/>
      <c r="AA271" s="447"/>
      <c r="AB271" s="447"/>
      <c r="AC271" s="447"/>
      <c r="AD271" s="447"/>
      <c r="AE271" s="447"/>
      <c r="AF271" s="448"/>
      <c r="AG271" s="448"/>
      <c r="AH271" s="448"/>
      <c r="AI271" s="447"/>
      <c r="AJ271" s="447"/>
      <c r="AK271" s="447"/>
      <c r="AL271" s="447"/>
      <c r="AM271" s="447"/>
      <c r="AN271" s="447"/>
      <c r="AO271" s="447"/>
      <c r="AP271" s="447"/>
      <c r="AQ271" s="447"/>
      <c r="AR271" s="447"/>
      <c r="AS271" s="447"/>
      <c r="AT271" s="447"/>
      <c r="AU271" s="447"/>
      <c r="AV271" s="447"/>
      <c r="AW271" s="447"/>
      <c r="AX271" s="447"/>
      <c r="AY271" s="447"/>
      <c r="AZ271" s="447"/>
      <c r="BA271" s="447"/>
      <c r="BB271" s="447"/>
      <c r="BC271" s="447"/>
      <c r="BD271" s="447"/>
      <c r="BE271" s="447"/>
      <c r="BF271" s="447"/>
      <c r="BG271" s="447"/>
      <c r="BH271" s="447"/>
      <c r="BI271" s="447"/>
      <c r="BJ271" s="447"/>
      <c r="BK271" s="447"/>
      <c r="BL271" s="447"/>
      <c r="BM271" s="448"/>
      <c r="BN271" s="448"/>
    </row>
    <row r="272" spans="1:66" ht="11.25" customHeight="1">
      <c r="A272" s="469"/>
      <c r="B272" s="447"/>
      <c r="C272" s="447"/>
      <c r="D272" s="447"/>
      <c r="E272" s="447"/>
      <c r="F272" s="447"/>
      <c r="G272" s="447"/>
      <c r="H272" s="447"/>
      <c r="I272" s="447"/>
      <c r="J272" s="447"/>
      <c r="K272" s="447"/>
      <c r="L272" s="447"/>
      <c r="M272" s="447"/>
      <c r="N272" s="447"/>
      <c r="O272" s="447"/>
      <c r="P272" s="447"/>
      <c r="Q272" s="447"/>
      <c r="R272" s="447"/>
      <c r="S272" s="447"/>
      <c r="T272" s="447"/>
      <c r="U272" s="447"/>
      <c r="V272" s="447"/>
      <c r="W272" s="447"/>
      <c r="X272" s="447"/>
      <c r="Y272" s="447"/>
      <c r="Z272" s="447"/>
      <c r="AA272" s="447"/>
      <c r="AB272" s="447"/>
      <c r="AC272" s="447"/>
      <c r="AD272" s="447"/>
      <c r="AE272" s="447"/>
      <c r="AF272" s="448"/>
      <c r="AG272" s="448"/>
      <c r="AH272" s="448"/>
      <c r="AI272" s="447"/>
      <c r="AJ272" s="447"/>
      <c r="AK272" s="447"/>
      <c r="AL272" s="447"/>
      <c r="AM272" s="447"/>
      <c r="AN272" s="447"/>
      <c r="AO272" s="447"/>
      <c r="AP272" s="447"/>
      <c r="AQ272" s="447"/>
      <c r="AR272" s="447"/>
      <c r="AS272" s="447"/>
      <c r="AT272" s="447"/>
      <c r="AU272" s="447"/>
      <c r="AV272" s="447"/>
      <c r="AW272" s="447"/>
      <c r="AX272" s="447"/>
      <c r="AY272" s="447"/>
      <c r="AZ272" s="447"/>
      <c r="BA272" s="447"/>
      <c r="BB272" s="447"/>
      <c r="BC272" s="447"/>
      <c r="BD272" s="447"/>
      <c r="BE272" s="447"/>
      <c r="BF272" s="447"/>
      <c r="BG272" s="447"/>
      <c r="BH272" s="447"/>
      <c r="BI272" s="447"/>
      <c r="BJ272" s="447"/>
      <c r="BK272" s="447"/>
      <c r="BL272" s="447"/>
      <c r="BM272" s="448"/>
      <c r="BN272" s="448"/>
    </row>
    <row r="273" spans="1:66" ht="11.25" customHeight="1">
      <c r="A273" s="469"/>
      <c r="B273" s="447"/>
      <c r="C273" s="447"/>
      <c r="D273" s="447"/>
      <c r="E273" s="447"/>
      <c r="F273" s="447"/>
      <c r="G273" s="447"/>
      <c r="H273" s="447"/>
      <c r="I273" s="447"/>
      <c r="J273" s="447"/>
      <c r="K273" s="447"/>
      <c r="L273" s="447"/>
      <c r="M273" s="447"/>
      <c r="N273" s="447"/>
      <c r="O273" s="447"/>
      <c r="P273" s="447"/>
      <c r="Q273" s="447"/>
      <c r="R273" s="447"/>
      <c r="S273" s="447"/>
      <c r="T273" s="447"/>
      <c r="U273" s="447"/>
      <c r="V273" s="447"/>
      <c r="W273" s="447"/>
      <c r="X273" s="447"/>
      <c r="Y273" s="447"/>
      <c r="Z273" s="447"/>
      <c r="AA273" s="447"/>
      <c r="AB273" s="447"/>
      <c r="AC273" s="447"/>
      <c r="AD273" s="447"/>
      <c r="AE273" s="447"/>
      <c r="AF273" s="448"/>
      <c r="AG273" s="448"/>
      <c r="AH273" s="448"/>
      <c r="AI273" s="447"/>
      <c r="AJ273" s="447"/>
      <c r="AK273" s="447"/>
      <c r="AL273" s="447"/>
      <c r="AM273" s="447"/>
      <c r="AN273" s="447"/>
      <c r="AO273" s="447"/>
      <c r="AP273" s="447"/>
      <c r="AQ273" s="447"/>
      <c r="AR273" s="447"/>
      <c r="AS273" s="447"/>
      <c r="AT273" s="447"/>
      <c r="AU273" s="447"/>
      <c r="AV273" s="447"/>
      <c r="AW273" s="447"/>
      <c r="AX273" s="447"/>
      <c r="AY273" s="447"/>
      <c r="AZ273" s="447"/>
      <c r="BA273" s="447"/>
      <c r="BB273" s="447"/>
      <c r="BC273" s="447"/>
      <c r="BD273" s="447"/>
      <c r="BE273" s="447"/>
      <c r="BF273" s="447"/>
      <c r="BG273" s="447"/>
      <c r="BH273" s="447"/>
      <c r="BI273" s="447"/>
      <c r="BJ273" s="447"/>
      <c r="BK273" s="447"/>
      <c r="BL273" s="447"/>
      <c r="BM273" s="448"/>
      <c r="BN273" s="448"/>
    </row>
    <row r="274" spans="1:66" ht="11.25" customHeight="1">
      <c r="A274" s="469"/>
      <c r="B274" s="447"/>
      <c r="C274" s="447"/>
      <c r="D274" s="447"/>
      <c r="E274" s="447"/>
      <c r="F274" s="447"/>
      <c r="G274" s="447"/>
      <c r="H274" s="447"/>
      <c r="I274" s="447"/>
      <c r="J274" s="447"/>
      <c r="K274" s="447"/>
      <c r="L274" s="447"/>
      <c r="M274" s="447"/>
      <c r="N274" s="447"/>
      <c r="O274" s="447"/>
      <c r="P274" s="447"/>
      <c r="Q274" s="447"/>
      <c r="R274" s="447"/>
      <c r="S274" s="447"/>
      <c r="T274" s="447"/>
      <c r="U274" s="447"/>
      <c r="V274" s="447"/>
      <c r="W274" s="447"/>
      <c r="X274" s="447"/>
      <c r="Y274" s="447"/>
      <c r="Z274" s="447"/>
      <c r="AA274" s="447"/>
      <c r="AB274" s="447"/>
      <c r="AC274" s="447"/>
      <c r="AD274" s="447"/>
      <c r="AE274" s="447"/>
      <c r="AF274" s="448"/>
      <c r="AG274" s="448"/>
      <c r="AH274" s="448"/>
      <c r="AI274" s="447"/>
      <c r="AJ274" s="447"/>
      <c r="AK274" s="447"/>
      <c r="AL274" s="447"/>
      <c r="AM274" s="447"/>
      <c r="AN274" s="447"/>
      <c r="AO274" s="447"/>
      <c r="AP274" s="447"/>
      <c r="AQ274" s="447"/>
      <c r="AR274" s="447"/>
      <c r="AS274" s="447"/>
      <c r="AT274" s="447"/>
      <c r="AU274" s="447"/>
      <c r="AV274" s="447"/>
      <c r="AW274" s="447"/>
      <c r="AX274" s="447"/>
      <c r="AY274" s="447"/>
      <c r="AZ274" s="447"/>
      <c r="BA274" s="447"/>
      <c r="BB274" s="447"/>
      <c r="BC274" s="447"/>
      <c r="BD274" s="447"/>
      <c r="BE274" s="447"/>
      <c r="BF274" s="447"/>
      <c r="BG274" s="447"/>
      <c r="BH274" s="447"/>
      <c r="BI274" s="447"/>
      <c r="BJ274" s="447"/>
      <c r="BK274" s="447"/>
      <c r="BL274" s="447"/>
      <c r="BM274" s="448"/>
      <c r="BN274" s="448"/>
    </row>
    <row r="275" spans="1:66" ht="11.25" customHeight="1">
      <c r="A275" s="469"/>
      <c r="B275" s="447"/>
      <c r="C275" s="447"/>
      <c r="D275" s="447"/>
      <c r="E275" s="447"/>
      <c r="F275" s="447"/>
      <c r="G275" s="447"/>
      <c r="H275" s="447"/>
      <c r="I275" s="447"/>
      <c r="J275" s="447"/>
      <c r="K275" s="447"/>
      <c r="L275" s="447"/>
      <c r="M275" s="447"/>
      <c r="N275" s="447"/>
      <c r="O275" s="447"/>
      <c r="P275" s="447"/>
      <c r="Q275" s="447"/>
      <c r="R275" s="447"/>
      <c r="S275" s="447"/>
      <c r="T275" s="447"/>
      <c r="U275" s="447"/>
      <c r="V275" s="447"/>
      <c r="W275" s="447"/>
      <c r="X275" s="447"/>
      <c r="Y275" s="447"/>
      <c r="Z275" s="447"/>
      <c r="AA275" s="447"/>
      <c r="AB275" s="447"/>
      <c r="AC275" s="447"/>
      <c r="AD275" s="447"/>
      <c r="AE275" s="447"/>
      <c r="AF275" s="448"/>
      <c r="AG275" s="448"/>
      <c r="AH275" s="448"/>
      <c r="AI275" s="447"/>
      <c r="AJ275" s="447"/>
      <c r="AK275" s="447"/>
      <c r="AL275" s="447"/>
      <c r="AM275" s="447"/>
      <c r="AN275" s="447"/>
      <c r="AO275" s="447"/>
      <c r="AP275" s="447"/>
      <c r="AQ275" s="447"/>
      <c r="AR275" s="447"/>
      <c r="AS275" s="447"/>
      <c r="AT275" s="447"/>
      <c r="AU275" s="447"/>
      <c r="AV275" s="447"/>
      <c r="AW275" s="447"/>
      <c r="AX275" s="447"/>
      <c r="AY275" s="447"/>
      <c r="AZ275" s="447"/>
      <c r="BA275" s="447"/>
      <c r="BB275" s="447"/>
      <c r="BC275" s="447"/>
      <c r="BD275" s="447"/>
      <c r="BE275" s="447"/>
      <c r="BF275" s="447"/>
      <c r="BG275" s="447"/>
      <c r="BH275" s="447"/>
      <c r="BI275" s="447"/>
      <c r="BJ275" s="447"/>
      <c r="BK275" s="447"/>
      <c r="BL275" s="447"/>
      <c r="BM275" s="448"/>
      <c r="BN275" s="448"/>
    </row>
    <row r="276" spans="1:66" ht="11.25" customHeight="1">
      <c r="A276" s="469"/>
      <c r="B276" s="447"/>
      <c r="C276" s="447"/>
      <c r="D276" s="447"/>
      <c r="E276" s="447"/>
      <c r="F276" s="447"/>
      <c r="G276" s="447"/>
      <c r="H276" s="447"/>
      <c r="I276" s="447"/>
      <c r="J276" s="447"/>
      <c r="K276" s="447"/>
      <c r="L276" s="447"/>
      <c r="M276" s="447"/>
      <c r="N276" s="447"/>
      <c r="O276" s="447"/>
      <c r="P276" s="447"/>
      <c r="Q276" s="447"/>
      <c r="R276" s="447"/>
      <c r="S276" s="447"/>
      <c r="T276" s="447"/>
      <c r="U276" s="447"/>
      <c r="V276" s="447"/>
      <c r="W276" s="447"/>
      <c r="X276" s="447"/>
      <c r="Y276" s="447"/>
      <c r="Z276" s="447"/>
      <c r="AA276" s="447"/>
      <c r="AB276" s="447"/>
      <c r="AC276" s="447"/>
      <c r="AD276" s="447"/>
      <c r="AE276" s="447"/>
      <c r="AF276" s="448"/>
      <c r="AG276" s="448"/>
      <c r="AH276" s="448"/>
      <c r="AI276" s="447"/>
      <c r="AJ276" s="447"/>
      <c r="AK276" s="447"/>
      <c r="AL276" s="447"/>
      <c r="AM276" s="447"/>
      <c r="AN276" s="447"/>
      <c r="AO276" s="447"/>
      <c r="AP276" s="447"/>
      <c r="AQ276" s="447"/>
      <c r="AR276" s="447"/>
      <c r="AS276" s="447"/>
      <c r="AT276" s="447"/>
      <c r="AU276" s="447"/>
      <c r="AV276" s="447"/>
      <c r="AW276" s="447"/>
      <c r="AX276" s="447"/>
      <c r="AY276" s="447"/>
      <c r="AZ276" s="447"/>
      <c r="BA276" s="447"/>
      <c r="BB276" s="447"/>
      <c r="BC276" s="447"/>
      <c r="BD276" s="447"/>
      <c r="BE276" s="447"/>
      <c r="BF276" s="447"/>
      <c r="BG276" s="447"/>
      <c r="BH276" s="447"/>
      <c r="BI276" s="447"/>
      <c r="BJ276" s="447"/>
      <c r="BK276" s="447"/>
      <c r="BL276" s="447"/>
      <c r="BM276" s="448"/>
      <c r="BN276" s="448"/>
    </row>
    <row r="277" spans="1:66" ht="11.25" customHeight="1">
      <c r="A277" s="469"/>
      <c r="B277" s="447"/>
      <c r="C277" s="447"/>
      <c r="D277" s="447"/>
      <c r="E277" s="447"/>
      <c r="F277" s="447"/>
      <c r="G277" s="447"/>
      <c r="H277" s="447"/>
      <c r="I277" s="447"/>
      <c r="J277" s="447"/>
      <c r="K277" s="447"/>
      <c r="L277" s="447"/>
      <c r="M277" s="447"/>
      <c r="N277" s="447"/>
      <c r="O277" s="447"/>
      <c r="P277" s="447"/>
      <c r="Q277" s="447"/>
      <c r="R277" s="447"/>
      <c r="S277" s="447"/>
      <c r="T277" s="447"/>
      <c r="U277" s="447"/>
      <c r="V277" s="447"/>
      <c r="W277" s="447"/>
      <c r="X277" s="447"/>
      <c r="Y277" s="447"/>
      <c r="Z277" s="447"/>
      <c r="AA277" s="447"/>
      <c r="AB277" s="447"/>
      <c r="AC277" s="447"/>
      <c r="AD277" s="447"/>
      <c r="AE277" s="447"/>
      <c r="AF277" s="448"/>
      <c r="AG277" s="448"/>
      <c r="AH277" s="448"/>
      <c r="AI277" s="447"/>
      <c r="AJ277" s="447"/>
      <c r="AK277" s="447"/>
      <c r="AL277" s="447"/>
      <c r="AM277" s="447"/>
      <c r="AN277" s="447"/>
      <c r="AO277" s="447"/>
      <c r="AP277" s="447"/>
      <c r="AQ277" s="447"/>
      <c r="AR277" s="447"/>
      <c r="AS277" s="447"/>
      <c r="AT277" s="447"/>
      <c r="AU277" s="447"/>
      <c r="AV277" s="447"/>
      <c r="AW277" s="447"/>
      <c r="AX277" s="447"/>
      <c r="AY277" s="447"/>
      <c r="AZ277" s="447"/>
      <c r="BA277" s="447"/>
      <c r="BB277" s="447"/>
      <c r="BC277" s="447"/>
      <c r="BD277" s="447"/>
      <c r="BE277" s="447"/>
      <c r="BF277" s="447"/>
      <c r="BG277" s="447"/>
      <c r="BH277" s="447"/>
      <c r="BI277" s="447"/>
      <c r="BJ277" s="447"/>
      <c r="BK277" s="447"/>
      <c r="BL277" s="447"/>
      <c r="BM277" s="448"/>
      <c r="BN277" s="448"/>
    </row>
    <row r="278" spans="1:66" ht="11.25" customHeight="1">
      <c r="A278" s="469"/>
      <c r="B278" s="447"/>
      <c r="C278" s="447"/>
      <c r="D278" s="447"/>
      <c r="E278" s="447"/>
      <c r="F278" s="447"/>
      <c r="G278" s="447"/>
      <c r="H278" s="447"/>
      <c r="I278" s="447"/>
      <c r="J278" s="447"/>
      <c r="K278" s="447"/>
      <c r="L278" s="447"/>
      <c r="M278" s="447"/>
      <c r="N278" s="447"/>
      <c r="O278" s="447"/>
      <c r="P278" s="447"/>
      <c r="Q278" s="447"/>
      <c r="R278" s="447"/>
      <c r="S278" s="447"/>
      <c r="T278" s="447"/>
      <c r="U278" s="447"/>
      <c r="V278" s="447"/>
      <c r="W278" s="447"/>
      <c r="X278" s="447"/>
      <c r="Y278" s="447"/>
      <c r="Z278" s="447"/>
      <c r="AA278" s="447"/>
      <c r="AB278" s="447"/>
      <c r="AC278" s="447"/>
      <c r="AD278" s="447"/>
      <c r="AE278" s="447"/>
      <c r="AF278" s="448"/>
      <c r="AG278" s="448"/>
      <c r="AH278" s="448"/>
      <c r="AI278" s="447"/>
      <c r="AJ278" s="447"/>
      <c r="AK278" s="447"/>
      <c r="AL278" s="447"/>
      <c r="AM278" s="447"/>
      <c r="AN278" s="447"/>
      <c r="AO278" s="447"/>
      <c r="AP278" s="447"/>
      <c r="AQ278" s="447"/>
      <c r="AR278" s="447"/>
      <c r="AS278" s="447"/>
      <c r="AT278" s="447"/>
      <c r="AU278" s="447"/>
      <c r="AV278" s="447"/>
      <c r="AW278" s="447"/>
      <c r="AX278" s="447"/>
      <c r="AY278" s="447"/>
      <c r="AZ278" s="447"/>
      <c r="BA278" s="447"/>
      <c r="BB278" s="447"/>
      <c r="BC278" s="447"/>
      <c r="BD278" s="447"/>
      <c r="BE278" s="447"/>
      <c r="BF278" s="447"/>
      <c r="BG278" s="447"/>
      <c r="BH278" s="447"/>
      <c r="BI278" s="447"/>
      <c r="BJ278" s="447"/>
      <c r="BK278" s="447"/>
      <c r="BL278" s="447"/>
      <c r="BM278" s="448"/>
      <c r="BN278" s="448"/>
    </row>
    <row r="279" spans="1:66" ht="11.25" customHeight="1">
      <c r="A279" s="469"/>
      <c r="B279" s="447"/>
      <c r="C279" s="447"/>
      <c r="D279" s="447"/>
      <c r="E279" s="447"/>
      <c r="F279" s="447"/>
      <c r="G279" s="447"/>
      <c r="H279" s="447"/>
      <c r="I279" s="447"/>
      <c r="J279" s="447"/>
      <c r="K279" s="447"/>
      <c r="L279" s="447"/>
      <c r="M279" s="447"/>
      <c r="N279" s="447"/>
      <c r="O279" s="447"/>
      <c r="P279" s="447"/>
      <c r="Q279" s="447"/>
      <c r="R279" s="447"/>
      <c r="S279" s="447"/>
      <c r="T279" s="447"/>
      <c r="U279" s="447"/>
      <c r="V279" s="447"/>
      <c r="W279" s="447"/>
      <c r="X279" s="447"/>
      <c r="Y279" s="447"/>
      <c r="Z279" s="447"/>
      <c r="AA279" s="447"/>
      <c r="AB279" s="447"/>
      <c r="AC279" s="447"/>
      <c r="AD279" s="447"/>
      <c r="AE279" s="447"/>
      <c r="AF279" s="448"/>
      <c r="AG279" s="448"/>
      <c r="AH279" s="448"/>
      <c r="AI279" s="447"/>
      <c r="AJ279" s="447"/>
      <c r="AK279" s="447"/>
      <c r="AL279" s="447"/>
      <c r="AM279" s="447"/>
      <c r="AN279" s="447"/>
      <c r="AO279" s="447"/>
      <c r="AP279" s="447"/>
      <c r="AQ279" s="447"/>
      <c r="AR279" s="447"/>
      <c r="AS279" s="447"/>
      <c r="AT279" s="447"/>
      <c r="AU279" s="447"/>
      <c r="AV279" s="447"/>
      <c r="AW279" s="447"/>
      <c r="AX279" s="447"/>
      <c r="AY279" s="447"/>
      <c r="AZ279" s="447"/>
      <c r="BA279" s="447"/>
      <c r="BB279" s="447"/>
      <c r="BC279" s="447"/>
      <c r="BD279" s="447"/>
      <c r="BE279" s="447"/>
      <c r="BF279" s="447"/>
      <c r="BG279" s="447"/>
      <c r="BH279" s="447"/>
      <c r="BI279" s="447"/>
      <c r="BJ279" s="447"/>
      <c r="BK279" s="447"/>
      <c r="BL279" s="447"/>
      <c r="BM279" s="448"/>
      <c r="BN279" s="448"/>
    </row>
    <row r="280" spans="1:66" ht="11.25" customHeight="1">
      <c r="A280" s="469"/>
      <c r="B280" s="447"/>
      <c r="C280" s="447"/>
      <c r="D280" s="447"/>
      <c r="E280" s="447"/>
      <c r="F280" s="447"/>
      <c r="G280" s="447"/>
      <c r="H280" s="447"/>
      <c r="I280" s="447"/>
      <c r="J280" s="447"/>
      <c r="K280" s="447"/>
      <c r="L280" s="447"/>
      <c r="M280" s="447"/>
      <c r="N280" s="447"/>
      <c r="O280" s="447"/>
      <c r="P280" s="447"/>
      <c r="Q280" s="447"/>
      <c r="R280" s="447"/>
      <c r="S280" s="447"/>
      <c r="T280" s="447"/>
      <c r="U280" s="447"/>
      <c r="V280" s="447"/>
      <c r="W280" s="447"/>
      <c r="X280" s="447"/>
      <c r="Y280" s="447"/>
      <c r="Z280" s="447"/>
      <c r="AA280" s="447"/>
      <c r="AB280" s="447"/>
      <c r="AC280" s="447"/>
      <c r="AD280" s="447"/>
      <c r="AE280" s="447"/>
      <c r="AF280" s="448"/>
      <c r="AG280" s="448"/>
      <c r="AH280" s="448"/>
      <c r="AI280" s="447"/>
      <c r="AJ280" s="447"/>
      <c r="AK280" s="447"/>
      <c r="AL280" s="447"/>
      <c r="AM280" s="447"/>
      <c r="AN280" s="447"/>
      <c r="AO280" s="447"/>
      <c r="AP280" s="447"/>
      <c r="AQ280" s="447"/>
      <c r="AR280" s="447"/>
      <c r="AS280" s="447"/>
      <c r="AT280" s="447"/>
      <c r="AU280" s="447"/>
      <c r="AV280" s="447"/>
      <c r="AW280" s="447"/>
      <c r="AX280" s="447"/>
      <c r="AY280" s="447"/>
      <c r="AZ280" s="447"/>
      <c r="BA280" s="447"/>
      <c r="BB280" s="447"/>
      <c r="BC280" s="447"/>
      <c r="BD280" s="447"/>
      <c r="BE280" s="447"/>
      <c r="BF280" s="447"/>
      <c r="BG280" s="447"/>
      <c r="BH280" s="447"/>
      <c r="BI280" s="447"/>
      <c r="BJ280" s="447"/>
      <c r="BK280" s="447"/>
      <c r="BL280" s="447"/>
      <c r="BM280" s="448"/>
      <c r="BN280" s="448"/>
    </row>
    <row r="281" spans="1:66" ht="11.25" customHeight="1">
      <c r="A281" s="469"/>
      <c r="B281" s="447"/>
      <c r="C281" s="447"/>
      <c r="D281" s="447"/>
      <c r="E281" s="447"/>
      <c r="F281" s="447"/>
      <c r="G281" s="447"/>
      <c r="H281" s="447"/>
      <c r="I281" s="447"/>
      <c r="J281" s="447"/>
      <c r="K281" s="447"/>
      <c r="L281" s="447"/>
      <c r="M281" s="447"/>
      <c r="N281" s="447"/>
      <c r="O281" s="447"/>
      <c r="P281" s="447"/>
      <c r="Q281" s="447"/>
      <c r="R281" s="447"/>
      <c r="S281" s="447"/>
      <c r="T281" s="447"/>
      <c r="U281" s="447"/>
      <c r="V281" s="447"/>
      <c r="W281" s="447"/>
      <c r="X281" s="447"/>
      <c r="Y281" s="447"/>
      <c r="Z281" s="447"/>
      <c r="AA281" s="447"/>
      <c r="AB281" s="447"/>
      <c r="AC281" s="447"/>
      <c r="AD281" s="447"/>
      <c r="AE281" s="447"/>
      <c r="AF281" s="448"/>
      <c r="AG281" s="448"/>
      <c r="AH281" s="448"/>
      <c r="AI281" s="447"/>
      <c r="AJ281" s="447"/>
      <c r="AK281" s="447"/>
      <c r="AL281" s="447"/>
      <c r="AM281" s="447"/>
      <c r="AN281" s="447"/>
      <c r="AO281" s="447"/>
      <c r="AP281" s="447"/>
      <c r="AQ281" s="447"/>
      <c r="AR281" s="447"/>
      <c r="AS281" s="447"/>
      <c r="AT281" s="447"/>
      <c r="AU281" s="447"/>
      <c r="AV281" s="447"/>
      <c r="AW281" s="447"/>
      <c r="AX281" s="447"/>
      <c r="AY281" s="447"/>
      <c r="AZ281" s="447"/>
      <c r="BA281" s="447"/>
      <c r="BB281" s="447"/>
      <c r="BC281" s="447"/>
      <c r="BD281" s="447"/>
      <c r="BE281" s="447"/>
      <c r="BF281" s="447"/>
      <c r="BG281" s="447"/>
      <c r="BH281" s="447"/>
      <c r="BI281" s="447"/>
      <c r="BJ281" s="447"/>
      <c r="BK281" s="447"/>
      <c r="BL281" s="447"/>
      <c r="BM281" s="448"/>
      <c r="BN281" s="448"/>
    </row>
    <row r="282" spans="1:66" ht="11.25" customHeight="1">
      <c r="A282" s="469"/>
      <c r="B282" s="447"/>
      <c r="C282" s="447"/>
      <c r="D282" s="447"/>
      <c r="E282" s="447"/>
      <c r="F282" s="447"/>
      <c r="G282" s="447"/>
      <c r="H282" s="447"/>
      <c r="I282" s="447"/>
      <c r="J282" s="447"/>
      <c r="K282" s="447"/>
      <c r="L282" s="447"/>
      <c r="M282" s="447"/>
      <c r="N282" s="447"/>
      <c r="O282" s="447"/>
      <c r="P282" s="447"/>
      <c r="Q282" s="447"/>
      <c r="R282" s="447"/>
      <c r="S282" s="447"/>
      <c r="T282" s="447"/>
      <c r="U282" s="447"/>
      <c r="V282" s="447"/>
      <c r="W282" s="447"/>
      <c r="X282" s="447"/>
      <c r="Y282" s="447"/>
      <c r="Z282" s="447"/>
      <c r="AA282" s="447"/>
      <c r="AB282" s="447"/>
      <c r="AC282" s="447"/>
      <c r="AD282" s="447"/>
      <c r="AE282" s="447"/>
      <c r="AF282" s="448"/>
      <c r="AG282" s="448"/>
      <c r="AH282" s="448"/>
      <c r="AI282" s="447"/>
      <c r="AJ282" s="447"/>
      <c r="AK282" s="447"/>
      <c r="AL282" s="447"/>
      <c r="AM282" s="447"/>
      <c r="AN282" s="447"/>
      <c r="AO282" s="447"/>
      <c r="AP282" s="447"/>
      <c r="AQ282" s="447"/>
      <c r="AR282" s="447"/>
      <c r="AS282" s="447"/>
      <c r="AT282" s="447"/>
      <c r="AU282" s="447"/>
      <c r="AV282" s="447"/>
      <c r="AW282" s="447"/>
      <c r="AX282" s="447"/>
      <c r="AY282" s="447"/>
      <c r="AZ282" s="447"/>
      <c r="BA282" s="447"/>
      <c r="BB282" s="447"/>
      <c r="BC282" s="447"/>
      <c r="BD282" s="447"/>
      <c r="BE282" s="447"/>
      <c r="BF282" s="447"/>
      <c r="BG282" s="447"/>
      <c r="BH282" s="447"/>
      <c r="BI282" s="447"/>
      <c r="BJ282" s="447"/>
      <c r="BK282" s="447"/>
      <c r="BL282" s="447"/>
      <c r="BM282" s="448"/>
      <c r="BN282" s="448"/>
    </row>
    <row r="283" spans="1:66" ht="11.25" customHeight="1">
      <c r="A283" s="469"/>
      <c r="B283" s="447"/>
      <c r="C283" s="447"/>
      <c r="D283" s="447"/>
      <c r="E283" s="447"/>
      <c r="F283" s="447"/>
      <c r="G283" s="447"/>
      <c r="H283" s="447"/>
      <c r="I283" s="447"/>
      <c r="J283" s="447"/>
      <c r="K283" s="447"/>
      <c r="L283" s="447"/>
      <c r="M283" s="447"/>
      <c r="N283" s="447"/>
      <c r="O283" s="447"/>
      <c r="P283" s="447"/>
      <c r="Q283" s="447"/>
      <c r="R283" s="447"/>
      <c r="S283" s="447"/>
      <c r="T283" s="447"/>
      <c r="U283" s="447"/>
      <c r="V283" s="447"/>
      <c r="W283" s="447"/>
      <c r="X283" s="447"/>
      <c r="Y283" s="447"/>
      <c r="Z283" s="447"/>
      <c r="AA283" s="447"/>
      <c r="AB283" s="447"/>
      <c r="AC283" s="447"/>
      <c r="AD283" s="447"/>
      <c r="AE283" s="447"/>
      <c r="AF283" s="448"/>
      <c r="AG283" s="448"/>
      <c r="AH283" s="448"/>
      <c r="AI283" s="447"/>
      <c r="AJ283" s="447"/>
      <c r="AK283" s="447"/>
      <c r="AL283" s="447"/>
      <c r="AM283" s="447"/>
      <c r="AN283" s="447"/>
      <c r="AO283" s="447"/>
      <c r="AP283" s="447"/>
      <c r="AQ283" s="447"/>
      <c r="AR283" s="447"/>
      <c r="AS283" s="447"/>
      <c r="AT283" s="447"/>
      <c r="AU283" s="447"/>
      <c r="AV283" s="447"/>
      <c r="AW283" s="447"/>
      <c r="AX283" s="447"/>
      <c r="AY283" s="447"/>
      <c r="AZ283" s="447"/>
      <c r="BA283" s="447"/>
      <c r="BB283" s="447"/>
      <c r="BC283" s="447"/>
      <c r="BD283" s="447"/>
      <c r="BE283" s="447"/>
      <c r="BF283" s="447"/>
      <c r="BG283" s="447"/>
      <c r="BH283" s="447"/>
      <c r="BI283" s="447"/>
      <c r="BJ283" s="447"/>
      <c r="BK283" s="447"/>
      <c r="BL283" s="447"/>
      <c r="BM283" s="448"/>
      <c r="BN283" s="448"/>
    </row>
    <row r="284" spans="1:66" ht="11.25" customHeight="1">
      <c r="A284" s="469"/>
      <c r="B284" s="447"/>
      <c r="C284" s="447"/>
      <c r="D284" s="447"/>
      <c r="E284" s="447"/>
      <c r="F284" s="447"/>
      <c r="G284" s="447"/>
      <c r="H284" s="447"/>
      <c r="I284" s="447"/>
      <c r="J284" s="447"/>
      <c r="K284" s="447"/>
      <c r="L284" s="447"/>
      <c r="M284" s="447"/>
      <c r="N284" s="447"/>
      <c r="O284" s="447"/>
      <c r="P284" s="447"/>
      <c r="Q284" s="447"/>
      <c r="R284" s="447"/>
      <c r="S284" s="447"/>
      <c r="T284" s="447"/>
      <c r="U284" s="447"/>
      <c r="V284" s="447"/>
      <c r="W284" s="447"/>
      <c r="X284" s="447"/>
      <c r="Y284" s="447"/>
      <c r="Z284" s="447"/>
      <c r="AA284" s="447"/>
      <c r="AB284" s="447"/>
      <c r="AC284" s="447"/>
      <c r="AD284" s="447"/>
      <c r="AE284" s="447"/>
      <c r="AF284" s="448"/>
      <c r="AG284" s="448"/>
      <c r="AH284" s="448"/>
      <c r="AI284" s="447"/>
      <c r="AJ284" s="447"/>
      <c r="AK284" s="447"/>
      <c r="AL284" s="447"/>
      <c r="AM284" s="447"/>
      <c r="AN284" s="447"/>
      <c r="AO284" s="447"/>
      <c r="AP284" s="447"/>
      <c r="AQ284" s="447"/>
      <c r="AR284" s="447"/>
      <c r="AS284" s="447"/>
      <c r="AT284" s="447"/>
      <c r="AU284" s="447"/>
      <c r="AV284" s="447"/>
      <c r="AW284" s="447"/>
      <c r="AX284" s="447"/>
      <c r="AY284" s="447"/>
      <c r="AZ284" s="447"/>
      <c r="BA284" s="447"/>
      <c r="BB284" s="447"/>
      <c r="BC284" s="447"/>
      <c r="BD284" s="447"/>
      <c r="BE284" s="447"/>
      <c r="BF284" s="447"/>
      <c r="BG284" s="447"/>
      <c r="BH284" s="447"/>
      <c r="BI284" s="447"/>
      <c r="BJ284" s="447"/>
      <c r="BK284" s="447"/>
      <c r="BL284" s="447"/>
      <c r="BM284" s="448"/>
      <c r="BN284" s="448"/>
    </row>
    <row r="285" spans="1:66" ht="11.25" customHeight="1">
      <c r="A285" s="469"/>
      <c r="B285" s="447"/>
      <c r="C285" s="447"/>
      <c r="D285" s="447"/>
      <c r="E285" s="447"/>
      <c r="F285" s="447"/>
      <c r="G285" s="447"/>
      <c r="H285" s="447"/>
      <c r="I285" s="447"/>
      <c r="J285" s="447"/>
      <c r="K285" s="447"/>
      <c r="L285" s="447"/>
      <c r="M285" s="447"/>
      <c r="N285" s="447"/>
      <c r="O285" s="447"/>
      <c r="P285" s="447"/>
      <c r="Q285" s="447"/>
      <c r="R285" s="447"/>
      <c r="S285" s="447"/>
      <c r="T285" s="447"/>
      <c r="U285" s="447"/>
      <c r="V285" s="447"/>
      <c r="W285" s="447"/>
      <c r="X285" s="447"/>
      <c r="Y285" s="447"/>
      <c r="Z285" s="447"/>
      <c r="AA285" s="447"/>
      <c r="AB285" s="447"/>
      <c r="AC285" s="447"/>
      <c r="AD285" s="447"/>
      <c r="AE285" s="447"/>
      <c r="AF285" s="448"/>
      <c r="AG285" s="448"/>
      <c r="AH285" s="448"/>
      <c r="AI285" s="447"/>
      <c r="AJ285" s="447"/>
      <c r="AK285" s="447"/>
      <c r="AL285" s="447"/>
      <c r="AM285" s="447"/>
      <c r="AN285" s="447"/>
      <c r="AO285" s="447"/>
      <c r="AP285" s="447"/>
      <c r="AQ285" s="447"/>
      <c r="AR285" s="447"/>
      <c r="AS285" s="447"/>
      <c r="AT285" s="447"/>
      <c r="AU285" s="447"/>
      <c r="AV285" s="447"/>
      <c r="AW285" s="447"/>
      <c r="AX285" s="447"/>
      <c r="AY285" s="447"/>
      <c r="AZ285" s="447"/>
      <c r="BA285" s="447"/>
      <c r="BB285" s="447"/>
      <c r="BC285" s="447"/>
      <c r="BD285" s="447"/>
      <c r="BE285" s="447"/>
      <c r="BF285" s="447"/>
      <c r="BG285" s="447"/>
      <c r="BH285" s="447"/>
      <c r="BI285" s="447"/>
      <c r="BJ285" s="447"/>
      <c r="BK285" s="447"/>
      <c r="BL285" s="447"/>
      <c r="BM285" s="448"/>
      <c r="BN285" s="448"/>
    </row>
    <row r="286" spans="1:66" ht="11.25" customHeight="1">
      <c r="A286" s="469"/>
      <c r="B286" s="447"/>
      <c r="C286" s="447"/>
      <c r="D286" s="447"/>
      <c r="E286" s="447"/>
      <c r="F286" s="447"/>
      <c r="G286" s="447"/>
      <c r="H286" s="447"/>
      <c r="I286" s="447"/>
      <c r="J286" s="447"/>
      <c r="K286" s="447"/>
      <c r="L286" s="447"/>
      <c r="M286" s="447"/>
      <c r="N286" s="447"/>
      <c r="O286" s="447"/>
      <c r="P286" s="447"/>
      <c r="Q286" s="447"/>
      <c r="R286" s="447"/>
      <c r="S286" s="447"/>
      <c r="T286" s="447"/>
      <c r="U286" s="447"/>
      <c r="V286" s="447"/>
      <c r="W286" s="447"/>
      <c r="X286" s="447"/>
      <c r="Y286" s="447"/>
      <c r="Z286" s="447"/>
      <c r="AA286" s="447"/>
      <c r="AB286" s="447"/>
      <c r="AC286" s="447"/>
      <c r="AD286" s="447"/>
      <c r="AE286" s="447"/>
      <c r="AF286" s="448"/>
      <c r="AG286" s="448"/>
      <c r="AH286" s="448"/>
      <c r="AI286" s="447"/>
      <c r="AJ286" s="447"/>
      <c r="AK286" s="447"/>
      <c r="AL286" s="447"/>
      <c r="AM286" s="447"/>
      <c r="AN286" s="447"/>
      <c r="AO286" s="447"/>
      <c r="AP286" s="447"/>
      <c r="AQ286" s="447"/>
      <c r="AR286" s="447"/>
      <c r="AS286" s="447"/>
      <c r="AT286" s="447"/>
      <c r="AU286" s="447"/>
      <c r="AV286" s="447"/>
      <c r="AW286" s="447"/>
      <c r="AX286" s="447"/>
      <c r="AY286" s="447"/>
      <c r="AZ286" s="447"/>
      <c r="BA286" s="447"/>
      <c r="BB286" s="447"/>
      <c r="BC286" s="447"/>
      <c r="BD286" s="447"/>
      <c r="BE286" s="447"/>
      <c r="BF286" s="447"/>
      <c r="BG286" s="447"/>
      <c r="BH286" s="447"/>
      <c r="BI286" s="447"/>
      <c r="BJ286" s="447"/>
      <c r="BK286" s="447"/>
      <c r="BL286" s="447"/>
      <c r="BM286" s="448"/>
      <c r="BN286" s="448"/>
    </row>
    <row r="287" spans="1:66" ht="11.25" customHeight="1">
      <c r="A287" s="469"/>
      <c r="B287" s="447"/>
      <c r="C287" s="447"/>
      <c r="D287" s="447"/>
      <c r="E287" s="447"/>
      <c r="F287" s="447"/>
      <c r="G287" s="447"/>
      <c r="H287" s="447"/>
      <c r="I287" s="447"/>
      <c r="J287" s="447"/>
      <c r="K287" s="447"/>
      <c r="L287" s="447"/>
      <c r="M287" s="447"/>
      <c r="N287" s="447"/>
      <c r="O287" s="447"/>
      <c r="P287" s="447"/>
      <c r="Q287" s="447"/>
      <c r="R287" s="447"/>
      <c r="S287" s="447"/>
      <c r="T287" s="447"/>
      <c r="U287" s="447"/>
      <c r="V287" s="447"/>
      <c r="W287" s="447"/>
      <c r="X287" s="447"/>
      <c r="Y287" s="447"/>
      <c r="Z287" s="447"/>
      <c r="AA287" s="447"/>
      <c r="AB287" s="447"/>
      <c r="AC287" s="447"/>
      <c r="AD287" s="447"/>
      <c r="AE287" s="447"/>
      <c r="AF287" s="448"/>
      <c r="AG287" s="448"/>
      <c r="AH287" s="448"/>
      <c r="AI287" s="447"/>
      <c r="AJ287" s="447"/>
      <c r="AK287" s="447"/>
      <c r="AL287" s="447"/>
      <c r="AM287" s="447"/>
      <c r="AN287" s="447"/>
      <c r="AO287" s="447"/>
      <c r="AP287" s="447"/>
      <c r="AQ287" s="447"/>
      <c r="AR287" s="447"/>
      <c r="AS287" s="447"/>
      <c r="AT287" s="447"/>
      <c r="AU287" s="447"/>
      <c r="AV287" s="447"/>
      <c r="AW287" s="447"/>
      <c r="AX287" s="447"/>
      <c r="AY287" s="447"/>
      <c r="AZ287" s="447"/>
      <c r="BA287" s="447"/>
      <c r="BB287" s="447"/>
      <c r="BC287" s="447"/>
      <c r="BD287" s="447"/>
      <c r="BE287" s="447"/>
      <c r="BF287" s="447"/>
      <c r="BG287" s="447"/>
      <c r="BH287" s="447"/>
      <c r="BI287" s="447"/>
      <c r="BJ287" s="447"/>
      <c r="BK287" s="447"/>
      <c r="BL287" s="447"/>
      <c r="BM287" s="448"/>
      <c r="BN287" s="448"/>
    </row>
    <row r="288" spans="1:66" ht="11.25" customHeight="1">
      <c r="A288" s="469"/>
      <c r="B288" s="447"/>
      <c r="C288" s="447"/>
      <c r="D288" s="447"/>
      <c r="E288" s="447"/>
      <c r="F288" s="447"/>
      <c r="G288" s="447"/>
      <c r="H288" s="447"/>
      <c r="I288" s="447"/>
      <c r="J288" s="447"/>
      <c r="K288" s="447"/>
      <c r="L288" s="447"/>
      <c r="M288" s="447"/>
      <c r="N288" s="447"/>
      <c r="O288" s="447"/>
      <c r="P288" s="447"/>
      <c r="Q288" s="447"/>
      <c r="R288" s="447"/>
      <c r="S288" s="447"/>
      <c r="T288" s="447"/>
      <c r="U288" s="447"/>
      <c r="V288" s="447"/>
      <c r="W288" s="447"/>
      <c r="X288" s="447"/>
      <c r="Y288" s="447"/>
      <c r="Z288" s="447"/>
      <c r="AA288" s="447"/>
      <c r="AB288" s="447"/>
      <c r="AC288" s="447"/>
      <c r="AD288" s="447"/>
      <c r="AE288" s="447"/>
      <c r="AF288" s="448"/>
      <c r="AG288" s="448"/>
      <c r="AH288" s="448"/>
      <c r="AI288" s="447"/>
      <c r="AJ288" s="447"/>
      <c r="AK288" s="447"/>
      <c r="AL288" s="447"/>
      <c r="AM288" s="447"/>
      <c r="AN288" s="447"/>
      <c r="AO288" s="447"/>
      <c r="AP288" s="447"/>
      <c r="AQ288" s="447"/>
      <c r="AR288" s="447"/>
      <c r="AS288" s="447"/>
      <c r="AT288" s="447"/>
      <c r="AU288" s="447"/>
      <c r="AV288" s="447"/>
      <c r="AW288" s="447"/>
      <c r="AX288" s="447"/>
      <c r="AY288" s="447"/>
      <c r="AZ288" s="447"/>
      <c r="BA288" s="447"/>
      <c r="BB288" s="447"/>
      <c r="BC288" s="447"/>
      <c r="BD288" s="447"/>
      <c r="BE288" s="447"/>
      <c r="BF288" s="447"/>
      <c r="BG288" s="447"/>
      <c r="BH288" s="447"/>
      <c r="BI288" s="447"/>
      <c r="BJ288" s="447"/>
      <c r="BK288" s="447"/>
      <c r="BL288" s="447"/>
      <c r="BM288" s="448"/>
      <c r="BN288" s="448"/>
    </row>
    <row r="289" spans="1:66" ht="11.25" customHeight="1">
      <c r="A289" s="469"/>
      <c r="B289" s="447"/>
      <c r="C289" s="447"/>
      <c r="D289" s="447"/>
      <c r="E289" s="447"/>
      <c r="F289" s="447"/>
      <c r="G289" s="447"/>
      <c r="H289" s="447"/>
      <c r="I289" s="447"/>
      <c r="J289" s="447"/>
      <c r="K289" s="447"/>
      <c r="L289" s="447"/>
      <c r="M289" s="447"/>
      <c r="N289" s="447"/>
      <c r="O289" s="447"/>
      <c r="P289" s="447"/>
      <c r="Q289" s="447"/>
      <c r="R289" s="447"/>
      <c r="S289" s="447"/>
      <c r="T289" s="447"/>
      <c r="U289" s="447"/>
      <c r="V289" s="447"/>
      <c r="W289" s="447"/>
      <c r="X289" s="447"/>
      <c r="Y289" s="447"/>
      <c r="Z289" s="447"/>
      <c r="AA289" s="447"/>
      <c r="AB289" s="447"/>
      <c r="AC289" s="447"/>
      <c r="AD289" s="447"/>
      <c r="AE289" s="447"/>
      <c r="AF289" s="448"/>
      <c r="AG289" s="448"/>
      <c r="AH289" s="448"/>
      <c r="AI289" s="447"/>
      <c r="AJ289" s="447"/>
      <c r="AK289" s="447"/>
      <c r="AL289" s="447"/>
      <c r="AM289" s="447"/>
      <c r="AN289" s="447"/>
      <c r="AO289" s="447"/>
      <c r="AP289" s="447"/>
      <c r="AQ289" s="447"/>
      <c r="AR289" s="447"/>
      <c r="AS289" s="447"/>
      <c r="AT289" s="447"/>
      <c r="AU289" s="447"/>
      <c r="AV289" s="447"/>
      <c r="AW289" s="447"/>
      <c r="AX289" s="447"/>
      <c r="AY289" s="447"/>
      <c r="AZ289" s="447"/>
      <c r="BA289" s="447"/>
      <c r="BB289" s="447"/>
      <c r="BC289" s="447"/>
      <c r="BD289" s="447"/>
      <c r="BE289" s="447"/>
      <c r="BF289" s="447"/>
      <c r="BG289" s="447"/>
      <c r="BH289" s="447"/>
      <c r="BI289" s="447"/>
      <c r="BJ289" s="447"/>
      <c r="BK289" s="447"/>
      <c r="BL289" s="447"/>
      <c r="BM289" s="448"/>
      <c r="BN289" s="448"/>
    </row>
    <row r="290" spans="1:66" ht="11.25" customHeight="1">
      <c r="A290" s="469"/>
      <c r="B290" s="447"/>
      <c r="C290" s="447"/>
      <c r="D290" s="447"/>
      <c r="E290" s="447"/>
      <c r="F290" s="447"/>
      <c r="G290" s="447"/>
      <c r="H290" s="447"/>
      <c r="I290" s="447"/>
      <c r="J290" s="447"/>
      <c r="K290" s="447"/>
      <c r="L290" s="447"/>
      <c r="M290" s="447"/>
      <c r="N290" s="447"/>
      <c r="O290" s="447"/>
      <c r="P290" s="447"/>
      <c r="Q290" s="447"/>
      <c r="R290" s="447"/>
      <c r="S290" s="447"/>
      <c r="T290" s="447"/>
      <c r="U290" s="447"/>
      <c r="V290" s="447"/>
      <c r="W290" s="447"/>
      <c r="X290" s="447"/>
      <c r="Y290" s="447"/>
      <c r="Z290" s="447"/>
      <c r="AA290" s="447"/>
      <c r="AB290" s="447"/>
      <c r="AC290" s="447"/>
      <c r="AD290" s="447"/>
      <c r="AE290" s="447"/>
      <c r="AF290" s="448"/>
      <c r="AG290" s="448"/>
      <c r="AH290" s="448"/>
      <c r="AI290" s="447"/>
      <c r="AJ290" s="447"/>
      <c r="AK290" s="447"/>
      <c r="AL290" s="447"/>
      <c r="AM290" s="447"/>
      <c r="AN290" s="447"/>
      <c r="AO290" s="447"/>
      <c r="AP290" s="447"/>
      <c r="AQ290" s="447"/>
      <c r="AR290" s="447"/>
      <c r="AS290" s="447"/>
      <c r="AT290" s="447"/>
      <c r="AU290" s="447"/>
      <c r="AV290" s="447"/>
      <c r="AW290" s="447"/>
      <c r="AX290" s="447"/>
      <c r="AY290" s="447"/>
      <c r="AZ290" s="447"/>
      <c r="BA290" s="447"/>
      <c r="BB290" s="447"/>
      <c r="BC290" s="447"/>
      <c r="BD290" s="447"/>
      <c r="BE290" s="447"/>
      <c r="BF290" s="447"/>
      <c r="BG290" s="447"/>
      <c r="BH290" s="447"/>
      <c r="BI290" s="447"/>
      <c r="BJ290" s="447"/>
      <c r="BK290" s="447"/>
      <c r="BL290" s="447"/>
      <c r="BM290" s="448"/>
      <c r="BN290" s="448"/>
    </row>
    <row r="291" spans="1:66" ht="11.25" customHeight="1">
      <c r="A291" s="469"/>
      <c r="B291" s="447"/>
      <c r="C291" s="447"/>
      <c r="D291" s="447"/>
      <c r="E291" s="447"/>
      <c r="F291" s="447"/>
      <c r="G291" s="447"/>
      <c r="H291" s="447"/>
      <c r="I291" s="447"/>
      <c r="J291" s="447"/>
      <c r="K291" s="447"/>
      <c r="L291" s="447"/>
      <c r="M291" s="447"/>
      <c r="N291" s="447"/>
      <c r="O291" s="447"/>
      <c r="P291" s="447"/>
      <c r="Q291" s="447"/>
      <c r="R291" s="447"/>
      <c r="S291" s="447"/>
      <c r="T291" s="447"/>
      <c r="U291" s="447"/>
      <c r="V291" s="447"/>
      <c r="W291" s="447"/>
      <c r="X291" s="447"/>
      <c r="Y291" s="447"/>
      <c r="Z291" s="447"/>
      <c r="AA291" s="447"/>
      <c r="AB291" s="447"/>
      <c r="AC291" s="447"/>
      <c r="AD291" s="447"/>
      <c r="AE291" s="447"/>
      <c r="AF291" s="448"/>
      <c r="AG291" s="448"/>
      <c r="AH291" s="448"/>
      <c r="AI291" s="447"/>
      <c r="AJ291" s="447"/>
      <c r="AK291" s="447"/>
      <c r="AL291" s="447"/>
      <c r="AM291" s="447"/>
      <c r="AN291" s="447"/>
      <c r="AO291" s="447"/>
      <c r="AP291" s="447"/>
      <c r="AQ291" s="447"/>
      <c r="AR291" s="447"/>
      <c r="AS291" s="447"/>
      <c r="AT291" s="447"/>
      <c r="AU291" s="447"/>
      <c r="AV291" s="447"/>
      <c r="AW291" s="447"/>
      <c r="AX291" s="447"/>
      <c r="AY291" s="447"/>
      <c r="AZ291" s="447"/>
      <c r="BA291" s="447"/>
      <c r="BB291" s="447"/>
      <c r="BC291" s="447"/>
      <c r="BD291" s="447"/>
      <c r="BE291" s="447"/>
      <c r="BF291" s="447"/>
      <c r="BG291" s="447"/>
      <c r="BH291" s="447"/>
      <c r="BI291" s="447"/>
      <c r="BJ291" s="447"/>
      <c r="BK291" s="447"/>
      <c r="BL291" s="447"/>
      <c r="BM291" s="448"/>
      <c r="BN291" s="448"/>
    </row>
    <row r="292" spans="1:66" ht="11.25" customHeight="1">
      <c r="A292" s="469"/>
      <c r="B292" s="447"/>
      <c r="C292" s="447"/>
      <c r="D292" s="447"/>
      <c r="E292" s="447"/>
      <c r="F292" s="447"/>
      <c r="G292" s="447"/>
      <c r="H292" s="447"/>
      <c r="I292" s="447"/>
      <c r="J292" s="447"/>
      <c r="K292" s="447"/>
      <c r="L292" s="447"/>
      <c r="M292" s="447"/>
      <c r="N292" s="447"/>
      <c r="O292" s="447"/>
      <c r="P292" s="447"/>
      <c r="Q292" s="447"/>
      <c r="R292" s="447"/>
      <c r="S292" s="447"/>
      <c r="T292" s="447"/>
      <c r="U292" s="447"/>
      <c r="V292" s="447"/>
      <c r="W292" s="447"/>
      <c r="X292" s="447"/>
      <c r="Y292" s="447"/>
      <c r="Z292" s="447"/>
      <c r="AA292" s="447"/>
      <c r="AB292" s="447"/>
      <c r="AC292" s="447"/>
      <c r="AD292" s="447"/>
      <c r="AE292" s="447"/>
      <c r="AF292" s="448"/>
      <c r="AG292" s="448"/>
      <c r="AH292" s="448"/>
      <c r="AI292" s="447"/>
      <c r="AJ292" s="447"/>
      <c r="AK292" s="447"/>
      <c r="AL292" s="447"/>
      <c r="AM292" s="447"/>
      <c r="AN292" s="447"/>
      <c r="AO292" s="447"/>
      <c r="AP292" s="447"/>
      <c r="AQ292" s="447"/>
      <c r="AR292" s="447"/>
      <c r="AS292" s="447"/>
      <c r="AT292" s="447"/>
      <c r="AU292" s="447"/>
      <c r="AV292" s="447"/>
      <c r="AW292" s="447"/>
      <c r="AX292" s="447"/>
      <c r="AY292" s="447"/>
      <c r="AZ292" s="447"/>
      <c r="BA292" s="447"/>
      <c r="BB292" s="447"/>
      <c r="BC292" s="447"/>
      <c r="BD292" s="447"/>
      <c r="BE292" s="447"/>
      <c r="BF292" s="447"/>
      <c r="BG292" s="447"/>
      <c r="BH292" s="447"/>
      <c r="BI292" s="447"/>
      <c r="BJ292" s="447"/>
      <c r="BK292" s="447"/>
      <c r="BL292" s="447"/>
      <c r="BM292" s="448"/>
      <c r="BN292" s="448"/>
    </row>
    <row r="293" spans="1:66" ht="11.25" customHeight="1">
      <c r="A293" s="469"/>
      <c r="B293" s="447"/>
      <c r="C293" s="447"/>
      <c r="D293" s="447"/>
      <c r="E293" s="447"/>
      <c r="F293" s="447"/>
      <c r="G293" s="447"/>
      <c r="H293" s="447"/>
      <c r="I293" s="447"/>
      <c r="J293" s="447"/>
      <c r="K293" s="447"/>
      <c r="L293" s="447"/>
      <c r="M293" s="447"/>
      <c r="N293" s="447"/>
      <c r="O293" s="447"/>
      <c r="P293" s="447"/>
      <c r="Q293" s="447"/>
      <c r="R293" s="447"/>
      <c r="S293" s="447"/>
      <c r="T293" s="447"/>
      <c r="U293" s="447"/>
      <c r="V293" s="447"/>
      <c r="W293" s="447"/>
      <c r="X293" s="447"/>
      <c r="Y293" s="447"/>
      <c r="Z293" s="447"/>
      <c r="AA293" s="447"/>
      <c r="AB293" s="447"/>
      <c r="AC293" s="447"/>
      <c r="AD293" s="447"/>
      <c r="AE293" s="447"/>
      <c r="AF293" s="448"/>
      <c r="AG293" s="448"/>
      <c r="AH293" s="448"/>
      <c r="AI293" s="447"/>
      <c r="AJ293" s="447"/>
      <c r="AK293" s="447"/>
      <c r="AL293" s="447"/>
      <c r="AM293" s="447"/>
      <c r="AN293" s="447"/>
      <c r="AO293" s="447"/>
      <c r="AP293" s="447"/>
      <c r="AQ293" s="447"/>
      <c r="AR293" s="447"/>
      <c r="AS293" s="447"/>
      <c r="AT293" s="447"/>
      <c r="AU293" s="447"/>
      <c r="AV293" s="447"/>
      <c r="AW293" s="447"/>
      <c r="AX293" s="447"/>
      <c r="AY293" s="447"/>
      <c r="AZ293" s="447"/>
      <c r="BA293" s="447"/>
      <c r="BB293" s="447"/>
      <c r="BC293" s="447"/>
      <c r="BD293" s="447"/>
      <c r="BE293" s="447"/>
      <c r="BF293" s="447"/>
      <c r="BG293" s="447"/>
      <c r="BH293" s="447"/>
      <c r="BI293" s="447"/>
      <c r="BJ293" s="447"/>
      <c r="BK293" s="447"/>
      <c r="BL293" s="447"/>
      <c r="BM293" s="448"/>
      <c r="BN293" s="448"/>
    </row>
    <row r="294" spans="1:66" ht="11.25" customHeight="1">
      <c r="A294" s="469"/>
      <c r="B294" s="447"/>
      <c r="C294" s="447"/>
      <c r="D294" s="447"/>
      <c r="E294" s="447"/>
      <c r="F294" s="447"/>
      <c r="G294" s="447"/>
      <c r="H294" s="447"/>
      <c r="I294" s="447"/>
      <c r="J294" s="447"/>
      <c r="K294" s="447"/>
      <c r="L294" s="447"/>
      <c r="M294" s="447"/>
      <c r="N294" s="447"/>
      <c r="O294" s="447"/>
      <c r="P294" s="447"/>
      <c r="Q294" s="447"/>
      <c r="R294" s="447"/>
      <c r="S294" s="447"/>
      <c r="T294" s="447"/>
      <c r="U294" s="447"/>
      <c r="V294" s="447"/>
      <c r="W294" s="447"/>
      <c r="X294" s="447"/>
      <c r="Y294" s="447"/>
      <c r="Z294" s="447"/>
      <c r="AA294" s="447"/>
      <c r="AB294" s="447"/>
      <c r="AC294" s="447"/>
      <c r="AD294" s="447"/>
      <c r="AE294" s="447"/>
      <c r="AF294" s="448"/>
      <c r="AG294" s="448"/>
      <c r="AH294" s="448"/>
      <c r="AI294" s="447"/>
      <c r="AJ294" s="447"/>
      <c r="AK294" s="447"/>
      <c r="AL294" s="447"/>
      <c r="AM294" s="447"/>
      <c r="AN294" s="447"/>
      <c r="AO294" s="447"/>
      <c r="AP294" s="447"/>
      <c r="AQ294" s="447"/>
      <c r="AR294" s="447"/>
      <c r="AS294" s="447"/>
      <c r="AT294" s="447"/>
      <c r="AU294" s="447"/>
      <c r="AV294" s="447"/>
      <c r="AW294" s="447"/>
      <c r="AX294" s="447"/>
      <c r="AY294" s="447"/>
      <c r="AZ294" s="447"/>
      <c r="BA294" s="447"/>
      <c r="BB294" s="447"/>
      <c r="BC294" s="447"/>
      <c r="BD294" s="447"/>
      <c r="BE294" s="447"/>
      <c r="BF294" s="447"/>
      <c r="BG294" s="447"/>
      <c r="BH294" s="447"/>
      <c r="BI294" s="447"/>
      <c r="BJ294" s="447"/>
      <c r="BK294" s="447"/>
      <c r="BL294" s="447"/>
      <c r="BM294" s="448"/>
      <c r="BN294" s="448"/>
    </row>
    <row r="295" spans="1:66" ht="11.25" customHeight="1">
      <c r="A295" s="469"/>
      <c r="B295" s="447"/>
      <c r="C295" s="447"/>
      <c r="D295" s="447"/>
      <c r="E295" s="447"/>
      <c r="F295" s="447"/>
      <c r="G295" s="447"/>
      <c r="H295" s="447"/>
      <c r="I295" s="447"/>
      <c r="J295" s="447"/>
      <c r="K295" s="447"/>
      <c r="L295" s="447"/>
      <c r="M295" s="447"/>
      <c r="N295" s="447"/>
      <c r="O295" s="447"/>
      <c r="P295" s="447"/>
      <c r="Q295" s="447"/>
      <c r="R295" s="447"/>
      <c r="S295" s="447"/>
      <c r="T295" s="447"/>
      <c r="U295" s="447"/>
      <c r="V295" s="447"/>
      <c r="W295" s="447"/>
      <c r="X295" s="447"/>
      <c r="Y295" s="447"/>
      <c r="Z295" s="447"/>
      <c r="AA295" s="447"/>
      <c r="AB295" s="447"/>
      <c r="AC295" s="447"/>
      <c r="AD295" s="447"/>
      <c r="AE295" s="447"/>
      <c r="AF295" s="448"/>
      <c r="AG295" s="448"/>
      <c r="AH295" s="448"/>
      <c r="AI295" s="447"/>
      <c r="AJ295" s="447"/>
      <c r="AK295" s="447"/>
      <c r="AL295" s="447"/>
      <c r="AM295" s="447"/>
      <c r="AN295" s="447"/>
      <c r="AO295" s="447"/>
      <c r="AP295" s="447"/>
      <c r="AQ295" s="447"/>
      <c r="AR295" s="447"/>
      <c r="AS295" s="447"/>
      <c r="AT295" s="447"/>
      <c r="AU295" s="447"/>
      <c r="AV295" s="447"/>
      <c r="AW295" s="447"/>
      <c r="AX295" s="447"/>
      <c r="AY295" s="447"/>
      <c r="AZ295" s="447"/>
      <c r="BA295" s="447"/>
      <c r="BB295" s="447"/>
      <c r="BC295" s="447"/>
      <c r="BD295" s="447"/>
      <c r="BE295" s="447"/>
      <c r="BF295" s="447"/>
      <c r="BG295" s="447"/>
      <c r="BH295" s="447"/>
      <c r="BI295" s="447"/>
      <c r="BJ295" s="447"/>
      <c r="BK295" s="447"/>
      <c r="BL295" s="447"/>
      <c r="BM295" s="448"/>
      <c r="BN295" s="448"/>
    </row>
    <row r="296" spans="1:66" ht="11.25" customHeight="1">
      <c r="A296" s="469"/>
      <c r="B296" s="447"/>
      <c r="C296" s="447"/>
      <c r="D296" s="447"/>
      <c r="E296" s="447"/>
      <c r="F296" s="447"/>
      <c r="G296" s="447"/>
      <c r="H296" s="447"/>
      <c r="I296" s="447"/>
      <c r="J296" s="447"/>
      <c r="K296" s="447"/>
      <c r="L296" s="447"/>
      <c r="M296" s="447"/>
      <c r="N296" s="447"/>
      <c r="O296" s="447"/>
      <c r="P296" s="447"/>
      <c r="Q296" s="447"/>
      <c r="R296" s="447"/>
      <c r="S296" s="447"/>
      <c r="T296" s="447"/>
      <c r="U296" s="447"/>
      <c r="V296" s="447"/>
      <c r="W296" s="447"/>
      <c r="X296" s="447"/>
      <c r="Y296" s="447"/>
      <c r="Z296" s="447"/>
      <c r="AA296" s="447"/>
      <c r="AB296" s="447"/>
      <c r="AC296" s="447"/>
      <c r="AD296" s="447"/>
      <c r="AE296" s="447"/>
      <c r="AF296" s="448"/>
      <c r="AG296" s="448"/>
      <c r="AH296" s="448"/>
      <c r="AI296" s="447"/>
      <c r="AJ296" s="447"/>
      <c r="AK296" s="447"/>
      <c r="AL296" s="447"/>
      <c r="AM296" s="447"/>
      <c r="AN296" s="447"/>
      <c r="AO296" s="447"/>
      <c r="AP296" s="447"/>
      <c r="AQ296" s="447"/>
      <c r="AR296" s="447"/>
      <c r="AS296" s="447"/>
      <c r="AT296" s="447"/>
      <c r="AU296" s="447"/>
      <c r="AV296" s="447"/>
      <c r="AW296" s="447"/>
      <c r="AX296" s="447"/>
      <c r="AY296" s="447"/>
      <c r="AZ296" s="447"/>
      <c r="BA296" s="447"/>
      <c r="BB296" s="447"/>
      <c r="BC296" s="447"/>
      <c r="BD296" s="447"/>
      <c r="BE296" s="447"/>
      <c r="BF296" s="447"/>
      <c r="BG296" s="447"/>
      <c r="BH296" s="447"/>
      <c r="BI296" s="447"/>
      <c r="BJ296" s="447"/>
      <c r="BK296" s="447"/>
      <c r="BL296" s="447"/>
      <c r="BM296" s="448"/>
      <c r="BN296" s="448"/>
    </row>
    <row r="297" spans="1:66" ht="11.25" customHeight="1">
      <c r="A297" s="469"/>
      <c r="B297" s="447"/>
      <c r="C297" s="447"/>
      <c r="D297" s="447"/>
      <c r="E297" s="447"/>
      <c r="F297" s="447"/>
      <c r="G297" s="447"/>
      <c r="H297" s="447"/>
      <c r="I297" s="447"/>
      <c r="J297" s="447"/>
      <c r="K297" s="447"/>
      <c r="L297" s="447"/>
      <c r="M297" s="447"/>
      <c r="N297" s="447"/>
      <c r="O297" s="447"/>
      <c r="P297" s="447"/>
      <c r="Q297" s="447"/>
      <c r="R297" s="447"/>
      <c r="S297" s="447"/>
      <c r="T297" s="447"/>
      <c r="U297" s="447"/>
      <c r="V297" s="447"/>
      <c r="W297" s="447"/>
      <c r="X297" s="447"/>
      <c r="Y297" s="447"/>
      <c r="Z297" s="447"/>
      <c r="AA297" s="447"/>
      <c r="AB297" s="447"/>
      <c r="AC297" s="447"/>
      <c r="AD297" s="447"/>
      <c r="AE297" s="447"/>
      <c r="AF297" s="448"/>
      <c r="AG297" s="448"/>
      <c r="AH297" s="448"/>
      <c r="AI297" s="447"/>
      <c r="AJ297" s="447"/>
      <c r="AK297" s="447"/>
      <c r="AL297" s="447"/>
      <c r="AM297" s="447"/>
      <c r="AN297" s="447"/>
      <c r="AO297" s="447"/>
      <c r="AP297" s="447"/>
      <c r="AQ297" s="447"/>
      <c r="AR297" s="447"/>
      <c r="AS297" s="447"/>
      <c r="AT297" s="447"/>
      <c r="AU297" s="447"/>
      <c r="AV297" s="447"/>
      <c r="AW297" s="447"/>
      <c r="AX297" s="447"/>
      <c r="AY297" s="447"/>
      <c r="AZ297" s="447"/>
      <c r="BA297" s="447"/>
      <c r="BB297" s="447"/>
      <c r="BC297" s="447"/>
      <c r="BD297" s="447"/>
      <c r="BE297" s="447"/>
      <c r="BF297" s="447"/>
      <c r="BG297" s="447"/>
      <c r="BH297" s="447"/>
      <c r="BI297" s="447"/>
      <c r="BJ297" s="447"/>
      <c r="BK297" s="447"/>
      <c r="BL297" s="447"/>
      <c r="BM297" s="448"/>
      <c r="BN297" s="448"/>
    </row>
    <row r="298" spans="1:66" ht="11.25" customHeight="1">
      <c r="A298" s="469"/>
      <c r="B298" s="447"/>
      <c r="C298" s="447"/>
      <c r="D298" s="447"/>
      <c r="E298" s="447"/>
      <c r="F298" s="447"/>
      <c r="G298" s="447"/>
      <c r="H298" s="447"/>
      <c r="I298" s="447"/>
      <c r="J298" s="447"/>
      <c r="K298" s="447"/>
      <c r="L298" s="447"/>
      <c r="M298" s="447"/>
      <c r="N298" s="447"/>
      <c r="O298" s="447"/>
      <c r="P298" s="447"/>
      <c r="Q298" s="447"/>
      <c r="R298" s="447"/>
      <c r="S298" s="447"/>
      <c r="T298" s="447"/>
      <c r="U298" s="447"/>
      <c r="V298" s="447"/>
      <c r="W298" s="447"/>
      <c r="X298" s="447"/>
      <c r="Y298" s="447"/>
      <c r="Z298" s="447"/>
      <c r="AA298" s="447"/>
      <c r="AB298" s="447"/>
      <c r="AC298" s="447"/>
      <c r="AD298" s="447"/>
      <c r="AE298" s="447"/>
      <c r="AF298" s="448"/>
      <c r="AG298" s="448"/>
      <c r="AH298" s="448"/>
      <c r="AI298" s="447"/>
      <c r="AJ298" s="447"/>
      <c r="AK298" s="447"/>
      <c r="AL298" s="447"/>
      <c r="AM298" s="447"/>
      <c r="AN298" s="447"/>
      <c r="AO298" s="447"/>
      <c r="AP298" s="447"/>
      <c r="AQ298" s="447"/>
      <c r="AR298" s="447"/>
      <c r="AS298" s="447"/>
      <c r="AT298" s="447"/>
      <c r="AU298" s="447"/>
      <c r="AV298" s="447"/>
      <c r="AW298" s="447"/>
      <c r="AX298" s="447"/>
      <c r="AY298" s="447"/>
      <c r="AZ298" s="447"/>
      <c r="BA298" s="447"/>
      <c r="BB298" s="447"/>
      <c r="BC298" s="447"/>
      <c r="BD298" s="447"/>
      <c r="BE298" s="447"/>
      <c r="BF298" s="447"/>
      <c r="BG298" s="447"/>
      <c r="BH298" s="447"/>
      <c r="BI298" s="447"/>
      <c r="BJ298" s="447"/>
      <c r="BK298" s="447"/>
      <c r="BL298" s="447"/>
      <c r="BM298" s="448"/>
      <c r="BN298" s="448"/>
    </row>
    <row r="299" spans="1:66" ht="11.25" customHeight="1">
      <c r="A299" s="469"/>
      <c r="B299" s="447"/>
      <c r="C299" s="447"/>
      <c r="D299" s="447"/>
      <c r="E299" s="447"/>
      <c r="F299" s="447"/>
      <c r="G299" s="447"/>
      <c r="H299" s="447"/>
      <c r="I299" s="447"/>
      <c r="J299" s="447"/>
      <c r="K299" s="447"/>
      <c r="L299" s="447"/>
      <c r="M299" s="447"/>
      <c r="N299" s="447"/>
      <c r="O299" s="447"/>
      <c r="P299" s="447"/>
      <c r="Q299" s="447"/>
      <c r="R299" s="447"/>
      <c r="S299" s="447"/>
      <c r="T299" s="447"/>
      <c r="U299" s="447"/>
      <c r="V299" s="447"/>
      <c r="W299" s="447"/>
      <c r="X299" s="447"/>
      <c r="Y299" s="447"/>
      <c r="Z299" s="447"/>
      <c r="AA299" s="447"/>
      <c r="AB299" s="447"/>
      <c r="AC299" s="447"/>
      <c r="AD299" s="447"/>
      <c r="AE299" s="447"/>
      <c r="AF299" s="448"/>
      <c r="AG299" s="448"/>
      <c r="AH299" s="448"/>
      <c r="AI299" s="447"/>
      <c r="AJ299" s="447"/>
      <c r="AK299" s="447"/>
      <c r="AL299" s="447"/>
      <c r="AM299" s="447"/>
      <c r="AN299" s="447"/>
      <c r="AO299" s="447"/>
      <c r="AP299" s="447"/>
      <c r="AQ299" s="447"/>
      <c r="AR299" s="447"/>
      <c r="AS299" s="447"/>
      <c r="AT299" s="447"/>
      <c r="AU299" s="447"/>
      <c r="AV299" s="447"/>
      <c r="AW299" s="447"/>
      <c r="AX299" s="447"/>
      <c r="AY299" s="447"/>
      <c r="AZ299" s="447"/>
      <c r="BA299" s="447"/>
      <c r="BB299" s="447"/>
      <c r="BC299" s="447"/>
      <c r="BD299" s="447"/>
      <c r="BE299" s="447"/>
      <c r="BF299" s="447"/>
      <c r="BG299" s="447"/>
      <c r="BH299" s="447"/>
      <c r="BI299" s="447"/>
      <c r="BJ299" s="447"/>
      <c r="BK299" s="447"/>
      <c r="BL299" s="447"/>
      <c r="BM299" s="448"/>
      <c r="BN299" s="448"/>
    </row>
    <row r="300" spans="1:66" ht="11.25" customHeight="1">
      <c r="A300" s="469"/>
      <c r="B300" s="447"/>
      <c r="C300" s="447"/>
      <c r="D300" s="447"/>
      <c r="E300" s="447"/>
      <c r="F300" s="447"/>
      <c r="G300" s="447"/>
      <c r="H300" s="447"/>
      <c r="I300" s="447"/>
      <c r="J300" s="447"/>
      <c r="K300" s="447"/>
      <c r="L300" s="447"/>
      <c r="M300" s="447"/>
      <c r="N300" s="447"/>
      <c r="O300" s="447"/>
      <c r="P300" s="447"/>
      <c r="Q300" s="447"/>
      <c r="R300" s="447"/>
      <c r="S300" s="447"/>
      <c r="T300" s="447"/>
      <c r="U300" s="447"/>
      <c r="V300" s="447"/>
      <c r="W300" s="447"/>
      <c r="X300" s="447"/>
      <c r="Y300" s="447"/>
      <c r="Z300" s="447"/>
      <c r="AA300" s="447"/>
      <c r="AB300" s="447"/>
      <c r="AC300" s="447"/>
      <c r="AD300" s="447"/>
      <c r="AE300" s="447"/>
      <c r="AF300" s="448"/>
      <c r="AG300" s="448"/>
      <c r="AH300" s="448"/>
      <c r="AI300" s="447"/>
      <c r="AJ300" s="447"/>
      <c r="AK300" s="447"/>
      <c r="AL300" s="447"/>
      <c r="AM300" s="447"/>
      <c r="AN300" s="447"/>
      <c r="AO300" s="447"/>
      <c r="AP300" s="447"/>
      <c r="AQ300" s="447"/>
      <c r="AR300" s="447"/>
      <c r="AS300" s="447"/>
      <c r="AT300" s="447"/>
      <c r="AU300" s="447"/>
      <c r="AV300" s="447"/>
      <c r="AW300" s="447"/>
      <c r="AX300" s="447"/>
      <c r="AY300" s="447"/>
      <c r="AZ300" s="447"/>
      <c r="BA300" s="447"/>
      <c r="BB300" s="447"/>
      <c r="BC300" s="447"/>
      <c r="BD300" s="447"/>
      <c r="BE300" s="447"/>
      <c r="BF300" s="447"/>
      <c r="BG300" s="447"/>
      <c r="BH300" s="447"/>
      <c r="BI300" s="447"/>
      <c r="BJ300" s="447"/>
      <c r="BK300" s="447"/>
      <c r="BL300" s="447"/>
      <c r="BM300" s="448"/>
      <c r="BN300" s="448"/>
    </row>
    <row r="301" spans="1:66" ht="11.25" customHeight="1">
      <c r="A301" s="469"/>
      <c r="B301" s="447"/>
      <c r="C301" s="447"/>
      <c r="D301" s="447"/>
      <c r="E301" s="447"/>
      <c r="F301" s="447"/>
      <c r="G301" s="447"/>
      <c r="H301" s="447"/>
      <c r="I301" s="447"/>
      <c r="J301" s="447"/>
      <c r="K301" s="447"/>
      <c r="L301" s="447"/>
      <c r="M301" s="447"/>
      <c r="N301" s="447"/>
      <c r="O301" s="447"/>
      <c r="P301" s="447"/>
      <c r="Q301" s="447"/>
      <c r="R301" s="447"/>
      <c r="S301" s="447"/>
      <c r="T301" s="447"/>
      <c r="U301" s="447"/>
      <c r="V301" s="447"/>
      <c r="W301" s="447"/>
      <c r="X301" s="447"/>
      <c r="Y301" s="447"/>
      <c r="Z301" s="447"/>
      <c r="AA301" s="447"/>
      <c r="AB301" s="447"/>
      <c r="AC301" s="447"/>
      <c r="AD301" s="447"/>
      <c r="AE301" s="447"/>
      <c r="AF301" s="448"/>
      <c r="AG301" s="448"/>
      <c r="AH301" s="448"/>
      <c r="AI301" s="447"/>
      <c r="AJ301" s="447"/>
      <c r="AK301" s="447"/>
      <c r="AL301" s="447"/>
      <c r="AM301" s="447"/>
      <c r="AN301" s="447"/>
      <c r="AO301" s="447"/>
      <c r="AP301" s="447"/>
      <c r="AQ301" s="447"/>
      <c r="AR301" s="447"/>
      <c r="AS301" s="447"/>
      <c r="AT301" s="447"/>
      <c r="AU301" s="447"/>
      <c r="AV301" s="447"/>
      <c r="AW301" s="447"/>
      <c r="AX301" s="447"/>
      <c r="AY301" s="447"/>
      <c r="AZ301" s="447"/>
      <c r="BA301" s="447"/>
      <c r="BB301" s="447"/>
      <c r="BC301" s="447"/>
      <c r="BD301" s="447"/>
      <c r="BE301" s="447"/>
      <c r="BF301" s="447"/>
      <c r="BG301" s="447"/>
      <c r="BH301" s="447"/>
      <c r="BI301" s="447"/>
      <c r="BJ301" s="447"/>
      <c r="BK301" s="447"/>
      <c r="BL301" s="447"/>
      <c r="BM301" s="448"/>
      <c r="BN301" s="448"/>
    </row>
    <row r="302" spans="1:66" ht="11.25" customHeight="1">
      <c r="A302" s="469"/>
      <c r="B302" s="447"/>
      <c r="C302" s="447"/>
      <c r="D302" s="447"/>
      <c r="E302" s="447"/>
      <c r="F302" s="447"/>
      <c r="G302" s="447"/>
      <c r="H302" s="447"/>
      <c r="I302" s="447"/>
      <c r="J302" s="447"/>
      <c r="K302" s="447"/>
      <c r="L302" s="447"/>
      <c r="M302" s="447"/>
      <c r="N302" s="447"/>
      <c r="O302" s="447"/>
      <c r="P302" s="447"/>
      <c r="Q302" s="447"/>
      <c r="R302" s="447"/>
      <c r="S302" s="447"/>
      <c r="T302" s="447"/>
      <c r="U302" s="447"/>
      <c r="V302" s="447"/>
      <c r="W302" s="447"/>
      <c r="X302" s="447"/>
      <c r="Y302" s="447"/>
      <c r="Z302" s="447"/>
      <c r="AA302" s="447"/>
      <c r="AB302" s="447"/>
      <c r="AC302" s="447"/>
      <c r="AD302" s="447"/>
      <c r="AE302" s="447"/>
      <c r="AF302" s="448"/>
      <c r="AG302" s="448"/>
      <c r="AH302" s="448"/>
      <c r="AI302" s="447"/>
      <c r="AJ302" s="447"/>
      <c r="AK302" s="447"/>
      <c r="AL302" s="447"/>
      <c r="AM302" s="447"/>
      <c r="AN302" s="447"/>
      <c r="AO302" s="447"/>
      <c r="AP302" s="447"/>
      <c r="AQ302" s="447"/>
      <c r="AR302" s="447"/>
      <c r="AS302" s="447"/>
      <c r="AT302" s="447"/>
      <c r="AU302" s="447"/>
      <c r="AV302" s="447"/>
      <c r="AW302" s="447"/>
      <c r="AX302" s="447"/>
      <c r="AY302" s="447"/>
      <c r="AZ302" s="447"/>
      <c r="BA302" s="447"/>
      <c r="BB302" s="447"/>
      <c r="BC302" s="447"/>
      <c r="BD302" s="447"/>
      <c r="BE302" s="447"/>
      <c r="BF302" s="447"/>
      <c r="BG302" s="447"/>
      <c r="BH302" s="447"/>
      <c r="BI302" s="447"/>
      <c r="BJ302" s="447"/>
      <c r="BK302" s="447"/>
      <c r="BL302" s="447"/>
      <c r="BM302" s="448"/>
      <c r="BN302" s="448"/>
    </row>
    <row r="303" spans="1:66" ht="11.25" customHeight="1">
      <c r="A303" s="469"/>
      <c r="B303" s="447"/>
      <c r="C303" s="447"/>
      <c r="D303" s="447"/>
      <c r="E303" s="447"/>
      <c r="F303" s="447"/>
      <c r="G303" s="447"/>
      <c r="H303" s="447"/>
      <c r="I303" s="447"/>
      <c r="J303" s="447"/>
      <c r="K303" s="447"/>
      <c r="L303" s="447"/>
      <c r="M303" s="447"/>
      <c r="N303" s="447"/>
      <c r="O303" s="447"/>
      <c r="P303" s="447"/>
      <c r="Q303" s="447"/>
      <c r="R303" s="447"/>
      <c r="S303" s="447"/>
      <c r="T303" s="447"/>
      <c r="U303" s="447"/>
      <c r="V303" s="447"/>
      <c r="W303" s="447"/>
      <c r="X303" s="447"/>
      <c r="Y303" s="447"/>
      <c r="Z303" s="447"/>
      <c r="AA303" s="447"/>
      <c r="AB303" s="447"/>
      <c r="AC303" s="447"/>
      <c r="AD303" s="447"/>
      <c r="AE303" s="447"/>
      <c r="AF303" s="448"/>
      <c r="AG303" s="448"/>
      <c r="AH303" s="448"/>
      <c r="AI303" s="447"/>
      <c r="AJ303" s="447"/>
      <c r="AK303" s="447"/>
      <c r="AL303" s="447"/>
      <c r="AM303" s="447"/>
      <c r="AN303" s="447"/>
      <c r="AO303" s="447"/>
      <c r="AP303" s="447"/>
      <c r="AQ303" s="447"/>
      <c r="AR303" s="447"/>
      <c r="AS303" s="447"/>
      <c r="AT303" s="447"/>
      <c r="AU303" s="447"/>
      <c r="AV303" s="447"/>
      <c r="AW303" s="447"/>
      <c r="AX303" s="447"/>
      <c r="AY303" s="447"/>
      <c r="AZ303" s="447"/>
      <c r="BA303" s="447"/>
      <c r="BB303" s="447"/>
      <c r="BC303" s="447"/>
      <c r="BD303" s="447"/>
      <c r="BE303" s="447"/>
      <c r="BF303" s="447"/>
      <c r="BG303" s="447"/>
      <c r="BH303" s="447"/>
      <c r="BI303" s="447"/>
      <c r="BJ303" s="447"/>
      <c r="BK303" s="447"/>
      <c r="BL303" s="447"/>
      <c r="BM303" s="448"/>
      <c r="BN303" s="448"/>
    </row>
    <row r="304" spans="1:66" ht="11.25" customHeight="1">
      <c r="A304" s="469"/>
      <c r="B304" s="447"/>
      <c r="C304" s="447"/>
      <c r="D304" s="447"/>
      <c r="E304" s="447"/>
      <c r="F304" s="447"/>
      <c r="G304" s="447"/>
      <c r="H304" s="447"/>
      <c r="I304" s="447"/>
      <c r="J304" s="447"/>
      <c r="K304" s="447"/>
      <c r="L304" s="447"/>
      <c r="M304" s="447"/>
      <c r="N304" s="447"/>
      <c r="O304" s="447"/>
      <c r="P304" s="447"/>
      <c r="Q304" s="447"/>
      <c r="R304" s="447"/>
      <c r="S304" s="447"/>
      <c r="T304" s="447"/>
      <c r="U304" s="447"/>
      <c r="V304" s="447"/>
      <c r="W304" s="447"/>
      <c r="X304" s="447"/>
      <c r="Y304" s="447"/>
      <c r="Z304" s="447"/>
      <c r="AA304" s="447"/>
      <c r="AB304" s="447"/>
      <c r="AC304" s="447"/>
      <c r="AD304" s="447"/>
      <c r="AE304" s="447"/>
      <c r="AF304" s="448"/>
      <c r="AG304" s="448"/>
      <c r="AH304" s="448"/>
      <c r="AI304" s="447"/>
      <c r="AJ304" s="447"/>
      <c r="AK304" s="447"/>
      <c r="AL304" s="447"/>
      <c r="AM304" s="447"/>
      <c r="AN304" s="447"/>
      <c r="AO304" s="447"/>
      <c r="AP304" s="447"/>
      <c r="AQ304" s="447"/>
      <c r="AR304" s="447"/>
      <c r="AS304" s="447"/>
      <c r="AT304" s="447"/>
      <c r="AU304" s="447"/>
      <c r="AV304" s="447"/>
      <c r="AW304" s="447"/>
      <c r="AX304" s="447"/>
      <c r="AY304" s="447"/>
      <c r="AZ304" s="447"/>
      <c r="BA304" s="447"/>
      <c r="BB304" s="447"/>
      <c r="BC304" s="447"/>
      <c r="BD304" s="447"/>
      <c r="BE304" s="447"/>
      <c r="BF304" s="447"/>
      <c r="BG304" s="447"/>
      <c r="BH304" s="447"/>
      <c r="BI304" s="447"/>
      <c r="BJ304" s="447"/>
      <c r="BK304" s="447"/>
      <c r="BL304" s="447"/>
      <c r="BM304" s="448"/>
      <c r="BN304" s="448"/>
    </row>
    <row r="305" spans="1:66" ht="11.25" customHeight="1">
      <c r="A305" s="469"/>
      <c r="B305" s="447"/>
      <c r="C305" s="447"/>
      <c r="D305" s="447"/>
      <c r="E305" s="447"/>
      <c r="F305" s="447"/>
      <c r="G305" s="447"/>
      <c r="H305" s="447"/>
      <c r="I305" s="447"/>
      <c r="J305" s="447"/>
      <c r="K305" s="447"/>
      <c r="L305" s="447"/>
      <c r="M305" s="447"/>
      <c r="N305" s="447"/>
      <c r="O305" s="447"/>
      <c r="P305" s="447"/>
      <c r="Q305" s="447"/>
      <c r="R305" s="447"/>
      <c r="S305" s="447"/>
      <c r="T305" s="447"/>
      <c r="U305" s="447"/>
      <c r="V305" s="447"/>
      <c r="W305" s="447"/>
      <c r="X305" s="447"/>
      <c r="Y305" s="447"/>
      <c r="Z305" s="447"/>
      <c r="AA305" s="447"/>
      <c r="AB305" s="447"/>
      <c r="AC305" s="447"/>
      <c r="AD305" s="447"/>
      <c r="AE305" s="447"/>
      <c r="AF305" s="448"/>
      <c r="AG305" s="448"/>
      <c r="AH305" s="448"/>
      <c r="AI305" s="447"/>
      <c r="AJ305" s="447"/>
      <c r="AK305" s="447"/>
      <c r="AL305" s="447"/>
      <c r="AM305" s="447"/>
      <c r="AN305" s="447"/>
      <c r="AO305" s="447"/>
      <c r="AP305" s="447"/>
      <c r="AQ305" s="447"/>
      <c r="AR305" s="447"/>
      <c r="AS305" s="447"/>
      <c r="AT305" s="447"/>
      <c r="AU305" s="447"/>
      <c r="AV305" s="447"/>
      <c r="AW305" s="447"/>
      <c r="AX305" s="447"/>
      <c r="AY305" s="447"/>
      <c r="AZ305" s="447"/>
      <c r="BA305" s="447"/>
      <c r="BB305" s="447"/>
      <c r="BC305" s="447"/>
      <c r="BD305" s="447"/>
      <c r="BE305" s="447"/>
      <c r="BF305" s="447"/>
      <c r="BG305" s="447"/>
      <c r="BH305" s="447"/>
      <c r="BI305" s="447"/>
      <c r="BJ305" s="447"/>
      <c r="BK305" s="447"/>
      <c r="BL305" s="447"/>
      <c r="BM305" s="448"/>
      <c r="BN305" s="448"/>
    </row>
    <row r="306" spans="1:66" ht="11.25" customHeight="1">
      <c r="A306" s="469"/>
      <c r="B306" s="447"/>
      <c r="C306" s="447"/>
      <c r="D306" s="447"/>
      <c r="E306" s="447"/>
      <c r="F306" s="447"/>
      <c r="G306" s="447"/>
      <c r="H306" s="447"/>
      <c r="I306" s="447"/>
      <c r="J306" s="447"/>
      <c r="K306" s="447"/>
      <c r="L306" s="447"/>
      <c r="M306" s="447"/>
      <c r="N306" s="447"/>
      <c r="O306" s="447"/>
      <c r="P306" s="447"/>
      <c r="Q306" s="447"/>
      <c r="R306" s="447"/>
      <c r="S306" s="447"/>
      <c r="T306" s="447"/>
      <c r="U306" s="447"/>
      <c r="V306" s="447"/>
      <c r="W306" s="447"/>
      <c r="X306" s="447"/>
      <c r="Y306" s="447"/>
      <c r="Z306" s="447"/>
      <c r="AA306" s="447"/>
      <c r="AB306" s="447"/>
      <c r="AC306" s="447"/>
      <c r="AD306" s="447"/>
      <c r="AE306" s="447"/>
      <c r="AF306" s="448"/>
      <c r="AG306" s="448"/>
      <c r="AH306" s="448"/>
      <c r="AI306" s="447"/>
      <c r="AJ306" s="447"/>
      <c r="AK306" s="447"/>
      <c r="AL306" s="447"/>
      <c r="AM306" s="447"/>
      <c r="AN306" s="447"/>
      <c r="AO306" s="447"/>
      <c r="AP306" s="447"/>
      <c r="AQ306" s="447"/>
      <c r="AR306" s="447"/>
      <c r="AS306" s="447"/>
      <c r="AT306" s="447"/>
      <c r="AU306" s="447"/>
      <c r="AV306" s="447"/>
      <c r="AW306" s="447"/>
      <c r="AX306" s="447"/>
      <c r="AY306" s="447"/>
      <c r="AZ306" s="447"/>
      <c r="BA306" s="447"/>
      <c r="BB306" s="447"/>
      <c r="BC306" s="447"/>
      <c r="BD306" s="447"/>
      <c r="BE306" s="447"/>
      <c r="BF306" s="447"/>
      <c r="BG306" s="447"/>
      <c r="BH306" s="447"/>
      <c r="BI306" s="447"/>
      <c r="BJ306" s="447"/>
      <c r="BK306" s="447"/>
      <c r="BL306" s="447"/>
      <c r="BM306" s="448"/>
      <c r="BN306" s="448"/>
    </row>
    <row r="307" spans="1:66" ht="11.25" customHeight="1">
      <c r="A307" s="469"/>
      <c r="B307" s="447"/>
      <c r="C307" s="447"/>
      <c r="D307" s="447"/>
      <c r="E307" s="447"/>
      <c r="F307" s="447"/>
      <c r="G307" s="447"/>
      <c r="H307" s="447"/>
      <c r="I307" s="447"/>
      <c r="J307" s="447"/>
      <c r="K307" s="447"/>
      <c r="L307" s="447"/>
      <c r="M307" s="447"/>
      <c r="N307" s="447"/>
      <c r="O307" s="447"/>
      <c r="P307" s="447"/>
      <c r="Q307" s="447"/>
      <c r="R307" s="447"/>
      <c r="S307" s="447"/>
      <c r="T307" s="447"/>
      <c r="U307" s="447"/>
      <c r="V307" s="447"/>
      <c r="W307" s="447"/>
      <c r="X307" s="447"/>
      <c r="Y307" s="447"/>
      <c r="Z307" s="447"/>
      <c r="AA307" s="447"/>
      <c r="AB307" s="447"/>
      <c r="AC307" s="447"/>
      <c r="AD307" s="447"/>
      <c r="AE307" s="447"/>
      <c r="AF307" s="448"/>
      <c r="AG307" s="448"/>
      <c r="AH307" s="448"/>
      <c r="AI307" s="447"/>
      <c r="AJ307" s="447"/>
      <c r="AK307" s="447"/>
      <c r="AL307" s="447"/>
      <c r="AM307" s="447"/>
      <c r="AN307" s="447"/>
      <c r="AO307" s="447"/>
      <c r="AP307" s="447"/>
      <c r="AQ307" s="447"/>
      <c r="AR307" s="447"/>
      <c r="AS307" s="447"/>
      <c r="AT307" s="447"/>
      <c r="AU307" s="447"/>
      <c r="AV307" s="447"/>
      <c r="AW307" s="447"/>
      <c r="AX307" s="447"/>
      <c r="AY307" s="447"/>
      <c r="AZ307" s="447"/>
      <c r="BA307" s="447"/>
      <c r="BB307" s="447"/>
      <c r="BC307" s="447"/>
      <c r="BD307" s="447"/>
      <c r="BE307" s="447"/>
      <c r="BF307" s="447"/>
      <c r="BG307" s="447"/>
      <c r="BH307" s="447"/>
      <c r="BI307" s="447"/>
      <c r="BJ307" s="447"/>
      <c r="BK307" s="447"/>
      <c r="BL307" s="447"/>
      <c r="BM307" s="448"/>
      <c r="BN307" s="448"/>
    </row>
    <row r="308" spans="1:66" ht="11.25" customHeight="1">
      <c r="A308" s="469"/>
      <c r="B308" s="447"/>
      <c r="C308" s="447"/>
      <c r="D308" s="447"/>
      <c r="E308" s="447"/>
      <c r="F308" s="447"/>
      <c r="G308" s="447"/>
      <c r="H308" s="447"/>
      <c r="I308" s="447"/>
      <c r="J308" s="447"/>
      <c r="K308" s="447"/>
      <c r="L308" s="447"/>
      <c r="M308" s="447"/>
      <c r="N308" s="447"/>
      <c r="O308" s="447"/>
      <c r="P308" s="447"/>
      <c r="Q308" s="447"/>
      <c r="R308" s="447"/>
      <c r="S308" s="447"/>
      <c r="T308" s="447"/>
      <c r="U308" s="447"/>
      <c r="V308" s="447"/>
      <c r="W308" s="447"/>
      <c r="X308" s="447"/>
      <c r="Y308" s="447"/>
      <c r="Z308" s="447"/>
      <c r="AA308" s="447"/>
      <c r="AB308" s="447"/>
      <c r="AC308" s="447"/>
      <c r="AD308" s="447"/>
      <c r="AE308" s="447"/>
      <c r="AF308" s="448"/>
      <c r="AG308" s="448"/>
      <c r="AH308" s="448"/>
      <c r="AI308" s="447"/>
      <c r="AJ308" s="447"/>
      <c r="AK308" s="447"/>
      <c r="AL308" s="447"/>
      <c r="AM308" s="447"/>
      <c r="AN308" s="447"/>
      <c r="AO308" s="447"/>
      <c r="AP308" s="447"/>
      <c r="AQ308" s="447"/>
      <c r="AR308" s="447"/>
      <c r="AS308" s="447"/>
      <c r="AT308" s="447"/>
      <c r="AU308" s="447"/>
      <c r="AV308" s="447"/>
      <c r="AW308" s="447"/>
      <c r="AX308" s="447"/>
      <c r="AY308" s="447"/>
      <c r="AZ308" s="447"/>
      <c r="BA308" s="447"/>
      <c r="BB308" s="447"/>
      <c r="BC308" s="447"/>
      <c r="BD308" s="447"/>
      <c r="BE308" s="447"/>
      <c r="BF308" s="447"/>
      <c r="BG308" s="447"/>
      <c r="BH308" s="447"/>
      <c r="BI308" s="447"/>
      <c r="BJ308" s="447"/>
      <c r="BK308" s="447"/>
      <c r="BL308" s="447"/>
      <c r="BM308" s="448"/>
      <c r="BN308" s="448"/>
    </row>
    <row r="309" spans="1:66" ht="11.25" customHeight="1">
      <c r="A309" s="469"/>
      <c r="B309" s="447"/>
      <c r="C309" s="447"/>
      <c r="D309" s="447"/>
      <c r="E309" s="447"/>
      <c r="F309" s="447"/>
      <c r="G309" s="447"/>
      <c r="H309" s="447"/>
      <c r="I309" s="447"/>
      <c r="J309" s="447"/>
      <c r="K309" s="447"/>
      <c r="L309" s="447"/>
      <c r="M309" s="447"/>
      <c r="N309" s="447"/>
      <c r="O309" s="447"/>
      <c r="P309" s="447"/>
      <c r="Q309" s="447"/>
      <c r="R309" s="447"/>
      <c r="S309" s="447"/>
      <c r="T309" s="447"/>
      <c r="U309" s="447"/>
      <c r="V309" s="447"/>
      <c r="W309" s="447"/>
      <c r="X309" s="447"/>
      <c r="Y309" s="447"/>
      <c r="Z309" s="447"/>
      <c r="AA309" s="447"/>
      <c r="AB309" s="447"/>
      <c r="AC309" s="447"/>
      <c r="AD309" s="447"/>
      <c r="AE309" s="447"/>
      <c r="AF309" s="448"/>
      <c r="AG309" s="448"/>
      <c r="AH309" s="448"/>
      <c r="AI309" s="447"/>
      <c r="AJ309" s="447"/>
      <c r="AK309" s="447"/>
      <c r="AL309" s="447"/>
      <c r="AM309" s="447"/>
      <c r="AN309" s="447"/>
      <c r="AO309" s="447"/>
      <c r="AP309" s="447"/>
      <c r="AQ309" s="447"/>
      <c r="AR309" s="447"/>
      <c r="AS309" s="447"/>
      <c r="AT309" s="447"/>
      <c r="AU309" s="447"/>
      <c r="AV309" s="447"/>
      <c r="AW309" s="447"/>
      <c r="AX309" s="447"/>
      <c r="AY309" s="447"/>
      <c r="AZ309" s="447"/>
      <c r="BA309" s="447"/>
      <c r="BB309" s="447"/>
      <c r="BC309" s="447"/>
      <c r="BD309" s="447"/>
      <c r="BE309" s="447"/>
      <c r="BF309" s="447"/>
      <c r="BG309" s="447"/>
      <c r="BH309" s="447"/>
      <c r="BI309" s="447"/>
      <c r="BJ309" s="447"/>
      <c r="BK309" s="447"/>
      <c r="BL309" s="447"/>
      <c r="BM309" s="448"/>
      <c r="BN309" s="448"/>
    </row>
    <row r="310" spans="1:66" ht="11.25" customHeight="1">
      <c r="A310" s="469"/>
      <c r="B310" s="447"/>
      <c r="C310" s="447"/>
      <c r="D310" s="447"/>
      <c r="E310" s="447"/>
      <c r="F310" s="447"/>
      <c r="G310" s="447"/>
      <c r="H310" s="447"/>
      <c r="I310" s="447"/>
      <c r="J310" s="447"/>
      <c r="K310" s="447"/>
      <c r="L310" s="447"/>
      <c r="M310" s="447"/>
      <c r="N310" s="447"/>
      <c r="O310" s="447"/>
      <c r="P310" s="447"/>
      <c r="Q310" s="447"/>
      <c r="R310" s="447"/>
      <c r="S310" s="447"/>
      <c r="T310" s="447"/>
      <c r="U310" s="447"/>
      <c r="V310" s="447"/>
      <c r="W310" s="447"/>
      <c r="X310" s="447"/>
      <c r="Y310" s="447"/>
      <c r="Z310" s="447"/>
      <c r="AA310" s="447"/>
      <c r="AB310" s="447"/>
      <c r="AC310" s="447"/>
      <c r="AD310" s="447"/>
      <c r="AE310" s="447"/>
      <c r="AF310" s="448"/>
      <c r="AG310" s="448"/>
      <c r="AH310" s="448"/>
      <c r="AI310" s="447"/>
      <c r="AJ310" s="447"/>
      <c r="AK310" s="447"/>
      <c r="AL310" s="447"/>
      <c r="AM310" s="447"/>
      <c r="AN310" s="447"/>
      <c r="AO310" s="447"/>
      <c r="AP310" s="447"/>
      <c r="AQ310" s="447"/>
      <c r="AR310" s="447"/>
      <c r="AS310" s="447"/>
      <c r="AT310" s="447"/>
      <c r="AU310" s="447"/>
      <c r="AV310" s="447"/>
      <c r="AW310" s="447"/>
      <c r="AX310" s="447"/>
      <c r="AY310" s="447"/>
      <c r="AZ310" s="447"/>
      <c r="BA310" s="447"/>
      <c r="BB310" s="447"/>
      <c r="BC310" s="447"/>
      <c r="BD310" s="447"/>
      <c r="BE310" s="447"/>
      <c r="BF310" s="447"/>
      <c r="BG310" s="447"/>
      <c r="BH310" s="447"/>
      <c r="BI310" s="447"/>
      <c r="BJ310" s="447"/>
      <c r="BK310" s="447"/>
      <c r="BL310" s="447"/>
      <c r="BM310" s="448"/>
      <c r="BN310" s="448"/>
    </row>
    <row r="311" spans="1:66" ht="11.25" customHeight="1">
      <c r="A311" s="469"/>
      <c r="B311" s="447"/>
      <c r="C311" s="447"/>
      <c r="D311" s="447"/>
      <c r="E311" s="447"/>
      <c r="F311" s="447"/>
      <c r="G311" s="447"/>
      <c r="H311" s="447"/>
      <c r="I311" s="447"/>
      <c r="J311" s="447"/>
      <c r="K311" s="447"/>
      <c r="L311" s="447"/>
      <c r="M311" s="447"/>
      <c r="N311" s="447"/>
      <c r="O311" s="447"/>
      <c r="P311" s="447"/>
      <c r="Q311" s="447"/>
      <c r="R311" s="447"/>
      <c r="S311" s="447"/>
      <c r="T311" s="447"/>
      <c r="U311" s="447"/>
      <c r="V311" s="447"/>
      <c r="W311" s="447"/>
      <c r="X311" s="447"/>
      <c r="Y311" s="447"/>
      <c r="Z311" s="447"/>
      <c r="AA311" s="447"/>
      <c r="AB311" s="447"/>
      <c r="AC311" s="447"/>
      <c r="AD311" s="447"/>
      <c r="AE311" s="447"/>
      <c r="AF311" s="448"/>
      <c r="AG311" s="448"/>
      <c r="AH311" s="448"/>
      <c r="AI311" s="447"/>
      <c r="AJ311" s="447"/>
      <c r="AK311" s="447"/>
      <c r="AL311" s="447"/>
      <c r="AM311" s="447"/>
      <c r="AN311" s="447"/>
      <c r="AO311" s="447"/>
      <c r="AP311" s="447"/>
      <c r="AQ311" s="447"/>
      <c r="AR311" s="447"/>
      <c r="AS311" s="447"/>
      <c r="AT311" s="447"/>
      <c r="AU311" s="447"/>
      <c r="AV311" s="447"/>
      <c r="AW311" s="447"/>
      <c r="AX311" s="447"/>
      <c r="AY311" s="447"/>
      <c r="AZ311" s="447"/>
      <c r="BA311" s="447"/>
      <c r="BB311" s="447"/>
      <c r="BC311" s="447"/>
      <c r="BD311" s="447"/>
      <c r="BE311" s="447"/>
      <c r="BF311" s="447"/>
      <c r="BG311" s="447"/>
      <c r="BH311" s="447"/>
      <c r="BI311" s="447"/>
      <c r="BJ311" s="447"/>
      <c r="BK311" s="447"/>
      <c r="BL311" s="447"/>
      <c r="BM311" s="448"/>
      <c r="BN311" s="448"/>
    </row>
    <row r="312" spans="1:66" ht="11.25" customHeight="1">
      <c r="A312" s="469"/>
      <c r="B312" s="447"/>
      <c r="C312" s="447"/>
      <c r="D312" s="447"/>
      <c r="E312" s="447"/>
      <c r="F312" s="447"/>
      <c r="G312" s="447"/>
      <c r="H312" s="447"/>
      <c r="I312" s="447"/>
      <c r="J312" s="447"/>
      <c r="K312" s="447"/>
      <c r="L312" s="447"/>
      <c r="M312" s="447"/>
      <c r="N312" s="447"/>
      <c r="O312" s="447"/>
      <c r="P312" s="447"/>
      <c r="Q312" s="447"/>
      <c r="R312" s="447"/>
      <c r="S312" s="447"/>
      <c r="T312" s="447"/>
      <c r="U312" s="447"/>
      <c r="V312" s="447"/>
      <c r="W312" s="447"/>
      <c r="X312" s="447"/>
      <c r="Y312" s="447"/>
      <c r="Z312" s="447"/>
      <c r="AA312" s="447"/>
      <c r="AB312" s="447"/>
      <c r="AC312" s="447"/>
      <c r="AD312" s="447"/>
      <c r="AE312" s="447"/>
      <c r="AF312" s="448"/>
      <c r="AG312" s="448"/>
      <c r="AH312" s="448"/>
      <c r="AI312" s="447"/>
      <c r="AJ312" s="447"/>
      <c r="AK312" s="447"/>
      <c r="AL312" s="447"/>
      <c r="AM312" s="447"/>
      <c r="AN312" s="447"/>
      <c r="AO312" s="447"/>
      <c r="AP312" s="447"/>
      <c r="AQ312" s="447"/>
      <c r="AR312" s="447"/>
      <c r="AS312" s="447"/>
      <c r="AT312" s="447"/>
      <c r="AU312" s="447"/>
      <c r="AV312" s="447"/>
      <c r="AW312" s="447"/>
      <c r="AX312" s="447"/>
      <c r="AY312" s="447"/>
      <c r="AZ312" s="447"/>
      <c r="BA312" s="447"/>
      <c r="BB312" s="447"/>
      <c r="BC312" s="447"/>
      <c r="BD312" s="447"/>
      <c r="BE312" s="447"/>
      <c r="BF312" s="447"/>
      <c r="BG312" s="447"/>
      <c r="BH312" s="447"/>
      <c r="BI312" s="447"/>
      <c r="BJ312" s="447"/>
      <c r="BK312" s="447"/>
      <c r="BL312" s="447"/>
      <c r="BM312" s="448"/>
      <c r="BN312" s="448"/>
    </row>
    <row r="313" spans="1:66" ht="11.25" customHeight="1">
      <c r="A313" s="469"/>
      <c r="B313" s="447"/>
      <c r="C313" s="447"/>
      <c r="D313" s="447"/>
      <c r="E313" s="447"/>
      <c r="F313" s="447"/>
      <c r="G313" s="447"/>
      <c r="H313" s="447"/>
      <c r="I313" s="447"/>
      <c r="J313" s="447"/>
      <c r="K313" s="447"/>
      <c r="L313" s="447"/>
      <c r="M313" s="447"/>
      <c r="N313" s="447"/>
      <c r="O313" s="447"/>
      <c r="P313" s="447"/>
      <c r="Q313" s="447"/>
      <c r="R313" s="447"/>
      <c r="S313" s="447"/>
      <c r="T313" s="447"/>
      <c r="U313" s="447"/>
      <c r="V313" s="447"/>
      <c r="W313" s="447"/>
      <c r="X313" s="447"/>
      <c r="Y313" s="447"/>
      <c r="Z313" s="447"/>
      <c r="AA313" s="447"/>
      <c r="AB313" s="447"/>
      <c r="AC313" s="447"/>
      <c r="AD313" s="447"/>
      <c r="AE313" s="447"/>
      <c r="AF313" s="448"/>
      <c r="AG313" s="448"/>
      <c r="AH313" s="448"/>
      <c r="AI313" s="447"/>
      <c r="AJ313" s="447"/>
      <c r="AK313" s="447"/>
      <c r="AL313" s="447"/>
      <c r="AM313" s="447"/>
      <c r="AN313" s="447"/>
      <c r="AO313" s="447"/>
      <c r="AP313" s="447"/>
      <c r="AQ313" s="447"/>
      <c r="AR313" s="447"/>
      <c r="AS313" s="447"/>
      <c r="AT313" s="447"/>
      <c r="AU313" s="447"/>
      <c r="AV313" s="447"/>
      <c r="AW313" s="447"/>
      <c r="AX313" s="447"/>
      <c r="AY313" s="447"/>
      <c r="AZ313" s="447"/>
      <c r="BA313" s="447"/>
      <c r="BB313" s="447"/>
      <c r="BC313" s="447"/>
      <c r="BD313" s="447"/>
      <c r="BE313" s="447"/>
      <c r="BF313" s="447"/>
      <c r="BG313" s="447"/>
      <c r="BH313" s="447"/>
      <c r="BI313" s="447"/>
      <c r="BJ313" s="447"/>
      <c r="BK313" s="447"/>
      <c r="BL313" s="447"/>
      <c r="BM313" s="448"/>
      <c r="BN313" s="448"/>
    </row>
    <row r="314" spans="1:66" ht="11.25" customHeight="1">
      <c r="A314" s="469"/>
      <c r="B314" s="447"/>
      <c r="C314" s="447"/>
      <c r="D314" s="447"/>
      <c r="E314" s="447"/>
      <c r="F314" s="447"/>
      <c r="G314" s="447"/>
      <c r="H314" s="447"/>
      <c r="I314" s="447"/>
      <c r="J314" s="447"/>
      <c r="K314" s="447"/>
      <c r="L314" s="447"/>
      <c r="M314" s="447"/>
      <c r="N314" s="447"/>
      <c r="O314" s="447"/>
      <c r="P314" s="447"/>
      <c r="Q314" s="447"/>
      <c r="R314" s="447"/>
      <c r="S314" s="447"/>
      <c r="T314" s="447"/>
      <c r="U314" s="447"/>
      <c r="V314" s="447"/>
      <c r="W314" s="447"/>
      <c r="X314" s="447"/>
      <c r="Y314" s="447"/>
      <c r="Z314" s="447"/>
      <c r="AA314" s="447"/>
      <c r="AB314" s="447"/>
      <c r="AC314" s="447"/>
      <c r="AD314" s="447"/>
      <c r="AE314" s="447"/>
      <c r="AF314" s="448"/>
      <c r="AG314" s="448"/>
      <c r="AH314" s="448"/>
      <c r="AI314" s="447"/>
      <c r="AJ314" s="447"/>
      <c r="AK314" s="447"/>
      <c r="AL314" s="447"/>
      <c r="AM314" s="447"/>
      <c r="AN314" s="447"/>
      <c r="AO314" s="447"/>
      <c r="AP314" s="447"/>
      <c r="AQ314" s="447"/>
      <c r="AR314" s="447"/>
      <c r="AS314" s="447"/>
      <c r="AT314" s="447"/>
      <c r="AU314" s="447"/>
      <c r="AV314" s="447"/>
      <c r="AW314" s="447"/>
      <c r="AX314" s="447"/>
      <c r="AY314" s="447"/>
      <c r="AZ314" s="447"/>
      <c r="BA314" s="447"/>
      <c r="BB314" s="447"/>
      <c r="BC314" s="447"/>
      <c r="BD314" s="447"/>
      <c r="BE314" s="447"/>
      <c r="BF314" s="447"/>
      <c r="BG314" s="447"/>
      <c r="BH314" s="447"/>
      <c r="BI314" s="447"/>
      <c r="BJ314" s="447"/>
      <c r="BK314" s="447"/>
      <c r="BL314" s="447"/>
      <c r="BM314" s="448"/>
      <c r="BN314" s="448"/>
    </row>
    <row r="315" spans="1:66" ht="11.25" customHeight="1">
      <c r="A315" s="469"/>
      <c r="B315" s="447"/>
      <c r="C315" s="447"/>
      <c r="D315" s="447"/>
      <c r="E315" s="447"/>
      <c r="F315" s="447"/>
      <c r="G315" s="447"/>
      <c r="H315" s="447"/>
      <c r="I315" s="447"/>
      <c r="J315" s="447"/>
      <c r="K315" s="447"/>
      <c r="L315" s="447"/>
      <c r="M315" s="447"/>
      <c r="N315" s="447"/>
      <c r="O315" s="447"/>
      <c r="P315" s="447"/>
      <c r="Q315" s="447"/>
      <c r="R315" s="447"/>
      <c r="S315" s="447"/>
      <c r="T315" s="447"/>
      <c r="U315" s="447"/>
      <c r="V315" s="447"/>
      <c r="W315" s="447"/>
      <c r="X315" s="447"/>
      <c r="Y315" s="447"/>
      <c r="Z315" s="447"/>
      <c r="AA315" s="447"/>
      <c r="AB315" s="447"/>
      <c r="AC315" s="447"/>
      <c r="AD315" s="447"/>
      <c r="AE315" s="447"/>
      <c r="AF315" s="448"/>
      <c r="AG315" s="448"/>
      <c r="AH315" s="448"/>
      <c r="AI315" s="447"/>
      <c r="AJ315" s="447"/>
      <c r="AK315" s="447"/>
      <c r="AL315" s="447"/>
      <c r="AM315" s="447"/>
      <c r="AN315" s="447"/>
      <c r="AO315" s="447"/>
      <c r="AP315" s="447"/>
      <c r="AQ315" s="447"/>
      <c r="AR315" s="447"/>
      <c r="AS315" s="447"/>
      <c r="AT315" s="447"/>
      <c r="AU315" s="447"/>
      <c r="AV315" s="447"/>
      <c r="AW315" s="447"/>
      <c r="AX315" s="447"/>
      <c r="AY315" s="447"/>
      <c r="AZ315" s="447"/>
      <c r="BA315" s="447"/>
      <c r="BB315" s="447"/>
      <c r="BC315" s="447"/>
      <c r="BD315" s="447"/>
      <c r="BE315" s="447"/>
      <c r="BF315" s="447"/>
      <c r="BG315" s="447"/>
      <c r="BH315" s="447"/>
      <c r="BI315" s="447"/>
      <c r="BJ315" s="447"/>
      <c r="BK315" s="447"/>
      <c r="BL315" s="447"/>
      <c r="BM315" s="448"/>
      <c r="BN315" s="448"/>
    </row>
    <row r="316" spans="1:66" ht="11.25" customHeight="1">
      <c r="A316" s="469"/>
      <c r="B316" s="447"/>
      <c r="C316" s="447"/>
      <c r="D316" s="447"/>
      <c r="E316" s="447"/>
      <c r="F316" s="447"/>
      <c r="G316" s="447"/>
      <c r="H316" s="447"/>
      <c r="I316" s="447"/>
      <c r="J316" s="447"/>
      <c r="K316" s="447"/>
      <c r="L316" s="447"/>
      <c r="M316" s="447"/>
      <c r="N316" s="447"/>
      <c r="O316" s="447"/>
      <c r="P316" s="447"/>
      <c r="Q316" s="447"/>
      <c r="R316" s="447"/>
      <c r="S316" s="447"/>
      <c r="T316" s="447"/>
      <c r="U316" s="447"/>
      <c r="V316" s="447"/>
      <c r="W316" s="447"/>
      <c r="X316" s="447"/>
      <c r="Y316" s="447"/>
      <c r="Z316" s="447"/>
      <c r="AA316" s="447"/>
      <c r="AB316" s="447"/>
      <c r="AC316" s="447"/>
      <c r="AD316" s="447"/>
      <c r="AE316" s="447"/>
      <c r="AF316" s="448"/>
      <c r="AG316" s="448"/>
      <c r="AH316" s="448"/>
      <c r="AI316" s="447"/>
      <c r="AJ316" s="447"/>
      <c r="AK316" s="447"/>
      <c r="AL316" s="447"/>
      <c r="AM316" s="447"/>
      <c r="AN316" s="447"/>
      <c r="AO316" s="447"/>
      <c r="AP316" s="447"/>
      <c r="AQ316" s="447"/>
      <c r="AR316" s="447"/>
      <c r="AS316" s="447"/>
      <c r="AT316" s="447"/>
      <c r="AU316" s="447"/>
      <c r="AV316" s="447"/>
      <c r="AW316" s="447"/>
      <c r="AX316" s="447"/>
      <c r="AY316" s="447"/>
      <c r="AZ316" s="447"/>
      <c r="BA316" s="447"/>
      <c r="BB316" s="447"/>
      <c r="BC316" s="447"/>
      <c r="BD316" s="447"/>
      <c r="BE316" s="447"/>
      <c r="BF316" s="447"/>
      <c r="BG316" s="447"/>
      <c r="BH316" s="447"/>
      <c r="BI316" s="447"/>
      <c r="BJ316" s="447"/>
      <c r="BK316" s="447"/>
      <c r="BL316" s="447"/>
      <c r="BM316" s="448"/>
      <c r="BN316" s="448"/>
    </row>
    <row r="317" spans="1:66" ht="11.25" customHeight="1">
      <c r="A317" s="469"/>
      <c r="B317" s="447"/>
      <c r="C317" s="447"/>
      <c r="D317" s="447"/>
      <c r="E317" s="447"/>
      <c r="F317" s="447"/>
      <c r="G317" s="447"/>
      <c r="H317" s="447"/>
      <c r="I317" s="447"/>
      <c r="J317" s="447"/>
      <c r="K317" s="447"/>
      <c r="L317" s="447"/>
      <c r="M317" s="447"/>
      <c r="N317" s="447"/>
      <c r="O317" s="447"/>
      <c r="P317" s="447"/>
      <c r="Q317" s="447"/>
      <c r="R317" s="447"/>
      <c r="S317" s="447"/>
      <c r="T317" s="447"/>
      <c r="U317" s="447"/>
      <c r="V317" s="447"/>
      <c r="W317" s="447"/>
      <c r="X317" s="447"/>
      <c r="Y317" s="447"/>
      <c r="Z317" s="447"/>
      <c r="AA317" s="447"/>
      <c r="AB317" s="447"/>
      <c r="AC317" s="447"/>
      <c r="AD317" s="447"/>
      <c r="AE317" s="447"/>
      <c r="AF317" s="448"/>
      <c r="AG317" s="448"/>
      <c r="AH317" s="448"/>
      <c r="AI317" s="447"/>
      <c r="AJ317" s="447"/>
      <c r="AK317" s="447"/>
      <c r="AL317" s="447"/>
      <c r="AM317" s="447"/>
      <c r="AN317" s="447"/>
      <c r="AO317" s="447"/>
      <c r="AP317" s="447"/>
      <c r="AQ317" s="447"/>
      <c r="AR317" s="447"/>
      <c r="AS317" s="447"/>
      <c r="AT317" s="447"/>
      <c r="AU317" s="447"/>
      <c r="AV317" s="447"/>
      <c r="AW317" s="447"/>
      <c r="AX317" s="447"/>
      <c r="AY317" s="447"/>
      <c r="AZ317" s="447"/>
      <c r="BA317" s="447"/>
      <c r="BB317" s="447"/>
      <c r="BC317" s="447"/>
      <c r="BD317" s="447"/>
      <c r="BE317" s="447"/>
      <c r="BF317" s="447"/>
      <c r="BG317" s="447"/>
      <c r="BH317" s="447"/>
      <c r="BI317" s="447"/>
      <c r="BJ317" s="447"/>
      <c r="BK317" s="447"/>
      <c r="BL317" s="447"/>
      <c r="BM317" s="448"/>
      <c r="BN317" s="448"/>
    </row>
    <row r="318" spans="1:66" ht="11.25" customHeight="1">
      <c r="A318" s="469"/>
      <c r="B318" s="447"/>
      <c r="C318" s="447"/>
      <c r="D318" s="447"/>
      <c r="E318" s="447"/>
      <c r="F318" s="447"/>
      <c r="G318" s="447"/>
      <c r="H318" s="447"/>
      <c r="I318" s="447"/>
      <c r="J318" s="447"/>
      <c r="K318" s="447"/>
      <c r="L318" s="447"/>
      <c r="M318" s="447"/>
      <c r="N318" s="447"/>
      <c r="O318" s="447"/>
      <c r="P318" s="447"/>
      <c r="Q318" s="447"/>
      <c r="R318" s="447"/>
      <c r="S318" s="447"/>
      <c r="T318" s="447"/>
      <c r="U318" s="447"/>
      <c r="V318" s="447"/>
      <c r="W318" s="447"/>
      <c r="X318" s="447"/>
      <c r="Y318" s="447"/>
      <c r="Z318" s="447"/>
      <c r="AA318" s="447"/>
      <c r="AB318" s="447"/>
      <c r="AC318" s="447"/>
      <c r="AD318" s="447"/>
      <c r="AE318" s="447"/>
      <c r="AF318" s="448"/>
      <c r="AG318" s="448"/>
      <c r="AH318" s="448"/>
      <c r="AI318" s="447"/>
      <c r="AJ318" s="447"/>
      <c r="AK318" s="447"/>
      <c r="AL318" s="447"/>
      <c r="AM318" s="447"/>
      <c r="AN318" s="447"/>
      <c r="AO318" s="447"/>
      <c r="AP318" s="447"/>
      <c r="AQ318" s="447"/>
      <c r="AR318" s="447"/>
      <c r="AS318" s="447"/>
      <c r="AT318" s="447"/>
      <c r="AU318" s="447"/>
      <c r="AV318" s="447"/>
      <c r="AW318" s="447"/>
      <c r="AX318" s="447"/>
      <c r="AY318" s="447"/>
      <c r="AZ318" s="447"/>
      <c r="BA318" s="447"/>
      <c r="BB318" s="447"/>
      <c r="BC318" s="447"/>
      <c r="BD318" s="447"/>
      <c r="BE318" s="447"/>
      <c r="BF318" s="447"/>
      <c r="BG318" s="447"/>
      <c r="BH318" s="447"/>
      <c r="BI318" s="447"/>
      <c r="BJ318" s="447"/>
      <c r="BK318" s="447"/>
      <c r="BL318" s="447"/>
      <c r="BM318" s="448"/>
      <c r="BN318" s="448"/>
    </row>
    <row r="319" spans="1:66" ht="11.25" customHeight="1">
      <c r="A319" s="469"/>
      <c r="B319" s="447"/>
      <c r="C319" s="447"/>
      <c r="D319" s="447"/>
      <c r="E319" s="447"/>
      <c r="F319" s="447"/>
      <c r="G319" s="447"/>
      <c r="H319" s="447"/>
      <c r="I319" s="447"/>
      <c r="J319" s="447"/>
      <c r="K319" s="447"/>
      <c r="L319" s="447"/>
      <c r="M319" s="447"/>
      <c r="N319" s="447"/>
      <c r="O319" s="447"/>
      <c r="P319" s="447"/>
      <c r="Q319" s="447"/>
      <c r="R319" s="447"/>
      <c r="S319" s="447"/>
      <c r="T319" s="447"/>
      <c r="U319" s="447"/>
      <c r="V319" s="447"/>
      <c r="W319" s="447"/>
      <c r="X319" s="447"/>
      <c r="Y319" s="447"/>
      <c r="Z319" s="447"/>
      <c r="AA319" s="447"/>
      <c r="AB319" s="447"/>
      <c r="AC319" s="447"/>
      <c r="AD319" s="447"/>
      <c r="AE319" s="447"/>
      <c r="AF319" s="448"/>
      <c r="AG319" s="448"/>
      <c r="AH319" s="448"/>
      <c r="AI319" s="447"/>
      <c r="AJ319" s="447"/>
      <c r="AK319" s="447"/>
      <c r="AL319" s="447"/>
      <c r="AM319" s="447"/>
      <c r="AN319" s="447"/>
      <c r="AO319" s="447"/>
      <c r="AP319" s="447"/>
      <c r="AQ319" s="447"/>
      <c r="AR319" s="447"/>
      <c r="AS319" s="447"/>
      <c r="AT319" s="447"/>
      <c r="AU319" s="447"/>
      <c r="AV319" s="447"/>
      <c r="AW319" s="447"/>
      <c r="AX319" s="447"/>
      <c r="AY319" s="447"/>
      <c r="AZ319" s="447"/>
      <c r="BA319" s="447"/>
      <c r="BB319" s="447"/>
      <c r="BC319" s="447"/>
      <c r="BD319" s="447"/>
      <c r="BE319" s="447"/>
      <c r="BF319" s="447"/>
      <c r="BG319" s="447"/>
      <c r="BH319" s="447"/>
      <c r="BI319" s="447"/>
      <c r="BJ319" s="447"/>
      <c r="BK319" s="447"/>
      <c r="BL319" s="447"/>
      <c r="BM319" s="448"/>
      <c r="BN319" s="448"/>
    </row>
    <row r="320" spans="1:66" ht="11.25" customHeight="1">
      <c r="A320" s="469"/>
      <c r="B320" s="447"/>
      <c r="C320" s="447"/>
      <c r="D320" s="447"/>
      <c r="E320" s="447"/>
      <c r="F320" s="447"/>
      <c r="G320" s="447"/>
      <c r="H320" s="447"/>
      <c r="I320" s="447"/>
      <c r="J320" s="447"/>
      <c r="K320" s="447"/>
      <c r="L320" s="447"/>
      <c r="M320" s="447"/>
      <c r="N320" s="447"/>
      <c r="O320" s="447"/>
      <c r="P320" s="447"/>
      <c r="Q320" s="447"/>
      <c r="R320" s="447"/>
      <c r="S320" s="447"/>
      <c r="T320" s="447"/>
      <c r="U320" s="447"/>
      <c r="V320" s="447"/>
      <c r="W320" s="447"/>
      <c r="X320" s="447"/>
      <c r="Y320" s="447"/>
      <c r="Z320" s="447"/>
      <c r="AA320" s="447"/>
      <c r="AB320" s="447"/>
      <c r="AC320" s="447"/>
      <c r="AD320" s="447"/>
      <c r="AE320" s="447"/>
      <c r="AF320" s="448"/>
      <c r="AG320" s="448"/>
      <c r="AH320" s="448"/>
      <c r="AI320" s="447"/>
      <c r="AJ320" s="447"/>
      <c r="AK320" s="447"/>
      <c r="AL320" s="447"/>
      <c r="AM320" s="447"/>
      <c r="AN320" s="447"/>
      <c r="AO320" s="447"/>
      <c r="AP320" s="447"/>
      <c r="AQ320" s="447"/>
      <c r="AR320" s="447"/>
      <c r="AS320" s="447"/>
      <c r="AT320" s="447"/>
      <c r="AU320" s="447"/>
      <c r="AV320" s="447"/>
      <c r="AW320" s="447"/>
      <c r="AX320" s="447"/>
      <c r="AY320" s="447"/>
      <c r="AZ320" s="447"/>
      <c r="BA320" s="447"/>
      <c r="BB320" s="447"/>
      <c r="BC320" s="447"/>
      <c r="BD320" s="447"/>
      <c r="BE320" s="447"/>
      <c r="BF320" s="447"/>
      <c r="BG320" s="447"/>
      <c r="BH320" s="447"/>
      <c r="BI320" s="447"/>
      <c r="BJ320" s="447"/>
      <c r="BK320" s="447"/>
      <c r="BL320" s="447"/>
      <c r="BM320" s="448"/>
      <c r="BN320" s="448"/>
    </row>
    <row r="321" spans="1:66" ht="11.25" customHeight="1">
      <c r="A321" s="469"/>
      <c r="B321" s="447"/>
      <c r="C321" s="447"/>
      <c r="D321" s="447"/>
      <c r="E321" s="447"/>
      <c r="F321" s="447"/>
      <c r="G321" s="447"/>
      <c r="H321" s="447"/>
      <c r="I321" s="447"/>
      <c r="J321" s="447"/>
      <c r="K321" s="447"/>
      <c r="L321" s="447"/>
      <c r="M321" s="447"/>
      <c r="N321" s="447"/>
      <c r="O321" s="447"/>
      <c r="P321" s="447"/>
      <c r="Q321" s="447"/>
      <c r="R321" s="447"/>
      <c r="S321" s="447"/>
      <c r="T321" s="447"/>
      <c r="U321" s="447"/>
      <c r="V321" s="447"/>
      <c r="W321" s="447"/>
      <c r="X321" s="447"/>
      <c r="Y321" s="447"/>
      <c r="Z321" s="447"/>
      <c r="AA321" s="447"/>
      <c r="AB321" s="447"/>
      <c r="AC321" s="447"/>
      <c r="AD321" s="447"/>
      <c r="AE321" s="447"/>
      <c r="AF321" s="448"/>
      <c r="AG321" s="448"/>
      <c r="AH321" s="448"/>
      <c r="AI321" s="447"/>
      <c r="AJ321" s="447"/>
      <c r="AK321" s="447"/>
      <c r="AL321" s="447"/>
      <c r="AM321" s="447"/>
      <c r="AN321" s="447"/>
      <c r="AO321" s="447"/>
      <c r="AP321" s="447"/>
      <c r="AQ321" s="447"/>
      <c r="AR321" s="447"/>
      <c r="AS321" s="447"/>
      <c r="AT321" s="447"/>
      <c r="AU321" s="447"/>
      <c r="AV321" s="447"/>
      <c r="AW321" s="447"/>
      <c r="AX321" s="447"/>
      <c r="AY321" s="447"/>
      <c r="AZ321" s="447"/>
      <c r="BA321" s="447"/>
      <c r="BB321" s="447"/>
      <c r="BC321" s="447"/>
      <c r="BD321" s="447"/>
      <c r="BE321" s="447"/>
      <c r="BF321" s="447"/>
      <c r="BG321" s="447"/>
      <c r="BH321" s="447"/>
      <c r="BI321" s="447"/>
      <c r="BJ321" s="447"/>
      <c r="BK321" s="447"/>
      <c r="BL321" s="447"/>
      <c r="BM321" s="448"/>
      <c r="BN321" s="448"/>
    </row>
    <row r="322" spans="1:66" ht="11.25" customHeight="1">
      <c r="A322" s="469"/>
      <c r="B322" s="447"/>
      <c r="C322" s="447"/>
      <c r="D322" s="447"/>
      <c r="E322" s="447"/>
      <c r="F322" s="447"/>
      <c r="G322" s="447"/>
      <c r="H322" s="447"/>
      <c r="I322" s="447"/>
      <c r="J322" s="447"/>
      <c r="K322" s="447"/>
      <c r="L322" s="447"/>
      <c r="M322" s="447"/>
      <c r="N322" s="447"/>
      <c r="O322" s="447"/>
      <c r="P322" s="447"/>
      <c r="Q322" s="447"/>
      <c r="R322" s="447"/>
      <c r="S322" s="447"/>
      <c r="T322" s="447"/>
      <c r="U322" s="447"/>
      <c r="V322" s="447"/>
      <c r="W322" s="447"/>
      <c r="X322" s="447"/>
      <c r="Y322" s="447"/>
      <c r="Z322" s="447"/>
      <c r="AA322" s="447"/>
      <c r="AB322" s="447"/>
      <c r="AC322" s="447"/>
      <c r="AD322" s="447"/>
      <c r="AE322" s="447"/>
      <c r="AF322" s="448"/>
      <c r="AG322" s="448"/>
      <c r="AH322" s="448"/>
      <c r="AI322" s="447"/>
      <c r="AJ322" s="447"/>
      <c r="AK322" s="447"/>
      <c r="AL322" s="447"/>
      <c r="AM322" s="447"/>
      <c r="AN322" s="447"/>
      <c r="AO322" s="447"/>
      <c r="AP322" s="447"/>
      <c r="AQ322" s="447"/>
      <c r="AR322" s="447"/>
      <c r="AS322" s="447"/>
      <c r="AT322" s="447"/>
      <c r="AU322" s="447"/>
      <c r="AV322" s="447"/>
      <c r="AW322" s="447"/>
      <c r="AX322" s="447"/>
      <c r="AY322" s="447"/>
      <c r="AZ322" s="447"/>
      <c r="BA322" s="447"/>
      <c r="BB322" s="447"/>
      <c r="BC322" s="447"/>
      <c r="BD322" s="447"/>
      <c r="BE322" s="447"/>
      <c r="BF322" s="447"/>
      <c r="BG322" s="447"/>
      <c r="BH322" s="447"/>
      <c r="BI322" s="447"/>
      <c r="BJ322" s="447"/>
      <c r="BK322" s="447"/>
      <c r="BL322" s="447"/>
      <c r="BM322" s="448"/>
      <c r="BN322" s="448"/>
    </row>
    <row r="323" spans="1:66" ht="11.25" customHeight="1">
      <c r="A323" s="469"/>
      <c r="B323" s="447"/>
      <c r="C323" s="447"/>
      <c r="D323" s="447"/>
      <c r="E323" s="447"/>
      <c r="F323" s="447"/>
      <c r="G323" s="447"/>
      <c r="H323" s="447"/>
      <c r="I323" s="447"/>
      <c r="J323" s="447"/>
      <c r="K323" s="447"/>
      <c r="L323" s="447"/>
      <c r="M323" s="447"/>
      <c r="N323" s="447"/>
      <c r="O323" s="447"/>
      <c r="P323" s="447"/>
      <c r="Q323" s="447"/>
      <c r="R323" s="447"/>
      <c r="S323" s="447"/>
      <c r="T323" s="447"/>
      <c r="U323" s="447"/>
      <c r="V323" s="447"/>
      <c r="W323" s="447"/>
      <c r="X323" s="447"/>
      <c r="Y323" s="447"/>
      <c r="Z323" s="447"/>
      <c r="AA323" s="447"/>
      <c r="AB323" s="447"/>
      <c r="AC323" s="447"/>
      <c r="AD323" s="447"/>
      <c r="AE323" s="447"/>
      <c r="AF323" s="448"/>
      <c r="AG323" s="448"/>
      <c r="AH323" s="448"/>
      <c r="AI323" s="447"/>
      <c r="AJ323" s="447"/>
      <c r="AK323" s="447"/>
      <c r="AL323" s="447"/>
      <c r="AM323" s="447"/>
      <c r="AN323" s="447"/>
      <c r="AO323" s="447"/>
      <c r="AP323" s="447"/>
      <c r="AQ323" s="447"/>
      <c r="AR323" s="447"/>
      <c r="AS323" s="447"/>
      <c r="AT323" s="447"/>
      <c r="AU323" s="447"/>
      <c r="AV323" s="447"/>
      <c r="AW323" s="447"/>
      <c r="AX323" s="447"/>
      <c r="AY323" s="447"/>
      <c r="AZ323" s="447"/>
      <c r="BA323" s="447"/>
      <c r="BB323" s="447"/>
      <c r="BC323" s="447"/>
      <c r="BD323" s="447"/>
      <c r="BE323" s="447"/>
      <c r="BF323" s="447"/>
      <c r="BG323" s="447"/>
      <c r="BH323" s="447"/>
      <c r="BI323" s="447"/>
      <c r="BJ323" s="447"/>
      <c r="BK323" s="447"/>
      <c r="BL323" s="447"/>
      <c r="BM323" s="448"/>
      <c r="BN323" s="448"/>
    </row>
    <row r="324" spans="1:66" ht="11.25" customHeight="1">
      <c r="A324" s="469"/>
      <c r="B324" s="447"/>
      <c r="C324" s="447"/>
      <c r="D324" s="447"/>
      <c r="E324" s="447"/>
      <c r="F324" s="447"/>
      <c r="G324" s="447"/>
      <c r="H324" s="447"/>
      <c r="I324" s="447"/>
      <c r="J324" s="447"/>
      <c r="K324" s="447"/>
      <c r="L324" s="447"/>
      <c r="M324" s="447"/>
      <c r="N324" s="447"/>
      <c r="O324" s="447"/>
      <c r="P324" s="447"/>
      <c r="Q324" s="447"/>
      <c r="R324" s="447"/>
      <c r="S324" s="447"/>
      <c r="T324" s="447"/>
      <c r="U324" s="447"/>
      <c r="V324" s="447"/>
      <c r="W324" s="447"/>
      <c r="X324" s="447"/>
      <c r="Y324" s="447"/>
      <c r="Z324" s="447"/>
      <c r="AA324" s="447"/>
      <c r="AB324" s="447"/>
      <c r="AC324" s="447"/>
      <c r="AD324" s="447"/>
      <c r="AE324" s="447"/>
      <c r="AF324" s="448"/>
      <c r="AG324" s="448"/>
      <c r="AH324" s="448"/>
      <c r="AI324" s="447"/>
      <c r="AJ324" s="447"/>
      <c r="AK324" s="447"/>
      <c r="AL324" s="447"/>
      <c r="AM324" s="447"/>
      <c r="AN324" s="447"/>
      <c r="AO324" s="447"/>
      <c r="AP324" s="447"/>
      <c r="AQ324" s="447"/>
      <c r="AR324" s="447"/>
      <c r="AS324" s="447"/>
      <c r="AT324" s="447"/>
      <c r="AU324" s="447"/>
      <c r="AV324" s="447"/>
      <c r="AW324" s="447"/>
      <c r="AX324" s="447"/>
      <c r="AY324" s="447"/>
      <c r="AZ324" s="447"/>
      <c r="BA324" s="447"/>
      <c r="BB324" s="447"/>
      <c r="BC324" s="447"/>
      <c r="BD324" s="447"/>
      <c r="BE324" s="447"/>
      <c r="BF324" s="447"/>
      <c r="BG324" s="447"/>
      <c r="BH324" s="447"/>
      <c r="BI324" s="447"/>
      <c r="BJ324" s="447"/>
      <c r="BK324" s="447"/>
      <c r="BL324" s="447"/>
      <c r="BM324" s="448"/>
      <c r="BN324" s="448"/>
    </row>
    <row r="325" spans="1:66" ht="11.25" customHeight="1">
      <c r="A325" s="469"/>
      <c r="B325" s="447"/>
      <c r="C325" s="447"/>
      <c r="D325" s="447"/>
      <c r="E325" s="447"/>
      <c r="F325" s="447"/>
      <c r="G325" s="447"/>
      <c r="H325" s="447"/>
      <c r="I325" s="447"/>
      <c r="J325" s="447"/>
      <c r="K325" s="447"/>
      <c r="L325" s="447"/>
      <c r="M325" s="447"/>
      <c r="N325" s="447"/>
      <c r="O325" s="447"/>
      <c r="P325" s="447"/>
      <c r="Q325" s="447"/>
      <c r="R325" s="447"/>
      <c r="S325" s="447"/>
      <c r="T325" s="447"/>
      <c r="U325" s="447"/>
      <c r="V325" s="447"/>
      <c r="W325" s="447"/>
      <c r="X325" s="447"/>
      <c r="Y325" s="447"/>
      <c r="Z325" s="447"/>
      <c r="AA325" s="447"/>
      <c r="AB325" s="447"/>
      <c r="AC325" s="447"/>
      <c r="AD325" s="447"/>
      <c r="AE325" s="447"/>
      <c r="AF325" s="448"/>
      <c r="AG325" s="448"/>
      <c r="AH325" s="448"/>
      <c r="AI325" s="447"/>
      <c r="AJ325" s="447"/>
      <c r="AK325" s="447"/>
      <c r="AL325" s="447"/>
      <c r="AM325" s="447"/>
      <c r="AN325" s="447"/>
      <c r="AO325" s="447"/>
      <c r="AP325" s="447"/>
      <c r="AQ325" s="447"/>
      <c r="AR325" s="447"/>
      <c r="AS325" s="447"/>
      <c r="AT325" s="447"/>
      <c r="AU325" s="447"/>
      <c r="AV325" s="447"/>
      <c r="AW325" s="447"/>
      <c r="AX325" s="447"/>
      <c r="AY325" s="447"/>
      <c r="AZ325" s="447"/>
      <c r="BA325" s="447"/>
      <c r="BB325" s="447"/>
      <c r="BC325" s="447"/>
      <c r="BD325" s="447"/>
      <c r="BE325" s="447"/>
      <c r="BF325" s="447"/>
      <c r="BG325" s="447"/>
      <c r="BH325" s="447"/>
      <c r="BI325" s="447"/>
      <c r="BJ325" s="447"/>
      <c r="BK325" s="447"/>
      <c r="BL325" s="447"/>
      <c r="BM325" s="448"/>
      <c r="BN325" s="448"/>
    </row>
    <row r="326" spans="1:66" ht="11.25" customHeight="1">
      <c r="A326" s="469"/>
      <c r="B326" s="447"/>
      <c r="C326" s="447"/>
      <c r="D326" s="447"/>
      <c r="E326" s="447"/>
      <c r="F326" s="447"/>
      <c r="G326" s="447"/>
      <c r="H326" s="447"/>
      <c r="I326" s="447"/>
      <c r="J326" s="447"/>
      <c r="K326" s="447"/>
      <c r="L326" s="447"/>
      <c r="M326" s="447"/>
      <c r="N326" s="447"/>
      <c r="O326" s="447"/>
      <c r="P326" s="447"/>
      <c r="Q326" s="447"/>
      <c r="R326" s="447"/>
      <c r="S326" s="447"/>
      <c r="T326" s="447"/>
      <c r="U326" s="447"/>
      <c r="V326" s="447"/>
      <c r="W326" s="447"/>
      <c r="X326" s="447"/>
      <c r="Y326" s="447"/>
      <c r="Z326" s="447"/>
      <c r="AA326" s="447"/>
      <c r="AB326" s="447"/>
      <c r="AC326" s="447"/>
      <c r="AD326" s="447"/>
      <c r="AE326" s="447"/>
      <c r="AF326" s="448"/>
      <c r="AG326" s="448"/>
      <c r="AH326" s="448"/>
      <c r="AI326" s="447"/>
      <c r="AJ326" s="447"/>
      <c r="AK326" s="447"/>
      <c r="AL326" s="447"/>
      <c r="AM326" s="447"/>
      <c r="AN326" s="447"/>
      <c r="AO326" s="447"/>
      <c r="AP326" s="447"/>
      <c r="AQ326" s="447"/>
      <c r="AR326" s="447"/>
      <c r="AS326" s="447"/>
      <c r="AT326" s="447"/>
      <c r="AU326" s="447"/>
      <c r="AV326" s="447"/>
      <c r="AW326" s="447"/>
      <c r="AX326" s="447"/>
      <c r="AY326" s="447"/>
      <c r="AZ326" s="447"/>
      <c r="BA326" s="447"/>
      <c r="BB326" s="447"/>
      <c r="BC326" s="447"/>
      <c r="BD326" s="447"/>
      <c r="BE326" s="447"/>
      <c r="BF326" s="447"/>
      <c r="BG326" s="447"/>
      <c r="BH326" s="447"/>
      <c r="BI326" s="447"/>
      <c r="BJ326" s="447"/>
      <c r="BK326" s="447"/>
      <c r="BL326" s="447"/>
      <c r="BM326" s="448"/>
      <c r="BN326" s="448"/>
    </row>
    <row r="327" spans="1:66" ht="11.25" customHeight="1">
      <c r="A327" s="469"/>
      <c r="B327" s="447"/>
      <c r="C327" s="447"/>
      <c r="D327" s="447"/>
      <c r="E327" s="447"/>
      <c r="F327" s="447"/>
      <c r="G327" s="447"/>
      <c r="H327" s="447"/>
      <c r="I327" s="447"/>
      <c r="J327" s="447"/>
      <c r="K327" s="447"/>
      <c r="L327" s="447"/>
      <c r="M327" s="447"/>
      <c r="N327" s="447"/>
      <c r="O327" s="447"/>
      <c r="P327" s="447"/>
      <c r="Q327" s="447"/>
      <c r="R327" s="447"/>
      <c r="S327" s="447"/>
      <c r="T327" s="447"/>
      <c r="U327" s="447"/>
      <c r="V327" s="447"/>
      <c r="W327" s="447"/>
      <c r="X327" s="447"/>
      <c r="Y327" s="447"/>
      <c r="Z327" s="447"/>
      <c r="AA327" s="447"/>
      <c r="AB327" s="447"/>
      <c r="AC327" s="447"/>
      <c r="AD327" s="447"/>
      <c r="AE327" s="447"/>
      <c r="AF327" s="448"/>
      <c r="AG327" s="448"/>
      <c r="AH327" s="448"/>
      <c r="AI327" s="447"/>
      <c r="AJ327" s="447"/>
      <c r="AK327" s="447"/>
      <c r="AL327" s="447"/>
      <c r="AM327" s="447"/>
      <c r="AN327" s="447"/>
      <c r="AO327" s="447"/>
      <c r="AP327" s="447"/>
      <c r="AQ327" s="447"/>
      <c r="AR327" s="447"/>
      <c r="AS327" s="447"/>
      <c r="AT327" s="447"/>
      <c r="AU327" s="447"/>
      <c r="AV327" s="447"/>
      <c r="AW327" s="447"/>
      <c r="AX327" s="447"/>
      <c r="AY327" s="447"/>
      <c r="AZ327" s="447"/>
      <c r="BA327" s="447"/>
      <c r="BB327" s="447"/>
      <c r="BC327" s="447"/>
      <c r="BD327" s="447"/>
      <c r="BE327" s="447"/>
      <c r="BF327" s="447"/>
      <c r="BG327" s="447"/>
      <c r="BH327" s="447"/>
      <c r="BI327" s="447"/>
      <c r="BJ327" s="447"/>
      <c r="BK327" s="447"/>
      <c r="BL327" s="447"/>
      <c r="BM327" s="448"/>
      <c r="BN327" s="448"/>
    </row>
    <row r="328" spans="1:66" ht="11.25" customHeight="1">
      <c r="A328" s="469"/>
      <c r="B328" s="447"/>
      <c r="C328" s="447"/>
      <c r="D328" s="447"/>
      <c r="E328" s="447"/>
      <c r="F328" s="447"/>
      <c r="G328" s="447"/>
      <c r="H328" s="447"/>
      <c r="I328" s="447"/>
      <c r="J328" s="447"/>
      <c r="K328" s="447"/>
      <c r="L328" s="447"/>
      <c r="M328" s="447"/>
      <c r="N328" s="447"/>
      <c r="O328" s="447"/>
      <c r="P328" s="447"/>
      <c r="Q328" s="447"/>
      <c r="R328" s="447"/>
      <c r="S328" s="447"/>
      <c r="T328" s="447"/>
      <c r="U328" s="447"/>
      <c r="V328" s="447"/>
      <c r="W328" s="447"/>
      <c r="X328" s="447"/>
      <c r="Y328" s="447"/>
      <c r="Z328" s="447"/>
      <c r="AA328" s="447"/>
      <c r="AB328" s="447"/>
      <c r="AC328" s="447"/>
      <c r="AD328" s="447"/>
      <c r="AE328" s="447"/>
      <c r="AF328" s="448"/>
      <c r="AG328" s="448"/>
      <c r="AH328" s="448"/>
      <c r="AI328" s="447"/>
      <c r="AJ328" s="447"/>
      <c r="AK328" s="447"/>
      <c r="AL328" s="447"/>
      <c r="AM328" s="447"/>
      <c r="AN328" s="447"/>
      <c r="AO328" s="447"/>
      <c r="AP328" s="447"/>
      <c r="AQ328" s="447"/>
      <c r="AR328" s="447"/>
      <c r="AS328" s="447"/>
      <c r="AT328" s="447"/>
      <c r="AU328" s="447"/>
      <c r="AV328" s="447"/>
      <c r="AW328" s="447"/>
      <c r="AX328" s="447"/>
      <c r="AY328" s="447"/>
      <c r="AZ328" s="447"/>
      <c r="BA328" s="447"/>
      <c r="BB328" s="447"/>
      <c r="BC328" s="447"/>
      <c r="BD328" s="447"/>
      <c r="BE328" s="447"/>
      <c r="BF328" s="447"/>
      <c r="BG328" s="447"/>
      <c r="BH328" s="447"/>
      <c r="BI328" s="447"/>
      <c r="BJ328" s="447"/>
      <c r="BK328" s="447"/>
      <c r="BL328" s="447"/>
      <c r="BM328" s="448"/>
      <c r="BN328" s="448"/>
    </row>
    <row r="329" spans="1:66" ht="11.25" customHeight="1">
      <c r="A329" s="469"/>
      <c r="B329" s="447"/>
      <c r="C329" s="447"/>
      <c r="D329" s="447"/>
      <c r="E329" s="447"/>
      <c r="F329" s="447"/>
      <c r="G329" s="447"/>
      <c r="H329" s="447"/>
      <c r="I329" s="447"/>
      <c r="J329" s="447"/>
      <c r="K329" s="447"/>
      <c r="L329" s="447"/>
      <c r="M329" s="447"/>
      <c r="N329" s="447"/>
      <c r="O329" s="447"/>
      <c r="P329" s="447"/>
      <c r="Q329" s="447"/>
      <c r="R329" s="447"/>
      <c r="S329" s="447"/>
      <c r="T329" s="447"/>
      <c r="U329" s="447"/>
      <c r="V329" s="447"/>
      <c r="W329" s="447"/>
      <c r="X329" s="447"/>
      <c r="Y329" s="447"/>
      <c r="Z329" s="447"/>
      <c r="AA329" s="447"/>
      <c r="AB329" s="447"/>
      <c r="AC329" s="447"/>
      <c r="AD329" s="447"/>
      <c r="AE329" s="447"/>
      <c r="AF329" s="448"/>
      <c r="AG329" s="448"/>
      <c r="AH329" s="448"/>
      <c r="AI329" s="447"/>
      <c r="AJ329" s="447"/>
      <c r="AK329" s="447"/>
      <c r="AL329" s="447"/>
      <c r="AM329" s="447"/>
      <c r="AN329" s="447"/>
      <c r="AO329" s="447"/>
      <c r="AP329" s="447"/>
      <c r="AQ329" s="447"/>
      <c r="AR329" s="447"/>
      <c r="AS329" s="447"/>
      <c r="AT329" s="447"/>
      <c r="AU329" s="447"/>
      <c r="AV329" s="447"/>
      <c r="AW329" s="447"/>
      <c r="AX329" s="447"/>
      <c r="AY329" s="447"/>
      <c r="AZ329" s="447"/>
      <c r="BA329" s="447"/>
      <c r="BB329" s="447"/>
      <c r="BC329" s="447"/>
      <c r="BD329" s="447"/>
      <c r="BE329" s="447"/>
      <c r="BF329" s="447"/>
      <c r="BG329" s="447"/>
      <c r="BH329" s="447"/>
      <c r="BI329" s="447"/>
      <c r="BJ329" s="447"/>
      <c r="BK329" s="447"/>
      <c r="BL329" s="447"/>
      <c r="BM329" s="448"/>
      <c r="BN329" s="448"/>
    </row>
    <row r="330" spans="1:66" ht="11.25" customHeight="1">
      <c r="A330" s="469"/>
      <c r="B330" s="447"/>
      <c r="C330" s="447"/>
      <c r="D330" s="447"/>
      <c r="E330" s="447"/>
      <c r="F330" s="447"/>
      <c r="G330" s="447"/>
      <c r="H330" s="447"/>
      <c r="I330" s="447"/>
      <c r="J330" s="447"/>
      <c r="K330" s="447"/>
      <c r="L330" s="447"/>
      <c r="M330" s="447"/>
      <c r="N330" s="447"/>
      <c r="O330" s="447"/>
      <c r="P330" s="447"/>
      <c r="Q330" s="447"/>
      <c r="R330" s="447"/>
      <c r="S330" s="447"/>
      <c r="T330" s="447"/>
      <c r="U330" s="447"/>
      <c r="V330" s="447"/>
      <c r="W330" s="447"/>
      <c r="X330" s="447"/>
      <c r="Y330" s="447"/>
      <c r="Z330" s="447"/>
      <c r="AA330" s="447"/>
      <c r="AB330" s="447"/>
      <c r="AC330" s="447"/>
      <c r="AD330" s="447"/>
      <c r="AE330" s="447"/>
      <c r="AF330" s="448"/>
      <c r="AG330" s="448"/>
      <c r="AH330" s="448"/>
      <c r="AI330" s="447"/>
      <c r="AJ330" s="447"/>
      <c r="AK330" s="447"/>
      <c r="AL330" s="447"/>
      <c r="AM330" s="447"/>
      <c r="AN330" s="447"/>
      <c r="AO330" s="447"/>
      <c r="AP330" s="447"/>
      <c r="AQ330" s="447"/>
      <c r="AR330" s="447"/>
      <c r="AS330" s="447"/>
      <c r="AT330" s="447"/>
      <c r="AU330" s="447"/>
      <c r="AV330" s="447"/>
      <c r="AW330" s="447"/>
      <c r="AX330" s="447"/>
      <c r="AY330" s="447"/>
      <c r="AZ330" s="447"/>
      <c r="BA330" s="447"/>
      <c r="BB330" s="447"/>
      <c r="BC330" s="447"/>
      <c r="BD330" s="447"/>
      <c r="BE330" s="447"/>
      <c r="BF330" s="447"/>
      <c r="BG330" s="447"/>
      <c r="BH330" s="447"/>
      <c r="BI330" s="447"/>
      <c r="BJ330" s="447"/>
      <c r="BK330" s="447"/>
      <c r="BL330" s="447"/>
      <c r="BM330" s="448"/>
      <c r="BN330" s="448"/>
    </row>
    <row r="331" spans="1:66" ht="11.25" customHeight="1">
      <c r="A331" s="469"/>
      <c r="B331" s="447"/>
      <c r="C331" s="447"/>
      <c r="D331" s="447"/>
      <c r="E331" s="447"/>
      <c r="F331" s="447"/>
      <c r="G331" s="447"/>
      <c r="H331" s="447"/>
      <c r="I331" s="447"/>
      <c r="J331" s="447"/>
      <c r="K331" s="447"/>
      <c r="L331" s="447"/>
      <c r="M331" s="447"/>
      <c r="N331" s="447"/>
      <c r="O331" s="447"/>
      <c r="P331" s="447"/>
      <c r="Q331" s="447"/>
      <c r="R331" s="447"/>
      <c r="S331" s="447"/>
      <c r="T331" s="447"/>
      <c r="U331" s="447"/>
      <c r="V331" s="447"/>
      <c r="W331" s="447"/>
      <c r="X331" s="447"/>
      <c r="Y331" s="447"/>
      <c r="Z331" s="447"/>
      <c r="AA331" s="447"/>
      <c r="AB331" s="447"/>
      <c r="AC331" s="447"/>
      <c r="AD331" s="447"/>
      <c r="AE331" s="447"/>
      <c r="AF331" s="448"/>
      <c r="AG331" s="448"/>
      <c r="AH331" s="448"/>
      <c r="AI331" s="447"/>
      <c r="AJ331" s="447"/>
      <c r="AK331" s="447"/>
      <c r="AL331" s="447"/>
      <c r="AM331" s="447"/>
      <c r="AN331" s="447"/>
      <c r="AO331" s="447"/>
      <c r="AP331" s="447"/>
      <c r="AQ331" s="447"/>
      <c r="AR331" s="447"/>
      <c r="AS331" s="447"/>
      <c r="AT331" s="447"/>
      <c r="AU331" s="447"/>
      <c r="AV331" s="447"/>
      <c r="AW331" s="447"/>
      <c r="AX331" s="447"/>
      <c r="AY331" s="447"/>
      <c r="AZ331" s="447"/>
      <c r="BA331" s="447"/>
      <c r="BB331" s="447"/>
      <c r="BC331" s="447"/>
      <c r="BD331" s="447"/>
      <c r="BE331" s="447"/>
      <c r="BF331" s="447"/>
      <c r="BG331" s="447"/>
      <c r="BH331" s="447"/>
      <c r="BI331" s="447"/>
      <c r="BJ331" s="447"/>
      <c r="BK331" s="447"/>
      <c r="BL331" s="447"/>
      <c r="BM331" s="448"/>
      <c r="BN331" s="448"/>
    </row>
    <row r="332" spans="1:66" ht="11.25" customHeight="1">
      <c r="A332" s="469"/>
      <c r="B332" s="447"/>
      <c r="C332" s="447"/>
      <c r="D332" s="447"/>
      <c r="E332" s="447"/>
      <c r="F332" s="447"/>
      <c r="G332" s="447"/>
      <c r="H332" s="447"/>
      <c r="I332" s="447"/>
      <c r="J332" s="447"/>
      <c r="K332" s="447"/>
      <c r="L332" s="447"/>
      <c r="M332" s="447"/>
      <c r="N332" s="447"/>
      <c r="O332" s="447"/>
      <c r="P332" s="447"/>
      <c r="Q332" s="447"/>
      <c r="R332" s="447"/>
      <c r="S332" s="447"/>
      <c r="T332" s="447"/>
      <c r="U332" s="447"/>
      <c r="V332" s="447"/>
      <c r="W332" s="447"/>
      <c r="X332" s="447"/>
      <c r="Y332" s="447"/>
      <c r="Z332" s="447"/>
      <c r="AA332" s="447"/>
      <c r="AB332" s="447"/>
      <c r="AC332" s="447"/>
      <c r="AD332" s="447"/>
      <c r="AE332" s="447"/>
      <c r="AF332" s="448"/>
      <c r="AG332" s="448"/>
      <c r="AH332" s="448"/>
      <c r="AI332" s="447"/>
      <c r="AJ332" s="447"/>
      <c r="AK332" s="447"/>
      <c r="AL332" s="447"/>
      <c r="AM332" s="447"/>
      <c r="AN332" s="447"/>
      <c r="AO332" s="447"/>
      <c r="AP332" s="447"/>
      <c r="AQ332" s="447"/>
      <c r="AR332" s="447"/>
      <c r="AS332" s="447"/>
      <c r="AT332" s="447"/>
      <c r="AU332" s="447"/>
      <c r="AV332" s="447"/>
      <c r="AW332" s="447"/>
      <c r="AX332" s="447"/>
      <c r="AY332" s="447"/>
      <c r="AZ332" s="447"/>
      <c r="BA332" s="447"/>
      <c r="BB332" s="447"/>
      <c r="BC332" s="447"/>
      <c r="BD332" s="447"/>
      <c r="BE332" s="447"/>
      <c r="BF332" s="447"/>
      <c r="BG332" s="447"/>
      <c r="BH332" s="447"/>
      <c r="BI332" s="447"/>
      <c r="BJ332" s="447"/>
      <c r="BK332" s="447"/>
      <c r="BL332" s="447"/>
      <c r="BM332" s="448"/>
      <c r="BN332" s="448"/>
    </row>
    <row r="333" spans="1:66" ht="11.25" customHeight="1">
      <c r="A333" s="469"/>
      <c r="B333" s="447"/>
      <c r="C333" s="447"/>
      <c r="D333" s="447"/>
      <c r="E333" s="447"/>
      <c r="F333" s="447"/>
      <c r="G333" s="447"/>
      <c r="H333" s="447"/>
      <c r="I333" s="447"/>
      <c r="J333" s="447"/>
      <c r="K333" s="447"/>
      <c r="L333" s="447"/>
      <c r="M333" s="447"/>
      <c r="N333" s="447"/>
      <c r="O333" s="447"/>
      <c r="P333" s="447"/>
      <c r="Q333" s="447"/>
      <c r="R333" s="447"/>
      <c r="S333" s="447"/>
      <c r="T333" s="447"/>
      <c r="U333" s="447"/>
      <c r="V333" s="447"/>
      <c r="W333" s="447"/>
      <c r="X333" s="447"/>
      <c r="Y333" s="447"/>
      <c r="Z333" s="447"/>
      <c r="AA333" s="447"/>
      <c r="AB333" s="447"/>
      <c r="AC333" s="447"/>
      <c r="AD333" s="447"/>
      <c r="AE333" s="447"/>
      <c r="AF333" s="448"/>
      <c r="AG333" s="448"/>
      <c r="AH333" s="448"/>
      <c r="AI333" s="447"/>
      <c r="AJ333" s="447"/>
      <c r="AK333" s="447"/>
      <c r="AL333" s="447"/>
      <c r="AM333" s="447"/>
      <c r="AN333" s="447"/>
      <c r="AO333" s="447"/>
      <c r="AP333" s="447"/>
      <c r="AQ333" s="447"/>
      <c r="AR333" s="447"/>
      <c r="AS333" s="447"/>
      <c r="AT333" s="447"/>
      <c r="AU333" s="447"/>
      <c r="AV333" s="447"/>
      <c r="AW333" s="447"/>
      <c r="AX333" s="447"/>
      <c r="AY333" s="447"/>
      <c r="AZ333" s="447"/>
      <c r="BA333" s="447"/>
      <c r="BB333" s="447"/>
      <c r="BC333" s="447"/>
      <c r="BD333" s="447"/>
      <c r="BE333" s="447"/>
      <c r="BF333" s="447"/>
      <c r="BG333" s="447"/>
      <c r="BH333" s="447"/>
      <c r="BI333" s="447"/>
      <c r="BJ333" s="447"/>
      <c r="BK333" s="447"/>
      <c r="BL333" s="447"/>
      <c r="BM333" s="448"/>
      <c r="BN333" s="448"/>
    </row>
    <row r="334" spans="1:66" ht="11.25" customHeight="1">
      <c r="A334" s="469"/>
      <c r="B334" s="447"/>
      <c r="C334" s="447"/>
      <c r="D334" s="447"/>
      <c r="E334" s="447"/>
      <c r="F334" s="447"/>
      <c r="G334" s="447"/>
      <c r="H334" s="447"/>
      <c r="I334" s="447"/>
      <c r="J334" s="447"/>
      <c r="K334" s="447"/>
      <c r="L334" s="447"/>
      <c r="M334" s="447"/>
      <c r="N334" s="447"/>
      <c r="O334" s="447"/>
      <c r="P334" s="447"/>
      <c r="Q334" s="447"/>
      <c r="R334" s="447"/>
      <c r="S334" s="447"/>
      <c r="T334" s="447"/>
      <c r="U334" s="447"/>
      <c r="V334" s="447"/>
      <c r="W334" s="447"/>
      <c r="X334" s="447"/>
      <c r="Y334" s="447"/>
      <c r="Z334" s="447"/>
      <c r="AA334" s="447"/>
      <c r="AB334" s="447"/>
      <c r="AC334" s="447"/>
      <c r="AD334" s="447"/>
      <c r="AE334" s="447"/>
      <c r="AF334" s="448"/>
      <c r="AG334" s="448"/>
      <c r="AH334" s="448"/>
      <c r="AI334" s="447"/>
      <c r="AJ334" s="447"/>
      <c r="AK334" s="447"/>
      <c r="AL334" s="447"/>
      <c r="AM334" s="447"/>
      <c r="AN334" s="447"/>
      <c r="AO334" s="447"/>
      <c r="AP334" s="447"/>
      <c r="AQ334" s="447"/>
      <c r="AR334" s="447"/>
      <c r="AS334" s="447"/>
      <c r="AT334" s="447"/>
      <c r="AU334" s="447"/>
      <c r="AV334" s="447"/>
      <c r="AW334" s="447"/>
      <c r="AX334" s="447"/>
      <c r="AY334" s="447"/>
      <c r="AZ334" s="447"/>
      <c r="BA334" s="447"/>
      <c r="BB334" s="447"/>
      <c r="BC334" s="447"/>
      <c r="BD334" s="447"/>
      <c r="BE334" s="447"/>
      <c r="BF334" s="447"/>
      <c r="BG334" s="447"/>
      <c r="BH334" s="447"/>
      <c r="BI334" s="447"/>
      <c r="BJ334" s="447"/>
      <c r="BK334" s="447"/>
      <c r="BL334" s="447"/>
      <c r="BM334" s="448"/>
      <c r="BN334" s="448"/>
    </row>
    <row r="335" spans="1:66" ht="11.25" customHeight="1">
      <c r="A335" s="469"/>
      <c r="B335" s="447"/>
      <c r="C335" s="447"/>
      <c r="D335" s="447"/>
      <c r="E335" s="447"/>
      <c r="F335" s="447"/>
      <c r="G335" s="447"/>
      <c r="H335" s="447"/>
      <c r="I335" s="447"/>
      <c r="J335" s="447"/>
      <c r="K335" s="447"/>
      <c r="L335" s="447"/>
      <c r="M335" s="447"/>
      <c r="N335" s="447"/>
      <c r="O335" s="447"/>
      <c r="P335" s="447"/>
      <c r="Q335" s="447"/>
      <c r="R335" s="447"/>
      <c r="S335" s="447"/>
      <c r="T335" s="447"/>
      <c r="U335" s="447"/>
      <c r="V335" s="447"/>
      <c r="W335" s="447"/>
      <c r="X335" s="447"/>
      <c r="Y335" s="447"/>
      <c r="Z335" s="447"/>
      <c r="AA335" s="447"/>
      <c r="AB335" s="447"/>
      <c r="AC335" s="447"/>
      <c r="AD335" s="447"/>
      <c r="AE335" s="447"/>
      <c r="AF335" s="448"/>
      <c r="AG335" s="448"/>
      <c r="AH335" s="448"/>
      <c r="AI335" s="447"/>
      <c r="AJ335" s="447"/>
      <c r="AK335" s="447"/>
      <c r="AL335" s="447"/>
      <c r="AM335" s="447"/>
      <c r="AN335" s="447"/>
      <c r="AO335" s="447"/>
      <c r="AP335" s="447"/>
      <c r="AQ335" s="447"/>
      <c r="AR335" s="447"/>
      <c r="AS335" s="447"/>
      <c r="AT335" s="447"/>
      <c r="AU335" s="447"/>
      <c r="AV335" s="447"/>
      <c r="AW335" s="447"/>
      <c r="AX335" s="447"/>
      <c r="AY335" s="447"/>
      <c r="AZ335" s="447"/>
      <c r="BA335" s="447"/>
      <c r="BB335" s="447"/>
      <c r="BC335" s="447"/>
      <c r="BD335" s="447"/>
      <c r="BE335" s="447"/>
      <c r="BF335" s="447"/>
      <c r="BG335" s="447"/>
      <c r="BH335" s="447"/>
      <c r="BI335" s="447"/>
      <c r="BJ335" s="447"/>
      <c r="BK335" s="447"/>
      <c r="BL335" s="447"/>
      <c r="BM335" s="448"/>
      <c r="BN335" s="448"/>
    </row>
    <row r="336" spans="1:66" ht="11.25" customHeight="1">
      <c r="A336" s="469"/>
      <c r="B336" s="447"/>
      <c r="C336" s="447"/>
      <c r="D336" s="447"/>
      <c r="E336" s="447"/>
      <c r="F336" s="447"/>
      <c r="G336" s="447"/>
      <c r="H336" s="447"/>
      <c r="I336" s="447"/>
      <c r="J336" s="447"/>
      <c r="K336" s="447"/>
      <c r="L336" s="447"/>
      <c r="M336" s="447"/>
      <c r="N336" s="447"/>
      <c r="O336" s="447"/>
      <c r="P336" s="447"/>
      <c r="Q336" s="447"/>
      <c r="R336" s="447"/>
      <c r="S336" s="447"/>
      <c r="T336" s="447"/>
      <c r="U336" s="447"/>
      <c r="V336" s="447"/>
      <c r="W336" s="447"/>
      <c r="X336" s="447"/>
      <c r="Y336" s="447"/>
      <c r="Z336" s="447"/>
      <c r="AA336" s="447"/>
      <c r="AB336" s="447"/>
      <c r="AC336" s="447"/>
      <c r="AD336" s="447"/>
      <c r="AE336" s="447"/>
      <c r="AF336" s="448"/>
      <c r="AG336" s="448"/>
      <c r="AH336" s="448"/>
      <c r="AI336" s="447"/>
      <c r="AJ336" s="447"/>
      <c r="AK336" s="447"/>
      <c r="AL336" s="447"/>
      <c r="AM336" s="447"/>
      <c r="AN336" s="447"/>
      <c r="AO336" s="447"/>
      <c r="AP336" s="447"/>
      <c r="AQ336" s="447"/>
      <c r="AR336" s="447"/>
      <c r="AS336" s="447"/>
      <c r="AT336" s="447"/>
      <c r="AU336" s="447"/>
      <c r="AV336" s="447"/>
      <c r="AW336" s="447"/>
      <c r="AX336" s="447"/>
      <c r="AY336" s="447"/>
      <c r="AZ336" s="447"/>
      <c r="BA336" s="447"/>
      <c r="BB336" s="447"/>
      <c r="BC336" s="447"/>
      <c r="BD336" s="447"/>
      <c r="BE336" s="447"/>
      <c r="BF336" s="447"/>
      <c r="BG336" s="447"/>
      <c r="BH336" s="447"/>
      <c r="BI336" s="447"/>
      <c r="BJ336" s="447"/>
      <c r="BK336" s="447"/>
      <c r="BL336" s="447"/>
      <c r="BM336" s="448"/>
      <c r="BN336" s="448"/>
    </row>
    <row r="337" spans="1:66" ht="11.25" customHeight="1">
      <c r="A337" s="469"/>
      <c r="B337" s="447"/>
      <c r="C337" s="447"/>
      <c r="D337" s="447"/>
      <c r="E337" s="447"/>
      <c r="F337" s="447"/>
      <c r="G337" s="447"/>
      <c r="H337" s="447"/>
      <c r="I337" s="447"/>
      <c r="J337" s="447"/>
      <c r="K337" s="447"/>
      <c r="L337" s="447"/>
      <c r="M337" s="447"/>
      <c r="N337" s="447"/>
      <c r="O337" s="447"/>
      <c r="P337" s="447"/>
      <c r="Q337" s="447"/>
      <c r="R337" s="447"/>
      <c r="S337" s="447"/>
      <c r="T337" s="447"/>
      <c r="U337" s="447"/>
      <c r="V337" s="447"/>
      <c r="W337" s="447"/>
      <c r="X337" s="447"/>
      <c r="Y337" s="447"/>
      <c r="Z337" s="447"/>
      <c r="AA337" s="447"/>
      <c r="AB337" s="447"/>
      <c r="AC337" s="447"/>
      <c r="AD337" s="447"/>
      <c r="AE337" s="447"/>
      <c r="AF337" s="448"/>
      <c r="AG337" s="448"/>
      <c r="AH337" s="448"/>
      <c r="AI337" s="447"/>
      <c r="AJ337" s="447"/>
      <c r="AK337" s="447"/>
      <c r="AL337" s="447"/>
      <c r="AM337" s="447"/>
      <c r="AN337" s="447"/>
      <c r="AO337" s="447"/>
      <c r="AP337" s="447"/>
      <c r="AQ337" s="447"/>
      <c r="AR337" s="447"/>
      <c r="AS337" s="447"/>
      <c r="AT337" s="447"/>
      <c r="AU337" s="447"/>
      <c r="AV337" s="447"/>
      <c r="AW337" s="447"/>
      <c r="AX337" s="447"/>
      <c r="AY337" s="447"/>
      <c r="AZ337" s="447"/>
      <c r="BA337" s="447"/>
      <c r="BB337" s="447"/>
      <c r="BC337" s="447"/>
      <c r="BD337" s="447"/>
      <c r="BE337" s="447"/>
      <c r="BF337" s="447"/>
      <c r="BG337" s="447"/>
      <c r="BH337" s="447"/>
      <c r="BI337" s="447"/>
      <c r="BJ337" s="447"/>
      <c r="BK337" s="447"/>
      <c r="BL337" s="447"/>
      <c r="BM337" s="448"/>
      <c r="BN337" s="448"/>
    </row>
    <row r="338" spans="1:66" ht="11.25" customHeight="1">
      <c r="A338" s="469"/>
      <c r="B338" s="447"/>
      <c r="C338" s="447"/>
      <c r="D338" s="447"/>
      <c r="E338" s="447"/>
      <c r="F338" s="447"/>
      <c r="G338" s="447"/>
      <c r="H338" s="447"/>
      <c r="I338" s="447"/>
      <c r="J338" s="447"/>
      <c r="K338" s="447"/>
      <c r="L338" s="447"/>
      <c r="M338" s="447"/>
      <c r="N338" s="447"/>
      <c r="O338" s="447"/>
      <c r="P338" s="447"/>
      <c r="Q338" s="447"/>
      <c r="R338" s="447"/>
      <c r="S338" s="447"/>
      <c r="T338" s="447"/>
      <c r="U338" s="447"/>
      <c r="V338" s="447"/>
      <c r="W338" s="447"/>
      <c r="X338" s="447"/>
      <c r="Y338" s="447"/>
      <c r="Z338" s="447"/>
      <c r="AA338" s="447"/>
      <c r="AB338" s="447"/>
      <c r="AC338" s="447"/>
      <c r="AD338" s="447"/>
      <c r="AE338" s="447"/>
      <c r="AF338" s="448"/>
      <c r="AG338" s="448"/>
      <c r="AH338" s="448"/>
      <c r="AI338" s="447"/>
      <c r="AJ338" s="447"/>
      <c r="AK338" s="447"/>
      <c r="AL338" s="447"/>
      <c r="AM338" s="447"/>
      <c r="AN338" s="447"/>
      <c r="AO338" s="447"/>
      <c r="AP338" s="447"/>
      <c r="AQ338" s="447"/>
      <c r="AR338" s="447"/>
      <c r="AS338" s="447"/>
      <c r="AT338" s="447"/>
      <c r="AU338" s="447"/>
      <c r="AV338" s="447"/>
      <c r="AW338" s="447"/>
      <c r="AX338" s="447"/>
      <c r="AY338" s="447"/>
      <c r="AZ338" s="447"/>
      <c r="BA338" s="447"/>
      <c r="BB338" s="447"/>
      <c r="BC338" s="447"/>
      <c r="BD338" s="447"/>
      <c r="BE338" s="447"/>
      <c r="BF338" s="447"/>
      <c r="BG338" s="447"/>
      <c r="BH338" s="447"/>
      <c r="BI338" s="447"/>
      <c r="BJ338" s="447"/>
      <c r="BK338" s="447"/>
      <c r="BL338" s="447"/>
      <c r="BM338" s="448"/>
      <c r="BN338" s="448"/>
    </row>
    <row r="339" spans="1:66" ht="11.25" customHeight="1">
      <c r="A339" s="469"/>
      <c r="B339" s="447"/>
      <c r="C339" s="447"/>
      <c r="D339" s="447"/>
      <c r="E339" s="447"/>
      <c r="F339" s="447"/>
      <c r="G339" s="447"/>
      <c r="H339" s="447"/>
      <c r="I339" s="447"/>
      <c r="J339" s="447"/>
      <c r="K339" s="447"/>
      <c r="L339" s="447"/>
      <c r="M339" s="447"/>
      <c r="N339" s="447"/>
      <c r="O339" s="447"/>
      <c r="P339" s="447"/>
      <c r="Q339" s="447"/>
      <c r="R339" s="447"/>
      <c r="S339" s="447"/>
      <c r="T339" s="447"/>
      <c r="U339" s="447"/>
      <c r="V339" s="447"/>
      <c r="W339" s="447"/>
      <c r="X339" s="447"/>
      <c r="Y339" s="447"/>
      <c r="Z339" s="447"/>
      <c r="AA339" s="447"/>
      <c r="AB339" s="447"/>
      <c r="AC339" s="447"/>
      <c r="AD339" s="447"/>
      <c r="AE339" s="447"/>
      <c r="AF339" s="448"/>
      <c r="AG339" s="448"/>
      <c r="AH339" s="448"/>
      <c r="AI339" s="447"/>
      <c r="AJ339" s="447"/>
      <c r="AK339" s="447"/>
      <c r="AL339" s="447"/>
      <c r="AM339" s="447"/>
      <c r="AN339" s="447"/>
      <c r="AO339" s="447"/>
      <c r="AP339" s="447"/>
      <c r="AQ339" s="447"/>
      <c r="AR339" s="447"/>
      <c r="AS339" s="447"/>
      <c r="AT339" s="447"/>
      <c r="AU339" s="447"/>
      <c r="AV339" s="447"/>
      <c r="AW339" s="447"/>
      <c r="AX339" s="447"/>
      <c r="AY339" s="447"/>
      <c r="AZ339" s="447"/>
      <c r="BA339" s="447"/>
      <c r="BB339" s="447"/>
      <c r="BC339" s="447"/>
      <c r="BD339" s="447"/>
      <c r="BE339" s="447"/>
      <c r="BF339" s="447"/>
      <c r="BG339" s="447"/>
      <c r="BH339" s="447"/>
      <c r="BI339" s="447"/>
      <c r="BJ339" s="447"/>
      <c r="BK339" s="447"/>
      <c r="BL339" s="447"/>
      <c r="BM339" s="448"/>
      <c r="BN339" s="448"/>
    </row>
    <row r="340" spans="1:66" ht="11.25" customHeight="1">
      <c r="A340" s="469"/>
      <c r="B340" s="447"/>
      <c r="C340" s="447"/>
      <c r="D340" s="447"/>
      <c r="E340" s="447"/>
      <c r="F340" s="447"/>
      <c r="G340" s="447"/>
      <c r="H340" s="447"/>
      <c r="I340" s="447"/>
      <c r="J340" s="447"/>
      <c r="K340" s="447"/>
      <c r="L340" s="447"/>
      <c r="M340" s="447"/>
      <c r="N340" s="447"/>
      <c r="O340" s="447"/>
      <c r="P340" s="447"/>
      <c r="Q340" s="447"/>
      <c r="R340" s="447"/>
      <c r="S340" s="447"/>
      <c r="T340" s="447"/>
      <c r="U340" s="447"/>
      <c r="V340" s="447"/>
      <c r="W340" s="447"/>
      <c r="X340" s="447"/>
      <c r="Y340" s="447"/>
      <c r="Z340" s="447"/>
      <c r="AA340" s="447"/>
      <c r="AB340" s="447"/>
      <c r="AC340" s="447"/>
      <c r="AD340" s="447"/>
      <c r="AE340" s="447"/>
      <c r="AF340" s="448"/>
      <c r="AG340" s="448"/>
      <c r="AH340" s="448"/>
      <c r="AI340" s="447"/>
      <c r="AJ340" s="447"/>
      <c r="AK340" s="447"/>
      <c r="AL340" s="447"/>
      <c r="AM340" s="447"/>
      <c r="AN340" s="447"/>
      <c r="AO340" s="447"/>
      <c r="AP340" s="447"/>
      <c r="AQ340" s="447"/>
      <c r="AR340" s="447"/>
      <c r="AS340" s="447"/>
      <c r="AT340" s="447"/>
      <c r="AU340" s="447"/>
      <c r="AV340" s="447"/>
      <c r="AW340" s="447"/>
      <c r="AX340" s="447"/>
      <c r="AY340" s="447"/>
      <c r="AZ340" s="447"/>
      <c r="BA340" s="447"/>
      <c r="BB340" s="447"/>
      <c r="BC340" s="447"/>
      <c r="BD340" s="447"/>
      <c r="BE340" s="447"/>
      <c r="BF340" s="447"/>
      <c r="BG340" s="447"/>
      <c r="BH340" s="447"/>
      <c r="BI340" s="447"/>
      <c r="BJ340" s="447"/>
      <c r="BK340" s="447"/>
      <c r="BL340" s="447"/>
      <c r="BM340" s="448"/>
      <c r="BN340" s="448"/>
    </row>
    <row r="341" spans="1:66" ht="11.25" customHeight="1">
      <c r="A341" s="469"/>
      <c r="B341" s="447"/>
      <c r="C341" s="447"/>
      <c r="D341" s="447"/>
      <c r="E341" s="447"/>
      <c r="F341" s="447"/>
      <c r="G341" s="447"/>
      <c r="H341" s="447"/>
      <c r="I341" s="447"/>
      <c r="J341" s="447"/>
      <c r="K341" s="447"/>
      <c r="L341" s="447"/>
      <c r="M341" s="447"/>
      <c r="N341" s="447"/>
      <c r="O341" s="447"/>
      <c r="P341" s="447"/>
      <c r="Q341" s="447"/>
      <c r="R341" s="447"/>
      <c r="S341" s="447"/>
      <c r="T341" s="447"/>
      <c r="U341" s="447"/>
      <c r="V341" s="447"/>
      <c r="W341" s="447"/>
      <c r="X341" s="447"/>
      <c r="Y341" s="447"/>
      <c r="Z341" s="447"/>
      <c r="AA341" s="447"/>
      <c r="AB341" s="447"/>
      <c r="AC341" s="447"/>
      <c r="AD341" s="447"/>
      <c r="AE341" s="447"/>
      <c r="AF341" s="448"/>
      <c r="AG341" s="448"/>
      <c r="AH341" s="448"/>
      <c r="AI341" s="447"/>
      <c r="AJ341" s="447"/>
      <c r="AK341" s="447"/>
      <c r="AL341" s="447"/>
      <c r="AM341" s="447"/>
      <c r="AN341" s="447"/>
      <c r="AO341" s="447"/>
      <c r="AP341" s="447"/>
      <c r="AQ341" s="447"/>
      <c r="AR341" s="447"/>
      <c r="AS341" s="447"/>
      <c r="AT341" s="447"/>
      <c r="AU341" s="447"/>
      <c r="AV341" s="447"/>
      <c r="AW341" s="447"/>
      <c r="AX341" s="447"/>
      <c r="AY341" s="447"/>
      <c r="AZ341" s="447"/>
      <c r="BA341" s="447"/>
      <c r="BB341" s="447"/>
      <c r="BC341" s="447"/>
      <c r="BD341" s="447"/>
      <c r="BE341" s="447"/>
      <c r="BF341" s="447"/>
      <c r="BG341" s="447"/>
      <c r="BH341" s="447"/>
      <c r="BI341" s="447"/>
      <c r="BJ341" s="447"/>
      <c r="BK341" s="447"/>
      <c r="BL341" s="447"/>
      <c r="BM341" s="448"/>
      <c r="BN341" s="448"/>
    </row>
    <row r="342" spans="1:66" ht="11.25" customHeight="1">
      <c r="A342" s="469"/>
      <c r="B342" s="447"/>
      <c r="C342" s="447"/>
      <c r="D342" s="447"/>
      <c r="E342" s="447"/>
      <c r="F342" s="447"/>
      <c r="G342" s="447"/>
      <c r="H342" s="447"/>
      <c r="I342" s="447"/>
      <c r="J342" s="447"/>
      <c r="K342" s="447"/>
      <c r="L342" s="447"/>
      <c r="M342" s="447"/>
      <c r="N342" s="447"/>
      <c r="O342" s="447"/>
      <c r="P342" s="447"/>
      <c r="Q342" s="447"/>
      <c r="R342" s="447"/>
      <c r="S342" s="447"/>
      <c r="T342" s="447"/>
      <c r="U342" s="447"/>
      <c r="V342" s="447"/>
      <c r="W342" s="447"/>
      <c r="X342" s="447"/>
      <c r="Y342" s="447"/>
      <c r="Z342" s="447"/>
      <c r="AA342" s="447"/>
      <c r="AB342" s="447"/>
      <c r="AC342" s="447"/>
      <c r="AD342" s="447"/>
      <c r="AE342" s="447"/>
      <c r="AF342" s="448"/>
      <c r="AG342" s="448"/>
      <c r="AH342" s="448"/>
      <c r="AI342" s="447"/>
      <c r="AJ342" s="447"/>
      <c r="AK342" s="447"/>
      <c r="AL342" s="447"/>
      <c r="AM342" s="447"/>
      <c r="AN342" s="447"/>
      <c r="AO342" s="447"/>
      <c r="AP342" s="447"/>
      <c r="AQ342" s="447"/>
      <c r="AR342" s="447"/>
      <c r="AS342" s="447"/>
      <c r="AT342" s="447"/>
      <c r="AU342" s="447"/>
      <c r="AV342" s="447"/>
      <c r="AW342" s="447"/>
      <c r="AX342" s="447"/>
      <c r="AY342" s="447"/>
      <c r="AZ342" s="447"/>
      <c r="BA342" s="447"/>
      <c r="BB342" s="447"/>
      <c r="BC342" s="447"/>
      <c r="BD342" s="447"/>
      <c r="BE342" s="447"/>
      <c r="BF342" s="447"/>
      <c r="BG342" s="447"/>
      <c r="BH342" s="447"/>
      <c r="BI342" s="447"/>
      <c r="BJ342" s="447"/>
      <c r="BK342" s="447"/>
      <c r="BL342" s="447"/>
      <c r="BM342" s="448"/>
      <c r="BN342" s="448"/>
    </row>
    <row r="343" spans="1:66" ht="11.25" customHeight="1">
      <c r="A343" s="469"/>
      <c r="B343" s="447"/>
      <c r="C343" s="447"/>
      <c r="D343" s="447"/>
      <c r="E343" s="447"/>
      <c r="F343" s="447"/>
      <c r="G343" s="447"/>
      <c r="H343" s="447"/>
      <c r="I343" s="447"/>
      <c r="J343" s="447"/>
      <c r="K343" s="447"/>
      <c r="L343" s="447"/>
      <c r="M343" s="447"/>
      <c r="N343" s="447"/>
      <c r="O343" s="447"/>
      <c r="P343" s="447"/>
      <c r="Q343" s="447"/>
      <c r="R343" s="447"/>
      <c r="S343" s="447"/>
      <c r="T343" s="447"/>
      <c r="U343" s="447"/>
      <c r="V343" s="447"/>
      <c r="W343" s="447"/>
      <c r="X343" s="447"/>
      <c r="Y343" s="447"/>
      <c r="Z343" s="447"/>
      <c r="AA343" s="447"/>
      <c r="AB343" s="447"/>
      <c r="AC343" s="447"/>
      <c r="AD343" s="447"/>
      <c r="AE343" s="447"/>
      <c r="AF343" s="448"/>
      <c r="AG343" s="448"/>
      <c r="AH343" s="448"/>
      <c r="AI343" s="447"/>
      <c r="AJ343" s="447"/>
      <c r="AK343" s="447"/>
      <c r="AL343" s="447"/>
      <c r="AM343" s="447"/>
      <c r="AN343" s="447"/>
      <c r="AO343" s="447"/>
      <c r="AP343" s="447"/>
      <c r="AQ343" s="447"/>
      <c r="AR343" s="447"/>
      <c r="AS343" s="447"/>
      <c r="AT343" s="447"/>
      <c r="AU343" s="447"/>
      <c r="AV343" s="447"/>
      <c r="AW343" s="447"/>
      <c r="AX343" s="447"/>
      <c r="AY343" s="447"/>
      <c r="AZ343" s="447"/>
      <c r="BA343" s="447"/>
      <c r="BB343" s="447"/>
      <c r="BC343" s="447"/>
      <c r="BD343" s="447"/>
      <c r="BE343" s="447"/>
      <c r="BF343" s="447"/>
      <c r="BG343" s="447"/>
      <c r="BH343" s="447"/>
      <c r="BI343" s="447"/>
      <c r="BJ343" s="447"/>
      <c r="BK343" s="447"/>
      <c r="BL343" s="447"/>
      <c r="BM343" s="448"/>
      <c r="BN343" s="448"/>
    </row>
    <row r="344" spans="1:66" ht="11.25" customHeight="1">
      <c r="A344" s="469"/>
      <c r="B344" s="447"/>
      <c r="C344" s="447"/>
      <c r="D344" s="447"/>
      <c r="E344" s="447"/>
      <c r="F344" s="447"/>
      <c r="G344" s="447"/>
      <c r="H344" s="447"/>
      <c r="I344" s="447"/>
      <c r="J344" s="447"/>
      <c r="K344" s="447"/>
      <c r="L344" s="447"/>
      <c r="M344" s="447"/>
      <c r="N344" s="447"/>
      <c r="O344" s="447"/>
      <c r="P344" s="447"/>
      <c r="Q344" s="447"/>
      <c r="R344" s="447"/>
      <c r="S344" s="447"/>
      <c r="T344" s="447"/>
      <c r="U344" s="447"/>
      <c r="V344" s="447"/>
      <c r="W344" s="447"/>
      <c r="X344" s="447"/>
      <c r="Y344" s="447"/>
      <c r="Z344" s="447"/>
      <c r="AA344" s="447"/>
      <c r="AB344" s="447"/>
      <c r="AC344" s="447"/>
      <c r="AD344" s="447"/>
      <c r="AE344" s="447"/>
      <c r="AF344" s="448"/>
      <c r="AG344" s="448"/>
      <c r="AH344" s="448"/>
      <c r="AI344" s="447"/>
      <c r="AJ344" s="447"/>
      <c r="AK344" s="447"/>
      <c r="AL344" s="447"/>
      <c r="AM344" s="447"/>
      <c r="AN344" s="447"/>
      <c r="AO344" s="447"/>
      <c r="AP344" s="447"/>
      <c r="AQ344" s="447"/>
      <c r="AR344" s="447"/>
      <c r="AS344" s="447"/>
      <c r="AT344" s="447"/>
      <c r="AU344" s="447"/>
      <c r="AV344" s="447"/>
      <c r="AW344" s="447"/>
      <c r="AX344" s="447"/>
      <c r="AY344" s="447"/>
      <c r="AZ344" s="447"/>
      <c r="BA344" s="447"/>
      <c r="BB344" s="447"/>
      <c r="BC344" s="447"/>
      <c r="BD344" s="447"/>
      <c r="BE344" s="447"/>
      <c r="BF344" s="447"/>
      <c r="BG344" s="447"/>
      <c r="BH344" s="447"/>
      <c r="BI344" s="447"/>
      <c r="BJ344" s="447"/>
      <c r="BK344" s="447"/>
      <c r="BL344" s="447"/>
      <c r="BM344" s="448"/>
      <c r="BN344" s="448"/>
    </row>
    <row r="345" spans="1:66" ht="11.25" customHeight="1">
      <c r="A345" s="469"/>
      <c r="B345" s="447"/>
      <c r="C345" s="447"/>
      <c r="D345" s="447"/>
      <c r="E345" s="447"/>
      <c r="F345" s="447"/>
      <c r="G345" s="447"/>
      <c r="H345" s="447"/>
      <c r="I345" s="447"/>
      <c r="J345" s="447"/>
      <c r="K345" s="447"/>
      <c r="L345" s="447"/>
      <c r="M345" s="447"/>
      <c r="N345" s="447"/>
      <c r="O345" s="447"/>
      <c r="P345" s="447"/>
      <c r="Q345" s="447"/>
      <c r="R345" s="447"/>
      <c r="S345" s="447"/>
      <c r="T345" s="447"/>
      <c r="U345" s="447"/>
      <c r="V345" s="447"/>
      <c r="W345" s="447"/>
      <c r="X345" s="447"/>
      <c r="Y345" s="447"/>
      <c r="Z345" s="447"/>
      <c r="AA345" s="447"/>
      <c r="AB345" s="447"/>
      <c r="AC345" s="447"/>
      <c r="AD345" s="447"/>
      <c r="AE345" s="447"/>
      <c r="AF345" s="448"/>
      <c r="AG345" s="448"/>
      <c r="AH345" s="448"/>
      <c r="AI345" s="447"/>
      <c r="AJ345" s="447"/>
      <c r="AK345" s="447"/>
      <c r="AL345" s="447"/>
      <c r="AM345" s="447"/>
      <c r="AN345" s="447"/>
      <c r="AO345" s="447"/>
      <c r="AP345" s="447"/>
      <c r="AQ345" s="447"/>
      <c r="AR345" s="447"/>
      <c r="AS345" s="447"/>
      <c r="AT345" s="447"/>
      <c r="AU345" s="447"/>
      <c r="AV345" s="447"/>
      <c r="AW345" s="447"/>
      <c r="AX345" s="447"/>
      <c r="AY345" s="447"/>
      <c r="AZ345" s="447"/>
      <c r="BA345" s="447"/>
      <c r="BB345" s="447"/>
      <c r="BC345" s="447"/>
      <c r="BD345" s="447"/>
      <c r="BE345" s="447"/>
      <c r="BF345" s="447"/>
      <c r="BG345" s="447"/>
      <c r="BH345" s="447"/>
      <c r="BI345" s="447"/>
      <c r="BJ345" s="447"/>
      <c r="BK345" s="447"/>
      <c r="BL345" s="447"/>
      <c r="BM345" s="448"/>
      <c r="BN345" s="448"/>
    </row>
    <row r="346" spans="1:66" ht="11.25" customHeight="1">
      <c r="A346" s="469"/>
      <c r="B346" s="447"/>
      <c r="C346" s="447"/>
      <c r="D346" s="447"/>
      <c r="E346" s="447"/>
      <c r="F346" s="447"/>
      <c r="G346" s="447"/>
      <c r="H346" s="447"/>
      <c r="I346" s="447"/>
      <c r="J346" s="447"/>
      <c r="K346" s="447"/>
      <c r="L346" s="447"/>
      <c r="M346" s="447"/>
      <c r="N346" s="447"/>
      <c r="O346" s="447"/>
      <c r="P346" s="447"/>
      <c r="Q346" s="447"/>
      <c r="R346" s="447"/>
      <c r="S346" s="447"/>
      <c r="T346" s="447"/>
      <c r="U346" s="447"/>
      <c r="V346" s="447"/>
      <c r="W346" s="447"/>
      <c r="X346" s="447"/>
      <c r="Y346" s="447"/>
      <c r="Z346" s="447"/>
      <c r="AA346" s="447"/>
      <c r="AB346" s="447"/>
      <c r="AC346" s="447"/>
      <c r="AD346" s="447"/>
      <c r="AE346" s="447"/>
      <c r="AF346" s="448"/>
      <c r="AG346" s="448"/>
      <c r="AH346" s="448"/>
      <c r="AI346" s="447"/>
      <c r="AJ346" s="447"/>
      <c r="AK346" s="447"/>
      <c r="AL346" s="447"/>
      <c r="AM346" s="447"/>
      <c r="AN346" s="447"/>
      <c r="AO346" s="447"/>
      <c r="AP346" s="447"/>
      <c r="AQ346" s="447"/>
      <c r="AR346" s="447"/>
      <c r="AS346" s="447"/>
      <c r="AT346" s="447"/>
      <c r="AU346" s="447"/>
      <c r="AV346" s="447"/>
      <c r="AW346" s="447"/>
      <c r="AX346" s="447"/>
      <c r="AY346" s="447"/>
      <c r="AZ346" s="447"/>
      <c r="BA346" s="447"/>
      <c r="BB346" s="447"/>
      <c r="BC346" s="447"/>
      <c r="BD346" s="447"/>
      <c r="BE346" s="447"/>
      <c r="BF346" s="447"/>
      <c r="BG346" s="447"/>
      <c r="BH346" s="447"/>
      <c r="BI346" s="447"/>
      <c r="BJ346" s="447"/>
      <c r="BK346" s="447"/>
      <c r="BL346" s="447"/>
      <c r="BM346" s="448"/>
      <c r="BN346" s="448"/>
    </row>
    <row r="347" spans="1:66" ht="11.25" customHeight="1">
      <c r="A347" s="469"/>
      <c r="B347" s="447"/>
      <c r="C347" s="447"/>
      <c r="D347" s="447"/>
      <c r="E347" s="447"/>
      <c r="F347" s="447"/>
      <c r="G347" s="447"/>
      <c r="H347" s="447"/>
      <c r="I347" s="447"/>
      <c r="J347" s="447"/>
      <c r="K347" s="447"/>
      <c r="L347" s="447"/>
      <c r="M347" s="447"/>
      <c r="N347" s="447"/>
      <c r="O347" s="447"/>
      <c r="P347" s="447"/>
      <c r="Q347" s="447"/>
      <c r="R347" s="447"/>
      <c r="S347" s="447"/>
      <c r="T347" s="447"/>
      <c r="U347" s="447"/>
      <c r="V347" s="447"/>
      <c r="W347" s="447"/>
      <c r="X347" s="447"/>
      <c r="Y347" s="447"/>
      <c r="Z347" s="447"/>
      <c r="AA347" s="447"/>
      <c r="AB347" s="447"/>
      <c r="AC347" s="447"/>
      <c r="AD347" s="447"/>
      <c r="AE347" s="447"/>
      <c r="AF347" s="448"/>
      <c r="AG347" s="448"/>
      <c r="AH347" s="448"/>
      <c r="AI347" s="447"/>
      <c r="AJ347" s="447"/>
      <c r="AK347" s="447"/>
      <c r="AL347" s="447"/>
      <c r="AM347" s="447"/>
      <c r="AN347" s="447"/>
      <c r="AO347" s="447"/>
      <c r="AP347" s="447"/>
      <c r="AQ347" s="447"/>
      <c r="AR347" s="447"/>
      <c r="AS347" s="447"/>
      <c r="AT347" s="447"/>
      <c r="AU347" s="447"/>
      <c r="AV347" s="447"/>
      <c r="AW347" s="447"/>
      <c r="AX347" s="447"/>
      <c r="AY347" s="447"/>
      <c r="AZ347" s="447"/>
      <c r="BA347" s="447"/>
      <c r="BB347" s="447"/>
      <c r="BC347" s="447"/>
      <c r="BD347" s="447"/>
      <c r="BE347" s="447"/>
      <c r="BF347" s="447"/>
      <c r="BG347" s="447"/>
      <c r="BH347" s="447"/>
      <c r="BI347" s="447"/>
      <c r="BJ347" s="447"/>
      <c r="BK347" s="447"/>
      <c r="BL347" s="447"/>
      <c r="BM347" s="448"/>
      <c r="BN347" s="448"/>
    </row>
    <row r="348" spans="1:66" ht="11.25" customHeight="1">
      <c r="A348" s="469"/>
      <c r="B348" s="447"/>
      <c r="C348" s="447"/>
      <c r="D348" s="447"/>
      <c r="E348" s="447"/>
      <c r="F348" s="447"/>
      <c r="G348" s="447"/>
      <c r="H348" s="447"/>
      <c r="I348" s="447"/>
      <c r="J348" s="447"/>
      <c r="K348" s="447"/>
      <c r="L348" s="447"/>
      <c r="M348" s="447"/>
      <c r="N348" s="447"/>
      <c r="O348" s="447"/>
      <c r="P348" s="447"/>
      <c r="Q348" s="447"/>
      <c r="R348" s="447"/>
      <c r="S348" s="447"/>
      <c r="T348" s="447"/>
      <c r="U348" s="447"/>
      <c r="V348" s="447"/>
      <c r="W348" s="447"/>
      <c r="X348" s="447"/>
      <c r="Y348" s="447"/>
      <c r="Z348" s="447"/>
      <c r="AA348" s="447"/>
      <c r="AB348" s="447"/>
      <c r="AC348" s="447"/>
      <c r="AD348" s="447"/>
      <c r="AE348" s="447"/>
      <c r="AF348" s="448"/>
      <c r="AG348" s="448"/>
      <c r="AH348" s="448"/>
      <c r="AI348" s="447"/>
      <c r="AJ348" s="447"/>
      <c r="AK348" s="447"/>
      <c r="AL348" s="447"/>
      <c r="AM348" s="447"/>
      <c r="AN348" s="447"/>
      <c r="AO348" s="447"/>
      <c r="AP348" s="447"/>
      <c r="AQ348" s="447"/>
      <c r="AR348" s="447"/>
      <c r="AS348" s="447"/>
      <c r="AT348" s="447"/>
      <c r="AU348" s="447"/>
      <c r="AV348" s="447"/>
      <c r="AW348" s="447"/>
      <c r="AX348" s="447"/>
      <c r="AY348" s="447"/>
      <c r="AZ348" s="447"/>
      <c r="BA348" s="447"/>
      <c r="BB348" s="447"/>
      <c r="BC348" s="447"/>
      <c r="BD348" s="447"/>
      <c r="BE348" s="447"/>
      <c r="BF348" s="447"/>
      <c r="BG348" s="447"/>
      <c r="BH348" s="447"/>
      <c r="BI348" s="447"/>
      <c r="BJ348" s="447"/>
      <c r="BK348" s="447"/>
      <c r="BL348" s="447"/>
      <c r="BM348" s="448"/>
      <c r="BN348" s="448"/>
    </row>
    <row r="349" spans="1:66" ht="11.25" customHeight="1">
      <c r="A349" s="469"/>
      <c r="B349" s="447"/>
      <c r="C349" s="447"/>
      <c r="D349" s="447"/>
      <c r="E349" s="447"/>
      <c r="F349" s="447"/>
      <c r="G349" s="447"/>
      <c r="H349" s="447"/>
      <c r="I349" s="447"/>
      <c r="J349" s="447"/>
      <c r="K349" s="447"/>
      <c r="L349" s="447"/>
      <c r="M349" s="447"/>
      <c r="N349" s="447"/>
      <c r="O349" s="447"/>
      <c r="P349" s="447"/>
      <c r="Q349" s="447"/>
      <c r="R349" s="447"/>
      <c r="S349" s="447"/>
      <c r="T349" s="447"/>
      <c r="U349" s="447"/>
      <c r="V349" s="447"/>
      <c r="W349" s="447"/>
      <c r="X349" s="447"/>
      <c r="Y349" s="447"/>
      <c r="Z349" s="447"/>
      <c r="AA349" s="447"/>
      <c r="AB349" s="447"/>
      <c r="AC349" s="447"/>
      <c r="AD349" s="447"/>
      <c r="AE349" s="447"/>
      <c r="AF349" s="448"/>
      <c r="AG349" s="448"/>
      <c r="AH349" s="448"/>
      <c r="AI349" s="447"/>
      <c r="AJ349" s="447"/>
      <c r="AK349" s="447"/>
      <c r="AL349" s="447"/>
      <c r="AM349" s="447"/>
      <c r="AN349" s="447"/>
      <c r="AO349" s="447"/>
      <c r="AP349" s="447"/>
      <c r="AQ349" s="447"/>
      <c r="AR349" s="447"/>
      <c r="AS349" s="447"/>
      <c r="AT349" s="447"/>
      <c r="AU349" s="447"/>
      <c r="AV349" s="447"/>
      <c r="AW349" s="447"/>
      <c r="AX349" s="447"/>
      <c r="AY349" s="447"/>
      <c r="AZ349" s="447"/>
      <c r="BA349" s="447"/>
      <c r="BB349" s="447"/>
      <c r="BC349" s="447"/>
      <c r="BD349" s="447"/>
      <c r="BE349" s="447"/>
      <c r="BF349" s="447"/>
      <c r="BG349" s="447"/>
      <c r="BH349" s="447"/>
      <c r="BI349" s="447"/>
      <c r="BJ349" s="447"/>
      <c r="BK349" s="447"/>
      <c r="BL349" s="447"/>
      <c r="BM349" s="448"/>
      <c r="BN349" s="448"/>
    </row>
    <row r="350" spans="1:66" ht="11.25" customHeight="1">
      <c r="A350" s="469"/>
      <c r="B350" s="447"/>
      <c r="C350" s="447"/>
      <c r="D350" s="447"/>
      <c r="E350" s="447"/>
      <c r="F350" s="447"/>
      <c r="G350" s="447"/>
      <c r="H350" s="447"/>
      <c r="I350" s="447"/>
      <c r="J350" s="447"/>
      <c r="K350" s="447"/>
      <c r="L350" s="447"/>
      <c r="M350" s="447"/>
      <c r="N350" s="447"/>
      <c r="O350" s="447"/>
      <c r="P350" s="447"/>
      <c r="Q350" s="447"/>
      <c r="R350" s="447"/>
      <c r="S350" s="447"/>
      <c r="T350" s="447"/>
      <c r="U350" s="447"/>
      <c r="V350" s="447"/>
      <c r="W350" s="447"/>
      <c r="X350" s="447"/>
      <c r="Y350" s="447"/>
      <c r="Z350" s="447"/>
      <c r="AA350" s="447"/>
      <c r="AB350" s="447"/>
      <c r="AC350" s="447"/>
      <c r="AD350" s="447"/>
      <c r="AE350" s="447"/>
      <c r="AF350" s="448"/>
      <c r="AG350" s="448"/>
      <c r="AH350" s="448"/>
      <c r="AI350" s="447"/>
      <c r="AJ350" s="447"/>
      <c r="AK350" s="447"/>
      <c r="AL350" s="447"/>
      <c r="AM350" s="447"/>
      <c r="AN350" s="447"/>
      <c r="AO350" s="447"/>
      <c r="AP350" s="447"/>
      <c r="AQ350" s="447"/>
      <c r="AR350" s="447"/>
      <c r="AS350" s="447"/>
      <c r="AT350" s="447"/>
      <c r="AU350" s="447"/>
      <c r="AV350" s="447"/>
      <c r="AW350" s="447"/>
      <c r="AX350" s="447"/>
      <c r="AY350" s="447"/>
      <c r="AZ350" s="447"/>
      <c r="BA350" s="447"/>
      <c r="BB350" s="447"/>
      <c r="BC350" s="447"/>
      <c r="BD350" s="447"/>
      <c r="BE350" s="447"/>
      <c r="BF350" s="447"/>
      <c r="BG350" s="447"/>
      <c r="BH350" s="447"/>
      <c r="BI350" s="447"/>
      <c r="BJ350" s="447"/>
      <c r="BK350" s="447"/>
      <c r="BL350" s="447"/>
      <c r="BM350" s="448"/>
      <c r="BN350" s="448"/>
    </row>
    <row r="351" spans="1:66" ht="11.25" customHeight="1">
      <c r="A351" s="469"/>
      <c r="B351" s="447"/>
      <c r="C351" s="447"/>
      <c r="D351" s="447"/>
      <c r="E351" s="447"/>
      <c r="F351" s="447"/>
      <c r="G351" s="447"/>
      <c r="H351" s="447"/>
      <c r="I351" s="447"/>
      <c r="J351" s="447"/>
      <c r="K351" s="447"/>
      <c r="L351" s="447"/>
      <c r="M351" s="447"/>
      <c r="N351" s="447"/>
      <c r="O351" s="447"/>
      <c r="P351" s="447"/>
      <c r="Q351" s="447"/>
      <c r="R351" s="447"/>
      <c r="S351" s="447"/>
      <c r="T351" s="447"/>
      <c r="U351" s="447"/>
      <c r="V351" s="447"/>
      <c r="W351" s="447"/>
      <c r="X351" s="447"/>
      <c r="Y351" s="447"/>
      <c r="Z351" s="447"/>
      <c r="AA351" s="447"/>
      <c r="AB351" s="447"/>
      <c r="AC351" s="447"/>
      <c r="AD351" s="447"/>
      <c r="AE351" s="447"/>
      <c r="AF351" s="448"/>
      <c r="AG351" s="448"/>
      <c r="AH351" s="448"/>
      <c r="AI351" s="447"/>
      <c r="AJ351" s="447"/>
      <c r="AK351" s="447"/>
      <c r="AL351" s="447"/>
      <c r="AM351" s="447"/>
      <c r="AN351" s="447"/>
      <c r="AO351" s="447"/>
      <c r="AP351" s="447"/>
      <c r="AQ351" s="447"/>
      <c r="AR351" s="447"/>
      <c r="AS351" s="447"/>
      <c r="AT351" s="447"/>
      <c r="AU351" s="447"/>
      <c r="AV351" s="447"/>
      <c r="AW351" s="447"/>
      <c r="AX351" s="447"/>
      <c r="AY351" s="447"/>
      <c r="AZ351" s="447"/>
      <c r="BA351" s="447"/>
      <c r="BB351" s="447"/>
      <c r="BC351" s="447"/>
      <c r="BD351" s="447"/>
      <c r="BE351" s="447"/>
      <c r="BF351" s="447"/>
      <c r="BG351" s="447"/>
      <c r="BH351" s="447"/>
      <c r="BI351" s="447"/>
      <c r="BJ351" s="447"/>
      <c r="BK351" s="447"/>
      <c r="BL351" s="447"/>
      <c r="BM351" s="448"/>
      <c r="BN351" s="448"/>
    </row>
    <row r="352" spans="1:66" ht="11.25" customHeight="1">
      <c r="A352" s="469"/>
      <c r="B352" s="447"/>
      <c r="C352" s="447"/>
      <c r="D352" s="447"/>
      <c r="E352" s="447"/>
      <c r="F352" s="447"/>
      <c r="G352" s="447"/>
      <c r="H352" s="447"/>
      <c r="I352" s="447"/>
      <c r="J352" s="447"/>
      <c r="K352" s="447"/>
      <c r="L352" s="447"/>
      <c r="M352" s="447"/>
      <c r="N352" s="447"/>
      <c r="O352" s="447"/>
      <c r="P352" s="447"/>
      <c r="Q352" s="447"/>
      <c r="R352" s="447"/>
      <c r="S352" s="447"/>
      <c r="T352" s="447"/>
      <c r="U352" s="447"/>
      <c r="V352" s="447"/>
      <c r="W352" s="447"/>
      <c r="X352" s="447"/>
      <c r="Y352" s="447"/>
      <c r="Z352" s="447"/>
      <c r="AA352" s="447"/>
      <c r="AB352" s="447"/>
      <c r="AC352" s="447"/>
      <c r="AD352" s="447"/>
      <c r="AE352" s="447"/>
      <c r="AF352" s="448"/>
      <c r="AG352" s="448"/>
      <c r="AH352" s="448"/>
      <c r="AI352" s="447"/>
      <c r="AJ352" s="447"/>
      <c r="AK352" s="447"/>
      <c r="AL352" s="447"/>
      <c r="AM352" s="447"/>
      <c r="AN352" s="447"/>
      <c r="AO352" s="447"/>
      <c r="AP352" s="447"/>
      <c r="AQ352" s="447"/>
      <c r="AR352" s="447"/>
      <c r="AS352" s="447"/>
      <c r="AT352" s="447"/>
      <c r="AU352" s="447"/>
      <c r="AV352" s="447"/>
      <c r="AW352" s="447"/>
      <c r="AX352" s="447"/>
      <c r="AY352" s="447"/>
      <c r="AZ352" s="447"/>
      <c r="BA352" s="447"/>
      <c r="BB352" s="447"/>
      <c r="BC352" s="447"/>
      <c r="BD352" s="447"/>
      <c r="BE352" s="447"/>
      <c r="BF352" s="447"/>
      <c r="BG352" s="447"/>
      <c r="BH352" s="447"/>
      <c r="BI352" s="447"/>
      <c r="BJ352" s="447"/>
      <c r="BK352" s="447"/>
      <c r="BL352" s="447"/>
      <c r="BM352" s="448"/>
      <c r="BN352" s="448"/>
    </row>
    <row r="353" spans="1:66" ht="11.25" customHeight="1">
      <c r="A353" s="469"/>
      <c r="B353" s="447"/>
      <c r="C353" s="447"/>
      <c r="D353" s="447"/>
      <c r="E353" s="447"/>
      <c r="F353" s="447"/>
      <c r="G353" s="447"/>
      <c r="H353" s="447"/>
      <c r="I353" s="447"/>
      <c r="J353" s="447"/>
      <c r="K353" s="447"/>
      <c r="L353" s="447"/>
      <c r="M353" s="447"/>
      <c r="N353" s="447"/>
      <c r="O353" s="447"/>
      <c r="P353" s="447"/>
      <c r="Q353" s="447"/>
      <c r="R353" s="447"/>
      <c r="S353" s="447"/>
      <c r="T353" s="447"/>
      <c r="U353" s="447"/>
      <c r="V353" s="447"/>
      <c r="W353" s="447"/>
      <c r="X353" s="447"/>
      <c r="Y353" s="447"/>
      <c r="Z353" s="447"/>
      <c r="AA353" s="447"/>
      <c r="AB353" s="447"/>
      <c r="AC353" s="447"/>
      <c r="AD353" s="447"/>
      <c r="AE353" s="447"/>
      <c r="AF353" s="448"/>
      <c r="AG353" s="448"/>
      <c r="AH353" s="448"/>
      <c r="AI353" s="447"/>
      <c r="AJ353" s="447"/>
      <c r="AK353" s="447"/>
      <c r="AL353" s="447"/>
      <c r="AM353" s="447"/>
      <c r="AN353" s="447"/>
      <c r="AO353" s="447"/>
      <c r="AP353" s="447"/>
      <c r="AQ353" s="447"/>
      <c r="AR353" s="447"/>
      <c r="AS353" s="447"/>
      <c r="AT353" s="447"/>
      <c r="AU353" s="447"/>
      <c r="AV353" s="447"/>
      <c r="AW353" s="447"/>
      <c r="AX353" s="447"/>
      <c r="AY353" s="447"/>
      <c r="AZ353" s="447"/>
      <c r="BA353" s="447"/>
      <c r="BB353" s="447"/>
      <c r="BC353" s="447"/>
      <c r="BD353" s="447"/>
      <c r="BE353" s="447"/>
      <c r="BF353" s="447"/>
      <c r="BG353" s="447"/>
      <c r="BH353" s="447"/>
      <c r="BI353" s="447"/>
      <c r="BJ353" s="447"/>
      <c r="BK353" s="447"/>
      <c r="BL353" s="447"/>
      <c r="BM353" s="448"/>
      <c r="BN353" s="448"/>
    </row>
    <row r="354" spans="1:66" ht="11.25" customHeight="1">
      <c r="A354" s="469"/>
      <c r="B354" s="447"/>
      <c r="C354" s="447"/>
      <c r="D354" s="447"/>
      <c r="E354" s="447"/>
      <c r="F354" s="447"/>
      <c r="G354" s="447"/>
      <c r="H354" s="447"/>
      <c r="I354" s="447"/>
      <c r="J354" s="447"/>
      <c r="K354" s="447"/>
      <c r="L354" s="447"/>
      <c r="M354" s="447"/>
      <c r="N354" s="447"/>
      <c r="O354" s="447"/>
      <c r="P354" s="447"/>
      <c r="Q354" s="447"/>
      <c r="R354" s="447"/>
      <c r="S354" s="447"/>
      <c r="T354" s="447"/>
      <c r="U354" s="447"/>
      <c r="V354" s="447"/>
      <c r="W354" s="447"/>
      <c r="X354" s="447"/>
      <c r="Y354" s="447"/>
      <c r="Z354" s="447"/>
      <c r="AA354" s="447"/>
      <c r="AB354" s="447"/>
      <c r="AC354" s="447"/>
      <c r="AD354" s="447"/>
      <c r="AE354" s="447"/>
      <c r="AF354" s="448"/>
      <c r="AG354" s="448"/>
      <c r="AH354" s="448"/>
      <c r="AI354" s="447"/>
      <c r="AJ354" s="447"/>
      <c r="AK354" s="447"/>
      <c r="AL354" s="447"/>
      <c r="AM354" s="447"/>
      <c r="AN354" s="447"/>
      <c r="AO354" s="447"/>
      <c r="AP354" s="447"/>
      <c r="AQ354" s="447"/>
      <c r="AR354" s="447"/>
      <c r="AS354" s="447"/>
      <c r="AT354" s="447"/>
      <c r="AU354" s="447"/>
      <c r="AV354" s="447"/>
      <c r="AW354" s="447"/>
      <c r="AX354" s="447"/>
      <c r="AY354" s="447"/>
      <c r="AZ354" s="447"/>
      <c r="BA354" s="447"/>
      <c r="BB354" s="447"/>
      <c r="BC354" s="447"/>
      <c r="BD354" s="447"/>
      <c r="BE354" s="447"/>
      <c r="BF354" s="447"/>
      <c r="BG354" s="447"/>
      <c r="BH354" s="447"/>
      <c r="BI354" s="447"/>
      <c r="BJ354" s="447"/>
      <c r="BK354" s="447"/>
      <c r="BL354" s="447"/>
      <c r="BM354" s="448"/>
      <c r="BN354" s="448"/>
    </row>
    <row r="355" spans="1:66" ht="11.25" customHeight="1">
      <c r="A355" s="469"/>
      <c r="B355" s="447"/>
      <c r="C355" s="447"/>
      <c r="D355" s="447"/>
      <c r="E355" s="447"/>
      <c r="F355" s="447"/>
      <c r="G355" s="447"/>
      <c r="H355" s="447"/>
      <c r="I355" s="447"/>
      <c r="J355" s="447"/>
      <c r="K355" s="447"/>
      <c r="L355" s="447"/>
      <c r="M355" s="447"/>
      <c r="N355" s="447"/>
      <c r="O355" s="447"/>
      <c r="P355" s="447"/>
      <c r="Q355" s="447"/>
      <c r="R355" s="447"/>
      <c r="S355" s="447"/>
      <c r="T355" s="447"/>
      <c r="U355" s="447"/>
      <c r="V355" s="447"/>
      <c r="W355" s="447"/>
      <c r="X355" s="447"/>
      <c r="Y355" s="447"/>
      <c r="Z355" s="447"/>
      <c r="AA355" s="447"/>
      <c r="AB355" s="447"/>
      <c r="AC355" s="447"/>
      <c r="AD355" s="447"/>
      <c r="AE355" s="447"/>
      <c r="AF355" s="448"/>
      <c r="AG355" s="448"/>
      <c r="AH355" s="448"/>
      <c r="AI355" s="447"/>
      <c r="AJ355" s="447"/>
      <c r="AK355" s="447"/>
      <c r="AL355" s="447"/>
      <c r="AM355" s="447"/>
      <c r="AN355" s="447"/>
      <c r="AO355" s="447"/>
      <c r="AP355" s="447"/>
      <c r="AQ355" s="447"/>
      <c r="AR355" s="447"/>
      <c r="AS355" s="447"/>
      <c r="AT355" s="447"/>
      <c r="AU355" s="447"/>
      <c r="AV355" s="447"/>
      <c r="AW355" s="447"/>
      <c r="AX355" s="447"/>
      <c r="AY355" s="447"/>
      <c r="AZ355" s="447"/>
      <c r="BA355" s="447"/>
      <c r="BB355" s="447"/>
      <c r="BC355" s="447"/>
      <c r="BD355" s="447"/>
      <c r="BE355" s="447"/>
      <c r="BF355" s="447"/>
      <c r="BG355" s="447"/>
      <c r="BH355" s="447"/>
      <c r="BI355" s="447"/>
      <c r="BJ355" s="447"/>
      <c r="BK355" s="447"/>
      <c r="BL355" s="447"/>
      <c r="BM355" s="448"/>
      <c r="BN355" s="448"/>
    </row>
    <row r="356" spans="1:66" ht="11.25" customHeight="1">
      <c r="A356" s="469"/>
      <c r="B356" s="447"/>
      <c r="C356" s="447"/>
      <c r="D356" s="447"/>
      <c r="E356" s="447"/>
      <c r="F356" s="447"/>
      <c r="G356" s="447"/>
      <c r="H356" s="447"/>
      <c r="I356" s="447"/>
      <c r="J356" s="447"/>
      <c r="K356" s="447"/>
      <c r="L356" s="447"/>
      <c r="M356" s="447"/>
      <c r="N356" s="447"/>
      <c r="O356" s="447"/>
      <c r="P356" s="447"/>
      <c r="Q356" s="447"/>
      <c r="R356" s="447"/>
      <c r="S356" s="447"/>
      <c r="T356" s="447"/>
      <c r="U356" s="447"/>
      <c r="V356" s="447"/>
      <c r="W356" s="447"/>
      <c r="X356" s="447"/>
      <c r="Y356" s="447"/>
      <c r="Z356" s="447"/>
      <c r="AA356" s="447"/>
      <c r="AB356" s="447"/>
      <c r="AC356" s="447"/>
      <c r="AD356" s="447"/>
      <c r="AE356" s="447"/>
      <c r="AF356" s="448"/>
      <c r="AG356" s="448"/>
      <c r="AH356" s="448"/>
      <c r="AI356" s="447"/>
      <c r="AJ356" s="447"/>
      <c r="AK356" s="447"/>
      <c r="AL356" s="447"/>
      <c r="AM356" s="447"/>
      <c r="AN356" s="447"/>
      <c r="AO356" s="447"/>
      <c r="AP356" s="447"/>
      <c r="AQ356" s="447"/>
      <c r="AR356" s="447"/>
      <c r="AS356" s="447"/>
      <c r="AT356" s="447"/>
      <c r="AU356" s="447"/>
      <c r="AV356" s="447"/>
      <c r="AW356" s="447"/>
      <c r="AX356" s="447"/>
      <c r="AY356" s="447"/>
      <c r="AZ356" s="447"/>
      <c r="BA356" s="447"/>
      <c r="BB356" s="447"/>
      <c r="BC356" s="447"/>
      <c r="BD356" s="447"/>
      <c r="BE356" s="447"/>
      <c r="BF356" s="447"/>
      <c r="BG356" s="447"/>
      <c r="BH356" s="447"/>
      <c r="BI356" s="447"/>
      <c r="BJ356" s="447"/>
      <c r="BK356" s="447"/>
      <c r="BL356" s="447"/>
      <c r="BM356" s="448"/>
      <c r="BN356" s="448"/>
    </row>
    <row r="357" spans="1:66" ht="11.25" customHeight="1">
      <c r="A357" s="469"/>
      <c r="B357" s="447"/>
      <c r="C357" s="447"/>
      <c r="D357" s="447"/>
      <c r="E357" s="447"/>
      <c r="F357" s="447"/>
      <c r="G357" s="447"/>
      <c r="H357" s="447"/>
      <c r="I357" s="447"/>
      <c r="J357" s="447"/>
      <c r="K357" s="447"/>
      <c r="L357" s="447"/>
      <c r="M357" s="447"/>
      <c r="N357" s="447"/>
      <c r="O357" s="447"/>
      <c r="P357" s="447"/>
      <c r="Q357" s="447"/>
      <c r="R357" s="447"/>
      <c r="S357" s="447"/>
      <c r="T357" s="447"/>
      <c r="U357" s="447"/>
      <c r="V357" s="447"/>
      <c r="W357" s="447"/>
      <c r="X357" s="447"/>
      <c r="Y357" s="447"/>
      <c r="Z357" s="447"/>
      <c r="AA357" s="447"/>
      <c r="AB357" s="447"/>
      <c r="AC357" s="447"/>
      <c r="AD357" s="447"/>
      <c r="AE357" s="447"/>
      <c r="AF357" s="448"/>
      <c r="AG357" s="448"/>
      <c r="AH357" s="448"/>
      <c r="AI357" s="447"/>
      <c r="AJ357" s="447"/>
      <c r="AK357" s="447"/>
      <c r="AL357" s="447"/>
      <c r="AM357" s="447"/>
      <c r="AN357" s="447"/>
      <c r="AO357" s="447"/>
      <c r="AP357" s="447"/>
      <c r="AQ357" s="447"/>
      <c r="AR357" s="447"/>
      <c r="AS357" s="447"/>
      <c r="AT357" s="447"/>
      <c r="AU357" s="447"/>
      <c r="AV357" s="447"/>
      <c r="AW357" s="447"/>
      <c r="AX357" s="447"/>
      <c r="AY357" s="447"/>
      <c r="AZ357" s="447"/>
      <c r="BA357" s="447"/>
      <c r="BB357" s="447"/>
      <c r="BC357" s="447"/>
      <c r="BD357" s="447"/>
      <c r="BE357" s="447"/>
      <c r="BF357" s="447"/>
      <c r="BG357" s="447"/>
      <c r="BH357" s="447"/>
      <c r="BI357" s="447"/>
      <c r="BJ357" s="447"/>
      <c r="BK357" s="447"/>
      <c r="BL357" s="447"/>
      <c r="BM357" s="448"/>
      <c r="BN357" s="448"/>
    </row>
    <row r="358" spans="1:66" ht="11.25" customHeight="1">
      <c r="A358" s="469"/>
      <c r="B358" s="447"/>
      <c r="C358" s="447"/>
      <c r="D358" s="447"/>
      <c r="E358" s="447"/>
      <c r="F358" s="447"/>
      <c r="G358" s="447"/>
      <c r="H358" s="447"/>
      <c r="I358" s="447"/>
      <c r="J358" s="447"/>
      <c r="K358" s="447"/>
      <c r="L358" s="447"/>
      <c r="M358" s="447"/>
      <c r="N358" s="447"/>
      <c r="O358" s="447"/>
      <c r="P358" s="447"/>
      <c r="Q358" s="447"/>
      <c r="R358" s="447"/>
      <c r="S358" s="447"/>
      <c r="T358" s="447"/>
      <c r="U358" s="447"/>
      <c r="V358" s="447"/>
      <c r="W358" s="447"/>
      <c r="X358" s="447"/>
      <c r="Y358" s="447"/>
      <c r="Z358" s="447"/>
      <c r="AA358" s="447"/>
      <c r="AB358" s="447"/>
      <c r="AC358" s="447"/>
      <c r="AD358" s="447"/>
      <c r="AE358" s="447"/>
      <c r="AF358" s="448"/>
      <c r="AG358" s="448"/>
      <c r="AH358" s="448"/>
      <c r="AI358" s="447"/>
      <c r="AJ358" s="447"/>
      <c r="AK358" s="447"/>
      <c r="AL358" s="447"/>
      <c r="AM358" s="447"/>
      <c r="AN358" s="447"/>
      <c r="AO358" s="447"/>
      <c r="AP358" s="447"/>
      <c r="AQ358" s="447"/>
      <c r="AR358" s="447"/>
      <c r="AS358" s="447"/>
      <c r="AT358" s="447"/>
      <c r="AU358" s="447"/>
      <c r="AV358" s="447"/>
      <c r="AW358" s="447"/>
      <c r="AX358" s="447"/>
      <c r="AY358" s="447"/>
      <c r="AZ358" s="447"/>
      <c r="BA358" s="447"/>
      <c r="BB358" s="447"/>
      <c r="BC358" s="447"/>
      <c r="BD358" s="447"/>
      <c r="BE358" s="447"/>
      <c r="BF358" s="447"/>
      <c r="BG358" s="447"/>
      <c r="BH358" s="447"/>
      <c r="BI358" s="447"/>
      <c r="BJ358" s="447"/>
      <c r="BK358" s="447"/>
      <c r="BL358" s="447"/>
      <c r="BM358" s="448"/>
      <c r="BN358" s="448"/>
    </row>
    <row r="359" spans="1:66" ht="11.25" customHeight="1">
      <c r="A359" s="469"/>
      <c r="B359" s="447"/>
      <c r="C359" s="447"/>
      <c r="D359" s="447"/>
      <c r="E359" s="447"/>
      <c r="F359" s="447"/>
      <c r="G359" s="447"/>
      <c r="H359" s="447"/>
      <c r="I359" s="447"/>
      <c r="J359" s="447"/>
      <c r="K359" s="447"/>
      <c r="L359" s="447"/>
      <c r="M359" s="447"/>
      <c r="N359" s="447"/>
      <c r="O359" s="447"/>
      <c r="P359" s="447"/>
      <c r="Q359" s="447"/>
      <c r="R359" s="447"/>
      <c r="S359" s="447"/>
      <c r="T359" s="447"/>
      <c r="U359" s="447"/>
      <c r="V359" s="447"/>
      <c r="W359" s="447"/>
      <c r="X359" s="447"/>
      <c r="Y359" s="447"/>
      <c r="Z359" s="447"/>
      <c r="AA359" s="447"/>
      <c r="AB359" s="447"/>
      <c r="AC359" s="447"/>
      <c r="AD359" s="447"/>
      <c r="AE359" s="447"/>
      <c r="AF359" s="448"/>
      <c r="AG359" s="448"/>
      <c r="AH359" s="448"/>
      <c r="AI359" s="447"/>
      <c r="AJ359" s="447"/>
      <c r="AK359" s="447"/>
      <c r="AL359" s="447"/>
      <c r="AM359" s="447"/>
      <c r="AN359" s="447"/>
      <c r="AO359" s="447"/>
      <c r="AP359" s="447"/>
      <c r="AQ359" s="447"/>
      <c r="AR359" s="447"/>
      <c r="AS359" s="447"/>
      <c r="AT359" s="447"/>
      <c r="AU359" s="447"/>
      <c r="AV359" s="447"/>
      <c r="AW359" s="447"/>
      <c r="AX359" s="447"/>
      <c r="AY359" s="447"/>
      <c r="AZ359" s="447"/>
      <c r="BA359" s="447"/>
      <c r="BB359" s="447"/>
      <c r="BC359" s="447"/>
      <c r="BD359" s="447"/>
      <c r="BE359" s="447"/>
      <c r="BF359" s="447"/>
      <c r="BG359" s="447"/>
      <c r="BH359" s="447"/>
      <c r="BI359" s="447"/>
      <c r="BJ359" s="447"/>
      <c r="BK359" s="447"/>
      <c r="BL359" s="447"/>
      <c r="BM359" s="448"/>
      <c r="BN359" s="448"/>
    </row>
    <row r="360" spans="1:66" ht="11.25" customHeight="1">
      <c r="A360" s="469"/>
      <c r="B360" s="447"/>
      <c r="C360" s="447"/>
      <c r="D360" s="447"/>
      <c r="E360" s="447"/>
      <c r="F360" s="447"/>
      <c r="G360" s="447"/>
      <c r="H360" s="447"/>
      <c r="I360" s="447"/>
      <c r="J360" s="447"/>
      <c r="K360" s="447"/>
      <c r="L360" s="447"/>
      <c r="M360" s="447"/>
      <c r="N360" s="447"/>
      <c r="O360" s="447"/>
      <c r="P360" s="447"/>
      <c r="Q360" s="447"/>
      <c r="R360" s="447"/>
      <c r="S360" s="447"/>
      <c r="T360" s="447"/>
      <c r="U360" s="447"/>
      <c r="V360" s="447"/>
      <c r="W360" s="447"/>
      <c r="X360" s="447"/>
      <c r="Y360" s="447"/>
      <c r="Z360" s="447"/>
      <c r="AA360" s="447"/>
      <c r="AB360" s="447"/>
      <c r="AC360" s="447"/>
      <c r="AD360" s="447"/>
      <c r="AE360" s="447"/>
      <c r="AF360" s="448"/>
      <c r="AG360" s="448"/>
      <c r="AH360" s="448"/>
      <c r="AI360" s="447"/>
      <c r="AJ360" s="447"/>
      <c r="AK360" s="447"/>
      <c r="AL360" s="447"/>
      <c r="AM360" s="447"/>
      <c r="AN360" s="447"/>
      <c r="AO360" s="447"/>
      <c r="AP360" s="447"/>
      <c r="AQ360" s="447"/>
      <c r="AR360" s="447"/>
      <c r="AS360" s="447"/>
      <c r="AT360" s="447"/>
      <c r="AU360" s="447"/>
      <c r="AV360" s="447"/>
      <c r="AW360" s="447"/>
      <c r="AX360" s="447"/>
      <c r="AY360" s="447"/>
      <c r="AZ360" s="447"/>
      <c r="BA360" s="447"/>
      <c r="BB360" s="447"/>
      <c r="BC360" s="447"/>
      <c r="BD360" s="447"/>
      <c r="BE360" s="447"/>
      <c r="BF360" s="447"/>
      <c r="BG360" s="447"/>
      <c r="BH360" s="447"/>
      <c r="BI360" s="447"/>
      <c r="BJ360" s="447"/>
      <c r="BK360" s="447"/>
      <c r="BL360" s="447"/>
      <c r="BM360" s="448"/>
      <c r="BN360" s="448"/>
    </row>
    <row r="361" spans="1:66" ht="11.25" customHeight="1">
      <c r="A361" s="469"/>
      <c r="B361" s="447"/>
      <c r="C361" s="447"/>
      <c r="D361" s="447"/>
      <c r="E361" s="447"/>
      <c r="F361" s="447"/>
      <c r="G361" s="447"/>
      <c r="H361" s="447"/>
      <c r="I361" s="447"/>
      <c r="J361" s="447"/>
      <c r="K361" s="447"/>
      <c r="L361" s="447"/>
      <c r="M361" s="447"/>
      <c r="N361" s="447"/>
      <c r="O361" s="447"/>
      <c r="P361" s="447"/>
      <c r="Q361" s="447"/>
      <c r="R361" s="447"/>
      <c r="S361" s="447"/>
      <c r="T361" s="447"/>
      <c r="U361" s="447"/>
      <c r="V361" s="447"/>
      <c r="W361" s="447"/>
      <c r="X361" s="447"/>
      <c r="Y361" s="447"/>
      <c r="Z361" s="447"/>
      <c r="AA361" s="447"/>
      <c r="AB361" s="447"/>
      <c r="AC361" s="447"/>
      <c r="AD361" s="447"/>
      <c r="AE361" s="447"/>
      <c r="AF361" s="448"/>
      <c r="AG361" s="448"/>
      <c r="AH361" s="448"/>
      <c r="AI361" s="447"/>
      <c r="AJ361" s="447"/>
      <c r="AK361" s="447"/>
      <c r="AL361" s="447"/>
      <c r="AM361" s="447"/>
      <c r="AN361" s="447"/>
      <c r="AO361" s="447"/>
      <c r="AP361" s="447"/>
      <c r="AQ361" s="447"/>
      <c r="AR361" s="447"/>
      <c r="AS361" s="447"/>
      <c r="AT361" s="447"/>
      <c r="AU361" s="447"/>
      <c r="AV361" s="447"/>
      <c r="AW361" s="447"/>
      <c r="AX361" s="447"/>
      <c r="AY361" s="447"/>
      <c r="AZ361" s="447"/>
      <c r="BA361" s="447"/>
      <c r="BB361" s="447"/>
      <c r="BC361" s="447"/>
      <c r="BD361" s="447"/>
      <c r="BE361" s="447"/>
      <c r="BF361" s="447"/>
      <c r="BG361" s="447"/>
      <c r="BH361" s="447"/>
      <c r="BI361" s="447"/>
      <c r="BJ361" s="447"/>
      <c r="BK361" s="447"/>
      <c r="BL361" s="447"/>
      <c r="BM361" s="448"/>
      <c r="BN361" s="448"/>
    </row>
    <row r="362" spans="1:66" ht="11.25" customHeight="1">
      <c r="A362" s="469"/>
      <c r="B362" s="447"/>
      <c r="C362" s="447"/>
      <c r="D362" s="447"/>
      <c r="E362" s="447"/>
      <c r="F362" s="447"/>
      <c r="G362" s="447"/>
      <c r="H362" s="447"/>
      <c r="I362" s="447"/>
      <c r="J362" s="447"/>
      <c r="K362" s="447"/>
      <c r="L362" s="447"/>
      <c r="M362" s="447"/>
      <c r="N362" s="447"/>
      <c r="O362" s="447"/>
      <c r="P362" s="447"/>
      <c r="Q362" s="447"/>
      <c r="R362" s="447"/>
      <c r="S362" s="447"/>
      <c r="T362" s="447"/>
      <c r="U362" s="447"/>
      <c r="V362" s="447"/>
      <c r="W362" s="447"/>
      <c r="X362" s="447"/>
      <c r="Y362" s="447"/>
      <c r="Z362" s="447"/>
      <c r="AA362" s="447"/>
      <c r="AB362" s="447"/>
      <c r="AC362" s="447"/>
      <c r="AD362" s="447"/>
      <c r="AE362" s="447"/>
      <c r="AF362" s="448"/>
      <c r="AG362" s="448"/>
      <c r="AH362" s="448"/>
      <c r="AI362" s="447"/>
      <c r="AJ362" s="447"/>
      <c r="AK362" s="447"/>
      <c r="AL362" s="447"/>
      <c r="AM362" s="447"/>
      <c r="AN362" s="447"/>
      <c r="AO362" s="447"/>
      <c r="AP362" s="447"/>
      <c r="AQ362" s="447"/>
      <c r="AR362" s="447"/>
      <c r="AS362" s="447"/>
      <c r="AT362" s="447"/>
      <c r="AU362" s="447"/>
      <c r="AV362" s="447"/>
      <c r="AW362" s="447"/>
      <c r="AX362" s="447"/>
      <c r="AY362" s="447"/>
      <c r="AZ362" s="447"/>
      <c r="BA362" s="447"/>
      <c r="BB362" s="447"/>
      <c r="BC362" s="447"/>
      <c r="BD362" s="447"/>
      <c r="BE362" s="447"/>
      <c r="BF362" s="447"/>
      <c r="BG362" s="447"/>
      <c r="BH362" s="447"/>
      <c r="BI362" s="447"/>
      <c r="BJ362" s="447"/>
      <c r="BK362" s="447"/>
      <c r="BL362" s="447"/>
      <c r="BM362" s="448"/>
      <c r="BN362" s="448"/>
    </row>
    <row r="363" spans="1:66" ht="11.25" customHeight="1">
      <c r="A363" s="469"/>
      <c r="B363" s="447"/>
      <c r="C363" s="447"/>
      <c r="D363" s="447"/>
      <c r="E363" s="447"/>
      <c r="F363" s="447"/>
      <c r="G363" s="447"/>
      <c r="H363" s="447"/>
      <c r="I363" s="447"/>
      <c r="J363" s="447"/>
      <c r="K363" s="447"/>
      <c r="L363" s="447"/>
      <c r="M363" s="447"/>
      <c r="N363" s="447"/>
      <c r="O363" s="447"/>
      <c r="P363" s="447"/>
      <c r="Q363" s="447"/>
      <c r="R363" s="447"/>
      <c r="S363" s="447"/>
      <c r="T363" s="447"/>
      <c r="U363" s="447"/>
      <c r="V363" s="447"/>
      <c r="W363" s="447"/>
      <c r="X363" s="447"/>
      <c r="Y363" s="447"/>
      <c r="Z363" s="447"/>
      <c r="AA363" s="447"/>
      <c r="AB363" s="447"/>
      <c r="AC363" s="447"/>
      <c r="AD363" s="447"/>
      <c r="AE363" s="447"/>
      <c r="AF363" s="448"/>
      <c r="AG363" s="448"/>
      <c r="AH363" s="448"/>
      <c r="AI363" s="447"/>
      <c r="AJ363" s="447"/>
      <c r="AK363" s="447"/>
      <c r="AL363" s="447"/>
      <c r="AM363" s="447"/>
      <c r="AN363" s="447"/>
      <c r="AO363" s="447"/>
      <c r="AP363" s="447"/>
      <c r="AQ363" s="447"/>
      <c r="AR363" s="447"/>
      <c r="AS363" s="447"/>
      <c r="AT363" s="447"/>
      <c r="AU363" s="447"/>
      <c r="AV363" s="447"/>
      <c r="AW363" s="447"/>
      <c r="AX363" s="447"/>
      <c r="AY363" s="447"/>
      <c r="AZ363" s="447"/>
      <c r="BA363" s="447"/>
      <c r="BB363" s="447"/>
      <c r="BC363" s="447"/>
      <c r="BD363" s="447"/>
      <c r="BE363" s="447"/>
      <c r="BF363" s="447"/>
      <c r="BG363" s="447"/>
      <c r="BH363" s="447"/>
      <c r="BI363" s="447"/>
      <c r="BJ363" s="447"/>
      <c r="BK363" s="447"/>
      <c r="BL363" s="447"/>
      <c r="BM363" s="448"/>
      <c r="BN363" s="448"/>
    </row>
    <row r="364" spans="1:66" ht="11.25" customHeight="1">
      <c r="A364" s="469"/>
      <c r="B364" s="447"/>
      <c r="C364" s="447"/>
      <c r="D364" s="447"/>
      <c r="E364" s="447"/>
      <c r="F364" s="447"/>
      <c r="G364" s="447"/>
      <c r="H364" s="447"/>
      <c r="I364" s="447"/>
      <c r="J364" s="447"/>
      <c r="K364" s="447"/>
      <c r="L364" s="447"/>
      <c r="M364" s="447"/>
      <c r="N364" s="447"/>
      <c r="O364" s="447"/>
      <c r="P364" s="447"/>
      <c r="Q364" s="447"/>
      <c r="R364" s="447"/>
      <c r="S364" s="447"/>
      <c r="T364" s="447"/>
      <c r="U364" s="447"/>
      <c r="V364" s="447"/>
      <c r="W364" s="447"/>
      <c r="X364" s="447"/>
      <c r="Y364" s="447"/>
      <c r="Z364" s="447"/>
      <c r="AA364" s="447"/>
      <c r="AB364" s="447"/>
      <c r="AC364" s="447"/>
      <c r="AD364" s="447"/>
      <c r="AE364" s="447"/>
      <c r="AF364" s="448"/>
      <c r="AG364" s="448"/>
      <c r="AH364" s="448"/>
      <c r="AI364" s="447"/>
      <c r="AJ364" s="447"/>
      <c r="AK364" s="447"/>
      <c r="AL364" s="447"/>
      <c r="AM364" s="447"/>
      <c r="AN364" s="447"/>
      <c r="AO364" s="447"/>
      <c r="AP364" s="447"/>
      <c r="AQ364" s="447"/>
      <c r="AR364" s="447"/>
      <c r="AS364" s="447"/>
      <c r="AT364" s="447"/>
      <c r="AU364" s="447"/>
      <c r="AV364" s="447"/>
      <c r="AW364" s="447"/>
      <c r="AX364" s="447"/>
      <c r="AY364" s="447"/>
      <c r="AZ364" s="447"/>
      <c r="BA364" s="447"/>
      <c r="BB364" s="447"/>
      <c r="BC364" s="447"/>
      <c r="BD364" s="447"/>
      <c r="BE364" s="447"/>
      <c r="BF364" s="447"/>
      <c r="BG364" s="447"/>
      <c r="BH364" s="447"/>
      <c r="BI364" s="447"/>
      <c r="BJ364" s="447"/>
      <c r="BK364" s="447"/>
      <c r="BL364" s="447"/>
      <c r="BM364" s="448"/>
      <c r="BN364" s="448"/>
    </row>
    <row r="365" spans="1:66" ht="11.25" customHeight="1">
      <c r="A365" s="469"/>
      <c r="B365" s="447"/>
      <c r="C365" s="447"/>
      <c r="D365" s="447"/>
      <c r="E365" s="447"/>
      <c r="F365" s="447"/>
      <c r="G365" s="447"/>
      <c r="H365" s="447"/>
      <c r="I365" s="447"/>
      <c r="J365" s="447"/>
      <c r="K365" s="447"/>
      <c r="L365" s="447"/>
      <c r="M365" s="447"/>
      <c r="N365" s="447"/>
      <c r="O365" s="447"/>
      <c r="P365" s="447"/>
      <c r="Q365" s="447"/>
      <c r="R365" s="447"/>
      <c r="S365" s="447"/>
      <c r="T365" s="447"/>
      <c r="U365" s="447"/>
      <c r="V365" s="447"/>
      <c r="W365" s="447"/>
      <c r="X365" s="447"/>
      <c r="Y365" s="447"/>
      <c r="Z365" s="447"/>
      <c r="AA365" s="447"/>
      <c r="AB365" s="447"/>
      <c r="AC365" s="447"/>
      <c r="AD365" s="447"/>
      <c r="AE365" s="447"/>
      <c r="AF365" s="448"/>
      <c r="AG365" s="448"/>
      <c r="AH365" s="448"/>
      <c r="AI365" s="447"/>
      <c r="AJ365" s="447"/>
      <c r="AK365" s="447"/>
      <c r="AL365" s="447"/>
      <c r="AM365" s="447"/>
      <c r="AN365" s="447"/>
      <c r="AO365" s="447"/>
      <c r="AP365" s="447"/>
      <c r="AQ365" s="447"/>
      <c r="AR365" s="447"/>
      <c r="AS365" s="447"/>
      <c r="AT365" s="447"/>
      <c r="AU365" s="447"/>
      <c r="AV365" s="447"/>
      <c r="AW365" s="447"/>
      <c r="AX365" s="447"/>
      <c r="AY365" s="447"/>
      <c r="AZ365" s="447"/>
      <c r="BA365" s="447"/>
      <c r="BB365" s="447"/>
      <c r="BC365" s="447"/>
      <c r="BD365" s="447"/>
      <c r="BE365" s="447"/>
      <c r="BF365" s="447"/>
      <c r="BG365" s="447"/>
      <c r="BH365" s="447"/>
      <c r="BI365" s="447"/>
      <c r="BJ365" s="447"/>
      <c r="BK365" s="447"/>
      <c r="BL365" s="447"/>
      <c r="BM365" s="448"/>
      <c r="BN365" s="448"/>
    </row>
    <row r="366" spans="1:66" ht="11.25" customHeight="1">
      <c r="A366" s="469"/>
      <c r="B366" s="447"/>
      <c r="C366" s="447"/>
      <c r="D366" s="447"/>
      <c r="E366" s="447"/>
      <c r="F366" s="447"/>
      <c r="G366" s="447"/>
      <c r="H366" s="447"/>
      <c r="I366" s="447"/>
      <c r="J366" s="447"/>
      <c r="K366" s="447"/>
      <c r="L366" s="447"/>
      <c r="M366" s="447"/>
      <c r="N366" s="447"/>
      <c r="O366" s="447"/>
      <c r="P366" s="447"/>
      <c r="Q366" s="447"/>
      <c r="R366" s="447"/>
      <c r="S366" s="447"/>
      <c r="T366" s="447"/>
      <c r="U366" s="447"/>
      <c r="V366" s="447"/>
      <c r="W366" s="447"/>
      <c r="X366" s="447"/>
      <c r="Y366" s="447"/>
      <c r="Z366" s="447"/>
      <c r="AA366" s="447"/>
      <c r="AB366" s="447"/>
      <c r="AC366" s="447"/>
      <c r="AD366" s="447"/>
      <c r="AE366" s="447"/>
      <c r="AF366" s="448"/>
      <c r="AG366" s="448"/>
      <c r="AH366" s="448"/>
      <c r="AI366" s="447"/>
      <c r="AJ366" s="447"/>
      <c r="AK366" s="447"/>
      <c r="AL366" s="447"/>
      <c r="AM366" s="447"/>
      <c r="AN366" s="447"/>
      <c r="AO366" s="447"/>
      <c r="AP366" s="447"/>
      <c r="AQ366" s="447"/>
      <c r="AR366" s="447"/>
      <c r="AS366" s="447"/>
      <c r="AT366" s="447"/>
      <c r="AU366" s="447"/>
      <c r="AV366" s="447"/>
      <c r="AW366" s="447"/>
      <c r="AX366" s="447"/>
      <c r="AY366" s="447"/>
      <c r="AZ366" s="447"/>
      <c r="BA366" s="447"/>
      <c r="BB366" s="447"/>
      <c r="BC366" s="447"/>
      <c r="BD366" s="447"/>
      <c r="BE366" s="447"/>
      <c r="BF366" s="447"/>
      <c r="BG366" s="447"/>
      <c r="BH366" s="447"/>
      <c r="BI366" s="447"/>
      <c r="BJ366" s="447"/>
      <c r="BK366" s="447"/>
      <c r="BL366" s="447"/>
      <c r="BM366" s="448"/>
      <c r="BN366" s="448"/>
    </row>
    <row r="367" spans="1:66" ht="11.25" customHeight="1">
      <c r="A367" s="469"/>
      <c r="B367" s="447"/>
      <c r="C367" s="447"/>
      <c r="D367" s="447"/>
      <c r="E367" s="447"/>
      <c r="F367" s="447"/>
      <c r="G367" s="447"/>
      <c r="H367" s="447"/>
      <c r="I367" s="447"/>
      <c r="J367" s="447"/>
      <c r="K367" s="447"/>
      <c r="L367" s="447"/>
      <c r="M367" s="447"/>
      <c r="N367" s="447"/>
      <c r="O367" s="447"/>
      <c r="P367" s="447"/>
      <c r="Q367" s="447"/>
      <c r="R367" s="447"/>
      <c r="S367" s="447"/>
      <c r="T367" s="447"/>
      <c r="U367" s="447"/>
      <c r="V367" s="447"/>
      <c r="W367" s="447"/>
      <c r="X367" s="447"/>
      <c r="Y367" s="447"/>
      <c r="Z367" s="447"/>
      <c r="AA367" s="447"/>
      <c r="AB367" s="447"/>
      <c r="AC367" s="447"/>
      <c r="AD367" s="447"/>
      <c r="AE367" s="447"/>
      <c r="AF367" s="448"/>
      <c r="AG367" s="448"/>
      <c r="AH367" s="448"/>
      <c r="AI367" s="447"/>
      <c r="AJ367" s="447"/>
      <c r="AK367" s="447"/>
      <c r="AL367" s="447"/>
      <c r="AM367" s="447"/>
      <c r="AN367" s="447"/>
      <c r="AO367" s="447"/>
      <c r="AP367" s="447"/>
      <c r="AQ367" s="447"/>
      <c r="AR367" s="447"/>
      <c r="AS367" s="447"/>
      <c r="AT367" s="447"/>
      <c r="AU367" s="447"/>
      <c r="AV367" s="447"/>
      <c r="AW367" s="447"/>
      <c r="AX367" s="447"/>
      <c r="AY367" s="447"/>
      <c r="AZ367" s="447"/>
      <c r="BA367" s="447"/>
      <c r="BB367" s="447"/>
      <c r="BC367" s="447"/>
      <c r="BD367" s="447"/>
      <c r="BE367" s="447"/>
      <c r="BF367" s="447"/>
      <c r="BG367" s="447"/>
      <c r="BH367" s="447"/>
      <c r="BI367" s="447"/>
      <c r="BJ367" s="447"/>
      <c r="BK367" s="447"/>
      <c r="BL367" s="447"/>
      <c r="BM367" s="448"/>
      <c r="BN367" s="448"/>
    </row>
    <row r="368" spans="1:66" ht="11.25" customHeight="1">
      <c r="A368" s="469"/>
      <c r="B368" s="447"/>
      <c r="C368" s="447"/>
      <c r="D368" s="447"/>
      <c r="E368" s="447"/>
      <c r="F368" s="447"/>
      <c r="G368" s="447"/>
      <c r="H368" s="447"/>
      <c r="I368" s="447"/>
      <c r="J368" s="447"/>
      <c r="K368" s="447"/>
      <c r="L368" s="447"/>
      <c r="M368" s="447"/>
      <c r="N368" s="447"/>
      <c r="O368" s="447"/>
      <c r="P368" s="447"/>
      <c r="Q368" s="447"/>
      <c r="R368" s="447"/>
      <c r="S368" s="447"/>
      <c r="T368" s="447"/>
      <c r="U368" s="447"/>
      <c r="V368" s="447"/>
      <c r="W368" s="447"/>
      <c r="X368" s="447"/>
      <c r="Y368" s="447"/>
      <c r="Z368" s="447"/>
      <c r="AA368" s="447"/>
      <c r="AB368" s="447"/>
      <c r="AC368" s="447"/>
      <c r="AD368" s="447"/>
      <c r="AE368" s="447"/>
      <c r="AF368" s="448"/>
      <c r="AG368" s="448"/>
      <c r="AH368" s="448"/>
      <c r="AI368" s="447"/>
      <c r="AJ368" s="447"/>
      <c r="AK368" s="447"/>
      <c r="AL368" s="447"/>
      <c r="AM368" s="447"/>
      <c r="AN368" s="447"/>
      <c r="AO368" s="447"/>
      <c r="AP368" s="447"/>
      <c r="AQ368" s="447"/>
      <c r="AR368" s="447"/>
      <c r="AS368" s="447"/>
      <c r="AT368" s="447"/>
      <c r="AU368" s="447"/>
      <c r="AV368" s="447"/>
      <c r="AW368" s="447"/>
      <c r="AX368" s="447"/>
      <c r="AY368" s="447"/>
      <c r="AZ368" s="447"/>
      <c r="BA368" s="447"/>
      <c r="BB368" s="447"/>
      <c r="BC368" s="447"/>
      <c r="BD368" s="447"/>
      <c r="BE368" s="447"/>
      <c r="BF368" s="447"/>
      <c r="BG368" s="447"/>
      <c r="BH368" s="447"/>
      <c r="BI368" s="447"/>
      <c r="BJ368" s="447"/>
      <c r="BK368" s="447"/>
      <c r="BL368" s="447"/>
      <c r="BM368" s="448"/>
      <c r="BN368" s="448"/>
    </row>
    <row r="369" spans="1:66" ht="11.25" customHeight="1">
      <c r="A369" s="469"/>
      <c r="B369" s="447"/>
      <c r="C369" s="447"/>
      <c r="D369" s="447"/>
      <c r="E369" s="447"/>
      <c r="F369" s="447"/>
      <c r="G369" s="447"/>
      <c r="H369" s="447"/>
      <c r="I369" s="447"/>
      <c r="J369" s="447"/>
      <c r="K369" s="447"/>
      <c r="L369" s="447"/>
      <c r="M369" s="447"/>
      <c r="N369" s="447"/>
      <c r="O369" s="447"/>
      <c r="P369" s="447"/>
      <c r="Q369" s="447"/>
      <c r="R369" s="447"/>
      <c r="S369" s="447"/>
      <c r="T369" s="447"/>
      <c r="U369" s="447"/>
      <c r="V369" s="447"/>
      <c r="W369" s="447"/>
      <c r="X369" s="447"/>
      <c r="Y369" s="447"/>
      <c r="Z369" s="447"/>
      <c r="AA369" s="447"/>
      <c r="AB369" s="447"/>
      <c r="AC369" s="447"/>
      <c r="AD369" s="447"/>
      <c r="AE369" s="447"/>
      <c r="AF369" s="448"/>
      <c r="AG369" s="448"/>
      <c r="AH369" s="448"/>
      <c r="AI369" s="447"/>
      <c r="AJ369" s="447"/>
      <c r="AK369" s="447"/>
      <c r="AL369" s="447"/>
      <c r="AM369" s="447"/>
      <c r="AN369" s="447"/>
      <c r="AO369" s="447"/>
      <c r="AP369" s="447"/>
      <c r="AQ369" s="447"/>
      <c r="AR369" s="447"/>
      <c r="AS369" s="447"/>
      <c r="AT369" s="447"/>
      <c r="AU369" s="447"/>
      <c r="AV369" s="447"/>
      <c r="AW369" s="447"/>
      <c r="AX369" s="447"/>
      <c r="AY369" s="447"/>
      <c r="AZ369" s="447"/>
      <c r="BA369" s="447"/>
      <c r="BB369" s="447"/>
      <c r="BC369" s="447"/>
      <c r="BD369" s="447"/>
      <c r="BE369" s="447"/>
      <c r="BF369" s="447"/>
      <c r="BG369" s="447"/>
      <c r="BH369" s="447"/>
      <c r="BI369" s="447"/>
      <c r="BJ369" s="447"/>
      <c r="BK369" s="447"/>
      <c r="BL369" s="447"/>
      <c r="BM369" s="448"/>
      <c r="BN369" s="448"/>
    </row>
    <row r="370" spans="1:66" ht="11.25" customHeight="1">
      <c r="A370" s="469"/>
      <c r="B370" s="447"/>
      <c r="C370" s="447"/>
      <c r="D370" s="447"/>
      <c r="E370" s="447"/>
      <c r="F370" s="447"/>
      <c r="G370" s="447"/>
      <c r="H370" s="447"/>
      <c r="I370" s="447"/>
      <c r="J370" s="447"/>
      <c r="K370" s="447"/>
      <c r="L370" s="447"/>
      <c r="M370" s="447"/>
      <c r="N370" s="447"/>
      <c r="O370" s="447"/>
      <c r="P370" s="447"/>
      <c r="Q370" s="447"/>
      <c r="R370" s="447"/>
      <c r="S370" s="447"/>
      <c r="T370" s="447"/>
      <c r="U370" s="447"/>
      <c r="V370" s="447"/>
      <c r="W370" s="447"/>
      <c r="X370" s="447"/>
      <c r="Y370" s="447"/>
      <c r="Z370" s="447"/>
      <c r="AA370" s="447"/>
      <c r="AB370" s="447"/>
      <c r="AC370" s="447"/>
      <c r="AD370" s="447"/>
      <c r="AE370" s="447"/>
      <c r="AF370" s="448"/>
      <c r="AG370" s="448"/>
      <c r="AH370" s="448"/>
      <c r="AI370" s="447"/>
      <c r="AJ370" s="447"/>
      <c r="AK370" s="447"/>
      <c r="AL370" s="447"/>
      <c r="AM370" s="447"/>
      <c r="AN370" s="447"/>
      <c r="AO370" s="447"/>
      <c r="AP370" s="447"/>
      <c r="AQ370" s="447"/>
      <c r="AR370" s="447"/>
      <c r="AS370" s="447"/>
      <c r="AT370" s="447"/>
      <c r="AU370" s="447"/>
      <c r="AV370" s="447"/>
      <c r="AW370" s="447"/>
      <c r="AX370" s="447"/>
      <c r="AY370" s="447"/>
      <c r="AZ370" s="447"/>
      <c r="BA370" s="447"/>
      <c r="BB370" s="447"/>
      <c r="BC370" s="447"/>
      <c r="BD370" s="447"/>
      <c r="BE370" s="447"/>
      <c r="BF370" s="447"/>
      <c r="BG370" s="447"/>
      <c r="BH370" s="447"/>
      <c r="BI370" s="447"/>
      <c r="BJ370" s="447"/>
      <c r="BK370" s="447"/>
      <c r="BL370" s="447"/>
      <c r="BM370" s="448"/>
      <c r="BN370" s="448"/>
    </row>
    <row r="371" spans="1:66" ht="11.25" customHeight="1">
      <c r="A371" s="469"/>
      <c r="B371" s="447"/>
      <c r="C371" s="447"/>
      <c r="D371" s="447"/>
      <c r="E371" s="447"/>
      <c r="F371" s="447"/>
      <c r="G371" s="447"/>
      <c r="H371" s="447"/>
      <c r="I371" s="447"/>
      <c r="J371" s="447"/>
      <c r="K371" s="447"/>
      <c r="L371" s="447"/>
      <c r="M371" s="447"/>
      <c r="N371" s="447"/>
      <c r="O371" s="447"/>
      <c r="P371" s="447"/>
      <c r="Q371" s="447"/>
      <c r="R371" s="447"/>
      <c r="S371" s="447"/>
      <c r="T371" s="447"/>
      <c r="U371" s="447"/>
      <c r="V371" s="447"/>
      <c r="W371" s="447"/>
      <c r="X371" s="447"/>
      <c r="Y371" s="447"/>
      <c r="Z371" s="447"/>
      <c r="AA371" s="447"/>
      <c r="AB371" s="447"/>
      <c r="AC371" s="447"/>
      <c r="AD371" s="447"/>
      <c r="AE371" s="447"/>
      <c r="AF371" s="448"/>
      <c r="AG371" s="448"/>
      <c r="AH371" s="448"/>
      <c r="AI371" s="447"/>
      <c r="AJ371" s="447"/>
      <c r="AK371" s="447"/>
      <c r="AL371" s="447"/>
      <c r="AM371" s="447"/>
      <c r="AN371" s="447"/>
      <c r="AO371" s="447"/>
      <c r="AP371" s="447"/>
      <c r="AQ371" s="447"/>
      <c r="AR371" s="447"/>
      <c r="AS371" s="447"/>
      <c r="AT371" s="447"/>
      <c r="AU371" s="447"/>
      <c r="AV371" s="447"/>
      <c r="AW371" s="447"/>
      <c r="AX371" s="447"/>
      <c r="AY371" s="447"/>
      <c r="AZ371" s="447"/>
      <c r="BA371" s="447"/>
      <c r="BB371" s="447"/>
      <c r="BC371" s="447"/>
      <c r="BD371" s="447"/>
      <c r="BE371" s="447"/>
      <c r="BF371" s="447"/>
      <c r="BG371" s="447"/>
      <c r="BH371" s="447"/>
      <c r="BI371" s="447"/>
      <c r="BJ371" s="447"/>
      <c r="BK371" s="447"/>
      <c r="BL371" s="447"/>
      <c r="BM371" s="448"/>
      <c r="BN371" s="448"/>
    </row>
    <row r="372" spans="1:66" ht="11.25" customHeight="1">
      <c r="A372" s="469"/>
      <c r="B372" s="447"/>
      <c r="C372" s="447"/>
      <c r="D372" s="447"/>
      <c r="E372" s="447"/>
      <c r="F372" s="447"/>
      <c r="G372" s="447"/>
      <c r="H372" s="447"/>
      <c r="I372" s="447"/>
      <c r="J372" s="447"/>
      <c r="K372" s="447"/>
      <c r="L372" s="447"/>
      <c r="M372" s="447"/>
      <c r="N372" s="447"/>
      <c r="O372" s="447"/>
      <c r="P372" s="447"/>
      <c r="Q372" s="447"/>
      <c r="R372" s="447"/>
      <c r="S372" s="447"/>
      <c r="T372" s="447"/>
      <c r="U372" s="447"/>
      <c r="V372" s="447"/>
      <c r="W372" s="447"/>
      <c r="X372" s="447"/>
      <c r="Y372" s="447"/>
      <c r="Z372" s="447"/>
      <c r="AA372" s="447"/>
      <c r="AB372" s="447"/>
      <c r="AC372" s="447"/>
      <c r="AD372" s="447"/>
      <c r="AE372" s="447"/>
      <c r="AF372" s="448"/>
      <c r="AG372" s="448"/>
      <c r="AH372" s="448"/>
      <c r="AI372" s="447"/>
      <c r="AJ372" s="447"/>
      <c r="AK372" s="447"/>
      <c r="AL372" s="447"/>
      <c r="AM372" s="447"/>
      <c r="AN372" s="447"/>
      <c r="AO372" s="447"/>
      <c r="AP372" s="447"/>
      <c r="AQ372" s="447"/>
      <c r="AR372" s="447"/>
      <c r="AS372" s="447"/>
      <c r="AT372" s="447"/>
      <c r="AU372" s="447"/>
      <c r="AV372" s="447"/>
      <c r="AW372" s="447"/>
      <c r="AX372" s="447"/>
      <c r="AY372" s="447"/>
      <c r="AZ372" s="447"/>
      <c r="BA372" s="447"/>
      <c r="BB372" s="447"/>
      <c r="BC372" s="447"/>
      <c r="BD372" s="447"/>
      <c r="BE372" s="447"/>
      <c r="BF372" s="447"/>
      <c r="BG372" s="447"/>
      <c r="BH372" s="447"/>
      <c r="BI372" s="447"/>
      <c r="BJ372" s="447"/>
      <c r="BK372" s="447"/>
      <c r="BL372" s="447"/>
      <c r="BM372" s="448"/>
      <c r="BN372" s="448"/>
    </row>
    <row r="373" spans="1:66" ht="11.25" customHeight="1">
      <c r="A373" s="469"/>
      <c r="B373" s="447"/>
      <c r="C373" s="447"/>
      <c r="D373" s="447"/>
      <c r="E373" s="447"/>
      <c r="F373" s="447"/>
      <c r="G373" s="447"/>
      <c r="H373" s="447"/>
      <c r="I373" s="447"/>
      <c r="J373" s="447"/>
      <c r="K373" s="447"/>
      <c r="L373" s="447"/>
      <c r="M373" s="447"/>
      <c r="N373" s="447"/>
      <c r="O373" s="447"/>
      <c r="P373" s="447"/>
      <c r="Q373" s="447"/>
      <c r="R373" s="447"/>
      <c r="S373" s="447"/>
      <c r="T373" s="447"/>
      <c r="U373" s="447"/>
      <c r="V373" s="447"/>
      <c r="W373" s="447"/>
      <c r="X373" s="447"/>
      <c r="Y373" s="447"/>
      <c r="Z373" s="447"/>
      <c r="AA373" s="447"/>
      <c r="AB373" s="447"/>
      <c r="AC373" s="447"/>
      <c r="AD373" s="447"/>
      <c r="AE373" s="447"/>
      <c r="AF373" s="448"/>
      <c r="AG373" s="448"/>
      <c r="AH373" s="448"/>
      <c r="AI373" s="447"/>
      <c r="AJ373" s="447"/>
      <c r="AK373" s="447"/>
      <c r="AL373" s="447"/>
      <c r="AM373" s="447"/>
      <c r="AN373" s="447"/>
      <c r="AO373" s="447"/>
      <c r="AP373" s="447"/>
      <c r="AQ373" s="447"/>
      <c r="AR373" s="447"/>
      <c r="AS373" s="447"/>
      <c r="AT373" s="447"/>
      <c r="AU373" s="447"/>
      <c r="AV373" s="447"/>
      <c r="AW373" s="447"/>
      <c r="AX373" s="447"/>
      <c r="AY373" s="447"/>
      <c r="AZ373" s="447"/>
      <c r="BA373" s="447"/>
      <c r="BB373" s="447"/>
      <c r="BC373" s="447"/>
      <c r="BD373" s="447"/>
      <c r="BE373" s="447"/>
      <c r="BF373" s="447"/>
      <c r="BG373" s="447"/>
      <c r="BH373" s="447"/>
      <c r="BI373" s="447"/>
      <c r="BJ373" s="447"/>
      <c r="BK373" s="447"/>
      <c r="BL373" s="447"/>
      <c r="BM373" s="448"/>
      <c r="BN373" s="448"/>
    </row>
    <row r="374" spans="1:66" ht="11.25" customHeight="1">
      <c r="A374" s="469"/>
      <c r="B374" s="447"/>
      <c r="C374" s="447"/>
      <c r="D374" s="447"/>
      <c r="E374" s="447"/>
      <c r="F374" s="447"/>
      <c r="G374" s="447"/>
      <c r="H374" s="447"/>
      <c r="I374" s="447"/>
      <c r="J374" s="447"/>
      <c r="K374" s="447"/>
      <c r="L374" s="447"/>
      <c r="M374" s="447"/>
      <c r="N374" s="447"/>
      <c r="O374" s="447"/>
      <c r="P374" s="447"/>
      <c r="Q374" s="447"/>
      <c r="R374" s="447"/>
      <c r="S374" s="447"/>
      <c r="T374" s="447"/>
      <c r="U374" s="447"/>
      <c r="V374" s="447"/>
      <c r="W374" s="447"/>
      <c r="X374" s="447"/>
      <c r="Y374" s="447"/>
      <c r="Z374" s="447"/>
      <c r="AA374" s="447"/>
      <c r="AB374" s="447"/>
      <c r="AC374" s="447"/>
      <c r="AD374" s="447"/>
      <c r="AE374" s="447"/>
      <c r="AF374" s="448"/>
      <c r="AG374" s="448"/>
      <c r="AH374" s="448"/>
      <c r="AI374" s="447"/>
      <c r="AJ374" s="447"/>
      <c r="AK374" s="447"/>
      <c r="AL374" s="447"/>
      <c r="AM374" s="447"/>
      <c r="AN374" s="447"/>
      <c r="AO374" s="447"/>
      <c r="AP374" s="447"/>
      <c r="AQ374" s="447"/>
      <c r="AR374" s="447"/>
      <c r="AS374" s="447"/>
      <c r="AT374" s="447"/>
      <c r="AU374" s="447"/>
      <c r="AV374" s="447"/>
      <c r="AW374" s="447"/>
      <c r="AX374" s="447"/>
      <c r="AY374" s="447"/>
      <c r="AZ374" s="447"/>
      <c r="BA374" s="447"/>
      <c r="BB374" s="447"/>
      <c r="BC374" s="447"/>
      <c r="BD374" s="447"/>
      <c r="BE374" s="447"/>
      <c r="BF374" s="447"/>
      <c r="BG374" s="447"/>
      <c r="BH374" s="447"/>
      <c r="BI374" s="447"/>
      <c r="BJ374" s="447"/>
      <c r="BK374" s="447"/>
      <c r="BL374" s="447"/>
      <c r="BM374" s="448"/>
      <c r="BN374" s="448"/>
    </row>
    <row r="375" spans="1:66" ht="11.25" customHeight="1">
      <c r="A375" s="469"/>
      <c r="B375" s="447"/>
      <c r="C375" s="447"/>
      <c r="D375" s="447"/>
      <c r="E375" s="447"/>
      <c r="F375" s="447"/>
      <c r="G375" s="447"/>
      <c r="H375" s="447"/>
      <c r="I375" s="447"/>
      <c r="J375" s="447"/>
      <c r="K375" s="447"/>
      <c r="L375" s="447"/>
      <c r="M375" s="447"/>
      <c r="N375" s="447"/>
      <c r="O375" s="447"/>
      <c r="P375" s="447"/>
      <c r="Q375" s="447"/>
      <c r="R375" s="447"/>
      <c r="S375" s="447"/>
      <c r="T375" s="447"/>
      <c r="U375" s="447"/>
      <c r="V375" s="447"/>
      <c r="W375" s="447"/>
      <c r="X375" s="447"/>
      <c r="Y375" s="447"/>
      <c r="Z375" s="447"/>
      <c r="AA375" s="447"/>
      <c r="AB375" s="447"/>
      <c r="AC375" s="447"/>
      <c r="AD375" s="447"/>
      <c r="AE375" s="447"/>
      <c r="AF375" s="448"/>
      <c r="AG375" s="448"/>
      <c r="AH375" s="448"/>
      <c r="AI375" s="447"/>
      <c r="AJ375" s="447"/>
      <c r="AK375" s="447"/>
      <c r="AL375" s="447"/>
      <c r="AM375" s="447"/>
      <c r="AN375" s="447"/>
      <c r="AO375" s="447"/>
      <c r="AP375" s="447"/>
      <c r="AQ375" s="447"/>
      <c r="AR375" s="447"/>
      <c r="AS375" s="447"/>
      <c r="AT375" s="447"/>
      <c r="AU375" s="447"/>
      <c r="AV375" s="447"/>
      <c r="AW375" s="447"/>
      <c r="AX375" s="447"/>
      <c r="AY375" s="447"/>
      <c r="AZ375" s="447"/>
      <c r="BA375" s="447"/>
      <c r="BB375" s="447"/>
      <c r="BC375" s="447"/>
      <c r="BD375" s="447"/>
      <c r="BE375" s="447"/>
      <c r="BF375" s="447"/>
      <c r="BG375" s="447"/>
      <c r="BH375" s="447"/>
      <c r="BI375" s="447"/>
      <c r="BJ375" s="447"/>
      <c r="BK375" s="447"/>
      <c r="BL375" s="447"/>
      <c r="BM375" s="448"/>
      <c r="BN375" s="448"/>
    </row>
    <row r="376" spans="1:66" ht="11.25" customHeight="1">
      <c r="A376" s="469"/>
      <c r="B376" s="447"/>
      <c r="C376" s="447"/>
      <c r="D376" s="447"/>
      <c r="E376" s="447"/>
      <c r="F376" s="447"/>
      <c r="G376" s="447"/>
      <c r="H376" s="447"/>
      <c r="I376" s="447"/>
      <c r="J376" s="447"/>
      <c r="K376" s="447"/>
      <c r="L376" s="447"/>
      <c r="M376" s="447"/>
      <c r="N376" s="447"/>
      <c r="O376" s="447"/>
      <c r="P376" s="447"/>
      <c r="Q376" s="447"/>
      <c r="R376" s="447"/>
      <c r="S376" s="447"/>
      <c r="T376" s="447"/>
      <c r="U376" s="447"/>
      <c r="V376" s="447"/>
      <c r="W376" s="447"/>
      <c r="X376" s="447"/>
      <c r="Y376" s="447"/>
      <c r="Z376" s="447"/>
      <c r="AA376" s="447"/>
      <c r="AB376" s="447"/>
      <c r="AC376" s="447"/>
      <c r="AD376" s="447"/>
      <c r="AE376" s="447"/>
      <c r="AF376" s="448"/>
      <c r="AG376" s="448"/>
      <c r="AH376" s="448"/>
      <c r="AI376" s="447"/>
      <c r="AJ376" s="447"/>
      <c r="AK376" s="447"/>
      <c r="AL376" s="447"/>
      <c r="AM376" s="447"/>
      <c r="AN376" s="447"/>
      <c r="AO376" s="447"/>
      <c r="AP376" s="447"/>
      <c r="AQ376" s="447"/>
      <c r="AR376" s="447"/>
      <c r="AS376" s="447"/>
      <c r="AT376" s="447"/>
      <c r="AU376" s="447"/>
      <c r="AV376" s="447"/>
      <c r="AW376" s="447"/>
      <c r="AX376" s="447"/>
      <c r="AY376" s="447"/>
      <c r="AZ376" s="447"/>
      <c r="BA376" s="447"/>
      <c r="BB376" s="447"/>
      <c r="BC376" s="447"/>
      <c r="BD376" s="447"/>
      <c r="BE376" s="447"/>
      <c r="BF376" s="447"/>
      <c r="BG376" s="447"/>
      <c r="BH376" s="447"/>
      <c r="BI376" s="447"/>
      <c r="BJ376" s="447"/>
      <c r="BK376" s="447"/>
      <c r="BL376" s="447"/>
      <c r="BM376" s="448"/>
      <c r="BN376" s="448"/>
    </row>
    <row r="377" spans="1:66" ht="11.25" customHeight="1">
      <c r="A377" s="469"/>
      <c r="B377" s="447"/>
      <c r="C377" s="447"/>
      <c r="D377" s="447"/>
      <c r="E377" s="447"/>
      <c r="F377" s="447"/>
      <c r="G377" s="447"/>
      <c r="H377" s="447"/>
      <c r="I377" s="447"/>
      <c r="J377" s="447"/>
      <c r="K377" s="447"/>
      <c r="L377" s="447"/>
      <c r="M377" s="447"/>
      <c r="N377" s="447"/>
      <c r="O377" s="447"/>
      <c r="P377" s="447"/>
      <c r="Q377" s="447"/>
      <c r="R377" s="447"/>
      <c r="S377" s="447"/>
      <c r="T377" s="447"/>
      <c r="U377" s="447"/>
      <c r="V377" s="447"/>
      <c r="W377" s="447"/>
      <c r="X377" s="447"/>
      <c r="Y377" s="447"/>
      <c r="Z377" s="447"/>
      <c r="AA377" s="447"/>
      <c r="AB377" s="447"/>
      <c r="AC377" s="447"/>
      <c r="AD377" s="447"/>
      <c r="AE377" s="447"/>
      <c r="AF377" s="448"/>
      <c r="AG377" s="448"/>
      <c r="AH377" s="448"/>
      <c r="AI377" s="447"/>
      <c r="AJ377" s="447"/>
      <c r="AK377" s="447"/>
      <c r="AL377" s="447"/>
      <c r="AM377" s="447"/>
      <c r="AN377" s="447"/>
      <c r="AO377" s="447"/>
      <c r="AP377" s="447"/>
      <c r="AQ377" s="447"/>
      <c r="AR377" s="447"/>
      <c r="AS377" s="447"/>
      <c r="AT377" s="447"/>
      <c r="AU377" s="447"/>
      <c r="AV377" s="447"/>
      <c r="AW377" s="447"/>
      <c r="AX377" s="447"/>
      <c r="AY377" s="447"/>
      <c r="AZ377" s="447"/>
      <c r="BA377" s="447"/>
      <c r="BB377" s="447"/>
      <c r="BC377" s="447"/>
      <c r="BD377" s="447"/>
      <c r="BE377" s="447"/>
      <c r="BF377" s="447"/>
      <c r="BG377" s="447"/>
      <c r="BH377" s="447"/>
      <c r="BI377" s="447"/>
      <c r="BJ377" s="447"/>
      <c r="BK377" s="447"/>
      <c r="BL377" s="447"/>
      <c r="BM377" s="448"/>
      <c r="BN377" s="448"/>
    </row>
    <row r="378" spans="1:66" ht="11.25" customHeight="1">
      <c r="A378" s="469"/>
      <c r="B378" s="447"/>
      <c r="C378" s="447"/>
      <c r="D378" s="447"/>
      <c r="E378" s="447"/>
      <c r="F378" s="447"/>
      <c r="G378" s="447"/>
      <c r="H378" s="447"/>
      <c r="I378" s="447"/>
      <c r="J378" s="447"/>
      <c r="K378" s="447"/>
      <c r="L378" s="447"/>
      <c r="M378" s="447"/>
      <c r="N378" s="447"/>
      <c r="O378" s="447"/>
      <c r="P378" s="447"/>
      <c r="Q378" s="447"/>
      <c r="R378" s="447"/>
      <c r="S378" s="447"/>
      <c r="T378" s="447"/>
      <c r="U378" s="447"/>
      <c r="V378" s="447"/>
      <c r="W378" s="447"/>
      <c r="X378" s="447"/>
      <c r="Y378" s="447"/>
      <c r="Z378" s="447"/>
      <c r="AA378" s="447"/>
      <c r="AB378" s="447"/>
      <c r="AC378" s="447"/>
      <c r="AD378" s="447"/>
      <c r="AE378" s="447"/>
      <c r="AF378" s="448"/>
      <c r="AG378" s="448"/>
      <c r="AH378" s="448"/>
      <c r="AI378" s="447"/>
      <c r="AJ378" s="447"/>
      <c r="AK378" s="447"/>
      <c r="AL378" s="447"/>
      <c r="AM378" s="447"/>
      <c r="AN378" s="447"/>
      <c r="AO378" s="447"/>
      <c r="AP378" s="447"/>
      <c r="AQ378" s="447"/>
      <c r="AR378" s="447"/>
      <c r="AS378" s="447"/>
      <c r="AT378" s="447"/>
      <c r="AU378" s="447"/>
      <c r="AV378" s="447"/>
      <c r="AW378" s="447"/>
      <c r="AX378" s="447"/>
      <c r="AY378" s="447"/>
      <c r="AZ378" s="447"/>
      <c r="BA378" s="447"/>
      <c r="BB378" s="447"/>
      <c r="BC378" s="447"/>
      <c r="BD378" s="447"/>
      <c r="BE378" s="447"/>
      <c r="BF378" s="447"/>
      <c r="BG378" s="447"/>
      <c r="BH378" s="447"/>
      <c r="BI378" s="447"/>
      <c r="BJ378" s="447"/>
      <c r="BK378" s="447"/>
      <c r="BL378" s="447"/>
      <c r="BM378" s="448"/>
      <c r="BN378" s="448"/>
    </row>
    <row r="379" spans="1:66" ht="11.25" customHeight="1">
      <c r="A379" s="469"/>
      <c r="B379" s="447"/>
      <c r="C379" s="447"/>
      <c r="D379" s="447"/>
      <c r="E379" s="447"/>
      <c r="F379" s="447"/>
      <c r="G379" s="447"/>
      <c r="H379" s="447"/>
      <c r="I379" s="447"/>
      <c r="J379" s="447"/>
      <c r="K379" s="447"/>
      <c r="L379" s="447"/>
      <c r="M379" s="447"/>
      <c r="N379" s="447"/>
      <c r="O379" s="447"/>
      <c r="P379" s="447"/>
      <c r="Q379" s="447"/>
      <c r="R379" s="447"/>
      <c r="S379" s="447"/>
      <c r="T379" s="447"/>
      <c r="U379" s="447"/>
      <c r="V379" s="447"/>
      <c r="W379" s="447"/>
      <c r="X379" s="447"/>
      <c r="Y379" s="447"/>
      <c r="Z379" s="447"/>
      <c r="AA379" s="447"/>
      <c r="AB379" s="447"/>
      <c r="AC379" s="447"/>
      <c r="AD379" s="447"/>
      <c r="AE379" s="447"/>
      <c r="AF379" s="448"/>
      <c r="AG379" s="448"/>
      <c r="AH379" s="448"/>
      <c r="AI379" s="447"/>
      <c r="AJ379" s="447"/>
      <c r="AK379" s="447"/>
      <c r="AL379" s="447"/>
      <c r="AM379" s="447"/>
      <c r="AN379" s="447"/>
      <c r="AO379" s="447"/>
      <c r="AP379" s="447"/>
      <c r="AQ379" s="447"/>
      <c r="AR379" s="447"/>
      <c r="AS379" s="447"/>
      <c r="AT379" s="447"/>
      <c r="AU379" s="447"/>
      <c r="AV379" s="447"/>
      <c r="AW379" s="447"/>
      <c r="AX379" s="447"/>
      <c r="AY379" s="447"/>
      <c r="AZ379" s="447"/>
      <c r="BA379" s="447"/>
      <c r="BB379" s="447"/>
      <c r="BC379" s="447"/>
      <c r="BD379" s="447"/>
      <c r="BE379" s="447"/>
      <c r="BF379" s="447"/>
      <c r="BG379" s="447"/>
      <c r="BH379" s="447"/>
      <c r="BI379" s="447"/>
      <c r="BJ379" s="447"/>
      <c r="BK379" s="447"/>
      <c r="BL379" s="447"/>
      <c r="BM379" s="448"/>
      <c r="BN379" s="448"/>
    </row>
    <row r="380" spans="1:66" ht="11.25" customHeight="1">
      <c r="A380" s="469"/>
      <c r="B380" s="447"/>
      <c r="C380" s="447"/>
      <c r="D380" s="447"/>
      <c r="E380" s="447"/>
      <c r="F380" s="447"/>
      <c r="G380" s="447"/>
      <c r="H380" s="447"/>
      <c r="I380" s="447"/>
      <c r="J380" s="447"/>
      <c r="K380" s="447"/>
      <c r="L380" s="447"/>
      <c r="M380" s="447"/>
      <c r="N380" s="447"/>
      <c r="O380" s="447"/>
      <c r="P380" s="447"/>
      <c r="Q380" s="447"/>
      <c r="R380" s="447"/>
      <c r="S380" s="447"/>
      <c r="T380" s="447"/>
      <c r="U380" s="447"/>
      <c r="V380" s="447"/>
      <c r="W380" s="447"/>
      <c r="X380" s="447"/>
      <c r="Y380" s="447"/>
      <c r="Z380" s="447"/>
      <c r="AA380" s="447"/>
      <c r="AB380" s="447"/>
      <c r="AC380" s="447"/>
      <c r="AD380" s="447"/>
      <c r="AE380" s="447"/>
      <c r="AF380" s="448"/>
      <c r="AG380" s="448"/>
      <c r="AH380" s="448"/>
      <c r="AI380" s="447"/>
      <c r="AJ380" s="447"/>
      <c r="AK380" s="447"/>
      <c r="AL380" s="447"/>
      <c r="AM380" s="447"/>
      <c r="AN380" s="447"/>
      <c r="AO380" s="447"/>
      <c r="AP380" s="447"/>
      <c r="AQ380" s="447"/>
      <c r="AR380" s="447"/>
      <c r="AS380" s="447"/>
      <c r="AT380" s="447"/>
      <c r="AU380" s="447"/>
      <c r="AV380" s="447"/>
      <c r="AW380" s="447"/>
      <c r="AX380" s="447"/>
      <c r="AY380" s="447"/>
      <c r="AZ380" s="447"/>
      <c r="BA380" s="447"/>
      <c r="BB380" s="447"/>
      <c r="BC380" s="447"/>
      <c r="BD380" s="447"/>
      <c r="BE380" s="447"/>
      <c r="BF380" s="447"/>
      <c r="BG380" s="447"/>
      <c r="BH380" s="447"/>
      <c r="BI380" s="447"/>
      <c r="BJ380" s="447"/>
      <c r="BK380" s="447"/>
      <c r="BL380" s="447"/>
      <c r="BM380" s="448"/>
      <c r="BN380" s="448"/>
    </row>
    <row r="381" spans="1:66" ht="11.25" customHeight="1">
      <c r="A381" s="469"/>
      <c r="B381" s="447"/>
      <c r="C381" s="447"/>
      <c r="D381" s="447"/>
      <c r="E381" s="447"/>
      <c r="F381" s="447"/>
      <c r="G381" s="447"/>
      <c r="H381" s="447"/>
      <c r="I381" s="447"/>
      <c r="J381" s="447"/>
      <c r="K381" s="447"/>
      <c r="L381" s="447"/>
      <c r="M381" s="447"/>
      <c r="N381" s="447"/>
      <c r="O381" s="447"/>
      <c r="P381" s="447"/>
      <c r="Q381" s="447"/>
      <c r="R381" s="447"/>
      <c r="S381" s="447"/>
      <c r="T381" s="447"/>
      <c r="U381" s="447"/>
      <c r="V381" s="447"/>
      <c r="W381" s="447"/>
      <c r="X381" s="447"/>
      <c r="Y381" s="447"/>
      <c r="Z381" s="447"/>
      <c r="AA381" s="447"/>
      <c r="AB381" s="447"/>
      <c r="AC381" s="447"/>
      <c r="AD381" s="447"/>
      <c r="AE381" s="447"/>
      <c r="AF381" s="448"/>
      <c r="AG381" s="448"/>
      <c r="AH381" s="448"/>
      <c r="AI381" s="447"/>
      <c r="AJ381" s="447"/>
      <c r="AK381" s="447"/>
      <c r="AL381" s="447"/>
      <c r="AM381" s="447"/>
      <c r="AN381" s="447"/>
      <c r="AO381" s="447"/>
      <c r="AP381" s="447"/>
      <c r="AQ381" s="447"/>
      <c r="AR381" s="447"/>
      <c r="AS381" s="447"/>
      <c r="AT381" s="447"/>
      <c r="AU381" s="447"/>
      <c r="AV381" s="447"/>
      <c r="AW381" s="447"/>
      <c r="AX381" s="447"/>
      <c r="AY381" s="447"/>
      <c r="AZ381" s="447"/>
      <c r="BA381" s="447"/>
      <c r="BB381" s="447"/>
      <c r="BC381" s="447"/>
      <c r="BD381" s="447"/>
      <c r="BE381" s="447"/>
      <c r="BF381" s="447"/>
      <c r="BG381" s="447"/>
      <c r="BH381" s="447"/>
      <c r="BI381" s="447"/>
      <c r="BJ381" s="447"/>
      <c r="BK381" s="447"/>
      <c r="BL381" s="447"/>
      <c r="BM381" s="448"/>
      <c r="BN381" s="448"/>
    </row>
    <row r="382" spans="1:66" ht="11.25" customHeight="1">
      <c r="A382" s="469"/>
      <c r="B382" s="447"/>
      <c r="C382" s="447"/>
      <c r="D382" s="447"/>
      <c r="E382" s="447"/>
      <c r="F382" s="447"/>
      <c r="G382" s="447"/>
      <c r="H382" s="447"/>
      <c r="I382" s="447"/>
      <c r="J382" s="447"/>
      <c r="K382" s="447"/>
      <c r="L382" s="447"/>
      <c r="M382" s="447"/>
      <c r="N382" s="447"/>
      <c r="O382" s="447"/>
      <c r="P382" s="447"/>
      <c r="Q382" s="447"/>
      <c r="R382" s="447"/>
      <c r="S382" s="447"/>
      <c r="T382" s="447"/>
      <c r="U382" s="447"/>
      <c r="V382" s="447"/>
      <c r="W382" s="447"/>
      <c r="X382" s="447"/>
      <c r="Y382" s="447"/>
      <c r="Z382" s="447"/>
      <c r="AA382" s="447"/>
      <c r="AB382" s="447"/>
      <c r="AC382" s="447"/>
      <c r="AD382" s="447"/>
      <c r="AE382" s="447"/>
      <c r="AF382" s="448"/>
      <c r="AG382" s="448"/>
      <c r="AH382" s="448"/>
      <c r="AI382" s="447"/>
      <c r="AJ382" s="447"/>
      <c r="AK382" s="447"/>
      <c r="AL382" s="447"/>
      <c r="AM382" s="447"/>
      <c r="AN382" s="447"/>
      <c r="AO382" s="447"/>
      <c r="AP382" s="447"/>
      <c r="AQ382" s="447"/>
      <c r="AR382" s="447"/>
      <c r="AS382" s="447"/>
      <c r="AT382" s="447"/>
      <c r="AU382" s="447"/>
      <c r="AV382" s="447"/>
      <c r="AW382" s="447"/>
      <c r="AX382" s="447"/>
      <c r="AY382" s="447"/>
      <c r="AZ382" s="447"/>
      <c r="BA382" s="447"/>
      <c r="BB382" s="447"/>
      <c r="BC382" s="447"/>
      <c r="BD382" s="447"/>
      <c r="BE382" s="447"/>
      <c r="BF382" s="447"/>
      <c r="BG382" s="447"/>
      <c r="BH382" s="447"/>
      <c r="BI382" s="447"/>
      <c r="BJ382" s="447"/>
      <c r="BK382" s="447"/>
      <c r="BL382" s="447"/>
      <c r="BM382" s="448"/>
      <c r="BN382" s="448"/>
    </row>
    <row r="383" spans="1:66" ht="11.25" customHeight="1">
      <c r="A383" s="469"/>
      <c r="B383" s="447"/>
      <c r="C383" s="447"/>
      <c r="D383" s="447"/>
      <c r="E383" s="447"/>
      <c r="F383" s="447"/>
      <c r="G383" s="447"/>
      <c r="H383" s="447"/>
      <c r="I383" s="447"/>
      <c r="J383" s="447"/>
      <c r="K383" s="447"/>
      <c r="L383" s="447"/>
      <c r="M383" s="447"/>
      <c r="N383" s="447"/>
      <c r="O383" s="447"/>
      <c r="P383" s="447"/>
      <c r="Q383" s="447"/>
      <c r="R383" s="447"/>
      <c r="S383" s="447"/>
      <c r="T383" s="447"/>
      <c r="U383" s="447"/>
      <c r="V383" s="447"/>
      <c r="W383" s="447"/>
      <c r="X383" s="447"/>
      <c r="Y383" s="447"/>
      <c r="Z383" s="447"/>
      <c r="AA383" s="447"/>
      <c r="AB383" s="447"/>
      <c r="AC383" s="447"/>
      <c r="AD383" s="447"/>
      <c r="AE383" s="447"/>
      <c r="AF383" s="448"/>
      <c r="AG383" s="448"/>
      <c r="AH383" s="448"/>
      <c r="AI383" s="447"/>
      <c r="AJ383" s="447"/>
      <c r="AK383" s="447"/>
      <c r="AL383" s="447"/>
      <c r="AM383" s="447"/>
      <c r="AN383" s="447"/>
      <c r="AO383" s="447"/>
      <c r="AP383" s="447"/>
      <c r="AQ383" s="447"/>
      <c r="AR383" s="447"/>
      <c r="AS383" s="447"/>
      <c r="AT383" s="447"/>
      <c r="AU383" s="447"/>
      <c r="AV383" s="447"/>
      <c r="AW383" s="447"/>
      <c r="AX383" s="447"/>
      <c r="AY383" s="447"/>
      <c r="AZ383" s="447"/>
      <c r="BA383" s="447"/>
      <c r="BB383" s="447"/>
      <c r="BC383" s="447"/>
      <c r="BD383" s="447"/>
      <c r="BE383" s="447"/>
      <c r="BF383" s="447"/>
      <c r="BG383" s="447"/>
      <c r="BH383" s="447"/>
      <c r="BI383" s="447"/>
      <c r="BJ383" s="447"/>
      <c r="BK383" s="447"/>
      <c r="BL383" s="447"/>
      <c r="BM383" s="448"/>
      <c r="BN383" s="448"/>
    </row>
    <row r="384" spans="1:66" ht="11.25" customHeight="1">
      <c r="A384" s="469"/>
      <c r="B384" s="447"/>
      <c r="C384" s="447"/>
      <c r="D384" s="447"/>
      <c r="E384" s="447"/>
      <c r="F384" s="447"/>
      <c r="G384" s="447"/>
      <c r="H384" s="447"/>
      <c r="I384" s="447"/>
      <c r="J384" s="447"/>
      <c r="K384" s="447"/>
      <c r="L384" s="447"/>
      <c r="M384" s="447"/>
      <c r="N384" s="447"/>
      <c r="O384" s="447"/>
      <c r="P384" s="447"/>
      <c r="Q384" s="447"/>
      <c r="R384" s="447"/>
      <c r="S384" s="447"/>
      <c r="T384" s="447"/>
      <c r="U384" s="447"/>
      <c r="V384" s="447"/>
      <c r="W384" s="447"/>
      <c r="X384" s="447"/>
      <c r="Y384" s="447"/>
      <c r="Z384" s="447"/>
      <c r="AA384" s="447"/>
      <c r="AB384" s="447"/>
      <c r="AC384" s="447"/>
      <c r="AD384" s="447"/>
      <c r="AE384" s="447"/>
      <c r="AF384" s="448"/>
      <c r="AG384" s="448"/>
      <c r="AH384" s="448"/>
      <c r="AI384" s="447"/>
      <c r="AJ384" s="447"/>
      <c r="AK384" s="447"/>
      <c r="AL384" s="447"/>
      <c r="AM384" s="447"/>
      <c r="AN384" s="447"/>
      <c r="AO384" s="447"/>
      <c r="AP384" s="447"/>
      <c r="AQ384" s="447"/>
      <c r="AR384" s="447"/>
      <c r="AS384" s="447"/>
      <c r="AT384" s="447"/>
      <c r="AU384" s="447"/>
      <c r="AV384" s="447"/>
      <c r="AW384" s="447"/>
      <c r="AX384" s="447"/>
      <c r="AY384" s="447"/>
      <c r="AZ384" s="447"/>
      <c r="BA384" s="447"/>
      <c r="BB384" s="447"/>
      <c r="BC384" s="447"/>
      <c r="BD384" s="447"/>
      <c r="BE384" s="447"/>
      <c r="BF384" s="447"/>
      <c r="BG384" s="447"/>
      <c r="BH384" s="447"/>
      <c r="BI384" s="447"/>
      <c r="BJ384" s="447"/>
      <c r="BK384" s="447"/>
      <c r="BL384" s="447"/>
      <c r="BM384" s="448"/>
      <c r="BN384" s="448"/>
    </row>
    <row r="385" spans="1:66" ht="11.25" customHeight="1">
      <c r="A385" s="469"/>
      <c r="B385" s="447"/>
      <c r="C385" s="447"/>
      <c r="D385" s="447"/>
      <c r="E385" s="447"/>
      <c r="F385" s="447"/>
      <c r="G385" s="447"/>
      <c r="H385" s="447"/>
      <c r="I385" s="447"/>
      <c r="J385" s="447"/>
      <c r="K385" s="447"/>
      <c r="L385" s="447"/>
      <c r="M385" s="447"/>
      <c r="N385" s="447"/>
      <c r="O385" s="447"/>
      <c r="P385" s="447"/>
      <c r="Q385" s="447"/>
      <c r="R385" s="447"/>
      <c r="S385" s="447"/>
      <c r="T385" s="447"/>
      <c r="U385" s="447"/>
      <c r="V385" s="447"/>
      <c r="W385" s="447"/>
      <c r="X385" s="447"/>
      <c r="Y385" s="447"/>
      <c r="Z385" s="447"/>
      <c r="AA385" s="447"/>
      <c r="AB385" s="447"/>
      <c r="AC385" s="447"/>
      <c r="AD385" s="447"/>
      <c r="AE385" s="447"/>
      <c r="AF385" s="448"/>
      <c r="AG385" s="448"/>
      <c r="AH385" s="448"/>
      <c r="AI385" s="447"/>
      <c r="AJ385" s="447"/>
      <c r="AK385" s="447"/>
      <c r="AL385" s="447"/>
      <c r="AM385" s="447"/>
      <c r="AN385" s="447"/>
      <c r="AO385" s="447"/>
      <c r="AP385" s="447"/>
      <c r="AQ385" s="447"/>
      <c r="AR385" s="447"/>
      <c r="AS385" s="447"/>
      <c r="AT385" s="447"/>
      <c r="AU385" s="447"/>
      <c r="AV385" s="447"/>
      <c r="AW385" s="447"/>
      <c r="AX385" s="447"/>
      <c r="AY385" s="447"/>
      <c r="AZ385" s="447"/>
      <c r="BA385" s="447"/>
      <c r="BB385" s="447"/>
      <c r="BC385" s="447"/>
      <c r="BD385" s="447"/>
      <c r="BE385" s="447"/>
      <c r="BF385" s="447"/>
      <c r="BG385" s="447"/>
      <c r="BH385" s="447"/>
      <c r="BI385" s="447"/>
      <c r="BJ385" s="447"/>
      <c r="BK385" s="447"/>
      <c r="BL385" s="447"/>
      <c r="BM385" s="448"/>
      <c r="BN385" s="448"/>
    </row>
    <row r="386" spans="1:66" ht="11.25" customHeight="1">
      <c r="A386" s="469"/>
      <c r="B386" s="447"/>
      <c r="C386" s="447"/>
      <c r="D386" s="447"/>
      <c r="E386" s="447"/>
      <c r="F386" s="447"/>
      <c r="G386" s="447"/>
      <c r="H386" s="447"/>
      <c r="I386" s="447"/>
      <c r="J386" s="447"/>
      <c r="K386" s="447"/>
      <c r="L386" s="447"/>
      <c r="M386" s="447"/>
      <c r="N386" s="447"/>
      <c r="O386" s="447"/>
      <c r="P386" s="447"/>
      <c r="Q386" s="447"/>
      <c r="R386" s="447"/>
      <c r="S386" s="447"/>
      <c r="T386" s="447"/>
      <c r="U386" s="447"/>
      <c r="V386" s="447"/>
      <c r="W386" s="447"/>
      <c r="X386" s="447"/>
      <c r="Y386" s="447"/>
      <c r="Z386" s="447"/>
      <c r="AA386" s="447"/>
      <c r="AB386" s="447"/>
      <c r="AC386" s="447"/>
      <c r="AD386" s="447"/>
      <c r="AE386" s="447"/>
      <c r="AF386" s="448"/>
      <c r="AG386" s="448"/>
      <c r="AH386" s="448"/>
      <c r="AI386" s="447"/>
      <c r="AJ386" s="447"/>
      <c r="AK386" s="447"/>
      <c r="AL386" s="447"/>
      <c r="AM386" s="447"/>
      <c r="AN386" s="447"/>
      <c r="AO386" s="447"/>
      <c r="AP386" s="447"/>
      <c r="AQ386" s="447"/>
      <c r="AR386" s="447"/>
      <c r="AS386" s="447"/>
      <c r="AT386" s="447"/>
      <c r="AU386" s="447"/>
      <c r="AV386" s="447"/>
      <c r="AW386" s="447"/>
      <c r="AX386" s="447"/>
      <c r="AY386" s="447"/>
      <c r="AZ386" s="447"/>
      <c r="BA386" s="447"/>
      <c r="BB386" s="447"/>
      <c r="BC386" s="447"/>
      <c r="BD386" s="447"/>
      <c r="BE386" s="447"/>
      <c r="BF386" s="447"/>
      <c r="BG386" s="447"/>
      <c r="BH386" s="447"/>
      <c r="BI386" s="447"/>
      <c r="BJ386" s="447"/>
      <c r="BK386" s="447"/>
      <c r="BL386" s="447"/>
      <c r="BM386" s="448"/>
      <c r="BN386" s="448"/>
    </row>
    <row r="387" spans="1:66" ht="11.25" customHeight="1">
      <c r="A387" s="469"/>
      <c r="B387" s="447"/>
      <c r="C387" s="447"/>
      <c r="D387" s="447"/>
      <c r="E387" s="447"/>
      <c r="F387" s="447"/>
      <c r="G387" s="447"/>
      <c r="H387" s="447"/>
      <c r="I387" s="447"/>
      <c r="J387" s="447"/>
      <c r="K387" s="447"/>
      <c r="L387" s="447"/>
      <c r="M387" s="447"/>
      <c r="N387" s="447"/>
      <c r="O387" s="447"/>
      <c r="P387" s="447"/>
      <c r="Q387" s="447"/>
      <c r="R387" s="447"/>
      <c r="S387" s="447"/>
      <c r="T387" s="447"/>
      <c r="U387" s="447"/>
      <c r="V387" s="447"/>
      <c r="W387" s="447"/>
      <c r="X387" s="447"/>
      <c r="Y387" s="447"/>
      <c r="Z387" s="447"/>
      <c r="AA387" s="447"/>
      <c r="AB387" s="447"/>
      <c r="AC387" s="447"/>
      <c r="AD387" s="447"/>
      <c r="AE387" s="447"/>
      <c r="AF387" s="448"/>
      <c r="AG387" s="448"/>
      <c r="AH387" s="448"/>
      <c r="AI387" s="447"/>
      <c r="AJ387" s="447"/>
      <c r="AK387" s="447"/>
      <c r="AL387" s="447"/>
      <c r="AM387" s="447"/>
      <c r="AN387" s="447"/>
      <c r="AO387" s="447"/>
      <c r="AP387" s="447"/>
      <c r="AQ387" s="447"/>
      <c r="AR387" s="447"/>
      <c r="AS387" s="447"/>
      <c r="AT387" s="447"/>
      <c r="AU387" s="447"/>
      <c r="AV387" s="447"/>
      <c r="AW387" s="447"/>
      <c r="AX387" s="447"/>
      <c r="AY387" s="447"/>
      <c r="AZ387" s="447"/>
      <c r="BA387" s="447"/>
      <c r="BB387" s="447"/>
      <c r="BC387" s="447"/>
      <c r="BD387" s="447"/>
      <c r="BE387" s="447"/>
      <c r="BF387" s="447"/>
      <c r="BG387" s="447"/>
      <c r="BH387" s="447"/>
      <c r="BI387" s="447"/>
      <c r="BJ387" s="447"/>
      <c r="BK387" s="447"/>
      <c r="BL387" s="447"/>
      <c r="BM387" s="448"/>
      <c r="BN387" s="448"/>
    </row>
    <row r="388" spans="1:66" ht="11.25" customHeight="1">
      <c r="A388" s="469"/>
      <c r="B388" s="447"/>
      <c r="C388" s="447"/>
      <c r="D388" s="447"/>
      <c r="E388" s="447"/>
      <c r="F388" s="447"/>
      <c r="G388" s="447"/>
      <c r="H388" s="447"/>
      <c r="I388" s="447"/>
      <c r="J388" s="447"/>
      <c r="K388" s="447"/>
      <c r="L388" s="447"/>
      <c r="M388" s="447"/>
      <c r="N388" s="447"/>
      <c r="O388" s="447"/>
      <c r="P388" s="447"/>
      <c r="Q388" s="447"/>
      <c r="R388" s="447"/>
      <c r="S388" s="447"/>
      <c r="T388" s="447"/>
      <c r="U388" s="447"/>
      <c r="V388" s="447"/>
      <c r="W388" s="447"/>
      <c r="X388" s="447"/>
      <c r="Y388" s="447"/>
      <c r="Z388" s="447"/>
      <c r="AA388" s="447"/>
      <c r="AB388" s="447"/>
      <c r="AC388" s="447"/>
      <c r="AD388" s="447"/>
      <c r="AE388" s="447"/>
      <c r="AF388" s="448"/>
      <c r="AG388" s="448"/>
      <c r="AH388" s="448"/>
      <c r="AI388" s="447"/>
      <c r="AJ388" s="447"/>
      <c r="AK388" s="447"/>
      <c r="AL388" s="447"/>
      <c r="AM388" s="447"/>
      <c r="AN388" s="447"/>
      <c r="AO388" s="447"/>
      <c r="AP388" s="447"/>
      <c r="AQ388" s="447"/>
      <c r="AR388" s="447"/>
      <c r="AS388" s="447"/>
      <c r="AT388" s="447"/>
      <c r="AU388" s="447"/>
      <c r="AV388" s="447"/>
      <c r="AW388" s="447"/>
      <c r="AX388" s="447"/>
      <c r="AY388" s="447"/>
      <c r="AZ388" s="447"/>
      <c r="BA388" s="447"/>
      <c r="BB388" s="447"/>
      <c r="BC388" s="447"/>
      <c r="BD388" s="447"/>
      <c r="BE388" s="447"/>
      <c r="BF388" s="447"/>
      <c r="BG388" s="447"/>
      <c r="BH388" s="447"/>
      <c r="BI388" s="447"/>
      <c r="BJ388" s="447"/>
      <c r="BK388" s="447"/>
      <c r="BL388" s="447"/>
      <c r="BM388" s="448"/>
      <c r="BN388" s="448"/>
    </row>
    <row r="389" spans="1:66" ht="11.25" customHeight="1">
      <c r="A389" s="469"/>
      <c r="B389" s="447"/>
      <c r="C389" s="447"/>
      <c r="D389" s="447"/>
      <c r="E389" s="447"/>
      <c r="F389" s="447"/>
      <c r="G389" s="447"/>
      <c r="H389" s="447"/>
      <c r="I389" s="447"/>
      <c r="J389" s="447"/>
      <c r="K389" s="447"/>
      <c r="L389" s="447"/>
      <c r="M389" s="447"/>
      <c r="N389" s="447"/>
      <c r="O389" s="447"/>
      <c r="P389" s="447"/>
      <c r="Q389" s="447"/>
      <c r="R389" s="447"/>
      <c r="S389" s="447"/>
      <c r="T389" s="447"/>
      <c r="U389" s="447"/>
      <c r="V389" s="447"/>
      <c r="W389" s="447"/>
      <c r="X389" s="447"/>
      <c r="Y389" s="447"/>
      <c r="Z389" s="447"/>
      <c r="AA389" s="447"/>
      <c r="AB389" s="447"/>
      <c r="AC389" s="447"/>
      <c r="AD389" s="447"/>
      <c r="AE389" s="447"/>
      <c r="AF389" s="448"/>
      <c r="AG389" s="448"/>
      <c r="AH389" s="448"/>
      <c r="AI389" s="447"/>
      <c r="AJ389" s="447"/>
      <c r="AK389" s="447"/>
      <c r="AL389" s="447"/>
      <c r="AM389" s="447"/>
      <c r="AN389" s="447"/>
      <c r="AO389" s="447"/>
      <c r="AP389" s="447"/>
      <c r="AQ389" s="447"/>
      <c r="AR389" s="447"/>
      <c r="AS389" s="447"/>
      <c r="AT389" s="447"/>
      <c r="AU389" s="447"/>
      <c r="AV389" s="447"/>
      <c r="AW389" s="447"/>
      <c r="AX389" s="447"/>
      <c r="AY389" s="447"/>
      <c r="AZ389" s="447"/>
      <c r="BA389" s="447"/>
      <c r="BB389" s="447"/>
      <c r="BC389" s="447"/>
      <c r="BD389" s="447"/>
      <c r="BE389" s="447"/>
      <c r="BF389" s="447"/>
      <c r="BG389" s="447"/>
      <c r="BH389" s="447"/>
      <c r="BI389" s="447"/>
      <c r="BJ389" s="447"/>
      <c r="BK389" s="447"/>
      <c r="BL389" s="447"/>
      <c r="BM389" s="448"/>
      <c r="BN389" s="448"/>
    </row>
    <row r="390" spans="1:66" ht="11.25" customHeight="1">
      <c r="A390" s="469"/>
      <c r="B390" s="447"/>
      <c r="C390" s="447"/>
      <c r="D390" s="447"/>
      <c r="E390" s="447"/>
      <c r="F390" s="447"/>
      <c r="G390" s="447"/>
      <c r="H390" s="447"/>
      <c r="I390" s="447"/>
      <c r="J390" s="447"/>
      <c r="K390" s="447"/>
      <c r="L390" s="447"/>
      <c r="M390" s="447"/>
      <c r="N390" s="447"/>
      <c r="O390" s="447"/>
      <c r="P390" s="447"/>
      <c r="Q390" s="447"/>
      <c r="R390" s="447"/>
      <c r="S390" s="447"/>
      <c r="T390" s="447"/>
      <c r="U390" s="447"/>
      <c r="V390" s="447"/>
      <c r="W390" s="447"/>
      <c r="X390" s="447"/>
      <c r="Y390" s="447"/>
      <c r="Z390" s="447"/>
      <c r="AA390" s="447"/>
      <c r="AB390" s="447"/>
      <c r="AC390" s="447"/>
      <c r="AD390" s="447"/>
      <c r="AE390" s="447"/>
      <c r="AF390" s="448"/>
      <c r="AG390" s="448"/>
      <c r="AH390" s="448"/>
      <c r="AI390" s="447"/>
      <c r="AJ390" s="447"/>
      <c r="AK390" s="447"/>
      <c r="AL390" s="447"/>
      <c r="AM390" s="447"/>
      <c r="AN390" s="447"/>
      <c r="AO390" s="447"/>
      <c r="AP390" s="447"/>
      <c r="AQ390" s="447"/>
      <c r="AR390" s="447"/>
      <c r="AS390" s="447"/>
      <c r="AT390" s="447"/>
      <c r="AU390" s="447"/>
      <c r="AV390" s="447"/>
      <c r="AW390" s="447"/>
      <c r="AX390" s="447"/>
      <c r="AY390" s="447"/>
      <c r="AZ390" s="447"/>
      <c r="BA390" s="447"/>
      <c r="BB390" s="447"/>
      <c r="BC390" s="447"/>
      <c r="BD390" s="447"/>
      <c r="BE390" s="447"/>
      <c r="BF390" s="447"/>
      <c r="BG390" s="447"/>
      <c r="BH390" s="447"/>
      <c r="BI390" s="447"/>
      <c r="BJ390" s="447"/>
      <c r="BK390" s="447"/>
      <c r="BL390" s="447"/>
      <c r="BM390" s="448"/>
      <c r="BN390" s="448"/>
    </row>
    <row r="391" spans="1:66" ht="11.25" customHeight="1">
      <c r="A391" s="469"/>
      <c r="B391" s="447"/>
      <c r="C391" s="447"/>
      <c r="D391" s="447"/>
      <c r="E391" s="447"/>
      <c r="F391" s="447"/>
      <c r="G391" s="447"/>
      <c r="H391" s="447"/>
      <c r="I391" s="447"/>
      <c r="J391" s="447"/>
      <c r="K391" s="447"/>
      <c r="L391" s="447"/>
      <c r="M391" s="447"/>
      <c r="N391" s="447"/>
      <c r="O391" s="447"/>
      <c r="P391" s="447"/>
      <c r="Q391" s="447"/>
      <c r="R391" s="447"/>
      <c r="S391" s="447"/>
      <c r="T391" s="447"/>
      <c r="U391" s="447"/>
      <c r="V391" s="447"/>
      <c r="W391" s="447"/>
      <c r="X391" s="447"/>
      <c r="Y391" s="447"/>
      <c r="Z391" s="447"/>
      <c r="AA391" s="447"/>
      <c r="AB391" s="447"/>
      <c r="AC391" s="447"/>
      <c r="AD391" s="447"/>
      <c r="AE391" s="447"/>
      <c r="AF391" s="448"/>
      <c r="AG391" s="448"/>
      <c r="AH391" s="448"/>
      <c r="AI391" s="447"/>
      <c r="AJ391" s="447"/>
      <c r="AK391" s="447"/>
      <c r="AL391" s="447"/>
      <c r="AM391" s="447"/>
      <c r="AN391" s="447"/>
      <c r="AO391" s="447"/>
      <c r="AP391" s="447"/>
      <c r="AQ391" s="447"/>
      <c r="AR391" s="447"/>
      <c r="AS391" s="447"/>
      <c r="AT391" s="447"/>
      <c r="AU391" s="447"/>
      <c r="AV391" s="447"/>
      <c r="AW391" s="447"/>
      <c r="AX391" s="447"/>
      <c r="AY391" s="447"/>
      <c r="AZ391" s="447"/>
      <c r="BA391" s="447"/>
      <c r="BB391" s="447"/>
      <c r="BC391" s="447"/>
      <c r="BD391" s="447"/>
      <c r="BE391" s="447"/>
      <c r="BF391" s="447"/>
      <c r="BG391" s="447"/>
      <c r="BH391" s="447"/>
      <c r="BI391" s="447"/>
      <c r="BJ391" s="447"/>
      <c r="BK391" s="447"/>
      <c r="BL391" s="447"/>
      <c r="BM391" s="448"/>
      <c r="BN391" s="448"/>
    </row>
    <row r="392" spans="1:66" ht="11.25" customHeight="1">
      <c r="A392" s="469"/>
      <c r="B392" s="447"/>
      <c r="C392" s="447"/>
      <c r="D392" s="447"/>
      <c r="E392" s="447"/>
      <c r="F392" s="447"/>
      <c r="G392" s="447"/>
      <c r="H392" s="447"/>
      <c r="I392" s="447"/>
      <c r="J392" s="447"/>
      <c r="K392" s="447"/>
      <c r="L392" s="447"/>
      <c r="M392" s="447"/>
      <c r="N392" s="447"/>
      <c r="O392" s="447"/>
      <c r="P392" s="447"/>
      <c r="Q392" s="447"/>
      <c r="R392" s="447"/>
      <c r="S392" s="447"/>
      <c r="T392" s="447"/>
      <c r="U392" s="447"/>
      <c r="V392" s="447"/>
      <c r="W392" s="447"/>
      <c r="X392" s="447"/>
      <c r="Y392" s="447"/>
      <c r="Z392" s="447"/>
      <c r="AA392" s="447"/>
      <c r="AB392" s="447"/>
      <c r="AC392" s="447"/>
      <c r="AD392" s="447"/>
      <c r="AE392" s="447"/>
      <c r="AF392" s="448"/>
      <c r="AG392" s="448"/>
      <c r="AH392" s="448"/>
      <c r="AI392" s="447"/>
      <c r="AJ392" s="447"/>
      <c r="AK392" s="447"/>
      <c r="AL392" s="447"/>
      <c r="AM392" s="447"/>
      <c r="AN392" s="447"/>
      <c r="AO392" s="447"/>
      <c r="AP392" s="447"/>
      <c r="AQ392" s="447"/>
      <c r="AR392" s="447"/>
      <c r="AS392" s="447"/>
      <c r="AT392" s="447"/>
      <c r="AU392" s="447"/>
      <c r="AV392" s="447"/>
      <c r="AW392" s="447"/>
      <c r="AX392" s="447"/>
      <c r="AY392" s="447"/>
      <c r="AZ392" s="447"/>
      <c r="BA392" s="447"/>
      <c r="BB392" s="447"/>
      <c r="BC392" s="447"/>
      <c r="BD392" s="447"/>
      <c r="BE392" s="447"/>
      <c r="BF392" s="447"/>
      <c r="BG392" s="447"/>
      <c r="BH392" s="447"/>
      <c r="BI392" s="447"/>
      <c r="BJ392" s="447"/>
      <c r="BK392" s="447"/>
      <c r="BL392" s="447"/>
      <c r="BM392" s="448"/>
      <c r="BN392" s="448"/>
    </row>
    <row r="393" spans="1:66" ht="11.25" customHeight="1">
      <c r="A393" s="469"/>
      <c r="B393" s="447"/>
      <c r="C393" s="447"/>
      <c r="D393" s="447"/>
      <c r="E393" s="447"/>
      <c r="F393" s="447"/>
      <c r="G393" s="447"/>
      <c r="H393" s="447"/>
      <c r="I393" s="447"/>
      <c r="J393" s="447"/>
      <c r="K393" s="447"/>
      <c r="L393" s="447"/>
      <c r="M393" s="447"/>
      <c r="N393" s="447"/>
      <c r="O393" s="447"/>
      <c r="P393" s="447"/>
      <c r="Q393" s="447"/>
      <c r="R393" s="447"/>
      <c r="S393" s="447"/>
      <c r="T393" s="447"/>
      <c r="U393" s="447"/>
      <c r="V393" s="447"/>
      <c r="W393" s="447"/>
      <c r="X393" s="447"/>
      <c r="Y393" s="447"/>
      <c r="Z393" s="447"/>
      <c r="AA393" s="447"/>
      <c r="AB393" s="447"/>
      <c r="AC393" s="447"/>
      <c r="AD393" s="447"/>
      <c r="AE393" s="447"/>
      <c r="AF393" s="448"/>
      <c r="AG393" s="448"/>
      <c r="AH393" s="448"/>
      <c r="AI393" s="447"/>
      <c r="AJ393" s="447"/>
      <c r="AK393" s="447"/>
      <c r="AL393" s="447"/>
      <c r="AM393" s="447"/>
      <c r="AN393" s="447"/>
      <c r="AO393" s="447"/>
      <c r="AP393" s="447"/>
      <c r="AQ393" s="447"/>
      <c r="AR393" s="447"/>
      <c r="AS393" s="447"/>
      <c r="AT393" s="447"/>
      <c r="AU393" s="447"/>
      <c r="AV393" s="447"/>
      <c r="AW393" s="447"/>
      <c r="AX393" s="447"/>
      <c r="AY393" s="447"/>
      <c r="AZ393" s="447"/>
      <c r="BA393" s="447"/>
      <c r="BB393" s="447"/>
      <c r="BC393" s="447"/>
      <c r="BD393" s="447"/>
      <c r="BE393" s="447"/>
      <c r="BF393" s="447"/>
      <c r="BG393" s="447"/>
      <c r="BH393" s="447"/>
      <c r="BI393" s="447"/>
      <c r="BJ393" s="447"/>
      <c r="BK393" s="447"/>
      <c r="BL393" s="447"/>
      <c r="BM393" s="448"/>
      <c r="BN393" s="448"/>
    </row>
    <row r="394" spans="1:66" ht="11.25" customHeight="1">
      <c r="A394" s="469"/>
      <c r="B394" s="447"/>
      <c r="C394" s="447"/>
      <c r="D394" s="447"/>
      <c r="E394" s="447"/>
      <c r="F394" s="447"/>
      <c r="G394" s="447"/>
      <c r="H394" s="447"/>
      <c r="I394" s="447"/>
      <c r="J394" s="447"/>
      <c r="K394" s="447"/>
      <c r="L394" s="447"/>
      <c r="M394" s="447"/>
      <c r="N394" s="447"/>
      <c r="O394" s="447"/>
      <c r="P394" s="447"/>
      <c r="Q394" s="447"/>
      <c r="R394" s="447"/>
      <c r="S394" s="447"/>
      <c r="T394" s="447"/>
      <c r="U394" s="447"/>
      <c r="V394" s="447"/>
      <c r="W394" s="447"/>
      <c r="X394" s="447"/>
      <c r="Y394" s="447"/>
      <c r="Z394" s="447"/>
      <c r="AA394" s="447"/>
      <c r="AB394" s="447"/>
      <c r="AC394" s="447"/>
      <c r="AD394" s="447"/>
      <c r="AE394" s="447"/>
      <c r="AF394" s="448"/>
      <c r="AG394" s="448"/>
      <c r="AH394" s="448"/>
      <c r="AI394" s="447"/>
      <c r="AJ394" s="447"/>
      <c r="AK394" s="447"/>
      <c r="AL394" s="447"/>
      <c r="AM394" s="447"/>
      <c r="AN394" s="447"/>
      <c r="AO394" s="447"/>
      <c r="AP394" s="447"/>
      <c r="AQ394" s="447"/>
      <c r="AR394" s="447"/>
      <c r="AS394" s="447"/>
      <c r="AT394" s="447"/>
      <c r="AU394" s="447"/>
      <c r="AV394" s="447"/>
      <c r="AW394" s="447"/>
      <c r="AX394" s="447"/>
      <c r="AY394" s="447"/>
      <c r="AZ394" s="447"/>
      <c r="BA394" s="447"/>
      <c r="BB394" s="447"/>
      <c r="BC394" s="447"/>
      <c r="BD394" s="447"/>
      <c r="BE394" s="447"/>
      <c r="BF394" s="447"/>
      <c r="BG394" s="447"/>
      <c r="BH394" s="447"/>
      <c r="BI394" s="447"/>
      <c r="BJ394" s="447"/>
      <c r="BK394" s="447"/>
      <c r="BL394" s="447"/>
      <c r="BM394" s="448"/>
      <c r="BN394" s="448"/>
    </row>
    <row r="395" spans="1:66" ht="11.25" customHeight="1">
      <c r="A395" s="469"/>
      <c r="B395" s="447"/>
      <c r="C395" s="447"/>
      <c r="D395" s="447"/>
      <c r="E395" s="447"/>
      <c r="F395" s="447"/>
      <c r="G395" s="447"/>
      <c r="H395" s="447"/>
      <c r="I395" s="447"/>
      <c r="J395" s="447"/>
      <c r="K395" s="447"/>
      <c r="L395" s="447"/>
      <c r="M395" s="447"/>
      <c r="N395" s="447"/>
      <c r="O395" s="447"/>
      <c r="P395" s="447"/>
      <c r="Q395" s="447"/>
      <c r="R395" s="447"/>
      <c r="S395" s="447"/>
      <c r="T395" s="447"/>
      <c r="U395" s="447"/>
      <c r="V395" s="447"/>
      <c r="W395" s="447"/>
      <c r="X395" s="447"/>
      <c r="Y395" s="447"/>
      <c r="Z395" s="447"/>
      <c r="AA395" s="447"/>
      <c r="AB395" s="447"/>
      <c r="AC395" s="447"/>
      <c r="AD395" s="447"/>
      <c r="AE395" s="447"/>
      <c r="AF395" s="448"/>
      <c r="AG395" s="448"/>
      <c r="AH395" s="448"/>
      <c r="AI395" s="447"/>
      <c r="AJ395" s="447"/>
      <c r="AK395" s="447"/>
      <c r="AL395" s="447"/>
      <c r="AM395" s="447"/>
      <c r="AN395" s="447"/>
      <c r="AO395" s="447"/>
      <c r="AP395" s="447"/>
      <c r="AQ395" s="447"/>
      <c r="AR395" s="447"/>
      <c r="AS395" s="447"/>
      <c r="AT395" s="447"/>
      <c r="AU395" s="447"/>
      <c r="AV395" s="447"/>
      <c r="AW395" s="447"/>
      <c r="AX395" s="447"/>
      <c r="AY395" s="447"/>
      <c r="AZ395" s="447"/>
      <c r="BA395" s="447"/>
      <c r="BB395" s="447"/>
      <c r="BC395" s="447"/>
      <c r="BD395" s="447"/>
      <c r="BE395" s="447"/>
      <c r="BF395" s="447"/>
      <c r="BG395" s="447"/>
      <c r="BH395" s="447"/>
      <c r="BI395" s="447"/>
      <c r="BJ395" s="447"/>
      <c r="BK395" s="447"/>
      <c r="BL395" s="447"/>
      <c r="BM395" s="448"/>
      <c r="BN395" s="448"/>
    </row>
    <row r="396" spans="1:66" ht="11.25" customHeight="1">
      <c r="A396" s="469"/>
      <c r="B396" s="447"/>
      <c r="C396" s="447"/>
      <c r="D396" s="447"/>
      <c r="E396" s="447"/>
      <c r="F396" s="447"/>
      <c r="G396" s="447"/>
      <c r="H396" s="447"/>
      <c r="I396" s="447"/>
      <c r="J396" s="447"/>
      <c r="K396" s="447"/>
      <c r="L396" s="447"/>
      <c r="M396" s="447"/>
      <c r="N396" s="447"/>
      <c r="O396" s="447"/>
      <c r="P396" s="447"/>
      <c r="Q396" s="447"/>
      <c r="R396" s="447"/>
      <c r="S396" s="447"/>
      <c r="T396" s="447"/>
      <c r="U396" s="447"/>
      <c r="V396" s="447"/>
      <c r="W396" s="447"/>
      <c r="X396" s="447"/>
      <c r="Y396" s="447"/>
      <c r="Z396" s="447"/>
      <c r="AA396" s="447"/>
      <c r="AB396" s="447"/>
      <c r="AC396" s="447"/>
      <c r="AD396" s="447"/>
      <c r="AE396" s="447"/>
      <c r="AF396" s="448"/>
      <c r="AG396" s="448"/>
      <c r="AH396" s="448"/>
      <c r="AI396" s="447"/>
      <c r="AJ396" s="447"/>
      <c r="AK396" s="447"/>
      <c r="AL396" s="447"/>
      <c r="AM396" s="447"/>
      <c r="AN396" s="447"/>
      <c r="AO396" s="447"/>
      <c r="AP396" s="447"/>
      <c r="AQ396" s="447"/>
      <c r="AR396" s="447"/>
      <c r="AS396" s="447"/>
      <c r="AT396" s="447"/>
      <c r="AU396" s="447"/>
      <c r="AV396" s="447"/>
      <c r="AW396" s="447"/>
      <c r="AX396" s="447"/>
      <c r="AY396" s="447"/>
      <c r="AZ396" s="447"/>
      <c r="BA396" s="447"/>
      <c r="BB396" s="447"/>
      <c r="BC396" s="447"/>
      <c r="BD396" s="447"/>
      <c r="BE396" s="447"/>
      <c r="BF396" s="447"/>
      <c r="BG396" s="447"/>
      <c r="BH396" s="447"/>
      <c r="BI396" s="447"/>
      <c r="BJ396" s="447"/>
      <c r="BK396" s="447"/>
      <c r="BL396" s="447"/>
      <c r="BM396" s="448"/>
      <c r="BN396" s="448"/>
    </row>
    <row r="397" spans="1:66" ht="11.25" customHeight="1">
      <c r="A397" s="469"/>
      <c r="B397" s="447"/>
      <c r="C397" s="447"/>
      <c r="D397" s="447"/>
      <c r="E397" s="447"/>
      <c r="F397" s="447"/>
      <c r="G397" s="447"/>
      <c r="H397" s="447"/>
      <c r="I397" s="447"/>
      <c r="J397" s="447"/>
      <c r="K397" s="447"/>
      <c r="L397" s="447"/>
      <c r="M397" s="447"/>
      <c r="N397" s="447"/>
      <c r="O397" s="447"/>
      <c r="P397" s="447"/>
      <c r="Q397" s="447"/>
      <c r="R397" s="447"/>
      <c r="S397" s="447"/>
      <c r="T397" s="447"/>
      <c r="U397" s="447"/>
      <c r="V397" s="447"/>
      <c r="W397" s="447"/>
      <c r="X397" s="447"/>
      <c r="Y397" s="447"/>
      <c r="Z397" s="447"/>
      <c r="AA397" s="447"/>
      <c r="AB397" s="447"/>
      <c r="AC397" s="447"/>
      <c r="AD397" s="447"/>
      <c r="AE397" s="447"/>
      <c r="AF397" s="448"/>
      <c r="AG397" s="448"/>
      <c r="AH397" s="448"/>
      <c r="AI397" s="447"/>
      <c r="AJ397" s="447"/>
      <c r="AK397" s="447"/>
      <c r="AL397" s="447"/>
      <c r="AM397" s="447"/>
      <c r="AN397" s="447"/>
      <c r="AO397" s="447"/>
      <c r="AP397" s="447"/>
      <c r="AQ397" s="447"/>
      <c r="AR397" s="447"/>
      <c r="AS397" s="447"/>
      <c r="AT397" s="447"/>
      <c r="AU397" s="447"/>
      <c r="AV397" s="447"/>
      <c r="AW397" s="447"/>
      <c r="AX397" s="447"/>
      <c r="AY397" s="447"/>
      <c r="AZ397" s="447"/>
      <c r="BA397" s="447"/>
      <c r="BB397" s="447"/>
      <c r="BC397" s="447"/>
      <c r="BD397" s="447"/>
      <c r="BE397" s="447"/>
      <c r="BF397" s="447"/>
      <c r="BG397" s="447"/>
      <c r="BH397" s="447"/>
      <c r="BI397" s="447"/>
      <c r="BJ397" s="447"/>
      <c r="BK397" s="447"/>
      <c r="BL397" s="447"/>
      <c r="BM397" s="448"/>
      <c r="BN397" s="448"/>
    </row>
    <row r="398" spans="1:66" ht="11.25" customHeight="1">
      <c r="A398" s="469"/>
      <c r="B398" s="447"/>
      <c r="C398" s="447"/>
      <c r="D398" s="447"/>
      <c r="E398" s="447"/>
      <c r="F398" s="447"/>
      <c r="G398" s="447"/>
      <c r="H398" s="447"/>
      <c r="I398" s="447"/>
      <c r="J398" s="447"/>
      <c r="K398" s="447"/>
      <c r="L398" s="447"/>
      <c r="M398" s="447"/>
      <c r="N398" s="447"/>
      <c r="O398" s="447"/>
      <c r="P398" s="447"/>
      <c r="Q398" s="447"/>
      <c r="R398" s="447"/>
      <c r="S398" s="447"/>
      <c r="T398" s="447"/>
      <c r="U398" s="447"/>
      <c r="V398" s="447"/>
      <c r="W398" s="447"/>
      <c r="X398" s="447"/>
      <c r="Y398" s="447"/>
      <c r="Z398" s="447"/>
      <c r="AA398" s="447"/>
      <c r="AB398" s="447"/>
      <c r="AC398" s="447"/>
      <c r="AD398" s="447"/>
      <c r="AE398" s="447"/>
      <c r="AF398" s="448"/>
      <c r="AG398" s="448"/>
      <c r="AH398" s="448"/>
      <c r="AI398" s="447"/>
      <c r="AJ398" s="447"/>
      <c r="AK398" s="447"/>
      <c r="AL398" s="447"/>
      <c r="AM398" s="447"/>
      <c r="AN398" s="447"/>
      <c r="AO398" s="447"/>
      <c r="AP398" s="447"/>
      <c r="AQ398" s="447"/>
      <c r="AR398" s="447"/>
      <c r="AS398" s="447"/>
      <c r="AT398" s="447"/>
      <c r="AU398" s="447"/>
      <c r="AV398" s="447"/>
      <c r="AW398" s="447"/>
      <c r="AX398" s="447"/>
      <c r="AY398" s="447"/>
      <c r="AZ398" s="447"/>
      <c r="BA398" s="447"/>
      <c r="BB398" s="447"/>
      <c r="BC398" s="447"/>
      <c r="BD398" s="447"/>
      <c r="BE398" s="447"/>
      <c r="BF398" s="447"/>
      <c r="BG398" s="447"/>
      <c r="BH398" s="447"/>
      <c r="BI398" s="447"/>
      <c r="BJ398" s="447"/>
      <c r="BK398" s="447"/>
      <c r="BL398" s="447"/>
      <c r="BM398" s="448"/>
      <c r="BN398" s="448"/>
    </row>
    <row r="399" spans="1:66" ht="11.25" customHeight="1">
      <c r="A399" s="469"/>
      <c r="B399" s="447"/>
      <c r="C399" s="447"/>
      <c r="D399" s="447"/>
      <c r="E399" s="447"/>
      <c r="F399" s="447"/>
      <c r="G399" s="447"/>
      <c r="H399" s="447"/>
      <c r="I399" s="447"/>
      <c r="J399" s="447"/>
      <c r="K399" s="447"/>
      <c r="L399" s="447"/>
      <c r="M399" s="447"/>
      <c r="N399" s="447"/>
      <c r="O399" s="447"/>
      <c r="P399" s="447"/>
      <c r="Q399" s="447"/>
      <c r="R399" s="447"/>
      <c r="S399" s="447"/>
      <c r="T399" s="447"/>
      <c r="U399" s="447"/>
      <c r="V399" s="447"/>
      <c r="W399" s="447"/>
      <c r="X399" s="447"/>
      <c r="Y399" s="447"/>
      <c r="Z399" s="447"/>
      <c r="AA399" s="447"/>
      <c r="AB399" s="447"/>
      <c r="AC399" s="447"/>
      <c r="AD399" s="447"/>
      <c r="AE399" s="447"/>
      <c r="AF399" s="448"/>
      <c r="AG399" s="448"/>
      <c r="AH399" s="448"/>
      <c r="AI399" s="447"/>
      <c r="AJ399" s="447"/>
      <c r="AK399" s="447"/>
      <c r="AL399" s="447"/>
      <c r="AM399" s="447"/>
      <c r="AN399" s="447"/>
      <c r="AO399" s="447"/>
      <c r="AP399" s="447"/>
      <c r="AQ399" s="447"/>
      <c r="AR399" s="447"/>
      <c r="AS399" s="447"/>
      <c r="AT399" s="447"/>
      <c r="AU399" s="447"/>
      <c r="AV399" s="447"/>
      <c r="AW399" s="447"/>
      <c r="AX399" s="447"/>
      <c r="AY399" s="447"/>
      <c r="AZ399" s="447"/>
      <c r="BA399" s="447"/>
      <c r="BB399" s="447"/>
      <c r="BC399" s="447"/>
      <c r="BD399" s="447"/>
      <c r="BE399" s="447"/>
      <c r="BF399" s="447"/>
      <c r="BG399" s="447"/>
      <c r="BH399" s="447"/>
      <c r="BI399" s="447"/>
      <c r="BJ399" s="447"/>
      <c r="BK399" s="447"/>
      <c r="BL399" s="447"/>
      <c r="BM399" s="448"/>
      <c r="BN399" s="448"/>
    </row>
    <row r="400" spans="1:66" ht="11.25" customHeight="1">
      <c r="A400" s="469"/>
      <c r="B400" s="447"/>
      <c r="C400" s="447"/>
      <c r="D400" s="447"/>
      <c r="E400" s="447"/>
      <c r="F400" s="447"/>
      <c r="G400" s="447"/>
      <c r="H400" s="447"/>
      <c r="I400" s="447"/>
      <c r="J400" s="447"/>
      <c r="K400" s="447"/>
      <c r="L400" s="447"/>
      <c r="M400" s="447"/>
      <c r="N400" s="447"/>
      <c r="O400" s="447"/>
      <c r="P400" s="447"/>
      <c r="Q400" s="447"/>
      <c r="R400" s="447"/>
      <c r="S400" s="447"/>
      <c r="T400" s="447"/>
      <c r="U400" s="447"/>
      <c r="V400" s="447"/>
      <c r="W400" s="447"/>
      <c r="X400" s="447"/>
      <c r="Y400" s="447"/>
      <c r="Z400" s="447"/>
      <c r="AA400" s="447"/>
      <c r="AB400" s="447"/>
      <c r="AC400" s="447"/>
      <c r="AD400" s="447"/>
      <c r="AE400" s="447"/>
      <c r="AF400" s="448"/>
      <c r="AG400" s="448"/>
      <c r="AH400" s="448"/>
      <c r="AI400" s="447"/>
      <c r="AJ400" s="447"/>
      <c r="AK400" s="447"/>
      <c r="AL400" s="447"/>
      <c r="AM400" s="447"/>
      <c r="AN400" s="447"/>
      <c r="AO400" s="447"/>
      <c r="AP400" s="447"/>
      <c r="AQ400" s="447"/>
      <c r="AR400" s="447"/>
      <c r="AS400" s="447"/>
      <c r="AT400" s="447"/>
      <c r="AU400" s="447"/>
      <c r="AV400" s="447"/>
      <c r="AW400" s="447"/>
      <c r="AX400" s="447"/>
      <c r="AY400" s="447"/>
      <c r="AZ400" s="447"/>
      <c r="BA400" s="447"/>
      <c r="BB400" s="447"/>
      <c r="BC400" s="447"/>
      <c r="BD400" s="447"/>
      <c r="BE400" s="447"/>
      <c r="BF400" s="447"/>
      <c r="BG400" s="447"/>
      <c r="BH400" s="447"/>
      <c r="BI400" s="447"/>
      <c r="BJ400" s="447"/>
      <c r="BK400" s="447"/>
      <c r="BL400" s="447"/>
      <c r="BM400" s="448"/>
      <c r="BN400" s="448"/>
    </row>
    <row r="401" spans="1:66" ht="11.25" customHeight="1">
      <c r="A401" s="469"/>
      <c r="B401" s="447"/>
      <c r="C401" s="447"/>
      <c r="D401" s="447"/>
      <c r="E401" s="447"/>
      <c r="F401" s="447"/>
      <c r="G401" s="447"/>
      <c r="H401" s="447"/>
      <c r="I401" s="447"/>
      <c r="J401" s="447"/>
      <c r="K401" s="447"/>
      <c r="L401" s="447"/>
      <c r="M401" s="447"/>
      <c r="N401" s="447"/>
      <c r="O401" s="447"/>
      <c r="P401" s="447"/>
      <c r="Q401" s="447"/>
      <c r="R401" s="447"/>
      <c r="S401" s="447"/>
      <c r="T401" s="447"/>
      <c r="U401" s="447"/>
      <c r="V401" s="447"/>
      <c r="W401" s="447"/>
      <c r="X401" s="447"/>
      <c r="Y401" s="447"/>
      <c r="Z401" s="447"/>
      <c r="AA401" s="447"/>
      <c r="AB401" s="447"/>
      <c r="AC401" s="447"/>
      <c r="AD401" s="447"/>
      <c r="AE401" s="447"/>
      <c r="AF401" s="448"/>
      <c r="AG401" s="448"/>
      <c r="AH401" s="448"/>
      <c r="AI401" s="447"/>
      <c r="AJ401" s="447"/>
      <c r="AK401" s="447"/>
      <c r="AL401" s="447"/>
      <c r="AM401" s="447"/>
      <c r="AN401" s="447"/>
      <c r="AO401" s="447"/>
      <c r="AP401" s="447"/>
      <c r="AQ401" s="447"/>
      <c r="AR401" s="447"/>
      <c r="AS401" s="447"/>
      <c r="AT401" s="447"/>
      <c r="AU401" s="447"/>
      <c r="AV401" s="447"/>
      <c r="AW401" s="447"/>
      <c r="AX401" s="447"/>
      <c r="AY401" s="447"/>
      <c r="AZ401" s="447"/>
      <c r="BA401" s="447"/>
      <c r="BB401" s="447"/>
      <c r="BC401" s="447"/>
      <c r="BD401" s="447"/>
      <c r="BE401" s="447"/>
      <c r="BF401" s="447"/>
      <c r="BG401" s="447"/>
      <c r="BH401" s="447"/>
      <c r="BI401" s="447"/>
      <c r="BJ401" s="447"/>
      <c r="BK401" s="447"/>
      <c r="BL401" s="447"/>
      <c r="BM401" s="448"/>
      <c r="BN401" s="448"/>
    </row>
    <row r="402" spans="1:66" ht="11.25" customHeight="1">
      <c r="A402" s="469"/>
      <c r="B402" s="447"/>
      <c r="C402" s="447"/>
      <c r="D402" s="447"/>
      <c r="E402" s="447"/>
      <c r="F402" s="447"/>
      <c r="G402" s="447"/>
      <c r="H402" s="447"/>
      <c r="I402" s="447"/>
      <c r="J402" s="447"/>
      <c r="K402" s="447"/>
      <c r="L402" s="447"/>
      <c r="M402" s="447"/>
      <c r="N402" s="447"/>
      <c r="O402" s="447"/>
      <c r="P402" s="447"/>
      <c r="Q402" s="447"/>
      <c r="R402" s="447"/>
      <c r="S402" s="447"/>
      <c r="T402" s="447"/>
      <c r="U402" s="447"/>
      <c r="V402" s="447"/>
      <c r="W402" s="447"/>
      <c r="X402" s="447"/>
      <c r="Y402" s="447"/>
      <c r="Z402" s="447"/>
      <c r="AA402" s="447"/>
      <c r="AB402" s="447"/>
      <c r="AC402" s="447"/>
      <c r="AD402" s="447"/>
      <c r="AE402" s="447"/>
      <c r="AF402" s="448"/>
      <c r="AG402" s="448"/>
      <c r="AH402" s="448"/>
      <c r="AI402" s="447"/>
      <c r="AJ402" s="447"/>
      <c r="AK402" s="447"/>
      <c r="AL402" s="447"/>
      <c r="AM402" s="447"/>
      <c r="AN402" s="447"/>
      <c r="AO402" s="447"/>
      <c r="AP402" s="447"/>
      <c r="AQ402" s="447"/>
      <c r="AR402" s="447"/>
      <c r="AS402" s="447"/>
      <c r="AT402" s="447"/>
      <c r="AU402" s="447"/>
      <c r="AV402" s="447"/>
      <c r="AW402" s="447"/>
      <c r="AX402" s="447"/>
      <c r="AY402" s="447"/>
      <c r="AZ402" s="447"/>
      <c r="BA402" s="447"/>
      <c r="BB402" s="447"/>
      <c r="BC402" s="447"/>
      <c r="BD402" s="447"/>
      <c r="BE402" s="447"/>
      <c r="BF402" s="447"/>
      <c r="BG402" s="447"/>
      <c r="BH402" s="447"/>
      <c r="BI402" s="447"/>
      <c r="BJ402" s="447"/>
      <c r="BK402" s="447"/>
      <c r="BL402" s="447"/>
      <c r="BM402" s="448"/>
      <c r="BN402" s="448"/>
    </row>
    <row r="403" spans="1:66" ht="11.25" customHeight="1">
      <c r="A403" s="469"/>
      <c r="B403" s="447"/>
      <c r="C403" s="447"/>
      <c r="D403" s="447"/>
      <c r="E403" s="447"/>
      <c r="F403" s="447"/>
      <c r="G403" s="447"/>
      <c r="H403" s="447"/>
      <c r="I403" s="447"/>
      <c r="J403" s="447"/>
      <c r="K403" s="447"/>
      <c r="L403" s="447"/>
      <c r="M403" s="447"/>
      <c r="N403" s="447"/>
      <c r="O403" s="447"/>
      <c r="P403" s="447"/>
      <c r="Q403" s="447"/>
      <c r="R403" s="447"/>
      <c r="S403" s="447"/>
      <c r="T403" s="447"/>
      <c r="U403" s="447"/>
      <c r="V403" s="447"/>
      <c r="W403" s="447"/>
      <c r="X403" s="447"/>
      <c r="Y403" s="447"/>
      <c r="Z403" s="447"/>
      <c r="AA403" s="447"/>
      <c r="AB403" s="447"/>
      <c r="AC403" s="447"/>
      <c r="AD403" s="447"/>
      <c r="AE403" s="447"/>
      <c r="AF403" s="448"/>
      <c r="AG403" s="448"/>
      <c r="AH403" s="448"/>
      <c r="AI403" s="447"/>
      <c r="AJ403" s="447"/>
      <c r="AK403" s="447"/>
      <c r="AL403" s="447"/>
      <c r="AM403" s="447"/>
      <c r="AN403" s="447"/>
      <c r="AO403" s="447"/>
      <c r="AP403" s="447"/>
      <c r="AQ403" s="447"/>
      <c r="AR403" s="447"/>
      <c r="AS403" s="447"/>
      <c r="AT403" s="447"/>
      <c r="AU403" s="447"/>
      <c r="AV403" s="447"/>
      <c r="AW403" s="447"/>
      <c r="AX403" s="447"/>
      <c r="AY403" s="447"/>
      <c r="AZ403" s="447"/>
      <c r="BA403" s="447"/>
      <c r="BB403" s="447"/>
      <c r="BC403" s="447"/>
      <c r="BD403" s="447"/>
      <c r="BE403" s="447"/>
      <c r="BF403" s="447"/>
      <c r="BG403" s="447"/>
      <c r="BH403" s="447"/>
      <c r="BI403" s="447"/>
      <c r="BJ403" s="447"/>
      <c r="BK403" s="447"/>
      <c r="BL403" s="447"/>
      <c r="BM403" s="448"/>
      <c r="BN403" s="448"/>
    </row>
    <row r="404" spans="1:66" ht="11.25" customHeight="1">
      <c r="A404" s="469"/>
      <c r="B404" s="447"/>
      <c r="C404" s="447"/>
      <c r="D404" s="447"/>
      <c r="E404" s="447"/>
      <c r="F404" s="447"/>
      <c r="G404" s="447"/>
      <c r="H404" s="447"/>
      <c r="I404" s="447"/>
      <c r="J404" s="447"/>
      <c r="K404" s="447"/>
      <c r="L404" s="447"/>
      <c r="M404" s="447"/>
      <c r="N404" s="447"/>
      <c r="O404" s="447"/>
      <c r="P404" s="447"/>
      <c r="Q404" s="447"/>
      <c r="R404" s="447"/>
      <c r="S404" s="447"/>
      <c r="T404" s="447"/>
      <c r="U404" s="447"/>
      <c r="V404" s="447"/>
      <c r="W404" s="447"/>
      <c r="X404" s="447"/>
      <c r="Y404" s="447"/>
      <c r="Z404" s="447"/>
      <c r="AA404" s="447"/>
      <c r="AB404" s="447"/>
      <c r="AC404" s="447"/>
      <c r="AD404" s="447"/>
      <c r="AE404" s="447"/>
      <c r="AF404" s="448"/>
      <c r="AG404" s="448"/>
      <c r="AH404" s="448"/>
      <c r="AI404" s="447"/>
      <c r="AJ404" s="447"/>
      <c r="AK404" s="447"/>
      <c r="AL404" s="447"/>
      <c r="AM404" s="447"/>
      <c r="AN404" s="447"/>
      <c r="AO404" s="447"/>
      <c r="AP404" s="447"/>
      <c r="AQ404" s="447"/>
      <c r="AR404" s="447"/>
      <c r="AS404" s="447"/>
      <c r="AT404" s="447"/>
      <c r="AU404" s="447"/>
      <c r="AV404" s="447"/>
      <c r="AW404" s="447"/>
      <c r="AX404" s="447"/>
      <c r="AY404" s="447"/>
      <c r="AZ404" s="447"/>
      <c r="BA404" s="447"/>
      <c r="BB404" s="447"/>
      <c r="BC404" s="447"/>
      <c r="BD404" s="447"/>
      <c r="BE404" s="447"/>
      <c r="BF404" s="447"/>
      <c r="BG404" s="447"/>
      <c r="BH404" s="447"/>
      <c r="BI404" s="447"/>
      <c r="BJ404" s="447"/>
      <c r="BK404" s="447"/>
      <c r="BL404" s="447"/>
      <c r="BM404" s="448"/>
      <c r="BN404" s="448"/>
    </row>
    <row r="405" spans="1:66" ht="11.25" customHeight="1">
      <c r="A405" s="469"/>
      <c r="B405" s="447"/>
      <c r="C405" s="447"/>
      <c r="D405" s="447"/>
      <c r="E405" s="447"/>
      <c r="F405" s="447"/>
      <c r="G405" s="447"/>
      <c r="H405" s="447"/>
      <c r="I405" s="447"/>
      <c r="J405" s="447"/>
      <c r="K405" s="447"/>
      <c r="L405" s="447"/>
      <c r="M405" s="447"/>
      <c r="N405" s="447"/>
      <c r="O405" s="447"/>
      <c r="P405" s="447"/>
      <c r="Q405" s="447"/>
      <c r="R405" s="447"/>
      <c r="S405" s="447"/>
      <c r="T405" s="447"/>
      <c r="U405" s="447"/>
      <c r="V405" s="447"/>
      <c r="W405" s="447"/>
      <c r="X405" s="447"/>
      <c r="Y405" s="447"/>
      <c r="Z405" s="447"/>
      <c r="AA405" s="447"/>
      <c r="AB405" s="447"/>
      <c r="AC405" s="447"/>
      <c r="AD405" s="447"/>
      <c r="AE405" s="447"/>
      <c r="AF405" s="448"/>
      <c r="AG405" s="448"/>
      <c r="AH405" s="448"/>
      <c r="AI405" s="447"/>
      <c r="AJ405" s="447"/>
      <c r="AK405" s="447"/>
      <c r="AL405" s="447"/>
      <c r="AM405" s="447"/>
      <c r="AN405" s="447"/>
      <c r="AO405" s="447"/>
      <c r="AP405" s="447"/>
      <c r="AQ405" s="447"/>
      <c r="AR405" s="447"/>
      <c r="AS405" s="447"/>
      <c r="AT405" s="447"/>
      <c r="AU405" s="447"/>
      <c r="AV405" s="447"/>
      <c r="AW405" s="447"/>
      <c r="AX405" s="447"/>
      <c r="AY405" s="447"/>
      <c r="AZ405" s="447"/>
      <c r="BA405" s="447"/>
      <c r="BB405" s="447"/>
      <c r="BC405" s="447"/>
      <c r="BD405" s="447"/>
      <c r="BE405" s="447"/>
      <c r="BF405" s="447"/>
      <c r="BG405" s="447"/>
      <c r="BH405" s="447"/>
      <c r="BI405" s="447"/>
      <c r="BJ405" s="447"/>
      <c r="BK405" s="447"/>
      <c r="BL405" s="447"/>
      <c r="BM405" s="448"/>
      <c r="BN405" s="448"/>
    </row>
    <row r="406" spans="1:66" ht="11.25" customHeight="1">
      <c r="A406" s="469"/>
      <c r="B406" s="447"/>
      <c r="C406" s="447"/>
      <c r="D406" s="447"/>
      <c r="E406" s="447"/>
      <c r="F406" s="447"/>
      <c r="G406" s="447"/>
      <c r="H406" s="447"/>
      <c r="I406" s="447"/>
      <c r="J406" s="447"/>
      <c r="K406" s="447"/>
      <c r="L406" s="447"/>
      <c r="M406" s="447"/>
      <c r="N406" s="447"/>
      <c r="O406" s="447"/>
      <c r="P406" s="447"/>
      <c r="Q406" s="447"/>
      <c r="R406" s="447"/>
      <c r="S406" s="447"/>
      <c r="T406" s="447"/>
      <c r="U406" s="447"/>
      <c r="V406" s="447"/>
      <c r="W406" s="447"/>
      <c r="X406" s="447"/>
      <c r="Y406" s="447"/>
      <c r="Z406" s="447"/>
      <c r="AA406" s="447"/>
      <c r="AB406" s="447"/>
      <c r="AC406" s="447"/>
      <c r="AD406" s="447"/>
      <c r="AE406" s="447"/>
      <c r="AF406" s="448"/>
      <c r="AG406" s="448"/>
      <c r="AH406" s="448"/>
      <c r="AI406" s="447"/>
      <c r="AJ406" s="447"/>
      <c r="AK406" s="447"/>
      <c r="AL406" s="447"/>
      <c r="AM406" s="447"/>
      <c r="AN406" s="447"/>
      <c r="AO406" s="447"/>
      <c r="AP406" s="447"/>
      <c r="AQ406" s="447"/>
      <c r="AR406" s="447"/>
      <c r="AS406" s="447"/>
      <c r="AT406" s="447"/>
      <c r="AU406" s="447"/>
      <c r="AV406" s="447"/>
      <c r="AW406" s="447"/>
      <c r="AX406" s="447"/>
      <c r="AY406" s="447"/>
      <c r="AZ406" s="447"/>
      <c r="BA406" s="447"/>
      <c r="BB406" s="447"/>
      <c r="BC406" s="447"/>
      <c r="BD406" s="447"/>
      <c r="BE406" s="447"/>
      <c r="BF406" s="447"/>
      <c r="BG406" s="447"/>
      <c r="BH406" s="447"/>
      <c r="BI406" s="447"/>
      <c r="BJ406" s="447"/>
      <c r="BK406" s="447"/>
      <c r="BL406" s="447"/>
      <c r="BM406" s="448"/>
      <c r="BN406" s="448"/>
    </row>
    <row r="407" spans="1:66" ht="11.25" customHeight="1">
      <c r="A407" s="469"/>
      <c r="B407" s="447"/>
      <c r="C407" s="447"/>
      <c r="D407" s="447"/>
      <c r="E407" s="447"/>
      <c r="F407" s="447"/>
      <c r="G407" s="447"/>
      <c r="H407" s="447"/>
      <c r="I407" s="447"/>
      <c r="J407" s="447"/>
      <c r="K407" s="447"/>
      <c r="L407" s="447"/>
      <c r="M407" s="447"/>
      <c r="N407" s="447"/>
      <c r="O407" s="447"/>
      <c r="P407" s="447"/>
      <c r="Q407" s="447"/>
      <c r="R407" s="447"/>
      <c r="S407" s="447"/>
      <c r="T407" s="447"/>
      <c r="U407" s="447"/>
      <c r="V407" s="447"/>
      <c r="W407" s="447"/>
      <c r="X407" s="447"/>
      <c r="Y407" s="447"/>
      <c r="Z407" s="447"/>
      <c r="AA407" s="447"/>
      <c r="AB407" s="447"/>
      <c r="AC407" s="447"/>
      <c r="AD407" s="447"/>
      <c r="AE407" s="447"/>
      <c r="AF407" s="448"/>
      <c r="AG407" s="448"/>
      <c r="AH407" s="448"/>
      <c r="AI407" s="447"/>
      <c r="AJ407" s="447"/>
      <c r="AK407" s="447"/>
      <c r="AL407" s="447"/>
      <c r="AM407" s="447"/>
      <c r="AN407" s="447"/>
      <c r="AO407" s="447"/>
      <c r="AP407" s="447"/>
      <c r="AQ407" s="447"/>
      <c r="AR407" s="447"/>
      <c r="AS407" s="447"/>
      <c r="AT407" s="447"/>
      <c r="AU407" s="447"/>
      <c r="AV407" s="447"/>
      <c r="AW407" s="447"/>
      <c r="AX407" s="447"/>
      <c r="AY407" s="447"/>
      <c r="AZ407" s="447"/>
      <c r="BA407" s="447"/>
      <c r="BB407" s="447"/>
      <c r="BC407" s="447"/>
      <c r="BD407" s="447"/>
      <c r="BE407" s="447"/>
      <c r="BF407" s="447"/>
      <c r="BG407" s="447"/>
      <c r="BH407" s="447"/>
      <c r="BI407" s="447"/>
      <c r="BJ407" s="447"/>
      <c r="BK407" s="447"/>
      <c r="BL407" s="447"/>
      <c r="BM407" s="448"/>
      <c r="BN407" s="448"/>
    </row>
    <row r="408" spans="1:66" ht="11.25" customHeight="1">
      <c r="A408" s="469"/>
      <c r="B408" s="447"/>
      <c r="C408" s="447"/>
      <c r="D408" s="447"/>
      <c r="E408" s="447"/>
      <c r="F408" s="447"/>
      <c r="G408" s="447"/>
      <c r="H408" s="447"/>
      <c r="I408" s="447"/>
      <c r="J408" s="447"/>
      <c r="K408" s="447"/>
      <c r="L408" s="447"/>
      <c r="M408" s="447"/>
      <c r="N408" s="447"/>
      <c r="O408" s="447"/>
      <c r="P408" s="447"/>
      <c r="Q408" s="447"/>
      <c r="R408" s="447"/>
      <c r="S408" s="447"/>
      <c r="T408" s="447"/>
      <c r="U408" s="447"/>
      <c r="V408" s="447"/>
      <c r="W408" s="447"/>
      <c r="X408" s="447"/>
      <c r="Y408" s="447"/>
      <c r="Z408" s="447"/>
      <c r="AA408" s="447"/>
      <c r="AB408" s="447"/>
      <c r="AC408" s="447"/>
      <c r="AD408" s="447"/>
      <c r="AE408" s="447"/>
      <c r="AF408" s="448"/>
      <c r="AG408" s="448"/>
      <c r="AH408" s="448"/>
      <c r="AI408" s="447"/>
      <c r="AJ408" s="447"/>
      <c r="AK408" s="447"/>
      <c r="AL408" s="447"/>
      <c r="AM408" s="447"/>
      <c r="AN408" s="447"/>
      <c r="AO408" s="447"/>
      <c r="AP408" s="447"/>
      <c r="AQ408" s="447"/>
      <c r="AR408" s="447"/>
      <c r="AS408" s="447"/>
      <c r="AT408" s="447"/>
      <c r="AU408" s="447"/>
      <c r="AV408" s="447"/>
      <c r="AW408" s="447"/>
      <c r="AX408" s="447"/>
      <c r="AY408" s="447"/>
      <c r="AZ408" s="447"/>
      <c r="BA408" s="447"/>
      <c r="BB408" s="447"/>
      <c r="BC408" s="447"/>
      <c r="BD408" s="447"/>
      <c r="BE408" s="447"/>
      <c r="BF408" s="447"/>
      <c r="BG408" s="447"/>
      <c r="BH408" s="447"/>
      <c r="BI408" s="447"/>
      <c r="BJ408" s="447"/>
      <c r="BK408" s="447"/>
      <c r="BL408" s="447"/>
      <c r="BM408" s="448"/>
      <c r="BN408" s="448"/>
    </row>
    <row r="409" spans="1:66" ht="11.25" customHeight="1">
      <c r="A409" s="469"/>
      <c r="B409" s="447"/>
      <c r="C409" s="447"/>
      <c r="D409" s="447"/>
      <c r="E409" s="447"/>
      <c r="F409" s="447"/>
      <c r="G409" s="447"/>
      <c r="H409" s="447"/>
      <c r="I409" s="447"/>
      <c r="J409" s="447"/>
      <c r="K409" s="447"/>
      <c r="L409" s="447"/>
      <c r="M409" s="447"/>
      <c r="N409" s="447"/>
      <c r="O409" s="447"/>
      <c r="P409" s="447"/>
      <c r="Q409" s="447"/>
      <c r="R409" s="447"/>
      <c r="S409" s="447"/>
      <c r="T409" s="447"/>
      <c r="U409" s="447"/>
      <c r="V409" s="447"/>
      <c r="W409" s="447"/>
      <c r="X409" s="447"/>
      <c r="Y409" s="447"/>
      <c r="Z409" s="447"/>
      <c r="AA409" s="447"/>
      <c r="AB409" s="447"/>
      <c r="AC409" s="447"/>
      <c r="AD409" s="447"/>
      <c r="AE409" s="447"/>
      <c r="AF409" s="448"/>
      <c r="AG409" s="448"/>
      <c r="AH409" s="448"/>
      <c r="AI409" s="447"/>
      <c r="AJ409" s="447"/>
      <c r="AK409" s="447"/>
      <c r="AL409" s="447"/>
      <c r="AM409" s="447"/>
      <c r="AN409" s="447"/>
      <c r="AO409" s="447"/>
      <c r="AP409" s="447"/>
      <c r="AQ409" s="447"/>
      <c r="AR409" s="447"/>
      <c r="AS409" s="447"/>
      <c r="AT409" s="447"/>
      <c r="AU409" s="447"/>
      <c r="AV409" s="447"/>
      <c r="AW409" s="447"/>
      <c r="AX409" s="447"/>
      <c r="AY409" s="447"/>
      <c r="AZ409" s="447"/>
      <c r="BA409" s="447"/>
      <c r="BB409" s="447"/>
      <c r="BC409" s="447"/>
      <c r="BD409" s="447"/>
      <c r="BE409" s="447"/>
      <c r="BF409" s="447"/>
      <c r="BG409" s="447"/>
      <c r="BH409" s="447"/>
      <c r="BI409" s="447"/>
      <c r="BJ409" s="447"/>
      <c r="BK409" s="447"/>
      <c r="BL409" s="447"/>
      <c r="BM409" s="448"/>
      <c r="BN409" s="448"/>
    </row>
    <row r="410" spans="1:66" ht="11.25" customHeight="1">
      <c r="A410" s="469"/>
      <c r="B410" s="447"/>
      <c r="C410" s="447"/>
      <c r="D410" s="447"/>
      <c r="E410" s="447"/>
      <c r="F410" s="447"/>
      <c r="G410" s="447"/>
      <c r="H410" s="447"/>
      <c r="I410" s="447"/>
      <c r="J410" s="447"/>
      <c r="K410" s="447"/>
      <c r="L410" s="447"/>
      <c r="M410" s="447"/>
      <c r="N410" s="447"/>
      <c r="O410" s="447"/>
      <c r="P410" s="447"/>
      <c r="Q410" s="447"/>
      <c r="R410" s="447"/>
      <c r="S410" s="447"/>
      <c r="T410" s="447"/>
      <c r="U410" s="447"/>
      <c r="V410" s="447"/>
      <c r="W410" s="447"/>
      <c r="X410" s="447"/>
      <c r="Y410" s="447"/>
      <c r="Z410" s="447"/>
      <c r="AA410" s="447"/>
      <c r="AB410" s="447"/>
      <c r="AC410" s="447"/>
      <c r="AD410" s="447"/>
      <c r="AE410" s="447"/>
      <c r="AF410" s="448"/>
      <c r="AG410" s="448"/>
      <c r="AH410" s="448"/>
      <c r="AI410" s="447"/>
      <c r="AJ410" s="447"/>
      <c r="AK410" s="447"/>
      <c r="AL410" s="447"/>
      <c r="AM410" s="447"/>
      <c r="AN410" s="447"/>
      <c r="AO410" s="447"/>
      <c r="AP410" s="447"/>
      <c r="AQ410" s="447"/>
      <c r="AR410" s="447"/>
      <c r="AS410" s="447"/>
      <c r="AT410" s="447"/>
      <c r="AU410" s="447"/>
      <c r="AV410" s="447"/>
      <c r="AW410" s="447"/>
      <c r="AX410" s="447"/>
      <c r="AY410" s="447"/>
      <c r="AZ410" s="447"/>
      <c r="BA410" s="447"/>
      <c r="BB410" s="447"/>
      <c r="BC410" s="447"/>
      <c r="BD410" s="447"/>
      <c r="BE410" s="447"/>
      <c r="BF410" s="447"/>
      <c r="BG410" s="447"/>
      <c r="BH410" s="447"/>
      <c r="BI410" s="447"/>
      <c r="BJ410" s="447"/>
      <c r="BK410" s="447"/>
      <c r="BL410" s="447"/>
      <c r="BM410" s="448"/>
      <c r="BN410" s="448"/>
    </row>
    <row r="411" spans="1:66" ht="11.25" customHeight="1">
      <c r="A411" s="469"/>
      <c r="B411" s="447"/>
      <c r="C411" s="447"/>
      <c r="D411" s="447"/>
      <c r="E411" s="447"/>
      <c r="F411" s="447"/>
      <c r="G411" s="447"/>
      <c r="H411" s="447"/>
      <c r="I411" s="447"/>
      <c r="J411" s="447"/>
      <c r="K411" s="447"/>
      <c r="L411" s="447"/>
      <c r="M411" s="447"/>
      <c r="N411" s="447"/>
      <c r="O411" s="447"/>
      <c r="P411" s="447"/>
      <c r="Q411" s="447"/>
      <c r="R411" s="447"/>
      <c r="S411" s="447"/>
      <c r="T411" s="447"/>
      <c r="U411" s="447"/>
      <c r="V411" s="447"/>
      <c r="W411" s="447"/>
      <c r="X411" s="447"/>
      <c r="Y411" s="447"/>
      <c r="Z411" s="447"/>
      <c r="AA411" s="447"/>
      <c r="AB411" s="447"/>
      <c r="AC411" s="447"/>
      <c r="AD411" s="447"/>
      <c r="AE411" s="447"/>
      <c r="AF411" s="448"/>
      <c r="AG411" s="448"/>
      <c r="AH411" s="448"/>
      <c r="AI411" s="447"/>
      <c r="AJ411" s="447"/>
      <c r="AK411" s="447"/>
      <c r="AL411" s="447"/>
      <c r="AM411" s="447"/>
      <c r="AN411" s="447"/>
      <c r="AO411" s="447"/>
      <c r="AP411" s="447"/>
      <c r="AQ411" s="447"/>
      <c r="AR411" s="447"/>
      <c r="AS411" s="447"/>
      <c r="AT411" s="447"/>
      <c r="AU411" s="447"/>
      <c r="AV411" s="447"/>
      <c r="AW411" s="447"/>
      <c r="AX411" s="447"/>
      <c r="AY411" s="447"/>
      <c r="AZ411" s="447"/>
      <c r="BA411" s="447"/>
      <c r="BB411" s="447"/>
      <c r="BC411" s="447"/>
      <c r="BD411" s="447"/>
      <c r="BE411" s="447"/>
      <c r="BF411" s="447"/>
      <c r="BG411" s="447"/>
      <c r="BH411" s="447"/>
      <c r="BI411" s="447"/>
      <c r="BJ411" s="447"/>
      <c r="BK411" s="447"/>
      <c r="BL411" s="447"/>
      <c r="BM411" s="448"/>
      <c r="BN411" s="448"/>
    </row>
    <row r="412" spans="1:66" ht="11.25" customHeight="1">
      <c r="A412" s="469"/>
      <c r="B412" s="447"/>
      <c r="C412" s="447"/>
      <c r="D412" s="447"/>
      <c r="E412" s="447"/>
      <c r="F412" s="447"/>
      <c r="G412" s="447"/>
      <c r="H412" s="447"/>
      <c r="I412" s="447"/>
      <c r="J412" s="447"/>
      <c r="K412" s="447"/>
      <c r="L412" s="447"/>
      <c r="M412" s="447"/>
      <c r="N412" s="447"/>
      <c r="O412" s="447"/>
      <c r="P412" s="447"/>
      <c r="Q412" s="447"/>
      <c r="R412" s="447"/>
      <c r="S412" s="447"/>
      <c r="T412" s="447"/>
      <c r="U412" s="447"/>
      <c r="V412" s="447"/>
      <c r="W412" s="447"/>
      <c r="X412" s="447"/>
      <c r="Y412" s="447"/>
      <c r="Z412" s="447"/>
      <c r="AA412" s="447"/>
      <c r="AB412" s="447"/>
      <c r="AC412" s="447"/>
      <c r="AD412" s="447"/>
      <c r="AE412" s="447"/>
      <c r="AF412" s="448"/>
      <c r="AG412" s="448"/>
      <c r="AH412" s="448"/>
      <c r="AI412" s="447"/>
      <c r="AJ412" s="447"/>
      <c r="AK412" s="447"/>
      <c r="AL412" s="447"/>
      <c r="AM412" s="447"/>
      <c r="AN412" s="447"/>
      <c r="AO412" s="447"/>
      <c r="AP412" s="447"/>
      <c r="AQ412" s="447"/>
      <c r="AR412" s="447"/>
      <c r="AS412" s="447"/>
      <c r="AT412" s="447"/>
      <c r="AU412" s="447"/>
      <c r="AV412" s="447"/>
      <c r="AW412" s="447"/>
      <c r="AX412" s="447"/>
      <c r="AY412" s="447"/>
      <c r="AZ412" s="447"/>
      <c r="BA412" s="447"/>
      <c r="BB412" s="447"/>
      <c r="BC412" s="447"/>
      <c r="BD412" s="447"/>
      <c r="BE412" s="447"/>
      <c r="BF412" s="447"/>
      <c r="BG412" s="447"/>
      <c r="BH412" s="447"/>
      <c r="BI412" s="447"/>
      <c r="BJ412" s="447"/>
      <c r="BK412" s="447"/>
      <c r="BL412" s="447"/>
      <c r="BM412" s="448"/>
      <c r="BN412" s="448"/>
    </row>
    <row r="413" spans="1:66" ht="11.25" customHeight="1">
      <c r="A413" s="469"/>
      <c r="B413" s="447"/>
      <c r="C413" s="447"/>
      <c r="D413" s="447"/>
      <c r="E413" s="447"/>
      <c r="F413" s="447"/>
      <c r="G413" s="447"/>
      <c r="H413" s="447"/>
      <c r="I413" s="447"/>
      <c r="J413" s="447"/>
      <c r="K413" s="447"/>
      <c r="L413" s="447"/>
      <c r="M413" s="447"/>
      <c r="N413" s="447"/>
      <c r="O413" s="447"/>
      <c r="P413" s="447"/>
      <c r="Q413" s="447"/>
      <c r="R413" s="447"/>
      <c r="S413" s="447"/>
      <c r="T413" s="447"/>
      <c r="U413" s="447"/>
      <c r="V413" s="447"/>
      <c r="W413" s="447"/>
      <c r="X413" s="447"/>
      <c r="Y413" s="447"/>
      <c r="Z413" s="447"/>
      <c r="AA413" s="447"/>
      <c r="AB413" s="447"/>
      <c r="AC413" s="447"/>
      <c r="AD413" s="447"/>
      <c r="AE413" s="447"/>
      <c r="AF413" s="448"/>
      <c r="AG413" s="448"/>
      <c r="AH413" s="448"/>
      <c r="AI413" s="447"/>
      <c r="AJ413" s="447"/>
      <c r="AK413" s="447"/>
      <c r="AL413" s="447"/>
      <c r="AM413" s="447"/>
      <c r="AN413" s="447"/>
      <c r="AO413" s="447"/>
      <c r="AP413" s="447"/>
      <c r="AQ413" s="447"/>
      <c r="AR413" s="447"/>
      <c r="AS413" s="447"/>
      <c r="AT413" s="447"/>
      <c r="AU413" s="447"/>
      <c r="AV413" s="447"/>
      <c r="AW413" s="447"/>
      <c r="AX413" s="447"/>
      <c r="AY413" s="447"/>
      <c r="AZ413" s="447"/>
      <c r="BA413" s="447"/>
      <c r="BB413" s="447"/>
      <c r="BC413" s="447"/>
      <c r="BD413" s="447"/>
      <c r="BE413" s="447"/>
      <c r="BF413" s="447"/>
      <c r="BG413" s="447"/>
      <c r="BH413" s="447"/>
      <c r="BI413" s="447"/>
      <c r="BJ413" s="447"/>
      <c r="BK413" s="447"/>
      <c r="BL413" s="447"/>
      <c r="BM413" s="448"/>
      <c r="BN413" s="448"/>
    </row>
    <row r="414" spans="1:66" ht="11.25" customHeight="1">
      <c r="A414" s="469"/>
      <c r="B414" s="447"/>
      <c r="C414" s="447"/>
      <c r="D414" s="447"/>
      <c r="E414" s="447"/>
      <c r="F414" s="447"/>
      <c r="G414" s="447"/>
      <c r="H414" s="447"/>
      <c r="I414" s="447"/>
      <c r="J414" s="447"/>
      <c r="K414" s="447"/>
      <c r="L414" s="447"/>
      <c r="M414" s="447"/>
      <c r="N414" s="447"/>
      <c r="O414" s="447"/>
      <c r="P414" s="447"/>
      <c r="Q414" s="447"/>
      <c r="R414" s="447"/>
      <c r="S414" s="447"/>
      <c r="T414" s="447"/>
      <c r="U414" s="447"/>
      <c r="V414" s="447"/>
      <c r="W414" s="447"/>
      <c r="X414" s="447"/>
      <c r="Y414" s="447"/>
      <c r="Z414" s="447"/>
      <c r="AA414" s="447"/>
      <c r="AB414" s="447"/>
      <c r="AC414" s="447"/>
      <c r="AD414" s="447"/>
      <c r="AE414" s="447"/>
      <c r="AF414" s="448"/>
      <c r="AG414" s="448"/>
      <c r="AH414" s="448"/>
      <c r="AI414" s="447"/>
      <c r="AJ414" s="447"/>
      <c r="AK414" s="447"/>
      <c r="AL414" s="447"/>
      <c r="AM414" s="447"/>
      <c r="AN414" s="447"/>
      <c r="AO414" s="447"/>
      <c r="AP414" s="447"/>
      <c r="AQ414" s="447"/>
      <c r="AR414" s="447"/>
      <c r="AS414" s="447"/>
      <c r="AT414" s="447"/>
      <c r="AU414" s="447"/>
      <c r="AV414" s="447"/>
      <c r="AW414" s="447"/>
      <c r="AX414" s="447"/>
      <c r="AY414" s="447"/>
      <c r="AZ414" s="447"/>
      <c r="BA414" s="447"/>
      <c r="BB414" s="447"/>
      <c r="BC414" s="447"/>
      <c r="BD414" s="447"/>
      <c r="BE414" s="447"/>
      <c r="BF414" s="447"/>
      <c r="BG414" s="447"/>
      <c r="BH414" s="447"/>
      <c r="BI414" s="447"/>
      <c r="BJ414" s="447"/>
      <c r="BK414" s="447"/>
      <c r="BL414" s="447"/>
      <c r="BM414" s="448"/>
      <c r="BN414" s="448"/>
    </row>
    <row r="415" spans="1:66" ht="11.25" customHeight="1">
      <c r="A415" s="469"/>
      <c r="B415" s="447"/>
      <c r="C415" s="447"/>
      <c r="D415" s="447"/>
      <c r="E415" s="447"/>
      <c r="F415" s="447"/>
      <c r="G415" s="447"/>
      <c r="H415" s="447"/>
      <c r="I415" s="447"/>
      <c r="J415" s="447"/>
      <c r="K415" s="447"/>
      <c r="L415" s="447"/>
      <c r="M415" s="447"/>
      <c r="N415" s="447"/>
      <c r="O415" s="447"/>
      <c r="P415" s="447"/>
      <c r="Q415" s="447"/>
      <c r="R415" s="447"/>
      <c r="S415" s="447"/>
      <c r="T415" s="447"/>
      <c r="U415" s="447"/>
      <c r="V415" s="447"/>
      <c r="W415" s="447"/>
      <c r="X415" s="447"/>
      <c r="Y415" s="447"/>
      <c r="Z415" s="447"/>
      <c r="AA415" s="447"/>
      <c r="AB415" s="447"/>
      <c r="AC415" s="447"/>
      <c r="AD415" s="447"/>
      <c r="AE415" s="447"/>
      <c r="AF415" s="448"/>
      <c r="AG415" s="448"/>
      <c r="AH415" s="448"/>
      <c r="AI415" s="447"/>
      <c r="AJ415" s="447"/>
      <c r="AK415" s="447"/>
      <c r="AL415" s="447"/>
      <c r="AM415" s="447"/>
      <c r="AN415" s="447"/>
      <c r="AO415" s="447"/>
      <c r="AP415" s="447"/>
      <c r="AQ415" s="447"/>
      <c r="AR415" s="447"/>
      <c r="AS415" s="447"/>
      <c r="AT415" s="447"/>
      <c r="AU415" s="447"/>
      <c r="AV415" s="447"/>
      <c r="AW415" s="447"/>
      <c r="AX415" s="447"/>
      <c r="AY415" s="447"/>
      <c r="AZ415" s="447"/>
      <c r="BA415" s="447"/>
      <c r="BB415" s="447"/>
      <c r="BC415" s="447"/>
      <c r="BD415" s="447"/>
      <c r="BE415" s="447"/>
      <c r="BF415" s="447"/>
      <c r="BG415" s="447"/>
      <c r="BH415" s="447"/>
      <c r="BI415" s="447"/>
      <c r="BJ415" s="447"/>
      <c r="BK415" s="447"/>
      <c r="BL415" s="447"/>
      <c r="BM415" s="448"/>
      <c r="BN415" s="448"/>
    </row>
    <row r="416" spans="1:66" ht="11.25" customHeight="1">
      <c r="A416" s="469"/>
      <c r="B416" s="447"/>
      <c r="C416" s="447"/>
      <c r="D416" s="447"/>
      <c r="E416" s="447"/>
      <c r="F416" s="447"/>
      <c r="G416" s="447"/>
      <c r="H416" s="447"/>
      <c r="I416" s="447"/>
      <c r="J416" s="447"/>
      <c r="K416" s="447"/>
      <c r="L416" s="447"/>
      <c r="M416" s="447"/>
      <c r="N416" s="447"/>
      <c r="O416" s="447"/>
      <c r="P416" s="447"/>
      <c r="Q416" s="447"/>
      <c r="R416" s="447"/>
      <c r="S416" s="447"/>
      <c r="T416" s="447"/>
      <c r="U416" s="447"/>
      <c r="V416" s="447"/>
      <c r="W416" s="447"/>
      <c r="X416" s="447"/>
      <c r="Y416" s="447"/>
      <c r="Z416" s="447"/>
      <c r="AA416" s="447"/>
      <c r="AB416" s="447"/>
      <c r="AC416" s="447"/>
      <c r="AD416" s="447"/>
      <c r="AE416" s="447"/>
      <c r="AF416" s="448"/>
      <c r="AG416" s="448"/>
      <c r="AH416" s="448"/>
      <c r="AI416" s="447"/>
      <c r="AJ416" s="447"/>
      <c r="AK416" s="447"/>
      <c r="AL416" s="447"/>
      <c r="AM416" s="447"/>
      <c r="AN416" s="447"/>
      <c r="AO416" s="447"/>
      <c r="AP416" s="447"/>
      <c r="AQ416" s="447"/>
      <c r="AR416" s="447"/>
      <c r="AS416" s="447"/>
      <c r="AT416" s="447"/>
      <c r="AU416" s="447"/>
      <c r="AV416" s="447"/>
      <c r="AW416" s="447"/>
      <c r="AX416" s="447"/>
      <c r="AY416" s="447"/>
      <c r="AZ416" s="447"/>
      <c r="BA416" s="447"/>
      <c r="BB416" s="447"/>
      <c r="BC416" s="447"/>
      <c r="BD416" s="447"/>
      <c r="BE416" s="447"/>
      <c r="BF416" s="447"/>
      <c r="BG416" s="447"/>
      <c r="BH416" s="447"/>
      <c r="BI416" s="447"/>
      <c r="BJ416" s="447"/>
      <c r="BK416" s="447"/>
      <c r="BL416" s="447"/>
      <c r="BM416" s="448"/>
      <c r="BN416" s="448"/>
    </row>
    <row r="417" spans="1:66" ht="11.25" customHeight="1">
      <c r="A417" s="469"/>
      <c r="B417" s="447"/>
      <c r="C417" s="447"/>
      <c r="D417" s="447"/>
      <c r="E417" s="447"/>
      <c r="F417" s="447"/>
      <c r="G417" s="447"/>
      <c r="H417" s="447"/>
      <c r="I417" s="447"/>
      <c r="J417" s="447"/>
      <c r="K417" s="447"/>
      <c r="L417" s="447"/>
      <c r="M417" s="447"/>
      <c r="N417" s="447"/>
      <c r="O417" s="447"/>
      <c r="P417" s="447"/>
      <c r="Q417" s="447"/>
      <c r="R417" s="447"/>
      <c r="S417" s="447"/>
      <c r="T417" s="447"/>
      <c r="U417" s="447"/>
      <c r="V417" s="447"/>
      <c r="W417" s="447"/>
      <c r="X417" s="447"/>
      <c r="Y417" s="447"/>
      <c r="Z417" s="447"/>
      <c r="AA417" s="447"/>
      <c r="AB417" s="447"/>
      <c r="AC417" s="447"/>
      <c r="AD417" s="447"/>
      <c r="AE417" s="447"/>
      <c r="AF417" s="448"/>
      <c r="AG417" s="448"/>
      <c r="AH417" s="448"/>
      <c r="AI417" s="447"/>
      <c r="AJ417" s="447"/>
      <c r="AK417" s="447"/>
      <c r="AL417" s="447"/>
      <c r="AM417" s="447"/>
      <c r="AN417" s="447"/>
      <c r="AO417" s="447"/>
      <c r="AP417" s="447"/>
      <c r="AQ417" s="447"/>
      <c r="AR417" s="447"/>
      <c r="AS417" s="447"/>
      <c r="AT417" s="447"/>
      <c r="AU417" s="447"/>
      <c r="AV417" s="447"/>
      <c r="AW417" s="447"/>
      <c r="AX417" s="447"/>
      <c r="AY417" s="447"/>
      <c r="AZ417" s="447"/>
      <c r="BA417" s="447"/>
      <c r="BB417" s="447"/>
      <c r="BC417" s="447"/>
      <c r="BD417" s="447"/>
      <c r="BE417" s="447"/>
      <c r="BF417" s="447"/>
      <c r="BG417" s="447"/>
      <c r="BH417" s="447"/>
      <c r="BI417" s="447"/>
      <c r="BJ417" s="447"/>
      <c r="BK417" s="447"/>
      <c r="BL417" s="447"/>
      <c r="BM417" s="448"/>
      <c r="BN417" s="448"/>
    </row>
    <row r="418" spans="1:66" ht="11.25" customHeight="1">
      <c r="A418" s="469"/>
      <c r="B418" s="447"/>
      <c r="C418" s="447"/>
      <c r="D418" s="447"/>
      <c r="E418" s="447"/>
      <c r="F418" s="447"/>
      <c r="G418" s="447"/>
      <c r="H418" s="447"/>
      <c r="I418" s="447"/>
      <c r="J418" s="447"/>
      <c r="K418" s="447"/>
      <c r="L418" s="447"/>
      <c r="M418" s="447"/>
      <c r="N418" s="447"/>
      <c r="O418" s="447"/>
      <c r="P418" s="447"/>
      <c r="Q418" s="447"/>
      <c r="R418" s="447"/>
      <c r="S418" s="447"/>
      <c r="T418" s="447"/>
      <c r="U418" s="447"/>
      <c r="V418" s="447"/>
      <c r="W418" s="447"/>
      <c r="X418" s="447"/>
      <c r="Y418" s="447"/>
      <c r="Z418" s="447"/>
      <c r="AA418" s="447"/>
      <c r="AB418" s="447"/>
      <c r="AC418" s="447"/>
      <c r="AD418" s="447"/>
      <c r="AE418" s="447"/>
      <c r="AF418" s="448"/>
      <c r="AG418" s="448"/>
      <c r="AH418" s="448"/>
      <c r="AI418" s="447"/>
      <c r="AJ418" s="447"/>
      <c r="AK418" s="447"/>
      <c r="AL418" s="447"/>
      <c r="AM418" s="447"/>
      <c r="AN418" s="447"/>
      <c r="AO418" s="447"/>
      <c r="AP418" s="447"/>
      <c r="AQ418" s="447"/>
      <c r="AR418" s="447"/>
      <c r="AS418" s="447"/>
      <c r="AT418" s="447"/>
      <c r="AU418" s="447"/>
      <c r="AV418" s="447"/>
      <c r="AW418" s="447"/>
      <c r="AX418" s="447"/>
      <c r="AY418" s="447"/>
      <c r="AZ418" s="447"/>
      <c r="BA418" s="447"/>
      <c r="BB418" s="447"/>
      <c r="BC418" s="447"/>
      <c r="BD418" s="447"/>
      <c r="BE418" s="447"/>
      <c r="BF418" s="447"/>
      <c r="BG418" s="447"/>
      <c r="BH418" s="447"/>
      <c r="BI418" s="447"/>
      <c r="BJ418" s="447"/>
      <c r="BK418" s="447"/>
      <c r="BL418" s="447"/>
      <c r="BM418" s="448"/>
      <c r="BN418" s="448"/>
    </row>
    <row r="419" spans="1:66" ht="11.25" customHeight="1">
      <c r="A419" s="469"/>
      <c r="B419" s="447"/>
      <c r="C419" s="447"/>
      <c r="D419" s="447"/>
      <c r="E419" s="447"/>
      <c r="F419" s="447"/>
      <c r="G419" s="447"/>
      <c r="H419" s="447"/>
      <c r="I419" s="447"/>
      <c r="J419" s="447"/>
      <c r="K419" s="447"/>
      <c r="L419" s="447"/>
      <c r="M419" s="447"/>
      <c r="N419" s="447"/>
      <c r="O419" s="447"/>
      <c r="P419" s="447"/>
      <c r="Q419" s="447"/>
      <c r="R419" s="447"/>
      <c r="S419" s="447"/>
      <c r="T419" s="447"/>
      <c r="U419" s="447"/>
      <c r="V419" s="447"/>
      <c r="W419" s="447"/>
      <c r="X419" s="447"/>
      <c r="Y419" s="447"/>
      <c r="Z419" s="447"/>
      <c r="AA419" s="447"/>
      <c r="AB419" s="447"/>
      <c r="AC419" s="447"/>
      <c r="AD419" s="447"/>
      <c r="AE419" s="447"/>
      <c r="AF419" s="448"/>
      <c r="AG419" s="448"/>
      <c r="AH419" s="448"/>
      <c r="AI419" s="447"/>
      <c r="AJ419" s="447"/>
      <c r="AK419" s="447"/>
      <c r="AL419" s="447"/>
      <c r="AM419" s="447"/>
      <c r="AN419" s="447"/>
      <c r="AO419" s="447"/>
      <c r="AP419" s="447"/>
      <c r="AQ419" s="447"/>
      <c r="AR419" s="447"/>
      <c r="AS419" s="447"/>
      <c r="AT419" s="447"/>
      <c r="AU419" s="447"/>
      <c r="AV419" s="447"/>
      <c r="AW419" s="447"/>
      <c r="AX419" s="447"/>
      <c r="AY419" s="447"/>
      <c r="AZ419" s="447"/>
      <c r="BA419" s="447"/>
      <c r="BB419" s="447"/>
      <c r="BC419" s="447"/>
      <c r="BD419" s="447"/>
      <c r="BE419" s="447"/>
      <c r="BF419" s="447"/>
      <c r="BG419" s="447"/>
      <c r="BH419" s="447"/>
      <c r="BI419" s="447"/>
      <c r="BJ419" s="447"/>
      <c r="BK419" s="447"/>
      <c r="BL419" s="447"/>
      <c r="BM419" s="448"/>
      <c r="BN419" s="448"/>
    </row>
    <row r="420" spans="1:66" ht="11.25" customHeight="1">
      <c r="A420" s="469"/>
      <c r="B420" s="447"/>
      <c r="C420" s="447"/>
      <c r="D420" s="447"/>
      <c r="E420" s="447"/>
      <c r="F420" s="447"/>
      <c r="G420" s="447"/>
      <c r="H420" s="447"/>
      <c r="I420" s="447"/>
      <c r="J420" s="447"/>
      <c r="K420" s="447"/>
      <c r="L420" s="447"/>
      <c r="M420" s="447"/>
      <c r="N420" s="447"/>
      <c r="O420" s="447"/>
      <c r="P420" s="447"/>
      <c r="Q420" s="447"/>
      <c r="R420" s="447"/>
      <c r="S420" s="447"/>
      <c r="T420" s="447"/>
      <c r="U420" s="447"/>
      <c r="V420" s="447"/>
      <c r="W420" s="447"/>
      <c r="X420" s="447"/>
      <c r="Y420" s="447"/>
      <c r="Z420" s="447"/>
      <c r="AA420" s="447"/>
      <c r="AB420" s="447"/>
      <c r="AC420" s="447"/>
      <c r="AD420" s="447"/>
      <c r="AE420" s="447"/>
      <c r="AF420" s="448"/>
      <c r="AG420" s="448"/>
      <c r="AH420" s="448"/>
      <c r="AI420" s="447"/>
      <c r="AJ420" s="447"/>
      <c r="AK420" s="447"/>
      <c r="AL420" s="447"/>
      <c r="AM420" s="447"/>
      <c r="AN420" s="447"/>
      <c r="AO420" s="447"/>
      <c r="AP420" s="447"/>
      <c r="AQ420" s="447"/>
      <c r="AR420" s="447"/>
      <c r="AS420" s="447"/>
      <c r="AT420" s="447"/>
      <c r="AU420" s="447"/>
      <c r="AV420" s="447"/>
      <c r="AW420" s="447"/>
      <c r="AX420" s="447"/>
      <c r="AY420" s="447"/>
      <c r="AZ420" s="447"/>
      <c r="BA420" s="447"/>
      <c r="BB420" s="447"/>
      <c r="BC420" s="447"/>
      <c r="BD420" s="447"/>
      <c r="BE420" s="447"/>
      <c r="BF420" s="447"/>
      <c r="BG420" s="447"/>
      <c r="BH420" s="447"/>
      <c r="BI420" s="447"/>
      <c r="BJ420" s="447"/>
      <c r="BK420" s="447"/>
      <c r="BL420" s="447"/>
      <c r="BM420" s="448"/>
      <c r="BN420" s="448"/>
    </row>
    <row r="421" spans="1:66" ht="11.25" customHeight="1">
      <c r="A421" s="469"/>
      <c r="B421" s="447"/>
      <c r="C421" s="447"/>
      <c r="D421" s="447"/>
      <c r="E421" s="447"/>
      <c r="F421" s="447"/>
      <c r="G421" s="447"/>
      <c r="H421" s="447"/>
      <c r="I421" s="447"/>
      <c r="J421" s="447"/>
      <c r="K421" s="447"/>
      <c r="L421" s="447"/>
      <c r="M421" s="447"/>
      <c r="N421" s="447"/>
      <c r="O421" s="447"/>
      <c r="P421" s="447"/>
      <c r="Q421" s="447"/>
      <c r="R421" s="447"/>
      <c r="S421" s="447"/>
      <c r="T421" s="447"/>
      <c r="U421" s="447"/>
      <c r="V421" s="447"/>
      <c r="W421" s="447"/>
      <c r="X421" s="447"/>
      <c r="Y421" s="447"/>
      <c r="Z421" s="447"/>
      <c r="AA421" s="447"/>
      <c r="AB421" s="447"/>
      <c r="AC421" s="447"/>
      <c r="AD421" s="447"/>
      <c r="AE421" s="447"/>
      <c r="AF421" s="448"/>
      <c r="AG421" s="448"/>
      <c r="AH421" s="448"/>
      <c r="AI421" s="447"/>
      <c r="AJ421" s="447"/>
      <c r="AK421" s="447"/>
      <c r="AL421" s="447"/>
      <c r="AM421" s="447"/>
      <c r="AN421" s="447"/>
      <c r="AO421" s="447"/>
      <c r="AP421" s="447"/>
      <c r="AQ421" s="447"/>
      <c r="AR421" s="447"/>
      <c r="AS421" s="447"/>
      <c r="AT421" s="447"/>
      <c r="AU421" s="447"/>
      <c r="AV421" s="447"/>
      <c r="AW421" s="447"/>
      <c r="AX421" s="447"/>
      <c r="AY421" s="447"/>
      <c r="AZ421" s="447"/>
      <c r="BA421" s="447"/>
      <c r="BB421" s="447"/>
      <c r="BC421" s="447"/>
      <c r="BD421" s="447"/>
      <c r="BE421" s="447"/>
      <c r="BF421" s="447"/>
      <c r="BG421" s="447"/>
      <c r="BH421" s="447"/>
      <c r="BI421" s="447"/>
      <c r="BJ421" s="447"/>
      <c r="BK421" s="447"/>
      <c r="BL421" s="447"/>
      <c r="BM421" s="448"/>
      <c r="BN421" s="448"/>
    </row>
    <row r="422" spans="1:66" ht="11.25" customHeight="1">
      <c r="A422" s="469"/>
      <c r="B422" s="447"/>
      <c r="C422" s="447"/>
      <c r="D422" s="447"/>
      <c r="E422" s="447"/>
      <c r="F422" s="447"/>
      <c r="G422" s="447"/>
      <c r="H422" s="447"/>
      <c r="I422" s="447"/>
      <c r="J422" s="447"/>
      <c r="K422" s="447"/>
      <c r="L422" s="447"/>
      <c r="M422" s="447"/>
      <c r="N422" s="447"/>
      <c r="O422" s="447"/>
      <c r="P422" s="447"/>
      <c r="Q422" s="447"/>
      <c r="R422" s="447"/>
      <c r="S422" s="447"/>
      <c r="T422" s="447"/>
      <c r="U422" s="447"/>
      <c r="V422" s="447"/>
      <c r="W422" s="447"/>
      <c r="X422" s="447"/>
      <c r="Y422" s="447"/>
      <c r="Z422" s="447"/>
      <c r="AA422" s="447"/>
      <c r="AB422" s="447"/>
      <c r="AC422" s="447"/>
      <c r="AD422" s="447"/>
      <c r="AE422" s="447"/>
      <c r="AF422" s="448"/>
      <c r="AG422" s="448"/>
      <c r="AH422" s="448"/>
      <c r="AI422" s="447"/>
      <c r="AJ422" s="447"/>
      <c r="AK422" s="447"/>
      <c r="AL422" s="447"/>
      <c r="AM422" s="447"/>
      <c r="AN422" s="447"/>
      <c r="AO422" s="447"/>
      <c r="AP422" s="447"/>
      <c r="AQ422" s="447"/>
      <c r="AR422" s="447"/>
      <c r="AS422" s="447"/>
      <c r="AT422" s="447"/>
      <c r="AU422" s="447"/>
      <c r="AV422" s="447"/>
      <c r="AW422" s="447"/>
      <c r="AX422" s="447"/>
      <c r="AY422" s="447"/>
      <c r="AZ422" s="447"/>
      <c r="BA422" s="447"/>
      <c r="BB422" s="447"/>
      <c r="BC422" s="447"/>
      <c r="BD422" s="447"/>
      <c r="BE422" s="447"/>
      <c r="BF422" s="447"/>
      <c r="BG422" s="447"/>
      <c r="BH422" s="447"/>
      <c r="BI422" s="447"/>
      <c r="BJ422" s="447"/>
      <c r="BK422" s="447"/>
      <c r="BL422" s="447"/>
      <c r="BM422" s="448"/>
      <c r="BN422" s="448"/>
    </row>
    <row r="423" spans="1:66" ht="11.25" customHeight="1">
      <c r="A423" s="469"/>
      <c r="B423" s="447"/>
      <c r="C423" s="447"/>
      <c r="D423" s="447"/>
      <c r="E423" s="447"/>
      <c r="F423" s="447"/>
      <c r="G423" s="447"/>
      <c r="H423" s="447"/>
      <c r="I423" s="447"/>
      <c r="J423" s="447"/>
      <c r="K423" s="447"/>
      <c r="L423" s="447"/>
      <c r="M423" s="447"/>
      <c r="N423" s="447"/>
      <c r="O423" s="447"/>
      <c r="P423" s="447"/>
      <c r="Q423" s="447"/>
      <c r="R423" s="447"/>
      <c r="S423" s="447"/>
      <c r="T423" s="447"/>
      <c r="U423" s="447"/>
      <c r="V423" s="447"/>
      <c r="W423" s="447"/>
      <c r="X423" s="447"/>
      <c r="Y423" s="447"/>
      <c r="Z423" s="447"/>
      <c r="AA423" s="447"/>
      <c r="AB423" s="447"/>
      <c r="AC423" s="447"/>
      <c r="AD423" s="447"/>
      <c r="AE423" s="447"/>
      <c r="AF423" s="448"/>
      <c r="AG423" s="448"/>
      <c r="AH423" s="448"/>
      <c r="AI423" s="447"/>
      <c r="AJ423" s="447"/>
      <c r="AK423" s="447"/>
      <c r="AL423" s="447"/>
      <c r="AM423" s="447"/>
      <c r="AN423" s="447"/>
      <c r="AO423" s="447"/>
      <c r="AP423" s="447"/>
      <c r="AQ423" s="447"/>
      <c r="AR423" s="447"/>
      <c r="AS423" s="447"/>
      <c r="AT423" s="447"/>
      <c r="AU423" s="447"/>
      <c r="AV423" s="447"/>
      <c r="AW423" s="447"/>
      <c r="AX423" s="447"/>
      <c r="AY423" s="447"/>
      <c r="AZ423" s="447"/>
      <c r="BA423" s="447"/>
      <c r="BB423" s="447"/>
      <c r="BC423" s="447"/>
      <c r="BD423" s="447"/>
      <c r="BE423" s="447"/>
      <c r="BF423" s="447"/>
      <c r="BG423" s="447"/>
      <c r="BH423" s="447"/>
      <c r="BI423" s="447"/>
      <c r="BJ423" s="447"/>
      <c r="BK423" s="447"/>
      <c r="BL423" s="447"/>
      <c r="BM423" s="448"/>
      <c r="BN423" s="448"/>
    </row>
    <row r="424" spans="1:66" ht="11.25" customHeight="1">
      <c r="A424" s="469"/>
      <c r="B424" s="447"/>
      <c r="C424" s="447"/>
      <c r="D424" s="447"/>
      <c r="E424" s="447"/>
      <c r="F424" s="447"/>
      <c r="G424" s="447"/>
      <c r="H424" s="447"/>
      <c r="I424" s="447"/>
      <c r="J424" s="447"/>
      <c r="K424" s="447"/>
      <c r="L424" s="447"/>
      <c r="M424" s="447"/>
      <c r="N424" s="447"/>
      <c r="O424" s="447"/>
      <c r="P424" s="447"/>
      <c r="Q424" s="447"/>
      <c r="R424" s="447"/>
      <c r="S424" s="447"/>
      <c r="T424" s="447"/>
      <c r="U424" s="447"/>
      <c r="V424" s="447"/>
      <c r="W424" s="447"/>
      <c r="X424" s="447"/>
      <c r="Y424" s="447"/>
      <c r="Z424" s="447"/>
      <c r="AA424" s="447"/>
      <c r="AB424" s="447"/>
      <c r="AC424" s="447"/>
      <c r="AD424" s="447"/>
      <c r="AE424" s="447"/>
      <c r="AF424" s="448"/>
      <c r="AG424" s="448"/>
      <c r="AH424" s="448"/>
      <c r="AI424" s="447"/>
      <c r="AJ424" s="447"/>
      <c r="AK424" s="447"/>
      <c r="AL424" s="447"/>
      <c r="AM424" s="447"/>
      <c r="AN424" s="447"/>
      <c r="AO424" s="447"/>
      <c r="AP424" s="447"/>
      <c r="AQ424" s="447"/>
      <c r="AR424" s="447"/>
      <c r="AS424" s="447"/>
      <c r="AT424" s="447"/>
      <c r="AU424" s="447"/>
      <c r="AV424" s="447"/>
      <c r="AW424" s="447"/>
      <c r="AX424" s="447"/>
      <c r="AY424" s="447"/>
      <c r="AZ424" s="447"/>
      <c r="BA424" s="447"/>
      <c r="BB424" s="447"/>
      <c r="BC424" s="447"/>
      <c r="BD424" s="447"/>
      <c r="BE424" s="447"/>
      <c r="BF424" s="447"/>
      <c r="BG424" s="447"/>
      <c r="BH424" s="447"/>
      <c r="BI424" s="447"/>
      <c r="BJ424" s="447"/>
      <c r="BK424" s="447"/>
      <c r="BL424" s="447"/>
      <c r="BM424" s="448"/>
      <c r="BN424" s="448"/>
    </row>
    <row r="425" spans="1:66" ht="11.25" customHeight="1">
      <c r="A425" s="469"/>
      <c r="B425" s="447"/>
      <c r="C425" s="447"/>
      <c r="D425" s="447"/>
      <c r="E425" s="447"/>
      <c r="F425" s="447"/>
      <c r="G425" s="447"/>
      <c r="H425" s="447"/>
      <c r="I425" s="447"/>
      <c r="J425" s="447"/>
      <c r="K425" s="447"/>
      <c r="L425" s="447"/>
      <c r="M425" s="447"/>
      <c r="N425" s="447"/>
      <c r="O425" s="447"/>
      <c r="P425" s="447"/>
      <c r="Q425" s="447"/>
      <c r="R425" s="447"/>
      <c r="S425" s="447"/>
      <c r="T425" s="447"/>
      <c r="U425" s="447"/>
      <c r="V425" s="447"/>
      <c r="W425" s="447"/>
      <c r="X425" s="447"/>
      <c r="Y425" s="447"/>
      <c r="Z425" s="447"/>
      <c r="AA425" s="447"/>
      <c r="AB425" s="447"/>
      <c r="AC425" s="447"/>
      <c r="AD425" s="447"/>
      <c r="AE425" s="447"/>
      <c r="AF425" s="448"/>
      <c r="AG425" s="448"/>
      <c r="AH425" s="448"/>
      <c r="AI425" s="447"/>
      <c r="AJ425" s="447"/>
      <c r="AK425" s="447"/>
      <c r="AL425" s="447"/>
      <c r="AM425" s="447"/>
      <c r="AN425" s="447"/>
      <c r="AO425" s="447"/>
      <c r="AP425" s="447"/>
      <c r="AQ425" s="447"/>
      <c r="AR425" s="447"/>
      <c r="AS425" s="447"/>
      <c r="AT425" s="447"/>
      <c r="AU425" s="447"/>
      <c r="AV425" s="447"/>
      <c r="AW425" s="447"/>
      <c r="AX425" s="447"/>
      <c r="AY425" s="447"/>
      <c r="AZ425" s="447"/>
      <c r="BA425" s="447"/>
      <c r="BB425" s="447"/>
      <c r="BC425" s="447"/>
      <c r="BD425" s="447"/>
      <c r="BE425" s="447"/>
      <c r="BF425" s="447"/>
      <c r="BG425" s="447"/>
      <c r="BH425" s="447"/>
      <c r="BI425" s="447"/>
      <c r="BJ425" s="447"/>
      <c r="BK425" s="447"/>
      <c r="BL425" s="447"/>
      <c r="BM425" s="448"/>
      <c r="BN425" s="448"/>
    </row>
    <row r="426" spans="1:66" ht="11.25" customHeight="1">
      <c r="A426" s="469"/>
      <c r="B426" s="447"/>
      <c r="C426" s="447"/>
      <c r="D426" s="447"/>
      <c r="E426" s="447"/>
      <c r="F426" s="447"/>
      <c r="G426" s="447"/>
      <c r="H426" s="447"/>
      <c r="I426" s="447"/>
      <c r="J426" s="447"/>
      <c r="K426" s="447"/>
      <c r="L426" s="447"/>
      <c r="M426" s="447"/>
      <c r="N426" s="447"/>
      <c r="O426" s="447"/>
      <c r="P426" s="447"/>
      <c r="Q426" s="447"/>
      <c r="R426" s="447"/>
      <c r="S426" s="447"/>
      <c r="T426" s="447"/>
      <c r="U426" s="447"/>
      <c r="V426" s="447"/>
      <c r="W426" s="447"/>
      <c r="X426" s="447"/>
      <c r="Y426" s="447"/>
      <c r="Z426" s="447"/>
      <c r="AA426" s="447"/>
      <c r="AB426" s="447"/>
      <c r="AC426" s="447"/>
      <c r="AD426" s="447"/>
      <c r="AE426" s="447"/>
      <c r="AF426" s="448"/>
      <c r="AG426" s="448"/>
      <c r="AH426" s="448"/>
      <c r="AI426" s="447"/>
      <c r="AJ426" s="447"/>
      <c r="AK426" s="447"/>
      <c r="AL426" s="447"/>
      <c r="AM426" s="447"/>
      <c r="AN426" s="447"/>
      <c r="AO426" s="447"/>
      <c r="AP426" s="447"/>
      <c r="AQ426" s="447"/>
      <c r="AR426" s="447"/>
      <c r="AS426" s="447"/>
      <c r="AT426" s="447"/>
      <c r="AU426" s="447"/>
      <c r="AV426" s="447"/>
      <c r="AW426" s="447"/>
      <c r="AX426" s="447"/>
      <c r="AY426" s="447"/>
      <c r="AZ426" s="447"/>
      <c r="BA426" s="447"/>
      <c r="BB426" s="447"/>
      <c r="BC426" s="447"/>
      <c r="BD426" s="447"/>
      <c r="BE426" s="447"/>
      <c r="BF426" s="447"/>
      <c r="BG426" s="447"/>
      <c r="BH426" s="447"/>
      <c r="BI426" s="447"/>
      <c r="BJ426" s="447"/>
      <c r="BK426" s="447"/>
      <c r="BL426" s="447"/>
      <c r="BM426" s="448"/>
      <c r="BN426" s="448"/>
    </row>
    <row r="427" spans="1:66" ht="11.25" customHeight="1">
      <c r="A427" s="469"/>
      <c r="B427" s="447"/>
      <c r="C427" s="447"/>
      <c r="D427" s="447"/>
      <c r="E427" s="447"/>
      <c r="F427" s="447"/>
      <c r="G427" s="447"/>
      <c r="H427" s="447"/>
      <c r="I427" s="447"/>
      <c r="J427" s="447"/>
      <c r="K427" s="447"/>
      <c r="L427" s="447"/>
      <c r="M427" s="447"/>
      <c r="N427" s="447"/>
      <c r="O427" s="447"/>
      <c r="P427" s="447"/>
      <c r="Q427" s="447"/>
      <c r="R427" s="447"/>
      <c r="S427" s="447"/>
      <c r="T427" s="447"/>
      <c r="U427" s="447"/>
      <c r="V427" s="447"/>
      <c r="W427" s="447"/>
      <c r="X427" s="447"/>
      <c r="Y427" s="447"/>
      <c r="Z427" s="447"/>
      <c r="AA427" s="447"/>
      <c r="AB427" s="447"/>
      <c r="AC427" s="447"/>
      <c r="AD427" s="447"/>
      <c r="AE427" s="447"/>
      <c r="AF427" s="448"/>
      <c r="AG427" s="448"/>
      <c r="AH427" s="448"/>
      <c r="AI427" s="447"/>
      <c r="AJ427" s="447"/>
      <c r="AK427" s="447"/>
      <c r="AL427" s="447"/>
      <c r="AM427" s="447"/>
      <c r="AN427" s="447"/>
      <c r="AO427" s="447"/>
      <c r="AP427" s="447"/>
      <c r="AQ427" s="447"/>
      <c r="AR427" s="447"/>
      <c r="AS427" s="447"/>
      <c r="AT427" s="447"/>
      <c r="AU427" s="447"/>
      <c r="AV427" s="447"/>
      <c r="AW427" s="447"/>
      <c r="AX427" s="447"/>
      <c r="AY427" s="447"/>
      <c r="AZ427" s="447"/>
      <c r="BA427" s="447"/>
      <c r="BB427" s="447"/>
      <c r="BC427" s="447"/>
      <c r="BD427" s="447"/>
      <c r="BE427" s="447"/>
      <c r="BF427" s="447"/>
      <c r="BG427" s="447"/>
      <c r="BH427" s="447"/>
      <c r="BI427" s="447"/>
      <c r="BJ427" s="447"/>
      <c r="BK427" s="447"/>
      <c r="BL427" s="447"/>
      <c r="BM427" s="448"/>
      <c r="BN427" s="448"/>
    </row>
    <row r="428" spans="1:66" ht="11.25" customHeight="1">
      <c r="A428" s="469"/>
      <c r="B428" s="447"/>
      <c r="C428" s="447"/>
      <c r="D428" s="447"/>
      <c r="E428" s="447"/>
      <c r="F428" s="447"/>
      <c r="G428" s="447"/>
      <c r="H428" s="447"/>
      <c r="I428" s="447"/>
      <c r="J428" s="447"/>
      <c r="K428" s="447"/>
      <c r="L428" s="447"/>
      <c r="M428" s="447"/>
      <c r="N428" s="447"/>
      <c r="O428" s="447"/>
      <c r="P428" s="447"/>
      <c r="Q428" s="447"/>
      <c r="R428" s="447"/>
      <c r="S428" s="447"/>
      <c r="T428" s="447"/>
      <c r="U428" s="447"/>
      <c r="V428" s="447"/>
      <c r="W428" s="447"/>
      <c r="X428" s="447"/>
      <c r="Y428" s="447"/>
      <c r="Z428" s="447"/>
      <c r="AA428" s="447"/>
      <c r="AB428" s="447"/>
      <c r="AC428" s="447"/>
      <c r="AD428" s="447"/>
      <c r="AE428" s="447"/>
      <c r="AF428" s="448"/>
      <c r="AG428" s="448"/>
      <c r="AH428" s="448"/>
      <c r="AI428" s="447"/>
      <c r="AJ428" s="447"/>
      <c r="AK428" s="447"/>
      <c r="AL428" s="447"/>
      <c r="AM428" s="447"/>
      <c r="AN428" s="447"/>
      <c r="AO428" s="447"/>
      <c r="AP428" s="447"/>
      <c r="AQ428" s="447"/>
      <c r="AR428" s="447"/>
      <c r="AS428" s="447"/>
      <c r="AT428" s="447"/>
      <c r="AU428" s="447"/>
      <c r="AV428" s="447"/>
      <c r="AW428" s="447"/>
      <c r="AX428" s="447"/>
      <c r="AY428" s="447"/>
      <c r="AZ428" s="447"/>
      <c r="BA428" s="447"/>
      <c r="BB428" s="447"/>
      <c r="BC428" s="447"/>
      <c r="BD428" s="447"/>
      <c r="BE428" s="447"/>
      <c r="BF428" s="447"/>
      <c r="BG428" s="447"/>
      <c r="BH428" s="447"/>
      <c r="BI428" s="447"/>
      <c r="BJ428" s="447"/>
      <c r="BK428" s="447"/>
      <c r="BL428" s="447"/>
      <c r="BM428" s="448"/>
      <c r="BN428" s="448"/>
    </row>
    <row r="429" spans="1:66" ht="11.25" customHeight="1">
      <c r="A429" s="469"/>
      <c r="B429" s="447"/>
      <c r="C429" s="447"/>
      <c r="D429" s="447"/>
      <c r="E429" s="447"/>
      <c r="F429" s="447"/>
      <c r="G429" s="447"/>
      <c r="H429" s="447"/>
      <c r="I429" s="447"/>
      <c r="J429" s="447"/>
      <c r="K429" s="447"/>
      <c r="L429" s="447"/>
      <c r="M429" s="447"/>
      <c r="N429" s="447"/>
      <c r="O429" s="447"/>
      <c r="P429" s="447"/>
      <c r="Q429" s="447"/>
      <c r="R429" s="447"/>
      <c r="S429" s="447"/>
      <c r="T429" s="447"/>
      <c r="U429" s="447"/>
      <c r="V429" s="447"/>
      <c r="W429" s="447"/>
      <c r="X429" s="447"/>
      <c r="Y429" s="447"/>
      <c r="Z429" s="447"/>
      <c r="AA429" s="447"/>
      <c r="AB429" s="447"/>
      <c r="AC429" s="447"/>
      <c r="AD429" s="447"/>
      <c r="AE429" s="447"/>
      <c r="AF429" s="448"/>
      <c r="AG429" s="448"/>
      <c r="AH429" s="448"/>
      <c r="AI429" s="447"/>
      <c r="AJ429" s="447"/>
      <c r="AK429" s="447"/>
      <c r="AL429" s="447"/>
      <c r="AM429" s="447"/>
      <c r="AN429" s="447"/>
      <c r="AO429" s="447"/>
      <c r="AP429" s="447"/>
      <c r="AQ429" s="447"/>
      <c r="AR429" s="447"/>
      <c r="AS429" s="447"/>
      <c r="AT429" s="447"/>
      <c r="AU429" s="447"/>
      <c r="AV429" s="447"/>
      <c r="AW429" s="447"/>
      <c r="AX429" s="447"/>
      <c r="AY429" s="447"/>
      <c r="AZ429" s="447"/>
      <c r="BA429" s="447"/>
      <c r="BB429" s="447"/>
      <c r="BC429" s="447"/>
      <c r="BD429" s="447"/>
      <c r="BE429" s="447"/>
      <c r="BF429" s="447"/>
      <c r="BG429" s="447"/>
      <c r="BH429" s="447"/>
      <c r="BI429" s="447"/>
      <c r="BJ429" s="447"/>
      <c r="BK429" s="447"/>
      <c r="BL429" s="447"/>
      <c r="BM429" s="448"/>
      <c r="BN429" s="448"/>
    </row>
    <row r="430" spans="1:66" ht="11.25" customHeight="1">
      <c r="A430" s="469"/>
      <c r="B430" s="447"/>
      <c r="C430" s="447"/>
      <c r="D430" s="447"/>
      <c r="E430" s="447"/>
      <c r="F430" s="447"/>
      <c r="G430" s="447"/>
      <c r="H430" s="447"/>
      <c r="I430" s="447"/>
      <c r="J430" s="447"/>
      <c r="K430" s="447"/>
      <c r="L430" s="447"/>
      <c r="M430" s="447"/>
      <c r="N430" s="447"/>
      <c r="O430" s="447"/>
      <c r="P430" s="447"/>
      <c r="Q430" s="447"/>
      <c r="R430" s="447"/>
      <c r="S430" s="447"/>
      <c r="T430" s="447"/>
      <c r="U430" s="447"/>
      <c r="V430" s="447"/>
      <c r="W430" s="447"/>
      <c r="X430" s="447"/>
      <c r="Y430" s="447"/>
      <c r="Z430" s="447"/>
      <c r="AA430" s="447"/>
      <c r="AB430" s="447"/>
      <c r="AC430" s="447"/>
      <c r="AD430" s="447"/>
      <c r="AE430" s="447"/>
      <c r="AF430" s="448"/>
      <c r="AG430" s="448"/>
      <c r="AH430" s="448"/>
      <c r="AI430" s="447"/>
      <c r="AJ430" s="447"/>
      <c r="AK430" s="447"/>
      <c r="AL430" s="447"/>
      <c r="AM430" s="447"/>
      <c r="AN430" s="447"/>
      <c r="AO430" s="447"/>
      <c r="AP430" s="447"/>
      <c r="AQ430" s="447"/>
      <c r="AR430" s="447"/>
      <c r="AS430" s="447"/>
      <c r="AT430" s="447"/>
      <c r="AU430" s="447"/>
      <c r="AV430" s="447"/>
      <c r="AW430" s="447"/>
      <c r="AX430" s="447"/>
      <c r="AY430" s="447"/>
      <c r="AZ430" s="447"/>
      <c r="BA430" s="447"/>
      <c r="BB430" s="447"/>
      <c r="BC430" s="447"/>
      <c r="BD430" s="447"/>
      <c r="BE430" s="447"/>
      <c r="BF430" s="447"/>
      <c r="BG430" s="447"/>
      <c r="BH430" s="447"/>
      <c r="BI430" s="447"/>
      <c r="BJ430" s="447"/>
      <c r="BK430" s="447"/>
      <c r="BL430" s="447"/>
      <c r="BM430" s="448"/>
      <c r="BN430" s="448"/>
    </row>
    <row r="431" spans="1:66" ht="11.25" customHeight="1">
      <c r="A431" s="469"/>
      <c r="B431" s="447"/>
      <c r="C431" s="447"/>
      <c r="D431" s="447"/>
      <c r="E431" s="447"/>
      <c r="F431" s="447"/>
      <c r="G431" s="447"/>
      <c r="H431" s="447"/>
      <c r="I431" s="447"/>
      <c r="J431" s="447"/>
      <c r="K431" s="447"/>
      <c r="L431" s="447"/>
      <c r="M431" s="447"/>
      <c r="N431" s="447"/>
      <c r="O431" s="447"/>
      <c r="P431" s="447"/>
      <c r="Q431" s="447"/>
      <c r="R431" s="447"/>
      <c r="S431" s="447"/>
      <c r="T431" s="447"/>
      <c r="U431" s="447"/>
      <c r="V431" s="447"/>
      <c r="W431" s="447"/>
      <c r="X431" s="447"/>
      <c r="Y431" s="447"/>
      <c r="Z431" s="447"/>
      <c r="AA431" s="447"/>
      <c r="AB431" s="447"/>
      <c r="AC431" s="447"/>
      <c r="AD431" s="447"/>
      <c r="AE431" s="447"/>
      <c r="AF431" s="448"/>
      <c r="AG431" s="448"/>
      <c r="AH431" s="448"/>
      <c r="AI431" s="447"/>
      <c r="AJ431" s="447"/>
      <c r="AK431" s="447"/>
      <c r="AL431" s="447"/>
      <c r="AM431" s="447"/>
      <c r="AN431" s="447"/>
      <c r="AO431" s="447"/>
      <c r="AP431" s="447"/>
      <c r="AQ431" s="447"/>
      <c r="AR431" s="447"/>
      <c r="AS431" s="447"/>
      <c r="AT431" s="447"/>
      <c r="AU431" s="447"/>
      <c r="AV431" s="447"/>
      <c r="AW431" s="447"/>
      <c r="AX431" s="447"/>
      <c r="AY431" s="447"/>
      <c r="AZ431" s="447"/>
      <c r="BA431" s="447"/>
      <c r="BB431" s="447"/>
      <c r="BC431" s="447"/>
      <c r="BD431" s="447"/>
      <c r="BE431" s="447"/>
      <c r="BF431" s="447"/>
      <c r="BG431" s="447"/>
      <c r="BH431" s="447"/>
      <c r="BI431" s="447"/>
      <c r="BJ431" s="447"/>
      <c r="BK431" s="447"/>
      <c r="BL431" s="447"/>
      <c r="BM431" s="448"/>
      <c r="BN431" s="448"/>
    </row>
    <row r="432" spans="1:66" ht="11.25" customHeight="1">
      <c r="A432" s="469"/>
      <c r="B432" s="447"/>
      <c r="C432" s="447"/>
      <c r="D432" s="447"/>
      <c r="E432" s="447"/>
      <c r="F432" s="447"/>
      <c r="G432" s="447"/>
      <c r="H432" s="447"/>
      <c r="I432" s="447"/>
      <c r="J432" s="447"/>
      <c r="K432" s="447"/>
      <c r="L432" s="447"/>
      <c r="M432" s="447"/>
      <c r="N432" s="447"/>
      <c r="O432" s="447"/>
      <c r="P432" s="447"/>
      <c r="Q432" s="447"/>
      <c r="R432" s="447"/>
      <c r="S432" s="447"/>
      <c r="T432" s="447"/>
      <c r="U432" s="447"/>
      <c r="V432" s="447"/>
      <c r="W432" s="447"/>
      <c r="X432" s="447"/>
      <c r="Y432" s="447"/>
      <c r="Z432" s="447"/>
      <c r="AA432" s="447"/>
      <c r="AB432" s="447"/>
      <c r="AC432" s="447"/>
      <c r="AD432" s="447"/>
      <c r="AE432" s="447"/>
      <c r="AF432" s="448"/>
      <c r="AG432" s="448"/>
      <c r="AH432" s="448"/>
      <c r="AI432" s="447"/>
      <c r="AJ432" s="447"/>
      <c r="AK432" s="447"/>
      <c r="AL432" s="447"/>
      <c r="AM432" s="447"/>
      <c r="AN432" s="447"/>
      <c r="AO432" s="447"/>
      <c r="AP432" s="447"/>
      <c r="AQ432" s="447"/>
      <c r="AR432" s="447"/>
      <c r="AS432" s="447"/>
      <c r="AT432" s="447"/>
      <c r="AU432" s="447"/>
      <c r="AV432" s="447"/>
      <c r="AW432" s="447"/>
      <c r="AX432" s="447"/>
      <c r="AY432" s="447"/>
      <c r="AZ432" s="447"/>
      <c r="BA432" s="447"/>
      <c r="BB432" s="447"/>
      <c r="BC432" s="447"/>
      <c r="BD432" s="447"/>
      <c r="BE432" s="447"/>
      <c r="BF432" s="447"/>
      <c r="BG432" s="447"/>
      <c r="BH432" s="447"/>
      <c r="BI432" s="447"/>
      <c r="BJ432" s="447"/>
      <c r="BK432" s="447"/>
      <c r="BL432" s="447"/>
      <c r="BM432" s="448"/>
      <c r="BN432" s="448"/>
    </row>
    <row r="433" spans="1:66" ht="11.25" customHeight="1">
      <c r="A433" s="469"/>
      <c r="B433" s="447"/>
      <c r="C433" s="447"/>
      <c r="D433" s="447"/>
      <c r="E433" s="447"/>
      <c r="F433" s="447"/>
      <c r="G433" s="447"/>
      <c r="H433" s="447"/>
      <c r="I433" s="447"/>
      <c r="J433" s="447"/>
      <c r="K433" s="447"/>
      <c r="L433" s="447"/>
      <c r="M433" s="447"/>
      <c r="N433" s="447"/>
      <c r="O433" s="447"/>
      <c r="P433" s="447"/>
      <c r="Q433" s="447"/>
      <c r="R433" s="447"/>
      <c r="S433" s="447"/>
      <c r="T433" s="447"/>
      <c r="U433" s="447"/>
      <c r="V433" s="447"/>
      <c r="W433" s="447"/>
      <c r="X433" s="447"/>
      <c r="Y433" s="447"/>
      <c r="Z433" s="447"/>
      <c r="AA433" s="447"/>
      <c r="AB433" s="447"/>
      <c r="AC433" s="447"/>
      <c r="AD433" s="447"/>
      <c r="AE433" s="447"/>
      <c r="AF433" s="448"/>
      <c r="AG433" s="448"/>
      <c r="AH433" s="448"/>
      <c r="AI433" s="447"/>
      <c r="AJ433" s="447"/>
      <c r="AK433" s="447"/>
      <c r="AL433" s="447"/>
      <c r="AM433" s="447"/>
      <c r="AN433" s="447"/>
      <c r="AO433" s="447"/>
      <c r="AP433" s="447"/>
      <c r="AQ433" s="447"/>
      <c r="AR433" s="447"/>
      <c r="AS433" s="447"/>
      <c r="AT433" s="447"/>
      <c r="AU433" s="447"/>
      <c r="AV433" s="447"/>
      <c r="AW433" s="447"/>
      <c r="AX433" s="447"/>
      <c r="AY433" s="447"/>
      <c r="AZ433" s="447"/>
      <c r="BA433" s="447"/>
      <c r="BB433" s="447"/>
      <c r="BC433" s="447"/>
      <c r="BD433" s="447"/>
      <c r="BE433" s="447"/>
      <c r="BF433" s="447"/>
      <c r="BG433" s="447"/>
      <c r="BH433" s="447"/>
      <c r="BI433" s="447"/>
      <c r="BJ433" s="447"/>
      <c r="BK433" s="447"/>
      <c r="BL433" s="447"/>
      <c r="BM433" s="448"/>
      <c r="BN433" s="448"/>
    </row>
    <row r="434" spans="1:66" ht="11.25" customHeight="1">
      <c r="A434" s="469"/>
      <c r="B434" s="447"/>
      <c r="C434" s="447"/>
      <c r="D434" s="447"/>
      <c r="E434" s="447"/>
      <c r="F434" s="447"/>
      <c r="G434" s="447"/>
      <c r="H434" s="447"/>
      <c r="I434" s="447"/>
      <c r="J434" s="447"/>
      <c r="K434" s="447"/>
      <c r="L434" s="447"/>
      <c r="M434" s="447"/>
      <c r="N434" s="447"/>
      <c r="O434" s="447"/>
      <c r="P434" s="447"/>
      <c r="Q434" s="447"/>
      <c r="R434" s="447"/>
      <c r="S434" s="447"/>
      <c r="T434" s="447"/>
      <c r="U434" s="447"/>
      <c r="V434" s="447"/>
      <c r="W434" s="447"/>
      <c r="X434" s="447"/>
      <c r="Y434" s="447"/>
      <c r="Z434" s="447"/>
      <c r="AA434" s="447"/>
      <c r="AB434" s="447"/>
      <c r="AC434" s="447"/>
      <c r="AD434" s="447"/>
      <c r="AE434" s="447"/>
      <c r="AF434" s="448"/>
      <c r="AG434" s="448"/>
      <c r="AH434" s="448"/>
      <c r="AI434" s="447"/>
      <c r="AJ434" s="447"/>
      <c r="AK434" s="447"/>
      <c r="AL434" s="447"/>
      <c r="AM434" s="447"/>
      <c r="AN434" s="447"/>
      <c r="AO434" s="447"/>
      <c r="AP434" s="447"/>
      <c r="AQ434" s="447"/>
      <c r="AR434" s="447"/>
      <c r="AS434" s="447"/>
      <c r="AT434" s="447"/>
      <c r="AU434" s="447"/>
      <c r="AV434" s="447"/>
      <c r="AW434" s="447"/>
      <c r="AX434" s="447"/>
      <c r="AY434" s="447"/>
      <c r="AZ434" s="447"/>
      <c r="BA434" s="447"/>
      <c r="BB434" s="447"/>
      <c r="BC434" s="447"/>
      <c r="BD434" s="447"/>
      <c r="BE434" s="447"/>
      <c r="BF434" s="447"/>
      <c r="BG434" s="447"/>
      <c r="BH434" s="447"/>
      <c r="BI434" s="447"/>
      <c r="BJ434" s="447"/>
      <c r="BK434" s="447"/>
      <c r="BL434" s="447"/>
      <c r="BM434" s="448"/>
      <c r="BN434" s="448"/>
    </row>
    <row r="435" spans="1:66" ht="11.25" customHeight="1">
      <c r="A435" s="469"/>
      <c r="B435" s="447"/>
      <c r="C435" s="447"/>
      <c r="D435" s="447"/>
      <c r="E435" s="447"/>
      <c r="F435" s="447"/>
      <c r="G435" s="447"/>
      <c r="H435" s="447"/>
      <c r="I435" s="447"/>
      <c r="J435" s="447"/>
      <c r="K435" s="447"/>
      <c r="L435" s="447"/>
      <c r="M435" s="447"/>
      <c r="N435" s="447"/>
      <c r="O435" s="447"/>
      <c r="P435" s="447"/>
      <c r="Q435" s="447"/>
      <c r="R435" s="447"/>
      <c r="S435" s="447"/>
      <c r="T435" s="447"/>
      <c r="U435" s="447"/>
      <c r="V435" s="447"/>
      <c r="W435" s="447"/>
      <c r="X435" s="447"/>
      <c r="Y435" s="447"/>
      <c r="Z435" s="447"/>
      <c r="AA435" s="447"/>
      <c r="AB435" s="447"/>
      <c r="AC435" s="447"/>
      <c r="AD435" s="447"/>
      <c r="AE435" s="447"/>
      <c r="AF435" s="448"/>
      <c r="AG435" s="448"/>
      <c r="AH435" s="448"/>
      <c r="AI435" s="447"/>
      <c r="AJ435" s="447"/>
      <c r="AK435" s="447"/>
      <c r="AL435" s="447"/>
      <c r="AM435" s="447"/>
      <c r="AN435" s="447"/>
      <c r="AO435" s="447"/>
      <c r="AP435" s="447"/>
      <c r="AQ435" s="447"/>
      <c r="AR435" s="447"/>
      <c r="AS435" s="447"/>
      <c r="AT435" s="447"/>
      <c r="AU435" s="447"/>
      <c r="AV435" s="447"/>
      <c r="AW435" s="447"/>
      <c r="AX435" s="447"/>
      <c r="AY435" s="447"/>
      <c r="AZ435" s="447"/>
      <c r="BA435" s="447"/>
      <c r="BB435" s="447"/>
      <c r="BC435" s="447"/>
      <c r="BD435" s="447"/>
      <c r="BE435" s="447"/>
      <c r="BF435" s="447"/>
      <c r="BG435" s="447"/>
      <c r="BH435" s="447"/>
      <c r="BI435" s="447"/>
      <c r="BJ435" s="447"/>
      <c r="BK435" s="447"/>
      <c r="BL435" s="447"/>
      <c r="BM435" s="448"/>
      <c r="BN435" s="448"/>
    </row>
    <row r="436" spans="1:66" ht="11.25" customHeight="1">
      <c r="A436" s="469"/>
      <c r="B436" s="447"/>
      <c r="C436" s="447"/>
      <c r="D436" s="447"/>
      <c r="E436" s="447"/>
      <c r="F436" s="447"/>
      <c r="G436" s="447"/>
      <c r="H436" s="447"/>
      <c r="I436" s="447"/>
      <c r="J436" s="447"/>
      <c r="K436" s="447"/>
      <c r="L436" s="447"/>
      <c r="M436" s="447"/>
      <c r="N436" s="447"/>
      <c r="O436" s="447"/>
      <c r="P436" s="447"/>
      <c r="Q436" s="447"/>
      <c r="R436" s="447"/>
      <c r="S436" s="447"/>
      <c r="T436" s="447"/>
      <c r="U436" s="447"/>
      <c r="V436" s="447"/>
      <c r="W436" s="447"/>
      <c r="X436" s="447"/>
      <c r="Y436" s="447"/>
      <c r="Z436" s="447"/>
      <c r="AA436" s="447"/>
      <c r="AB436" s="447"/>
      <c r="AC436" s="447"/>
      <c r="AD436" s="447"/>
      <c r="AE436" s="447"/>
      <c r="AF436" s="448"/>
      <c r="AG436" s="448"/>
      <c r="AH436" s="448"/>
      <c r="AI436" s="447"/>
      <c r="AJ436" s="447"/>
      <c r="AK436" s="447"/>
      <c r="AL436" s="447"/>
      <c r="AM436" s="447"/>
      <c r="AN436" s="447"/>
      <c r="AO436" s="447"/>
      <c r="AP436" s="447"/>
      <c r="AQ436" s="447"/>
      <c r="AR436" s="447"/>
      <c r="AS436" s="447"/>
      <c r="AT436" s="447"/>
      <c r="AU436" s="447"/>
      <c r="AV436" s="447"/>
      <c r="AW436" s="447"/>
      <c r="AX436" s="447"/>
      <c r="AY436" s="447"/>
      <c r="AZ436" s="447"/>
      <c r="BA436" s="447"/>
      <c r="BB436" s="447"/>
      <c r="BC436" s="447"/>
      <c r="BD436" s="447"/>
      <c r="BE436" s="447"/>
      <c r="BF436" s="447"/>
      <c r="BG436" s="447"/>
      <c r="BH436" s="447"/>
      <c r="BI436" s="447"/>
      <c r="BJ436" s="447"/>
      <c r="BK436" s="447"/>
      <c r="BL436" s="447"/>
      <c r="BM436" s="448"/>
      <c r="BN436" s="448"/>
    </row>
    <row r="437" spans="1:66" ht="11.25" customHeight="1">
      <c r="A437" s="469"/>
      <c r="B437" s="447"/>
      <c r="C437" s="447"/>
      <c r="D437" s="447"/>
      <c r="E437" s="447"/>
      <c r="F437" s="447"/>
      <c r="G437" s="447"/>
      <c r="H437" s="447"/>
      <c r="I437" s="447"/>
      <c r="J437" s="447"/>
      <c r="K437" s="447"/>
      <c r="L437" s="447"/>
      <c r="M437" s="447"/>
      <c r="N437" s="447"/>
      <c r="O437" s="447"/>
      <c r="P437" s="447"/>
      <c r="Q437" s="447"/>
      <c r="R437" s="447"/>
      <c r="S437" s="447"/>
      <c r="T437" s="447"/>
      <c r="U437" s="447"/>
      <c r="V437" s="447"/>
      <c r="W437" s="447"/>
      <c r="X437" s="447"/>
      <c r="Y437" s="447"/>
      <c r="Z437" s="447"/>
      <c r="AA437" s="447"/>
      <c r="AB437" s="447"/>
      <c r="AC437" s="447"/>
      <c r="AD437" s="447"/>
      <c r="AE437" s="447"/>
      <c r="AF437" s="448"/>
      <c r="AG437" s="448"/>
      <c r="AH437" s="448"/>
      <c r="AI437" s="447"/>
      <c r="AJ437" s="447"/>
      <c r="AK437" s="447"/>
      <c r="AL437" s="447"/>
      <c r="AM437" s="447"/>
      <c r="AN437" s="447"/>
      <c r="AO437" s="447"/>
      <c r="AP437" s="447"/>
      <c r="AQ437" s="447"/>
      <c r="AR437" s="447"/>
      <c r="AS437" s="447"/>
      <c r="AT437" s="447"/>
      <c r="AU437" s="447"/>
      <c r="AV437" s="447"/>
      <c r="AW437" s="447"/>
      <c r="AX437" s="447"/>
      <c r="AY437" s="447"/>
      <c r="AZ437" s="447"/>
      <c r="BA437" s="447"/>
      <c r="BB437" s="447"/>
      <c r="BC437" s="447"/>
      <c r="BD437" s="447"/>
      <c r="BE437" s="447"/>
      <c r="BF437" s="447"/>
      <c r="BG437" s="447"/>
      <c r="BH437" s="447"/>
      <c r="BI437" s="447"/>
      <c r="BJ437" s="447"/>
      <c r="BK437" s="447"/>
      <c r="BL437" s="447"/>
      <c r="BM437" s="448"/>
      <c r="BN437" s="448"/>
    </row>
    <row r="438" spans="1:66" ht="11.25" customHeight="1">
      <c r="A438" s="469"/>
      <c r="B438" s="447"/>
      <c r="C438" s="447"/>
      <c r="D438" s="447"/>
      <c r="E438" s="447"/>
      <c r="F438" s="447"/>
      <c r="G438" s="447"/>
      <c r="H438" s="447"/>
      <c r="I438" s="447"/>
      <c r="J438" s="447"/>
      <c r="K438" s="447"/>
      <c r="L438" s="447"/>
      <c r="M438" s="447"/>
      <c r="N438" s="447"/>
      <c r="O438" s="447"/>
      <c r="P438" s="447"/>
      <c r="Q438" s="447"/>
      <c r="R438" s="447"/>
      <c r="S438" s="447"/>
      <c r="T438" s="447"/>
      <c r="U438" s="447"/>
      <c r="V438" s="447"/>
      <c r="W438" s="447"/>
      <c r="X438" s="447"/>
      <c r="Y438" s="447"/>
      <c r="Z438" s="447"/>
      <c r="AA438" s="447"/>
      <c r="AB438" s="447"/>
      <c r="AC438" s="447"/>
      <c r="AD438" s="447"/>
      <c r="AE438" s="447"/>
      <c r="AF438" s="448"/>
      <c r="AG438" s="448"/>
      <c r="AH438" s="448"/>
      <c r="AI438" s="447"/>
      <c r="AJ438" s="447"/>
      <c r="AK438" s="447"/>
      <c r="AL438" s="447"/>
      <c r="AM438" s="447"/>
      <c r="AN438" s="447"/>
      <c r="AO438" s="447"/>
      <c r="AP438" s="447"/>
      <c r="AQ438" s="447"/>
      <c r="AR438" s="447"/>
      <c r="AS438" s="447"/>
      <c r="AT438" s="447"/>
      <c r="AU438" s="447"/>
      <c r="AV438" s="447"/>
      <c r="AW438" s="447"/>
      <c r="AX438" s="447"/>
      <c r="AY438" s="447"/>
      <c r="AZ438" s="447"/>
      <c r="BA438" s="447"/>
      <c r="BB438" s="447"/>
      <c r="BC438" s="447"/>
      <c r="BD438" s="447"/>
      <c r="BE438" s="447"/>
      <c r="BF438" s="447"/>
      <c r="BG438" s="447"/>
      <c r="BH438" s="447"/>
      <c r="BI438" s="447"/>
      <c r="BJ438" s="447"/>
      <c r="BK438" s="447"/>
      <c r="BL438" s="447"/>
      <c r="BM438" s="448"/>
      <c r="BN438" s="448"/>
    </row>
    <row r="439" spans="1:66" ht="11.25" customHeight="1">
      <c r="A439" s="469"/>
      <c r="B439" s="447"/>
      <c r="C439" s="447"/>
      <c r="D439" s="447"/>
      <c r="E439" s="447"/>
      <c r="F439" s="447"/>
      <c r="G439" s="447"/>
      <c r="H439" s="447"/>
      <c r="I439" s="447"/>
      <c r="J439" s="447"/>
      <c r="K439" s="447"/>
      <c r="L439" s="447"/>
      <c r="M439" s="447"/>
      <c r="N439" s="447"/>
      <c r="O439" s="447"/>
      <c r="P439" s="447"/>
      <c r="Q439" s="447"/>
      <c r="R439" s="447"/>
      <c r="S439" s="447"/>
      <c r="T439" s="447"/>
      <c r="U439" s="447"/>
      <c r="V439" s="447"/>
      <c r="W439" s="447"/>
      <c r="X439" s="447"/>
      <c r="Y439" s="447"/>
      <c r="Z439" s="447"/>
      <c r="AA439" s="447"/>
      <c r="AB439" s="447"/>
      <c r="AC439" s="447"/>
      <c r="AD439" s="447"/>
      <c r="AE439" s="447"/>
      <c r="AF439" s="448"/>
      <c r="AG439" s="448"/>
      <c r="AH439" s="448"/>
      <c r="AI439" s="447"/>
      <c r="AJ439" s="447"/>
      <c r="AK439" s="447"/>
      <c r="AL439" s="447"/>
      <c r="AM439" s="447"/>
      <c r="AN439" s="447"/>
      <c r="AO439" s="447"/>
      <c r="AP439" s="447"/>
      <c r="AQ439" s="447"/>
      <c r="AR439" s="447"/>
      <c r="AS439" s="447"/>
      <c r="AT439" s="447"/>
      <c r="AU439" s="447"/>
      <c r="AV439" s="447"/>
      <c r="AW439" s="447"/>
      <c r="AX439" s="447"/>
      <c r="AY439" s="447"/>
      <c r="AZ439" s="447"/>
      <c r="BA439" s="447"/>
      <c r="BB439" s="447"/>
      <c r="BC439" s="447"/>
      <c r="BD439" s="447"/>
      <c r="BE439" s="447"/>
      <c r="BF439" s="447"/>
      <c r="BG439" s="447"/>
      <c r="BH439" s="447"/>
      <c r="BI439" s="447"/>
      <c r="BJ439" s="447"/>
      <c r="BK439" s="447"/>
      <c r="BL439" s="447"/>
      <c r="BM439" s="448"/>
      <c r="BN439" s="448"/>
    </row>
    <row r="440" spans="1:66" ht="11.25" customHeight="1">
      <c r="A440" s="469"/>
      <c r="B440" s="447"/>
      <c r="C440" s="447"/>
      <c r="D440" s="447"/>
      <c r="E440" s="447"/>
      <c r="F440" s="447"/>
      <c r="G440" s="447"/>
      <c r="H440" s="447"/>
      <c r="I440" s="447"/>
      <c r="J440" s="447"/>
      <c r="K440" s="447"/>
      <c r="L440" s="447"/>
      <c r="M440" s="447"/>
      <c r="N440" s="447"/>
      <c r="O440" s="447"/>
      <c r="P440" s="447"/>
      <c r="Q440" s="447"/>
      <c r="R440" s="447"/>
      <c r="S440" s="447"/>
      <c r="T440" s="447"/>
      <c r="U440" s="447"/>
      <c r="V440" s="447"/>
      <c r="W440" s="447"/>
      <c r="X440" s="447"/>
      <c r="Y440" s="447"/>
      <c r="Z440" s="447"/>
      <c r="AA440" s="447"/>
      <c r="AB440" s="447"/>
      <c r="AC440" s="447"/>
      <c r="AD440" s="447"/>
      <c r="AE440" s="447"/>
      <c r="AF440" s="448"/>
      <c r="AG440" s="448"/>
      <c r="AH440" s="448"/>
      <c r="AI440" s="447"/>
      <c r="AJ440" s="447"/>
      <c r="AK440" s="447"/>
      <c r="AL440" s="447"/>
      <c r="AM440" s="447"/>
      <c r="AN440" s="447"/>
      <c r="AO440" s="447"/>
      <c r="AP440" s="447"/>
      <c r="AQ440" s="447"/>
      <c r="AR440" s="447"/>
      <c r="AS440" s="447"/>
      <c r="AT440" s="447"/>
      <c r="AU440" s="447"/>
      <c r="AV440" s="447"/>
      <c r="AW440" s="447"/>
      <c r="AX440" s="447"/>
      <c r="AY440" s="447"/>
      <c r="AZ440" s="447"/>
      <c r="BA440" s="447"/>
      <c r="BB440" s="447"/>
      <c r="BC440" s="447"/>
      <c r="BD440" s="447"/>
      <c r="BE440" s="447"/>
      <c r="BF440" s="447"/>
      <c r="BG440" s="447"/>
      <c r="BH440" s="447"/>
      <c r="BI440" s="447"/>
      <c r="BJ440" s="447"/>
      <c r="BK440" s="447"/>
      <c r="BL440" s="447"/>
      <c r="BM440" s="448"/>
      <c r="BN440" s="448"/>
    </row>
    <row r="441" spans="1:66" ht="11.25" customHeight="1">
      <c r="A441" s="469"/>
      <c r="B441" s="447"/>
      <c r="C441" s="447"/>
      <c r="D441" s="447"/>
      <c r="E441" s="447"/>
      <c r="F441" s="447"/>
      <c r="G441" s="447"/>
      <c r="H441" s="447"/>
      <c r="I441" s="447"/>
      <c r="J441" s="447"/>
      <c r="K441" s="447"/>
      <c r="L441" s="447"/>
      <c r="M441" s="447"/>
      <c r="N441" s="447"/>
      <c r="O441" s="447"/>
      <c r="P441" s="447"/>
      <c r="Q441" s="447"/>
      <c r="R441" s="447"/>
      <c r="S441" s="447"/>
      <c r="T441" s="447"/>
      <c r="U441" s="447"/>
      <c r="V441" s="447"/>
      <c r="W441" s="447"/>
      <c r="X441" s="447"/>
      <c r="Y441" s="447"/>
      <c r="Z441" s="447"/>
      <c r="AA441" s="447"/>
      <c r="AB441" s="447"/>
      <c r="AC441" s="447"/>
      <c r="AD441" s="447"/>
      <c r="AE441" s="447"/>
      <c r="AF441" s="448"/>
      <c r="AG441" s="448"/>
      <c r="AH441" s="448"/>
      <c r="AI441" s="447"/>
      <c r="AJ441" s="447"/>
      <c r="AK441" s="447"/>
      <c r="AL441" s="447"/>
      <c r="AM441" s="447"/>
      <c r="AN441" s="447"/>
      <c r="AO441" s="447"/>
      <c r="AP441" s="447"/>
      <c r="AQ441" s="447"/>
      <c r="AR441" s="447"/>
      <c r="AS441" s="447"/>
      <c r="AT441" s="447"/>
      <c r="AU441" s="447"/>
      <c r="AV441" s="447"/>
      <c r="AW441" s="447"/>
      <c r="AX441" s="447"/>
      <c r="AY441" s="447"/>
      <c r="AZ441" s="447"/>
      <c r="BA441" s="447"/>
      <c r="BB441" s="447"/>
      <c r="BC441" s="447"/>
      <c r="BD441" s="447"/>
      <c r="BE441" s="447"/>
      <c r="BF441" s="447"/>
      <c r="BG441" s="447"/>
      <c r="BH441" s="447"/>
      <c r="BI441" s="447"/>
      <c r="BJ441" s="447"/>
      <c r="BK441" s="447"/>
      <c r="BL441" s="447"/>
      <c r="BM441" s="448"/>
      <c r="BN441" s="448"/>
    </row>
    <row r="442" spans="1:66" ht="11.25" customHeight="1">
      <c r="A442" s="469"/>
      <c r="B442" s="447"/>
      <c r="C442" s="447"/>
      <c r="D442" s="447"/>
      <c r="E442" s="447"/>
      <c r="F442" s="447"/>
      <c r="G442" s="447"/>
      <c r="H442" s="447"/>
      <c r="I442" s="447"/>
      <c r="J442" s="447"/>
      <c r="K442" s="447"/>
      <c r="L442" s="447"/>
      <c r="M442" s="447"/>
      <c r="N442" s="447"/>
      <c r="O442" s="447"/>
      <c r="P442" s="447"/>
      <c r="Q442" s="447"/>
      <c r="R442" s="447"/>
      <c r="S442" s="447"/>
      <c r="T442" s="447"/>
      <c r="U442" s="447"/>
      <c r="V442" s="447"/>
      <c r="W442" s="447"/>
      <c r="X442" s="447"/>
      <c r="Y442" s="447"/>
      <c r="Z442" s="447"/>
      <c r="AA442" s="447"/>
      <c r="AB442" s="447"/>
      <c r="AC442" s="447"/>
      <c r="AD442" s="447"/>
      <c r="AE442" s="447"/>
      <c r="AF442" s="448"/>
      <c r="AG442" s="448"/>
      <c r="AH442" s="448"/>
      <c r="AI442" s="447"/>
      <c r="AJ442" s="447"/>
      <c r="AK442" s="447"/>
      <c r="AL442" s="447"/>
      <c r="AM442" s="447"/>
      <c r="AN442" s="447"/>
      <c r="AO442" s="447"/>
      <c r="AP442" s="447"/>
      <c r="AQ442" s="447"/>
      <c r="AR442" s="447"/>
      <c r="AS442" s="447"/>
      <c r="AT442" s="447"/>
      <c r="AU442" s="447"/>
      <c r="AV442" s="447"/>
      <c r="AW442" s="447"/>
      <c r="AX442" s="447"/>
      <c r="AY442" s="447"/>
      <c r="AZ442" s="447"/>
      <c r="BA442" s="447"/>
      <c r="BB442" s="447"/>
      <c r="BC442" s="447"/>
      <c r="BD442" s="447"/>
      <c r="BE442" s="447"/>
      <c r="BF442" s="447"/>
      <c r="BG442" s="447"/>
      <c r="BH442" s="447"/>
      <c r="BI442" s="447"/>
      <c r="BJ442" s="447"/>
      <c r="BK442" s="447"/>
      <c r="BL442" s="447"/>
      <c r="BM442" s="448"/>
      <c r="BN442" s="448"/>
    </row>
    <row r="443" spans="1:66" ht="11.25" customHeight="1">
      <c r="A443" s="469"/>
      <c r="B443" s="447"/>
      <c r="C443" s="447"/>
      <c r="D443" s="447"/>
      <c r="E443" s="447"/>
      <c r="F443" s="447"/>
      <c r="G443" s="447"/>
      <c r="H443" s="447"/>
      <c r="I443" s="447"/>
      <c r="J443" s="447"/>
      <c r="K443" s="447"/>
      <c r="L443" s="447"/>
      <c r="M443" s="447"/>
      <c r="N443" s="447"/>
      <c r="O443" s="447"/>
      <c r="P443" s="447"/>
      <c r="Q443" s="447"/>
      <c r="R443" s="447"/>
      <c r="S443" s="447"/>
      <c r="T443" s="447"/>
      <c r="U443" s="447"/>
      <c r="V443" s="447"/>
      <c r="W443" s="447"/>
      <c r="X443" s="447"/>
      <c r="Y443" s="447"/>
      <c r="Z443" s="447"/>
      <c r="AA443" s="447"/>
      <c r="AB443" s="447"/>
      <c r="AC443" s="447"/>
      <c r="AD443" s="447"/>
      <c r="AE443" s="447"/>
      <c r="AF443" s="448"/>
      <c r="AG443" s="448"/>
      <c r="AH443" s="448"/>
      <c r="AI443" s="447"/>
      <c r="AJ443" s="447"/>
      <c r="AK443" s="447"/>
      <c r="AL443" s="447"/>
      <c r="AM443" s="447"/>
      <c r="AN443" s="447"/>
      <c r="AO443" s="447"/>
      <c r="AP443" s="447"/>
      <c r="AQ443" s="447"/>
      <c r="AR443" s="447"/>
      <c r="AS443" s="447"/>
      <c r="AT443" s="447"/>
      <c r="AU443" s="447"/>
      <c r="AV443" s="447"/>
      <c r="AW443" s="447"/>
      <c r="AX443" s="447"/>
      <c r="AY443" s="447"/>
      <c r="AZ443" s="447"/>
      <c r="BA443" s="447"/>
      <c r="BB443" s="447"/>
      <c r="BC443" s="447"/>
      <c r="BD443" s="447"/>
      <c r="BE443" s="447"/>
      <c r="BF443" s="447"/>
      <c r="BG443" s="447"/>
      <c r="BH443" s="447"/>
      <c r="BI443" s="447"/>
      <c r="BJ443" s="447"/>
      <c r="BK443" s="447"/>
      <c r="BL443" s="447"/>
      <c r="BM443" s="448"/>
      <c r="BN443" s="448"/>
    </row>
    <row r="444" spans="1:66" ht="11.25" customHeight="1">
      <c r="A444" s="469"/>
      <c r="B444" s="447"/>
      <c r="C444" s="447"/>
      <c r="D444" s="447"/>
      <c r="E444" s="447"/>
      <c r="F444" s="447"/>
      <c r="G444" s="447"/>
      <c r="H444" s="447"/>
      <c r="I444" s="447"/>
      <c r="J444" s="447"/>
      <c r="K444" s="447"/>
      <c r="L444" s="447"/>
      <c r="M444" s="447"/>
      <c r="N444" s="447"/>
      <c r="O444" s="447"/>
      <c r="P444" s="447"/>
      <c r="Q444" s="447"/>
      <c r="R444" s="447"/>
      <c r="S444" s="447"/>
      <c r="T444" s="447"/>
      <c r="U444" s="447"/>
      <c r="V444" s="447"/>
      <c r="W444" s="447"/>
      <c r="X444" s="447"/>
      <c r="Y444" s="447"/>
      <c r="Z444" s="447"/>
      <c r="AA444" s="447"/>
      <c r="AB444" s="447"/>
      <c r="AC444" s="447"/>
      <c r="AD444" s="447"/>
      <c r="AE444" s="447"/>
      <c r="AF444" s="448"/>
      <c r="AG444" s="448"/>
      <c r="AH444" s="448"/>
      <c r="AI444" s="447"/>
      <c r="AJ444" s="447"/>
      <c r="AK444" s="447"/>
      <c r="AL444" s="447"/>
      <c r="AM444" s="447"/>
      <c r="AN444" s="447"/>
      <c r="AO444" s="447"/>
      <c r="AP444" s="447"/>
      <c r="AQ444" s="447"/>
      <c r="AR444" s="447"/>
      <c r="AS444" s="447"/>
      <c r="AT444" s="447"/>
      <c r="AU444" s="447"/>
      <c r="AV444" s="447"/>
      <c r="AW444" s="447"/>
      <c r="AX444" s="447"/>
      <c r="AY444" s="447"/>
      <c r="AZ444" s="447"/>
      <c r="BA444" s="447"/>
      <c r="BB444" s="447"/>
      <c r="BC444" s="447"/>
      <c r="BD444" s="447"/>
      <c r="BE444" s="447"/>
      <c r="BF444" s="447"/>
      <c r="BG444" s="447"/>
      <c r="BH444" s="447"/>
      <c r="BI444" s="447"/>
      <c r="BJ444" s="447"/>
      <c r="BK444" s="447"/>
      <c r="BL444" s="447"/>
      <c r="BM444" s="448"/>
      <c r="BN444" s="448"/>
    </row>
    <row r="445" spans="1:66" ht="11.25" customHeight="1">
      <c r="A445" s="469"/>
      <c r="B445" s="447"/>
      <c r="C445" s="447"/>
      <c r="D445" s="447"/>
      <c r="E445" s="447"/>
      <c r="F445" s="447"/>
      <c r="G445" s="447"/>
      <c r="H445" s="447"/>
      <c r="I445" s="447"/>
      <c r="J445" s="447"/>
      <c r="K445" s="447"/>
      <c r="L445" s="447"/>
      <c r="M445" s="447"/>
      <c r="N445" s="447"/>
      <c r="O445" s="447"/>
      <c r="P445" s="447"/>
      <c r="Q445" s="447"/>
      <c r="R445" s="447"/>
      <c r="S445" s="447"/>
      <c r="T445" s="447"/>
      <c r="U445" s="447"/>
      <c r="V445" s="447"/>
      <c r="W445" s="447"/>
      <c r="X445" s="447"/>
      <c r="Y445" s="447"/>
      <c r="Z445" s="447"/>
      <c r="AA445" s="447"/>
      <c r="AB445" s="447"/>
      <c r="AC445" s="447"/>
      <c r="AD445" s="447"/>
      <c r="AE445" s="447"/>
      <c r="AF445" s="448"/>
      <c r="AG445" s="448"/>
      <c r="AH445" s="448"/>
      <c r="AI445" s="447"/>
      <c r="AJ445" s="447"/>
      <c r="AK445" s="447"/>
      <c r="AL445" s="447"/>
      <c r="AM445" s="447"/>
      <c r="AN445" s="447"/>
      <c r="AO445" s="447"/>
      <c r="AP445" s="447"/>
      <c r="AQ445" s="447"/>
      <c r="AR445" s="447"/>
      <c r="AS445" s="447"/>
      <c r="AT445" s="447"/>
      <c r="AU445" s="447"/>
      <c r="AV445" s="447"/>
      <c r="AW445" s="447"/>
      <c r="AX445" s="447"/>
      <c r="AY445" s="447"/>
      <c r="AZ445" s="447"/>
      <c r="BA445" s="447"/>
      <c r="BB445" s="447"/>
      <c r="BC445" s="447"/>
      <c r="BD445" s="447"/>
      <c r="BE445" s="447"/>
      <c r="BF445" s="447"/>
      <c r="BG445" s="447"/>
      <c r="BH445" s="447"/>
      <c r="BI445" s="447"/>
      <c r="BJ445" s="447"/>
      <c r="BK445" s="447"/>
      <c r="BL445" s="447"/>
      <c r="BM445" s="448"/>
      <c r="BN445" s="448"/>
    </row>
    <row r="446" spans="1:66" ht="11.25" customHeight="1">
      <c r="A446" s="469"/>
      <c r="B446" s="447"/>
      <c r="C446" s="447"/>
      <c r="D446" s="447"/>
      <c r="E446" s="447"/>
      <c r="F446" s="447"/>
      <c r="G446" s="447"/>
      <c r="H446" s="447"/>
      <c r="I446" s="447"/>
      <c r="J446" s="447"/>
      <c r="K446" s="447"/>
      <c r="L446" s="447"/>
      <c r="M446" s="447"/>
      <c r="N446" s="447"/>
      <c r="O446" s="447"/>
      <c r="P446" s="447"/>
      <c r="Q446" s="447"/>
      <c r="R446" s="447"/>
      <c r="S446" s="447"/>
      <c r="T446" s="447"/>
      <c r="U446" s="447"/>
      <c r="V446" s="447"/>
      <c r="W446" s="447"/>
      <c r="X446" s="447"/>
      <c r="Y446" s="447"/>
      <c r="Z446" s="447"/>
      <c r="AA446" s="447"/>
      <c r="AB446" s="447"/>
      <c r="AC446" s="447"/>
      <c r="AD446" s="447"/>
      <c r="AE446" s="447"/>
      <c r="AF446" s="448"/>
      <c r="AG446" s="448"/>
      <c r="AH446" s="448"/>
      <c r="AI446" s="447"/>
      <c r="AJ446" s="447"/>
      <c r="AK446" s="447"/>
      <c r="AL446" s="447"/>
      <c r="AM446" s="447"/>
      <c r="AN446" s="447"/>
      <c r="AO446" s="447"/>
      <c r="AP446" s="447"/>
      <c r="AQ446" s="447"/>
      <c r="AR446" s="447"/>
      <c r="AS446" s="447"/>
      <c r="AT446" s="447"/>
      <c r="AU446" s="447"/>
      <c r="AV446" s="447"/>
      <c r="AW446" s="447"/>
      <c r="AX446" s="447"/>
      <c r="AY446" s="447"/>
      <c r="AZ446" s="447"/>
      <c r="BA446" s="447"/>
      <c r="BB446" s="447"/>
      <c r="BC446" s="447"/>
      <c r="BD446" s="447"/>
      <c r="BE446" s="447"/>
      <c r="BF446" s="447"/>
      <c r="BG446" s="447"/>
      <c r="BH446" s="447"/>
      <c r="BI446" s="447"/>
      <c r="BJ446" s="447"/>
      <c r="BK446" s="447"/>
      <c r="BL446" s="447"/>
      <c r="BM446" s="448"/>
      <c r="BN446" s="448"/>
    </row>
    <row r="447" spans="1:66" ht="11.25" customHeight="1">
      <c r="A447" s="469"/>
      <c r="B447" s="447"/>
      <c r="C447" s="447"/>
      <c r="D447" s="447"/>
      <c r="E447" s="447"/>
      <c r="F447" s="447"/>
      <c r="G447" s="447"/>
      <c r="H447" s="447"/>
      <c r="I447" s="447"/>
      <c r="J447" s="447"/>
      <c r="K447" s="447"/>
      <c r="L447" s="447"/>
      <c r="M447" s="447"/>
      <c r="N447" s="447"/>
      <c r="O447" s="447"/>
      <c r="P447" s="447"/>
      <c r="Q447" s="447"/>
      <c r="R447" s="447"/>
      <c r="S447" s="447"/>
      <c r="T447" s="447"/>
      <c r="U447" s="447"/>
      <c r="V447" s="447"/>
      <c r="W447" s="447"/>
      <c r="X447" s="447"/>
      <c r="Y447" s="447"/>
      <c r="Z447" s="447"/>
      <c r="AA447" s="447"/>
      <c r="AB447" s="447"/>
      <c r="AC447" s="447"/>
      <c r="AD447" s="447"/>
      <c r="AE447" s="447"/>
      <c r="AF447" s="448"/>
      <c r="AG447" s="448"/>
      <c r="AH447" s="448"/>
      <c r="AI447" s="447"/>
      <c r="AJ447" s="447"/>
      <c r="AK447" s="447"/>
      <c r="AL447" s="447"/>
      <c r="AM447" s="447"/>
      <c r="AN447" s="447"/>
      <c r="AO447" s="447"/>
      <c r="AP447" s="447"/>
      <c r="AQ447" s="447"/>
      <c r="AR447" s="447"/>
      <c r="AS447" s="447"/>
      <c r="AT447" s="447"/>
      <c r="AU447" s="447"/>
      <c r="AV447" s="447"/>
      <c r="AW447" s="447"/>
      <c r="AX447" s="447"/>
      <c r="AY447" s="447"/>
      <c r="AZ447" s="447"/>
      <c r="BA447" s="447"/>
      <c r="BB447" s="447"/>
      <c r="BC447" s="447"/>
      <c r="BD447" s="447"/>
      <c r="BE447" s="447"/>
      <c r="BF447" s="447"/>
      <c r="BG447" s="447"/>
      <c r="BH447" s="447"/>
      <c r="BI447" s="447"/>
      <c r="BJ447" s="447"/>
      <c r="BK447" s="447"/>
      <c r="BL447" s="447"/>
      <c r="BM447" s="448"/>
      <c r="BN447" s="448"/>
    </row>
    <row r="448" spans="1:66" ht="11.25" customHeight="1">
      <c r="A448" s="469"/>
      <c r="B448" s="447"/>
      <c r="C448" s="447"/>
      <c r="D448" s="447"/>
      <c r="E448" s="447"/>
      <c r="F448" s="447"/>
      <c r="G448" s="447"/>
      <c r="H448" s="447"/>
      <c r="I448" s="447"/>
      <c r="J448" s="447"/>
      <c r="K448" s="447"/>
      <c r="L448" s="447"/>
      <c r="M448" s="447"/>
      <c r="N448" s="447"/>
      <c r="O448" s="447"/>
      <c r="P448" s="447"/>
      <c r="Q448" s="447"/>
      <c r="R448" s="447"/>
      <c r="S448" s="447"/>
      <c r="T448" s="447"/>
      <c r="U448" s="447"/>
      <c r="V448" s="447"/>
      <c r="W448" s="447"/>
      <c r="X448" s="447"/>
      <c r="Y448" s="447"/>
      <c r="Z448" s="447"/>
      <c r="AA448" s="447"/>
      <c r="AB448" s="447"/>
      <c r="AC448" s="447"/>
      <c r="AD448" s="447"/>
      <c r="AE448" s="447"/>
      <c r="AF448" s="448"/>
      <c r="AG448" s="448"/>
      <c r="AH448" s="448"/>
      <c r="AI448" s="447"/>
      <c r="AJ448" s="447"/>
      <c r="AK448" s="447"/>
      <c r="AL448" s="447"/>
      <c r="AM448" s="447"/>
      <c r="AN448" s="447"/>
      <c r="AO448" s="447"/>
      <c r="AP448" s="447"/>
      <c r="AQ448" s="447"/>
      <c r="AR448" s="447"/>
      <c r="AS448" s="447"/>
      <c r="AT448" s="447"/>
      <c r="AU448" s="447"/>
      <c r="AV448" s="447"/>
      <c r="AW448" s="447"/>
      <c r="AX448" s="447"/>
      <c r="AY448" s="447"/>
      <c r="AZ448" s="447"/>
      <c r="BA448" s="447"/>
      <c r="BB448" s="447"/>
      <c r="BC448" s="447"/>
      <c r="BD448" s="447"/>
      <c r="BE448" s="447"/>
      <c r="BF448" s="447"/>
      <c r="BG448" s="447"/>
      <c r="BH448" s="447"/>
      <c r="BI448" s="447"/>
      <c r="BJ448" s="447"/>
      <c r="BK448" s="447"/>
      <c r="BL448" s="447"/>
      <c r="BM448" s="448"/>
      <c r="BN448" s="448"/>
    </row>
    <row r="449" spans="1:66" ht="11.25" customHeight="1">
      <c r="A449" s="469"/>
      <c r="B449" s="447"/>
      <c r="C449" s="447"/>
      <c r="D449" s="447"/>
      <c r="E449" s="447"/>
      <c r="F449" s="447"/>
      <c r="G449" s="447"/>
      <c r="H449" s="447"/>
      <c r="I449" s="447"/>
      <c r="J449" s="447"/>
      <c r="K449" s="447"/>
      <c r="L449" s="447"/>
      <c r="M449" s="447"/>
      <c r="N449" s="447"/>
      <c r="O449" s="447"/>
      <c r="P449" s="447"/>
      <c r="Q449" s="447"/>
      <c r="R449" s="447"/>
      <c r="S449" s="447"/>
      <c r="T449" s="447"/>
      <c r="U449" s="447"/>
      <c r="V449" s="447"/>
      <c r="W449" s="447"/>
      <c r="X449" s="447"/>
      <c r="Y449" s="447"/>
      <c r="Z449" s="447"/>
      <c r="AA449" s="447"/>
      <c r="AB449" s="447"/>
      <c r="AC449" s="447"/>
      <c r="AD449" s="447"/>
      <c r="AE449" s="447"/>
      <c r="AF449" s="448"/>
      <c r="AG449" s="448"/>
      <c r="AH449" s="448"/>
      <c r="AI449" s="447"/>
      <c r="AJ449" s="447"/>
      <c r="AK449" s="447"/>
      <c r="AL449" s="447"/>
      <c r="AM449" s="447"/>
      <c r="AN449" s="447"/>
      <c r="AO449" s="447"/>
      <c r="AP449" s="447"/>
      <c r="AQ449" s="447"/>
      <c r="AR449" s="447"/>
      <c r="AS449" s="447"/>
      <c r="AT449" s="447"/>
      <c r="AU449" s="447"/>
      <c r="AV449" s="447"/>
      <c r="AW449" s="447"/>
      <c r="AX449" s="447"/>
      <c r="AY449" s="447"/>
      <c r="AZ449" s="447"/>
      <c r="BA449" s="447"/>
      <c r="BB449" s="447"/>
      <c r="BC449" s="447"/>
      <c r="BD449" s="447"/>
      <c r="BE449" s="447"/>
      <c r="BF449" s="447"/>
      <c r="BG449" s="447"/>
      <c r="BH449" s="447"/>
      <c r="BI449" s="447"/>
      <c r="BJ449" s="447"/>
      <c r="BK449" s="447"/>
      <c r="BL449" s="447"/>
      <c r="BM449" s="448"/>
      <c r="BN449" s="448"/>
    </row>
    <row r="450" spans="1:66" ht="11.25" customHeight="1">
      <c r="A450" s="469"/>
      <c r="B450" s="447"/>
      <c r="C450" s="447"/>
      <c r="D450" s="447"/>
      <c r="E450" s="447"/>
      <c r="F450" s="447"/>
      <c r="G450" s="447"/>
      <c r="H450" s="447"/>
      <c r="I450" s="447"/>
      <c r="J450" s="447"/>
      <c r="K450" s="447"/>
      <c r="L450" s="447"/>
      <c r="M450" s="447"/>
      <c r="N450" s="447"/>
      <c r="O450" s="447"/>
      <c r="P450" s="447"/>
      <c r="Q450" s="447"/>
      <c r="R450" s="447"/>
      <c r="S450" s="447"/>
      <c r="T450" s="447"/>
      <c r="U450" s="447"/>
      <c r="V450" s="447"/>
      <c r="W450" s="447"/>
      <c r="X450" s="447"/>
      <c r="Y450" s="447"/>
      <c r="Z450" s="447"/>
      <c r="AA450" s="447"/>
      <c r="AB450" s="447"/>
      <c r="AC450" s="447"/>
      <c r="AD450" s="447"/>
      <c r="AE450" s="447"/>
      <c r="AF450" s="448"/>
      <c r="AG450" s="448"/>
      <c r="AH450" s="448"/>
      <c r="AI450" s="447"/>
      <c r="AJ450" s="447"/>
      <c r="AK450" s="447"/>
      <c r="AL450" s="447"/>
      <c r="AM450" s="447"/>
      <c r="AN450" s="447"/>
      <c r="AO450" s="447"/>
      <c r="AP450" s="447"/>
      <c r="AQ450" s="447"/>
      <c r="AR450" s="447"/>
      <c r="AS450" s="447"/>
      <c r="AT450" s="447"/>
      <c r="AU450" s="447"/>
      <c r="AV450" s="447"/>
      <c r="AW450" s="447"/>
      <c r="AX450" s="447"/>
      <c r="AY450" s="447"/>
      <c r="AZ450" s="447"/>
      <c r="BA450" s="447"/>
      <c r="BB450" s="447"/>
      <c r="BC450" s="447"/>
      <c r="BD450" s="447"/>
      <c r="BE450" s="447"/>
      <c r="BF450" s="447"/>
      <c r="BG450" s="447"/>
      <c r="BH450" s="447"/>
      <c r="BI450" s="447"/>
      <c r="BJ450" s="447"/>
      <c r="BK450" s="447"/>
      <c r="BL450" s="447"/>
      <c r="BM450" s="448"/>
      <c r="BN450" s="448"/>
    </row>
    <row r="451" spans="1:66" ht="11.25" customHeight="1">
      <c r="A451" s="469"/>
      <c r="B451" s="447"/>
      <c r="C451" s="447"/>
      <c r="D451" s="447"/>
      <c r="E451" s="447"/>
      <c r="F451" s="447"/>
      <c r="G451" s="447"/>
      <c r="H451" s="447"/>
      <c r="I451" s="447"/>
      <c r="J451" s="447"/>
      <c r="K451" s="447"/>
      <c r="L451" s="447"/>
      <c r="M451" s="447"/>
      <c r="N451" s="447"/>
      <c r="O451" s="447"/>
      <c r="P451" s="447"/>
      <c r="Q451" s="447"/>
      <c r="R451" s="447"/>
      <c r="S451" s="447"/>
      <c r="T451" s="447"/>
      <c r="U451" s="447"/>
      <c r="V451" s="447"/>
      <c r="W451" s="447"/>
      <c r="X451" s="447"/>
      <c r="Y451" s="447"/>
      <c r="Z451" s="447"/>
      <c r="AA451" s="447"/>
      <c r="AB451" s="447"/>
      <c r="AC451" s="447"/>
      <c r="AD451" s="447"/>
      <c r="AE451" s="447"/>
      <c r="AF451" s="448"/>
      <c r="AG451" s="448"/>
      <c r="AH451" s="448"/>
      <c r="AI451" s="447"/>
      <c r="AJ451" s="447"/>
      <c r="AK451" s="447"/>
      <c r="AL451" s="447"/>
      <c r="AM451" s="447"/>
      <c r="AN451" s="447"/>
      <c r="AO451" s="447"/>
      <c r="AP451" s="447"/>
      <c r="AQ451" s="447"/>
      <c r="AR451" s="447"/>
      <c r="AS451" s="447"/>
      <c r="AT451" s="447"/>
      <c r="AU451" s="447"/>
      <c r="AV451" s="447"/>
      <c r="AW451" s="447"/>
      <c r="AX451" s="447"/>
      <c r="AY451" s="447"/>
      <c r="AZ451" s="447"/>
      <c r="BA451" s="447"/>
      <c r="BB451" s="447"/>
      <c r="BC451" s="447"/>
      <c r="BD451" s="447"/>
      <c r="BE451" s="447"/>
      <c r="BF451" s="447"/>
      <c r="BG451" s="447"/>
      <c r="BH451" s="447"/>
      <c r="BI451" s="447"/>
      <c r="BJ451" s="447"/>
      <c r="BK451" s="447"/>
      <c r="BL451" s="447"/>
      <c r="BM451" s="448"/>
      <c r="BN451" s="448"/>
    </row>
    <row r="452" spans="1:66" ht="11.25" customHeight="1">
      <c r="A452" s="469"/>
      <c r="B452" s="447"/>
      <c r="C452" s="447"/>
      <c r="D452" s="447"/>
      <c r="E452" s="447"/>
      <c r="F452" s="447"/>
      <c r="G452" s="447"/>
      <c r="H452" s="447"/>
      <c r="I452" s="447"/>
      <c r="J452" s="447"/>
      <c r="K452" s="447"/>
      <c r="L452" s="447"/>
      <c r="M452" s="447"/>
      <c r="N452" s="447"/>
      <c r="O452" s="447"/>
      <c r="P452" s="447"/>
      <c r="Q452" s="447"/>
      <c r="R452" s="447"/>
      <c r="S452" s="447"/>
      <c r="T452" s="447"/>
      <c r="U452" s="447"/>
      <c r="V452" s="447"/>
      <c r="W452" s="447"/>
      <c r="X452" s="447"/>
      <c r="Y452" s="447"/>
      <c r="Z452" s="447"/>
      <c r="AA452" s="447"/>
      <c r="AB452" s="447"/>
      <c r="AC452" s="447"/>
      <c r="AD452" s="447"/>
      <c r="AE452" s="447"/>
      <c r="AF452" s="448"/>
      <c r="AG452" s="448"/>
      <c r="AH452" s="448"/>
      <c r="AI452" s="447"/>
      <c r="AJ452" s="447"/>
      <c r="AK452" s="447"/>
      <c r="AL452" s="447"/>
      <c r="AM452" s="447"/>
      <c r="AN452" s="447"/>
      <c r="AO452" s="447"/>
      <c r="AP452" s="447"/>
      <c r="AQ452" s="447"/>
      <c r="AR452" s="447"/>
      <c r="AS452" s="447"/>
      <c r="AT452" s="447"/>
      <c r="AU452" s="447"/>
      <c r="AV452" s="447"/>
      <c r="AW452" s="447"/>
      <c r="AX452" s="447"/>
      <c r="AY452" s="447"/>
      <c r="AZ452" s="447"/>
      <c r="BA452" s="447"/>
      <c r="BB452" s="447"/>
      <c r="BC452" s="447"/>
      <c r="BD452" s="447"/>
      <c r="BE452" s="447"/>
      <c r="BF452" s="447"/>
      <c r="BG452" s="447"/>
      <c r="BH452" s="447"/>
      <c r="BI452" s="447"/>
      <c r="BJ452" s="447"/>
      <c r="BK452" s="447"/>
      <c r="BL452" s="447"/>
      <c r="BM452" s="448"/>
      <c r="BN452" s="448"/>
    </row>
    <row r="453" spans="1:66" ht="11.25" customHeight="1">
      <c r="A453" s="469"/>
      <c r="B453" s="447"/>
      <c r="C453" s="447"/>
      <c r="D453" s="447"/>
      <c r="E453" s="447"/>
      <c r="F453" s="447"/>
      <c r="G453" s="447"/>
      <c r="H453" s="447"/>
      <c r="I453" s="447"/>
      <c r="J453" s="447"/>
      <c r="K453" s="447"/>
      <c r="L453" s="447"/>
      <c r="M453" s="447"/>
      <c r="N453" s="447"/>
      <c r="O453" s="447"/>
      <c r="P453" s="447"/>
      <c r="Q453" s="447"/>
      <c r="R453" s="447"/>
      <c r="S453" s="447"/>
      <c r="T453" s="447"/>
      <c r="U453" s="447"/>
      <c r="V453" s="447"/>
      <c r="W453" s="447"/>
      <c r="X453" s="447"/>
      <c r="Y453" s="447"/>
      <c r="Z453" s="447"/>
      <c r="AA453" s="447"/>
      <c r="AB453" s="447"/>
      <c r="AC453" s="447"/>
      <c r="AD453" s="447"/>
      <c r="AE453" s="447"/>
      <c r="AF453" s="448"/>
      <c r="AG453" s="448"/>
      <c r="AH453" s="448"/>
      <c r="AI453" s="447"/>
      <c r="AJ453" s="447"/>
      <c r="AK453" s="447"/>
      <c r="AL453" s="447"/>
      <c r="AM453" s="447"/>
      <c r="AN453" s="447"/>
      <c r="AO453" s="447"/>
      <c r="AP453" s="447"/>
      <c r="AQ453" s="447"/>
      <c r="AR453" s="447"/>
      <c r="AS453" s="447"/>
      <c r="AT453" s="447"/>
      <c r="AU453" s="447"/>
      <c r="AV453" s="447"/>
      <c r="AW453" s="447"/>
      <c r="AX453" s="447"/>
      <c r="AY453" s="447"/>
      <c r="AZ453" s="447"/>
      <c r="BA453" s="447"/>
      <c r="BB453" s="447"/>
      <c r="BC453" s="447"/>
      <c r="BD453" s="447"/>
      <c r="BE453" s="447"/>
      <c r="BF453" s="447"/>
      <c r="BG453" s="447"/>
      <c r="BH453" s="447"/>
      <c r="BI453" s="447"/>
      <c r="BJ453" s="447"/>
      <c r="BK453" s="447"/>
      <c r="BL453" s="447"/>
      <c r="BM453" s="448"/>
      <c r="BN453" s="448"/>
    </row>
    <row r="454" spans="1:66" ht="11.25" customHeight="1">
      <c r="A454" s="469"/>
      <c r="B454" s="447"/>
      <c r="C454" s="447"/>
      <c r="D454" s="447"/>
      <c r="E454" s="447"/>
      <c r="F454" s="447"/>
      <c r="G454" s="447"/>
      <c r="H454" s="447"/>
      <c r="I454" s="447"/>
      <c r="J454" s="447"/>
      <c r="K454" s="447"/>
      <c r="L454" s="447"/>
      <c r="M454" s="447"/>
      <c r="N454" s="447"/>
      <c r="O454" s="447"/>
      <c r="P454" s="447"/>
      <c r="Q454" s="447"/>
      <c r="R454" s="447"/>
      <c r="S454" s="447"/>
      <c r="T454" s="447"/>
      <c r="U454" s="447"/>
      <c r="V454" s="447"/>
      <c r="W454" s="447"/>
      <c r="X454" s="447"/>
      <c r="Y454" s="447"/>
      <c r="Z454" s="447"/>
      <c r="AA454" s="447"/>
      <c r="AB454" s="447"/>
      <c r="AC454" s="447"/>
      <c r="AD454" s="447"/>
      <c r="AE454" s="447"/>
      <c r="AF454" s="448"/>
      <c r="AG454" s="448"/>
      <c r="AH454" s="448"/>
      <c r="AI454" s="447"/>
      <c r="AJ454" s="447"/>
      <c r="AK454" s="447"/>
      <c r="AL454" s="447"/>
      <c r="AM454" s="447"/>
      <c r="AN454" s="447"/>
      <c r="AO454" s="447"/>
      <c r="AP454" s="447"/>
      <c r="AQ454" s="447"/>
      <c r="AR454" s="447"/>
      <c r="AS454" s="447"/>
      <c r="AT454" s="447"/>
      <c r="AU454" s="447"/>
      <c r="AV454" s="447"/>
      <c r="AW454" s="447"/>
      <c r="AX454" s="447"/>
      <c r="AY454" s="447"/>
      <c r="AZ454" s="447"/>
      <c r="BA454" s="447"/>
      <c r="BB454" s="447"/>
      <c r="BC454" s="447"/>
      <c r="BD454" s="447"/>
      <c r="BE454" s="447"/>
      <c r="BF454" s="447"/>
      <c r="BG454" s="447"/>
      <c r="BH454" s="447"/>
      <c r="BI454" s="447"/>
      <c r="BJ454" s="447"/>
      <c r="BK454" s="447"/>
      <c r="BL454" s="447"/>
      <c r="BM454" s="448"/>
      <c r="BN454" s="448"/>
    </row>
    <row r="455" spans="1:66" ht="11.25" customHeight="1">
      <c r="A455" s="469"/>
      <c r="B455" s="447"/>
      <c r="C455" s="447"/>
      <c r="D455" s="447"/>
      <c r="E455" s="447"/>
      <c r="F455" s="447"/>
      <c r="G455" s="447"/>
      <c r="H455" s="447"/>
      <c r="I455" s="447"/>
      <c r="J455" s="447"/>
      <c r="K455" s="447"/>
      <c r="L455" s="447"/>
      <c r="M455" s="447"/>
      <c r="N455" s="447"/>
      <c r="O455" s="447"/>
      <c r="P455" s="447"/>
      <c r="Q455" s="447"/>
      <c r="R455" s="447"/>
      <c r="S455" s="447"/>
      <c r="T455" s="447"/>
      <c r="U455" s="447"/>
      <c r="V455" s="447"/>
      <c r="W455" s="447"/>
      <c r="X455" s="447"/>
      <c r="Y455" s="447"/>
      <c r="Z455" s="447"/>
      <c r="AA455" s="447"/>
      <c r="AB455" s="447"/>
      <c r="AC455" s="447"/>
      <c r="AD455" s="447"/>
      <c r="AE455" s="447"/>
      <c r="AF455" s="448"/>
      <c r="AG455" s="448"/>
      <c r="AH455" s="448"/>
      <c r="AI455" s="447"/>
      <c r="AJ455" s="447"/>
      <c r="AK455" s="447"/>
      <c r="AL455" s="447"/>
      <c r="AM455" s="447"/>
      <c r="AN455" s="447"/>
      <c r="AO455" s="447"/>
      <c r="AP455" s="447"/>
      <c r="AQ455" s="447"/>
      <c r="AR455" s="447"/>
      <c r="AS455" s="447"/>
      <c r="AT455" s="447"/>
      <c r="AU455" s="447"/>
      <c r="AV455" s="447"/>
      <c r="AW455" s="447"/>
      <c r="AX455" s="447"/>
      <c r="AY455" s="447"/>
      <c r="AZ455" s="447"/>
      <c r="BA455" s="447"/>
      <c r="BB455" s="447"/>
      <c r="BC455" s="447"/>
      <c r="BD455" s="447"/>
      <c r="BE455" s="447"/>
      <c r="BF455" s="447"/>
      <c r="BG455" s="447"/>
      <c r="BH455" s="447"/>
      <c r="BI455" s="447"/>
      <c r="BJ455" s="447"/>
      <c r="BK455" s="447"/>
      <c r="BL455" s="447"/>
      <c r="BM455" s="448"/>
      <c r="BN455" s="448"/>
    </row>
    <row r="456" spans="1:66" ht="11.25" customHeight="1">
      <c r="A456" s="469"/>
      <c r="B456" s="447"/>
      <c r="C456" s="447"/>
      <c r="D456" s="447"/>
      <c r="E456" s="447"/>
      <c r="F456" s="447"/>
      <c r="G456" s="447"/>
      <c r="H456" s="447"/>
      <c r="I456" s="447"/>
      <c r="J456" s="447"/>
      <c r="K456" s="447"/>
      <c r="L456" s="447"/>
      <c r="M456" s="447"/>
      <c r="N456" s="447"/>
      <c r="O456" s="447"/>
      <c r="P456" s="447"/>
      <c r="Q456" s="447"/>
      <c r="R456" s="447"/>
      <c r="S456" s="447"/>
      <c r="T456" s="447"/>
      <c r="U456" s="447"/>
      <c r="V456" s="447"/>
      <c r="W456" s="447"/>
      <c r="X456" s="447"/>
      <c r="Y456" s="447"/>
      <c r="Z456" s="447"/>
      <c r="AA456" s="447"/>
      <c r="AB456" s="447"/>
      <c r="AC456" s="447"/>
      <c r="AD456" s="447"/>
      <c r="AE456" s="447"/>
      <c r="AF456" s="448"/>
      <c r="AG456" s="448"/>
      <c r="AH456" s="448"/>
      <c r="AI456" s="447"/>
      <c r="AJ456" s="447"/>
      <c r="AK456" s="447"/>
      <c r="AL456" s="447"/>
      <c r="AM456" s="447"/>
      <c r="AN456" s="447"/>
      <c r="AO456" s="447"/>
      <c r="AP456" s="447"/>
      <c r="AQ456" s="447"/>
      <c r="AR456" s="447"/>
      <c r="AS456" s="447"/>
      <c r="AT456" s="447"/>
      <c r="AU456" s="447"/>
      <c r="AV456" s="447"/>
      <c r="AW456" s="447"/>
      <c r="AX456" s="447"/>
      <c r="AY456" s="447"/>
      <c r="AZ456" s="447"/>
      <c r="BA456" s="447"/>
      <c r="BB456" s="447"/>
      <c r="BC456" s="447"/>
      <c r="BD456" s="447"/>
      <c r="BE456" s="447"/>
      <c r="BF456" s="447"/>
      <c r="BG456" s="447"/>
      <c r="BH456" s="447"/>
      <c r="BI456" s="447"/>
      <c r="BJ456" s="447"/>
      <c r="BK456" s="447"/>
      <c r="BL456" s="447"/>
      <c r="BM456" s="448"/>
      <c r="BN456" s="448"/>
    </row>
    <row r="457" spans="1:66" ht="11.25" customHeight="1">
      <c r="A457" s="469"/>
      <c r="B457" s="447"/>
      <c r="C457" s="447"/>
      <c r="D457" s="447"/>
      <c r="E457" s="447"/>
      <c r="F457" s="447"/>
      <c r="G457" s="447"/>
      <c r="H457" s="447"/>
      <c r="I457" s="447"/>
      <c r="J457" s="447"/>
      <c r="K457" s="447"/>
      <c r="L457" s="447"/>
      <c r="M457" s="447"/>
      <c r="N457" s="447"/>
      <c r="O457" s="447"/>
      <c r="P457" s="447"/>
      <c r="Q457" s="447"/>
      <c r="R457" s="447"/>
      <c r="S457" s="447"/>
      <c r="T457" s="447"/>
      <c r="U457" s="447"/>
      <c r="V457" s="447"/>
      <c r="W457" s="447"/>
      <c r="X457" s="447"/>
      <c r="Y457" s="447"/>
      <c r="Z457" s="447"/>
      <c r="AA457" s="447"/>
      <c r="AB457" s="447"/>
      <c r="AC457" s="447"/>
      <c r="AD457" s="447"/>
      <c r="AE457" s="447"/>
      <c r="AF457" s="448"/>
      <c r="AG457" s="448"/>
      <c r="AH457" s="448"/>
      <c r="AI457" s="447"/>
      <c r="AJ457" s="447"/>
      <c r="AK457" s="447"/>
      <c r="AL457" s="447"/>
      <c r="AM457" s="447"/>
      <c r="AN457" s="447"/>
      <c r="AO457" s="447"/>
      <c r="AP457" s="447"/>
      <c r="AQ457" s="447"/>
      <c r="AR457" s="447"/>
      <c r="AS457" s="447"/>
      <c r="AT457" s="447"/>
      <c r="AU457" s="447"/>
      <c r="AV457" s="447"/>
      <c r="AW457" s="447"/>
      <c r="AX457" s="447"/>
      <c r="AY457" s="447"/>
      <c r="AZ457" s="447"/>
      <c r="BA457" s="447"/>
      <c r="BB457" s="447"/>
      <c r="BC457" s="447"/>
      <c r="BD457" s="447"/>
      <c r="BE457" s="447"/>
      <c r="BF457" s="447"/>
      <c r="BG457" s="447"/>
      <c r="BH457" s="447"/>
      <c r="BI457" s="447"/>
      <c r="BJ457" s="447"/>
      <c r="BK457" s="447"/>
      <c r="BL457" s="447"/>
      <c r="BM457" s="448"/>
      <c r="BN457" s="448"/>
    </row>
    <row r="458" spans="1:66" ht="11.25" customHeight="1">
      <c r="A458" s="469"/>
      <c r="B458" s="447"/>
      <c r="C458" s="447"/>
      <c r="D458" s="447"/>
      <c r="E458" s="447"/>
      <c r="F458" s="447"/>
      <c r="G458" s="447"/>
      <c r="H458" s="447"/>
      <c r="I458" s="447"/>
      <c r="J458" s="447"/>
      <c r="K458" s="447"/>
      <c r="L458" s="447"/>
      <c r="M458" s="447"/>
      <c r="N458" s="447"/>
      <c r="O458" s="447"/>
      <c r="P458" s="447"/>
      <c r="Q458" s="447"/>
      <c r="R458" s="447"/>
      <c r="S458" s="447"/>
      <c r="T458" s="447"/>
      <c r="U458" s="447"/>
      <c r="V458" s="447"/>
      <c r="W458" s="447"/>
      <c r="X458" s="447"/>
      <c r="Y458" s="447"/>
      <c r="Z458" s="447"/>
      <c r="AA458" s="447"/>
      <c r="AB458" s="447"/>
      <c r="AC458" s="447"/>
      <c r="AD458" s="447"/>
      <c r="AE458" s="447"/>
      <c r="AF458" s="448"/>
      <c r="AG458" s="448"/>
      <c r="AH458" s="448"/>
      <c r="AI458" s="447"/>
      <c r="AJ458" s="447"/>
      <c r="AK458" s="447"/>
      <c r="AL458" s="447"/>
      <c r="AM458" s="447"/>
      <c r="AN458" s="447"/>
      <c r="AO458" s="447"/>
      <c r="AP458" s="447"/>
      <c r="AQ458" s="447"/>
      <c r="AR458" s="447"/>
      <c r="AS458" s="447"/>
      <c r="AT458" s="447"/>
      <c r="AU458" s="447"/>
      <c r="AV458" s="447"/>
      <c r="AW458" s="447"/>
      <c r="AX458" s="447"/>
      <c r="AY458" s="447"/>
      <c r="AZ458" s="447"/>
      <c r="BA458" s="447"/>
      <c r="BB458" s="447"/>
      <c r="BC458" s="447"/>
      <c r="BD458" s="447"/>
      <c r="BE458" s="447"/>
      <c r="BF458" s="447"/>
      <c r="BG458" s="447"/>
      <c r="BH458" s="447"/>
      <c r="BI458" s="447"/>
      <c r="BJ458" s="447"/>
      <c r="BK458" s="447"/>
      <c r="BL458" s="447"/>
      <c r="BM458" s="448"/>
      <c r="BN458" s="448"/>
    </row>
    <row r="459" spans="1:66" ht="11.25" customHeight="1">
      <c r="A459" s="469"/>
      <c r="B459" s="447"/>
      <c r="C459" s="447"/>
      <c r="D459" s="447"/>
      <c r="E459" s="447"/>
      <c r="F459" s="447"/>
      <c r="G459" s="447"/>
      <c r="H459" s="447"/>
      <c r="I459" s="447"/>
      <c r="J459" s="447"/>
      <c r="K459" s="447"/>
      <c r="L459" s="447"/>
      <c r="M459" s="447"/>
      <c r="N459" s="447"/>
      <c r="O459" s="447"/>
      <c r="P459" s="447"/>
      <c r="Q459" s="447"/>
      <c r="R459" s="447"/>
      <c r="S459" s="447"/>
      <c r="T459" s="447"/>
      <c r="U459" s="447"/>
      <c r="V459" s="447"/>
      <c r="W459" s="447"/>
      <c r="X459" s="447"/>
      <c r="Y459" s="447"/>
      <c r="Z459" s="447"/>
      <c r="AA459" s="447"/>
      <c r="AB459" s="447"/>
      <c r="AC459" s="447"/>
      <c r="AD459" s="447"/>
      <c r="AE459" s="447"/>
      <c r="AF459" s="448"/>
      <c r="AG459" s="448"/>
      <c r="AH459" s="448"/>
      <c r="AI459" s="447"/>
      <c r="AJ459" s="447"/>
      <c r="AK459" s="447"/>
      <c r="AL459" s="447"/>
      <c r="AM459" s="447"/>
      <c r="AN459" s="447"/>
      <c r="AO459" s="447"/>
      <c r="AP459" s="447"/>
      <c r="AQ459" s="447"/>
      <c r="AR459" s="447"/>
      <c r="AS459" s="447"/>
      <c r="AT459" s="447"/>
      <c r="AU459" s="447"/>
      <c r="AV459" s="447"/>
      <c r="AW459" s="447"/>
      <c r="AX459" s="447"/>
      <c r="AY459" s="447"/>
      <c r="AZ459" s="447"/>
      <c r="BA459" s="447"/>
      <c r="BB459" s="447"/>
      <c r="BC459" s="447"/>
      <c r="BD459" s="447"/>
      <c r="BE459" s="447"/>
      <c r="BF459" s="447"/>
      <c r="BG459" s="447"/>
      <c r="BH459" s="447"/>
      <c r="BI459" s="447"/>
      <c r="BJ459" s="447"/>
      <c r="BK459" s="447"/>
      <c r="BL459" s="447"/>
      <c r="BM459" s="448"/>
      <c r="BN459" s="448"/>
    </row>
    <row r="460" spans="1:66" ht="11.25" customHeight="1">
      <c r="A460" s="469"/>
      <c r="B460" s="447"/>
      <c r="C460" s="447"/>
      <c r="D460" s="447"/>
      <c r="E460" s="447"/>
      <c r="F460" s="447"/>
      <c r="G460" s="447"/>
      <c r="H460" s="447"/>
      <c r="I460" s="447"/>
      <c r="J460" s="447"/>
      <c r="K460" s="447"/>
      <c r="L460" s="447"/>
      <c r="M460" s="447"/>
      <c r="N460" s="447"/>
      <c r="O460" s="447"/>
      <c r="P460" s="447"/>
      <c r="Q460" s="447"/>
      <c r="R460" s="447"/>
      <c r="S460" s="447"/>
      <c r="T460" s="447"/>
      <c r="U460" s="447"/>
      <c r="V460" s="447"/>
      <c r="W460" s="447"/>
      <c r="X460" s="447"/>
      <c r="Y460" s="447"/>
      <c r="Z460" s="447"/>
      <c r="AA460" s="447"/>
      <c r="AB460" s="447"/>
      <c r="AC460" s="447"/>
      <c r="AD460" s="447"/>
      <c r="AE460" s="447"/>
      <c r="AF460" s="448"/>
      <c r="AG460" s="448"/>
      <c r="AH460" s="448"/>
      <c r="AI460" s="447"/>
      <c r="AJ460" s="447"/>
      <c r="AK460" s="447"/>
      <c r="AL460" s="447"/>
      <c r="AM460" s="447"/>
      <c r="AN460" s="447"/>
      <c r="AO460" s="447"/>
      <c r="AP460" s="447"/>
      <c r="AQ460" s="447"/>
      <c r="AR460" s="447"/>
      <c r="AS460" s="447"/>
      <c r="AT460" s="447"/>
      <c r="AU460" s="447"/>
      <c r="AV460" s="447"/>
      <c r="AW460" s="447"/>
      <c r="AX460" s="447"/>
      <c r="AY460" s="447"/>
      <c r="AZ460" s="447"/>
      <c r="BA460" s="447"/>
      <c r="BB460" s="447"/>
      <c r="BC460" s="447"/>
      <c r="BD460" s="447"/>
      <c r="BE460" s="447"/>
      <c r="BF460" s="447"/>
      <c r="BG460" s="447"/>
      <c r="BH460" s="447"/>
      <c r="BI460" s="447"/>
      <c r="BJ460" s="447"/>
      <c r="BK460" s="447"/>
      <c r="BL460" s="447"/>
      <c r="BM460" s="448"/>
      <c r="BN460" s="448"/>
    </row>
    <row r="461" spans="1:66" ht="11.25" customHeight="1">
      <c r="A461" s="469"/>
      <c r="B461" s="447"/>
      <c r="C461" s="447"/>
      <c r="D461" s="447"/>
      <c r="E461" s="447"/>
      <c r="F461" s="447"/>
      <c r="G461" s="447"/>
      <c r="H461" s="447"/>
      <c r="I461" s="447"/>
      <c r="J461" s="447"/>
      <c r="K461" s="447"/>
      <c r="L461" s="447"/>
      <c r="M461" s="447"/>
      <c r="N461" s="447"/>
      <c r="O461" s="447"/>
      <c r="P461" s="447"/>
      <c r="Q461" s="447"/>
      <c r="R461" s="447"/>
      <c r="S461" s="447"/>
      <c r="T461" s="447"/>
      <c r="U461" s="447"/>
      <c r="V461" s="447"/>
      <c r="W461" s="447"/>
      <c r="X461" s="447"/>
      <c r="Y461" s="447"/>
      <c r="Z461" s="447"/>
      <c r="AA461" s="447"/>
      <c r="AB461" s="447"/>
      <c r="AC461" s="447"/>
      <c r="AD461" s="447"/>
      <c r="AE461" s="447"/>
      <c r="AF461" s="448"/>
      <c r="AG461" s="448"/>
      <c r="AH461" s="448"/>
      <c r="AI461" s="447"/>
      <c r="AJ461" s="447"/>
      <c r="AK461" s="447"/>
      <c r="AL461" s="447"/>
      <c r="AM461" s="447"/>
      <c r="AN461" s="447"/>
      <c r="AO461" s="447"/>
      <c r="AP461" s="447"/>
      <c r="AQ461" s="447"/>
      <c r="AR461" s="447"/>
      <c r="AS461" s="447"/>
      <c r="AT461" s="447"/>
      <c r="AU461" s="447"/>
      <c r="AV461" s="447"/>
      <c r="AW461" s="447"/>
      <c r="AX461" s="447"/>
      <c r="AY461" s="447"/>
      <c r="AZ461" s="447"/>
      <c r="BA461" s="447"/>
      <c r="BB461" s="447"/>
      <c r="BC461" s="447"/>
      <c r="BD461" s="447"/>
      <c r="BE461" s="447"/>
      <c r="BF461" s="447"/>
      <c r="BG461" s="447"/>
      <c r="BH461" s="447"/>
      <c r="BI461" s="447"/>
      <c r="BJ461" s="447"/>
      <c r="BK461" s="447"/>
      <c r="BL461" s="447"/>
      <c r="BM461" s="448"/>
      <c r="BN461" s="448"/>
    </row>
    <row r="462" spans="1:66" ht="11.25" customHeight="1">
      <c r="A462" s="469"/>
      <c r="B462" s="447"/>
      <c r="C462" s="447"/>
      <c r="D462" s="447"/>
      <c r="E462" s="447"/>
      <c r="F462" s="447"/>
      <c r="G462" s="447"/>
      <c r="H462" s="447"/>
      <c r="I462" s="447"/>
      <c r="J462" s="447"/>
      <c r="K462" s="447"/>
      <c r="L462" s="447"/>
      <c r="M462" s="447"/>
      <c r="N462" s="447"/>
      <c r="O462" s="447"/>
      <c r="P462" s="447"/>
      <c r="Q462" s="447"/>
      <c r="R462" s="447"/>
      <c r="S462" s="447"/>
      <c r="T462" s="447"/>
      <c r="U462" s="447"/>
      <c r="V462" s="447"/>
      <c r="W462" s="447"/>
      <c r="X462" s="447"/>
      <c r="Y462" s="447"/>
      <c r="Z462" s="447"/>
      <c r="AA462" s="447"/>
      <c r="AB462" s="447"/>
      <c r="AC462" s="447"/>
      <c r="AD462" s="447"/>
      <c r="AE462" s="447"/>
      <c r="AF462" s="448"/>
      <c r="AG462" s="448"/>
      <c r="AH462" s="448"/>
      <c r="AI462" s="447"/>
      <c r="AJ462" s="447"/>
      <c r="AK462" s="447"/>
      <c r="AL462" s="447"/>
      <c r="AM462" s="447"/>
      <c r="AN462" s="447"/>
      <c r="AO462" s="447"/>
      <c r="AP462" s="447"/>
      <c r="AQ462" s="447"/>
      <c r="AR462" s="447"/>
      <c r="AS462" s="447"/>
      <c r="AT462" s="447"/>
      <c r="AU462" s="447"/>
      <c r="AV462" s="447"/>
      <c r="AW462" s="447"/>
      <c r="AX462" s="447"/>
      <c r="AY462" s="447"/>
      <c r="AZ462" s="447"/>
      <c r="BA462" s="447"/>
      <c r="BB462" s="447"/>
      <c r="BC462" s="447"/>
      <c r="BD462" s="447"/>
      <c r="BE462" s="447"/>
      <c r="BF462" s="447"/>
      <c r="BG462" s="447"/>
      <c r="BH462" s="447"/>
      <c r="BI462" s="447"/>
      <c r="BJ462" s="447"/>
      <c r="BK462" s="447"/>
      <c r="BL462" s="447"/>
      <c r="BM462" s="448"/>
      <c r="BN462" s="448"/>
    </row>
    <row r="463" spans="1:66" ht="11.25" customHeight="1">
      <c r="A463" s="469"/>
      <c r="B463" s="447"/>
      <c r="C463" s="447"/>
      <c r="D463" s="447"/>
      <c r="E463" s="447"/>
      <c r="F463" s="447"/>
      <c r="G463" s="447"/>
      <c r="H463" s="447"/>
      <c r="I463" s="447"/>
      <c r="J463" s="447"/>
      <c r="K463" s="447"/>
      <c r="L463" s="447"/>
      <c r="M463" s="447"/>
      <c r="N463" s="447"/>
      <c r="O463" s="447"/>
      <c r="P463" s="447"/>
      <c r="Q463" s="447"/>
      <c r="R463" s="447"/>
      <c r="S463" s="447"/>
      <c r="T463" s="447"/>
      <c r="U463" s="447"/>
      <c r="V463" s="447"/>
      <c r="W463" s="447"/>
      <c r="X463" s="447"/>
      <c r="Y463" s="447"/>
      <c r="Z463" s="447"/>
      <c r="AA463" s="447"/>
      <c r="AB463" s="447"/>
      <c r="AC463" s="447"/>
      <c r="AD463" s="447"/>
      <c r="AE463" s="447"/>
      <c r="AF463" s="448"/>
      <c r="AG463" s="448"/>
      <c r="AH463" s="448"/>
      <c r="AI463" s="447"/>
      <c r="AJ463" s="447"/>
      <c r="AK463" s="447"/>
      <c r="AL463" s="447"/>
      <c r="AM463" s="447"/>
      <c r="AN463" s="447"/>
      <c r="AO463" s="447"/>
      <c r="AP463" s="447"/>
      <c r="AQ463" s="447"/>
      <c r="AR463" s="447"/>
      <c r="AS463" s="447"/>
      <c r="AT463" s="447"/>
      <c r="AU463" s="447"/>
      <c r="AV463" s="447"/>
      <c r="AW463" s="447"/>
      <c r="AX463" s="447"/>
      <c r="AY463" s="447"/>
      <c r="AZ463" s="447"/>
      <c r="BA463" s="447"/>
      <c r="BB463" s="447"/>
      <c r="BC463" s="447"/>
      <c r="BD463" s="447"/>
      <c r="BE463" s="447"/>
      <c r="BF463" s="447"/>
      <c r="BG463" s="447"/>
      <c r="BH463" s="447"/>
      <c r="BI463" s="447"/>
      <c r="BJ463" s="447"/>
      <c r="BK463" s="447"/>
      <c r="BL463" s="447"/>
      <c r="BM463" s="448"/>
      <c r="BN463" s="448"/>
    </row>
    <row r="464" spans="1:66" ht="11.25" customHeight="1">
      <c r="A464" s="469"/>
      <c r="B464" s="447"/>
      <c r="C464" s="447"/>
      <c r="D464" s="447"/>
      <c r="E464" s="447"/>
      <c r="F464" s="447"/>
      <c r="G464" s="447"/>
      <c r="H464" s="447"/>
      <c r="I464" s="447"/>
      <c r="J464" s="447"/>
      <c r="K464" s="447"/>
      <c r="L464" s="447"/>
      <c r="M464" s="447"/>
      <c r="N464" s="447"/>
      <c r="O464" s="447"/>
      <c r="P464" s="447"/>
      <c r="Q464" s="447"/>
      <c r="R464" s="447"/>
      <c r="S464" s="447"/>
      <c r="T464" s="447"/>
      <c r="U464" s="447"/>
      <c r="V464" s="447"/>
      <c r="W464" s="447"/>
      <c r="X464" s="447"/>
      <c r="Y464" s="447"/>
      <c r="Z464" s="447"/>
      <c r="AA464" s="447"/>
      <c r="AB464" s="447"/>
      <c r="AC464" s="447"/>
      <c r="AD464" s="447"/>
      <c r="AE464" s="447"/>
      <c r="AF464" s="448"/>
      <c r="AG464" s="448"/>
      <c r="AH464" s="448"/>
      <c r="AI464" s="447"/>
      <c r="AJ464" s="447"/>
      <c r="AK464" s="447"/>
      <c r="AL464" s="447"/>
      <c r="AM464" s="447"/>
      <c r="AN464" s="447"/>
      <c r="AO464" s="447"/>
      <c r="AP464" s="447"/>
      <c r="AQ464" s="447"/>
      <c r="AR464" s="447"/>
      <c r="AS464" s="447"/>
      <c r="AT464" s="447"/>
      <c r="AU464" s="447"/>
      <c r="AV464" s="447"/>
      <c r="AW464" s="447"/>
      <c r="AX464" s="447"/>
      <c r="AY464" s="447"/>
      <c r="AZ464" s="447"/>
      <c r="BA464" s="447"/>
      <c r="BB464" s="447"/>
      <c r="BC464" s="447"/>
      <c r="BD464" s="447"/>
      <c r="BE464" s="447"/>
      <c r="BF464" s="447"/>
      <c r="BG464" s="447"/>
      <c r="BH464" s="447"/>
      <c r="BI464" s="447"/>
      <c r="BJ464" s="447"/>
      <c r="BK464" s="447"/>
      <c r="BL464" s="447"/>
      <c r="BM464" s="448"/>
      <c r="BN464" s="448"/>
    </row>
    <row r="465" spans="1:66" ht="11.25" customHeight="1">
      <c r="A465" s="469"/>
      <c r="B465" s="447"/>
      <c r="C465" s="447"/>
      <c r="D465" s="447"/>
      <c r="E465" s="447"/>
      <c r="F465" s="447"/>
      <c r="G465" s="447"/>
      <c r="H465" s="447"/>
      <c r="I465" s="447"/>
      <c r="J465" s="447"/>
      <c r="K465" s="447"/>
      <c r="L465" s="447"/>
      <c r="M465" s="447"/>
      <c r="N465" s="447"/>
      <c r="O465" s="447"/>
      <c r="P465" s="447"/>
      <c r="Q465" s="447"/>
      <c r="R465" s="447"/>
      <c r="S465" s="447"/>
      <c r="T465" s="447"/>
      <c r="U465" s="447"/>
      <c r="V465" s="447"/>
      <c r="W465" s="447"/>
      <c r="X465" s="447"/>
      <c r="Y465" s="447"/>
      <c r="Z465" s="447"/>
      <c r="AA465" s="447"/>
      <c r="AB465" s="447"/>
      <c r="AC465" s="447"/>
      <c r="AD465" s="447"/>
      <c r="AE465" s="447"/>
      <c r="AF465" s="448"/>
      <c r="AG465" s="448"/>
      <c r="AH465" s="448"/>
      <c r="AI465" s="447"/>
      <c r="AJ465" s="447"/>
      <c r="AK465" s="447"/>
      <c r="AL465" s="447"/>
      <c r="AM465" s="447"/>
      <c r="AN465" s="447"/>
      <c r="AO465" s="447"/>
      <c r="AP465" s="447"/>
      <c r="AQ465" s="447"/>
      <c r="AR465" s="447"/>
      <c r="AS465" s="447"/>
      <c r="AT465" s="447"/>
      <c r="AU465" s="447"/>
      <c r="AV465" s="447"/>
      <c r="AW465" s="447"/>
      <c r="AX465" s="447"/>
      <c r="AY465" s="447"/>
      <c r="AZ465" s="447"/>
      <c r="BA465" s="447"/>
      <c r="BB465" s="447"/>
      <c r="BC465" s="447"/>
      <c r="BD465" s="447"/>
      <c r="BE465" s="447"/>
      <c r="BF465" s="447"/>
      <c r="BG465" s="447"/>
      <c r="BH465" s="447"/>
      <c r="BI465" s="447"/>
      <c r="BJ465" s="447"/>
      <c r="BK465" s="447"/>
      <c r="BL465" s="447"/>
      <c r="BM465" s="448"/>
      <c r="BN465" s="448"/>
    </row>
    <row r="466" spans="1:66" ht="11.25" customHeight="1">
      <c r="A466" s="469"/>
      <c r="B466" s="447"/>
      <c r="C466" s="447"/>
      <c r="D466" s="447"/>
      <c r="E466" s="447"/>
      <c r="F466" s="447"/>
      <c r="G466" s="447"/>
      <c r="H466" s="447"/>
      <c r="I466" s="447"/>
      <c r="J466" s="447"/>
      <c r="K466" s="447"/>
      <c r="L466" s="447"/>
      <c r="M466" s="447"/>
      <c r="N466" s="447"/>
      <c r="O466" s="447"/>
      <c r="P466" s="447"/>
      <c r="Q466" s="447"/>
      <c r="R466" s="447"/>
      <c r="S466" s="447"/>
      <c r="T466" s="447"/>
      <c r="U466" s="447"/>
      <c r="V466" s="447"/>
      <c r="W466" s="447"/>
      <c r="X466" s="447"/>
      <c r="Y466" s="447"/>
      <c r="Z466" s="447"/>
      <c r="AA466" s="447"/>
      <c r="AB466" s="447"/>
      <c r="AC466" s="447"/>
      <c r="AD466" s="447"/>
      <c r="AE466" s="447"/>
      <c r="AF466" s="448"/>
      <c r="AG466" s="448"/>
      <c r="AH466" s="448"/>
      <c r="AI466" s="447"/>
      <c r="AJ466" s="447"/>
      <c r="AK466" s="447"/>
      <c r="AL466" s="447"/>
      <c r="AM466" s="447"/>
      <c r="AN466" s="447"/>
      <c r="AO466" s="447"/>
      <c r="AP466" s="447"/>
      <c r="AQ466" s="447"/>
      <c r="AR466" s="447"/>
      <c r="AS466" s="447"/>
      <c r="AT466" s="447"/>
      <c r="AU466" s="447"/>
      <c r="AV466" s="447"/>
      <c r="AW466" s="447"/>
      <c r="AX466" s="447"/>
      <c r="AY466" s="447"/>
      <c r="AZ466" s="447"/>
      <c r="BA466" s="447"/>
      <c r="BB466" s="447"/>
      <c r="BC466" s="447"/>
      <c r="BD466" s="447"/>
      <c r="BE466" s="447"/>
      <c r="BF466" s="447"/>
      <c r="BG466" s="447"/>
      <c r="BH466" s="447"/>
      <c r="BI466" s="447"/>
      <c r="BJ466" s="447"/>
      <c r="BK466" s="447"/>
      <c r="BL466" s="447"/>
      <c r="BM466" s="448"/>
      <c r="BN466" s="448"/>
    </row>
    <row r="467" spans="1:66" ht="11.25" customHeight="1">
      <c r="A467" s="469"/>
      <c r="B467" s="447"/>
      <c r="C467" s="447"/>
      <c r="D467" s="447"/>
      <c r="E467" s="447"/>
      <c r="F467" s="447"/>
      <c r="G467" s="447"/>
      <c r="H467" s="447"/>
      <c r="I467" s="447"/>
      <c r="J467" s="447"/>
      <c r="K467" s="447"/>
      <c r="L467" s="447"/>
      <c r="M467" s="447"/>
      <c r="N467" s="447"/>
      <c r="O467" s="447"/>
      <c r="P467" s="447"/>
      <c r="Q467" s="447"/>
      <c r="R467" s="447"/>
      <c r="S467" s="447"/>
      <c r="T467" s="447"/>
      <c r="U467" s="447"/>
      <c r="V467" s="447"/>
      <c r="W467" s="447"/>
      <c r="X467" s="447"/>
      <c r="Y467" s="447"/>
      <c r="Z467" s="447"/>
      <c r="AA467" s="447"/>
      <c r="AB467" s="447"/>
      <c r="AC467" s="447"/>
      <c r="AD467" s="447"/>
      <c r="AE467" s="447"/>
      <c r="AF467" s="448"/>
      <c r="AG467" s="448"/>
      <c r="AH467" s="448"/>
      <c r="AI467" s="447"/>
      <c r="AJ467" s="447"/>
      <c r="AK467" s="447"/>
      <c r="AL467" s="447"/>
      <c r="AM467" s="447"/>
      <c r="AN467" s="447"/>
      <c r="AO467" s="447"/>
      <c r="AP467" s="447"/>
      <c r="AQ467" s="447"/>
      <c r="AR467" s="447"/>
      <c r="AS467" s="447"/>
      <c r="AT467" s="447"/>
      <c r="AU467" s="447"/>
      <c r="AV467" s="447"/>
      <c r="AW467" s="447"/>
      <c r="AX467" s="447"/>
      <c r="AY467" s="447"/>
      <c r="AZ467" s="447"/>
      <c r="BA467" s="447"/>
      <c r="BB467" s="447"/>
      <c r="BC467" s="447"/>
      <c r="BD467" s="447"/>
      <c r="BE467" s="447"/>
      <c r="BF467" s="447"/>
      <c r="BG467" s="447"/>
      <c r="BH467" s="447"/>
      <c r="BI467" s="447"/>
      <c r="BJ467" s="447"/>
      <c r="BK467" s="447"/>
      <c r="BL467" s="447"/>
      <c r="BM467" s="448"/>
      <c r="BN467" s="448"/>
    </row>
    <row r="468" spans="1:66" ht="11.25" customHeight="1">
      <c r="A468" s="469"/>
      <c r="B468" s="447"/>
      <c r="C468" s="447"/>
      <c r="D468" s="447"/>
      <c r="E468" s="447"/>
      <c r="F468" s="447"/>
      <c r="G468" s="447"/>
      <c r="H468" s="447"/>
      <c r="I468" s="447"/>
      <c r="J468" s="447"/>
      <c r="K468" s="447"/>
      <c r="L468" s="447"/>
      <c r="M468" s="447"/>
      <c r="N468" s="447"/>
      <c r="O468" s="447"/>
      <c r="P468" s="447"/>
      <c r="Q468" s="447"/>
      <c r="R468" s="447"/>
      <c r="S468" s="447"/>
      <c r="T468" s="447"/>
      <c r="U468" s="447"/>
      <c r="V468" s="447"/>
      <c r="W468" s="447"/>
      <c r="X468" s="447"/>
      <c r="Y468" s="447"/>
      <c r="Z468" s="447"/>
      <c r="AA468" s="447"/>
      <c r="AB468" s="447"/>
      <c r="AC468" s="447"/>
      <c r="AD468" s="447"/>
      <c r="AE468" s="447"/>
      <c r="AF468" s="448"/>
      <c r="AG468" s="448"/>
      <c r="AH468" s="448"/>
      <c r="AI468" s="447"/>
      <c r="AJ468" s="447"/>
      <c r="AK468" s="447"/>
      <c r="AL468" s="447"/>
      <c r="AM468" s="447"/>
      <c r="AN468" s="447"/>
      <c r="AO468" s="447"/>
      <c r="AP468" s="447"/>
      <c r="AQ468" s="447"/>
      <c r="AR468" s="447"/>
      <c r="AS468" s="447"/>
      <c r="AT468" s="447"/>
      <c r="AU468" s="447"/>
      <c r="AV468" s="447"/>
      <c r="AW468" s="447"/>
      <c r="AX468" s="447"/>
      <c r="AY468" s="447"/>
      <c r="AZ468" s="447"/>
      <c r="BA468" s="447"/>
      <c r="BB468" s="447"/>
      <c r="BC468" s="447"/>
      <c r="BD468" s="447"/>
      <c r="BE468" s="447"/>
      <c r="BF468" s="447"/>
      <c r="BG468" s="447"/>
      <c r="BH468" s="447"/>
      <c r="BI468" s="447"/>
      <c r="BJ468" s="447"/>
      <c r="BK468" s="447"/>
      <c r="BL468" s="447"/>
      <c r="BM468" s="448"/>
      <c r="BN468" s="448"/>
    </row>
    <row r="469" spans="1:66" ht="11.25" customHeight="1">
      <c r="A469" s="469"/>
      <c r="B469" s="447"/>
      <c r="C469" s="447"/>
      <c r="D469" s="447"/>
      <c r="E469" s="447"/>
      <c r="F469" s="447"/>
      <c r="G469" s="447"/>
      <c r="H469" s="447"/>
      <c r="I469" s="447"/>
      <c r="J469" s="447"/>
      <c r="K469" s="447"/>
      <c r="L469" s="447"/>
      <c r="M469" s="447"/>
      <c r="N469" s="447"/>
      <c r="O469" s="447"/>
      <c r="P469" s="447"/>
      <c r="Q469" s="447"/>
      <c r="R469" s="447"/>
      <c r="S469" s="447"/>
      <c r="T469" s="447"/>
      <c r="U469" s="447"/>
      <c r="V469" s="447"/>
      <c r="W469" s="447"/>
      <c r="X469" s="447"/>
      <c r="Y469" s="447"/>
      <c r="Z469" s="447"/>
      <c r="AA469" s="447"/>
      <c r="AB469" s="447"/>
      <c r="AC469" s="447"/>
      <c r="AD469" s="447"/>
      <c r="AE469" s="447"/>
      <c r="AF469" s="448"/>
      <c r="AG469" s="448"/>
      <c r="AH469" s="448"/>
      <c r="AI469" s="447"/>
      <c r="AJ469" s="447"/>
      <c r="AK469" s="447"/>
      <c r="AL469" s="447"/>
      <c r="AM469" s="447"/>
      <c r="AN469" s="447"/>
      <c r="AO469" s="447"/>
      <c r="AP469" s="447"/>
      <c r="AQ469" s="447"/>
      <c r="AR469" s="447"/>
      <c r="AS469" s="447"/>
      <c r="AT469" s="447"/>
      <c r="AU469" s="447"/>
      <c r="AV469" s="447"/>
      <c r="AW469" s="447"/>
      <c r="AX469" s="447"/>
      <c r="AY469" s="447"/>
      <c r="AZ469" s="447"/>
      <c r="BA469" s="447"/>
      <c r="BB469" s="447"/>
      <c r="BC469" s="447"/>
      <c r="BD469" s="447"/>
      <c r="BE469" s="447"/>
      <c r="BF469" s="447"/>
      <c r="BG469" s="447"/>
      <c r="BH469" s="447"/>
      <c r="BI469" s="447"/>
      <c r="BJ469" s="447"/>
      <c r="BK469" s="447"/>
      <c r="BL469" s="447"/>
      <c r="BM469" s="448"/>
      <c r="BN469" s="448"/>
    </row>
    <row r="470" spans="1:66" ht="11.25" customHeight="1">
      <c r="A470" s="469"/>
      <c r="B470" s="447"/>
      <c r="C470" s="447"/>
      <c r="D470" s="447"/>
      <c r="E470" s="447"/>
      <c r="F470" s="447"/>
      <c r="G470" s="447"/>
      <c r="H470" s="447"/>
      <c r="I470" s="447"/>
      <c r="J470" s="447"/>
      <c r="K470" s="447"/>
      <c r="L470" s="447"/>
      <c r="M470" s="447"/>
      <c r="N470" s="447"/>
      <c r="O470" s="447"/>
      <c r="P470" s="447"/>
      <c r="Q470" s="447"/>
      <c r="R470" s="447"/>
      <c r="S470" s="447"/>
      <c r="T470" s="447"/>
      <c r="U470" s="447"/>
      <c r="V470" s="447"/>
      <c r="W470" s="447"/>
      <c r="X470" s="447"/>
      <c r="Y470" s="447"/>
      <c r="Z470" s="447"/>
      <c r="AA470" s="447"/>
      <c r="AB470" s="447"/>
      <c r="AC470" s="447"/>
      <c r="AD470" s="447"/>
      <c r="AE470" s="447"/>
      <c r="AF470" s="448"/>
      <c r="AG470" s="448"/>
      <c r="AH470" s="448"/>
      <c r="AI470" s="447"/>
      <c r="AJ470" s="447"/>
      <c r="AK470" s="447"/>
      <c r="AL470" s="447"/>
      <c r="AM470" s="447"/>
      <c r="AN470" s="447"/>
      <c r="AO470" s="447"/>
      <c r="AP470" s="447"/>
      <c r="AQ470" s="447"/>
      <c r="AR470" s="447"/>
      <c r="AS470" s="447"/>
      <c r="AT470" s="447"/>
      <c r="AU470" s="447"/>
      <c r="AV470" s="447"/>
      <c r="AW470" s="447"/>
      <c r="AX470" s="447"/>
      <c r="AY470" s="447"/>
      <c r="AZ470" s="447"/>
      <c r="BA470" s="447"/>
      <c r="BB470" s="447"/>
      <c r="BC470" s="447"/>
      <c r="BD470" s="447"/>
      <c r="BE470" s="447"/>
      <c r="BF470" s="447"/>
      <c r="BG470" s="447"/>
      <c r="BH470" s="447"/>
      <c r="BI470" s="447"/>
      <c r="BJ470" s="447"/>
      <c r="BK470" s="447"/>
      <c r="BL470" s="447"/>
      <c r="BM470" s="448"/>
      <c r="BN470" s="448"/>
    </row>
    <row r="471" spans="1:66" ht="11.25" customHeight="1">
      <c r="A471" s="469"/>
      <c r="B471" s="447"/>
      <c r="C471" s="447"/>
      <c r="D471" s="447"/>
      <c r="E471" s="447"/>
      <c r="F471" s="447"/>
      <c r="G471" s="447"/>
      <c r="H471" s="447"/>
      <c r="I471" s="447"/>
      <c r="J471" s="447"/>
      <c r="K471" s="447"/>
      <c r="L471" s="447"/>
      <c r="M471" s="447"/>
      <c r="N471" s="447"/>
      <c r="O471" s="447"/>
      <c r="P471" s="447"/>
      <c r="Q471" s="447"/>
      <c r="R471" s="447"/>
      <c r="S471" s="447"/>
      <c r="T471" s="447"/>
      <c r="U471" s="447"/>
      <c r="V471" s="447"/>
      <c r="W471" s="447"/>
      <c r="X471" s="447"/>
      <c r="Y471" s="447"/>
      <c r="Z471" s="447"/>
      <c r="AA471" s="447"/>
      <c r="AB471" s="447"/>
      <c r="AC471" s="447"/>
      <c r="AD471" s="447"/>
      <c r="AE471" s="447"/>
      <c r="AF471" s="448"/>
      <c r="AG471" s="448"/>
      <c r="AH471" s="448"/>
      <c r="AI471" s="447"/>
      <c r="AJ471" s="447"/>
      <c r="AK471" s="447"/>
      <c r="AL471" s="447"/>
      <c r="AM471" s="447"/>
      <c r="AN471" s="447"/>
      <c r="AO471" s="447"/>
      <c r="AP471" s="447"/>
      <c r="AQ471" s="447"/>
      <c r="AR471" s="447"/>
      <c r="AS471" s="447"/>
      <c r="AT471" s="447"/>
      <c r="AU471" s="447"/>
      <c r="AV471" s="447"/>
      <c r="AW471" s="447"/>
      <c r="AX471" s="447"/>
      <c r="AY471" s="447"/>
      <c r="AZ471" s="447"/>
      <c r="BA471" s="447"/>
      <c r="BB471" s="447"/>
      <c r="BC471" s="447"/>
      <c r="BD471" s="447"/>
      <c r="BE471" s="447"/>
      <c r="BF471" s="447"/>
      <c r="BG471" s="447"/>
      <c r="BH471" s="447"/>
      <c r="BI471" s="447"/>
      <c r="BJ471" s="447"/>
      <c r="BK471" s="447"/>
      <c r="BL471" s="447"/>
      <c r="BM471" s="448"/>
      <c r="BN471" s="448"/>
    </row>
    <row r="472" spans="1:66" ht="11.25" customHeight="1">
      <c r="A472" s="469"/>
      <c r="B472" s="447"/>
      <c r="C472" s="447"/>
      <c r="D472" s="447"/>
      <c r="E472" s="447"/>
      <c r="F472" s="447"/>
      <c r="G472" s="447"/>
      <c r="H472" s="447"/>
      <c r="I472" s="447"/>
      <c r="J472" s="447"/>
      <c r="K472" s="447"/>
      <c r="L472" s="447"/>
      <c r="M472" s="447"/>
      <c r="N472" s="447"/>
      <c r="O472" s="447"/>
      <c r="P472" s="447"/>
      <c r="Q472" s="447"/>
      <c r="R472" s="447"/>
      <c r="S472" s="447"/>
      <c r="T472" s="447"/>
      <c r="U472" s="447"/>
      <c r="V472" s="447"/>
      <c r="W472" s="447"/>
      <c r="X472" s="447"/>
      <c r="Y472" s="447"/>
      <c r="Z472" s="447"/>
      <c r="AA472" s="447"/>
      <c r="AB472" s="447"/>
      <c r="AC472" s="447"/>
      <c r="AD472" s="447"/>
      <c r="AE472" s="447"/>
      <c r="AF472" s="448"/>
      <c r="AG472" s="448"/>
      <c r="AH472" s="448"/>
      <c r="AI472" s="447"/>
      <c r="AJ472" s="447"/>
      <c r="AK472" s="447"/>
      <c r="AL472" s="447"/>
      <c r="AM472" s="447"/>
      <c r="AN472" s="447"/>
      <c r="AO472" s="447"/>
      <c r="AP472" s="447"/>
      <c r="AQ472" s="447"/>
      <c r="AR472" s="447"/>
      <c r="AS472" s="447"/>
      <c r="AT472" s="447"/>
      <c r="AU472" s="447"/>
      <c r="AV472" s="447"/>
      <c r="AW472" s="447"/>
      <c r="AX472" s="447"/>
      <c r="AY472" s="447"/>
      <c r="AZ472" s="447"/>
      <c r="BA472" s="447"/>
      <c r="BB472" s="447"/>
      <c r="BC472" s="447"/>
      <c r="BD472" s="447"/>
      <c r="BE472" s="447"/>
      <c r="BF472" s="447"/>
      <c r="BG472" s="447"/>
      <c r="BH472" s="447"/>
      <c r="BI472" s="447"/>
      <c r="BJ472" s="447"/>
      <c r="BK472" s="447"/>
      <c r="BL472" s="447"/>
      <c r="BM472" s="448"/>
      <c r="BN472" s="448"/>
    </row>
    <row r="473" spans="1:66" ht="11.25" customHeight="1">
      <c r="A473" s="469"/>
      <c r="B473" s="447"/>
      <c r="C473" s="447"/>
      <c r="D473" s="447"/>
      <c r="E473" s="447"/>
      <c r="F473" s="447"/>
      <c r="G473" s="447"/>
      <c r="H473" s="447"/>
      <c r="I473" s="447"/>
      <c r="J473" s="447"/>
      <c r="K473" s="447"/>
      <c r="L473" s="447"/>
      <c r="M473" s="447"/>
      <c r="N473" s="447"/>
      <c r="O473" s="447"/>
      <c r="P473" s="447"/>
      <c r="Q473" s="447"/>
      <c r="R473" s="447"/>
      <c r="S473" s="447"/>
      <c r="T473" s="447"/>
      <c r="U473" s="447"/>
      <c r="V473" s="447"/>
      <c r="W473" s="447"/>
      <c r="X473" s="447"/>
      <c r="Y473" s="447"/>
      <c r="Z473" s="447"/>
      <c r="AA473" s="447"/>
      <c r="AB473" s="447"/>
      <c r="AC473" s="447"/>
      <c r="AD473" s="447"/>
      <c r="AE473" s="447"/>
      <c r="AF473" s="448"/>
      <c r="AG473" s="448"/>
      <c r="AH473" s="448"/>
      <c r="AI473" s="447"/>
      <c r="AJ473" s="447"/>
      <c r="AK473" s="447"/>
      <c r="AL473" s="447"/>
      <c r="AM473" s="447"/>
      <c r="AN473" s="447"/>
      <c r="AO473" s="447"/>
      <c r="AP473" s="447"/>
      <c r="AQ473" s="447"/>
      <c r="AR473" s="447"/>
      <c r="AS473" s="447"/>
      <c r="AT473" s="447"/>
      <c r="AU473" s="447"/>
      <c r="AV473" s="447"/>
      <c r="AW473" s="447"/>
      <c r="AX473" s="447"/>
      <c r="AY473" s="447"/>
      <c r="AZ473" s="447"/>
      <c r="BA473" s="447"/>
      <c r="BB473" s="447"/>
      <c r="BC473" s="447"/>
      <c r="BD473" s="447"/>
      <c r="BE473" s="447"/>
      <c r="BF473" s="447"/>
      <c r="BG473" s="447"/>
      <c r="BH473" s="447"/>
      <c r="BI473" s="447"/>
      <c r="BJ473" s="447"/>
      <c r="BK473" s="447"/>
      <c r="BL473" s="447"/>
      <c r="BM473" s="448"/>
      <c r="BN473" s="448"/>
    </row>
    <row r="474" spans="1:66" ht="11.25" customHeight="1">
      <c r="A474" s="469"/>
      <c r="B474" s="447"/>
      <c r="C474" s="447"/>
      <c r="D474" s="447"/>
      <c r="E474" s="447"/>
      <c r="F474" s="447"/>
      <c r="G474" s="447"/>
      <c r="H474" s="447"/>
      <c r="I474" s="447"/>
      <c r="J474" s="447"/>
      <c r="K474" s="447"/>
      <c r="L474" s="447"/>
      <c r="M474" s="447"/>
      <c r="N474" s="447"/>
      <c r="O474" s="447"/>
      <c r="P474" s="447"/>
      <c r="Q474" s="447"/>
      <c r="R474" s="447"/>
      <c r="S474" s="447"/>
      <c r="T474" s="447"/>
      <c r="U474" s="447"/>
      <c r="V474" s="447"/>
      <c r="W474" s="447"/>
      <c r="X474" s="447"/>
      <c r="Y474" s="447"/>
      <c r="Z474" s="447"/>
      <c r="AA474" s="447"/>
      <c r="AB474" s="447"/>
      <c r="AC474" s="447"/>
      <c r="AD474" s="447"/>
      <c r="AE474" s="447"/>
      <c r="AF474" s="448"/>
      <c r="AG474" s="448"/>
      <c r="AH474" s="448"/>
      <c r="AI474" s="447"/>
      <c r="AJ474" s="447"/>
      <c r="AK474" s="447"/>
      <c r="AL474" s="447"/>
      <c r="AM474" s="447"/>
      <c r="AN474" s="447"/>
      <c r="AO474" s="447"/>
      <c r="AP474" s="447"/>
      <c r="AQ474" s="447"/>
      <c r="AR474" s="447"/>
      <c r="AS474" s="447"/>
      <c r="AT474" s="447"/>
      <c r="AU474" s="447"/>
      <c r="AV474" s="447"/>
      <c r="AW474" s="447"/>
      <c r="AX474" s="447"/>
      <c r="AY474" s="447"/>
      <c r="AZ474" s="447"/>
      <c r="BA474" s="447"/>
      <c r="BB474" s="447"/>
      <c r="BC474" s="447"/>
      <c r="BD474" s="447"/>
      <c r="BE474" s="447"/>
      <c r="BF474" s="447"/>
      <c r="BG474" s="447"/>
      <c r="BH474" s="447"/>
      <c r="BI474" s="447"/>
      <c r="BJ474" s="447"/>
      <c r="BK474" s="447"/>
      <c r="BL474" s="447"/>
      <c r="BM474" s="448"/>
      <c r="BN474" s="448"/>
    </row>
    <row r="475" spans="1:66" ht="11.25" customHeight="1">
      <c r="A475" s="469"/>
      <c r="B475" s="447"/>
      <c r="C475" s="447"/>
      <c r="D475" s="447"/>
      <c r="E475" s="447"/>
      <c r="F475" s="447"/>
      <c r="G475" s="447"/>
      <c r="H475" s="447"/>
      <c r="I475" s="447"/>
      <c r="J475" s="447"/>
      <c r="K475" s="447"/>
      <c r="L475" s="447"/>
      <c r="M475" s="447"/>
      <c r="N475" s="447"/>
      <c r="O475" s="447"/>
      <c r="P475" s="447"/>
      <c r="Q475" s="447"/>
      <c r="R475" s="447"/>
      <c r="S475" s="447"/>
      <c r="T475" s="447"/>
      <c r="U475" s="447"/>
      <c r="V475" s="447"/>
      <c r="W475" s="447"/>
      <c r="X475" s="447"/>
      <c r="Y475" s="447"/>
      <c r="Z475" s="447"/>
      <c r="AA475" s="447"/>
      <c r="AB475" s="447"/>
      <c r="AC475" s="447"/>
      <c r="AD475" s="447"/>
      <c r="AE475" s="447"/>
      <c r="AF475" s="448"/>
      <c r="AG475" s="448"/>
      <c r="AH475" s="448"/>
      <c r="AI475" s="447"/>
      <c r="AJ475" s="447"/>
      <c r="AK475" s="447"/>
      <c r="AL475" s="447"/>
      <c r="AM475" s="447"/>
      <c r="AN475" s="447"/>
      <c r="AO475" s="447"/>
      <c r="AP475" s="447"/>
      <c r="AQ475" s="447"/>
      <c r="AR475" s="447"/>
      <c r="AS475" s="447"/>
      <c r="AT475" s="447"/>
      <c r="AU475" s="447"/>
      <c r="AV475" s="447"/>
      <c r="AW475" s="447"/>
      <c r="AX475" s="447"/>
      <c r="AY475" s="447"/>
      <c r="AZ475" s="447"/>
      <c r="BA475" s="447"/>
      <c r="BB475" s="447"/>
      <c r="BC475" s="447"/>
      <c r="BD475" s="447"/>
      <c r="BE475" s="447"/>
      <c r="BF475" s="447"/>
      <c r="BG475" s="447"/>
      <c r="BH475" s="447"/>
      <c r="BI475" s="447"/>
      <c r="BJ475" s="447"/>
      <c r="BK475" s="447"/>
      <c r="BL475" s="447"/>
      <c r="BM475" s="448"/>
      <c r="BN475" s="448"/>
    </row>
    <row r="476" spans="1:66" ht="11.25" customHeight="1">
      <c r="A476" s="469"/>
      <c r="B476" s="447"/>
      <c r="C476" s="447"/>
      <c r="D476" s="447"/>
      <c r="E476" s="447"/>
      <c r="F476" s="447"/>
      <c r="G476" s="447"/>
      <c r="H476" s="447"/>
      <c r="I476" s="447"/>
      <c r="J476" s="447"/>
      <c r="K476" s="447"/>
      <c r="L476" s="447"/>
      <c r="M476" s="447"/>
      <c r="N476" s="447"/>
      <c r="O476" s="447"/>
      <c r="P476" s="447"/>
      <c r="Q476" s="447"/>
      <c r="R476" s="447"/>
      <c r="S476" s="447"/>
      <c r="T476" s="447"/>
      <c r="U476" s="447"/>
      <c r="V476" s="447"/>
      <c r="W476" s="447"/>
      <c r="X476" s="447"/>
      <c r="Y476" s="447"/>
      <c r="Z476" s="447"/>
      <c r="AA476" s="447"/>
      <c r="AB476" s="447"/>
      <c r="AC476" s="447"/>
      <c r="AD476" s="447"/>
      <c r="AE476" s="447"/>
      <c r="AF476" s="448"/>
      <c r="AG476" s="448"/>
      <c r="AH476" s="448"/>
      <c r="AI476" s="447"/>
      <c r="AJ476" s="447"/>
      <c r="AK476" s="447"/>
      <c r="AL476" s="447"/>
      <c r="AM476" s="447"/>
      <c r="AN476" s="447"/>
      <c r="AO476" s="447"/>
      <c r="AP476" s="447"/>
      <c r="AQ476" s="447"/>
      <c r="AR476" s="447"/>
      <c r="AS476" s="447"/>
      <c r="AT476" s="447"/>
      <c r="AU476" s="447"/>
      <c r="AV476" s="447"/>
      <c r="AW476" s="447"/>
      <c r="AX476" s="447"/>
      <c r="AY476" s="447"/>
      <c r="AZ476" s="447"/>
      <c r="BA476" s="447"/>
      <c r="BB476" s="447"/>
      <c r="BC476" s="447"/>
      <c r="BD476" s="447"/>
      <c r="BE476" s="447"/>
      <c r="BF476" s="447"/>
      <c r="BG476" s="447"/>
      <c r="BH476" s="447"/>
      <c r="BI476" s="447"/>
      <c r="BJ476" s="447"/>
      <c r="BK476" s="447"/>
      <c r="BL476" s="447"/>
      <c r="BM476" s="448"/>
      <c r="BN476" s="448"/>
    </row>
    <row r="477" spans="1:66" ht="11.25" customHeight="1">
      <c r="A477" s="469"/>
      <c r="B477" s="447"/>
      <c r="C477" s="447"/>
      <c r="D477" s="447"/>
      <c r="E477" s="447"/>
      <c r="F477" s="447"/>
      <c r="G477" s="447"/>
      <c r="H477" s="447"/>
      <c r="I477" s="447"/>
      <c r="J477" s="447"/>
      <c r="K477" s="447"/>
      <c r="L477" s="447"/>
      <c r="M477" s="447"/>
      <c r="N477" s="447"/>
      <c r="O477" s="447"/>
      <c r="P477" s="447"/>
      <c r="Q477" s="447"/>
      <c r="R477" s="447"/>
      <c r="S477" s="447"/>
      <c r="T477" s="447"/>
      <c r="U477" s="447"/>
      <c r="V477" s="447"/>
      <c r="W477" s="447"/>
      <c r="X477" s="447"/>
      <c r="Y477" s="447"/>
      <c r="Z477" s="447"/>
      <c r="AA477" s="447"/>
      <c r="AB477" s="447"/>
      <c r="AC477" s="447"/>
      <c r="AD477" s="447"/>
      <c r="AE477" s="447"/>
      <c r="AF477" s="448"/>
      <c r="AG477" s="448"/>
      <c r="AH477" s="448"/>
      <c r="AI477" s="447"/>
      <c r="AJ477" s="447"/>
      <c r="AK477" s="447"/>
      <c r="AL477" s="447"/>
      <c r="AM477" s="447"/>
      <c r="AN477" s="447"/>
      <c r="AO477" s="447"/>
      <c r="AP477" s="447"/>
      <c r="AQ477" s="447"/>
      <c r="AR477" s="447"/>
      <c r="AS477" s="447"/>
      <c r="AT477" s="447"/>
      <c r="AU477" s="447"/>
      <c r="AV477" s="447"/>
      <c r="AW477" s="447"/>
      <c r="AX477" s="447"/>
      <c r="AY477" s="447"/>
      <c r="AZ477" s="447"/>
      <c r="BA477" s="447"/>
      <c r="BB477" s="447"/>
      <c r="BC477" s="447"/>
      <c r="BD477" s="447"/>
      <c r="BE477" s="447"/>
      <c r="BF477" s="447"/>
      <c r="BG477" s="447"/>
      <c r="BH477" s="447"/>
      <c r="BI477" s="447"/>
      <c r="BJ477" s="447"/>
      <c r="BK477" s="447"/>
      <c r="BL477" s="447"/>
      <c r="BM477" s="448"/>
      <c r="BN477" s="448"/>
    </row>
    <row r="478" spans="1:66" ht="11.25" customHeight="1">
      <c r="A478" s="469"/>
      <c r="B478" s="447"/>
      <c r="C478" s="447"/>
      <c r="D478" s="447"/>
      <c r="E478" s="447"/>
      <c r="F478" s="447"/>
      <c r="G478" s="447"/>
      <c r="H478" s="447"/>
      <c r="I478" s="447"/>
      <c r="J478" s="447"/>
      <c r="K478" s="447"/>
      <c r="L478" s="447"/>
      <c r="M478" s="447"/>
      <c r="N478" s="447"/>
      <c r="O478" s="447"/>
      <c r="P478" s="447"/>
      <c r="Q478" s="447"/>
      <c r="R478" s="447"/>
      <c r="S478" s="447"/>
      <c r="T478" s="447"/>
      <c r="U478" s="447"/>
      <c r="V478" s="447"/>
      <c r="W478" s="447"/>
      <c r="X478" s="447"/>
      <c r="Y478" s="447"/>
      <c r="Z478" s="447"/>
      <c r="AA478" s="447"/>
      <c r="AB478" s="447"/>
      <c r="AC478" s="447"/>
      <c r="AD478" s="447"/>
      <c r="AE478" s="447"/>
      <c r="AF478" s="448"/>
      <c r="AG478" s="448"/>
      <c r="AH478" s="448"/>
      <c r="AI478" s="447"/>
      <c r="AJ478" s="447"/>
      <c r="AK478" s="447"/>
      <c r="AL478" s="447"/>
      <c r="AM478" s="447"/>
      <c r="AN478" s="447"/>
      <c r="AO478" s="447"/>
      <c r="AP478" s="447"/>
      <c r="AQ478" s="447"/>
      <c r="AR478" s="447"/>
      <c r="AS478" s="447"/>
      <c r="AT478" s="447"/>
      <c r="AU478" s="447"/>
      <c r="AV478" s="447"/>
      <c r="AW478" s="447"/>
      <c r="AX478" s="447"/>
      <c r="AY478" s="447"/>
      <c r="AZ478" s="447"/>
      <c r="BA478" s="447"/>
      <c r="BB478" s="447"/>
      <c r="BC478" s="447"/>
      <c r="BD478" s="447"/>
      <c r="BE478" s="447"/>
      <c r="BF478" s="447"/>
      <c r="BG478" s="447"/>
      <c r="BH478" s="447"/>
      <c r="BI478" s="447"/>
      <c r="BJ478" s="447"/>
      <c r="BK478" s="447"/>
      <c r="BL478" s="447"/>
      <c r="BM478" s="448"/>
      <c r="BN478" s="448"/>
    </row>
    <row r="479" spans="1:66" ht="11.25" customHeight="1">
      <c r="A479" s="469"/>
      <c r="B479" s="447"/>
      <c r="C479" s="447"/>
      <c r="D479" s="447"/>
      <c r="E479" s="447"/>
      <c r="F479" s="447"/>
      <c r="G479" s="447"/>
      <c r="H479" s="447"/>
      <c r="I479" s="447"/>
      <c r="J479" s="447"/>
      <c r="K479" s="447"/>
      <c r="L479" s="447"/>
      <c r="M479" s="447"/>
      <c r="N479" s="447"/>
      <c r="O479" s="447"/>
      <c r="P479" s="447"/>
      <c r="Q479" s="447"/>
      <c r="R479" s="447"/>
      <c r="S479" s="447"/>
      <c r="T479" s="447"/>
      <c r="U479" s="447"/>
      <c r="V479" s="447"/>
      <c r="W479" s="447"/>
      <c r="X479" s="447"/>
      <c r="Y479" s="447"/>
      <c r="Z479" s="447"/>
      <c r="AA479" s="447"/>
      <c r="AB479" s="447"/>
      <c r="AC479" s="447"/>
      <c r="AD479" s="447"/>
      <c r="AE479" s="447"/>
      <c r="AF479" s="448"/>
      <c r="AG479" s="448"/>
      <c r="AH479" s="448"/>
      <c r="AI479" s="447"/>
      <c r="AJ479" s="447"/>
      <c r="AK479" s="447"/>
      <c r="AL479" s="447"/>
      <c r="AM479" s="447"/>
      <c r="AN479" s="447"/>
      <c r="AO479" s="447"/>
      <c r="AP479" s="447"/>
      <c r="AQ479" s="447"/>
      <c r="AR479" s="447"/>
      <c r="AS479" s="447"/>
      <c r="AT479" s="447"/>
      <c r="AU479" s="447"/>
      <c r="AV479" s="447"/>
      <c r="AW479" s="447"/>
      <c r="AX479" s="447"/>
      <c r="AY479" s="447"/>
      <c r="AZ479" s="447"/>
      <c r="BA479" s="447"/>
      <c r="BB479" s="447"/>
      <c r="BC479" s="447"/>
      <c r="BD479" s="447"/>
      <c r="BE479" s="447"/>
      <c r="BF479" s="447"/>
      <c r="BG479" s="447"/>
      <c r="BH479" s="447"/>
      <c r="BI479" s="447"/>
      <c r="BJ479" s="447"/>
      <c r="BK479" s="447"/>
      <c r="BL479" s="447"/>
      <c r="BM479" s="448"/>
      <c r="BN479" s="448"/>
    </row>
    <row r="480" spans="1:66" ht="11.25" customHeight="1">
      <c r="A480" s="469"/>
      <c r="B480" s="447"/>
      <c r="C480" s="447"/>
      <c r="D480" s="447"/>
      <c r="E480" s="447"/>
      <c r="F480" s="447"/>
      <c r="G480" s="447"/>
      <c r="H480" s="447"/>
      <c r="I480" s="447"/>
      <c r="J480" s="447"/>
      <c r="K480" s="447"/>
      <c r="L480" s="447"/>
      <c r="M480" s="447"/>
      <c r="N480" s="447"/>
      <c r="O480" s="447"/>
      <c r="P480" s="447"/>
      <c r="Q480" s="447"/>
      <c r="R480" s="447"/>
      <c r="S480" s="447"/>
      <c r="T480" s="447"/>
      <c r="U480" s="447"/>
      <c r="V480" s="447"/>
      <c r="W480" s="447"/>
      <c r="X480" s="447"/>
      <c r="Y480" s="447"/>
      <c r="Z480" s="447"/>
      <c r="AA480" s="447"/>
      <c r="AB480" s="447"/>
      <c r="AC480" s="447"/>
      <c r="AD480" s="447"/>
      <c r="AE480" s="447"/>
      <c r="AF480" s="448"/>
      <c r="AG480" s="448"/>
      <c r="AH480" s="448"/>
      <c r="AI480" s="447"/>
      <c r="AJ480" s="447"/>
      <c r="AK480" s="447"/>
      <c r="AL480" s="447"/>
      <c r="AM480" s="447"/>
      <c r="AN480" s="447"/>
      <c r="AO480" s="447"/>
      <c r="AP480" s="447"/>
      <c r="AQ480" s="447"/>
      <c r="AR480" s="447"/>
      <c r="AS480" s="447"/>
      <c r="AT480" s="447"/>
      <c r="AU480" s="447"/>
      <c r="AV480" s="447"/>
      <c r="AW480" s="447"/>
      <c r="AX480" s="447"/>
      <c r="AY480" s="447"/>
      <c r="AZ480" s="447"/>
      <c r="BA480" s="447"/>
      <c r="BB480" s="447"/>
      <c r="BC480" s="447"/>
      <c r="BD480" s="447"/>
      <c r="BE480" s="447"/>
      <c r="BF480" s="447"/>
      <c r="BG480" s="447"/>
      <c r="BH480" s="447"/>
      <c r="BI480" s="447"/>
      <c r="BJ480" s="447"/>
      <c r="BK480" s="447"/>
      <c r="BL480" s="447"/>
      <c r="BM480" s="448"/>
      <c r="BN480" s="448"/>
    </row>
    <row r="481" spans="1:66" ht="11.25" customHeight="1">
      <c r="A481" s="469"/>
      <c r="B481" s="447"/>
      <c r="C481" s="447"/>
      <c r="D481" s="447"/>
      <c r="E481" s="447"/>
      <c r="F481" s="447"/>
      <c r="G481" s="447"/>
      <c r="H481" s="447"/>
      <c r="I481" s="447"/>
      <c r="J481" s="447"/>
      <c r="K481" s="447"/>
      <c r="L481" s="447"/>
      <c r="M481" s="447"/>
      <c r="N481" s="447"/>
      <c r="O481" s="447"/>
      <c r="P481" s="447"/>
      <c r="Q481" s="447"/>
      <c r="R481" s="447"/>
      <c r="S481" s="447"/>
      <c r="T481" s="447"/>
      <c r="U481" s="447"/>
      <c r="V481" s="447"/>
      <c r="W481" s="447"/>
      <c r="X481" s="447"/>
      <c r="Y481" s="447"/>
      <c r="Z481" s="447"/>
      <c r="AA481" s="447"/>
      <c r="AB481" s="447"/>
      <c r="AC481" s="447"/>
      <c r="AD481" s="447"/>
      <c r="AE481" s="447"/>
      <c r="AF481" s="448"/>
      <c r="AG481" s="448"/>
      <c r="AH481" s="448"/>
      <c r="AI481" s="447"/>
      <c r="AJ481" s="447"/>
      <c r="AK481" s="447"/>
      <c r="AL481" s="447"/>
      <c r="AM481" s="447"/>
      <c r="AN481" s="447"/>
      <c r="AO481" s="447"/>
      <c r="AP481" s="447"/>
      <c r="AQ481" s="447"/>
      <c r="AR481" s="447"/>
      <c r="AS481" s="447"/>
      <c r="AT481" s="447"/>
      <c r="AU481" s="447"/>
      <c r="AV481" s="447"/>
      <c r="AW481" s="447"/>
      <c r="AX481" s="447"/>
      <c r="AY481" s="447"/>
      <c r="AZ481" s="447"/>
      <c r="BA481" s="447"/>
      <c r="BB481" s="447"/>
      <c r="BC481" s="447"/>
      <c r="BD481" s="447"/>
      <c r="BE481" s="447"/>
      <c r="BF481" s="447"/>
      <c r="BG481" s="447"/>
      <c r="BH481" s="447"/>
      <c r="BI481" s="447"/>
      <c r="BJ481" s="447"/>
      <c r="BK481" s="447"/>
      <c r="BL481" s="447"/>
      <c r="BM481" s="448"/>
      <c r="BN481" s="448"/>
    </row>
    <row r="482" spans="1:66" ht="11.25" customHeight="1">
      <c r="A482" s="469"/>
      <c r="B482" s="447"/>
      <c r="C482" s="447"/>
      <c r="D482" s="447"/>
      <c r="E482" s="447"/>
      <c r="F482" s="447"/>
      <c r="G482" s="447"/>
      <c r="H482" s="447"/>
      <c r="I482" s="447"/>
      <c r="J482" s="447"/>
      <c r="K482" s="447"/>
      <c r="L482" s="447"/>
      <c r="M482" s="447"/>
      <c r="N482" s="447"/>
      <c r="O482" s="447"/>
      <c r="P482" s="447"/>
      <c r="Q482" s="447"/>
      <c r="R482" s="447"/>
      <c r="S482" s="447"/>
      <c r="T482" s="447"/>
      <c r="U482" s="447"/>
      <c r="V482" s="447"/>
      <c r="W482" s="447"/>
      <c r="X482" s="447"/>
      <c r="Y482" s="447"/>
      <c r="Z482" s="447"/>
      <c r="AA482" s="447"/>
      <c r="AB482" s="447"/>
      <c r="AC482" s="447"/>
      <c r="AD482" s="447"/>
      <c r="AE482" s="447"/>
      <c r="AF482" s="448"/>
      <c r="AG482" s="448"/>
      <c r="AH482" s="448"/>
      <c r="AI482" s="447"/>
      <c r="AJ482" s="447"/>
      <c r="AK482" s="447"/>
      <c r="AL482" s="447"/>
      <c r="AM482" s="447"/>
      <c r="AN482" s="447"/>
      <c r="AO482" s="447"/>
      <c r="AP482" s="447"/>
      <c r="AQ482" s="447"/>
      <c r="AR482" s="447"/>
      <c r="AS482" s="447"/>
      <c r="AT482" s="447"/>
      <c r="AU482" s="447"/>
      <c r="AV482" s="447"/>
      <c r="AW482" s="447"/>
      <c r="AX482" s="447"/>
      <c r="AY482" s="447"/>
      <c r="AZ482" s="447"/>
      <c r="BA482" s="447"/>
      <c r="BB482" s="447"/>
      <c r="BC482" s="447"/>
      <c r="BD482" s="447"/>
      <c r="BE482" s="447"/>
      <c r="BF482" s="447"/>
      <c r="BG482" s="447"/>
      <c r="BH482" s="447"/>
      <c r="BI482" s="447"/>
      <c r="BJ482" s="447"/>
      <c r="BK482" s="447"/>
      <c r="BL482" s="447"/>
      <c r="BM482" s="448"/>
      <c r="BN482" s="448"/>
    </row>
    <row r="483" spans="1:66" ht="11.25" customHeight="1">
      <c r="A483" s="469"/>
      <c r="B483" s="447"/>
      <c r="C483" s="447"/>
      <c r="D483" s="447"/>
      <c r="E483" s="447"/>
      <c r="F483" s="447"/>
      <c r="G483" s="447"/>
      <c r="H483" s="447"/>
      <c r="I483" s="447"/>
      <c r="J483" s="447"/>
      <c r="K483" s="447"/>
      <c r="L483" s="447"/>
      <c r="M483" s="447"/>
      <c r="N483" s="447"/>
      <c r="O483" s="447"/>
      <c r="P483" s="447"/>
      <c r="Q483" s="447"/>
      <c r="R483" s="447"/>
      <c r="S483" s="447"/>
      <c r="T483" s="447"/>
      <c r="U483" s="447"/>
      <c r="V483" s="447"/>
      <c r="W483" s="447"/>
      <c r="X483" s="447"/>
      <c r="Y483" s="447"/>
      <c r="Z483" s="447"/>
      <c r="AA483" s="447"/>
      <c r="AB483" s="447"/>
      <c r="AC483" s="447"/>
      <c r="AD483" s="447"/>
      <c r="AE483" s="447"/>
      <c r="AF483" s="448"/>
      <c r="AG483" s="448"/>
      <c r="AH483" s="448"/>
      <c r="AI483" s="447"/>
      <c r="AJ483" s="447"/>
      <c r="AK483" s="447"/>
      <c r="AL483" s="447"/>
      <c r="AM483" s="447"/>
      <c r="AN483" s="447"/>
      <c r="AO483" s="447"/>
      <c r="AP483" s="447"/>
      <c r="AQ483" s="447"/>
      <c r="AR483" s="447"/>
      <c r="AS483" s="447"/>
      <c r="AT483" s="447"/>
      <c r="AU483" s="447"/>
      <c r="AV483" s="447"/>
      <c r="AW483" s="447"/>
      <c r="AX483" s="447"/>
      <c r="AY483" s="447"/>
      <c r="AZ483" s="447"/>
      <c r="BA483" s="447"/>
      <c r="BB483" s="447"/>
      <c r="BC483" s="447"/>
      <c r="BD483" s="447"/>
      <c r="BE483" s="447"/>
      <c r="BF483" s="447"/>
      <c r="BG483" s="447"/>
      <c r="BH483" s="447"/>
      <c r="BI483" s="447"/>
      <c r="BJ483" s="447"/>
      <c r="BK483" s="447"/>
      <c r="BL483" s="447"/>
      <c r="BM483" s="448"/>
      <c r="BN483" s="448"/>
    </row>
    <row r="484" spans="1:66" ht="11.25" customHeight="1">
      <c r="A484" s="469"/>
      <c r="B484" s="447"/>
      <c r="C484" s="447"/>
      <c r="D484" s="447"/>
      <c r="E484" s="447"/>
      <c r="F484" s="447"/>
      <c r="G484" s="447"/>
      <c r="H484" s="447"/>
      <c r="I484" s="447"/>
      <c r="J484" s="447"/>
      <c r="K484" s="447"/>
      <c r="L484" s="447"/>
      <c r="M484" s="447"/>
      <c r="N484" s="447"/>
      <c r="O484" s="447"/>
      <c r="P484" s="447"/>
      <c r="Q484" s="447"/>
      <c r="R484" s="447"/>
      <c r="S484" s="447"/>
      <c r="T484" s="447"/>
      <c r="U484" s="447"/>
      <c r="V484" s="447"/>
      <c r="W484" s="447"/>
      <c r="X484" s="447"/>
      <c r="Y484" s="447"/>
      <c r="Z484" s="447"/>
      <c r="AA484" s="447"/>
      <c r="AB484" s="447"/>
      <c r="AC484" s="447"/>
      <c r="AD484" s="447"/>
      <c r="AE484" s="447"/>
      <c r="AF484" s="448"/>
      <c r="AG484" s="448"/>
      <c r="AH484" s="448"/>
      <c r="AI484" s="447"/>
      <c r="AJ484" s="447"/>
      <c r="AK484" s="447"/>
      <c r="AL484" s="447"/>
      <c r="AM484" s="447"/>
      <c r="AN484" s="447"/>
      <c r="AO484" s="447"/>
      <c r="AP484" s="447"/>
      <c r="AQ484" s="447"/>
      <c r="AR484" s="447"/>
      <c r="AS484" s="447"/>
      <c r="AT484" s="447"/>
      <c r="AU484" s="447"/>
      <c r="AV484" s="447"/>
      <c r="AW484" s="447"/>
      <c r="AX484" s="447"/>
      <c r="AY484" s="447"/>
      <c r="AZ484" s="447"/>
      <c r="BA484" s="447"/>
      <c r="BB484" s="447"/>
      <c r="BC484" s="447"/>
      <c r="BD484" s="447"/>
      <c r="BE484" s="447"/>
      <c r="BF484" s="447"/>
      <c r="BG484" s="447"/>
      <c r="BH484" s="447"/>
      <c r="BI484" s="447"/>
      <c r="BJ484" s="447"/>
      <c r="BK484" s="447"/>
      <c r="BL484" s="447"/>
      <c r="BM484" s="448"/>
      <c r="BN484" s="448"/>
    </row>
    <row r="485" spans="1:66" ht="11.25" customHeight="1">
      <c r="A485" s="469"/>
      <c r="B485" s="447"/>
      <c r="C485" s="447"/>
      <c r="D485" s="447"/>
      <c r="E485" s="447"/>
      <c r="F485" s="447"/>
      <c r="G485" s="447"/>
      <c r="H485" s="447"/>
      <c r="I485" s="447"/>
      <c r="J485" s="447"/>
      <c r="K485" s="447"/>
      <c r="L485" s="447"/>
      <c r="M485" s="447"/>
      <c r="N485" s="447"/>
      <c r="O485" s="447"/>
      <c r="P485" s="447"/>
      <c r="Q485" s="447"/>
      <c r="R485" s="447"/>
      <c r="S485" s="447"/>
      <c r="T485" s="447"/>
      <c r="U485" s="447"/>
      <c r="V485" s="447"/>
      <c r="W485" s="447"/>
      <c r="X485" s="447"/>
      <c r="Y485" s="447"/>
      <c r="Z485" s="447"/>
      <c r="AA485" s="447"/>
      <c r="AB485" s="447"/>
      <c r="AC485" s="447"/>
      <c r="AD485" s="447"/>
      <c r="AE485" s="447"/>
      <c r="AF485" s="448"/>
      <c r="AG485" s="448"/>
      <c r="AH485" s="448"/>
      <c r="AI485" s="447"/>
      <c r="AJ485" s="447"/>
      <c r="AK485" s="447"/>
      <c r="AL485" s="447"/>
      <c r="AM485" s="447"/>
      <c r="AN485" s="447"/>
      <c r="AO485" s="447"/>
      <c r="AP485" s="447"/>
      <c r="AQ485" s="447"/>
      <c r="AR485" s="447"/>
      <c r="AS485" s="447"/>
      <c r="AT485" s="447"/>
      <c r="AU485" s="447"/>
      <c r="AV485" s="447"/>
      <c r="AW485" s="447"/>
      <c r="AX485" s="447"/>
      <c r="AY485" s="447"/>
      <c r="AZ485" s="447"/>
      <c r="BA485" s="447"/>
      <c r="BB485" s="447"/>
      <c r="BC485" s="447"/>
      <c r="BD485" s="447"/>
      <c r="BE485" s="447"/>
      <c r="BF485" s="447"/>
      <c r="BG485" s="447"/>
      <c r="BH485" s="447"/>
      <c r="BI485" s="447"/>
      <c r="BJ485" s="447"/>
      <c r="BK485" s="447"/>
      <c r="BL485" s="447"/>
      <c r="BM485" s="448"/>
      <c r="BN485" s="448"/>
    </row>
    <row r="486" spans="1:66" ht="11.25" customHeight="1">
      <c r="A486" s="469"/>
      <c r="B486" s="447"/>
      <c r="C486" s="447"/>
      <c r="D486" s="447"/>
      <c r="E486" s="447"/>
      <c r="F486" s="447"/>
      <c r="G486" s="447"/>
      <c r="H486" s="447"/>
      <c r="I486" s="447"/>
      <c r="J486" s="447"/>
      <c r="K486" s="447"/>
      <c r="L486" s="447"/>
      <c r="M486" s="447"/>
      <c r="N486" s="447"/>
      <c r="O486" s="447"/>
      <c r="P486" s="447"/>
      <c r="Q486" s="447"/>
      <c r="R486" s="447"/>
      <c r="S486" s="447"/>
      <c r="T486" s="447"/>
      <c r="U486" s="447"/>
      <c r="V486" s="447"/>
      <c r="W486" s="447"/>
      <c r="X486" s="447"/>
      <c r="Y486" s="447"/>
      <c r="Z486" s="447"/>
      <c r="AA486" s="447"/>
      <c r="AB486" s="447"/>
      <c r="AC486" s="447"/>
      <c r="AD486" s="447"/>
      <c r="AE486" s="447"/>
      <c r="AF486" s="448"/>
      <c r="AG486" s="448"/>
      <c r="AH486" s="448"/>
      <c r="AI486" s="447"/>
      <c r="AJ486" s="447"/>
      <c r="AK486" s="447"/>
      <c r="AL486" s="447"/>
      <c r="AM486" s="447"/>
      <c r="AN486" s="447"/>
      <c r="AO486" s="447"/>
      <c r="AP486" s="447"/>
      <c r="AQ486" s="447"/>
      <c r="AR486" s="447"/>
      <c r="AS486" s="447"/>
      <c r="AT486" s="447"/>
      <c r="AU486" s="447"/>
      <c r="AV486" s="447"/>
      <c r="AW486" s="447"/>
      <c r="AX486" s="447"/>
      <c r="AY486" s="447"/>
      <c r="AZ486" s="447"/>
      <c r="BA486" s="447"/>
      <c r="BB486" s="447"/>
      <c r="BC486" s="447"/>
      <c r="BD486" s="447"/>
      <c r="BE486" s="447"/>
      <c r="BF486" s="447"/>
      <c r="BG486" s="447"/>
      <c r="BH486" s="447"/>
      <c r="BI486" s="447"/>
      <c r="BJ486" s="447"/>
      <c r="BK486" s="447"/>
      <c r="BL486" s="447"/>
      <c r="BM486" s="448"/>
      <c r="BN486" s="448"/>
    </row>
    <row r="487" spans="1:66" ht="11.25" customHeight="1">
      <c r="A487" s="469"/>
      <c r="B487" s="447"/>
      <c r="C487" s="447"/>
      <c r="D487" s="447"/>
      <c r="E487" s="447"/>
      <c r="F487" s="447"/>
      <c r="G487" s="447"/>
      <c r="H487" s="447"/>
      <c r="I487" s="447"/>
      <c r="J487" s="447"/>
      <c r="K487" s="447"/>
      <c r="L487" s="447"/>
      <c r="M487" s="447"/>
      <c r="N487" s="447"/>
      <c r="O487" s="447"/>
      <c r="P487" s="447"/>
      <c r="Q487" s="447"/>
      <c r="R487" s="447"/>
      <c r="S487" s="447"/>
      <c r="T487" s="447"/>
      <c r="U487" s="447"/>
      <c r="V487" s="447"/>
      <c r="W487" s="447"/>
      <c r="X487" s="447"/>
      <c r="Y487" s="447"/>
      <c r="Z487" s="447"/>
      <c r="AA487" s="447"/>
      <c r="AB487" s="447"/>
      <c r="AC487" s="447"/>
      <c r="AD487" s="447"/>
      <c r="AE487" s="447"/>
      <c r="AF487" s="448"/>
      <c r="AG487" s="448"/>
      <c r="AH487" s="448"/>
      <c r="AI487" s="447"/>
      <c r="AJ487" s="447"/>
      <c r="AK487" s="447"/>
      <c r="AL487" s="447"/>
      <c r="AM487" s="447"/>
      <c r="AN487" s="447"/>
      <c r="AO487" s="447"/>
      <c r="AP487" s="447"/>
      <c r="AQ487" s="447"/>
      <c r="AR487" s="447"/>
      <c r="AS487" s="447"/>
      <c r="AT487" s="447"/>
      <c r="AU487" s="447"/>
      <c r="AV487" s="447"/>
      <c r="AW487" s="447"/>
      <c r="AX487" s="447"/>
      <c r="AY487" s="447"/>
      <c r="AZ487" s="447"/>
      <c r="BA487" s="447"/>
      <c r="BB487" s="447"/>
      <c r="BC487" s="447"/>
      <c r="BD487" s="447"/>
      <c r="BE487" s="447"/>
      <c r="BF487" s="447"/>
      <c r="BG487" s="447"/>
      <c r="BH487" s="447"/>
      <c r="BI487" s="447"/>
      <c r="BJ487" s="447"/>
      <c r="BK487" s="447"/>
      <c r="BL487" s="447"/>
      <c r="BM487" s="448"/>
      <c r="BN487" s="448"/>
    </row>
    <row r="488" spans="1:66" ht="11.25" customHeight="1">
      <c r="A488" s="469"/>
      <c r="B488" s="447"/>
      <c r="C488" s="447"/>
      <c r="D488" s="447"/>
      <c r="E488" s="447"/>
      <c r="F488" s="447"/>
      <c r="G488" s="447"/>
      <c r="H488" s="447"/>
      <c r="I488" s="447"/>
      <c r="J488" s="447"/>
      <c r="K488" s="447"/>
      <c r="L488" s="447"/>
      <c r="M488" s="447"/>
      <c r="N488" s="447"/>
      <c r="O488" s="447"/>
      <c r="P488" s="447"/>
      <c r="Q488" s="447"/>
      <c r="R488" s="447"/>
      <c r="S488" s="447"/>
      <c r="T488" s="447"/>
      <c r="U488" s="447"/>
      <c r="V488" s="447"/>
      <c r="W488" s="447"/>
      <c r="X488" s="447"/>
      <c r="Y488" s="447"/>
      <c r="Z488" s="447"/>
      <c r="AA488" s="447"/>
      <c r="AB488" s="447"/>
      <c r="AC488" s="447"/>
      <c r="AD488" s="447"/>
      <c r="AE488" s="447"/>
      <c r="AF488" s="448"/>
      <c r="AG488" s="448"/>
      <c r="AH488" s="448"/>
      <c r="AI488" s="447"/>
      <c r="AJ488" s="447"/>
      <c r="AK488" s="447"/>
      <c r="AL488" s="447"/>
      <c r="AM488" s="447"/>
      <c r="AN488" s="447"/>
      <c r="AO488" s="447"/>
      <c r="AP488" s="447"/>
      <c r="AQ488" s="447"/>
      <c r="AR488" s="447"/>
      <c r="AS488" s="447"/>
      <c r="AT488" s="447"/>
      <c r="AU488" s="447"/>
      <c r="AV488" s="447"/>
      <c r="AW488" s="447"/>
      <c r="AX488" s="447"/>
      <c r="AY488" s="447"/>
      <c r="AZ488" s="447"/>
      <c r="BA488" s="447"/>
      <c r="BB488" s="447"/>
      <c r="BC488" s="447"/>
      <c r="BD488" s="447"/>
      <c r="BE488" s="447"/>
      <c r="BF488" s="447"/>
      <c r="BG488" s="447"/>
      <c r="BH488" s="447"/>
      <c r="BI488" s="447"/>
      <c r="BJ488" s="447"/>
      <c r="BK488" s="447"/>
      <c r="BL488" s="447"/>
      <c r="BM488" s="448"/>
      <c r="BN488" s="448"/>
    </row>
    <row r="489" spans="1:66" ht="11.25" customHeight="1">
      <c r="A489" s="469"/>
      <c r="B489" s="447"/>
      <c r="C489" s="447"/>
      <c r="D489" s="447"/>
      <c r="E489" s="447"/>
      <c r="F489" s="447"/>
      <c r="G489" s="447"/>
      <c r="H489" s="447"/>
      <c r="I489" s="447"/>
      <c r="J489" s="447"/>
      <c r="K489" s="447"/>
      <c r="L489" s="447"/>
      <c r="M489" s="447"/>
      <c r="N489" s="447"/>
      <c r="O489" s="447"/>
      <c r="P489" s="447"/>
      <c r="Q489" s="447"/>
      <c r="R489" s="447"/>
      <c r="S489" s="447"/>
      <c r="T489" s="447"/>
      <c r="U489" s="447"/>
      <c r="V489" s="447"/>
      <c r="W489" s="447"/>
      <c r="X489" s="447"/>
      <c r="Y489" s="447"/>
      <c r="Z489" s="447"/>
      <c r="AA489" s="447"/>
      <c r="AB489" s="447"/>
      <c r="AC489" s="447"/>
      <c r="AD489" s="447"/>
      <c r="AE489" s="447"/>
      <c r="AF489" s="448"/>
      <c r="AG489" s="448"/>
      <c r="AH489" s="448"/>
      <c r="AI489" s="447"/>
      <c r="AJ489" s="447"/>
      <c r="AK489" s="447"/>
      <c r="AL489" s="447"/>
      <c r="AM489" s="447"/>
      <c r="AN489" s="447"/>
      <c r="AO489" s="447"/>
      <c r="AP489" s="447"/>
      <c r="AQ489" s="447"/>
      <c r="AR489" s="447"/>
      <c r="AS489" s="447"/>
      <c r="AT489" s="447"/>
      <c r="AU489" s="447"/>
      <c r="AV489" s="447"/>
      <c r="AW489" s="447"/>
      <c r="AX489" s="447"/>
      <c r="AY489" s="447"/>
      <c r="AZ489" s="447"/>
      <c r="BA489" s="447"/>
      <c r="BB489" s="447"/>
      <c r="BC489" s="447"/>
      <c r="BD489" s="447"/>
      <c r="BE489" s="447"/>
      <c r="BF489" s="447"/>
      <c r="BG489" s="447"/>
      <c r="BH489" s="447"/>
      <c r="BI489" s="447"/>
      <c r="BJ489" s="447"/>
      <c r="BK489" s="447"/>
      <c r="BL489" s="447"/>
      <c r="BM489" s="448"/>
      <c r="BN489" s="448"/>
    </row>
    <row r="490" spans="1:66" ht="11.25" customHeight="1">
      <c r="A490" s="469"/>
      <c r="B490" s="447"/>
      <c r="C490" s="447"/>
      <c r="D490" s="447"/>
      <c r="E490" s="447"/>
      <c r="F490" s="447"/>
      <c r="G490" s="447"/>
      <c r="H490" s="447"/>
      <c r="I490" s="447"/>
      <c r="J490" s="447"/>
      <c r="K490" s="447"/>
      <c r="L490" s="447"/>
      <c r="M490" s="447"/>
      <c r="N490" s="447"/>
      <c r="O490" s="447"/>
      <c r="P490" s="447"/>
      <c r="Q490" s="447"/>
      <c r="R490" s="447"/>
      <c r="S490" s="447"/>
      <c r="T490" s="447"/>
      <c r="U490" s="447"/>
      <c r="V490" s="447"/>
      <c r="W490" s="447"/>
      <c r="X490" s="447"/>
      <c r="Y490" s="447"/>
      <c r="Z490" s="447"/>
      <c r="AA490" s="447"/>
      <c r="AB490" s="447"/>
      <c r="AC490" s="447"/>
      <c r="AD490" s="447"/>
      <c r="AE490" s="447"/>
      <c r="AF490" s="448"/>
      <c r="AG490" s="448"/>
      <c r="AH490" s="448"/>
      <c r="AI490" s="447"/>
      <c r="AJ490" s="447"/>
      <c r="AK490" s="447"/>
      <c r="AL490" s="447"/>
      <c r="AM490" s="447"/>
      <c r="AN490" s="447"/>
      <c r="AO490" s="447"/>
      <c r="AP490" s="447"/>
      <c r="AQ490" s="447"/>
      <c r="AR490" s="447"/>
      <c r="AS490" s="447"/>
      <c r="AT490" s="447"/>
      <c r="AU490" s="447"/>
      <c r="AV490" s="447"/>
      <c r="AW490" s="447"/>
      <c r="AX490" s="447"/>
      <c r="AY490" s="447"/>
      <c r="AZ490" s="447"/>
      <c r="BA490" s="447"/>
      <c r="BB490" s="447"/>
      <c r="BC490" s="447"/>
      <c r="BD490" s="447"/>
      <c r="BE490" s="447"/>
      <c r="BF490" s="447"/>
      <c r="BG490" s="447"/>
      <c r="BH490" s="447"/>
      <c r="BI490" s="447"/>
      <c r="BJ490" s="447"/>
      <c r="BK490" s="447"/>
      <c r="BL490" s="447"/>
      <c r="BM490" s="448"/>
      <c r="BN490" s="448"/>
    </row>
    <row r="491" spans="1:66" ht="11.25" customHeight="1">
      <c r="A491" s="469"/>
      <c r="B491" s="447"/>
      <c r="C491" s="447"/>
      <c r="D491" s="447"/>
      <c r="E491" s="447"/>
      <c r="F491" s="447"/>
      <c r="G491" s="447"/>
      <c r="H491" s="447"/>
      <c r="I491" s="447"/>
      <c r="J491" s="447"/>
      <c r="K491" s="447"/>
      <c r="L491" s="447"/>
      <c r="M491" s="447"/>
      <c r="N491" s="447"/>
      <c r="O491" s="447"/>
      <c r="P491" s="447"/>
      <c r="Q491" s="447"/>
      <c r="R491" s="447"/>
      <c r="S491" s="447"/>
      <c r="T491" s="447"/>
      <c r="U491" s="447"/>
      <c r="V491" s="447"/>
      <c r="W491" s="447"/>
      <c r="X491" s="447"/>
      <c r="Y491" s="447"/>
      <c r="Z491" s="447"/>
      <c r="AA491" s="447"/>
      <c r="AB491" s="447"/>
      <c r="AC491" s="447"/>
      <c r="AD491" s="447"/>
      <c r="AE491" s="447"/>
      <c r="AF491" s="448"/>
      <c r="AG491" s="448"/>
      <c r="AH491" s="448"/>
      <c r="AI491" s="447"/>
      <c r="AJ491" s="447"/>
      <c r="AK491" s="447"/>
      <c r="AL491" s="447"/>
      <c r="AM491" s="447"/>
      <c r="AN491" s="447"/>
      <c r="AO491" s="447"/>
      <c r="AP491" s="447"/>
      <c r="AQ491" s="447"/>
      <c r="AR491" s="447"/>
      <c r="AS491" s="447"/>
      <c r="AT491" s="447"/>
      <c r="AU491" s="447"/>
      <c r="AV491" s="447"/>
      <c r="AW491" s="447"/>
      <c r="AX491" s="447"/>
      <c r="AY491" s="447"/>
      <c r="AZ491" s="447"/>
      <c r="BA491" s="447"/>
      <c r="BB491" s="447"/>
      <c r="BC491" s="447"/>
      <c r="BD491" s="447"/>
      <c r="BE491" s="447"/>
      <c r="BF491" s="447"/>
      <c r="BG491" s="447"/>
      <c r="BH491" s="447"/>
      <c r="BI491" s="447"/>
      <c r="BJ491" s="447"/>
      <c r="BK491" s="447"/>
      <c r="BL491" s="447"/>
      <c r="BM491" s="448"/>
      <c r="BN491" s="448"/>
    </row>
    <row r="492" spans="1:66" ht="11.25" customHeight="1">
      <c r="A492" s="469"/>
      <c r="B492" s="447"/>
      <c r="C492" s="447"/>
      <c r="D492" s="447"/>
      <c r="E492" s="447"/>
      <c r="F492" s="447"/>
      <c r="G492" s="447"/>
      <c r="H492" s="447"/>
      <c r="I492" s="447"/>
      <c r="J492" s="447"/>
      <c r="K492" s="447"/>
      <c r="L492" s="447"/>
      <c r="M492" s="447"/>
      <c r="N492" s="447"/>
      <c r="O492" s="447"/>
      <c r="P492" s="447"/>
      <c r="Q492" s="447"/>
      <c r="R492" s="447"/>
      <c r="S492" s="447"/>
      <c r="T492" s="447"/>
      <c r="U492" s="447"/>
      <c r="V492" s="447"/>
      <c r="W492" s="447"/>
      <c r="X492" s="447"/>
      <c r="Y492" s="447"/>
      <c r="Z492" s="447"/>
      <c r="AA492" s="447"/>
      <c r="AB492" s="447"/>
      <c r="AC492" s="447"/>
      <c r="AD492" s="447"/>
      <c r="AE492" s="447"/>
      <c r="AF492" s="448"/>
      <c r="AG492" s="448"/>
      <c r="AH492" s="448"/>
      <c r="AI492" s="447"/>
      <c r="AJ492" s="447"/>
      <c r="AK492" s="447"/>
      <c r="AL492" s="447"/>
      <c r="AM492" s="447"/>
      <c r="AN492" s="447"/>
      <c r="AO492" s="447"/>
      <c r="AP492" s="447"/>
      <c r="AQ492" s="447"/>
      <c r="AR492" s="447"/>
      <c r="AS492" s="447"/>
      <c r="AT492" s="447"/>
      <c r="AU492" s="447"/>
      <c r="AV492" s="447"/>
      <c r="AW492" s="447"/>
      <c r="AX492" s="447"/>
      <c r="AY492" s="447"/>
      <c r="AZ492" s="447"/>
      <c r="BA492" s="447"/>
      <c r="BB492" s="447"/>
      <c r="BC492" s="447"/>
      <c r="BD492" s="447"/>
      <c r="BE492" s="447"/>
      <c r="BF492" s="447"/>
      <c r="BG492" s="447"/>
      <c r="BH492" s="447"/>
      <c r="BI492" s="447"/>
      <c r="BJ492" s="447"/>
      <c r="BK492" s="447"/>
      <c r="BL492" s="447"/>
      <c r="BM492" s="448"/>
      <c r="BN492" s="448"/>
    </row>
    <row r="493" spans="1:66" ht="11.25" customHeight="1">
      <c r="A493" s="469"/>
      <c r="B493" s="447"/>
      <c r="C493" s="447"/>
      <c r="D493" s="447"/>
      <c r="E493" s="447"/>
      <c r="F493" s="447"/>
      <c r="G493" s="447"/>
      <c r="H493" s="447"/>
      <c r="I493" s="447"/>
      <c r="J493" s="447"/>
      <c r="K493" s="447"/>
      <c r="L493" s="447"/>
      <c r="M493" s="447"/>
      <c r="N493" s="447"/>
      <c r="O493" s="447"/>
      <c r="P493" s="447"/>
      <c r="Q493" s="447"/>
      <c r="R493" s="447"/>
      <c r="S493" s="447"/>
      <c r="T493" s="447"/>
      <c r="U493" s="447"/>
      <c r="V493" s="447"/>
      <c r="W493" s="447"/>
      <c r="X493" s="447"/>
      <c r="Y493" s="447"/>
      <c r="Z493" s="447"/>
      <c r="AA493" s="447"/>
      <c r="AB493" s="447"/>
      <c r="AC493" s="447"/>
      <c r="AD493" s="447"/>
      <c r="AE493" s="447"/>
      <c r="AF493" s="448"/>
      <c r="AG493" s="448"/>
      <c r="AH493" s="448"/>
      <c r="AI493" s="447"/>
      <c r="AJ493" s="447"/>
      <c r="AK493" s="447"/>
      <c r="AL493" s="447"/>
      <c r="AM493" s="447"/>
      <c r="AN493" s="447"/>
      <c r="AO493" s="447"/>
      <c r="AP493" s="447"/>
      <c r="AQ493" s="447"/>
      <c r="AR493" s="447"/>
      <c r="AS493" s="447"/>
      <c r="AT493" s="447"/>
      <c r="AU493" s="447"/>
      <c r="AV493" s="447"/>
      <c r="AW493" s="447"/>
      <c r="AX493" s="447"/>
      <c r="AY493" s="447"/>
      <c r="AZ493" s="447"/>
      <c r="BA493" s="447"/>
      <c r="BB493" s="447"/>
      <c r="BC493" s="447"/>
      <c r="BD493" s="447"/>
      <c r="BE493" s="447"/>
      <c r="BF493" s="447"/>
      <c r="BG493" s="447"/>
      <c r="BH493" s="447"/>
      <c r="BI493" s="447"/>
      <c r="BJ493" s="447"/>
      <c r="BK493" s="447"/>
      <c r="BL493" s="447"/>
      <c r="BM493" s="448"/>
      <c r="BN493" s="448"/>
    </row>
    <row r="494" spans="1:66" ht="11.25" customHeight="1">
      <c r="A494" s="469"/>
      <c r="B494" s="447"/>
      <c r="C494" s="447"/>
      <c r="D494" s="447"/>
      <c r="E494" s="447"/>
      <c r="F494" s="447"/>
      <c r="G494" s="447"/>
      <c r="H494" s="447"/>
      <c r="I494" s="447"/>
      <c r="J494" s="447"/>
      <c r="K494" s="447"/>
      <c r="L494" s="447"/>
      <c r="M494" s="447"/>
      <c r="N494" s="447"/>
      <c r="O494" s="447"/>
      <c r="P494" s="447"/>
      <c r="Q494" s="447"/>
      <c r="R494" s="447"/>
      <c r="S494" s="447"/>
      <c r="T494" s="447"/>
      <c r="U494" s="447"/>
      <c r="V494" s="447"/>
      <c r="W494" s="447"/>
      <c r="X494" s="447"/>
      <c r="Y494" s="447"/>
      <c r="Z494" s="447"/>
      <c r="AA494" s="447"/>
      <c r="AB494" s="447"/>
      <c r="AC494" s="447"/>
      <c r="AD494" s="447"/>
      <c r="AE494" s="447"/>
      <c r="AF494" s="448"/>
      <c r="AG494" s="448"/>
      <c r="AH494" s="448"/>
      <c r="AI494" s="447"/>
      <c r="AJ494" s="447"/>
      <c r="AK494" s="447"/>
      <c r="AL494" s="447"/>
      <c r="AM494" s="447"/>
      <c r="AN494" s="447"/>
      <c r="AO494" s="447"/>
      <c r="AP494" s="447"/>
      <c r="AQ494" s="447"/>
      <c r="AR494" s="447"/>
      <c r="AS494" s="447"/>
      <c r="AT494" s="447"/>
      <c r="AU494" s="447"/>
      <c r="AV494" s="447"/>
      <c r="AW494" s="447"/>
      <c r="AX494" s="447"/>
      <c r="AY494" s="447"/>
      <c r="AZ494" s="447"/>
      <c r="BA494" s="447"/>
      <c r="BB494" s="447"/>
      <c r="BC494" s="447"/>
      <c r="BD494" s="447"/>
      <c r="BE494" s="447"/>
      <c r="BF494" s="447"/>
      <c r="BG494" s="447"/>
      <c r="BH494" s="447"/>
      <c r="BI494" s="447"/>
      <c r="BJ494" s="447"/>
      <c r="BK494" s="447"/>
      <c r="BL494" s="447"/>
      <c r="BM494" s="448"/>
      <c r="BN494" s="448"/>
    </row>
    <row r="495" spans="1:66" ht="11.25" customHeight="1">
      <c r="A495" s="469"/>
      <c r="B495" s="447"/>
      <c r="C495" s="447"/>
      <c r="D495" s="447"/>
      <c r="E495" s="447"/>
      <c r="F495" s="447"/>
      <c r="G495" s="447"/>
      <c r="H495" s="447"/>
      <c r="I495" s="447"/>
      <c r="J495" s="447"/>
      <c r="K495" s="447"/>
      <c r="L495" s="447"/>
      <c r="M495" s="447"/>
      <c r="N495" s="447"/>
      <c r="O495" s="447"/>
      <c r="P495" s="447"/>
      <c r="Q495" s="447"/>
      <c r="R495" s="447"/>
      <c r="S495" s="447"/>
      <c r="T495" s="447"/>
      <c r="U495" s="447"/>
      <c r="V495" s="447"/>
      <c r="W495" s="447"/>
      <c r="X495" s="447"/>
      <c r="Y495" s="447"/>
      <c r="Z495" s="447"/>
      <c r="AA495" s="447"/>
      <c r="AB495" s="447"/>
      <c r="AC495" s="447"/>
      <c r="AD495" s="447"/>
      <c r="AE495" s="447"/>
      <c r="AF495" s="448"/>
      <c r="AG495" s="448"/>
      <c r="AH495" s="448"/>
      <c r="AI495" s="447"/>
      <c r="AJ495" s="447"/>
      <c r="AK495" s="447"/>
      <c r="AL495" s="447"/>
      <c r="AM495" s="447"/>
      <c r="AN495" s="447"/>
      <c r="AO495" s="447"/>
      <c r="AP495" s="447"/>
      <c r="AQ495" s="447"/>
      <c r="AR495" s="447"/>
      <c r="AS495" s="447"/>
      <c r="AT495" s="447"/>
      <c r="AU495" s="447"/>
      <c r="AV495" s="447"/>
      <c r="AW495" s="447"/>
      <c r="AX495" s="447"/>
      <c r="AY495" s="447"/>
      <c r="AZ495" s="447"/>
      <c r="BA495" s="447"/>
      <c r="BB495" s="447"/>
      <c r="BC495" s="447"/>
      <c r="BD495" s="447"/>
      <c r="BE495" s="447"/>
      <c r="BF495" s="447"/>
      <c r="BG495" s="447"/>
      <c r="BH495" s="447"/>
      <c r="BI495" s="447"/>
      <c r="BJ495" s="447"/>
      <c r="BK495" s="447"/>
      <c r="BL495" s="447"/>
      <c r="BM495" s="448"/>
      <c r="BN495" s="448"/>
    </row>
    <row r="496" spans="1:66" ht="11.25" customHeight="1">
      <c r="A496" s="469"/>
      <c r="B496" s="447"/>
      <c r="C496" s="447"/>
      <c r="D496" s="447"/>
      <c r="E496" s="447"/>
      <c r="F496" s="447"/>
      <c r="G496" s="447"/>
      <c r="H496" s="447"/>
      <c r="I496" s="447"/>
      <c r="J496" s="447"/>
      <c r="K496" s="447"/>
      <c r="L496" s="447"/>
      <c r="M496" s="447"/>
      <c r="N496" s="447"/>
      <c r="O496" s="447"/>
      <c r="P496" s="447"/>
      <c r="Q496" s="447"/>
      <c r="R496" s="447"/>
      <c r="S496" s="447"/>
      <c r="T496" s="447"/>
      <c r="U496" s="447"/>
      <c r="V496" s="447"/>
      <c r="W496" s="447"/>
      <c r="X496" s="447"/>
      <c r="Y496" s="447"/>
      <c r="Z496" s="447"/>
      <c r="AA496" s="447"/>
      <c r="AB496" s="447"/>
      <c r="AC496" s="447"/>
      <c r="AD496" s="447"/>
      <c r="AE496" s="447"/>
      <c r="AF496" s="448"/>
      <c r="AG496" s="448"/>
      <c r="AH496" s="448"/>
      <c r="AI496" s="447"/>
      <c r="AJ496" s="447"/>
      <c r="AK496" s="447"/>
      <c r="AL496" s="447"/>
      <c r="AM496" s="447"/>
      <c r="AN496" s="447"/>
      <c r="AO496" s="447"/>
      <c r="AP496" s="447"/>
      <c r="AQ496" s="447"/>
      <c r="AR496" s="447"/>
      <c r="AS496" s="447"/>
      <c r="AT496" s="447"/>
      <c r="AU496" s="447"/>
      <c r="AV496" s="447"/>
      <c r="AW496" s="447"/>
      <c r="AX496" s="447"/>
      <c r="AY496" s="447"/>
      <c r="AZ496" s="447"/>
      <c r="BA496" s="447"/>
      <c r="BB496" s="447"/>
      <c r="BC496" s="447"/>
      <c r="BD496" s="447"/>
      <c r="BE496" s="447"/>
      <c r="BF496" s="447"/>
      <c r="BG496" s="447"/>
      <c r="BH496" s="447"/>
      <c r="BI496" s="447"/>
      <c r="BJ496" s="447"/>
      <c r="BK496" s="447"/>
      <c r="BL496" s="447"/>
      <c r="BM496" s="448"/>
      <c r="BN496" s="448"/>
    </row>
    <row r="497" spans="1:66" ht="11.25" customHeight="1">
      <c r="A497" s="469"/>
      <c r="B497" s="447"/>
      <c r="C497" s="447"/>
      <c r="D497" s="447"/>
      <c r="E497" s="447"/>
      <c r="F497" s="447"/>
      <c r="G497" s="447"/>
      <c r="H497" s="447"/>
      <c r="I497" s="447"/>
      <c r="J497" s="447"/>
      <c r="K497" s="447"/>
      <c r="L497" s="447"/>
      <c r="M497" s="447"/>
      <c r="N497" s="447"/>
      <c r="O497" s="447"/>
      <c r="P497" s="447"/>
      <c r="Q497" s="447"/>
      <c r="R497" s="447"/>
      <c r="S497" s="447"/>
      <c r="T497" s="447"/>
      <c r="U497" s="447"/>
      <c r="V497" s="447"/>
      <c r="W497" s="447"/>
      <c r="X497" s="447"/>
      <c r="Y497" s="447"/>
      <c r="Z497" s="447"/>
      <c r="AA497" s="447"/>
      <c r="AB497" s="447"/>
      <c r="AC497" s="447"/>
      <c r="AD497" s="447"/>
      <c r="AE497" s="447"/>
      <c r="AF497" s="448"/>
      <c r="AG497" s="448"/>
      <c r="AH497" s="448"/>
      <c r="AI497" s="447"/>
      <c r="AJ497" s="447"/>
      <c r="AK497" s="447"/>
      <c r="AL497" s="447"/>
      <c r="AM497" s="447"/>
      <c r="AN497" s="447"/>
      <c r="AO497" s="447"/>
      <c r="AP497" s="447"/>
      <c r="AQ497" s="447"/>
      <c r="AR497" s="447"/>
      <c r="AS497" s="447"/>
      <c r="AT497" s="447"/>
      <c r="AU497" s="447"/>
      <c r="AV497" s="447"/>
      <c r="AW497" s="447"/>
      <c r="AX497" s="447"/>
      <c r="AY497" s="447"/>
      <c r="AZ497" s="447"/>
      <c r="BA497" s="447"/>
      <c r="BB497" s="447"/>
      <c r="BC497" s="447"/>
      <c r="BD497" s="447"/>
      <c r="BE497" s="447"/>
      <c r="BF497" s="447"/>
      <c r="BG497" s="447"/>
      <c r="BH497" s="447"/>
      <c r="BI497" s="447"/>
      <c r="BJ497" s="447"/>
      <c r="BK497" s="447"/>
      <c r="BL497" s="447"/>
      <c r="BM497" s="448"/>
      <c r="BN497" s="448"/>
    </row>
    <row r="498" spans="1:66" ht="11.25" customHeight="1">
      <c r="A498" s="469"/>
      <c r="B498" s="447"/>
      <c r="C498" s="447"/>
      <c r="D498" s="447"/>
      <c r="E498" s="447"/>
      <c r="F498" s="447"/>
      <c r="G498" s="447"/>
      <c r="H498" s="447"/>
      <c r="I498" s="447"/>
      <c r="J498" s="447"/>
      <c r="K498" s="447"/>
      <c r="L498" s="447"/>
      <c r="M498" s="447"/>
      <c r="N498" s="447"/>
      <c r="O498" s="447"/>
      <c r="P498" s="447"/>
      <c r="Q498" s="447"/>
      <c r="R498" s="447"/>
      <c r="S498" s="447"/>
      <c r="T498" s="447"/>
      <c r="U498" s="447"/>
      <c r="V498" s="447"/>
      <c r="W498" s="447"/>
      <c r="X498" s="447"/>
      <c r="Y498" s="447"/>
      <c r="Z498" s="447"/>
      <c r="AA498" s="447"/>
      <c r="AB498" s="447"/>
      <c r="AC498" s="447"/>
      <c r="AD498" s="447"/>
      <c r="AE498" s="447"/>
      <c r="AF498" s="448"/>
      <c r="AG498" s="448"/>
      <c r="AH498" s="448"/>
      <c r="AI498" s="447"/>
      <c r="AJ498" s="447"/>
      <c r="AK498" s="447"/>
      <c r="AL498" s="447"/>
      <c r="AM498" s="447"/>
      <c r="AN498" s="447"/>
      <c r="AO498" s="447"/>
      <c r="AP498" s="447"/>
      <c r="AQ498" s="447"/>
      <c r="AR498" s="447"/>
      <c r="AS498" s="447"/>
      <c r="AT498" s="447"/>
      <c r="AU498" s="447"/>
      <c r="AV498" s="447"/>
      <c r="AW498" s="447"/>
      <c r="AX498" s="447"/>
      <c r="AY498" s="447"/>
      <c r="AZ498" s="447"/>
      <c r="BA498" s="447"/>
      <c r="BB498" s="447"/>
      <c r="BC498" s="447"/>
      <c r="BD498" s="447"/>
      <c r="BE498" s="447"/>
      <c r="BF498" s="447"/>
      <c r="BG498" s="447"/>
      <c r="BH498" s="447"/>
      <c r="BI498" s="447"/>
      <c r="BJ498" s="447"/>
      <c r="BK498" s="447"/>
      <c r="BL498" s="447"/>
      <c r="BM498" s="448"/>
      <c r="BN498" s="448"/>
    </row>
    <row r="499" spans="1:66" ht="11.25" customHeight="1">
      <c r="A499" s="469"/>
      <c r="B499" s="447"/>
      <c r="C499" s="447"/>
      <c r="D499" s="447"/>
      <c r="E499" s="447"/>
      <c r="F499" s="447"/>
      <c r="G499" s="447"/>
      <c r="H499" s="447"/>
      <c r="I499" s="447"/>
      <c r="J499" s="447"/>
      <c r="K499" s="447"/>
      <c r="L499" s="447"/>
      <c r="M499" s="447"/>
      <c r="N499" s="447"/>
      <c r="O499" s="447"/>
      <c r="P499" s="447"/>
      <c r="Q499" s="447"/>
      <c r="R499" s="447"/>
      <c r="S499" s="447"/>
      <c r="T499" s="447"/>
      <c r="U499" s="447"/>
      <c r="V499" s="447"/>
      <c r="W499" s="447"/>
      <c r="X499" s="447"/>
      <c r="Y499" s="447"/>
      <c r="Z499" s="447"/>
      <c r="AA499" s="447"/>
      <c r="AB499" s="447"/>
      <c r="AC499" s="447"/>
      <c r="AD499" s="447"/>
      <c r="AE499" s="447"/>
      <c r="AF499" s="448"/>
      <c r="AG499" s="448"/>
      <c r="AH499" s="448"/>
      <c r="AI499" s="447"/>
      <c r="AJ499" s="447"/>
      <c r="AK499" s="447"/>
      <c r="AL499" s="447"/>
      <c r="AM499" s="447"/>
      <c r="AN499" s="447"/>
      <c r="AO499" s="447"/>
      <c r="AP499" s="447"/>
      <c r="AQ499" s="447"/>
      <c r="AR499" s="447"/>
      <c r="AS499" s="447"/>
      <c r="AT499" s="447"/>
      <c r="AU499" s="447"/>
      <c r="AV499" s="447"/>
      <c r="AW499" s="447"/>
      <c r="AX499" s="447"/>
      <c r="AY499" s="447"/>
      <c r="AZ499" s="447"/>
      <c r="BA499" s="447"/>
      <c r="BB499" s="447"/>
      <c r="BC499" s="447"/>
      <c r="BD499" s="447"/>
      <c r="BE499" s="447"/>
      <c r="BF499" s="447"/>
      <c r="BG499" s="447"/>
      <c r="BH499" s="447"/>
      <c r="BI499" s="447"/>
      <c r="BJ499" s="447"/>
      <c r="BK499" s="447"/>
      <c r="BL499" s="447"/>
      <c r="BM499" s="448"/>
      <c r="BN499" s="448"/>
    </row>
    <row r="500" spans="1:66" ht="11.25" customHeight="1">
      <c r="A500" s="469"/>
      <c r="B500" s="447"/>
      <c r="C500" s="447"/>
      <c r="D500" s="447"/>
      <c r="E500" s="447"/>
      <c r="F500" s="447"/>
      <c r="G500" s="447"/>
      <c r="H500" s="447"/>
      <c r="I500" s="447"/>
      <c r="J500" s="447"/>
      <c r="K500" s="447"/>
      <c r="L500" s="447"/>
      <c r="M500" s="447"/>
      <c r="N500" s="447"/>
      <c r="O500" s="447"/>
      <c r="P500" s="447"/>
      <c r="Q500" s="447"/>
      <c r="R500" s="447"/>
      <c r="S500" s="447"/>
      <c r="T500" s="447"/>
      <c r="U500" s="447"/>
      <c r="V500" s="447"/>
      <c r="W500" s="447"/>
      <c r="X500" s="447"/>
      <c r="Y500" s="447"/>
      <c r="Z500" s="447"/>
      <c r="AA500" s="447"/>
      <c r="AB500" s="447"/>
      <c r="AC500" s="447"/>
      <c r="AD500" s="447"/>
      <c r="AE500" s="447"/>
      <c r="AF500" s="448"/>
      <c r="AG500" s="448"/>
      <c r="AH500" s="448"/>
      <c r="AI500" s="447"/>
      <c r="AJ500" s="447"/>
      <c r="AK500" s="447"/>
      <c r="AL500" s="447"/>
      <c r="AM500" s="447"/>
      <c r="AN500" s="447"/>
      <c r="AO500" s="447"/>
      <c r="AP500" s="447"/>
      <c r="AQ500" s="447"/>
      <c r="AR500" s="447"/>
      <c r="AS500" s="447"/>
      <c r="AT500" s="447"/>
      <c r="AU500" s="447"/>
      <c r="AV500" s="447"/>
      <c r="AW500" s="447"/>
      <c r="AX500" s="447"/>
      <c r="AY500" s="447"/>
      <c r="AZ500" s="447"/>
      <c r="BA500" s="447"/>
      <c r="BB500" s="447"/>
      <c r="BC500" s="447"/>
      <c r="BD500" s="447"/>
      <c r="BE500" s="447"/>
      <c r="BF500" s="447"/>
      <c r="BG500" s="447"/>
      <c r="BH500" s="447"/>
      <c r="BI500" s="447"/>
      <c r="BJ500" s="447"/>
      <c r="BK500" s="447"/>
      <c r="BL500" s="447"/>
      <c r="BM500" s="448"/>
      <c r="BN500" s="448"/>
    </row>
    <row r="501" spans="1:66" ht="11.25" customHeight="1">
      <c r="A501" s="469"/>
      <c r="B501" s="447"/>
      <c r="C501" s="447"/>
      <c r="D501" s="447"/>
      <c r="E501" s="447"/>
      <c r="F501" s="447"/>
      <c r="G501" s="447"/>
      <c r="H501" s="447"/>
      <c r="I501" s="447"/>
      <c r="J501" s="447"/>
      <c r="K501" s="447"/>
      <c r="L501" s="447"/>
      <c r="M501" s="447"/>
      <c r="N501" s="447"/>
      <c r="O501" s="447"/>
      <c r="P501" s="447"/>
      <c r="Q501" s="447"/>
      <c r="R501" s="447"/>
      <c r="S501" s="447"/>
      <c r="T501" s="447"/>
      <c r="U501" s="447"/>
      <c r="V501" s="447"/>
      <c r="W501" s="447"/>
      <c r="X501" s="447"/>
      <c r="Y501" s="447"/>
      <c r="Z501" s="447"/>
      <c r="AA501" s="447"/>
      <c r="AB501" s="447"/>
      <c r="AC501" s="447"/>
      <c r="AD501" s="447"/>
      <c r="AE501" s="447"/>
      <c r="AF501" s="448"/>
      <c r="AG501" s="448"/>
      <c r="AH501" s="448"/>
      <c r="AI501" s="447"/>
      <c r="AJ501" s="447"/>
      <c r="AK501" s="447"/>
      <c r="AL501" s="447"/>
      <c r="AM501" s="447"/>
      <c r="AN501" s="447"/>
      <c r="AO501" s="447"/>
      <c r="AP501" s="447"/>
      <c r="AQ501" s="447"/>
      <c r="AR501" s="447"/>
      <c r="AS501" s="447"/>
      <c r="AT501" s="447"/>
      <c r="AU501" s="447"/>
      <c r="AV501" s="447"/>
      <c r="AW501" s="447"/>
      <c r="AX501" s="447"/>
      <c r="AY501" s="447"/>
      <c r="AZ501" s="447"/>
      <c r="BA501" s="447"/>
      <c r="BB501" s="447"/>
      <c r="BC501" s="447"/>
      <c r="BD501" s="447"/>
      <c r="BE501" s="447"/>
      <c r="BF501" s="447"/>
      <c r="BG501" s="447"/>
      <c r="BH501" s="447"/>
      <c r="BI501" s="447"/>
      <c r="BJ501" s="447"/>
      <c r="BK501" s="447"/>
      <c r="BL501" s="447"/>
      <c r="BM501" s="448"/>
      <c r="BN501" s="448"/>
    </row>
    <row r="502" spans="1:66" ht="11.25" customHeight="1">
      <c r="A502" s="469"/>
      <c r="B502" s="447"/>
      <c r="C502" s="447"/>
      <c r="D502" s="447"/>
      <c r="E502" s="447"/>
      <c r="F502" s="447"/>
      <c r="G502" s="447"/>
      <c r="H502" s="447"/>
      <c r="I502" s="447"/>
      <c r="J502" s="447"/>
      <c r="K502" s="447"/>
      <c r="L502" s="447"/>
      <c r="M502" s="447"/>
      <c r="N502" s="447"/>
      <c r="O502" s="447"/>
      <c r="P502" s="447"/>
      <c r="Q502" s="447"/>
      <c r="R502" s="447"/>
      <c r="S502" s="447"/>
      <c r="T502" s="447"/>
      <c r="U502" s="447"/>
      <c r="V502" s="447"/>
      <c r="W502" s="447"/>
      <c r="X502" s="447"/>
      <c r="Y502" s="447"/>
      <c r="Z502" s="447"/>
      <c r="AA502" s="447"/>
      <c r="AB502" s="447"/>
      <c r="AC502" s="447"/>
      <c r="AD502" s="447"/>
      <c r="AE502" s="447"/>
      <c r="AF502" s="448"/>
      <c r="AG502" s="448"/>
      <c r="AH502" s="448"/>
      <c r="AI502" s="447"/>
      <c r="AJ502" s="447"/>
      <c r="AK502" s="447"/>
      <c r="AL502" s="447"/>
      <c r="AM502" s="447"/>
      <c r="AN502" s="447"/>
      <c r="AO502" s="447"/>
      <c r="AP502" s="447"/>
      <c r="AQ502" s="447"/>
      <c r="AR502" s="447"/>
      <c r="AS502" s="447"/>
      <c r="AT502" s="447"/>
      <c r="AU502" s="447"/>
      <c r="AV502" s="447"/>
      <c r="AW502" s="447"/>
      <c r="AX502" s="447"/>
      <c r="AY502" s="447"/>
      <c r="AZ502" s="447"/>
      <c r="BA502" s="447"/>
      <c r="BB502" s="447"/>
      <c r="BC502" s="447"/>
      <c r="BD502" s="447"/>
      <c r="BE502" s="447"/>
      <c r="BF502" s="447"/>
      <c r="BG502" s="447"/>
      <c r="BH502" s="447"/>
      <c r="BI502" s="447"/>
      <c r="BJ502" s="447"/>
      <c r="BK502" s="447"/>
      <c r="BL502" s="447"/>
      <c r="BM502" s="448"/>
      <c r="BN502" s="448"/>
    </row>
    <row r="503" spans="1:66" ht="11.25" customHeight="1">
      <c r="A503" s="469"/>
      <c r="B503" s="447"/>
      <c r="C503" s="447"/>
      <c r="D503" s="447"/>
      <c r="E503" s="447"/>
      <c r="F503" s="447"/>
      <c r="G503" s="447"/>
      <c r="H503" s="447"/>
      <c r="I503" s="447"/>
      <c r="J503" s="447"/>
      <c r="K503" s="447"/>
      <c r="L503" s="447"/>
      <c r="M503" s="447"/>
      <c r="N503" s="447"/>
      <c r="O503" s="447"/>
      <c r="P503" s="447"/>
      <c r="Q503" s="447"/>
      <c r="R503" s="447"/>
      <c r="S503" s="447"/>
      <c r="T503" s="447"/>
      <c r="U503" s="447"/>
      <c r="V503" s="447"/>
      <c r="W503" s="447"/>
      <c r="X503" s="447"/>
      <c r="Y503" s="447"/>
      <c r="Z503" s="447"/>
      <c r="AA503" s="447"/>
      <c r="AB503" s="447"/>
      <c r="AC503" s="447"/>
      <c r="AD503" s="447"/>
      <c r="AE503" s="447"/>
      <c r="AF503" s="448"/>
      <c r="AG503" s="448"/>
      <c r="AH503" s="448"/>
      <c r="AI503" s="447"/>
      <c r="AJ503" s="447"/>
      <c r="AK503" s="447"/>
      <c r="AL503" s="447"/>
      <c r="AM503" s="447"/>
      <c r="AN503" s="447"/>
      <c r="AO503" s="447"/>
      <c r="AP503" s="447"/>
      <c r="AQ503" s="447"/>
      <c r="AR503" s="447"/>
      <c r="AS503" s="447"/>
      <c r="AT503" s="447"/>
      <c r="AU503" s="447"/>
      <c r="AV503" s="447"/>
      <c r="AW503" s="447"/>
      <c r="AX503" s="447"/>
      <c r="AY503" s="447"/>
      <c r="AZ503" s="447"/>
      <c r="BA503" s="447"/>
      <c r="BB503" s="447"/>
      <c r="BC503" s="447"/>
      <c r="BD503" s="447"/>
      <c r="BE503" s="447"/>
      <c r="BF503" s="447"/>
      <c r="BG503" s="447"/>
      <c r="BH503" s="447"/>
      <c r="BI503" s="447"/>
      <c r="BJ503" s="447"/>
      <c r="BK503" s="447"/>
      <c r="BL503" s="447"/>
      <c r="BM503" s="448"/>
      <c r="BN503" s="448"/>
    </row>
    <row r="504" spans="1:66" ht="11.25" customHeight="1">
      <c r="A504" s="469"/>
      <c r="B504" s="447"/>
      <c r="C504" s="447"/>
      <c r="D504" s="447"/>
      <c r="E504" s="447"/>
      <c r="F504" s="447"/>
      <c r="G504" s="447"/>
      <c r="H504" s="447"/>
      <c r="I504" s="447"/>
      <c r="J504" s="447"/>
      <c r="K504" s="447"/>
      <c r="L504" s="447"/>
      <c r="M504" s="447"/>
      <c r="N504" s="447"/>
      <c r="O504" s="447"/>
      <c r="P504" s="447"/>
      <c r="Q504" s="447"/>
      <c r="R504" s="447"/>
      <c r="S504" s="447"/>
      <c r="T504" s="447"/>
      <c r="U504" s="447"/>
      <c r="V504" s="447"/>
      <c r="W504" s="447"/>
      <c r="X504" s="447"/>
      <c r="Y504" s="447"/>
      <c r="Z504" s="447"/>
      <c r="AA504" s="447"/>
      <c r="AB504" s="447"/>
      <c r="AC504" s="447"/>
      <c r="AD504" s="447"/>
      <c r="AE504" s="447"/>
      <c r="AF504" s="448"/>
      <c r="AG504" s="448"/>
      <c r="AH504" s="448"/>
      <c r="AI504" s="447"/>
      <c r="AJ504" s="447"/>
      <c r="AK504" s="447"/>
      <c r="AL504" s="447"/>
      <c r="AM504" s="447"/>
      <c r="AN504" s="447"/>
      <c r="AO504" s="447"/>
      <c r="AP504" s="447"/>
      <c r="AQ504" s="447"/>
      <c r="AR504" s="447"/>
      <c r="AS504" s="447"/>
      <c r="AT504" s="447"/>
      <c r="AU504" s="447"/>
      <c r="AV504" s="447"/>
      <c r="AW504" s="447"/>
      <c r="AX504" s="447"/>
      <c r="AY504" s="447"/>
      <c r="AZ504" s="447"/>
      <c r="BA504" s="447"/>
      <c r="BB504" s="447"/>
      <c r="BC504" s="447"/>
      <c r="BD504" s="447"/>
      <c r="BE504" s="447"/>
      <c r="BF504" s="447"/>
      <c r="BG504" s="447"/>
      <c r="BH504" s="447"/>
      <c r="BI504" s="447"/>
      <c r="BJ504" s="447"/>
      <c r="BK504" s="447"/>
      <c r="BL504" s="447"/>
      <c r="BM504" s="448"/>
      <c r="BN504" s="448"/>
    </row>
    <row r="505" spans="1:66" ht="11.25" customHeight="1">
      <c r="A505" s="469"/>
      <c r="B505" s="447"/>
      <c r="C505" s="447"/>
      <c r="D505" s="447"/>
      <c r="E505" s="447"/>
      <c r="F505" s="447"/>
      <c r="G505" s="447"/>
      <c r="H505" s="447"/>
      <c r="I505" s="447"/>
      <c r="J505" s="447"/>
      <c r="K505" s="447"/>
      <c r="L505" s="447"/>
      <c r="M505" s="447"/>
      <c r="N505" s="447"/>
      <c r="O505" s="447"/>
      <c r="P505" s="447"/>
      <c r="Q505" s="447"/>
      <c r="R505" s="447"/>
      <c r="S505" s="447"/>
      <c r="T505" s="447"/>
      <c r="U505" s="447"/>
      <c r="V505" s="447"/>
      <c r="W505" s="447"/>
      <c r="X505" s="447"/>
      <c r="Y505" s="447"/>
      <c r="Z505" s="447"/>
      <c r="AA505" s="447"/>
      <c r="AB505" s="447"/>
      <c r="AC505" s="447"/>
      <c r="AD505" s="447"/>
      <c r="AE505" s="447"/>
      <c r="AF505" s="448"/>
      <c r="AG505" s="448"/>
      <c r="AH505" s="448"/>
      <c r="AI505" s="447"/>
      <c r="AJ505" s="447"/>
      <c r="AK505" s="447"/>
      <c r="AL505" s="447"/>
      <c r="AM505" s="447"/>
      <c r="AN505" s="447"/>
      <c r="AO505" s="447"/>
      <c r="AP505" s="447"/>
      <c r="AQ505" s="447"/>
      <c r="AR505" s="447"/>
      <c r="AS505" s="447"/>
      <c r="AT505" s="447"/>
      <c r="AU505" s="447"/>
      <c r="AV505" s="447"/>
      <c r="AW505" s="447"/>
      <c r="AX505" s="447"/>
      <c r="AY505" s="447"/>
      <c r="AZ505" s="447"/>
      <c r="BA505" s="447"/>
      <c r="BB505" s="447"/>
      <c r="BC505" s="447"/>
      <c r="BD505" s="447"/>
      <c r="BE505" s="447"/>
      <c r="BF505" s="447"/>
      <c r="BG505" s="447"/>
      <c r="BH505" s="447"/>
      <c r="BI505" s="447"/>
      <c r="BJ505" s="447"/>
      <c r="BK505" s="447"/>
      <c r="BL505" s="447"/>
      <c r="BM505" s="448"/>
      <c r="BN505" s="448"/>
    </row>
    <row r="506" spans="1:66" ht="11.25" customHeight="1">
      <c r="A506" s="469"/>
      <c r="B506" s="447"/>
      <c r="C506" s="447"/>
      <c r="D506" s="447"/>
      <c r="E506" s="447"/>
      <c r="F506" s="447"/>
      <c r="G506" s="447"/>
      <c r="H506" s="447"/>
      <c r="I506" s="447"/>
      <c r="J506" s="447"/>
      <c r="K506" s="447"/>
      <c r="L506" s="447"/>
      <c r="M506" s="447"/>
      <c r="N506" s="447"/>
      <c r="O506" s="447"/>
      <c r="P506" s="447"/>
      <c r="Q506" s="447"/>
      <c r="R506" s="447"/>
      <c r="S506" s="447"/>
      <c r="T506" s="447"/>
      <c r="U506" s="447"/>
      <c r="V506" s="447"/>
      <c r="W506" s="447"/>
      <c r="X506" s="447"/>
      <c r="Y506" s="447"/>
      <c r="Z506" s="447"/>
      <c r="AA506" s="447"/>
      <c r="AB506" s="447"/>
      <c r="AC506" s="447"/>
      <c r="AD506" s="447"/>
      <c r="AE506" s="447"/>
      <c r="AF506" s="448"/>
      <c r="AG506" s="448"/>
      <c r="AH506" s="448"/>
      <c r="AI506" s="447"/>
      <c r="AJ506" s="447"/>
      <c r="AK506" s="447"/>
      <c r="AL506" s="447"/>
      <c r="AM506" s="447"/>
      <c r="AN506" s="447"/>
      <c r="AO506" s="447"/>
      <c r="AP506" s="447"/>
      <c r="AQ506" s="447"/>
      <c r="AR506" s="447"/>
      <c r="AS506" s="447"/>
      <c r="AT506" s="447"/>
      <c r="AU506" s="447"/>
      <c r="AV506" s="447"/>
      <c r="AW506" s="447"/>
      <c r="AX506" s="447"/>
      <c r="AY506" s="447"/>
      <c r="AZ506" s="447"/>
      <c r="BA506" s="447"/>
      <c r="BB506" s="447"/>
      <c r="BC506" s="447"/>
      <c r="BD506" s="447"/>
      <c r="BE506" s="447"/>
      <c r="BF506" s="447"/>
      <c r="BG506" s="447"/>
      <c r="BH506" s="447"/>
      <c r="BI506" s="447"/>
      <c r="BJ506" s="447"/>
      <c r="BK506" s="447"/>
      <c r="BL506" s="447"/>
      <c r="BM506" s="448"/>
      <c r="BN506" s="448"/>
    </row>
    <row r="507" spans="1:66" ht="11.25" customHeight="1">
      <c r="A507" s="469"/>
      <c r="B507" s="447"/>
      <c r="C507" s="447"/>
      <c r="D507" s="447"/>
      <c r="E507" s="447"/>
      <c r="F507" s="447"/>
      <c r="G507" s="447"/>
      <c r="H507" s="447"/>
      <c r="I507" s="447"/>
      <c r="J507" s="447"/>
      <c r="K507" s="447"/>
      <c r="L507" s="447"/>
      <c r="M507" s="447"/>
      <c r="N507" s="447"/>
      <c r="O507" s="447"/>
      <c r="P507" s="447"/>
      <c r="Q507" s="447"/>
      <c r="R507" s="447"/>
      <c r="S507" s="447"/>
      <c r="T507" s="447"/>
      <c r="U507" s="447"/>
      <c r="V507" s="447"/>
      <c r="W507" s="447"/>
      <c r="X507" s="447"/>
      <c r="Y507" s="447"/>
      <c r="Z507" s="447"/>
      <c r="AA507" s="447"/>
      <c r="AB507" s="447"/>
      <c r="AC507" s="447"/>
      <c r="AD507" s="447"/>
      <c r="AE507" s="447"/>
      <c r="AF507" s="448"/>
      <c r="AG507" s="448"/>
      <c r="AH507" s="448"/>
      <c r="AI507" s="447"/>
      <c r="AJ507" s="447"/>
      <c r="AK507" s="447"/>
      <c r="AL507" s="447"/>
      <c r="AM507" s="447"/>
      <c r="AN507" s="447"/>
      <c r="AO507" s="447"/>
      <c r="AP507" s="447"/>
      <c r="AQ507" s="447"/>
      <c r="AR507" s="447"/>
      <c r="AS507" s="447"/>
      <c r="AT507" s="447"/>
      <c r="AU507" s="447"/>
      <c r="AV507" s="447"/>
      <c r="AW507" s="447"/>
      <c r="AX507" s="447"/>
      <c r="AY507" s="447"/>
      <c r="AZ507" s="447"/>
      <c r="BA507" s="447"/>
      <c r="BB507" s="447"/>
      <c r="BC507" s="447"/>
      <c r="BD507" s="447"/>
      <c r="BE507" s="447"/>
      <c r="BF507" s="447"/>
      <c r="BG507" s="447"/>
      <c r="BH507" s="447"/>
      <c r="BI507" s="447"/>
      <c r="BJ507" s="447"/>
      <c r="BK507" s="447"/>
      <c r="BL507" s="447"/>
      <c r="BM507" s="448"/>
      <c r="BN507" s="448"/>
    </row>
    <row r="508" spans="1:66" ht="11.25" customHeight="1">
      <c r="A508" s="469"/>
      <c r="B508" s="447"/>
      <c r="C508" s="447"/>
      <c r="D508" s="447"/>
      <c r="E508" s="447"/>
      <c r="F508" s="447"/>
      <c r="G508" s="447"/>
      <c r="H508" s="447"/>
      <c r="I508" s="447"/>
      <c r="J508" s="447"/>
      <c r="K508" s="447"/>
      <c r="L508" s="447"/>
      <c r="M508" s="447"/>
      <c r="N508" s="447"/>
      <c r="O508" s="447"/>
      <c r="P508" s="447"/>
      <c r="Q508" s="447"/>
      <c r="R508" s="447"/>
      <c r="S508" s="447"/>
      <c r="T508" s="447"/>
      <c r="U508" s="447"/>
      <c r="V508" s="447"/>
      <c r="W508" s="447"/>
      <c r="X508" s="447"/>
      <c r="Y508" s="447"/>
      <c r="Z508" s="447"/>
      <c r="AA508" s="447"/>
      <c r="AB508" s="447"/>
      <c r="AC508" s="447"/>
      <c r="AD508" s="447"/>
      <c r="AE508" s="447"/>
      <c r="AF508" s="448"/>
      <c r="AG508" s="448"/>
      <c r="AH508" s="448"/>
      <c r="AI508" s="447"/>
      <c r="AJ508" s="447"/>
      <c r="AK508" s="447"/>
      <c r="AL508" s="447"/>
      <c r="AM508" s="447"/>
      <c r="AN508" s="447"/>
      <c r="AO508" s="447"/>
      <c r="AP508" s="447"/>
      <c r="AQ508" s="447"/>
      <c r="AR508" s="447"/>
      <c r="AS508" s="447"/>
      <c r="AT508" s="447"/>
      <c r="AU508" s="447"/>
      <c r="AV508" s="447"/>
      <c r="AW508" s="447"/>
      <c r="AX508" s="447"/>
      <c r="AY508" s="447"/>
      <c r="AZ508" s="447"/>
      <c r="BA508" s="447"/>
      <c r="BB508" s="447"/>
      <c r="BC508" s="447"/>
      <c r="BD508" s="447"/>
      <c r="BE508" s="447"/>
      <c r="BF508" s="447"/>
      <c r="BG508" s="447"/>
      <c r="BH508" s="447"/>
      <c r="BI508" s="447"/>
      <c r="BJ508" s="447"/>
      <c r="BK508" s="447"/>
      <c r="BL508" s="447"/>
      <c r="BM508" s="448"/>
      <c r="BN508" s="448"/>
    </row>
    <row r="509" spans="1:66" ht="11.25" customHeight="1">
      <c r="A509" s="469"/>
      <c r="B509" s="447"/>
      <c r="C509" s="447"/>
      <c r="D509" s="447"/>
      <c r="E509" s="447"/>
      <c r="F509" s="447"/>
      <c r="G509" s="447"/>
      <c r="H509" s="447"/>
      <c r="I509" s="447"/>
      <c r="J509" s="447"/>
      <c r="K509" s="447"/>
      <c r="L509" s="447"/>
      <c r="M509" s="447"/>
      <c r="N509" s="447"/>
      <c r="O509" s="447"/>
      <c r="P509" s="447"/>
      <c r="Q509" s="447"/>
      <c r="R509" s="447"/>
      <c r="S509" s="447"/>
      <c r="T509" s="447"/>
      <c r="U509" s="447"/>
      <c r="V509" s="447"/>
      <c r="W509" s="447"/>
      <c r="X509" s="447"/>
      <c r="Y509" s="447"/>
      <c r="Z509" s="447"/>
      <c r="AA509" s="447"/>
      <c r="AB509" s="447"/>
      <c r="AC509" s="447"/>
      <c r="AD509" s="447"/>
      <c r="AE509" s="447"/>
      <c r="AF509" s="448"/>
      <c r="AG509" s="448"/>
      <c r="AH509" s="448"/>
      <c r="AI509" s="447"/>
      <c r="AJ509" s="447"/>
      <c r="AK509" s="447"/>
      <c r="AL509" s="447"/>
      <c r="AM509" s="447"/>
      <c r="AN509" s="447"/>
      <c r="AO509" s="447"/>
      <c r="AP509" s="447"/>
      <c r="AQ509" s="447"/>
      <c r="AR509" s="447"/>
      <c r="AS509" s="447"/>
      <c r="AT509" s="447"/>
      <c r="AU509" s="447"/>
      <c r="AV509" s="447"/>
      <c r="AW509" s="447"/>
      <c r="AX509" s="447"/>
      <c r="AY509" s="447"/>
      <c r="AZ509" s="447"/>
      <c r="BA509" s="447"/>
      <c r="BB509" s="447"/>
      <c r="BC509" s="447"/>
      <c r="BD509" s="447"/>
      <c r="BE509" s="447"/>
      <c r="BF509" s="447"/>
      <c r="BG509" s="447"/>
      <c r="BH509" s="447"/>
      <c r="BI509" s="447"/>
      <c r="BJ509" s="447"/>
      <c r="BK509" s="447"/>
      <c r="BL509" s="447"/>
      <c r="BM509" s="448"/>
      <c r="BN509" s="448"/>
    </row>
    <row r="510" spans="1:66" ht="11.25" customHeight="1">
      <c r="A510" s="469"/>
      <c r="B510" s="447"/>
      <c r="C510" s="447"/>
      <c r="D510" s="447"/>
      <c r="E510" s="447"/>
      <c r="F510" s="447"/>
      <c r="G510" s="447"/>
      <c r="H510" s="447"/>
      <c r="I510" s="447"/>
      <c r="J510" s="447"/>
      <c r="K510" s="447"/>
      <c r="L510" s="447"/>
      <c r="M510" s="447"/>
      <c r="N510" s="447"/>
      <c r="O510" s="447"/>
      <c r="P510" s="447"/>
      <c r="Q510" s="447"/>
      <c r="R510" s="447"/>
      <c r="S510" s="447"/>
      <c r="T510" s="447"/>
      <c r="U510" s="447"/>
      <c r="V510" s="447"/>
      <c r="W510" s="447"/>
      <c r="X510" s="447"/>
      <c r="Y510" s="447"/>
      <c r="Z510" s="447"/>
      <c r="AA510" s="447"/>
      <c r="AB510" s="447"/>
      <c r="AC510" s="447"/>
      <c r="AD510" s="447"/>
      <c r="AE510" s="447"/>
      <c r="AF510" s="448"/>
      <c r="AG510" s="448"/>
      <c r="AH510" s="448"/>
      <c r="AI510" s="447"/>
      <c r="AJ510" s="447"/>
      <c r="AK510" s="447"/>
      <c r="AL510" s="447"/>
      <c r="AM510" s="447"/>
      <c r="AN510" s="447"/>
      <c r="AO510" s="447"/>
      <c r="AP510" s="447"/>
      <c r="AQ510" s="447"/>
      <c r="AR510" s="447"/>
      <c r="AS510" s="447"/>
      <c r="AT510" s="447"/>
      <c r="AU510" s="447"/>
      <c r="AV510" s="447"/>
      <c r="AW510" s="447"/>
      <c r="AX510" s="447"/>
      <c r="AY510" s="447"/>
      <c r="AZ510" s="447"/>
      <c r="BA510" s="447"/>
      <c r="BB510" s="447"/>
      <c r="BC510" s="447"/>
      <c r="BD510" s="447"/>
      <c r="BE510" s="447"/>
      <c r="BF510" s="447"/>
      <c r="BG510" s="447"/>
      <c r="BH510" s="447"/>
      <c r="BI510" s="447"/>
      <c r="BJ510" s="447"/>
      <c r="BK510" s="447"/>
      <c r="BL510" s="447"/>
      <c r="BM510" s="448"/>
      <c r="BN510" s="448"/>
    </row>
    <row r="511" spans="1:66" ht="11.25" customHeight="1">
      <c r="A511" s="469"/>
      <c r="B511" s="447"/>
      <c r="C511" s="447"/>
      <c r="D511" s="447"/>
      <c r="E511" s="447"/>
      <c r="F511" s="447"/>
      <c r="G511" s="447"/>
      <c r="H511" s="447"/>
      <c r="I511" s="447"/>
      <c r="J511" s="447"/>
      <c r="K511" s="447"/>
      <c r="L511" s="447"/>
      <c r="M511" s="447"/>
      <c r="N511" s="447"/>
      <c r="O511" s="447"/>
      <c r="P511" s="447"/>
      <c r="Q511" s="447"/>
      <c r="R511" s="447"/>
      <c r="S511" s="447"/>
      <c r="T511" s="447"/>
      <c r="U511" s="447"/>
      <c r="V511" s="447"/>
      <c r="W511" s="447"/>
      <c r="X511" s="447"/>
      <c r="Y511" s="447"/>
      <c r="Z511" s="447"/>
      <c r="AA511" s="447"/>
      <c r="AB511" s="447"/>
      <c r="AC511" s="447"/>
      <c r="AD511" s="447"/>
      <c r="AE511" s="447"/>
      <c r="AF511" s="448"/>
      <c r="AG511" s="448"/>
      <c r="AH511" s="448"/>
      <c r="AI511" s="447"/>
      <c r="AJ511" s="447"/>
      <c r="AK511" s="447"/>
      <c r="AL511" s="447"/>
      <c r="AM511" s="447"/>
      <c r="AN511" s="447"/>
      <c r="AO511" s="447"/>
      <c r="AP511" s="447"/>
      <c r="AQ511" s="447"/>
      <c r="AR511" s="447"/>
      <c r="AS511" s="447"/>
      <c r="AT511" s="447"/>
      <c r="AU511" s="447"/>
      <c r="AV511" s="447"/>
      <c r="AW511" s="447"/>
      <c r="AX511" s="447"/>
      <c r="AY511" s="447"/>
      <c r="AZ511" s="447"/>
      <c r="BA511" s="447"/>
      <c r="BB511" s="447"/>
      <c r="BC511" s="447"/>
      <c r="BD511" s="447"/>
      <c r="BE511" s="447"/>
      <c r="BF511" s="447"/>
      <c r="BG511" s="447"/>
      <c r="BH511" s="447"/>
      <c r="BI511" s="447"/>
      <c r="BJ511" s="447"/>
      <c r="BK511" s="447"/>
      <c r="BL511" s="447"/>
      <c r="BM511" s="448"/>
      <c r="BN511" s="448"/>
    </row>
    <row r="512" spans="1:66" ht="11.25" customHeight="1">
      <c r="A512" s="469"/>
      <c r="B512" s="447"/>
      <c r="C512" s="447"/>
      <c r="D512" s="447"/>
      <c r="E512" s="447"/>
      <c r="F512" s="447"/>
      <c r="G512" s="447"/>
      <c r="H512" s="447"/>
      <c r="I512" s="447"/>
      <c r="J512" s="447"/>
      <c r="K512" s="447"/>
      <c r="L512" s="447"/>
      <c r="M512" s="447"/>
      <c r="N512" s="447"/>
      <c r="O512" s="447"/>
      <c r="P512" s="447"/>
      <c r="Q512" s="447"/>
      <c r="R512" s="447"/>
      <c r="S512" s="447"/>
      <c r="T512" s="447"/>
      <c r="U512" s="447"/>
      <c r="V512" s="447"/>
      <c r="W512" s="447"/>
      <c r="X512" s="447"/>
      <c r="Y512" s="447"/>
      <c r="Z512" s="447"/>
      <c r="AA512" s="447"/>
      <c r="AB512" s="447"/>
      <c r="AC512" s="447"/>
      <c r="AD512" s="447"/>
      <c r="AE512" s="447"/>
      <c r="AF512" s="448"/>
      <c r="AG512" s="448"/>
      <c r="AH512" s="448"/>
      <c r="AI512" s="447"/>
      <c r="AJ512" s="447"/>
      <c r="AK512" s="447"/>
      <c r="AL512" s="447"/>
      <c r="AM512" s="447"/>
      <c r="AN512" s="447"/>
      <c r="AO512" s="447"/>
      <c r="AP512" s="447"/>
      <c r="AQ512" s="447"/>
      <c r="AR512" s="447"/>
      <c r="AS512" s="447"/>
      <c r="AT512" s="447"/>
      <c r="AU512" s="447"/>
      <c r="AV512" s="447"/>
      <c r="AW512" s="447"/>
      <c r="AX512" s="447"/>
      <c r="AY512" s="447"/>
      <c r="AZ512" s="447"/>
      <c r="BA512" s="447"/>
      <c r="BB512" s="447"/>
      <c r="BC512" s="447"/>
      <c r="BD512" s="447"/>
      <c r="BE512" s="447"/>
      <c r="BF512" s="447"/>
      <c r="BG512" s="447"/>
      <c r="BH512" s="447"/>
      <c r="BI512" s="447"/>
      <c r="BJ512" s="447"/>
      <c r="BK512" s="447"/>
      <c r="BL512" s="447"/>
      <c r="BM512" s="448"/>
      <c r="BN512" s="448"/>
    </row>
    <row r="513" spans="1:66" ht="11.25" customHeight="1">
      <c r="A513" s="469"/>
      <c r="B513" s="447"/>
      <c r="C513" s="447"/>
      <c r="D513" s="447"/>
      <c r="E513" s="447"/>
      <c r="F513" s="447"/>
      <c r="G513" s="447"/>
      <c r="H513" s="447"/>
      <c r="I513" s="447"/>
      <c r="J513" s="447"/>
      <c r="K513" s="447"/>
      <c r="L513" s="447"/>
      <c r="M513" s="447"/>
      <c r="N513" s="447"/>
      <c r="O513" s="447"/>
      <c r="P513" s="447"/>
      <c r="Q513" s="447"/>
      <c r="R513" s="447"/>
      <c r="S513" s="447"/>
      <c r="T513" s="447"/>
      <c r="U513" s="447"/>
      <c r="V513" s="447"/>
      <c r="W513" s="447"/>
      <c r="X513" s="447"/>
      <c r="Y513" s="447"/>
      <c r="Z513" s="447"/>
      <c r="AA513" s="447"/>
      <c r="AB513" s="447"/>
      <c r="AC513" s="447"/>
      <c r="AD513" s="447"/>
      <c r="AE513" s="447"/>
      <c r="AF513" s="448"/>
      <c r="AG513" s="448"/>
      <c r="AH513" s="448"/>
      <c r="AI513" s="447"/>
      <c r="AJ513" s="447"/>
      <c r="AK513" s="447"/>
      <c r="AL513" s="447"/>
      <c r="AM513" s="447"/>
      <c r="AN513" s="447"/>
      <c r="AO513" s="447"/>
      <c r="AP513" s="447"/>
      <c r="AQ513" s="447"/>
      <c r="AR513" s="447"/>
      <c r="AS513" s="447"/>
      <c r="AT513" s="447"/>
      <c r="AU513" s="447"/>
      <c r="AV513" s="447"/>
      <c r="AW513" s="447"/>
      <c r="AX513" s="447"/>
      <c r="AY513" s="447"/>
      <c r="AZ513" s="447"/>
      <c r="BA513" s="447"/>
      <c r="BB513" s="447"/>
      <c r="BC513" s="447"/>
      <c r="BD513" s="447"/>
      <c r="BE513" s="447"/>
      <c r="BF513" s="447"/>
      <c r="BG513" s="447"/>
      <c r="BH513" s="447"/>
      <c r="BI513" s="447"/>
      <c r="BJ513" s="447"/>
      <c r="BK513" s="447"/>
      <c r="BL513" s="447"/>
      <c r="BM513" s="448"/>
      <c r="BN513" s="448"/>
    </row>
    <row r="514" spans="1:66" ht="11.25" customHeight="1">
      <c r="A514" s="469"/>
      <c r="B514" s="447"/>
      <c r="C514" s="447"/>
      <c r="D514" s="447"/>
      <c r="E514" s="447"/>
      <c r="F514" s="447"/>
      <c r="G514" s="447"/>
      <c r="H514" s="447"/>
      <c r="I514" s="447"/>
      <c r="J514" s="447"/>
      <c r="K514" s="447"/>
      <c r="L514" s="447"/>
      <c r="M514" s="447"/>
      <c r="N514" s="447"/>
      <c r="O514" s="447"/>
      <c r="P514" s="447"/>
      <c r="Q514" s="447"/>
      <c r="R514" s="447"/>
      <c r="S514" s="447"/>
      <c r="T514" s="447"/>
      <c r="U514" s="447"/>
      <c r="V514" s="447"/>
      <c r="W514" s="447"/>
      <c r="X514" s="447"/>
      <c r="Y514" s="447"/>
      <c r="Z514" s="447"/>
      <c r="AA514" s="447"/>
      <c r="AB514" s="447"/>
      <c r="AC514" s="447"/>
      <c r="AD514" s="447"/>
      <c r="AE514" s="447"/>
      <c r="AF514" s="448"/>
      <c r="AG514" s="448"/>
      <c r="AH514" s="448"/>
      <c r="AI514" s="447"/>
      <c r="AJ514" s="447"/>
      <c r="AK514" s="447"/>
      <c r="AL514" s="447"/>
      <c r="AM514" s="447"/>
      <c r="AN514" s="447"/>
      <c r="AO514" s="447"/>
      <c r="AP514" s="447"/>
      <c r="AQ514" s="447"/>
      <c r="AR514" s="447"/>
      <c r="AS514" s="447"/>
      <c r="AT514" s="447"/>
      <c r="AU514" s="447"/>
      <c r="AV514" s="447"/>
      <c r="AW514" s="447"/>
      <c r="AX514" s="447"/>
      <c r="AY514" s="447"/>
      <c r="AZ514" s="447"/>
      <c r="BA514" s="447"/>
      <c r="BB514" s="447"/>
      <c r="BC514" s="447"/>
      <c r="BD514" s="447"/>
      <c r="BE514" s="447"/>
      <c r="BF514" s="447"/>
      <c r="BG514" s="447"/>
      <c r="BH514" s="447"/>
      <c r="BI514" s="447"/>
      <c r="BJ514" s="447"/>
      <c r="BK514" s="447"/>
      <c r="BL514" s="447"/>
      <c r="BM514" s="448"/>
      <c r="BN514" s="448"/>
    </row>
    <row r="515" spans="1:66" ht="11.25" customHeight="1">
      <c r="A515" s="469"/>
      <c r="B515" s="447"/>
      <c r="C515" s="447"/>
      <c r="D515" s="447"/>
      <c r="E515" s="447"/>
      <c r="F515" s="447"/>
      <c r="G515" s="447"/>
      <c r="H515" s="447"/>
      <c r="I515" s="447"/>
      <c r="J515" s="447"/>
      <c r="K515" s="447"/>
      <c r="L515" s="447"/>
      <c r="M515" s="447"/>
      <c r="N515" s="447"/>
      <c r="O515" s="447"/>
      <c r="P515" s="447"/>
      <c r="Q515" s="447"/>
      <c r="R515" s="447"/>
      <c r="S515" s="447"/>
      <c r="T515" s="447"/>
      <c r="U515" s="447"/>
      <c r="V515" s="447"/>
      <c r="W515" s="447"/>
      <c r="X515" s="447"/>
      <c r="Y515" s="447"/>
      <c r="Z515" s="447"/>
      <c r="AA515" s="447"/>
      <c r="AB515" s="447"/>
      <c r="AC515" s="447"/>
      <c r="AD515" s="447"/>
      <c r="AE515" s="447"/>
      <c r="AF515" s="448"/>
      <c r="AG515" s="448"/>
      <c r="AH515" s="448"/>
      <c r="AI515" s="447"/>
      <c r="AJ515" s="447"/>
      <c r="AK515" s="447"/>
      <c r="AL515" s="447"/>
      <c r="AM515" s="447"/>
      <c r="AN515" s="447"/>
      <c r="AO515" s="447"/>
      <c r="AP515" s="447"/>
      <c r="AQ515" s="447"/>
      <c r="AR515" s="447"/>
      <c r="AS515" s="447"/>
      <c r="AT515" s="447"/>
      <c r="AU515" s="447"/>
      <c r="AV515" s="447"/>
      <c r="AW515" s="447"/>
      <c r="AX515" s="447"/>
      <c r="AY515" s="447"/>
      <c r="AZ515" s="447"/>
      <c r="BA515" s="447"/>
      <c r="BB515" s="447"/>
      <c r="BC515" s="447"/>
      <c r="BD515" s="447"/>
      <c r="BE515" s="447"/>
      <c r="BF515" s="447"/>
      <c r="BG515" s="447"/>
      <c r="BH515" s="447"/>
      <c r="BI515" s="447"/>
      <c r="BJ515" s="447"/>
      <c r="BK515" s="447"/>
      <c r="BL515" s="447"/>
      <c r="BM515" s="448"/>
      <c r="BN515" s="448"/>
    </row>
    <row r="516" spans="1:66" ht="11.25" customHeight="1">
      <c r="A516" s="469"/>
      <c r="B516" s="447"/>
      <c r="C516" s="447"/>
      <c r="D516" s="447"/>
      <c r="E516" s="447"/>
      <c r="F516" s="447"/>
      <c r="G516" s="447"/>
      <c r="H516" s="447"/>
      <c r="I516" s="447"/>
      <c r="J516" s="447"/>
      <c r="K516" s="447"/>
      <c r="L516" s="447"/>
      <c r="M516" s="447"/>
      <c r="N516" s="447"/>
      <c r="O516" s="447"/>
      <c r="P516" s="447"/>
      <c r="Q516" s="447"/>
      <c r="R516" s="447"/>
      <c r="S516" s="447"/>
      <c r="T516" s="447"/>
      <c r="U516" s="447"/>
      <c r="V516" s="447"/>
      <c r="W516" s="447"/>
      <c r="X516" s="447"/>
      <c r="Y516" s="447"/>
      <c r="Z516" s="447"/>
      <c r="AA516" s="447"/>
      <c r="AB516" s="447"/>
      <c r="AC516" s="447"/>
      <c r="AD516" s="447"/>
      <c r="AE516" s="447"/>
      <c r="AF516" s="448"/>
      <c r="AG516" s="448"/>
      <c r="AH516" s="448"/>
      <c r="AI516" s="447"/>
      <c r="AJ516" s="447"/>
      <c r="AK516" s="447"/>
      <c r="AL516" s="447"/>
      <c r="AM516" s="447"/>
      <c r="AN516" s="447"/>
      <c r="AO516" s="447"/>
      <c r="AP516" s="447"/>
      <c r="AQ516" s="447"/>
      <c r="AR516" s="447"/>
      <c r="AS516" s="447"/>
      <c r="AT516" s="447"/>
      <c r="AU516" s="447"/>
      <c r="AV516" s="447"/>
      <c r="AW516" s="447"/>
      <c r="AX516" s="447"/>
      <c r="AY516" s="447"/>
      <c r="AZ516" s="447"/>
      <c r="BA516" s="447"/>
      <c r="BB516" s="447"/>
      <c r="BC516" s="447"/>
      <c r="BD516" s="447"/>
      <c r="BE516" s="447"/>
      <c r="BF516" s="447"/>
      <c r="BG516" s="447"/>
      <c r="BH516" s="447"/>
      <c r="BI516" s="447"/>
      <c r="BJ516" s="447"/>
      <c r="BK516" s="447"/>
      <c r="BL516" s="447"/>
      <c r="BM516" s="448"/>
      <c r="BN516" s="448"/>
    </row>
    <row r="517" spans="1:66" ht="11.25" customHeight="1">
      <c r="A517" s="469"/>
      <c r="B517" s="447"/>
      <c r="C517" s="447"/>
      <c r="D517" s="447"/>
      <c r="E517" s="447"/>
      <c r="F517" s="447"/>
      <c r="G517" s="447"/>
      <c r="H517" s="447"/>
      <c r="I517" s="447"/>
      <c r="J517" s="447"/>
      <c r="K517" s="447"/>
      <c r="L517" s="447"/>
      <c r="M517" s="447"/>
      <c r="N517" s="447"/>
      <c r="O517" s="447"/>
      <c r="P517" s="447"/>
      <c r="Q517" s="447"/>
      <c r="R517" s="447"/>
      <c r="S517" s="447"/>
      <c r="T517" s="447"/>
      <c r="U517" s="447"/>
      <c r="V517" s="447"/>
      <c r="W517" s="447"/>
      <c r="X517" s="447"/>
      <c r="Y517" s="447"/>
      <c r="Z517" s="447"/>
      <c r="AA517" s="447"/>
      <c r="AB517" s="447"/>
      <c r="AC517" s="447"/>
      <c r="AD517" s="447"/>
      <c r="AE517" s="447"/>
      <c r="AF517" s="448"/>
      <c r="AG517" s="448"/>
      <c r="AH517" s="448"/>
      <c r="AI517" s="447"/>
      <c r="AJ517" s="447"/>
      <c r="AK517" s="447"/>
      <c r="AL517" s="447"/>
      <c r="AM517" s="447"/>
      <c r="AN517" s="447"/>
      <c r="AO517" s="447"/>
      <c r="AP517" s="447"/>
      <c r="AQ517" s="447"/>
      <c r="AR517" s="447"/>
      <c r="AS517" s="447"/>
      <c r="AT517" s="447"/>
      <c r="AU517" s="447"/>
      <c r="AV517" s="447"/>
      <c r="AW517" s="447"/>
      <c r="AX517" s="447"/>
      <c r="AY517" s="447"/>
      <c r="AZ517" s="447"/>
      <c r="BA517" s="447"/>
      <c r="BB517" s="447"/>
      <c r="BC517" s="447"/>
      <c r="BD517" s="447"/>
      <c r="BE517" s="447"/>
      <c r="BF517" s="447"/>
      <c r="BG517" s="447"/>
      <c r="BH517" s="447"/>
      <c r="BI517" s="447"/>
      <c r="BJ517" s="447"/>
      <c r="BK517" s="447"/>
      <c r="BL517" s="447"/>
      <c r="BM517" s="448"/>
      <c r="BN517" s="448"/>
    </row>
    <row r="518" spans="1:66" ht="11.25" customHeight="1">
      <c r="A518" s="469"/>
      <c r="B518" s="447"/>
      <c r="C518" s="447"/>
      <c r="D518" s="447"/>
      <c r="E518" s="447"/>
      <c r="F518" s="447"/>
      <c r="G518" s="447"/>
      <c r="H518" s="447"/>
      <c r="I518" s="447"/>
      <c r="J518" s="447"/>
      <c r="K518" s="447"/>
      <c r="L518" s="447"/>
      <c r="M518" s="447"/>
      <c r="N518" s="447"/>
      <c r="O518" s="447"/>
      <c r="P518" s="447"/>
      <c r="Q518" s="447"/>
      <c r="R518" s="447"/>
      <c r="S518" s="447"/>
      <c r="T518" s="447"/>
      <c r="U518" s="447"/>
      <c r="V518" s="447"/>
      <c r="W518" s="447"/>
      <c r="X518" s="447"/>
      <c r="Y518" s="447"/>
      <c r="Z518" s="447"/>
      <c r="AA518" s="447"/>
      <c r="AB518" s="447"/>
      <c r="AC518" s="447"/>
      <c r="AD518" s="447"/>
      <c r="AE518" s="447"/>
      <c r="AF518" s="448"/>
      <c r="AG518" s="448"/>
      <c r="AH518" s="448"/>
      <c r="AI518" s="447"/>
      <c r="AJ518" s="447"/>
      <c r="AK518" s="447"/>
      <c r="AL518" s="447"/>
      <c r="AM518" s="447"/>
      <c r="AN518" s="447"/>
      <c r="AO518" s="447"/>
      <c r="AP518" s="447"/>
      <c r="AQ518" s="447"/>
      <c r="AR518" s="447"/>
      <c r="AS518" s="447"/>
      <c r="AT518" s="447"/>
      <c r="AU518" s="447"/>
      <c r="AV518" s="447"/>
      <c r="AW518" s="447"/>
      <c r="AX518" s="447"/>
      <c r="AY518" s="447"/>
      <c r="AZ518" s="447"/>
      <c r="BA518" s="447"/>
      <c r="BB518" s="447"/>
      <c r="BC518" s="447"/>
      <c r="BD518" s="447"/>
      <c r="BE518" s="447"/>
      <c r="BF518" s="447"/>
      <c r="BG518" s="447"/>
      <c r="BH518" s="447"/>
      <c r="BI518" s="447"/>
      <c r="BJ518" s="447"/>
      <c r="BK518" s="447"/>
      <c r="BL518" s="447"/>
      <c r="BM518" s="448"/>
      <c r="BN518" s="448"/>
    </row>
    <row r="519" spans="1:66" ht="11.25" customHeight="1">
      <c r="A519" s="469"/>
      <c r="B519" s="447"/>
      <c r="C519" s="447"/>
      <c r="D519" s="447"/>
      <c r="E519" s="447"/>
      <c r="F519" s="447"/>
      <c r="G519" s="447"/>
      <c r="H519" s="447"/>
      <c r="I519" s="447"/>
      <c r="J519" s="447"/>
      <c r="K519" s="447"/>
      <c r="L519" s="447"/>
      <c r="M519" s="447"/>
      <c r="N519" s="447"/>
      <c r="O519" s="447"/>
      <c r="P519" s="447"/>
      <c r="Q519" s="447"/>
      <c r="R519" s="447"/>
      <c r="S519" s="447"/>
      <c r="T519" s="447"/>
      <c r="U519" s="447"/>
      <c r="V519" s="447"/>
      <c r="W519" s="447"/>
      <c r="X519" s="447"/>
      <c r="Y519" s="447"/>
      <c r="Z519" s="447"/>
      <c r="AA519" s="447"/>
      <c r="AB519" s="447"/>
      <c r="AC519" s="447"/>
      <c r="AD519" s="447"/>
      <c r="AE519" s="447"/>
      <c r="AF519" s="448"/>
      <c r="AG519" s="448"/>
      <c r="AH519" s="448"/>
      <c r="AI519" s="447"/>
      <c r="AJ519" s="447"/>
      <c r="AK519" s="447"/>
      <c r="AL519" s="447"/>
      <c r="AM519" s="447"/>
      <c r="AN519" s="447"/>
      <c r="AO519" s="447"/>
      <c r="AP519" s="447"/>
      <c r="AQ519" s="447"/>
      <c r="AR519" s="447"/>
      <c r="AS519" s="447"/>
      <c r="AT519" s="447"/>
      <c r="AU519" s="447"/>
      <c r="AV519" s="447"/>
      <c r="AW519" s="447"/>
      <c r="AX519" s="447"/>
      <c r="AY519" s="447"/>
      <c r="AZ519" s="447"/>
      <c r="BA519" s="447"/>
      <c r="BB519" s="447"/>
      <c r="BC519" s="447"/>
      <c r="BD519" s="447"/>
      <c r="BE519" s="447"/>
      <c r="BF519" s="447"/>
      <c r="BG519" s="447"/>
      <c r="BH519" s="447"/>
      <c r="BI519" s="447"/>
      <c r="BJ519" s="447"/>
      <c r="BK519" s="447"/>
      <c r="BL519" s="447"/>
      <c r="BM519" s="448"/>
      <c r="BN519" s="448"/>
    </row>
    <row r="520" spans="1:66" ht="11.25" customHeight="1">
      <c r="A520" s="469"/>
      <c r="B520" s="447"/>
      <c r="C520" s="447"/>
      <c r="D520" s="447"/>
      <c r="E520" s="447"/>
      <c r="F520" s="447"/>
      <c r="G520" s="447"/>
      <c r="H520" s="447"/>
      <c r="I520" s="447"/>
      <c r="J520" s="447"/>
      <c r="K520" s="447"/>
      <c r="L520" s="447"/>
      <c r="M520" s="447"/>
      <c r="N520" s="447"/>
      <c r="O520" s="447"/>
      <c r="P520" s="447"/>
      <c r="Q520" s="447"/>
      <c r="R520" s="447"/>
      <c r="S520" s="447"/>
      <c r="T520" s="447"/>
      <c r="U520" s="447"/>
      <c r="V520" s="447"/>
      <c r="W520" s="447"/>
      <c r="X520" s="447"/>
      <c r="Y520" s="447"/>
      <c r="Z520" s="447"/>
      <c r="AA520" s="447"/>
      <c r="AB520" s="447"/>
      <c r="AC520" s="447"/>
      <c r="AD520" s="447"/>
      <c r="AE520" s="447"/>
      <c r="AF520" s="448"/>
      <c r="AG520" s="448"/>
      <c r="AH520" s="448"/>
      <c r="AI520" s="447"/>
      <c r="AJ520" s="447"/>
      <c r="AK520" s="447"/>
      <c r="AL520" s="447"/>
      <c r="AM520" s="447"/>
      <c r="AN520" s="447"/>
      <c r="AO520" s="447"/>
      <c r="AP520" s="447"/>
      <c r="AQ520" s="447"/>
      <c r="AR520" s="447"/>
      <c r="AS520" s="447"/>
      <c r="AT520" s="447"/>
      <c r="AU520" s="447"/>
      <c r="AV520" s="447"/>
      <c r="AW520" s="447"/>
      <c r="AX520" s="447"/>
      <c r="AY520" s="447"/>
      <c r="AZ520" s="447"/>
      <c r="BA520" s="447"/>
      <c r="BB520" s="447"/>
      <c r="BC520" s="447"/>
      <c r="BD520" s="447"/>
      <c r="BE520" s="447"/>
      <c r="BF520" s="447"/>
      <c r="BG520" s="447"/>
      <c r="BH520" s="447"/>
      <c r="BI520" s="447"/>
      <c r="BJ520" s="447"/>
      <c r="BK520" s="447"/>
      <c r="BL520" s="447"/>
      <c r="BM520" s="448"/>
      <c r="BN520" s="448"/>
    </row>
    <row r="521" spans="1:66" ht="11.25" customHeight="1">
      <c r="A521" s="469"/>
      <c r="B521" s="447"/>
      <c r="C521" s="447"/>
      <c r="D521" s="447"/>
      <c r="E521" s="447"/>
      <c r="F521" s="447"/>
      <c r="G521" s="447"/>
      <c r="H521" s="447"/>
      <c r="I521" s="447"/>
      <c r="J521" s="447"/>
      <c r="K521" s="447"/>
      <c r="L521" s="447"/>
      <c r="M521" s="447"/>
      <c r="N521" s="447"/>
      <c r="O521" s="447"/>
      <c r="P521" s="447"/>
      <c r="Q521" s="447"/>
      <c r="R521" s="447"/>
      <c r="S521" s="447"/>
      <c r="T521" s="447"/>
      <c r="U521" s="447"/>
      <c r="V521" s="447"/>
      <c r="W521" s="447"/>
      <c r="X521" s="447"/>
      <c r="Y521" s="447"/>
      <c r="Z521" s="447"/>
      <c r="AA521" s="447"/>
      <c r="AB521" s="447"/>
      <c r="AC521" s="447"/>
      <c r="AD521" s="447"/>
      <c r="AE521" s="447"/>
      <c r="AF521" s="448"/>
      <c r="AG521" s="448"/>
      <c r="AH521" s="448"/>
      <c r="AI521" s="447"/>
      <c r="AJ521" s="447"/>
      <c r="AK521" s="447"/>
      <c r="AL521" s="447"/>
      <c r="AM521" s="447"/>
      <c r="AN521" s="447"/>
      <c r="AO521" s="447"/>
      <c r="AP521" s="447"/>
      <c r="AQ521" s="447"/>
      <c r="AR521" s="447"/>
      <c r="AS521" s="447"/>
      <c r="AT521" s="447"/>
      <c r="AU521" s="447"/>
      <c r="AV521" s="447"/>
      <c r="AW521" s="447"/>
      <c r="AX521" s="447"/>
      <c r="AY521" s="447"/>
      <c r="AZ521" s="447"/>
      <c r="BA521" s="447"/>
      <c r="BB521" s="447"/>
      <c r="BC521" s="447"/>
      <c r="BD521" s="447"/>
      <c r="BE521" s="447"/>
      <c r="BF521" s="447"/>
      <c r="BG521" s="447"/>
      <c r="BH521" s="447"/>
      <c r="BI521" s="447"/>
      <c r="BJ521" s="447"/>
      <c r="BK521" s="447"/>
      <c r="BL521" s="447"/>
      <c r="BM521" s="448"/>
      <c r="BN521" s="448"/>
    </row>
    <row r="522" spans="1:66" ht="11.25" customHeight="1">
      <c r="A522" s="469"/>
      <c r="B522" s="447"/>
      <c r="C522" s="447"/>
      <c r="D522" s="447"/>
      <c r="E522" s="447"/>
      <c r="F522" s="447"/>
      <c r="G522" s="447"/>
      <c r="H522" s="447"/>
      <c r="I522" s="447"/>
      <c r="J522" s="447"/>
      <c r="K522" s="447"/>
      <c r="L522" s="447"/>
      <c r="M522" s="447"/>
      <c r="N522" s="447"/>
      <c r="O522" s="447"/>
      <c r="P522" s="447"/>
      <c r="Q522" s="447"/>
      <c r="R522" s="447"/>
      <c r="S522" s="447"/>
      <c r="T522" s="447"/>
      <c r="U522" s="447"/>
      <c r="V522" s="447"/>
      <c r="W522" s="447"/>
      <c r="X522" s="447"/>
      <c r="Y522" s="447"/>
      <c r="Z522" s="447"/>
      <c r="AA522" s="447"/>
      <c r="AB522" s="447"/>
      <c r="AC522" s="447"/>
      <c r="AD522" s="447"/>
      <c r="AE522" s="447"/>
      <c r="AF522" s="448"/>
      <c r="AG522" s="448"/>
      <c r="AH522" s="448"/>
      <c r="AI522" s="447"/>
      <c r="AJ522" s="447"/>
      <c r="AK522" s="447"/>
      <c r="AL522" s="447"/>
      <c r="AM522" s="447"/>
      <c r="AN522" s="447"/>
      <c r="AO522" s="447"/>
      <c r="AP522" s="447"/>
      <c r="AQ522" s="447"/>
      <c r="AR522" s="447"/>
      <c r="AS522" s="447"/>
      <c r="AT522" s="447"/>
      <c r="AU522" s="447"/>
      <c r="AV522" s="447"/>
      <c r="AW522" s="447"/>
      <c r="AX522" s="447"/>
      <c r="AY522" s="447"/>
      <c r="AZ522" s="447"/>
      <c r="BA522" s="447"/>
      <c r="BB522" s="447"/>
      <c r="BC522" s="447"/>
      <c r="BD522" s="447"/>
      <c r="BE522" s="447"/>
      <c r="BF522" s="447"/>
      <c r="BG522" s="447"/>
      <c r="BH522" s="447"/>
      <c r="BI522" s="447"/>
      <c r="BJ522" s="447"/>
      <c r="BK522" s="447"/>
      <c r="BL522" s="447"/>
      <c r="BM522" s="448"/>
      <c r="BN522" s="448"/>
    </row>
    <row r="523" spans="1:66" ht="11.25" customHeight="1">
      <c r="A523" s="469"/>
      <c r="B523" s="447"/>
      <c r="C523" s="447"/>
      <c r="D523" s="447"/>
      <c r="E523" s="447"/>
      <c r="F523" s="447"/>
      <c r="G523" s="447"/>
      <c r="H523" s="447"/>
      <c r="I523" s="447"/>
      <c r="J523" s="447"/>
      <c r="K523" s="447"/>
      <c r="L523" s="447"/>
      <c r="M523" s="447"/>
      <c r="N523" s="447"/>
      <c r="O523" s="447"/>
      <c r="P523" s="447"/>
      <c r="Q523" s="447"/>
      <c r="R523" s="447"/>
      <c r="S523" s="447"/>
      <c r="T523" s="447"/>
      <c r="U523" s="447"/>
      <c r="V523" s="447"/>
      <c r="W523" s="447"/>
      <c r="X523" s="447"/>
      <c r="Y523" s="447"/>
      <c r="Z523" s="447"/>
      <c r="AA523" s="447"/>
      <c r="AB523" s="447"/>
      <c r="AC523" s="447"/>
      <c r="AD523" s="447"/>
      <c r="AE523" s="447"/>
      <c r="AF523" s="448"/>
      <c r="AG523" s="448"/>
      <c r="AH523" s="448"/>
      <c r="AI523" s="447"/>
      <c r="AJ523" s="447"/>
      <c r="AK523" s="447"/>
      <c r="AL523" s="447"/>
      <c r="AM523" s="447"/>
      <c r="AN523" s="447"/>
      <c r="AO523" s="447"/>
      <c r="AP523" s="447"/>
      <c r="AQ523" s="447"/>
      <c r="AR523" s="447"/>
      <c r="AS523" s="447"/>
      <c r="AT523" s="447"/>
      <c r="AU523" s="447"/>
      <c r="AV523" s="447"/>
      <c r="AW523" s="447"/>
      <c r="AX523" s="447"/>
      <c r="AY523" s="447"/>
      <c r="AZ523" s="447"/>
      <c r="BA523" s="447"/>
      <c r="BB523" s="447"/>
      <c r="BC523" s="447"/>
      <c r="BD523" s="447"/>
      <c r="BE523" s="447"/>
      <c r="BF523" s="447"/>
      <c r="BG523" s="447"/>
      <c r="BH523" s="447"/>
      <c r="BI523" s="447"/>
      <c r="BJ523" s="447"/>
      <c r="BK523" s="447"/>
      <c r="BL523" s="447"/>
      <c r="BM523" s="448"/>
      <c r="BN523" s="448"/>
    </row>
    <row r="524" spans="1:66" ht="11.25" customHeight="1">
      <c r="A524" s="469"/>
      <c r="B524" s="447"/>
      <c r="C524" s="447"/>
      <c r="D524" s="447"/>
      <c r="E524" s="447"/>
      <c r="F524" s="447"/>
      <c r="G524" s="447"/>
      <c r="H524" s="447"/>
      <c r="I524" s="447"/>
      <c r="J524" s="447"/>
      <c r="K524" s="447"/>
      <c r="L524" s="447"/>
      <c r="M524" s="447"/>
      <c r="N524" s="447"/>
      <c r="O524" s="447"/>
      <c r="P524" s="447"/>
      <c r="Q524" s="447"/>
      <c r="R524" s="447"/>
      <c r="S524" s="447"/>
      <c r="T524" s="447"/>
      <c r="U524" s="447"/>
      <c r="V524" s="447"/>
      <c r="W524" s="447"/>
      <c r="X524" s="447"/>
      <c r="Y524" s="447"/>
      <c r="Z524" s="447"/>
      <c r="AA524" s="447"/>
      <c r="AB524" s="447"/>
      <c r="AC524" s="447"/>
      <c r="AD524" s="447"/>
      <c r="AE524" s="447"/>
      <c r="AF524" s="448"/>
      <c r="AG524" s="448"/>
      <c r="AH524" s="448"/>
      <c r="AI524" s="447"/>
      <c r="AJ524" s="447"/>
      <c r="AK524" s="447"/>
      <c r="AL524" s="447"/>
      <c r="AM524" s="447"/>
      <c r="AN524" s="447"/>
      <c r="AO524" s="447"/>
      <c r="AP524" s="447"/>
      <c r="AQ524" s="447"/>
      <c r="AR524" s="447"/>
      <c r="AS524" s="447"/>
      <c r="AT524" s="447"/>
      <c r="AU524" s="447"/>
      <c r="AV524" s="447"/>
      <c r="AW524" s="447"/>
      <c r="AX524" s="447"/>
      <c r="AY524" s="447"/>
      <c r="AZ524" s="447"/>
      <c r="BA524" s="447"/>
      <c r="BB524" s="447"/>
      <c r="BC524" s="447"/>
      <c r="BD524" s="447"/>
      <c r="BE524" s="447"/>
      <c r="BF524" s="447"/>
      <c r="BG524" s="447"/>
      <c r="BH524" s="447"/>
      <c r="BI524" s="447"/>
      <c r="BJ524" s="447"/>
      <c r="BK524" s="447"/>
      <c r="BL524" s="447"/>
      <c r="BM524" s="448"/>
      <c r="BN524" s="448"/>
    </row>
    <row r="525" spans="1:66" ht="11.25" customHeight="1">
      <c r="A525" s="469"/>
      <c r="B525" s="447"/>
      <c r="C525" s="447"/>
      <c r="D525" s="447"/>
      <c r="E525" s="447"/>
      <c r="F525" s="447"/>
      <c r="G525" s="447"/>
      <c r="H525" s="447"/>
      <c r="I525" s="447"/>
      <c r="J525" s="447"/>
      <c r="K525" s="447"/>
      <c r="L525" s="447"/>
      <c r="M525" s="447"/>
      <c r="N525" s="447"/>
      <c r="O525" s="447"/>
      <c r="P525" s="447"/>
      <c r="Q525" s="447"/>
      <c r="R525" s="447"/>
      <c r="S525" s="447"/>
      <c r="T525" s="447"/>
      <c r="U525" s="447"/>
      <c r="V525" s="447"/>
      <c r="W525" s="447"/>
      <c r="X525" s="447"/>
      <c r="Y525" s="447"/>
      <c r="Z525" s="447"/>
      <c r="AA525" s="447"/>
      <c r="AB525" s="447"/>
      <c r="AC525" s="447"/>
      <c r="AD525" s="447"/>
      <c r="AE525" s="447"/>
      <c r="AF525" s="448"/>
      <c r="AG525" s="448"/>
      <c r="AH525" s="448"/>
      <c r="AI525" s="447"/>
      <c r="AJ525" s="447"/>
      <c r="AK525" s="447"/>
      <c r="AL525" s="447"/>
      <c r="AM525" s="447"/>
      <c r="AN525" s="447"/>
      <c r="AO525" s="447"/>
      <c r="AP525" s="447"/>
      <c r="AQ525" s="447"/>
      <c r="AR525" s="447"/>
      <c r="AS525" s="447"/>
      <c r="AT525" s="447"/>
      <c r="AU525" s="447"/>
      <c r="AV525" s="447"/>
      <c r="AW525" s="447"/>
      <c r="AX525" s="447"/>
      <c r="AY525" s="447"/>
      <c r="AZ525" s="447"/>
      <c r="BA525" s="447"/>
      <c r="BB525" s="447"/>
      <c r="BC525" s="447"/>
      <c r="BD525" s="447"/>
      <c r="BE525" s="447"/>
      <c r="BF525" s="447"/>
      <c r="BG525" s="447"/>
      <c r="BH525" s="447"/>
      <c r="BI525" s="447"/>
      <c r="BJ525" s="447"/>
      <c r="BK525" s="447"/>
      <c r="BL525" s="447"/>
      <c r="BM525" s="448"/>
      <c r="BN525" s="448"/>
    </row>
    <row r="526" spans="1:66" ht="11.25" customHeight="1">
      <c r="A526" s="469"/>
      <c r="B526" s="447"/>
      <c r="C526" s="447"/>
      <c r="D526" s="447"/>
      <c r="E526" s="447"/>
      <c r="F526" s="447"/>
      <c r="G526" s="447"/>
      <c r="H526" s="447"/>
      <c r="I526" s="447"/>
      <c r="J526" s="447"/>
      <c r="K526" s="447"/>
      <c r="L526" s="447"/>
      <c r="M526" s="447"/>
      <c r="N526" s="447"/>
      <c r="O526" s="447"/>
      <c r="P526" s="447"/>
      <c r="Q526" s="447"/>
      <c r="R526" s="447"/>
      <c r="S526" s="447"/>
      <c r="T526" s="447"/>
      <c r="U526" s="447"/>
      <c r="V526" s="447"/>
      <c r="W526" s="447"/>
      <c r="X526" s="447"/>
      <c r="Y526" s="447"/>
      <c r="Z526" s="447"/>
      <c r="AA526" s="447"/>
      <c r="AB526" s="447"/>
      <c r="AC526" s="447"/>
      <c r="AD526" s="447"/>
      <c r="AE526" s="447"/>
      <c r="AF526" s="448"/>
      <c r="AG526" s="448"/>
      <c r="AH526" s="448"/>
      <c r="AI526" s="447"/>
      <c r="AJ526" s="447"/>
      <c r="AK526" s="447"/>
      <c r="AL526" s="447"/>
      <c r="AM526" s="447"/>
      <c r="AN526" s="447"/>
      <c r="AO526" s="447"/>
      <c r="AP526" s="447"/>
      <c r="AQ526" s="447"/>
      <c r="AR526" s="447"/>
      <c r="AS526" s="447"/>
      <c r="AT526" s="447"/>
      <c r="AU526" s="447"/>
      <c r="AV526" s="447"/>
      <c r="AW526" s="447"/>
      <c r="AX526" s="447"/>
      <c r="AY526" s="447"/>
      <c r="AZ526" s="447"/>
      <c r="BA526" s="447"/>
      <c r="BB526" s="447"/>
      <c r="BC526" s="447"/>
      <c r="BD526" s="447"/>
      <c r="BE526" s="447"/>
      <c r="BF526" s="447"/>
      <c r="BG526" s="447"/>
      <c r="BH526" s="447"/>
      <c r="BI526" s="447"/>
      <c r="BJ526" s="447"/>
      <c r="BK526" s="447"/>
      <c r="BL526" s="447"/>
      <c r="BM526" s="448"/>
      <c r="BN526" s="448"/>
    </row>
    <row r="527" spans="1:66" ht="11.25" customHeight="1">
      <c r="A527" s="469"/>
      <c r="B527" s="447"/>
      <c r="C527" s="447"/>
      <c r="D527" s="447"/>
      <c r="E527" s="447"/>
      <c r="F527" s="447"/>
      <c r="G527" s="447"/>
      <c r="H527" s="447"/>
      <c r="I527" s="447"/>
      <c r="J527" s="447"/>
      <c r="K527" s="447"/>
      <c r="L527" s="447"/>
      <c r="M527" s="447"/>
      <c r="N527" s="447"/>
      <c r="O527" s="447"/>
      <c r="P527" s="447"/>
      <c r="Q527" s="447"/>
      <c r="R527" s="447"/>
      <c r="S527" s="447"/>
      <c r="T527" s="447"/>
      <c r="U527" s="447"/>
      <c r="V527" s="447"/>
      <c r="W527" s="447"/>
      <c r="X527" s="447"/>
      <c r="Y527" s="447"/>
      <c r="Z527" s="447"/>
      <c r="AA527" s="447"/>
      <c r="AB527" s="447"/>
      <c r="AC527" s="447"/>
      <c r="AD527" s="447"/>
      <c r="AE527" s="447"/>
      <c r="AF527" s="448"/>
      <c r="AG527" s="448"/>
      <c r="AH527" s="448"/>
      <c r="AI527" s="447"/>
      <c r="AJ527" s="447"/>
      <c r="AK527" s="447"/>
      <c r="AL527" s="447"/>
      <c r="AM527" s="447"/>
      <c r="AN527" s="447"/>
      <c r="AO527" s="447"/>
      <c r="AP527" s="447"/>
      <c r="AQ527" s="447"/>
      <c r="AR527" s="447"/>
      <c r="AS527" s="447"/>
      <c r="AT527" s="447"/>
      <c r="AU527" s="447"/>
      <c r="AV527" s="447"/>
      <c r="AW527" s="447"/>
      <c r="AX527" s="447"/>
      <c r="AY527" s="447"/>
      <c r="AZ527" s="447"/>
      <c r="BA527" s="447"/>
      <c r="BB527" s="447"/>
      <c r="BC527" s="447"/>
      <c r="BD527" s="447"/>
      <c r="BE527" s="447"/>
      <c r="BF527" s="447"/>
      <c r="BG527" s="447"/>
      <c r="BH527" s="447"/>
      <c r="BI527" s="447"/>
      <c r="BJ527" s="447"/>
      <c r="BK527" s="447"/>
      <c r="BL527" s="447"/>
      <c r="BM527" s="448"/>
      <c r="BN527" s="448"/>
    </row>
    <row r="528" spans="1:66" ht="11.25" customHeight="1">
      <c r="A528" s="469"/>
      <c r="B528" s="447"/>
      <c r="C528" s="447"/>
      <c r="D528" s="447"/>
      <c r="E528" s="447"/>
      <c r="F528" s="447"/>
      <c r="G528" s="447"/>
      <c r="H528" s="447"/>
      <c r="I528" s="447"/>
      <c r="J528" s="447"/>
      <c r="K528" s="447"/>
      <c r="L528" s="447"/>
      <c r="M528" s="447"/>
      <c r="N528" s="447"/>
      <c r="O528" s="447"/>
      <c r="P528" s="447"/>
      <c r="Q528" s="447"/>
      <c r="R528" s="447"/>
      <c r="S528" s="447"/>
      <c r="T528" s="447"/>
      <c r="U528" s="447"/>
      <c r="V528" s="447"/>
      <c r="W528" s="447"/>
      <c r="X528" s="447"/>
      <c r="Y528" s="447"/>
      <c r="Z528" s="447"/>
      <c r="AA528" s="447"/>
      <c r="AB528" s="447"/>
      <c r="AC528" s="447"/>
      <c r="AD528" s="447"/>
      <c r="AE528" s="447"/>
      <c r="AF528" s="448"/>
      <c r="AG528" s="448"/>
      <c r="AH528" s="448"/>
      <c r="AI528" s="447"/>
      <c r="AJ528" s="447"/>
      <c r="AK528" s="447"/>
      <c r="AL528" s="447"/>
      <c r="AM528" s="447"/>
      <c r="AN528" s="447"/>
      <c r="AO528" s="447"/>
      <c r="AP528" s="447"/>
      <c r="AQ528" s="447"/>
      <c r="AR528" s="447"/>
      <c r="AS528" s="447"/>
      <c r="AT528" s="447"/>
      <c r="AU528" s="447"/>
      <c r="AV528" s="447"/>
      <c r="AW528" s="447"/>
      <c r="AX528" s="447"/>
      <c r="AY528" s="447"/>
      <c r="AZ528" s="447"/>
      <c r="BA528" s="447"/>
      <c r="BB528" s="447"/>
      <c r="BC528" s="447"/>
      <c r="BD528" s="447"/>
      <c r="BE528" s="447"/>
      <c r="BF528" s="447"/>
      <c r="BG528" s="447"/>
      <c r="BH528" s="447"/>
      <c r="BI528" s="447"/>
      <c r="BJ528" s="447"/>
      <c r="BK528" s="447"/>
      <c r="BL528" s="447"/>
      <c r="BM528" s="448"/>
      <c r="BN528" s="448"/>
    </row>
    <row r="529" spans="1:66" ht="11.25" customHeight="1">
      <c r="A529" s="469"/>
      <c r="B529" s="447"/>
      <c r="C529" s="447"/>
      <c r="D529" s="447"/>
      <c r="E529" s="447"/>
      <c r="F529" s="447"/>
      <c r="G529" s="447"/>
      <c r="H529" s="447"/>
      <c r="I529" s="447"/>
      <c r="J529" s="447"/>
      <c r="K529" s="447"/>
      <c r="L529" s="447"/>
      <c r="M529" s="447"/>
      <c r="N529" s="447"/>
      <c r="O529" s="447"/>
      <c r="P529" s="447"/>
      <c r="Q529" s="447"/>
      <c r="R529" s="447"/>
      <c r="S529" s="447"/>
      <c r="T529" s="447"/>
      <c r="U529" s="447"/>
      <c r="V529" s="447"/>
      <c r="W529" s="447"/>
      <c r="X529" s="447"/>
      <c r="Y529" s="447"/>
      <c r="Z529" s="447"/>
      <c r="AA529" s="447"/>
      <c r="AB529" s="447"/>
      <c r="AC529" s="447"/>
      <c r="AD529" s="447"/>
      <c r="AE529" s="447"/>
      <c r="AF529" s="448"/>
      <c r="AG529" s="448"/>
      <c r="AH529" s="448"/>
      <c r="AI529" s="447"/>
      <c r="AJ529" s="447"/>
      <c r="AK529" s="447"/>
      <c r="AL529" s="447"/>
      <c r="AM529" s="447"/>
      <c r="AN529" s="447"/>
      <c r="AO529" s="447"/>
      <c r="AP529" s="447"/>
      <c r="AQ529" s="447"/>
      <c r="AR529" s="447"/>
      <c r="AS529" s="447"/>
      <c r="AT529" s="447"/>
      <c r="AU529" s="447"/>
      <c r="AV529" s="447"/>
      <c r="AW529" s="447"/>
      <c r="AX529" s="447"/>
      <c r="AY529" s="447"/>
      <c r="AZ529" s="447"/>
      <c r="BA529" s="447"/>
      <c r="BB529" s="447"/>
      <c r="BC529" s="447"/>
      <c r="BD529" s="447"/>
      <c r="BE529" s="447"/>
      <c r="BF529" s="447"/>
      <c r="BG529" s="447"/>
      <c r="BH529" s="447"/>
      <c r="BI529" s="447"/>
      <c r="BJ529" s="447"/>
      <c r="BK529" s="447"/>
      <c r="BL529" s="447"/>
      <c r="BM529" s="448"/>
      <c r="BN529" s="448"/>
    </row>
    <row r="530" spans="1:66" ht="11.25" customHeight="1">
      <c r="A530" s="469"/>
      <c r="B530" s="447"/>
      <c r="C530" s="447"/>
      <c r="D530" s="447"/>
      <c r="E530" s="447"/>
      <c r="F530" s="447"/>
      <c r="G530" s="447"/>
      <c r="H530" s="447"/>
      <c r="I530" s="447"/>
      <c r="J530" s="447"/>
      <c r="K530" s="447"/>
      <c r="L530" s="447"/>
      <c r="M530" s="447"/>
      <c r="N530" s="447"/>
      <c r="O530" s="447"/>
      <c r="P530" s="447"/>
      <c r="Q530" s="447"/>
      <c r="R530" s="447"/>
      <c r="S530" s="447"/>
      <c r="T530" s="447"/>
      <c r="U530" s="447"/>
      <c r="V530" s="447"/>
      <c r="W530" s="447"/>
      <c r="X530" s="447"/>
      <c r="Y530" s="447"/>
      <c r="Z530" s="447"/>
      <c r="AA530" s="447"/>
      <c r="AB530" s="447"/>
      <c r="AC530" s="447"/>
      <c r="AD530" s="447"/>
      <c r="AE530" s="447"/>
      <c r="AF530" s="448"/>
      <c r="AG530" s="448"/>
      <c r="AH530" s="448"/>
      <c r="AI530" s="447"/>
      <c r="AJ530" s="447"/>
      <c r="AK530" s="447"/>
      <c r="AL530" s="447"/>
      <c r="AM530" s="447"/>
      <c r="AN530" s="447"/>
      <c r="AO530" s="447"/>
      <c r="AP530" s="447"/>
      <c r="AQ530" s="447"/>
      <c r="AR530" s="447"/>
      <c r="AS530" s="447"/>
      <c r="AT530" s="447"/>
      <c r="AU530" s="447"/>
      <c r="AV530" s="447"/>
      <c r="AW530" s="447"/>
      <c r="AX530" s="447"/>
      <c r="AY530" s="447"/>
      <c r="AZ530" s="447"/>
      <c r="BA530" s="447"/>
      <c r="BB530" s="447"/>
      <c r="BC530" s="447"/>
      <c r="BD530" s="447"/>
      <c r="BE530" s="447"/>
      <c r="BF530" s="447"/>
      <c r="BG530" s="447"/>
      <c r="BH530" s="447"/>
      <c r="BI530" s="447"/>
      <c r="BJ530" s="447"/>
      <c r="BK530" s="447"/>
      <c r="BL530" s="447"/>
      <c r="BM530" s="448"/>
      <c r="BN530" s="448"/>
    </row>
    <row r="531" spans="1:66" ht="11.25" customHeight="1">
      <c r="A531" s="469"/>
      <c r="B531" s="447"/>
      <c r="C531" s="447"/>
      <c r="D531" s="447"/>
      <c r="E531" s="447"/>
      <c r="F531" s="447"/>
      <c r="G531" s="447"/>
      <c r="H531" s="447"/>
      <c r="I531" s="447"/>
      <c r="J531" s="447"/>
      <c r="K531" s="447"/>
      <c r="L531" s="447"/>
      <c r="M531" s="447"/>
      <c r="N531" s="447"/>
      <c r="O531" s="447"/>
      <c r="P531" s="447"/>
      <c r="Q531" s="447"/>
      <c r="R531" s="447"/>
      <c r="S531" s="447"/>
      <c r="T531" s="447"/>
      <c r="U531" s="447"/>
      <c r="V531" s="447"/>
      <c r="W531" s="447"/>
      <c r="X531" s="447"/>
      <c r="Y531" s="447"/>
      <c r="Z531" s="447"/>
      <c r="AA531" s="447"/>
      <c r="AB531" s="447"/>
      <c r="AC531" s="447"/>
      <c r="AD531" s="447"/>
      <c r="AE531" s="447"/>
      <c r="AF531" s="448"/>
      <c r="AG531" s="448"/>
      <c r="AH531" s="448"/>
      <c r="AI531" s="447"/>
      <c r="AJ531" s="447"/>
      <c r="AK531" s="447"/>
      <c r="AL531" s="447"/>
      <c r="AM531" s="447"/>
      <c r="AN531" s="447"/>
      <c r="AO531" s="447"/>
      <c r="AP531" s="447"/>
      <c r="AQ531" s="447"/>
      <c r="AR531" s="447"/>
      <c r="AS531" s="447"/>
      <c r="AT531" s="447"/>
      <c r="AU531" s="447"/>
      <c r="AV531" s="447"/>
      <c r="AW531" s="447"/>
      <c r="AX531" s="447"/>
      <c r="AY531" s="447"/>
      <c r="AZ531" s="447"/>
      <c r="BA531" s="447"/>
      <c r="BB531" s="447"/>
      <c r="BC531" s="447"/>
      <c r="BD531" s="447"/>
      <c r="BE531" s="447"/>
      <c r="BF531" s="447"/>
      <c r="BG531" s="447"/>
      <c r="BH531" s="447"/>
      <c r="BI531" s="447"/>
      <c r="BJ531" s="447"/>
      <c r="BK531" s="447"/>
      <c r="BL531" s="447"/>
      <c r="BM531" s="448"/>
      <c r="BN531" s="448"/>
    </row>
    <row r="532" spans="1:66" ht="11.25" customHeight="1">
      <c r="A532" s="469"/>
      <c r="B532" s="447"/>
      <c r="C532" s="447"/>
      <c r="D532" s="447"/>
      <c r="E532" s="447"/>
      <c r="F532" s="447"/>
      <c r="G532" s="447"/>
      <c r="H532" s="447"/>
      <c r="I532" s="447"/>
      <c r="J532" s="447"/>
      <c r="K532" s="447"/>
      <c r="L532" s="447"/>
      <c r="M532" s="447"/>
      <c r="N532" s="447"/>
      <c r="O532" s="447"/>
      <c r="P532" s="447"/>
      <c r="Q532" s="447"/>
      <c r="R532" s="447"/>
      <c r="S532" s="447"/>
      <c r="T532" s="447"/>
      <c r="U532" s="447"/>
      <c r="V532" s="447"/>
      <c r="W532" s="447"/>
      <c r="X532" s="447"/>
      <c r="Y532" s="447"/>
      <c r="Z532" s="447"/>
      <c r="AA532" s="447"/>
      <c r="AB532" s="447"/>
      <c r="AC532" s="447"/>
      <c r="AD532" s="447"/>
      <c r="AE532" s="447"/>
      <c r="AF532" s="448"/>
      <c r="AG532" s="448"/>
      <c r="AH532" s="448"/>
      <c r="AI532" s="447"/>
      <c r="AJ532" s="447"/>
      <c r="AK532" s="447"/>
      <c r="AL532" s="447"/>
      <c r="AM532" s="447"/>
      <c r="AN532" s="447"/>
      <c r="AO532" s="447"/>
      <c r="AP532" s="447"/>
      <c r="AQ532" s="447"/>
      <c r="AR532" s="447"/>
      <c r="AS532" s="447"/>
      <c r="AT532" s="447"/>
      <c r="AU532" s="447"/>
      <c r="AV532" s="447"/>
      <c r="AW532" s="447"/>
      <c r="AX532" s="447"/>
      <c r="AY532" s="447"/>
      <c r="AZ532" s="447"/>
      <c r="BA532" s="447"/>
      <c r="BB532" s="447"/>
      <c r="BC532" s="447"/>
      <c r="BD532" s="447"/>
      <c r="BE532" s="447"/>
      <c r="BF532" s="447"/>
      <c r="BG532" s="447"/>
      <c r="BH532" s="447"/>
      <c r="BI532" s="447"/>
      <c r="BJ532" s="447"/>
      <c r="BK532" s="447"/>
      <c r="BL532" s="447"/>
      <c r="BM532" s="448"/>
      <c r="BN532" s="448"/>
    </row>
    <row r="533" spans="1:66" ht="11.25" customHeight="1">
      <c r="A533" s="469"/>
      <c r="B533" s="447"/>
      <c r="C533" s="447"/>
      <c r="D533" s="447"/>
      <c r="E533" s="447"/>
      <c r="F533" s="447"/>
      <c r="G533" s="447"/>
      <c r="H533" s="447"/>
      <c r="I533" s="447"/>
      <c r="J533" s="447"/>
      <c r="K533" s="447"/>
      <c r="L533" s="447"/>
      <c r="M533" s="447"/>
      <c r="N533" s="447"/>
      <c r="O533" s="447"/>
      <c r="P533" s="447"/>
      <c r="Q533" s="447"/>
      <c r="R533" s="447"/>
      <c r="S533" s="447"/>
      <c r="T533" s="447"/>
      <c r="U533" s="447"/>
      <c r="V533" s="447"/>
      <c r="W533" s="447"/>
      <c r="X533" s="447"/>
      <c r="Y533" s="447"/>
      <c r="Z533" s="447"/>
      <c r="AA533" s="447"/>
      <c r="AB533" s="447"/>
      <c r="AC533" s="447"/>
      <c r="AD533" s="447"/>
      <c r="AE533" s="447"/>
      <c r="AF533" s="448"/>
      <c r="AG533" s="448"/>
      <c r="AH533" s="448"/>
      <c r="AI533" s="447"/>
      <c r="AJ533" s="447"/>
      <c r="AK533" s="447"/>
      <c r="AL533" s="447"/>
      <c r="AM533" s="447"/>
      <c r="AN533" s="447"/>
      <c r="AO533" s="447"/>
      <c r="AP533" s="447"/>
      <c r="AQ533" s="447"/>
      <c r="AR533" s="447"/>
      <c r="AS533" s="447"/>
      <c r="AT533" s="447"/>
      <c r="AU533" s="447"/>
      <c r="AV533" s="447"/>
      <c r="AW533" s="447"/>
      <c r="AX533" s="447"/>
      <c r="AY533" s="447"/>
      <c r="AZ533" s="447"/>
      <c r="BA533" s="447"/>
      <c r="BB533" s="447"/>
      <c r="BC533" s="447"/>
      <c r="BD533" s="447"/>
      <c r="BE533" s="447"/>
      <c r="BF533" s="447"/>
      <c r="BG533" s="447"/>
      <c r="BH533" s="447"/>
      <c r="BI533" s="447"/>
      <c r="BJ533" s="447"/>
      <c r="BK533" s="447"/>
      <c r="BL533" s="447"/>
      <c r="BM533" s="448"/>
      <c r="BN533" s="448"/>
    </row>
    <row r="534" spans="1:66" ht="11.25" customHeight="1">
      <c r="A534" s="469"/>
      <c r="B534" s="447"/>
      <c r="C534" s="447"/>
      <c r="D534" s="447"/>
      <c r="E534" s="447"/>
      <c r="F534" s="447"/>
      <c r="G534" s="447"/>
      <c r="H534" s="447"/>
      <c r="I534" s="447"/>
      <c r="J534" s="447"/>
      <c r="K534" s="447"/>
      <c r="L534" s="447"/>
      <c r="M534" s="447"/>
      <c r="N534" s="447"/>
      <c r="O534" s="447"/>
      <c r="P534" s="447"/>
      <c r="Q534" s="447"/>
      <c r="R534" s="447"/>
      <c r="S534" s="447"/>
      <c r="T534" s="447"/>
      <c r="U534" s="447"/>
      <c r="V534" s="447"/>
      <c r="W534" s="447"/>
      <c r="X534" s="447"/>
      <c r="Y534" s="447"/>
      <c r="Z534" s="447"/>
      <c r="AA534" s="447"/>
      <c r="AB534" s="447"/>
      <c r="AC534" s="447"/>
      <c r="AD534" s="447"/>
      <c r="AE534" s="447"/>
      <c r="AF534" s="448"/>
      <c r="AG534" s="448"/>
      <c r="AH534" s="448"/>
      <c r="AI534" s="447"/>
      <c r="AJ534" s="447"/>
      <c r="AK534" s="447"/>
      <c r="AL534" s="447"/>
      <c r="AM534" s="447"/>
      <c r="AN534" s="447"/>
      <c r="AO534" s="447"/>
      <c r="AP534" s="447"/>
      <c r="AQ534" s="447"/>
      <c r="AR534" s="447"/>
      <c r="AS534" s="447"/>
      <c r="AT534" s="447"/>
      <c r="AU534" s="447"/>
      <c r="AV534" s="447"/>
      <c r="AW534" s="447"/>
      <c r="AX534" s="447"/>
      <c r="AY534" s="447"/>
      <c r="AZ534" s="447"/>
      <c r="BA534" s="447"/>
      <c r="BB534" s="447"/>
      <c r="BC534" s="447"/>
      <c r="BD534" s="447"/>
      <c r="BE534" s="447"/>
      <c r="BF534" s="447"/>
      <c r="BG534" s="447"/>
      <c r="BH534" s="447"/>
      <c r="BI534" s="447"/>
      <c r="BJ534" s="447"/>
      <c r="BK534" s="447"/>
      <c r="BL534" s="447"/>
      <c r="BM534" s="448"/>
      <c r="BN534" s="448"/>
    </row>
    <row r="535" spans="1:66" ht="11.25" customHeight="1">
      <c r="A535" s="469"/>
      <c r="B535" s="447"/>
      <c r="C535" s="447"/>
      <c r="D535" s="447"/>
      <c r="E535" s="447"/>
      <c r="F535" s="447"/>
      <c r="G535" s="447"/>
      <c r="H535" s="447"/>
      <c r="I535" s="447"/>
      <c r="J535" s="447"/>
      <c r="K535" s="447"/>
      <c r="L535" s="447"/>
      <c r="M535" s="447"/>
      <c r="N535" s="447"/>
      <c r="O535" s="447"/>
      <c r="P535" s="447"/>
      <c r="Q535" s="447"/>
      <c r="R535" s="447"/>
      <c r="S535" s="447"/>
      <c r="T535" s="447"/>
      <c r="U535" s="447"/>
      <c r="V535" s="447"/>
      <c r="W535" s="447"/>
      <c r="X535" s="447"/>
      <c r="Y535" s="447"/>
      <c r="Z535" s="447"/>
      <c r="AA535" s="447"/>
      <c r="AB535" s="447"/>
      <c r="AC535" s="447"/>
      <c r="AD535" s="447"/>
      <c r="AE535" s="447"/>
      <c r="AF535" s="448"/>
      <c r="AG535" s="448"/>
      <c r="AH535" s="448"/>
      <c r="AI535" s="447"/>
      <c r="AJ535" s="447"/>
      <c r="AK535" s="447"/>
      <c r="AL535" s="447"/>
      <c r="AM535" s="447"/>
      <c r="AN535" s="447"/>
      <c r="AO535" s="447"/>
      <c r="AP535" s="447"/>
      <c r="AQ535" s="447"/>
      <c r="AR535" s="447"/>
      <c r="AS535" s="447"/>
      <c r="AT535" s="447"/>
      <c r="AU535" s="447"/>
      <c r="AV535" s="447"/>
      <c r="AW535" s="447"/>
      <c r="AX535" s="447"/>
      <c r="AY535" s="447"/>
      <c r="AZ535" s="447"/>
      <c r="BA535" s="447"/>
      <c r="BB535" s="447"/>
      <c r="BC535" s="447"/>
      <c r="BD535" s="447"/>
      <c r="BE535" s="447"/>
      <c r="BF535" s="447"/>
      <c r="BG535" s="447"/>
      <c r="BH535" s="447"/>
      <c r="BI535" s="447"/>
      <c r="BJ535" s="447"/>
      <c r="BK535" s="447"/>
      <c r="BL535" s="447"/>
      <c r="BM535" s="448"/>
      <c r="BN535" s="448"/>
    </row>
    <row r="536" spans="1:66" ht="11.25" customHeight="1">
      <c r="A536" s="469"/>
      <c r="B536" s="447"/>
      <c r="C536" s="447"/>
      <c r="D536" s="447"/>
      <c r="E536" s="447"/>
      <c r="F536" s="447"/>
      <c r="G536" s="447"/>
      <c r="H536" s="447"/>
      <c r="I536" s="447"/>
      <c r="J536" s="447"/>
      <c r="K536" s="447"/>
      <c r="L536" s="447"/>
      <c r="M536" s="447"/>
      <c r="N536" s="447"/>
      <c r="O536" s="447"/>
      <c r="P536" s="447"/>
      <c r="Q536" s="447"/>
      <c r="R536" s="447"/>
      <c r="S536" s="447"/>
      <c r="T536" s="447"/>
      <c r="U536" s="447"/>
      <c r="V536" s="447"/>
      <c r="W536" s="447"/>
      <c r="X536" s="447"/>
      <c r="Y536" s="447"/>
      <c r="Z536" s="447"/>
      <c r="AA536" s="447"/>
      <c r="AB536" s="447"/>
      <c r="AC536" s="447"/>
      <c r="AD536" s="447"/>
      <c r="AE536" s="447"/>
      <c r="AF536" s="448"/>
      <c r="AG536" s="448"/>
      <c r="AH536" s="448"/>
      <c r="AI536" s="447"/>
      <c r="AJ536" s="447"/>
      <c r="AK536" s="447"/>
      <c r="AL536" s="447"/>
      <c r="AM536" s="447"/>
      <c r="AN536" s="447"/>
      <c r="AO536" s="447"/>
      <c r="AP536" s="447"/>
      <c r="AQ536" s="447"/>
      <c r="AR536" s="447"/>
      <c r="AS536" s="447"/>
      <c r="AT536" s="447"/>
      <c r="AU536" s="447"/>
      <c r="AV536" s="447"/>
      <c r="AW536" s="447"/>
      <c r="AX536" s="447"/>
      <c r="AY536" s="447"/>
      <c r="AZ536" s="447"/>
      <c r="BA536" s="447"/>
      <c r="BB536" s="447"/>
      <c r="BC536" s="447"/>
      <c r="BD536" s="447"/>
      <c r="BE536" s="447"/>
      <c r="BF536" s="447"/>
      <c r="BG536" s="447"/>
      <c r="BH536" s="447"/>
      <c r="BI536" s="447"/>
      <c r="BJ536" s="447"/>
      <c r="BK536" s="447"/>
      <c r="BL536" s="447"/>
      <c r="BM536" s="448"/>
      <c r="BN536" s="448"/>
    </row>
    <row r="537" spans="1:66" ht="11.25" customHeight="1">
      <c r="A537" s="469"/>
      <c r="B537" s="447"/>
      <c r="C537" s="447"/>
      <c r="D537" s="447"/>
      <c r="E537" s="447"/>
      <c r="F537" s="447"/>
      <c r="G537" s="447"/>
      <c r="H537" s="447"/>
      <c r="I537" s="447"/>
      <c r="J537" s="447"/>
      <c r="K537" s="447"/>
      <c r="L537" s="447"/>
      <c r="M537" s="447"/>
      <c r="N537" s="447"/>
      <c r="O537" s="447"/>
      <c r="P537" s="447"/>
      <c r="Q537" s="447"/>
      <c r="R537" s="447"/>
      <c r="S537" s="447"/>
      <c r="T537" s="447"/>
      <c r="U537" s="447"/>
      <c r="V537" s="447"/>
      <c r="W537" s="447"/>
      <c r="X537" s="447"/>
      <c r="Y537" s="447"/>
      <c r="Z537" s="447"/>
      <c r="AA537" s="447"/>
      <c r="AB537" s="447"/>
      <c r="AC537" s="447"/>
      <c r="AD537" s="447"/>
      <c r="AE537" s="447"/>
      <c r="AF537" s="448"/>
      <c r="AG537" s="448"/>
      <c r="AH537" s="448"/>
      <c r="AI537" s="447"/>
      <c r="AJ537" s="447"/>
      <c r="AK537" s="447"/>
      <c r="AL537" s="447"/>
      <c r="AM537" s="447"/>
      <c r="AN537" s="447"/>
      <c r="AO537" s="447"/>
      <c r="AP537" s="447"/>
      <c r="AQ537" s="447"/>
      <c r="AR537" s="447"/>
      <c r="AS537" s="447"/>
      <c r="AT537" s="447"/>
      <c r="AU537" s="447"/>
      <c r="AV537" s="447"/>
      <c r="AW537" s="447"/>
      <c r="AX537" s="447"/>
      <c r="AY537" s="447"/>
      <c r="AZ537" s="447"/>
      <c r="BA537" s="447"/>
      <c r="BB537" s="447"/>
      <c r="BC537" s="447"/>
      <c r="BD537" s="447"/>
      <c r="BE537" s="447"/>
      <c r="BF537" s="447"/>
      <c r="BG537" s="447"/>
      <c r="BH537" s="447"/>
      <c r="BI537" s="447"/>
      <c r="BJ537" s="447"/>
      <c r="BK537" s="447"/>
      <c r="BL537" s="447"/>
      <c r="BM537" s="448"/>
      <c r="BN537" s="448"/>
    </row>
    <row r="538" spans="1:66" ht="11.25" customHeight="1">
      <c r="A538" s="469"/>
      <c r="B538" s="447"/>
      <c r="C538" s="447"/>
      <c r="D538" s="447"/>
      <c r="E538" s="447"/>
      <c r="F538" s="447"/>
      <c r="G538" s="447"/>
      <c r="H538" s="447"/>
      <c r="I538" s="447"/>
      <c r="J538" s="447"/>
      <c r="K538" s="447"/>
      <c r="L538" s="447"/>
      <c r="M538" s="447"/>
      <c r="N538" s="447"/>
      <c r="O538" s="447"/>
      <c r="P538" s="447"/>
      <c r="Q538" s="447"/>
      <c r="R538" s="447"/>
      <c r="S538" s="447"/>
      <c r="T538" s="447"/>
      <c r="U538" s="447"/>
      <c r="V538" s="447"/>
      <c r="W538" s="447"/>
      <c r="X538" s="447"/>
      <c r="Y538" s="447"/>
      <c r="Z538" s="447"/>
      <c r="AA538" s="447"/>
      <c r="AB538" s="447"/>
      <c r="AC538" s="447"/>
      <c r="AD538" s="447"/>
      <c r="AE538" s="447"/>
      <c r="AF538" s="448"/>
      <c r="AG538" s="448"/>
      <c r="AH538" s="448"/>
      <c r="AI538" s="447"/>
      <c r="AJ538" s="447"/>
      <c r="AK538" s="447"/>
      <c r="AL538" s="447"/>
      <c r="AM538" s="447"/>
      <c r="AN538" s="447"/>
      <c r="AO538" s="447"/>
      <c r="AP538" s="447"/>
      <c r="AQ538" s="447"/>
      <c r="AR538" s="447"/>
      <c r="AS538" s="447"/>
      <c r="AT538" s="447"/>
      <c r="AU538" s="447"/>
      <c r="AV538" s="447"/>
      <c r="AW538" s="447"/>
      <c r="AX538" s="447"/>
      <c r="AY538" s="447"/>
      <c r="AZ538" s="447"/>
      <c r="BA538" s="447"/>
      <c r="BB538" s="447"/>
      <c r="BC538" s="447"/>
      <c r="BD538" s="447"/>
      <c r="BE538" s="447"/>
      <c r="BF538" s="447"/>
      <c r="BG538" s="447"/>
      <c r="BH538" s="447"/>
      <c r="BI538" s="447"/>
      <c r="BJ538" s="447"/>
      <c r="BK538" s="447"/>
      <c r="BL538" s="447"/>
      <c r="BM538" s="448"/>
      <c r="BN538" s="448"/>
    </row>
    <row r="539" spans="1:66" ht="11.25" customHeight="1">
      <c r="A539" s="469"/>
      <c r="B539" s="447"/>
      <c r="C539" s="447"/>
      <c r="D539" s="447"/>
      <c r="E539" s="447"/>
      <c r="F539" s="447"/>
      <c r="G539" s="447"/>
      <c r="H539" s="447"/>
      <c r="I539" s="447"/>
      <c r="J539" s="447"/>
      <c r="K539" s="447"/>
      <c r="L539" s="447"/>
      <c r="M539" s="447"/>
      <c r="N539" s="447"/>
      <c r="O539" s="447"/>
      <c r="P539" s="447"/>
      <c r="Q539" s="447"/>
      <c r="R539" s="447"/>
      <c r="S539" s="447"/>
      <c r="T539" s="447"/>
      <c r="U539" s="447"/>
      <c r="V539" s="447"/>
      <c r="W539" s="447"/>
      <c r="X539" s="447"/>
      <c r="Y539" s="447"/>
      <c r="Z539" s="447"/>
      <c r="AA539" s="447"/>
      <c r="AB539" s="447"/>
      <c r="AC539" s="447"/>
      <c r="AD539" s="447"/>
      <c r="AE539" s="447"/>
      <c r="AF539" s="448"/>
      <c r="AG539" s="448"/>
      <c r="AH539" s="448"/>
      <c r="AI539" s="447"/>
      <c r="AJ539" s="447"/>
      <c r="AK539" s="447"/>
      <c r="AL539" s="447"/>
      <c r="AM539" s="447"/>
      <c r="AN539" s="447"/>
      <c r="AO539" s="447"/>
      <c r="AP539" s="447"/>
      <c r="AQ539" s="447"/>
      <c r="AR539" s="447"/>
      <c r="AS539" s="447"/>
      <c r="AT539" s="447"/>
      <c r="AU539" s="447"/>
      <c r="AV539" s="447"/>
      <c r="AW539" s="447"/>
      <c r="AX539" s="447"/>
      <c r="AY539" s="447"/>
      <c r="AZ539" s="447"/>
      <c r="BA539" s="447"/>
      <c r="BB539" s="447"/>
      <c r="BC539" s="447"/>
      <c r="BD539" s="447"/>
      <c r="BE539" s="447"/>
      <c r="BF539" s="447"/>
      <c r="BG539" s="447"/>
      <c r="BH539" s="447"/>
      <c r="BI539" s="447"/>
      <c r="BJ539" s="447"/>
      <c r="BK539" s="447"/>
      <c r="BL539" s="447"/>
      <c r="BM539" s="448"/>
      <c r="BN539" s="448"/>
    </row>
    <row r="540" spans="1:66" ht="11.25" customHeight="1">
      <c r="A540" s="469"/>
      <c r="B540" s="447"/>
      <c r="C540" s="447"/>
      <c r="D540" s="447"/>
      <c r="E540" s="447"/>
      <c r="F540" s="447"/>
      <c r="G540" s="447"/>
      <c r="H540" s="447"/>
      <c r="I540" s="447"/>
      <c r="J540" s="447"/>
      <c r="K540" s="447"/>
      <c r="L540" s="447"/>
      <c r="M540" s="447"/>
      <c r="N540" s="447"/>
      <c r="O540" s="447"/>
      <c r="P540" s="447"/>
      <c r="Q540" s="447"/>
      <c r="R540" s="447"/>
      <c r="S540" s="447"/>
      <c r="T540" s="447"/>
      <c r="U540" s="447"/>
      <c r="V540" s="447"/>
      <c r="W540" s="447"/>
      <c r="X540" s="447"/>
      <c r="Y540" s="447"/>
      <c r="Z540" s="447"/>
      <c r="AA540" s="447"/>
      <c r="AB540" s="447"/>
      <c r="AC540" s="447"/>
      <c r="AD540" s="447"/>
      <c r="AE540" s="447"/>
      <c r="AF540" s="448"/>
      <c r="AG540" s="448"/>
      <c r="AH540" s="448"/>
      <c r="AI540" s="447"/>
      <c r="AJ540" s="447"/>
      <c r="AK540" s="447"/>
      <c r="AL540" s="447"/>
      <c r="AM540" s="447"/>
      <c r="AN540" s="447"/>
      <c r="AO540" s="447"/>
      <c r="AP540" s="447"/>
      <c r="AQ540" s="447"/>
      <c r="AR540" s="447"/>
      <c r="AS540" s="447"/>
      <c r="AT540" s="447"/>
      <c r="AU540" s="447"/>
      <c r="AV540" s="447"/>
      <c r="AW540" s="447"/>
      <c r="AX540" s="447"/>
      <c r="AY540" s="447"/>
      <c r="AZ540" s="447"/>
      <c r="BA540" s="447"/>
      <c r="BB540" s="447"/>
      <c r="BC540" s="447"/>
      <c r="BD540" s="447"/>
      <c r="BE540" s="447"/>
      <c r="BF540" s="447"/>
      <c r="BG540" s="447"/>
      <c r="BH540" s="447"/>
      <c r="BI540" s="447"/>
      <c r="BJ540" s="447"/>
      <c r="BK540" s="447"/>
      <c r="BL540" s="447"/>
      <c r="BM540" s="448"/>
      <c r="BN540" s="448"/>
    </row>
    <row r="541" spans="1:66" ht="11.25" customHeight="1">
      <c r="A541" s="469"/>
      <c r="B541" s="447"/>
      <c r="C541" s="447"/>
      <c r="D541" s="447"/>
      <c r="E541" s="447"/>
      <c r="F541" s="447"/>
      <c r="G541" s="447"/>
      <c r="H541" s="447"/>
      <c r="I541" s="447"/>
      <c r="J541" s="447"/>
      <c r="K541" s="447"/>
      <c r="L541" s="447"/>
      <c r="M541" s="447"/>
      <c r="N541" s="447"/>
      <c r="O541" s="447"/>
      <c r="P541" s="447"/>
      <c r="Q541" s="447"/>
      <c r="R541" s="447"/>
      <c r="S541" s="447"/>
      <c r="T541" s="447"/>
      <c r="U541" s="447"/>
      <c r="V541" s="447"/>
      <c r="W541" s="447"/>
      <c r="X541" s="447"/>
      <c r="Y541" s="447"/>
      <c r="Z541" s="447"/>
      <c r="AA541" s="447"/>
      <c r="AB541" s="447"/>
      <c r="AC541" s="447"/>
      <c r="AD541" s="447"/>
      <c r="AE541" s="447"/>
      <c r="AF541" s="448"/>
      <c r="AG541" s="448"/>
      <c r="AH541" s="448"/>
      <c r="AI541" s="447"/>
      <c r="AJ541" s="447"/>
      <c r="AK541" s="447"/>
      <c r="AL541" s="447"/>
      <c r="AM541" s="447"/>
      <c r="AN541" s="447"/>
      <c r="AO541" s="447"/>
      <c r="AP541" s="447"/>
      <c r="AQ541" s="447"/>
      <c r="AR541" s="447"/>
      <c r="AS541" s="447"/>
      <c r="AT541" s="447"/>
      <c r="AU541" s="447"/>
      <c r="AV541" s="447"/>
      <c r="AW541" s="447"/>
      <c r="AX541" s="447"/>
      <c r="AY541" s="447"/>
      <c r="AZ541" s="447"/>
      <c r="BA541" s="447"/>
      <c r="BB541" s="447"/>
      <c r="BC541" s="447"/>
      <c r="BD541" s="447"/>
      <c r="BE541" s="447"/>
      <c r="BF541" s="447"/>
      <c r="BG541" s="447"/>
      <c r="BH541" s="447"/>
      <c r="BI541" s="447"/>
      <c r="BJ541" s="447"/>
      <c r="BK541" s="447"/>
      <c r="BL541" s="447"/>
      <c r="BM541" s="448"/>
      <c r="BN541" s="448"/>
    </row>
    <row r="542" spans="1:66" ht="11.25" customHeight="1">
      <c r="A542" s="469"/>
      <c r="B542" s="447"/>
      <c r="C542" s="447"/>
      <c r="D542" s="447"/>
      <c r="E542" s="447"/>
      <c r="F542" s="447"/>
      <c r="G542" s="447"/>
      <c r="H542" s="447"/>
      <c r="I542" s="447"/>
      <c r="J542" s="447"/>
      <c r="K542" s="447"/>
      <c r="L542" s="447"/>
      <c r="M542" s="447"/>
      <c r="N542" s="447"/>
      <c r="O542" s="447"/>
      <c r="P542" s="447"/>
      <c r="Q542" s="447"/>
      <c r="R542" s="447"/>
      <c r="S542" s="447"/>
      <c r="T542" s="447"/>
      <c r="U542" s="447"/>
      <c r="V542" s="447"/>
      <c r="W542" s="447"/>
      <c r="X542" s="447"/>
      <c r="Y542" s="447"/>
      <c r="Z542" s="447"/>
      <c r="AA542" s="447"/>
      <c r="AB542" s="447"/>
      <c r="AC542" s="447"/>
      <c r="AD542" s="447"/>
      <c r="AE542" s="447"/>
      <c r="AF542" s="448"/>
      <c r="AG542" s="448"/>
      <c r="AH542" s="448"/>
      <c r="AI542" s="447"/>
      <c r="AJ542" s="447"/>
      <c r="AK542" s="447"/>
      <c r="AL542" s="447"/>
      <c r="AM542" s="447"/>
      <c r="AN542" s="447"/>
      <c r="AO542" s="447"/>
      <c r="AP542" s="447"/>
      <c r="AQ542" s="447"/>
      <c r="AR542" s="447"/>
      <c r="AS542" s="447"/>
      <c r="AT542" s="447"/>
      <c r="AU542" s="447"/>
      <c r="AV542" s="447"/>
      <c r="AW542" s="447"/>
      <c r="AX542" s="447"/>
      <c r="AY542" s="447"/>
      <c r="AZ542" s="447"/>
      <c r="BA542" s="447"/>
      <c r="BB542" s="447"/>
      <c r="BC542" s="447"/>
      <c r="BD542" s="447"/>
      <c r="BE542" s="447"/>
      <c r="BF542" s="447"/>
      <c r="BG542" s="447"/>
      <c r="BH542" s="447"/>
      <c r="BI542" s="447"/>
      <c r="BJ542" s="447"/>
      <c r="BK542" s="447"/>
      <c r="BL542" s="447"/>
      <c r="BM542" s="448"/>
      <c r="BN542" s="448"/>
    </row>
    <row r="543" spans="1:66" ht="11.25" customHeight="1">
      <c r="A543" s="469"/>
      <c r="B543" s="447"/>
      <c r="C543" s="447"/>
      <c r="D543" s="447"/>
      <c r="E543" s="447"/>
      <c r="F543" s="447"/>
      <c r="G543" s="447"/>
      <c r="H543" s="447"/>
      <c r="I543" s="447"/>
      <c r="J543" s="447"/>
      <c r="K543" s="447"/>
      <c r="L543" s="447"/>
      <c r="M543" s="447"/>
      <c r="N543" s="447"/>
      <c r="O543" s="447"/>
      <c r="P543" s="447"/>
      <c r="Q543" s="447"/>
      <c r="R543" s="447"/>
      <c r="S543" s="447"/>
      <c r="T543" s="447"/>
      <c r="U543" s="447"/>
      <c r="V543" s="447"/>
      <c r="W543" s="447"/>
      <c r="X543" s="447"/>
      <c r="Y543" s="447"/>
      <c r="Z543" s="447"/>
      <c r="AA543" s="447"/>
      <c r="AB543" s="447"/>
      <c r="AC543" s="447"/>
      <c r="AD543" s="447"/>
      <c r="AE543" s="447"/>
      <c r="AF543" s="448"/>
      <c r="AG543" s="448"/>
      <c r="AH543" s="448"/>
      <c r="AI543" s="447"/>
      <c r="AJ543" s="447"/>
      <c r="AK543" s="447"/>
      <c r="AL543" s="447"/>
      <c r="AM543" s="447"/>
      <c r="AN543" s="447"/>
      <c r="AO543" s="447"/>
      <c r="AP543" s="447"/>
      <c r="AQ543" s="447"/>
      <c r="AR543" s="447"/>
      <c r="AS543" s="447"/>
      <c r="AT543" s="447"/>
      <c r="AU543" s="447"/>
      <c r="AV543" s="447"/>
      <c r="AW543" s="447"/>
      <c r="AX543" s="447"/>
      <c r="AY543" s="447"/>
      <c r="AZ543" s="447"/>
      <c r="BA543" s="447"/>
      <c r="BB543" s="447"/>
      <c r="BC543" s="447"/>
      <c r="BD543" s="447"/>
      <c r="BE543" s="447"/>
      <c r="BF543" s="447"/>
      <c r="BG543" s="447"/>
      <c r="BH543" s="447"/>
      <c r="BI543" s="447"/>
      <c r="BJ543" s="447"/>
      <c r="BK543" s="447"/>
      <c r="BL543" s="447"/>
      <c r="BM543" s="448"/>
      <c r="BN543" s="448"/>
    </row>
    <row r="544" spans="1:66" ht="11.25" customHeight="1">
      <c r="A544" s="469"/>
      <c r="B544" s="447"/>
      <c r="C544" s="447"/>
      <c r="D544" s="447"/>
      <c r="E544" s="447"/>
      <c r="F544" s="447"/>
      <c r="G544" s="447"/>
      <c r="H544" s="447"/>
      <c r="I544" s="447"/>
      <c r="J544" s="447"/>
      <c r="K544" s="447"/>
      <c r="L544" s="447"/>
      <c r="M544" s="447"/>
      <c r="N544" s="447"/>
      <c r="O544" s="447"/>
      <c r="P544" s="447"/>
      <c r="Q544" s="447"/>
      <c r="R544" s="447"/>
      <c r="S544" s="447"/>
      <c r="T544" s="447"/>
      <c r="U544" s="447"/>
      <c r="V544" s="447"/>
      <c r="W544" s="447"/>
      <c r="X544" s="447"/>
      <c r="Y544" s="447"/>
      <c r="Z544" s="447"/>
      <c r="AA544" s="447"/>
      <c r="AB544" s="447"/>
      <c r="AC544" s="447"/>
      <c r="AD544" s="447"/>
      <c r="AE544" s="447"/>
      <c r="AF544" s="448"/>
      <c r="AG544" s="448"/>
      <c r="AH544" s="448"/>
      <c r="AI544" s="447"/>
      <c r="AJ544" s="447"/>
      <c r="AK544" s="447"/>
      <c r="AL544" s="447"/>
      <c r="AM544" s="447"/>
      <c r="AN544" s="447"/>
      <c r="AO544" s="447"/>
      <c r="AP544" s="447"/>
      <c r="AQ544" s="447"/>
      <c r="AR544" s="447"/>
      <c r="AS544" s="447"/>
      <c r="AT544" s="447"/>
      <c r="AU544" s="447"/>
      <c r="AV544" s="447"/>
      <c r="AW544" s="447"/>
      <c r="AX544" s="447"/>
      <c r="AY544" s="447"/>
      <c r="AZ544" s="447"/>
      <c r="BA544" s="447"/>
      <c r="BB544" s="447"/>
      <c r="BC544" s="447"/>
      <c r="BD544" s="447"/>
      <c r="BE544" s="447"/>
      <c r="BF544" s="447"/>
      <c r="BG544" s="447"/>
      <c r="BH544" s="447"/>
      <c r="BI544" s="447"/>
      <c r="BJ544" s="447"/>
      <c r="BK544" s="447"/>
      <c r="BL544" s="447"/>
      <c r="BM544" s="448"/>
      <c r="BN544" s="448"/>
    </row>
    <row r="545" spans="1:66" ht="11.25" customHeight="1">
      <c r="A545" s="469"/>
      <c r="B545" s="447"/>
      <c r="C545" s="447"/>
      <c r="D545" s="447"/>
      <c r="E545" s="447"/>
      <c r="F545" s="447"/>
      <c r="G545" s="447"/>
      <c r="H545" s="447"/>
      <c r="I545" s="447"/>
      <c r="J545" s="447"/>
      <c r="K545" s="447"/>
      <c r="L545" s="447"/>
      <c r="M545" s="447"/>
      <c r="N545" s="447"/>
      <c r="O545" s="447"/>
      <c r="P545" s="447"/>
      <c r="Q545" s="447"/>
      <c r="R545" s="447"/>
      <c r="S545" s="447"/>
      <c r="T545" s="447"/>
      <c r="U545" s="447"/>
      <c r="V545" s="447"/>
      <c r="W545" s="447"/>
      <c r="X545" s="447"/>
      <c r="Y545" s="447"/>
      <c r="Z545" s="447"/>
      <c r="AA545" s="447"/>
      <c r="AB545" s="447"/>
      <c r="AC545" s="447"/>
      <c r="AD545" s="447"/>
      <c r="AE545" s="447"/>
      <c r="AF545" s="448"/>
      <c r="AG545" s="448"/>
      <c r="AH545" s="448"/>
      <c r="AI545" s="447"/>
      <c r="AJ545" s="447"/>
      <c r="AK545" s="447"/>
      <c r="AL545" s="447"/>
      <c r="AM545" s="447"/>
      <c r="AN545" s="447"/>
      <c r="AO545" s="447"/>
      <c r="AP545" s="447"/>
      <c r="AQ545" s="447"/>
      <c r="AR545" s="447"/>
      <c r="AS545" s="447"/>
      <c r="AT545" s="447"/>
      <c r="AU545" s="447"/>
      <c r="AV545" s="447"/>
      <c r="AW545" s="447"/>
      <c r="AX545" s="447"/>
      <c r="AY545" s="447"/>
      <c r="AZ545" s="447"/>
      <c r="BA545" s="447"/>
      <c r="BB545" s="447"/>
      <c r="BC545" s="447"/>
      <c r="BD545" s="447"/>
      <c r="BE545" s="447"/>
      <c r="BF545" s="447"/>
      <c r="BG545" s="447"/>
      <c r="BH545" s="447"/>
      <c r="BI545" s="447"/>
      <c r="BJ545" s="447"/>
      <c r="BK545" s="447"/>
      <c r="BL545" s="447"/>
      <c r="BM545" s="448"/>
      <c r="BN545" s="448"/>
    </row>
    <row r="546" spans="1:66" ht="11.25" customHeight="1">
      <c r="A546" s="469"/>
      <c r="B546" s="447"/>
      <c r="C546" s="447"/>
      <c r="D546" s="447"/>
      <c r="E546" s="447"/>
      <c r="F546" s="447"/>
      <c r="G546" s="447"/>
      <c r="H546" s="447"/>
      <c r="I546" s="447"/>
      <c r="J546" s="447"/>
      <c r="K546" s="447"/>
      <c r="L546" s="447"/>
      <c r="M546" s="447"/>
      <c r="N546" s="447"/>
      <c r="O546" s="447"/>
      <c r="P546" s="447"/>
      <c r="Q546" s="447"/>
      <c r="R546" s="447"/>
      <c r="S546" s="447"/>
      <c r="T546" s="447"/>
      <c r="U546" s="447"/>
      <c r="V546" s="447"/>
      <c r="W546" s="447"/>
      <c r="X546" s="447"/>
      <c r="Y546" s="447"/>
      <c r="Z546" s="447"/>
      <c r="AA546" s="447"/>
      <c r="AB546" s="447"/>
      <c r="AC546" s="447"/>
      <c r="AD546" s="447"/>
      <c r="AE546" s="447"/>
      <c r="AF546" s="448"/>
      <c r="AG546" s="448"/>
      <c r="AH546" s="448"/>
      <c r="AI546" s="447"/>
      <c r="AJ546" s="447"/>
      <c r="AK546" s="447"/>
      <c r="AL546" s="447"/>
      <c r="AM546" s="447"/>
      <c r="AN546" s="447"/>
      <c r="AO546" s="447"/>
      <c r="AP546" s="447"/>
      <c r="AQ546" s="447"/>
      <c r="AR546" s="447"/>
      <c r="AS546" s="447"/>
      <c r="AT546" s="447"/>
      <c r="AU546" s="447"/>
      <c r="AV546" s="447"/>
      <c r="AW546" s="447"/>
      <c r="AX546" s="447"/>
      <c r="AY546" s="447"/>
      <c r="AZ546" s="447"/>
      <c r="BA546" s="447"/>
      <c r="BB546" s="447"/>
      <c r="BC546" s="447"/>
      <c r="BD546" s="447"/>
      <c r="BE546" s="447"/>
      <c r="BF546" s="447"/>
      <c r="BG546" s="447"/>
      <c r="BH546" s="447"/>
      <c r="BI546" s="447"/>
      <c r="BJ546" s="447"/>
      <c r="BK546" s="447"/>
      <c r="BL546" s="447"/>
      <c r="BM546" s="448"/>
      <c r="BN546" s="448"/>
    </row>
    <row r="547" spans="1:66" ht="11.25" customHeight="1">
      <c r="A547" s="469"/>
      <c r="B547" s="447"/>
      <c r="C547" s="447"/>
      <c r="D547" s="447"/>
      <c r="E547" s="447"/>
      <c r="F547" s="447"/>
      <c r="G547" s="447"/>
      <c r="H547" s="447"/>
      <c r="I547" s="447"/>
      <c r="J547" s="447"/>
      <c r="K547" s="447"/>
      <c r="L547" s="447"/>
      <c r="M547" s="447"/>
      <c r="N547" s="447"/>
      <c r="O547" s="447"/>
      <c r="P547" s="447"/>
      <c r="Q547" s="447"/>
      <c r="R547" s="447"/>
      <c r="S547" s="447"/>
      <c r="T547" s="447"/>
      <c r="U547" s="447"/>
      <c r="V547" s="447"/>
      <c r="W547" s="447"/>
      <c r="X547" s="447"/>
      <c r="Y547" s="447"/>
      <c r="Z547" s="447"/>
      <c r="AA547" s="447"/>
      <c r="AB547" s="447"/>
      <c r="AC547" s="447"/>
      <c r="AD547" s="447"/>
      <c r="AE547" s="447"/>
      <c r="AF547" s="448"/>
      <c r="AG547" s="448"/>
      <c r="AH547" s="448"/>
      <c r="AI547" s="447"/>
      <c r="AJ547" s="447"/>
      <c r="AK547" s="447"/>
      <c r="AL547" s="447"/>
      <c r="AM547" s="447"/>
      <c r="AN547" s="447"/>
      <c r="AO547" s="447"/>
      <c r="AP547" s="447"/>
      <c r="AQ547" s="447"/>
      <c r="AR547" s="447"/>
      <c r="AS547" s="447"/>
      <c r="AT547" s="447"/>
      <c r="AU547" s="447"/>
      <c r="AV547" s="447"/>
      <c r="AW547" s="447"/>
      <c r="AX547" s="447"/>
      <c r="AY547" s="447"/>
      <c r="AZ547" s="447"/>
      <c r="BA547" s="447"/>
      <c r="BB547" s="447"/>
      <c r="BC547" s="447"/>
      <c r="BD547" s="447"/>
      <c r="BE547" s="447"/>
      <c r="BF547" s="447"/>
      <c r="BG547" s="447"/>
      <c r="BH547" s="447"/>
      <c r="BI547" s="447"/>
      <c r="BJ547" s="447"/>
      <c r="BK547" s="447"/>
      <c r="BL547" s="447"/>
      <c r="BM547" s="448"/>
      <c r="BN547" s="448"/>
    </row>
    <row r="548" spans="1:66" ht="11.25" customHeight="1">
      <c r="A548" s="469"/>
      <c r="B548" s="447"/>
      <c r="C548" s="447"/>
      <c r="D548" s="447"/>
      <c r="E548" s="447"/>
      <c r="F548" s="447"/>
      <c r="G548" s="447"/>
      <c r="H548" s="447"/>
      <c r="I548" s="447"/>
      <c r="J548" s="447"/>
      <c r="K548" s="447"/>
      <c r="L548" s="447"/>
      <c r="M548" s="447"/>
      <c r="N548" s="447"/>
      <c r="O548" s="447"/>
      <c r="P548" s="447"/>
      <c r="Q548" s="447"/>
      <c r="R548" s="447"/>
      <c r="S548" s="447"/>
      <c r="T548" s="447"/>
      <c r="U548" s="447"/>
      <c r="V548" s="447"/>
      <c r="W548" s="447"/>
      <c r="X548" s="447"/>
      <c r="Y548" s="447"/>
      <c r="Z548" s="447"/>
      <c r="AA548" s="447"/>
      <c r="AB548" s="447"/>
      <c r="AC548" s="447"/>
      <c r="AD548" s="447"/>
      <c r="AE548" s="447"/>
      <c r="AF548" s="448"/>
      <c r="AG548" s="448"/>
      <c r="AH548" s="448"/>
      <c r="AI548" s="447"/>
      <c r="AJ548" s="447"/>
      <c r="AK548" s="447"/>
      <c r="AL548" s="447"/>
      <c r="AM548" s="447"/>
      <c r="AN548" s="447"/>
      <c r="AO548" s="447"/>
      <c r="AP548" s="447"/>
      <c r="AQ548" s="447"/>
      <c r="AR548" s="447"/>
      <c r="AS548" s="447"/>
      <c r="AT548" s="447"/>
      <c r="AU548" s="447"/>
      <c r="AV548" s="447"/>
      <c r="AW548" s="447"/>
      <c r="AX548" s="447"/>
      <c r="AY548" s="447"/>
      <c r="AZ548" s="447"/>
      <c r="BA548" s="447"/>
      <c r="BB548" s="447"/>
      <c r="BC548" s="447"/>
      <c r="BD548" s="447"/>
      <c r="BE548" s="447"/>
      <c r="BF548" s="447"/>
      <c r="BG548" s="447"/>
      <c r="BH548" s="447"/>
      <c r="BI548" s="447"/>
      <c r="BJ548" s="447"/>
      <c r="BK548" s="447"/>
      <c r="BL548" s="447"/>
      <c r="BM548" s="448"/>
      <c r="BN548" s="448"/>
    </row>
    <row r="549" spans="1:66" ht="11.25" customHeight="1">
      <c r="A549" s="469"/>
      <c r="B549" s="447"/>
      <c r="C549" s="447"/>
      <c r="D549" s="447"/>
      <c r="E549" s="447"/>
      <c r="F549" s="447"/>
      <c r="G549" s="447"/>
      <c r="H549" s="447"/>
      <c r="I549" s="447"/>
      <c r="J549" s="447"/>
      <c r="K549" s="447"/>
      <c r="L549" s="447"/>
      <c r="M549" s="447"/>
      <c r="N549" s="447"/>
      <c r="O549" s="447"/>
      <c r="P549" s="447"/>
      <c r="Q549" s="447"/>
      <c r="R549" s="447"/>
      <c r="S549" s="447"/>
      <c r="T549" s="447"/>
      <c r="U549" s="447"/>
      <c r="V549" s="447"/>
      <c r="W549" s="447"/>
      <c r="X549" s="447"/>
      <c r="Y549" s="447"/>
      <c r="Z549" s="447"/>
      <c r="AA549" s="447"/>
      <c r="AB549" s="447"/>
      <c r="AC549" s="447"/>
      <c r="AD549" s="447"/>
      <c r="AE549" s="447"/>
      <c r="AF549" s="448"/>
      <c r="AG549" s="448"/>
      <c r="AH549" s="448"/>
      <c r="AI549" s="447"/>
      <c r="AJ549" s="447"/>
      <c r="AK549" s="447"/>
      <c r="AL549" s="447"/>
      <c r="AM549" s="447"/>
      <c r="AN549" s="447"/>
      <c r="AO549" s="447"/>
      <c r="AP549" s="447"/>
      <c r="AQ549" s="447"/>
      <c r="AR549" s="447"/>
      <c r="AS549" s="447"/>
      <c r="AT549" s="447"/>
      <c r="AU549" s="447"/>
      <c r="AV549" s="447"/>
      <c r="AW549" s="447"/>
      <c r="AX549" s="447"/>
      <c r="AY549" s="447"/>
      <c r="AZ549" s="447"/>
      <c r="BA549" s="447"/>
      <c r="BB549" s="447"/>
      <c r="BC549" s="447"/>
      <c r="BD549" s="447"/>
      <c r="BE549" s="447"/>
      <c r="BF549" s="447"/>
      <c r="BG549" s="447"/>
      <c r="BH549" s="447"/>
      <c r="BI549" s="447"/>
      <c r="BJ549" s="447"/>
      <c r="BK549" s="447"/>
      <c r="BL549" s="447"/>
      <c r="BM549" s="448"/>
      <c r="BN549" s="448"/>
    </row>
    <row r="550" spans="1:66" ht="11.25" customHeight="1">
      <c r="A550" s="469"/>
      <c r="B550" s="447"/>
      <c r="C550" s="447"/>
      <c r="D550" s="447"/>
      <c r="E550" s="447"/>
      <c r="F550" s="447"/>
      <c r="G550" s="447"/>
      <c r="H550" s="447"/>
      <c r="I550" s="447"/>
      <c r="J550" s="447"/>
      <c r="K550" s="447"/>
      <c r="L550" s="447"/>
      <c r="M550" s="447"/>
      <c r="N550" s="447"/>
      <c r="O550" s="447"/>
      <c r="P550" s="447"/>
      <c r="Q550" s="447"/>
      <c r="R550" s="447"/>
      <c r="S550" s="447"/>
      <c r="T550" s="447"/>
      <c r="U550" s="447"/>
      <c r="V550" s="447"/>
      <c r="W550" s="447"/>
      <c r="X550" s="447"/>
      <c r="Y550" s="447"/>
      <c r="Z550" s="447"/>
      <c r="AA550" s="447"/>
      <c r="AB550" s="447"/>
      <c r="AC550" s="447"/>
      <c r="AD550" s="447"/>
      <c r="AE550" s="447"/>
      <c r="AF550" s="448"/>
      <c r="AG550" s="448"/>
      <c r="AH550" s="448"/>
      <c r="AI550" s="447"/>
      <c r="AJ550" s="447"/>
      <c r="AK550" s="447"/>
      <c r="AL550" s="447"/>
      <c r="AM550" s="447"/>
      <c r="AN550" s="447"/>
      <c r="AO550" s="447"/>
      <c r="AP550" s="447"/>
      <c r="AQ550" s="447"/>
      <c r="AR550" s="447"/>
      <c r="AS550" s="447"/>
      <c r="AT550" s="447"/>
      <c r="AU550" s="447"/>
      <c r="AV550" s="447"/>
      <c r="AW550" s="447"/>
      <c r="AX550" s="447"/>
      <c r="AY550" s="447"/>
      <c r="AZ550" s="447"/>
      <c r="BA550" s="447"/>
      <c r="BB550" s="447"/>
      <c r="BC550" s="447"/>
      <c r="BD550" s="447"/>
      <c r="BE550" s="447"/>
      <c r="BF550" s="447"/>
      <c r="BG550" s="447"/>
      <c r="BH550" s="447"/>
      <c r="BI550" s="447"/>
      <c r="BJ550" s="447"/>
      <c r="BK550" s="447"/>
      <c r="BL550" s="447"/>
      <c r="BM550" s="448"/>
      <c r="BN550" s="448"/>
    </row>
    <row r="551" spans="1:66" ht="11.25" customHeight="1">
      <c r="A551" s="469"/>
      <c r="B551" s="447"/>
      <c r="C551" s="447"/>
      <c r="D551" s="447"/>
      <c r="E551" s="447"/>
      <c r="F551" s="447"/>
      <c r="G551" s="447"/>
      <c r="H551" s="447"/>
      <c r="I551" s="447"/>
      <c r="J551" s="447"/>
      <c r="K551" s="447"/>
      <c r="L551" s="447"/>
      <c r="M551" s="447"/>
      <c r="N551" s="447"/>
      <c r="O551" s="447"/>
      <c r="P551" s="447"/>
      <c r="Q551" s="447"/>
      <c r="R551" s="447"/>
      <c r="S551" s="447"/>
      <c r="T551" s="447"/>
      <c r="U551" s="447"/>
      <c r="V551" s="447"/>
      <c r="W551" s="447"/>
      <c r="X551" s="447"/>
      <c r="Y551" s="447"/>
      <c r="Z551" s="447"/>
      <c r="AA551" s="447"/>
      <c r="AB551" s="447"/>
      <c r="AC551" s="447"/>
      <c r="AD551" s="447"/>
      <c r="AE551" s="447"/>
      <c r="AF551" s="448"/>
      <c r="AG551" s="448"/>
      <c r="AH551" s="448"/>
      <c r="AI551" s="447"/>
      <c r="AJ551" s="447"/>
      <c r="AK551" s="447"/>
      <c r="AL551" s="447"/>
      <c r="AM551" s="447"/>
      <c r="AN551" s="447"/>
      <c r="AO551" s="447"/>
      <c r="AP551" s="447"/>
      <c r="AQ551" s="447"/>
      <c r="AR551" s="447"/>
      <c r="AS551" s="447"/>
      <c r="AT551" s="447"/>
      <c r="AU551" s="447"/>
      <c r="AV551" s="447"/>
      <c r="AW551" s="447"/>
      <c r="AX551" s="447"/>
      <c r="AY551" s="447"/>
      <c r="AZ551" s="447"/>
      <c r="BA551" s="447"/>
      <c r="BB551" s="447"/>
      <c r="BC551" s="447"/>
      <c r="BD551" s="447"/>
      <c r="BE551" s="447"/>
      <c r="BF551" s="447"/>
      <c r="BG551" s="447"/>
      <c r="BH551" s="447"/>
      <c r="BI551" s="447"/>
      <c r="BJ551" s="447"/>
      <c r="BK551" s="447"/>
      <c r="BL551" s="447"/>
      <c r="BM551" s="448"/>
      <c r="BN551" s="448"/>
    </row>
    <row r="552" spans="1:66" ht="11.25" customHeight="1">
      <c r="A552" s="469"/>
      <c r="B552" s="447"/>
      <c r="C552" s="447"/>
      <c r="D552" s="447"/>
      <c r="E552" s="447"/>
      <c r="F552" s="447"/>
      <c r="G552" s="447"/>
      <c r="H552" s="447"/>
      <c r="I552" s="447"/>
      <c r="J552" s="447"/>
      <c r="K552" s="447"/>
      <c r="L552" s="447"/>
      <c r="M552" s="447"/>
      <c r="N552" s="447"/>
      <c r="O552" s="447"/>
      <c r="P552" s="447"/>
      <c r="Q552" s="447"/>
      <c r="R552" s="447"/>
      <c r="S552" s="447"/>
      <c r="T552" s="447"/>
      <c r="U552" s="447"/>
      <c r="V552" s="447"/>
      <c r="W552" s="447"/>
      <c r="X552" s="447"/>
      <c r="Y552" s="447"/>
      <c r="Z552" s="447"/>
      <c r="AA552" s="447"/>
      <c r="AB552" s="447"/>
      <c r="AC552" s="447"/>
      <c r="AD552" s="447"/>
      <c r="AE552" s="447"/>
      <c r="AF552" s="448"/>
      <c r="AG552" s="448"/>
      <c r="AH552" s="448"/>
      <c r="AI552" s="447"/>
      <c r="AJ552" s="447"/>
      <c r="AK552" s="447"/>
      <c r="AL552" s="447"/>
      <c r="AM552" s="447"/>
      <c r="AN552" s="447"/>
      <c r="AO552" s="447"/>
      <c r="AP552" s="447"/>
      <c r="AQ552" s="447"/>
      <c r="AR552" s="447"/>
      <c r="AS552" s="447"/>
      <c r="AT552" s="447"/>
      <c r="AU552" s="447"/>
      <c r="AV552" s="447"/>
      <c r="AW552" s="447"/>
      <c r="AX552" s="447"/>
      <c r="AY552" s="447"/>
      <c r="AZ552" s="447"/>
      <c r="BA552" s="447"/>
      <c r="BB552" s="447"/>
      <c r="BC552" s="447"/>
      <c r="BD552" s="447"/>
      <c r="BE552" s="447"/>
      <c r="BF552" s="447"/>
      <c r="BG552" s="447"/>
      <c r="BH552" s="447"/>
      <c r="BI552" s="447"/>
      <c r="BJ552" s="447"/>
      <c r="BK552" s="447"/>
      <c r="BL552" s="447"/>
      <c r="BM552" s="448"/>
      <c r="BN552" s="448"/>
    </row>
    <row r="553" spans="1:66" ht="11.25" customHeight="1">
      <c r="A553" s="469"/>
      <c r="B553" s="447"/>
      <c r="C553" s="447"/>
      <c r="D553" s="447"/>
      <c r="E553" s="447"/>
      <c r="F553" s="447"/>
      <c r="G553" s="447"/>
      <c r="H553" s="447"/>
      <c r="I553" s="447"/>
      <c r="J553" s="447"/>
      <c r="K553" s="447"/>
      <c r="L553" s="447"/>
      <c r="M553" s="447"/>
      <c r="N553" s="447"/>
      <c r="O553" s="447"/>
      <c r="P553" s="447"/>
      <c r="Q553" s="447"/>
      <c r="R553" s="447"/>
      <c r="S553" s="447"/>
      <c r="T553" s="447"/>
      <c r="U553" s="447"/>
      <c r="V553" s="447"/>
      <c r="W553" s="447"/>
      <c r="X553" s="447"/>
      <c r="Y553" s="447"/>
      <c r="Z553" s="447"/>
      <c r="AA553" s="447"/>
      <c r="AB553" s="447"/>
      <c r="AC553" s="447"/>
      <c r="AD553" s="447"/>
      <c r="AE553" s="447"/>
      <c r="AF553" s="448"/>
      <c r="AG553" s="448"/>
      <c r="AH553" s="448"/>
      <c r="AI553" s="447"/>
      <c r="AJ553" s="447"/>
      <c r="AK553" s="447"/>
      <c r="AL553" s="447"/>
      <c r="AM553" s="447"/>
      <c r="AN553" s="447"/>
      <c r="AO553" s="447"/>
      <c r="AP553" s="447"/>
      <c r="AQ553" s="447"/>
      <c r="AR553" s="447"/>
      <c r="AS553" s="447"/>
      <c r="AT553" s="447"/>
      <c r="AU553" s="447"/>
      <c r="AV553" s="447"/>
      <c r="AW553" s="447"/>
      <c r="AX553" s="447"/>
      <c r="AY553" s="447"/>
      <c r="AZ553" s="447"/>
      <c r="BA553" s="447"/>
      <c r="BB553" s="447"/>
      <c r="BC553" s="447"/>
      <c r="BD553" s="447"/>
      <c r="BE553" s="447"/>
      <c r="BF553" s="447"/>
      <c r="BG553" s="447"/>
      <c r="BH553" s="447"/>
      <c r="BI553" s="447"/>
      <c r="BJ553" s="447"/>
      <c r="BK553" s="447"/>
      <c r="BL553" s="447"/>
      <c r="BM553" s="448"/>
      <c r="BN553" s="448"/>
    </row>
    <row r="554" spans="1:66" ht="11.25" customHeight="1">
      <c r="A554" s="469"/>
      <c r="B554" s="447"/>
      <c r="C554" s="447"/>
      <c r="D554" s="447"/>
      <c r="E554" s="447"/>
      <c r="F554" s="447"/>
      <c r="G554" s="447"/>
      <c r="H554" s="447"/>
      <c r="I554" s="447"/>
      <c r="J554" s="447"/>
      <c r="K554" s="447"/>
      <c r="L554" s="447"/>
      <c r="M554" s="447"/>
      <c r="N554" s="447"/>
      <c r="O554" s="447"/>
      <c r="P554" s="447"/>
      <c r="Q554" s="447"/>
      <c r="R554" s="447"/>
      <c r="S554" s="447"/>
      <c r="T554" s="447"/>
      <c r="U554" s="447"/>
      <c r="V554" s="447"/>
      <c r="W554" s="447"/>
      <c r="X554" s="447"/>
      <c r="Y554" s="447"/>
      <c r="Z554" s="447"/>
      <c r="AA554" s="447"/>
      <c r="AB554" s="447"/>
      <c r="AC554" s="447"/>
      <c r="AD554" s="447"/>
      <c r="AE554" s="447"/>
      <c r="AF554" s="448"/>
      <c r="AG554" s="448"/>
      <c r="AH554" s="448"/>
      <c r="AI554" s="447"/>
      <c r="AJ554" s="447"/>
      <c r="AK554" s="447"/>
      <c r="AL554" s="447"/>
      <c r="AM554" s="447"/>
      <c r="AN554" s="447"/>
      <c r="AO554" s="447"/>
      <c r="AP554" s="447"/>
      <c r="AQ554" s="447"/>
      <c r="AR554" s="447"/>
      <c r="AS554" s="447"/>
      <c r="AT554" s="447"/>
      <c r="AU554" s="447"/>
      <c r="AV554" s="447"/>
      <c r="AW554" s="447"/>
      <c r="AX554" s="447"/>
      <c r="AY554" s="447"/>
      <c r="AZ554" s="447"/>
      <c r="BA554" s="447"/>
      <c r="BB554" s="447"/>
      <c r="BC554" s="447"/>
      <c r="BD554" s="447"/>
      <c r="BE554" s="447"/>
      <c r="BF554" s="447"/>
      <c r="BG554" s="447"/>
      <c r="BH554" s="447"/>
      <c r="BI554" s="447"/>
      <c r="BJ554" s="447"/>
      <c r="BK554" s="447"/>
      <c r="BL554" s="447"/>
      <c r="BM554" s="448"/>
      <c r="BN554" s="448"/>
    </row>
    <row r="555" spans="1:66" ht="11.25" customHeight="1">
      <c r="A555" s="469"/>
      <c r="B555" s="447"/>
      <c r="C555" s="447"/>
      <c r="D555" s="447"/>
      <c r="E555" s="447"/>
      <c r="F555" s="447"/>
      <c r="G555" s="447"/>
      <c r="H555" s="447"/>
      <c r="I555" s="447"/>
      <c r="J555" s="447"/>
      <c r="K555" s="447"/>
      <c r="L555" s="447"/>
      <c r="M555" s="447"/>
      <c r="N555" s="447"/>
      <c r="O555" s="447"/>
      <c r="P555" s="447"/>
      <c r="Q555" s="447"/>
      <c r="R555" s="447"/>
      <c r="S555" s="447"/>
      <c r="T555" s="447"/>
      <c r="U555" s="447"/>
      <c r="V555" s="447"/>
      <c r="W555" s="447"/>
      <c r="X555" s="447"/>
      <c r="Y555" s="447"/>
      <c r="Z555" s="447"/>
      <c r="AA555" s="447"/>
      <c r="AB555" s="447"/>
      <c r="AC555" s="447"/>
      <c r="AD555" s="447"/>
      <c r="AE555" s="447"/>
      <c r="AF555" s="448"/>
      <c r="AG555" s="448"/>
      <c r="AH555" s="448"/>
      <c r="AI555" s="447"/>
      <c r="AJ555" s="447"/>
      <c r="AK555" s="447"/>
      <c r="AL555" s="447"/>
      <c r="AM555" s="447"/>
      <c r="AN555" s="447"/>
      <c r="AO555" s="447"/>
      <c r="AP555" s="447"/>
      <c r="AQ555" s="447"/>
      <c r="AR555" s="447"/>
      <c r="AS555" s="447"/>
      <c r="AT555" s="447"/>
      <c r="AU555" s="447"/>
      <c r="AV555" s="447"/>
      <c r="AW555" s="447"/>
      <c r="AX555" s="447"/>
      <c r="AY555" s="447"/>
      <c r="AZ555" s="447"/>
      <c r="BA555" s="447"/>
      <c r="BB555" s="447"/>
      <c r="BC555" s="447"/>
      <c r="BD555" s="447"/>
      <c r="BE555" s="447"/>
      <c r="BF555" s="447"/>
      <c r="BG555" s="447"/>
      <c r="BH555" s="447"/>
      <c r="BI555" s="447"/>
      <c r="BJ555" s="447"/>
      <c r="BK555" s="447"/>
      <c r="BL555" s="447"/>
      <c r="BM555" s="448"/>
      <c r="BN555" s="448"/>
    </row>
    <row r="556" spans="1:66" ht="11.25" customHeight="1">
      <c r="A556" s="469"/>
      <c r="B556" s="447"/>
      <c r="C556" s="447"/>
      <c r="D556" s="447"/>
      <c r="E556" s="447"/>
      <c r="F556" s="447"/>
      <c r="G556" s="447"/>
      <c r="H556" s="447"/>
      <c r="I556" s="447"/>
      <c r="J556" s="447"/>
      <c r="K556" s="447"/>
      <c r="L556" s="447"/>
      <c r="M556" s="447"/>
      <c r="N556" s="447"/>
      <c r="O556" s="447"/>
      <c r="P556" s="447"/>
      <c r="Q556" s="447"/>
      <c r="R556" s="447"/>
      <c r="S556" s="447"/>
      <c r="T556" s="447"/>
      <c r="U556" s="447"/>
      <c r="V556" s="447"/>
      <c r="W556" s="447"/>
      <c r="X556" s="447"/>
      <c r="Y556" s="447"/>
      <c r="Z556" s="447"/>
      <c r="AA556" s="447"/>
      <c r="AB556" s="447"/>
      <c r="AC556" s="447"/>
      <c r="AD556" s="447"/>
      <c r="AE556" s="447"/>
      <c r="AF556" s="448"/>
      <c r="AG556" s="448"/>
      <c r="AH556" s="448"/>
      <c r="AI556" s="447"/>
      <c r="AJ556" s="447"/>
      <c r="AK556" s="447"/>
      <c r="AL556" s="447"/>
      <c r="AM556" s="447"/>
      <c r="AN556" s="447"/>
      <c r="AO556" s="447"/>
      <c r="AP556" s="447"/>
      <c r="AQ556" s="447"/>
      <c r="AR556" s="447"/>
      <c r="AS556" s="447"/>
      <c r="AT556" s="447"/>
      <c r="AU556" s="447"/>
      <c r="AV556" s="447"/>
      <c r="AW556" s="447"/>
      <c r="AX556" s="447"/>
      <c r="AY556" s="447"/>
      <c r="AZ556" s="447"/>
      <c r="BA556" s="447"/>
      <c r="BB556" s="447"/>
      <c r="BC556" s="447"/>
      <c r="BD556" s="447"/>
      <c r="BE556" s="447"/>
      <c r="BF556" s="447"/>
      <c r="BG556" s="447"/>
      <c r="BH556" s="447"/>
      <c r="BI556" s="447"/>
      <c r="BJ556" s="447"/>
      <c r="BK556" s="447"/>
      <c r="BL556" s="447"/>
      <c r="BM556" s="448"/>
      <c r="BN556" s="448"/>
    </row>
    <row r="557" spans="1:66" ht="11.25" customHeight="1">
      <c r="A557" s="469"/>
      <c r="B557" s="447"/>
      <c r="C557" s="447"/>
      <c r="D557" s="447"/>
      <c r="E557" s="447"/>
      <c r="F557" s="447"/>
      <c r="G557" s="447"/>
      <c r="H557" s="447"/>
      <c r="I557" s="447"/>
      <c r="J557" s="447"/>
      <c r="K557" s="447"/>
      <c r="L557" s="447"/>
      <c r="M557" s="447"/>
      <c r="N557" s="447"/>
      <c r="O557" s="447"/>
      <c r="P557" s="447"/>
      <c r="Q557" s="447"/>
      <c r="R557" s="447"/>
      <c r="S557" s="447"/>
      <c r="T557" s="447"/>
      <c r="U557" s="447"/>
      <c r="V557" s="447"/>
      <c r="W557" s="447"/>
      <c r="X557" s="447"/>
      <c r="Y557" s="447"/>
      <c r="Z557" s="447"/>
      <c r="AA557" s="447"/>
      <c r="AB557" s="447"/>
      <c r="AC557" s="447"/>
      <c r="AD557" s="447"/>
      <c r="AE557" s="447"/>
      <c r="AF557" s="448"/>
      <c r="AG557" s="448"/>
      <c r="AH557" s="448"/>
      <c r="AI557" s="447"/>
      <c r="AJ557" s="447"/>
      <c r="AK557" s="447"/>
      <c r="AL557" s="447"/>
      <c r="AM557" s="447"/>
      <c r="AN557" s="447"/>
      <c r="AO557" s="447"/>
      <c r="AP557" s="447"/>
      <c r="AQ557" s="447"/>
      <c r="AR557" s="447"/>
      <c r="AS557" s="447"/>
      <c r="AT557" s="447"/>
      <c r="AU557" s="447"/>
      <c r="AV557" s="447"/>
      <c r="AW557" s="447"/>
      <c r="AX557" s="447"/>
      <c r="AY557" s="447"/>
      <c r="AZ557" s="447"/>
      <c r="BA557" s="447"/>
      <c r="BB557" s="447"/>
      <c r="BC557" s="447"/>
      <c r="BD557" s="447"/>
      <c r="BE557" s="447"/>
      <c r="BF557" s="447"/>
      <c r="BG557" s="447"/>
      <c r="BH557" s="447"/>
      <c r="BI557" s="447"/>
      <c r="BJ557" s="447"/>
      <c r="BK557" s="447"/>
      <c r="BL557" s="447"/>
      <c r="BM557" s="448"/>
      <c r="BN557" s="448"/>
    </row>
    <row r="558" spans="1:66" ht="11.25" customHeight="1">
      <c r="A558" s="469"/>
      <c r="B558" s="447"/>
      <c r="C558" s="447"/>
      <c r="D558" s="447"/>
      <c r="E558" s="447"/>
      <c r="F558" s="447"/>
      <c r="G558" s="447"/>
      <c r="H558" s="447"/>
      <c r="I558" s="447"/>
      <c r="J558" s="447"/>
      <c r="K558" s="447"/>
      <c r="L558" s="447"/>
      <c r="M558" s="447"/>
      <c r="N558" s="447"/>
      <c r="O558" s="447"/>
      <c r="P558" s="447"/>
      <c r="Q558" s="447"/>
      <c r="R558" s="447"/>
      <c r="S558" s="447"/>
      <c r="T558" s="447"/>
      <c r="U558" s="447"/>
      <c r="V558" s="447"/>
      <c r="W558" s="447"/>
      <c r="X558" s="447"/>
      <c r="Y558" s="447"/>
      <c r="Z558" s="447"/>
      <c r="AA558" s="447"/>
      <c r="AB558" s="447"/>
      <c r="AC558" s="447"/>
      <c r="AD558" s="447"/>
      <c r="AE558" s="447"/>
      <c r="AF558" s="448"/>
      <c r="AG558" s="448"/>
      <c r="AH558" s="448"/>
      <c r="AI558" s="447"/>
      <c r="AJ558" s="447"/>
      <c r="AK558" s="447"/>
      <c r="AL558" s="447"/>
      <c r="AM558" s="447"/>
      <c r="AN558" s="447"/>
      <c r="AO558" s="447"/>
      <c r="AP558" s="447"/>
      <c r="AQ558" s="447"/>
      <c r="AR558" s="447"/>
      <c r="AS558" s="447"/>
      <c r="AT558" s="447"/>
      <c r="AU558" s="447"/>
      <c r="AV558" s="447"/>
      <c r="AW558" s="447"/>
      <c r="AX558" s="447"/>
      <c r="AY558" s="447"/>
      <c r="AZ558" s="447"/>
      <c r="BA558" s="447"/>
      <c r="BB558" s="447"/>
      <c r="BC558" s="447"/>
      <c r="BD558" s="447"/>
      <c r="BE558" s="447"/>
      <c r="BF558" s="447"/>
      <c r="BG558" s="447"/>
      <c r="BH558" s="447"/>
      <c r="BI558" s="447"/>
      <c r="BJ558" s="447"/>
      <c r="BK558" s="447"/>
      <c r="BL558" s="447"/>
      <c r="BM558" s="448"/>
      <c r="BN558" s="448"/>
    </row>
    <row r="559" spans="1:66" ht="11.25" customHeight="1">
      <c r="A559" s="469"/>
      <c r="B559" s="447"/>
      <c r="C559" s="447"/>
      <c r="D559" s="447"/>
      <c r="E559" s="447"/>
      <c r="F559" s="447"/>
      <c r="G559" s="447"/>
      <c r="H559" s="447"/>
      <c r="I559" s="447"/>
      <c r="J559" s="447"/>
      <c r="K559" s="447"/>
      <c r="L559" s="447"/>
      <c r="M559" s="447"/>
      <c r="N559" s="447"/>
      <c r="O559" s="447"/>
      <c r="P559" s="447"/>
      <c r="Q559" s="447"/>
      <c r="R559" s="447"/>
      <c r="S559" s="447"/>
      <c r="T559" s="447"/>
      <c r="U559" s="447"/>
      <c r="V559" s="447"/>
      <c r="W559" s="447"/>
      <c r="X559" s="447"/>
      <c r="Y559" s="447"/>
      <c r="Z559" s="447"/>
      <c r="AA559" s="447"/>
      <c r="AB559" s="447"/>
      <c r="AC559" s="447"/>
      <c r="AD559" s="447"/>
      <c r="AE559" s="447"/>
      <c r="AF559" s="448"/>
      <c r="AG559" s="448"/>
      <c r="AH559" s="448"/>
      <c r="AI559" s="447"/>
      <c r="AJ559" s="447"/>
      <c r="AK559" s="447"/>
      <c r="AL559" s="447"/>
      <c r="AM559" s="447"/>
      <c r="AN559" s="447"/>
      <c r="AO559" s="447"/>
      <c r="AP559" s="447"/>
      <c r="AQ559" s="447"/>
      <c r="AR559" s="447"/>
      <c r="AS559" s="447"/>
      <c r="AT559" s="447"/>
      <c r="AU559" s="447"/>
      <c r="AV559" s="447"/>
      <c r="AW559" s="447"/>
      <c r="AX559" s="447"/>
      <c r="AY559" s="447"/>
      <c r="AZ559" s="447"/>
      <c r="BA559" s="447"/>
      <c r="BB559" s="447"/>
      <c r="BC559" s="447"/>
      <c r="BD559" s="447"/>
      <c r="BE559" s="447"/>
      <c r="BF559" s="447"/>
      <c r="BG559" s="447"/>
      <c r="BH559" s="447"/>
      <c r="BI559" s="447"/>
      <c r="BJ559" s="447"/>
      <c r="BK559" s="447"/>
      <c r="BL559" s="447"/>
      <c r="BM559" s="448"/>
      <c r="BN559" s="448"/>
    </row>
    <row r="560" spans="1:66" ht="11.25" customHeight="1">
      <c r="A560" s="469"/>
      <c r="B560" s="447"/>
      <c r="C560" s="447"/>
      <c r="D560" s="447"/>
      <c r="E560" s="447"/>
      <c r="F560" s="447"/>
      <c r="G560" s="447"/>
      <c r="H560" s="447"/>
      <c r="I560" s="447"/>
      <c r="J560" s="447"/>
      <c r="K560" s="447"/>
      <c r="L560" s="447"/>
      <c r="M560" s="447"/>
      <c r="N560" s="447"/>
      <c r="O560" s="447"/>
      <c r="P560" s="447"/>
      <c r="Q560" s="447"/>
      <c r="R560" s="447"/>
      <c r="S560" s="447"/>
      <c r="T560" s="447"/>
      <c r="U560" s="447"/>
      <c r="V560" s="447"/>
      <c r="W560" s="447"/>
      <c r="X560" s="447"/>
      <c r="Y560" s="447"/>
      <c r="Z560" s="447"/>
      <c r="AA560" s="447"/>
      <c r="AB560" s="447"/>
      <c r="AC560" s="447"/>
      <c r="AD560" s="447"/>
      <c r="AE560" s="447"/>
      <c r="AF560" s="448"/>
      <c r="AG560" s="448"/>
      <c r="AH560" s="448"/>
      <c r="AI560" s="447"/>
      <c r="AJ560" s="447"/>
      <c r="AK560" s="447"/>
      <c r="AL560" s="447"/>
      <c r="AM560" s="447"/>
      <c r="AN560" s="447"/>
      <c r="AO560" s="447"/>
      <c r="AP560" s="447"/>
      <c r="AQ560" s="447"/>
      <c r="AR560" s="447"/>
      <c r="AS560" s="447"/>
      <c r="AT560" s="447"/>
      <c r="AU560" s="447"/>
      <c r="AV560" s="447"/>
      <c r="AW560" s="447"/>
      <c r="AX560" s="447"/>
      <c r="AY560" s="447"/>
      <c r="AZ560" s="447"/>
      <c r="BA560" s="447"/>
      <c r="BB560" s="447"/>
      <c r="BC560" s="447"/>
      <c r="BD560" s="447"/>
      <c r="BE560" s="447"/>
      <c r="BF560" s="447"/>
      <c r="BG560" s="447"/>
      <c r="BH560" s="447"/>
      <c r="BI560" s="447"/>
      <c r="BJ560" s="447"/>
      <c r="BK560" s="447"/>
      <c r="BL560" s="447"/>
      <c r="BM560" s="448"/>
      <c r="BN560" s="448"/>
    </row>
    <row r="561" spans="1:66" ht="11.25" customHeight="1">
      <c r="A561" s="469"/>
      <c r="B561" s="447"/>
      <c r="C561" s="447"/>
      <c r="D561" s="447"/>
      <c r="E561" s="447"/>
      <c r="F561" s="447"/>
      <c r="G561" s="447"/>
      <c r="H561" s="447"/>
      <c r="I561" s="447"/>
      <c r="J561" s="447"/>
      <c r="K561" s="447"/>
      <c r="L561" s="447"/>
      <c r="M561" s="447"/>
      <c r="N561" s="447"/>
      <c r="O561" s="447"/>
      <c r="P561" s="447"/>
      <c r="Q561" s="447"/>
      <c r="R561" s="447"/>
      <c r="S561" s="447"/>
      <c r="T561" s="447"/>
      <c r="U561" s="447"/>
      <c r="V561" s="447"/>
      <c r="W561" s="447"/>
      <c r="X561" s="447"/>
      <c r="Y561" s="447"/>
      <c r="Z561" s="447"/>
      <c r="AA561" s="447"/>
      <c r="AB561" s="447"/>
      <c r="AC561" s="447"/>
      <c r="AD561" s="447"/>
      <c r="AE561" s="447"/>
      <c r="AF561" s="448"/>
      <c r="AG561" s="448"/>
      <c r="AH561" s="448"/>
      <c r="AI561" s="447"/>
      <c r="AJ561" s="447"/>
      <c r="AK561" s="447"/>
      <c r="AL561" s="447"/>
      <c r="AM561" s="447"/>
      <c r="AN561" s="447"/>
      <c r="AO561" s="447"/>
      <c r="AP561" s="447"/>
      <c r="AQ561" s="447"/>
      <c r="AR561" s="447"/>
      <c r="AS561" s="447"/>
      <c r="AT561" s="447"/>
      <c r="AU561" s="447"/>
      <c r="AV561" s="447"/>
      <c r="AW561" s="447"/>
      <c r="AX561" s="447"/>
      <c r="AY561" s="447"/>
      <c r="AZ561" s="447"/>
      <c r="BA561" s="447"/>
      <c r="BB561" s="447"/>
      <c r="BC561" s="447"/>
      <c r="BD561" s="447"/>
      <c r="BE561" s="447"/>
      <c r="BF561" s="447"/>
      <c r="BG561" s="447"/>
      <c r="BH561" s="447"/>
      <c r="BI561" s="447"/>
      <c r="BJ561" s="447"/>
      <c r="BK561" s="447"/>
      <c r="BL561" s="447"/>
      <c r="BM561" s="448"/>
      <c r="BN561" s="448"/>
    </row>
    <row r="562" spans="1:66" ht="11.25" customHeight="1">
      <c r="A562" s="469"/>
      <c r="B562" s="447"/>
      <c r="C562" s="447"/>
      <c r="D562" s="447"/>
      <c r="E562" s="447"/>
      <c r="F562" s="447"/>
      <c r="G562" s="447"/>
      <c r="H562" s="447"/>
      <c r="I562" s="447"/>
      <c r="J562" s="447"/>
      <c r="K562" s="447"/>
      <c r="L562" s="447"/>
      <c r="M562" s="447"/>
      <c r="N562" s="447"/>
      <c r="O562" s="447"/>
      <c r="P562" s="447"/>
      <c r="Q562" s="447"/>
      <c r="R562" s="447"/>
      <c r="S562" s="447"/>
      <c r="T562" s="447"/>
      <c r="U562" s="447"/>
      <c r="V562" s="447"/>
      <c r="W562" s="447"/>
      <c r="X562" s="447"/>
      <c r="Y562" s="447"/>
      <c r="Z562" s="447"/>
      <c r="AA562" s="447"/>
      <c r="AB562" s="447"/>
      <c r="AC562" s="447"/>
      <c r="AD562" s="447"/>
      <c r="AE562" s="447"/>
      <c r="AF562" s="448"/>
      <c r="AG562" s="448"/>
      <c r="AH562" s="448"/>
      <c r="AI562" s="447"/>
      <c r="AJ562" s="447"/>
      <c r="AK562" s="447"/>
      <c r="AL562" s="447"/>
      <c r="AM562" s="447"/>
      <c r="AN562" s="447"/>
      <c r="AO562" s="447"/>
      <c r="AP562" s="447"/>
      <c r="AQ562" s="447"/>
      <c r="AR562" s="447"/>
      <c r="AS562" s="447"/>
      <c r="AT562" s="447"/>
      <c r="AU562" s="447"/>
      <c r="AV562" s="447"/>
      <c r="AW562" s="447"/>
      <c r="AX562" s="447"/>
      <c r="AY562" s="447"/>
      <c r="AZ562" s="447"/>
      <c r="BA562" s="447"/>
      <c r="BB562" s="447"/>
      <c r="BC562" s="447"/>
      <c r="BD562" s="447"/>
      <c r="BE562" s="447"/>
      <c r="BF562" s="447"/>
      <c r="BG562" s="447"/>
      <c r="BH562" s="447"/>
      <c r="BI562" s="447"/>
      <c r="BJ562" s="447"/>
      <c r="BK562" s="447"/>
      <c r="BL562" s="447"/>
      <c r="BM562" s="448"/>
      <c r="BN562" s="448"/>
    </row>
    <row r="563" spans="1:66" ht="11.25" customHeight="1">
      <c r="A563" s="469"/>
      <c r="B563" s="447"/>
      <c r="C563" s="447"/>
      <c r="D563" s="447"/>
      <c r="E563" s="447"/>
      <c r="F563" s="447"/>
      <c r="G563" s="447"/>
      <c r="H563" s="447"/>
      <c r="I563" s="447"/>
      <c r="J563" s="447"/>
      <c r="K563" s="447"/>
      <c r="L563" s="447"/>
      <c r="M563" s="447"/>
      <c r="N563" s="447"/>
      <c r="O563" s="447"/>
      <c r="P563" s="447"/>
      <c r="Q563" s="447"/>
      <c r="R563" s="447"/>
      <c r="S563" s="447"/>
      <c r="T563" s="447"/>
      <c r="U563" s="447"/>
      <c r="V563" s="447"/>
      <c r="W563" s="447"/>
      <c r="X563" s="447"/>
      <c r="Y563" s="447"/>
      <c r="Z563" s="447"/>
      <c r="AA563" s="447"/>
      <c r="AB563" s="447"/>
      <c r="AC563" s="447"/>
      <c r="AD563" s="447"/>
      <c r="AE563" s="447"/>
      <c r="AF563" s="448"/>
      <c r="AG563" s="448"/>
      <c r="AH563" s="448"/>
      <c r="AI563" s="447"/>
      <c r="AJ563" s="447"/>
      <c r="AK563" s="447"/>
      <c r="AL563" s="447"/>
      <c r="AM563" s="447"/>
      <c r="AN563" s="447"/>
      <c r="AO563" s="447"/>
      <c r="AP563" s="447"/>
      <c r="AQ563" s="447"/>
      <c r="AR563" s="447"/>
      <c r="AS563" s="447"/>
      <c r="AT563" s="447"/>
      <c r="AU563" s="447"/>
      <c r="AV563" s="447"/>
      <c r="AW563" s="447"/>
      <c r="AX563" s="447"/>
      <c r="AY563" s="447"/>
      <c r="AZ563" s="447"/>
      <c r="BA563" s="447"/>
      <c r="BB563" s="447"/>
      <c r="BC563" s="447"/>
      <c r="BD563" s="447"/>
      <c r="BE563" s="447"/>
      <c r="BF563" s="447"/>
      <c r="BG563" s="447"/>
      <c r="BH563" s="447"/>
      <c r="BI563" s="447"/>
      <c r="BJ563" s="447"/>
      <c r="BK563" s="447"/>
      <c r="BL563" s="447"/>
      <c r="BM563" s="448"/>
      <c r="BN563" s="448"/>
    </row>
    <row r="564" spans="1:66" ht="11.25" customHeight="1">
      <c r="A564" s="469"/>
      <c r="B564" s="447"/>
      <c r="C564" s="447"/>
      <c r="D564" s="447"/>
      <c r="E564" s="447"/>
      <c r="F564" s="447"/>
      <c r="G564" s="447"/>
      <c r="H564" s="447"/>
      <c r="I564" s="447"/>
      <c r="J564" s="447"/>
      <c r="K564" s="447"/>
      <c r="L564" s="447"/>
      <c r="M564" s="447"/>
      <c r="N564" s="447"/>
      <c r="O564" s="447"/>
      <c r="P564" s="447"/>
      <c r="Q564" s="447"/>
      <c r="R564" s="447"/>
      <c r="S564" s="447"/>
      <c r="T564" s="447"/>
      <c r="U564" s="447"/>
      <c r="V564" s="447"/>
      <c r="W564" s="447"/>
      <c r="X564" s="447"/>
      <c r="Y564" s="447"/>
      <c r="Z564" s="447"/>
      <c r="AA564" s="447"/>
      <c r="AB564" s="447"/>
      <c r="AC564" s="447"/>
      <c r="AD564" s="447"/>
      <c r="AE564" s="447"/>
      <c r="AF564" s="448"/>
      <c r="AG564" s="448"/>
      <c r="AH564" s="448"/>
      <c r="AI564" s="447"/>
      <c r="AJ564" s="447"/>
      <c r="AK564" s="447"/>
      <c r="AL564" s="447"/>
      <c r="AM564" s="447"/>
      <c r="AN564" s="447"/>
      <c r="AO564" s="447"/>
      <c r="AP564" s="447"/>
      <c r="AQ564" s="447"/>
      <c r="AR564" s="447"/>
      <c r="AS564" s="447"/>
      <c r="AT564" s="447"/>
      <c r="AU564" s="447"/>
      <c r="AV564" s="447"/>
      <c r="AW564" s="447"/>
      <c r="AX564" s="447"/>
      <c r="AY564" s="447"/>
      <c r="AZ564" s="447"/>
      <c r="BA564" s="447"/>
      <c r="BB564" s="447"/>
      <c r="BC564" s="447"/>
      <c r="BD564" s="447"/>
      <c r="BE564" s="447"/>
      <c r="BF564" s="447"/>
      <c r="BG564" s="447"/>
      <c r="BH564" s="447"/>
      <c r="BI564" s="447"/>
      <c r="BJ564" s="447"/>
      <c r="BK564" s="447"/>
      <c r="BL564" s="447"/>
      <c r="BM564" s="448"/>
      <c r="BN564" s="448"/>
    </row>
    <row r="565" spans="1:66" ht="11.25" customHeight="1">
      <c r="A565" s="469"/>
      <c r="B565" s="447"/>
      <c r="C565" s="447"/>
      <c r="D565" s="447"/>
      <c r="E565" s="447"/>
      <c r="F565" s="447"/>
      <c r="G565" s="447"/>
      <c r="H565" s="447"/>
      <c r="I565" s="447"/>
      <c r="J565" s="447"/>
      <c r="K565" s="447"/>
      <c r="L565" s="447"/>
      <c r="M565" s="447"/>
      <c r="N565" s="447"/>
      <c r="O565" s="447"/>
      <c r="P565" s="447"/>
      <c r="Q565" s="447"/>
      <c r="R565" s="447"/>
      <c r="S565" s="447"/>
      <c r="T565" s="447"/>
      <c r="U565" s="447"/>
      <c r="V565" s="447"/>
      <c r="W565" s="447"/>
      <c r="X565" s="447"/>
      <c r="Y565" s="447"/>
      <c r="Z565" s="447"/>
      <c r="AA565" s="447"/>
      <c r="AB565" s="447"/>
      <c r="AC565" s="447"/>
      <c r="AD565" s="447"/>
      <c r="AE565" s="447"/>
      <c r="AF565" s="448"/>
      <c r="AG565" s="448"/>
      <c r="AH565" s="448"/>
      <c r="AI565" s="447"/>
      <c r="AJ565" s="447"/>
      <c r="AK565" s="447"/>
      <c r="AL565" s="447"/>
      <c r="AM565" s="447"/>
      <c r="AN565" s="447"/>
      <c r="AO565" s="447"/>
      <c r="AP565" s="447"/>
      <c r="AQ565" s="447"/>
      <c r="AR565" s="447"/>
      <c r="AS565" s="447"/>
      <c r="AT565" s="447"/>
      <c r="AU565" s="447"/>
      <c r="AV565" s="447"/>
      <c r="AW565" s="447"/>
      <c r="AX565" s="447"/>
      <c r="AY565" s="447"/>
      <c r="AZ565" s="447"/>
      <c r="BA565" s="447"/>
      <c r="BB565" s="447"/>
      <c r="BC565" s="447"/>
      <c r="BD565" s="447"/>
      <c r="BE565" s="447"/>
      <c r="BF565" s="447"/>
      <c r="BG565" s="447"/>
      <c r="BH565" s="447"/>
      <c r="BI565" s="447"/>
      <c r="BJ565" s="447"/>
      <c r="BK565" s="447"/>
      <c r="BL565" s="447"/>
      <c r="BM565" s="448"/>
      <c r="BN565" s="448"/>
    </row>
    <row r="566" spans="1:66" ht="11.25" customHeight="1">
      <c r="A566" s="469"/>
      <c r="B566" s="447"/>
      <c r="C566" s="447"/>
      <c r="D566" s="447"/>
      <c r="E566" s="447"/>
      <c r="F566" s="447"/>
      <c r="G566" s="447"/>
      <c r="H566" s="447"/>
      <c r="I566" s="447"/>
      <c r="J566" s="447"/>
      <c r="K566" s="447"/>
      <c r="L566" s="447"/>
      <c r="M566" s="447"/>
      <c r="N566" s="447"/>
      <c r="O566" s="447"/>
      <c r="P566" s="447"/>
      <c r="Q566" s="447"/>
      <c r="R566" s="447"/>
      <c r="S566" s="447"/>
      <c r="T566" s="447"/>
      <c r="U566" s="447"/>
      <c r="V566" s="447"/>
      <c r="W566" s="447"/>
      <c r="X566" s="447"/>
      <c r="Y566" s="447"/>
      <c r="Z566" s="447"/>
      <c r="AA566" s="447"/>
      <c r="AB566" s="447"/>
      <c r="AC566" s="447"/>
      <c r="AD566" s="447"/>
      <c r="AE566" s="447"/>
      <c r="AF566" s="448"/>
      <c r="AG566" s="448"/>
      <c r="AH566" s="448"/>
      <c r="AI566" s="447"/>
      <c r="AJ566" s="447"/>
      <c r="AK566" s="447"/>
      <c r="AL566" s="447"/>
      <c r="AM566" s="447"/>
      <c r="AN566" s="447"/>
      <c r="AO566" s="447"/>
      <c r="AP566" s="447"/>
      <c r="AQ566" s="447"/>
      <c r="AR566" s="447"/>
      <c r="AS566" s="447"/>
      <c r="AT566" s="447"/>
      <c r="AU566" s="447"/>
      <c r="AV566" s="447"/>
      <c r="AW566" s="447"/>
      <c r="AX566" s="447"/>
      <c r="AY566" s="447"/>
      <c r="AZ566" s="447"/>
      <c r="BA566" s="447"/>
      <c r="BB566" s="447"/>
      <c r="BC566" s="447"/>
      <c r="BD566" s="447"/>
      <c r="BE566" s="447"/>
      <c r="BF566" s="447"/>
      <c r="BG566" s="447"/>
      <c r="BH566" s="447"/>
      <c r="BI566" s="447"/>
      <c r="BJ566" s="447"/>
      <c r="BK566" s="447"/>
      <c r="BL566" s="447"/>
      <c r="BM566" s="448"/>
      <c r="BN566" s="448"/>
    </row>
    <row r="567" spans="1:66" ht="11.25" customHeight="1">
      <c r="A567" s="469"/>
      <c r="B567" s="447"/>
      <c r="C567" s="447"/>
      <c r="D567" s="447"/>
      <c r="E567" s="447"/>
      <c r="F567" s="447"/>
      <c r="G567" s="447"/>
      <c r="H567" s="447"/>
      <c r="I567" s="447"/>
      <c r="J567" s="447"/>
      <c r="K567" s="447"/>
      <c r="L567" s="447"/>
      <c r="M567" s="447"/>
      <c r="N567" s="447"/>
      <c r="O567" s="447"/>
      <c r="P567" s="447"/>
      <c r="Q567" s="447"/>
      <c r="R567" s="447"/>
      <c r="S567" s="447"/>
      <c r="T567" s="447"/>
      <c r="U567" s="447"/>
      <c r="V567" s="447"/>
      <c r="W567" s="447"/>
      <c r="X567" s="447"/>
      <c r="Y567" s="447"/>
      <c r="Z567" s="447"/>
      <c r="AA567" s="447"/>
      <c r="AB567" s="447"/>
      <c r="AC567" s="447"/>
      <c r="AD567" s="447"/>
      <c r="AE567" s="447"/>
      <c r="AF567" s="448"/>
      <c r="AG567" s="448"/>
      <c r="AH567" s="448"/>
      <c r="AI567" s="447"/>
      <c r="AJ567" s="447"/>
      <c r="AK567" s="447"/>
      <c r="AL567" s="447"/>
      <c r="AM567" s="447"/>
      <c r="AN567" s="447"/>
      <c r="AO567" s="447"/>
      <c r="AP567" s="447"/>
      <c r="AQ567" s="447"/>
      <c r="AR567" s="447"/>
      <c r="AS567" s="447"/>
      <c r="AT567" s="447"/>
      <c r="AU567" s="447"/>
      <c r="AV567" s="447"/>
      <c r="AW567" s="447"/>
      <c r="AX567" s="447"/>
      <c r="AY567" s="447"/>
      <c r="AZ567" s="447"/>
      <c r="BA567" s="447"/>
      <c r="BB567" s="447"/>
      <c r="BC567" s="447"/>
      <c r="BD567" s="447"/>
      <c r="BE567" s="447"/>
      <c r="BF567" s="447"/>
      <c r="BG567" s="447"/>
      <c r="BH567" s="447"/>
      <c r="BI567" s="447"/>
      <c r="BJ567" s="447"/>
      <c r="BK567" s="447"/>
      <c r="BL567" s="447"/>
      <c r="BM567" s="448"/>
      <c r="BN567" s="448"/>
    </row>
    <row r="568" spans="1:66" ht="11.25" customHeight="1">
      <c r="A568" s="469"/>
      <c r="B568" s="447"/>
      <c r="C568" s="447"/>
      <c r="D568" s="447"/>
      <c r="E568" s="447"/>
      <c r="F568" s="447"/>
      <c r="G568" s="447"/>
      <c r="H568" s="447"/>
      <c r="I568" s="447"/>
      <c r="J568" s="447"/>
      <c r="K568" s="447"/>
      <c r="L568" s="447"/>
      <c r="M568" s="447"/>
      <c r="N568" s="447"/>
      <c r="O568" s="447"/>
      <c r="P568" s="447"/>
      <c r="Q568" s="447"/>
      <c r="R568" s="447"/>
      <c r="S568" s="447"/>
      <c r="T568" s="447"/>
      <c r="U568" s="447"/>
      <c r="V568" s="447"/>
      <c r="W568" s="447"/>
      <c r="X568" s="447"/>
      <c r="Y568" s="447"/>
      <c r="Z568" s="447"/>
      <c r="AA568" s="447"/>
      <c r="AB568" s="447"/>
      <c r="AC568" s="447"/>
      <c r="AD568" s="447"/>
      <c r="AE568" s="447"/>
      <c r="AF568" s="448"/>
      <c r="AG568" s="448"/>
      <c r="AH568" s="448"/>
      <c r="AI568" s="447"/>
      <c r="AJ568" s="447"/>
      <c r="AK568" s="447"/>
      <c r="AL568" s="447"/>
      <c r="AM568" s="447"/>
      <c r="AN568" s="447"/>
      <c r="AO568" s="447"/>
      <c r="AP568" s="447"/>
      <c r="AQ568" s="447"/>
      <c r="AR568" s="447"/>
      <c r="AS568" s="447"/>
      <c r="AT568" s="447"/>
      <c r="AU568" s="447"/>
      <c r="AV568" s="447"/>
      <c r="AW568" s="447"/>
      <c r="AX568" s="447"/>
      <c r="AY568" s="447"/>
      <c r="AZ568" s="447"/>
      <c r="BA568" s="447"/>
      <c r="BB568" s="447"/>
      <c r="BC568" s="447"/>
      <c r="BD568" s="447"/>
      <c r="BE568" s="447"/>
      <c r="BF568" s="447"/>
      <c r="BG568" s="447"/>
      <c r="BH568" s="447"/>
      <c r="BI568" s="447"/>
      <c r="BJ568" s="447"/>
      <c r="BK568" s="447"/>
      <c r="BL568" s="447"/>
      <c r="BM568" s="448"/>
      <c r="BN568" s="448"/>
    </row>
    <row r="569" spans="1:66" ht="11.25" customHeight="1">
      <c r="A569" s="469"/>
      <c r="B569" s="447"/>
      <c r="C569" s="447"/>
      <c r="D569" s="447"/>
      <c r="E569" s="447"/>
      <c r="F569" s="447"/>
      <c r="G569" s="447"/>
      <c r="H569" s="447"/>
      <c r="I569" s="447"/>
      <c r="J569" s="447"/>
      <c r="K569" s="447"/>
      <c r="L569" s="447"/>
      <c r="M569" s="447"/>
      <c r="N569" s="447"/>
      <c r="O569" s="447"/>
      <c r="P569" s="447"/>
      <c r="Q569" s="447"/>
      <c r="R569" s="447"/>
      <c r="S569" s="447"/>
      <c r="T569" s="447"/>
      <c r="U569" s="447"/>
      <c r="V569" s="447"/>
      <c r="W569" s="447"/>
      <c r="X569" s="447"/>
      <c r="Y569" s="447"/>
      <c r="Z569" s="447"/>
      <c r="AA569" s="447"/>
      <c r="AB569" s="447"/>
      <c r="AC569" s="447"/>
      <c r="AD569" s="447"/>
      <c r="AE569" s="447"/>
      <c r="AF569" s="448"/>
      <c r="AG569" s="448"/>
      <c r="AH569" s="448"/>
      <c r="AI569" s="447"/>
      <c r="AJ569" s="447"/>
      <c r="AK569" s="447"/>
      <c r="AL569" s="447"/>
      <c r="AM569" s="447"/>
      <c r="AN569" s="447"/>
      <c r="AO569" s="447"/>
      <c r="AP569" s="447"/>
      <c r="AQ569" s="447"/>
      <c r="AR569" s="447"/>
      <c r="AS569" s="447"/>
      <c r="AT569" s="447"/>
      <c r="AU569" s="447"/>
      <c r="AV569" s="447"/>
      <c r="AW569" s="447"/>
      <c r="AX569" s="447"/>
      <c r="AY569" s="447"/>
      <c r="AZ569" s="447"/>
      <c r="BA569" s="447"/>
      <c r="BB569" s="447"/>
      <c r="BC569" s="447"/>
      <c r="BD569" s="447"/>
      <c r="BE569" s="447"/>
      <c r="BF569" s="447"/>
      <c r="BG569" s="447"/>
      <c r="BH569" s="447"/>
      <c r="BI569" s="447"/>
      <c r="BJ569" s="447"/>
      <c r="BK569" s="447"/>
      <c r="BL569" s="447"/>
      <c r="BM569" s="448"/>
      <c r="BN569" s="448"/>
    </row>
    <row r="570" spans="1:66" ht="11.25" customHeight="1">
      <c r="A570" s="469"/>
      <c r="B570" s="447"/>
      <c r="C570" s="447"/>
      <c r="D570" s="447"/>
      <c r="E570" s="447"/>
      <c r="F570" s="447"/>
      <c r="G570" s="447"/>
      <c r="H570" s="447"/>
      <c r="I570" s="447"/>
      <c r="J570" s="447"/>
      <c r="K570" s="447"/>
      <c r="L570" s="447"/>
      <c r="M570" s="447"/>
      <c r="N570" s="447"/>
      <c r="O570" s="447"/>
      <c r="P570" s="447"/>
      <c r="Q570" s="447"/>
      <c r="R570" s="447"/>
      <c r="S570" s="447"/>
      <c r="T570" s="447"/>
      <c r="U570" s="447"/>
      <c r="V570" s="447"/>
      <c r="W570" s="447"/>
      <c r="X570" s="447"/>
      <c r="Y570" s="447"/>
      <c r="Z570" s="447"/>
      <c r="AA570" s="447"/>
      <c r="AB570" s="447"/>
      <c r="AC570" s="447"/>
      <c r="AD570" s="447"/>
      <c r="AE570" s="447"/>
      <c r="AF570" s="448"/>
      <c r="AG570" s="448"/>
      <c r="AH570" s="448"/>
      <c r="AI570" s="447"/>
      <c r="AJ570" s="447"/>
      <c r="AK570" s="447"/>
      <c r="AL570" s="447"/>
      <c r="AM570" s="447"/>
      <c r="AN570" s="447"/>
      <c r="AO570" s="447"/>
      <c r="AP570" s="447"/>
      <c r="AQ570" s="447"/>
      <c r="AR570" s="447"/>
      <c r="AS570" s="447"/>
      <c r="AT570" s="447"/>
      <c r="AU570" s="447"/>
      <c r="AV570" s="447"/>
      <c r="AW570" s="447"/>
      <c r="AX570" s="447"/>
      <c r="AY570" s="447"/>
      <c r="AZ570" s="447"/>
      <c r="BA570" s="447"/>
      <c r="BB570" s="447"/>
      <c r="BC570" s="447"/>
      <c r="BD570" s="447"/>
      <c r="BE570" s="447"/>
      <c r="BF570" s="447"/>
      <c r="BG570" s="447"/>
      <c r="BH570" s="447"/>
      <c r="BI570" s="447"/>
      <c r="BJ570" s="447"/>
      <c r="BK570" s="447"/>
      <c r="BL570" s="447"/>
      <c r="BM570" s="448"/>
      <c r="BN570" s="448"/>
    </row>
    <row r="571" spans="1:66" ht="11.25" customHeight="1">
      <c r="A571" s="469"/>
      <c r="B571" s="447"/>
      <c r="C571" s="447"/>
      <c r="D571" s="447"/>
      <c r="E571" s="447"/>
      <c r="F571" s="447"/>
      <c r="G571" s="447"/>
      <c r="H571" s="447"/>
      <c r="I571" s="447"/>
      <c r="J571" s="447"/>
      <c r="K571" s="447"/>
      <c r="L571" s="447"/>
      <c r="M571" s="447"/>
      <c r="N571" s="447"/>
      <c r="O571" s="447"/>
      <c r="P571" s="447"/>
      <c r="Q571" s="447"/>
      <c r="R571" s="447"/>
      <c r="S571" s="447"/>
      <c r="T571" s="447"/>
      <c r="U571" s="447"/>
      <c r="V571" s="447"/>
      <c r="W571" s="447"/>
      <c r="X571" s="447"/>
      <c r="Y571" s="447"/>
      <c r="Z571" s="447"/>
      <c r="AA571" s="447"/>
      <c r="AB571" s="447"/>
      <c r="AC571" s="447"/>
      <c r="AD571" s="447"/>
      <c r="AE571" s="447"/>
      <c r="AF571" s="448"/>
      <c r="AG571" s="448"/>
      <c r="AH571" s="448"/>
      <c r="AI571" s="447"/>
      <c r="AJ571" s="447"/>
      <c r="AK571" s="447"/>
      <c r="AL571" s="447"/>
      <c r="AM571" s="447"/>
      <c r="AN571" s="447"/>
      <c r="AO571" s="447"/>
      <c r="AP571" s="447"/>
      <c r="AQ571" s="447"/>
      <c r="AR571" s="447"/>
      <c r="AS571" s="447"/>
      <c r="AT571" s="447"/>
      <c r="AU571" s="447"/>
      <c r="AV571" s="447"/>
      <c r="AW571" s="447"/>
      <c r="AX571" s="447"/>
      <c r="AY571" s="447"/>
      <c r="AZ571" s="447"/>
      <c r="BA571" s="447"/>
      <c r="BB571" s="447"/>
      <c r="BC571" s="447"/>
      <c r="BD571" s="447"/>
      <c r="BE571" s="447"/>
      <c r="BF571" s="447"/>
      <c r="BG571" s="447"/>
      <c r="BH571" s="447"/>
      <c r="BI571" s="447"/>
      <c r="BJ571" s="447"/>
      <c r="BK571" s="447"/>
      <c r="BL571" s="447"/>
      <c r="BM571" s="448"/>
      <c r="BN571" s="448"/>
    </row>
    <row r="572" spans="1:66" ht="11.25" customHeight="1">
      <c r="A572" s="469"/>
      <c r="B572" s="447"/>
      <c r="C572" s="447"/>
      <c r="D572" s="447"/>
      <c r="E572" s="447"/>
      <c r="F572" s="447"/>
      <c r="G572" s="447"/>
      <c r="H572" s="447"/>
      <c r="I572" s="447"/>
      <c r="J572" s="447"/>
      <c r="K572" s="447"/>
      <c r="L572" s="447"/>
      <c r="M572" s="447"/>
      <c r="N572" s="447"/>
      <c r="O572" s="447"/>
      <c r="P572" s="447"/>
      <c r="Q572" s="447"/>
      <c r="R572" s="447"/>
      <c r="S572" s="447"/>
      <c r="T572" s="447"/>
      <c r="U572" s="447"/>
      <c r="V572" s="447"/>
      <c r="W572" s="447"/>
      <c r="X572" s="447"/>
      <c r="Y572" s="447"/>
      <c r="Z572" s="447"/>
      <c r="AA572" s="447"/>
      <c r="AB572" s="447"/>
      <c r="AC572" s="447"/>
      <c r="AD572" s="447"/>
      <c r="AE572" s="447"/>
      <c r="AF572" s="448"/>
      <c r="AG572" s="448"/>
      <c r="AH572" s="448"/>
      <c r="AI572" s="447"/>
      <c r="AJ572" s="447"/>
      <c r="AK572" s="447"/>
      <c r="AL572" s="447"/>
      <c r="AM572" s="447"/>
      <c r="AN572" s="447"/>
      <c r="AO572" s="447"/>
      <c r="AP572" s="447"/>
      <c r="AQ572" s="447"/>
      <c r="AR572" s="447"/>
      <c r="AS572" s="447"/>
      <c r="AT572" s="447"/>
      <c r="AU572" s="447"/>
      <c r="AV572" s="447"/>
      <c r="AW572" s="447"/>
      <c r="AX572" s="447"/>
      <c r="AY572" s="447"/>
      <c r="AZ572" s="447"/>
      <c r="BA572" s="447"/>
      <c r="BB572" s="447"/>
      <c r="BC572" s="447"/>
      <c r="BD572" s="447"/>
      <c r="BE572" s="447"/>
      <c r="BF572" s="447"/>
      <c r="BG572" s="447"/>
      <c r="BH572" s="447"/>
      <c r="BI572" s="447"/>
      <c r="BJ572" s="447"/>
      <c r="BK572" s="447"/>
      <c r="BL572" s="447"/>
      <c r="BM572" s="448"/>
      <c r="BN572" s="448"/>
    </row>
    <row r="573" spans="1:66" ht="11.25" customHeight="1">
      <c r="A573" s="469"/>
      <c r="B573" s="447"/>
      <c r="C573" s="447"/>
      <c r="D573" s="447"/>
      <c r="E573" s="447"/>
      <c r="F573" s="447"/>
      <c r="G573" s="447"/>
      <c r="H573" s="447"/>
      <c r="I573" s="447"/>
      <c r="J573" s="447"/>
      <c r="K573" s="447"/>
      <c r="L573" s="447"/>
      <c r="M573" s="447"/>
      <c r="N573" s="447"/>
      <c r="O573" s="447"/>
      <c r="P573" s="447"/>
      <c r="Q573" s="447"/>
      <c r="R573" s="447"/>
      <c r="S573" s="447"/>
      <c r="T573" s="447"/>
      <c r="U573" s="447"/>
      <c r="V573" s="447"/>
      <c r="W573" s="447"/>
      <c r="X573" s="447"/>
      <c r="Y573" s="447"/>
      <c r="Z573" s="447"/>
      <c r="AA573" s="447"/>
      <c r="AB573" s="447"/>
      <c r="AC573" s="447"/>
      <c r="AD573" s="447"/>
      <c r="AE573" s="447"/>
      <c r="AF573" s="448"/>
      <c r="AG573" s="448"/>
      <c r="AH573" s="448"/>
      <c r="AI573" s="447"/>
      <c r="AJ573" s="447"/>
      <c r="AK573" s="447"/>
      <c r="AL573" s="447"/>
      <c r="AM573" s="447"/>
      <c r="AN573" s="447"/>
      <c r="AO573" s="447"/>
      <c r="AP573" s="447"/>
      <c r="AQ573" s="447"/>
      <c r="AR573" s="447"/>
      <c r="AS573" s="447"/>
      <c r="AT573" s="447"/>
      <c r="AU573" s="447"/>
      <c r="AV573" s="447"/>
      <c r="AW573" s="447"/>
      <c r="AX573" s="447"/>
      <c r="AY573" s="447"/>
      <c r="AZ573" s="447"/>
      <c r="BA573" s="447"/>
      <c r="BB573" s="447"/>
      <c r="BC573" s="447"/>
      <c r="BD573" s="447"/>
      <c r="BE573" s="447"/>
      <c r="BF573" s="447"/>
      <c r="BG573" s="447"/>
      <c r="BH573" s="447"/>
      <c r="BI573" s="447"/>
      <c r="BJ573" s="447"/>
      <c r="BK573" s="447"/>
      <c r="BL573" s="447"/>
      <c r="BM573" s="448"/>
      <c r="BN573" s="448"/>
    </row>
    <row r="574" spans="1:66" ht="11.25" customHeight="1">
      <c r="A574" s="469"/>
      <c r="B574" s="447"/>
      <c r="C574" s="447"/>
      <c r="D574" s="447"/>
      <c r="E574" s="447"/>
      <c r="F574" s="447"/>
      <c r="G574" s="447"/>
      <c r="H574" s="447"/>
      <c r="I574" s="447"/>
      <c r="J574" s="447"/>
      <c r="K574" s="447"/>
      <c r="L574" s="447"/>
      <c r="M574" s="447"/>
      <c r="N574" s="447"/>
      <c r="O574" s="447"/>
      <c r="P574" s="447"/>
      <c r="Q574" s="447"/>
      <c r="R574" s="447"/>
      <c r="S574" s="447"/>
      <c r="T574" s="447"/>
      <c r="U574" s="447"/>
      <c r="V574" s="447"/>
      <c r="W574" s="447"/>
      <c r="X574" s="447"/>
      <c r="Y574" s="447"/>
      <c r="Z574" s="447"/>
      <c r="AA574" s="447"/>
      <c r="AB574" s="447"/>
      <c r="AC574" s="447"/>
      <c r="AD574" s="447"/>
      <c r="AE574" s="447"/>
      <c r="AF574" s="448"/>
      <c r="AG574" s="448"/>
      <c r="AH574" s="448"/>
      <c r="AI574" s="447"/>
      <c r="AJ574" s="447"/>
      <c r="AK574" s="447"/>
      <c r="AL574" s="447"/>
      <c r="AM574" s="447"/>
      <c r="AN574" s="447"/>
      <c r="AO574" s="447"/>
      <c r="AP574" s="447"/>
      <c r="AQ574" s="447"/>
      <c r="AR574" s="447"/>
      <c r="AS574" s="447"/>
      <c r="AT574" s="447"/>
      <c r="AU574" s="447"/>
      <c r="AV574" s="447"/>
      <c r="AW574" s="447"/>
      <c r="AX574" s="447"/>
      <c r="AY574" s="447"/>
      <c r="AZ574" s="447"/>
      <c r="BA574" s="447"/>
      <c r="BB574" s="447"/>
      <c r="BC574" s="447"/>
      <c r="BD574" s="447"/>
      <c r="BE574" s="447"/>
      <c r="BF574" s="447"/>
      <c r="BG574" s="447"/>
      <c r="BH574" s="447"/>
      <c r="BI574" s="447"/>
      <c r="BJ574" s="447"/>
      <c r="BK574" s="447"/>
      <c r="BL574" s="447"/>
      <c r="BM574" s="448"/>
      <c r="BN574" s="448"/>
    </row>
    <row r="575" spans="1:66" ht="11.25" customHeight="1">
      <c r="A575" s="469"/>
      <c r="B575" s="447"/>
      <c r="C575" s="447"/>
      <c r="D575" s="447"/>
      <c r="E575" s="447"/>
      <c r="F575" s="447"/>
      <c r="G575" s="447"/>
      <c r="H575" s="447"/>
      <c r="I575" s="447"/>
      <c r="J575" s="447"/>
      <c r="K575" s="447"/>
      <c r="L575" s="447"/>
      <c r="M575" s="447"/>
      <c r="N575" s="447"/>
      <c r="O575" s="447"/>
      <c r="P575" s="447"/>
      <c r="Q575" s="447"/>
      <c r="R575" s="447"/>
      <c r="S575" s="447"/>
      <c r="T575" s="447"/>
      <c r="U575" s="447"/>
      <c r="V575" s="447"/>
      <c r="W575" s="447"/>
      <c r="X575" s="447"/>
      <c r="Y575" s="447"/>
      <c r="Z575" s="447"/>
      <c r="AA575" s="447"/>
      <c r="AB575" s="447"/>
      <c r="AC575" s="447"/>
      <c r="AD575" s="447"/>
      <c r="AE575" s="447"/>
      <c r="AF575" s="448"/>
      <c r="AG575" s="448"/>
      <c r="AH575" s="448"/>
      <c r="AI575" s="447"/>
      <c r="AJ575" s="447"/>
      <c r="AK575" s="447"/>
      <c r="AL575" s="447"/>
      <c r="AM575" s="447"/>
      <c r="AN575" s="447"/>
      <c r="AO575" s="447"/>
      <c r="AP575" s="447"/>
      <c r="AQ575" s="447"/>
      <c r="AR575" s="447"/>
      <c r="AS575" s="447"/>
      <c r="AT575" s="447"/>
      <c r="AU575" s="447"/>
      <c r="AV575" s="447"/>
      <c r="AW575" s="447"/>
      <c r="AX575" s="447"/>
      <c r="AY575" s="447"/>
      <c r="AZ575" s="447"/>
      <c r="BA575" s="447"/>
      <c r="BB575" s="447"/>
      <c r="BC575" s="447"/>
      <c r="BD575" s="447"/>
      <c r="BE575" s="447"/>
      <c r="BF575" s="447"/>
      <c r="BG575" s="447"/>
      <c r="BH575" s="447"/>
      <c r="BI575" s="447"/>
      <c r="BJ575" s="447"/>
      <c r="BK575" s="447"/>
      <c r="BL575" s="447"/>
      <c r="BM575" s="448"/>
      <c r="BN575" s="448"/>
    </row>
    <row r="576" spans="1:66" ht="11.25" customHeight="1">
      <c r="A576" s="469"/>
      <c r="B576" s="447"/>
      <c r="C576" s="447"/>
      <c r="D576" s="447"/>
      <c r="E576" s="447"/>
      <c r="F576" s="447"/>
      <c r="G576" s="447"/>
      <c r="H576" s="447"/>
      <c r="I576" s="447"/>
      <c r="J576" s="447"/>
      <c r="K576" s="447"/>
      <c r="L576" s="447"/>
      <c r="M576" s="447"/>
      <c r="N576" s="447"/>
      <c r="O576" s="447"/>
      <c r="P576" s="447"/>
      <c r="Q576" s="447"/>
      <c r="R576" s="447"/>
      <c r="S576" s="447"/>
      <c r="T576" s="447"/>
      <c r="U576" s="447"/>
      <c r="V576" s="447"/>
      <c r="W576" s="447"/>
      <c r="X576" s="447"/>
      <c r="Y576" s="447"/>
      <c r="Z576" s="447"/>
      <c r="AA576" s="447"/>
      <c r="AB576" s="447"/>
      <c r="AC576" s="447"/>
      <c r="AD576" s="447"/>
      <c r="AE576" s="447"/>
      <c r="AF576" s="448"/>
      <c r="AG576" s="448"/>
      <c r="AH576" s="448"/>
      <c r="AI576" s="447"/>
      <c r="AJ576" s="447"/>
      <c r="AK576" s="447"/>
      <c r="AL576" s="447"/>
      <c r="AM576" s="447"/>
      <c r="AN576" s="447"/>
      <c r="AO576" s="447"/>
      <c r="AP576" s="447"/>
      <c r="AQ576" s="447"/>
      <c r="AR576" s="447"/>
      <c r="AS576" s="447"/>
      <c r="AT576" s="447"/>
      <c r="AU576" s="447"/>
      <c r="AV576" s="447"/>
      <c r="AW576" s="447"/>
      <c r="AX576" s="447"/>
      <c r="AY576" s="447"/>
      <c r="AZ576" s="447"/>
      <c r="BA576" s="447"/>
      <c r="BB576" s="447"/>
      <c r="BC576" s="447"/>
      <c r="BD576" s="447"/>
      <c r="BE576" s="447"/>
      <c r="BF576" s="447"/>
      <c r="BG576" s="447"/>
      <c r="BH576" s="447"/>
      <c r="BI576" s="447"/>
      <c r="BJ576" s="447"/>
      <c r="BK576" s="447"/>
      <c r="BL576" s="447"/>
      <c r="BM576" s="448"/>
      <c r="BN576" s="448"/>
    </row>
    <row r="577" spans="1:66" ht="11.25" customHeight="1">
      <c r="A577" s="469"/>
      <c r="B577" s="447"/>
      <c r="C577" s="447"/>
      <c r="D577" s="447"/>
      <c r="E577" s="447"/>
      <c r="F577" s="447"/>
      <c r="G577" s="447"/>
      <c r="H577" s="447"/>
      <c r="I577" s="447"/>
      <c r="J577" s="447"/>
      <c r="K577" s="447"/>
      <c r="L577" s="447"/>
      <c r="M577" s="447"/>
      <c r="N577" s="447"/>
      <c r="O577" s="447"/>
      <c r="P577" s="447"/>
      <c r="Q577" s="447"/>
      <c r="R577" s="447"/>
      <c r="S577" s="447"/>
      <c r="T577" s="447"/>
      <c r="U577" s="447"/>
      <c r="V577" s="447"/>
      <c r="W577" s="447"/>
      <c r="X577" s="447"/>
      <c r="Y577" s="447"/>
      <c r="Z577" s="447"/>
      <c r="AA577" s="447"/>
      <c r="AB577" s="447"/>
      <c r="AC577" s="447"/>
      <c r="AD577" s="447"/>
      <c r="AE577" s="447"/>
      <c r="AF577" s="448"/>
      <c r="AG577" s="448"/>
      <c r="AH577" s="448"/>
      <c r="AI577" s="447"/>
      <c r="AJ577" s="447"/>
      <c r="AK577" s="447"/>
      <c r="AL577" s="447"/>
      <c r="AM577" s="447"/>
      <c r="AN577" s="447"/>
      <c r="AO577" s="447"/>
      <c r="AP577" s="447"/>
      <c r="AQ577" s="447"/>
      <c r="AR577" s="447"/>
      <c r="AS577" s="447"/>
      <c r="AT577" s="447"/>
      <c r="AU577" s="447"/>
      <c r="AV577" s="447"/>
      <c r="AW577" s="447"/>
      <c r="AX577" s="447"/>
      <c r="AY577" s="447"/>
      <c r="AZ577" s="447"/>
      <c r="BA577" s="447"/>
      <c r="BB577" s="447"/>
      <c r="BC577" s="447"/>
      <c r="BD577" s="447"/>
      <c r="BE577" s="447"/>
      <c r="BF577" s="447"/>
      <c r="BG577" s="447"/>
      <c r="BH577" s="447"/>
      <c r="BI577" s="447"/>
      <c r="BJ577" s="447"/>
      <c r="BK577" s="447"/>
      <c r="BL577" s="447"/>
      <c r="BM577" s="448"/>
      <c r="BN577" s="448"/>
    </row>
    <row r="578" spans="1:66" ht="11.25" customHeight="1">
      <c r="A578" s="469"/>
      <c r="B578" s="447"/>
      <c r="C578" s="447"/>
      <c r="D578" s="447"/>
      <c r="E578" s="447"/>
      <c r="F578" s="447"/>
      <c r="G578" s="447"/>
      <c r="H578" s="447"/>
      <c r="I578" s="447"/>
      <c r="J578" s="447"/>
      <c r="K578" s="447"/>
      <c r="L578" s="447"/>
      <c r="M578" s="447"/>
      <c r="N578" s="447"/>
      <c r="O578" s="447"/>
      <c r="P578" s="447"/>
      <c r="Q578" s="447"/>
      <c r="R578" s="447"/>
      <c r="S578" s="447"/>
      <c r="T578" s="447"/>
      <c r="U578" s="447"/>
      <c r="V578" s="447"/>
      <c r="W578" s="447"/>
      <c r="X578" s="447"/>
      <c r="Y578" s="447"/>
      <c r="Z578" s="447"/>
      <c r="AA578" s="447"/>
      <c r="AB578" s="447"/>
      <c r="AC578" s="447"/>
      <c r="AD578" s="447"/>
      <c r="AE578" s="447"/>
      <c r="AF578" s="448"/>
      <c r="AG578" s="448"/>
      <c r="AH578" s="448"/>
      <c r="AI578" s="447"/>
      <c r="AJ578" s="447"/>
      <c r="AK578" s="447"/>
      <c r="AL578" s="447"/>
      <c r="AM578" s="447"/>
      <c r="AN578" s="447"/>
      <c r="AO578" s="447"/>
      <c r="AP578" s="447"/>
      <c r="AQ578" s="447"/>
      <c r="AR578" s="447"/>
      <c r="AS578" s="447"/>
      <c r="AT578" s="447"/>
      <c r="AU578" s="447"/>
      <c r="AV578" s="447"/>
      <c r="AW578" s="447"/>
      <c r="AX578" s="447"/>
      <c r="AY578" s="447"/>
      <c r="AZ578" s="447"/>
      <c r="BA578" s="447"/>
      <c r="BB578" s="447"/>
      <c r="BC578" s="447"/>
      <c r="BD578" s="447"/>
      <c r="BE578" s="447"/>
      <c r="BF578" s="447"/>
      <c r="BG578" s="447"/>
      <c r="BH578" s="447"/>
      <c r="BI578" s="447"/>
      <c r="BJ578" s="447"/>
      <c r="BK578" s="447"/>
      <c r="BL578" s="447"/>
      <c r="BM578" s="448"/>
      <c r="BN578" s="448"/>
    </row>
    <row r="579" spans="1:66" ht="11.25" customHeight="1">
      <c r="A579" s="469"/>
      <c r="B579" s="447"/>
      <c r="C579" s="447"/>
      <c r="D579" s="447"/>
      <c r="E579" s="447"/>
      <c r="F579" s="447"/>
      <c r="G579" s="447"/>
      <c r="H579" s="447"/>
      <c r="I579" s="447"/>
      <c r="J579" s="447"/>
      <c r="K579" s="447"/>
      <c r="L579" s="447"/>
      <c r="M579" s="447"/>
      <c r="N579" s="447"/>
      <c r="O579" s="447"/>
      <c r="P579" s="447"/>
      <c r="Q579" s="447"/>
      <c r="R579" s="447"/>
      <c r="S579" s="447"/>
      <c r="T579" s="447"/>
      <c r="U579" s="447"/>
      <c r="V579" s="447"/>
      <c r="W579" s="447"/>
      <c r="X579" s="447"/>
      <c r="Y579" s="447"/>
      <c r="Z579" s="447"/>
      <c r="AA579" s="447"/>
      <c r="AB579" s="447"/>
      <c r="AC579" s="447"/>
      <c r="AD579" s="447"/>
      <c r="AE579" s="447"/>
      <c r="AF579" s="448"/>
      <c r="AG579" s="448"/>
      <c r="AH579" s="448"/>
      <c r="AI579" s="447"/>
      <c r="AJ579" s="447"/>
      <c r="AK579" s="447"/>
      <c r="AL579" s="447"/>
      <c r="AM579" s="447"/>
      <c r="AN579" s="447"/>
      <c r="AO579" s="447"/>
      <c r="AP579" s="447"/>
      <c r="AQ579" s="447"/>
      <c r="AR579" s="447"/>
      <c r="AS579" s="447"/>
      <c r="AT579" s="447"/>
      <c r="AU579" s="447"/>
      <c r="AV579" s="447"/>
      <c r="AW579" s="447"/>
      <c r="AX579" s="447"/>
      <c r="AY579" s="447"/>
      <c r="AZ579" s="447"/>
      <c r="BA579" s="447"/>
      <c r="BB579" s="447"/>
      <c r="BC579" s="447"/>
      <c r="BD579" s="447"/>
      <c r="BE579" s="447"/>
      <c r="BF579" s="447"/>
      <c r="BG579" s="447"/>
      <c r="BH579" s="447"/>
      <c r="BI579" s="447"/>
      <c r="BJ579" s="447"/>
      <c r="BK579" s="447"/>
      <c r="BL579" s="447"/>
      <c r="BM579" s="448"/>
      <c r="BN579" s="448"/>
    </row>
    <row r="580" spans="1:66" ht="11.25" customHeight="1">
      <c r="A580" s="469"/>
      <c r="B580" s="447"/>
      <c r="C580" s="447"/>
      <c r="D580" s="447"/>
      <c r="E580" s="447"/>
      <c r="F580" s="447"/>
      <c r="G580" s="447"/>
      <c r="H580" s="447"/>
      <c r="I580" s="447"/>
      <c r="J580" s="447"/>
      <c r="K580" s="447"/>
      <c r="L580" s="447"/>
      <c r="M580" s="447"/>
      <c r="N580" s="447"/>
      <c r="O580" s="447"/>
      <c r="P580" s="447"/>
      <c r="Q580" s="447"/>
      <c r="R580" s="447"/>
      <c r="S580" s="447"/>
      <c r="T580" s="447"/>
      <c r="U580" s="447"/>
      <c r="V580" s="447"/>
      <c r="W580" s="447"/>
      <c r="X580" s="447"/>
      <c r="Y580" s="447"/>
      <c r="Z580" s="447"/>
      <c r="AA580" s="447"/>
      <c r="AB580" s="447"/>
      <c r="AC580" s="447"/>
      <c r="AD580" s="447"/>
      <c r="AE580" s="447"/>
      <c r="AF580" s="448"/>
      <c r="AG580" s="448"/>
      <c r="AH580" s="448"/>
      <c r="AI580" s="447"/>
      <c r="AJ580" s="447"/>
      <c r="AK580" s="447"/>
      <c r="AL580" s="447"/>
      <c r="AM580" s="447"/>
      <c r="AN580" s="447"/>
      <c r="AO580" s="447"/>
      <c r="AP580" s="447"/>
      <c r="AQ580" s="447"/>
      <c r="AR580" s="447"/>
      <c r="AS580" s="447"/>
      <c r="AT580" s="447"/>
      <c r="AU580" s="447"/>
      <c r="AV580" s="447"/>
      <c r="AW580" s="447"/>
      <c r="AX580" s="447"/>
      <c r="AY580" s="447"/>
      <c r="AZ580" s="447"/>
      <c r="BA580" s="447"/>
      <c r="BB580" s="447"/>
      <c r="BC580" s="447"/>
      <c r="BD580" s="447"/>
      <c r="BE580" s="447"/>
      <c r="BF580" s="447"/>
      <c r="BG580" s="447"/>
      <c r="BH580" s="447"/>
      <c r="BI580" s="447"/>
      <c r="BJ580" s="447"/>
      <c r="BK580" s="447"/>
      <c r="BL580" s="447"/>
      <c r="BM580" s="448"/>
      <c r="BN580" s="448"/>
    </row>
    <row r="581" spans="1:66" ht="11.25" customHeight="1">
      <c r="A581" s="469"/>
      <c r="B581" s="447"/>
      <c r="C581" s="447"/>
      <c r="D581" s="447"/>
      <c r="E581" s="447"/>
      <c r="F581" s="447"/>
      <c r="G581" s="447"/>
      <c r="H581" s="447"/>
      <c r="I581" s="447"/>
      <c r="J581" s="447"/>
      <c r="K581" s="447"/>
      <c r="L581" s="447"/>
      <c r="M581" s="447"/>
      <c r="N581" s="447"/>
      <c r="O581" s="447"/>
      <c r="P581" s="447"/>
      <c r="Q581" s="447"/>
      <c r="R581" s="447"/>
      <c r="S581" s="447"/>
      <c r="T581" s="447"/>
      <c r="U581" s="447"/>
      <c r="V581" s="447"/>
      <c r="W581" s="447"/>
      <c r="X581" s="447"/>
      <c r="Y581" s="447"/>
      <c r="Z581" s="447"/>
      <c r="AA581" s="447"/>
      <c r="AB581" s="447"/>
      <c r="AC581" s="447"/>
      <c r="AD581" s="447"/>
      <c r="AE581" s="447"/>
      <c r="AF581" s="448"/>
      <c r="AG581" s="448"/>
      <c r="AH581" s="448"/>
      <c r="AI581" s="447"/>
      <c r="AJ581" s="447"/>
      <c r="AK581" s="447"/>
      <c r="AL581" s="447"/>
      <c r="AM581" s="447"/>
      <c r="AN581" s="447"/>
      <c r="AO581" s="447"/>
      <c r="AP581" s="447"/>
      <c r="AQ581" s="447"/>
      <c r="AR581" s="447"/>
      <c r="AS581" s="447"/>
      <c r="AT581" s="447"/>
      <c r="AU581" s="447"/>
      <c r="AV581" s="447"/>
      <c r="AW581" s="447"/>
      <c r="AX581" s="447"/>
      <c r="AY581" s="447"/>
      <c r="AZ581" s="447"/>
      <c r="BA581" s="447"/>
      <c r="BB581" s="447"/>
      <c r="BC581" s="447"/>
      <c r="BD581" s="447"/>
      <c r="BE581" s="447"/>
      <c r="BF581" s="447"/>
      <c r="BG581" s="447"/>
      <c r="BH581" s="447"/>
      <c r="BI581" s="447"/>
      <c r="BJ581" s="447"/>
      <c r="BK581" s="447"/>
      <c r="BL581" s="447"/>
      <c r="BM581" s="448"/>
      <c r="BN581" s="448"/>
    </row>
    <row r="582" spans="1:66" ht="11.25" customHeight="1">
      <c r="A582" s="469"/>
      <c r="B582" s="447"/>
      <c r="C582" s="447"/>
      <c r="D582" s="447"/>
      <c r="E582" s="447"/>
      <c r="F582" s="447"/>
      <c r="G582" s="447"/>
      <c r="H582" s="447"/>
      <c r="I582" s="447"/>
      <c r="J582" s="447"/>
      <c r="K582" s="447"/>
      <c r="L582" s="447"/>
      <c r="M582" s="447"/>
      <c r="N582" s="447"/>
      <c r="O582" s="447"/>
      <c r="P582" s="447"/>
      <c r="Q582" s="447"/>
      <c r="R582" s="447"/>
      <c r="S582" s="447"/>
      <c r="T582" s="447"/>
      <c r="U582" s="447"/>
      <c r="V582" s="447"/>
      <c r="W582" s="447"/>
      <c r="X582" s="447"/>
      <c r="Y582" s="447"/>
      <c r="Z582" s="447"/>
      <c r="AA582" s="447"/>
      <c r="AB582" s="447"/>
      <c r="AC582" s="447"/>
      <c r="AD582" s="447"/>
      <c r="AE582" s="447"/>
      <c r="AF582" s="448"/>
      <c r="AG582" s="448"/>
      <c r="AH582" s="448"/>
      <c r="AI582" s="447"/>
      <c r="AJ582" s="447"/>
      <c r="AK582" s="447"/>
      <c r="AL582" s="447"/>
      <c r="AM582" s="447"/>
      <c r="AN582" s="447"/>
      <c r="AO582" s="447"/>
      <c r="AP582" s="447"/>
      <c r="AQ582" s="447"/>
      <c r="AR582" s="447"/>
      <c r="AS582" s="447"/>
      <c r="AT582" s="447"/>
      <c r="AU582" s="447"/>
      <c r="AV582" s="447"/>
      <c r="AW582" s="447"/>
      <c r="AX582" s="447"/>
      <c r="AY582" s="447"/>
      <c r="AZ582" s="447"/>
      <c r="BA582" s="447"/>
      <c r="BB582" s="447"/>
      <c r="BC582" s="447"/>
      <c r="BD582" s="447"/>
      <c r="BE582" s="447"/>
      <c r="BF582" s="447"/>
      <c r="BG582" s="447"/>
      <c r="BH582" s="447"/>
      <c r="BI582" s="447"/>
      <c r="BJ582" s="447"/>
      <c r="BK582" s="447"/>
      <c r="BL582" s="447"/>
      <c r="BM582" s="448"/>
      <c r="BN582" s="448"/>
    </row>
    <row r="583" spans="1:66" ht="11.25" customHeight="1">
      <c r="A583" s="469"/>
      <c r="B583" s="447"/>
      <c r="C583" s="447"/>
      <c r="D583" s="447"/>
      <c r="E583" s="447"/>
      <c r="F583" s="447"/>
      <c r="G583" s="447"/>
      <c r="H583" s="447"/>
      <c r="I583" s="447"/>
      <c r="J583" s="447"/>
      <c r="K583" s="447"/>
      <c r="L583" s="447"/>
      <c r="M583" s="447"/>
      <c r="N583" s="447"/>
      <c r="O583" s="447"/>
      <c r="P583" s="447"/>
      <c r="Q583" s="447"/>
      <c r="R583" s="447"/>
      <c r="S583" s="447"/>
      <c r="T583" s="447"/>
      <c r="U583" s="447"/>
      <c r="V583" s="447"/>
      <c r="W583" s="447"/>
      <c r="X583" s="447"/>
      <c r="Y583" s="447"/>
      <c r="Z583" s="447"/>
      <c r="AA583" s="447"/>
      <c r="AB583" s="447"/>
      <c r="AC583" s="447"/>
      <c r="AD583" s="447"/>
      <c r="AE583" s="447"/>
      <c r="AF583" s="448"/>
      <c r="AG583" s="448"/>
      <c r="AH583" s="448"/>
      <c r="AI583" s="447"/>
      <c r="AJ583" s="447"/>
      <c r="AK583" s="447"/>
      <c r="AL583" s="447"/>
      <c r="AM583" s="447"/>
      <c r="AN583" s="447"/>
      <c r="AO583" s="447"/>
      <c r="AP583" s="447"/>
      <c r="AQ583" s="447"/>
      <c r="AR583" s="447"/>
      <c r="AS583" s="447"/>
      <c r="AT583" s="447"/>
      <c r="AU583" s="447"/>
      <c r="AV583" s="447"/>
      <c r="AW583" s="447"/>
      <c r="AX583" s="447"/>
      <c r="AY583" s="447"/>
      <c r="AZ583" s="447"/>
      <c r="BA583" s="447"/>
      <c r="BB583" s="447"/>
      <c r="BC583" s="447"/>
      <c r="BD583" s="447"/>
      <c r="BE583" s="447"/>
      <c r="BF583" s="447"/>
      <c r="BG583" s="447"/>
      <c r="BH583" s="447"/>
      <c r="BI583" s="447"/>
      <c r="BJ583" s="447"/>
      <c r="BK583" s="447"/>
      <c r="BL583" s="447"/>
      <c r="BM583" s="448"/>
      <c r="BN583" s="448"/>
    </row>
    <row r="584" spans="1:66" ht="11.25" customHeight="1">
      <c r="A584" s="469"/>
      <c r="B584" s="447"/>
      <c r="C584" s="447"/>
      <c r="D584" s="447"/>
      <c r="E584" s="447"/>
      <c r="F584" s="447"/>
      <c r="G584" s="447"/>
      <c r="H584" s="447"/>
      <c r="I584" s="447"/>
      <c r="J584" s="447"/>
      <c r="K584" s="447"/>
      <c r="L584" s="447"/>
      <c r="M584" s="447"/>
      <c r="N584" s="447"/>
      <c r="O584" s="447"/>
      <c r="P584" s="447"/>
      <c r="Q584" s="447"/>
      <c r="R584" s="447"/>
      <c r="S584" s="447"/>
      <c r="T584" s="447"/>
      <c r="U584" s="447"/>
      <c r="V584" s="447"/>
      <c r="W584" s="447"/>
      <c r="X584" s="447"/>
      <c r="Y584" s="447"/>
      <c r="Z584" s="447"/>
      <c r="AA584" s="447"/>
      <c r="AB584" s="447"/>
      <c r="AC584" s="447"/>
      <c r="AD584" s="447"/>
      <c r="AE584" s="447"/>
      <c r="AF584" s="448"/>
      <c r="AG584" s="448"/>
      <c r="AH584" s="448"/>
      <c r="AI584" s="447"/>
      <c r="AJ584" s="447"/>
      <c r="AK584" s="447"/>
      <c r="AL584" s="447"/>
      <c r="AM584" s="447"/>
      <c r="AN584" s="447"/>
      <c r="AO584" s="447"/>
      <c r="AP584" s="447"/>
      <c r="AQ584" s="447"/>
      <c r="AR584" s="447"/>
      <c r="AS584" s="447"/>
      <c r="AT584" s="447"/>
      <c r="AU584" s="447"/>
      <c r="AV584" s="447"/>
      <c r="AW584" s="447"/>
      <c r="AX584" s="447"/>
      <c r="AY584" s="447"/>
      <c r="AZ584" s="447"/>
      <c r="BA584" s="447"/>
      <c r="BB584" s="447"/>
      <c r="BC584" s="447"/>
      <c r="BD584" s="447"/>
      <c r="BE584" s="447"/>
      <c r="BF584" s="447"/>
      <c r="BG584" s="447"/>
      <c r="BH584" s="447"/>
      <c r="BI584" s="447"/>
      <c r="BJ584" s="447"/>
      <c r="BK584" s="447"/>
      <c r="BL584" s="447"/>
      <c r="BM584" s="448"/>
      <c r="BN584" s="448"/>
    </row>
    <row r="585" spans="1:66" ht="11.25" customHeight="1">
      <c r="A585" s="469"/>
      <c r="B585" s="447"/>
      <c r="C585" s="447"/>
      <c r="D585" s="447"/>
      <c r="E585" s="447"/>
      <c r="F585" s="447"/>
      <c r="G585" s="447"/>
      <c r="H585" s="447"/>
      <c r="I585" s="447"/>
      <c r="J585" s="447"/>
      <c r="K585" s="447"/>
      <c r="L585" s="447"/>
      <c r="M585" s="447"/>
      <c r="N585" s="447"/>
      <c r="O585" s="447"/>
      <c r="P585" s="447"/>
      <c r="Q585" s="447"/>
      <c r="R585" s="447"/>
      <c r="S585" s="447"/>
      <c r="T585" s="447"/>
      <c r="U585" s="447"/>
      <c r="V585" s="447"/>
      <c r="W585" s="447"/>
      <c r="X585" s="447"/>
      <c r="Y585" s="447"/>
      <c r="Z585" s="447"/>
      <c r="AA585" s="447"/>
      <c r="AB585" s="447"/>
      <c r="AC585" s="447"/>
      <c r="AD585" s="447"/>
      <c r="AE585" s="447"/>
      <c r="AF585" s="448"/>
      <c r="AG585" s="448"/>
      <c r="AH585" s="448"/>
      <c r="AI585" s="447"/>
      <c r="AJ585" s="447"/>
      <c r="AK585" s="447"/>
      <c r="AL585" s="447"/>
      <c r="AM585" s="447"/>
      <c r="AN585" s="447"/>
      <c r="AO585" s="447"/>
      <c r="AP585" s="447"/>
      <c r="AQ585" s="447"/>
      <c r="AR585" s="447"/>
      <c r="AS585" s="447"/>
      <c r="AT585" s="447"/>
      <c r="AU585" s="447"/>
      <c r="AV585" s="447"/>
      <c r="AW585" s="447"/>
      <c r="AX585" s="447"/>
      <c r="AY585" s="447"/>
      <c r="AZ585" s="447"/>
      <c r="BA585" s="447"/>
      <c r="BB585" s="447"/>
      <c r="BC585" s="447"/>
      <c r="BD585" s="447"/>
      <c r="BE585" s="447"/>
      <c r="BF585" s="447"/>
      <c r="BG585" s="447"/>
      <c r="BH585" s="447"/>
      <c r="BI585" s="447"/>
      <c r="BJ585" s="447"/>
      <c r="BK585" s="447"/>
      <c r="BL585" s="447"/>
      <c r="BM585" s="448"/>
      <c r="BN585" s="448"/>
    </row>
    <row r="586" spans="1:66" ht="11.25" customHeight="1">
      <c r="A586" s="469"/>
      <c r="B586" s="447"/>
      <c r="C586" s="447"/>
      <c r="D586" s="447"/>
      <c r="E586" s="447"/>
      <c r="F586" s="447"/>
      <c r="G586" s="447"/>
      <c r="H586" s="447"/>
      <c r="I586" s="447"/>
      <c r="J586" s="447"/>
      <c r="K586" s="447"/>
      <c r="L586" s="447"/>
      <c r="M586" s="447"/>
      <c r="N586" s="447"/>
      <c r="O586" s="447"/>
      <c r="P586" s="447"/>
      <c r="Q586" s="447"/>
      <c r="R586" s="447"/>
      <c r="S586" s="447"/>
      <c r="T586" s="447"/>
      <c r="U586" s="447"/>
      <c r="V586" s="447"/>
      <c r="W586" s="447"/>
      <c r="X586" s="447"/>
      <c r="Y586" s="447"/>
      <c r="Z586" s="447"/>
      <c r="AA586" s="447"/>
      <c r="AB586" s="447"/>
      <c r="AC586" s="447"/>
      <c r="AD586" s="447"/>
      <c r="AE586" s="447"/>
      <c r="AF586" s="448"/>
      <c r="AG586" s="448"/>
      <c r="AH586" s="448"/>
      <c r="AI586" s="447"/>
      <c r="AJ586" s="447"/>
      <c r="AK586" s="447"/>
      <c r="AL586" s="447"/>
      <c r="AM586" s="447"/>
      <c r="AN586" s="447"/>
      <c r="AO586" s="447"/>
      <c r="AP586" s="447"/>
      <c r="AQ586" s="447"/>
      <c r="AR586" s="447"/>
      <c r="AS586" s="447"/>
      <c r="AT586" s="447"/>
      <c r="AU586" s="447"/>
      <c r="AV586" s="447"/>
      <c r="AW586" s="447"/>
      <c r="AX586" s="447"/>
      <c r="AY586" s="447"/>
      <c r="AZ586" s="447"/>
      <c r="BA586" s="447"/>
      <c r="BB586" s="447"/>
      <c r="BC586" s="447"/>
      <c r="BD586" s="447"/>
      <c r="BE586" s="447"/>
      <c r="BF586" s="447"/>
      <c r="BG586" s="447"/>
      <c r="BH586" s="447"/>
      <c r="BI586" s="447"/>
      <c r="BJ586" s="447"/>
      <c r="BK586" s="447"/>
      <c r="BL586" s="447"/>
      <c r="BM586" s="448"/>
      <c r="BN586" s="448"/>
    </row>
    <row r="587" spans="1:66" ht="11.25" customHeight="1">
      <c r="A587" s="469"/>
      <c r="B587" s="447"/>
      <c r="C587" s="447"/>
      <c r="D587" s="447"/>
      <c r="E587" s="447"/>
      <c r="F587" s="447"/>
      <c r="G587" s="447"/>
      <c r="H587" s="447"/>
      <c r="I587" s="447"/>
      <c r="J587" s="447"/>
      <c r="K587" s="447"/>
      <c r="L587" s="447"/>
      <c r="M587" s="447"/>
      <c r="N587" s="447"/>
      <c r="O587" s="447"/>
      <c r="P587" s="447"/>
      <c r="Q587" s="447"/>
      <c r="R587" s="447"/>
      <c r="S587" s="447"/>
      <c r="T587" s="447"/>
      <c r="U587" s="447"/>
      <c r="V587" s="447"/>
      <c r="W587" s="447"/>
      <c r="X587" s="447"/>
      <c r="Y587" s="447"/>
      <c r="Z587" s="447"/>
      <c r="AA587" s="447"/>
      <c r="AB587" s="447"/>
      <c r="AC587" s="447"/>
      <c r="AD587" s="447"/>
      <c r="AE587" s="447"/>
      <c r="AF587" s="448"/>
      <c r="AG587" s="448"/>
      <c r="AH587" s="448"/>
      <c r="AI587" s="447"/>
      <c r="AJ587" s="447"/>
      <c r="AK587" s="447"/>
      <c r="AL587" s="447"/>
      <c r="AM587" s="447"/>
      <c r="AN587" s="447"/>
      <c r="AO587" s="447"/>
      <c r="AP587" s="447"/>
      <c r="AQ587" s="447"/>
      <c r="AR587" s="447"/>
      <c r="AS587" s="447"/>
      <c r="AT587" s="447"/>
      <c r="AU587" s="447"/>
      <c r="AV587" s="447"/>
      <c r="AW587" s="447"/>
      <c r="AX587" s="447"/>
      <c r="AY587" s="447"/>
      <c r="AZ587" s="447"/>
      <c r="BA587" s="447"/>
      <c r="BB587" s="447"/>
      <c r="BC587" s="447"/>
      <c r="BD587" s="447"/>
      <c r="BE587" s="447"/>
      <c r="BF587" s="447"/>
      <c r="BG587" s="447"/>
      <c r="BH587" s="447"/>
      <c r="BI587" s="447"/>
      <c r="BJ587" s="447"/>
      <c r="BK587" s="447"/>
      <c r="BL587" s="447"/>
      <c r="BM587" s="448"/>
      <c r="BN587" s="448"/>
    </row>
    <row r="588" spans="1:66" ht="11.25" customHeight="1">
      <c r="A588" s="469"/>
      <c r="B588" s="447"/>
      <c r="C588" s="447"/>
      <c r="D588" s="447"/>
      <c r="E588" s="447"/>
      <c r="F588" s="447"/>
      <c r="G588" s="447"/>
      <c r="H588" s="447"/>
      <c r="I588" s="447"/>
      <c r="J588" s="447"/>
      <c r="K588" s="447"/>
      <c r="L588" s="447"/>
      <c r="M588" s="447"/>
      <c r="N588" s="447"/>
      <c r="O588" s="447"/>
      <c r="P588" s="447"/>
      <c r="Q588" s="447"/>
      <c r="R588" s="447"/>
      <c r="S588" s="447"/>
      <c r="T588" s="447"/>
      <c r="U588" s="447"/>
      <c r="V588" s="447"/>
      <c r="W588" s="447"/>
      <c r="X588" s="447"/>
      <c r="Y588" s="447"/>
      <c r="Z588" s="447"/>
      <c r="AA588" s="447"/>
      <c r="AB588" s="447"/>
      <c r="AC588" s="447"/>
      <c r="AD588" s="447"/>
      <c r="AE588" s="447"/>
      <c r="AF588" s="448"/>
      <c r="AG588" s="448"/>
      <c r="AH588" s="448"/>
      <c r="AI588" s="447"/>
      <c r="AJ588" s="447"/>
      <c r="AK588" s="447"/>
      <c r="AL588" s="447"/>
      <c r="AM588" s="447"/>
      <c r="AN588" s="447"/>
      <c r="AO588" s="447"/>
      <c r="AP588" s="447"/>
      <c r="AQ588" s="447"/>
      <c r="AR588" s="447"/>
      <c r="AS588" s="447"/>
      <c r="AT588" s="447"/>
      <c r="AU588" s="447"/>
      <c r="AV588" s="447"/>
      <c r="AW588" s="447"/>
      <c r="AX588" s="447"/>
      <c r="AY588" s="447"/>
      <c r="AZ588" s="447"/>
      <c r="BA588" s="447"/>
      <c r="BB588" s="447"/>
      <c r="BC588" s="447"/>
      <c r="BD588" s="447"/>
      <c r="BE588" s="447"/>
      <c r="BF588" s="447"/>
      <c r="BG588" s="447"/>
      <c r="BH588" s="447"/>
      <c r="BI588" s="447"/>
      <c r="BJ588" s="447"/>
      <c r="BK588" s="447"/>
      <c r="BL588" s="447"/>
      <c r="BM588" s="448"/>
      <c r="BN588" s="448"/>
    </row>
    <row r="589" spans="1:66" ht="11.25" customHeight="1">
      <c r="A589" s="469"/>
      <c r="B589" s="447"/>
      <c r="C589" s="447"/>
      <c r="D589" s="447"/>
      <c r="E589" s="447"/>
      <c r="F589" s="447"/>
      <c r="G589" s="447"/>
      <c r="H589" s="447"/>
      <c r="I589" s="447"/>
      <c r="J589" s="447"/>
      <c r="K589" s="447"/>
      <c r="L589" s="447"/>
      <c r="M589" s="447"/>
      <c r="N589" s="447"/>
      <c r="O589" s="447"/>
      <c r="P589" s="447"/>
      <c r="Q589" s="447"/>
      <c r="R589" s="447"/>
      <c r="S589" s="447"/>
      <c r="T589" s="447"/>
      <c r="U589" s="447"/>
      <c r="V589" s="447"/>
      <c r="W589" s="447"/>
      <c r="X589" s="447"/>
      <c r="Y589" s="447"/>
      <c r="Z589" s="447"/>
      <c r="AA589" s="447"/>
      <c r="AB589" s="447"/>
      <c r="AC589" s="447"/>
      <c r="AD589" s="447"/>
      <c r="AE589" s="447"/>
      <c r="AF589" s="448"/>
      <c r="AG589" s="448"/>
      <c r="AH589" s="448"/>
      <c r="AI589" s="447"/>
      <c r="AJ589" s="447"/>
      <c r="AK589" s="447"/>
      <c r="AL589" s="447"/>
      <c r="AM589" s="447"/>
      <c r="AN589" s="447"/>
      <c r="AO589" s="447"/>
      <c r="AP589" s="447"/>
      <c r="AQ589" s="447"/>
      <c r="AR589" s="447"/>
      <c r="AS589" s="447"/>
      <c r="AT589" s="447"/>
      <c r="AU589" s="447"/>
      <c r="AV589" s="447"/>
      <c r="AW589" s="447"/>
      <c r="AX589" s="447"/>
      <c r="AY589" s="447"/>
      <c r="AZ589" s="447"/>
      <c r="BA589" s="447"/>
      <c r="BB589" s="447"/>
      <c r="BC589" s="447"/>
      <c r="BD589" s="447"/>
      <c r="BE589" s="447"/>
      <c r="BF589" s="447"/>
      <c r="BG589" s="447"/>
      <c r="BH589" s="447"/>
      <c r="BI589" s="447"/>
      <c r="BJ589" s="447"/>
      <c r="BK589" s="447"/>
      <c r="BL589" s="447"/>
      <c r="BM589" s="448"/>
      <c r="BN589" s="448"/>
    </row>
    <row r="590" spans="1:66" ht="11.25" customHeight="1">
      <c r="A590" s="469"/>
      <c r="B590" s="447"/>
      <c r="C590" s="447"/>
      <c r="D590" s="447"/>
      <c r="E590" s="447"/>
      <c r="F590" s="447"/>
      <c r="G590" s="447"/>
      <c r="H590" s="447"/>
      <c r="I590" s="447"/>
      <c r="J590" s="447"/>
      <c r="K590" s="447"/>
      <c r="L590" s="447"/>
      <c r="M590" s="447"/>
      <c r="N590" s="447"/>
      <c r="O590" s="447"/>
      <c r="P590" s="447"/>
      <c r="Q590" s="447"/>
      <c r="R590" s="447"/>
      <c r="S590" s="447"/>
      <c r="T590" s="447"/>
      <c r="U590" s="447"/>
      <c r="V590" s="447"/>
      <c r="W590" s="447"/>
      <c r="X590" s="447"/>
      <c r="Y590" s="447"/>
      <c r="Z590" s="447"/>
      <c r="AA590" s="447"/>
      <c r="AB590" s="447"/>
      <c r="AC590" s="447"/>
      <c r="AD590" s="447"/>
      <c r="AE590" s="447"/>
      <c r="AF590" s="448"/>
      <c r="AG590" s="448"/>
      <c r="AH590" s="448"/>
      <c r="AI590" s="447"/>
      <c r="AJ590" s="447"/>
      <c r="AK590" s="447"/>
      <c r="AL590" s="447"/>
      <c r="AM590" s="447"/>
      <c r="AN590" s="447"/>
      <c r="AO590" s="447"/>
      <c r="AP590" s="447"/>
      <c r="AQ590" s="447"/>
      <c r="AR590" s="447"/>
      <c r="AS590" s="447"/>
      <c r="AT590" s="447"/>
      <c r="AU590" s="447"/>
      <c r="AV590" s="447"/>
      <c r="AW590" s="447"/>
      <c r="AX590" s="447"/>
      <c r="AY590" s="447"/>
      <c r="AZ590" s="447"/>
      <c r="BA590" s="447"/>
      <c r="BB590" s="447"/>
      <c r="BC590" s="447"/>
      <c r="BD590" s="447"/>
      <c r="BE590" s="447"/>
      <c r="BF590" s="447"/>
      <c r="BG590" s="447"/>
      <c r="BH590" s="447"/>
      <c r="BI590" s="447"/>
      <c r="BJ590" s="447"/>
      <c r="BK590" s="447"/>
      <c r="BL590" s="447"/>
      <c r="BM590" s="448"/>
      <c r="BN590" s="448"/>
    </row>
    <row r="591" spans="1:66" ht="11.25" customHeight="1">
      <c r="A591" s="469"/>
      <c r="B591" s="447"/>
      <c r="C591" s="447"/>
      <c r="D591" s="447"/>
      <c r="E591" s="447"/>
      <c r="F591" s="447"/>
      <c r="G591" s="447"/>
      <c r="H591" s="447"/>
      <c r="I591" s="447"/>
      <c r="J591" s="447"/>
      <c r="K591" s="447"/>
      <c r="L591" s="447"/>
      <c r="M591" s="447"/>
      <c r="N591" s="447"/>
      <c r="O591" s="447"/>
      <c r="P591" s="447"/>
      <c r="Q591" s="447"/>
      <c r="R591" s="447"/>
      <c r="S591" s="447"/>
      <c r="T591" s="447"/>
      <c r="U591" s="447"/>
      <c r="V591" s="447"/>
      <c r="W591" s="447"/>
      <c r="X591" s="447"/>
      <c r="Y591" s="447"/>
      <c r="Z591" s="447"/>
      <c r="AA591" s="447"/>
      <c r="AB591" s="447"/>
      <c r="AC591" s="447"/>
      <c r="AD591" s="447"/>
      <c r="AE591" s="447"/>
      <c r="AF591" s="448"/>
      <c r="AG591" s="448"/>
      <c r="AH591" s="448"/>
      <c r="AI591" s="447"/>
      <c r="AJ591" s="447"/>
      <c r="AK591" s="447"/>
      <c r="AL591" s="447"/>
      <c r="AM591" s="447"/>
      <c r="AN591" s="447"/>
      <c r="AO591" s="447"/>
      <c r="AP591" s="447"/>
      <c r="AQ591" s="447"/>
      <c r="AR591" s="447"/>
      <c r="AS591" s="447"/>
      <c r="AT591" s="447"/>
      <c r="AU591" s="447"/>
      <c r="AV591" s="447"/>
      <c r="AW591" s="447"/>
      <c r="AX591" s="447"/>
      <c r="AY591" s="447"/>
      <c r="AZ591" s="447"/>
      <c r="BA591" s="447"/>
      <c r="BB591" s="447"/>
      <c r="BC591" s="447"/>
      <c r="BD591" s="447"/>
      <c r="BE591" s="447"/>
      <c r="BF591" s="447"/>
      <c r="BG591" s="447"/>
      <c r="BH591" s="447"/>
      <c r="BI591" s="447"/>
      <c r="BJ591" s="447"/>
      <c r="BK591" s="447"/>
      <c r="BL591" s="447"/>
      <c r="BM591" s="448"/>
      <c r="BN591" s="448"/>
    </row>
    <row r="592" spans="1:66" ht="11.25" customHeight="1">
      <c r="A592" s="469"/>
      <c r="B592" s="447"/>
      <c r="C592" s="447"/>
      <c r="D592" s="447"/>
      <c r="E592" s="447"/>
      <c r="F592" s="447"/>
      <c r="G592" s="447"/>
      <c r="H592" s="447"/>
      <c r="I592" s="447"/>
      <c r="J592" s="447"/>
      <c r="K592" s="447"/>
      <c r="L592" s="447"/>
      <c r="M592" s="447"/>
      <c r="N592" s="447"/>
      <c r="O592" s="447"/>
      <c r="P592" s="447"/>
      <c r="Q592" s="447"/>
      <c r="R592" s="447"/>
      <c r="S592" s="447"/>
      <c r="T592" s="447"/>
      <c r="U592" s="447"/>
      <c r="V592" s="447"/>
      <c r="W592" s="447"/>
      <c r="X592" s="447"/>
      <c r="Y592" s="447"/>
      <c r="Z592" s="447"/>
      <c r="AA592" s="447"/>
      <c r="AB592" s="447"/>
      <c r="AC592" s="447"/>
      <c r="AD592" s="447"/>
      <c r="AE592" s="447"/>
      <c r="AF592" s="448"/>
      <c r="AG592" s="448"/>
      <c r="AH592" s="448"/>
      <c r="AI592" s="447"/>
      <c r="AJ592" s="447"/>
      <c r="AK592" s="447"/>
      <c r="AL592" s="447"/>
      <c r="AM592" s="447"/>
      <c r="AN592" s="447"/>
      <c r="AO592" s="447"/>
      <c r="AP592" s="447"/>
      <c r="AQ592" s="447"/>
      <c r="AR592" s="447"/>
      <c r="AS592" s="447"/>
      <c r="AT592" s="447"/>
      <c r="AU592" s="447"/>
      <c r="AV592" s="447"/>
      <c r="AW592" s="447"/>
      <c r="AX592" s="447"/>
      <c r="AY592" s="447"/>
      <c r="AZ592" s="447"/>
      <c r="BA592" s="447"/>
      <c r="BB592" s="447"/>
      <c r="BC592" s="447"/>
      <c r="BD592" s="447"/>
      <c r="BE592" s="447"/>
      <c r="BF592" s="447"/>
      <c r="BG592" s="447"/>
      <c r="BH592" s="447"/>
      <c r="BI592" s="447"/>
      <c r="BJ592" s="447"/>
      <c r="BK592" s="447"/>
      <c r="BL592" s="447"/>
      <c r="BM592" s="448"/>
      <c r="BN592" s="448"/>
    </row>
    <row r="593" spans="1:66" ht="11.25" customHeight="1">
      <c r="A593" s="469"/>
      <c r="B593" s="447"/>
      <c r="C593" s="447"/>
      <c r="D593" s="447"/>
      <c r="E593" s="447"/>
      <c r="F593" s="447"/>
      <c r="G593" s="447"/>
      <c r="H593" s="447"/>
      <c r="I593" s="447"/>
      <c r="J593" s="447"/>
      <c r="K593" s="447"/>
      <c r="L593" s="447"/>
      <c r="M593" s="447"/>
      <c r="N593" s="447"/>
      <c r="O593" s="447"/>
      <c r="P593" s="447"/>
      <c r="Q593" s="447"/>
      <c r="R593" s="447"/>
      <c r="S593" s="447"/>
      <c r="T593" s="447"/>
      <c r="U593" s="447"/>
      <c r="V593" s="447"/>
      <c r="W593" s="447"/>
      <c r="X593" s="447"/>
      <c r="Y593" s="447"/>
      <c r="Z593" s="447"/>
      <c r="AA593" s="447"/>
      <c r="AB593" s="447"/>
      <c r="AC593" s="447"/>
      <c r="AD593" s="447"/>
      <c r="AE593" s="447"/>
      <c r="AF593" s="448"/>
      <c r="AG593" s="448"/>
      <c r="AH593" s="448"/>
      <c r="AI593" s="447"/>
      <c r="AJ593" s="447"/>
      <c r="AK593" s="447"/>
      <c r="AL593" s="447"/>
      <c r="AM593" s="447"/>
      <c r="AN593" s="447"/>
      <c r="AO593" s="447"/>
      <c r="AP593" s="447"/>
      <c r="AQ593" s="447"/>
      <c r="AR593" s="447"/>
      <c r="AS593" s="447"/>
      <c r="AT593" s="447"/>
      <c r="AU593" s="447"/>
      <c r="AV593" s="447"/>
      <c r="AW593" s="447"/>
      <c r="AX593" s="447"/>
      <c r="AY593" s="447"/>
      <c r="AZ593" s="447"/>
      <c r="BA593" s="447"/>
      <c r="BB593" s="447"/>
      <c r="BC593" s="447"/>
      <c r="BD593" s="447"/>
      <c r="BE593" s="447"/>
      <c r="BF593" s="447"/>
      <c r="BG593" s="447"/>
      <c r="BH593" s="447"/>
      <c r="BI593" s="447"/>
      <c r="BJ593" s="447"/>
      <c r="BK593" s="447"/>
      <c r="BL593" s="447"/>
      <c r="BM593" s="448"/>
      <c r="BN593" s="448"/>
    </row>
    <row r="594" spans="1:66" ht="11.25" customHeight="1">
      <c r="A594" s="469"/>
      <c r="B594" s="447"/>
      <c r="C594" s="447"/>
      <c r="D594" s="447"/>
      <c r="E594" s="447"/>
      <c r="F594" s="447"/>
      <c r="G594" s="447"/>
      <c r="H594" s="447"/>
      <c r="I594" s="447"/>
      <c r="J594" s="447"/>
      <c r="K594" s="447"/>
      <c r="L594" s="447"/>
      <c r="M594" s="447"/>
      <c r="N594" s="447"/>
      <c r="O594" s="447"/>
      <c r="P594" s="447"/>
      <c r="Q594" s="447"/>
      <c r="R594" s="447"/>
      <c r="S594" s="447"/>
      <c r="T594" s="447"/>
      <c r="U594" s="447"/>
      <c r="V594" s="447"/>
      <c r="W594" s="447"/>
      <c r="X594" s="447"/>
      <c r="Y594" s="447"/>
      <c r="Z594" s="447"/>
      <c r="AA594" s="447"/>
      <c r="AB594" s="447"/>
      <c r="AC594" s="447"/>
      <c r="AD594" s="447"/>
      <c r="AE594" s="447"/>
      <c r="AF594" s="448"/>
      <c r="AG594" s="448"/>
      <c r="AH594" s="448"/>
      <c r="AI594" s="447"/>
      <c r="AJ594" s="447"/>
      <c r="AK594" s="447"/>
      <c r="AL594" s="447"/>
      <c r="AM594" s="447"/>
      <c r="AN594" s="447"/>
      <c r="AO594" s="447"/>
      <c r="AP594" s="447"/>
      <c r="AQ594" s="447"/>
      <c r="AR594" s="447"/>
      <c r="AS594" s="447"/>
      <c r="AT594" s="447"/>
      <c r="AU594" s="447"/>
      <c r="AV594" s="447"/>
      <c r="AW594" s="447"/>
      <c r="AX594" s="447"/>
      <c r="AY594" s="447"/>
      <c r="AZ594" s="447"/>
      <c r="BA594" s="447"/>
      <c r="BB594" s="447"/>
      <c r="BC594" s="447"/>
      <c r="BD594" s="447"/>
      <c r="BE594" s="447"/>
      <c r="BF594" s="447"/>
      <c r="BG594" s="447"/>
      <c r="BH594" s="447"/>
      <c r="BI594" s="447"/>
      <c r="BJ594" s="447"/>
      <c r="BK594" s="447"/>
      <c r="BL594" s="447"/>
      <c r="BM594" s="448"/>
      <c r="BN594" s="448"/>
    </row>
    <row r="595" spans="1:66" ht="11.25" customHeight="1">
      <c r="A595" s="469"/>
      <c r="B595" s="447"/>
      <c r="C595" s="447"/>
      <c r="D595" s="447"/>
      <c r="E595" s="447"/>
      <c r="F595" s="447"/>
      <c r="G595" s="447"/>
      <c r="H595" s="447"/>
      <c r="I595" s="447"/>
      <c r="J595" s="447"/>
      <c r="K595" s="447"/>
      <c r="L595" s="447"/>
      <c r="M595" s="447"/>
      <c r="N595" s="447"/>
      <c r="O595" s="447"/>
      <c r="P595" s="447"/>
      <c r="Q595" s="447"/>
      <c r="R595" s="447"/>
      <c r="S595" s="447"/>
      <c r="T595" s="447"/>
      <c r="U595" s="447"/>
      <c r="V595" s="447"/>
      <c r="W595" s="447"/>
      <c r="X595" s="447"/>
      <c r="Y595" s="447"/>
      <c r="Z595" s="447"/>
      <c r="AA595" s="447"/>
      <c r="AB595" s="447"/>
      <c r="AC595" s="447"/>
      <c r="AD595" s="447"/>
      <c r="AE595" s="447"/>
      <c r="AF595" s="448"/>
      <c r="AG595" s="448"/>
      <c r="AH595" s="448"/>
      <c r="AI595" s="447"/>
      <c r="AJ595" s="447"/>
      <c r="AK595" s="447"/>
      <c r="AL595" s="447"/>
      <c r="AM595" s="447"/>
      <c r="AN595" s="447"/>
      <c r="AO595" s="447"/>
      <c r="AP595" s="447"/>
      <c r="AQ595" s="447"/>
      <c r="AR595" s="447"/>
      <c r="AS595" s="447"/>
      <c r="AT595" s="447"/>
      <c r="AU595" s="447"/>
      <c r="AV595" s="447"/>
      <c r="AW595" s="447"/>
      <c r="AX595" s="447"/>
      <c r="AY595" s="447"/>
      <c r="AZ595" s="447"/>
      <c r="BA595" s="447"/>
      <c r="BB595" s="447"/>
      <c r="BC595" s="447"/>
      <c r="BD595" s="447"/>
      <c r="BE595" s="447"/>
      <c r="BF595" s="447"/>
      <c r="BG595" s="447"/>
      <c r="BH595" s="447"/>
      <c r="BI595" s="447"/>
      <c r="BJ595" s="447"/>
      <c r="BK595" s="447"/>
      <c r="BL595" s="447"/>
      <c r="BM595" s="448"/>
      <c r="BN595" s="448"/>
    </row>
    <row r="596" spans="1:66" ht="11.25" customHeight="1">
      <c r="A596" s="469"/>
      <c r="B596" s="447"/>
      <c r="C596" s="447"/>
      <c r="D596" s="447"/>
      <c r="E596" s="447"/>
      <c r="F596" s="447"/>
      <c r="G596" s="447"/>
      <c r="H596" s="447"/>
      <c r="I596" s="447"/>
      <c r="J596" s="447"/>
      <c r="K596" s="447"/>
      <c r="L596" s="447"/>
      <c r="M596" s="447"/>
      <c r="N596" s="447"/>
      <c r="O596" s="447"/>
      <c r="P596" s="447"/>
      <c r="Q596" s="447"/>
      <c r="R596" s="447"/>
      <c r="S596" s="447"/>
      <c r="T596" s="447"/>
      <c r="U596" s="447"/>
      <c r="V596" s="447"/>
      <c r="W596" s="447"/>
      <c r="X596" s="447"/>
      <c r="Y596" s="447"/>
      <c r="Z596" s="447"/>
      <c r="AA596" s="447"/>
      <c r="AB596" s="447"/>
      <c r="AC596" s="447"/>
      <c r="AD596" s="447"/>
      <c r="AE596" s="447"/>
      <c r="AF596" s="448"/>
      <c r="AG596" s="448"/>
      <c r="AH596" s="448"/>
      <c r="AI596" s="447"/>
      <c r="AJ596" s="447"/>
      <c r="AK596" s="447"/>
      <c r="AL596" s="447"/>
      <c r="AM596" s="447"/>
      <c r="AN596" s="447"/>
      <c r="AO596" s="447"/>
      <c r="AP596" s="447"/>
      <c r="AQ596" s="447"/>
      <c r="AR596" s="447"/>
      <c r="AS596" s="447"/>
      <c r="AT596" s="447"/>
      <c r="AU596" s="447"/>
      <c r="AV596" s="447"/>
      <c r="AW596" s="447"/>
      <c r="AX596" s="447"/>
      <c r="AY596" s="447"/>
      <c r="AZ596" s="447"/>
      <c r="BA596" s="447"/>
      <c r="BB596" s="447"/>
      <c r="BC596" s="447"/>
      <c r="BD596" s="447"/>
      <c r="BE596" s="447"/>
      <c r="BF596" s="447"/>
      <c r="BG596" s="447"/>
      <c r="BH596" s="447"/>
      <c r="BI596" s="447"/>
      <c r="BJ596" s="447"/>
      <c r="BK596" s="447"/>
      <c r="BL596" s="447"/>
      <c r="BM596" s="448"/>
      <c r="BN596" s="448"/>
    </row>
    <row r="597" spans="1:66" ht="11.25" customHeight="1">
      <c r="A597" s="469"/>
      <c r="B597" s="447"/>
      <c r="C597" s="447"/>
      <c r="D597" s="447"/>
      <c r="E597" s="447"/>
      <c r="F597" s="447"/>
      <c r="G597" s="447"/>
      <c r="H597" s="447"/>
      <c r="I597" s="447"/>
      <c r="J597" s="447"/>
      <c r="K597" s="447"/>
      <c r="L597" s="447"/>
      <c r="M597" s="447"/>
      <c r="N597" s="447"/>
      <c r="O597" s="447"/>
      <c r="P597" s="447"/>
      <c r="Q597" s="447"/>
      <c r="R597" s="447"/>
      <c r="S597" s="447"/>
      <c r="T597" s="447"/>
      <c r="U597" s="447"/>
      <c r="V597" s="447"/>
      <c r="W597" s="447"/>
      <c r="X597" s="447"/>
      <c r="Y597" s="447"/>
      <c r="Z597" s="447"/>
      <c r="AA597" s="447"/>
      <c r="AB597" s="447"/>
      <c r="AC597" s="447"/>
      <c r="AD597" s="447"/>
      <c r="AE597" s="447"/>
      <c r="AF597" s="448"/>
      <c r="AG597" s="448"/>
      <c r="AH597" s="448"/>
      <c r="AI597" s="447"/>
      <c r="AJ597" s="447"/>
      <c r="AK597" s="447"/>
      <c r="AL597" s="447"/>
      <c r="AM597" s="447"/>
      <c r="AN597" s="447"/>
      <c r="AO597" s="447"/>
      <c r="AP597" s="447"/>
      <c r="AQ597" s="447"/>
      <c r="AR597" s="447"/>
      <c r="AS597" s="447"/>
      <c r="AT597" s="447"/>
      <c r="AU597" s="447"/>
      <c r="AV597" s="447"/>
      <c r="AW597" s="447"/>
      <c r="AX597" s="447"/>
      <c r="AY597" s="447"/>
      <c r="AZ597" s="447"/>
      <c r="BA597" s="447"/>
      <c r="BB597" s="447"/>
      <c r="BC597" s="447"/>
      <c r="BD597" s="447"/>
      <c r="BE597" s="447"/>
      <c r="BF597" s="447"/>
      <c r="BG597" s="447"/>
      <c r="BH597" s="447"/>
      <c r="BI597" s="447"/>
      <c r="BJ597" s="447"/>
      <c r="BK597" s="447"/>
      <c r="BL597" s="447"/>
      <c r="BM597" s="448"/>
      <c r="BN597" s="448"/>
    </row>
    <row r="598" spans="1:66" ht="11.25" customHeight="1">
      <c r="A598" s="469"/>
      <c r="B598" s="447"/>
      <c r="C598" s="447"/>
      <c r="D598" s="447"/>
      <c r="E598" s="447"/>
      <c r="F598" s="447"/>
      <c r="G598" s="447"/>
      <c r="H598" s="447"/>
      <c r="I598" s="447"/>
      <c r="J598" s="447"/>
      <c r="K598" s="447"/>
      <c r="L598" s="447"/>
      <c r="M598" s="447"/>
      <c r="N598" s="447"/>
      <c r="O598" s="447"/>
      <c r="P598" s="447"/>
      <c r="Q598" s="447"/>
      <c r="R598" s="447"/>
      <c r="S598" s="447"/>
      <c r="T598" s="447"/>
      <c r="U598" s="447"/>
      <c r="V598" s="447"/>
      <c r="W598" s="447"/>
      <c r="X598" s="447"/>
      <c r="Y598" s="447"/>
      <c r="Z598" s="447"/>
      <c r="AA598" s="447"/>
      <c r="AB598" s="447"/>
      <c r="AC598" s="447"/>
      <c r="AD598" s="447"/>
      <c r="AE598" s="447"/>
      <c r="AF598" s="448"/>
      <c r="AG598" s="448"/>
      <c r="AH598" s="448"/>
      <c r="AI598" s="447"/>
      <c r="AJ598" s="447"/>
      <c r="AK598" s="447"/>
      <c r="AL598" s="447"/>
      <c r="AM598" s="447"/>
      <c r="AN598" s="447"/>
      <c r="AO598" s="447"/>
      <c r="AP598" s="447"/>
      <c r="AQ598" s="447"/>
      <c r="AR598" s="447"/>
      <c r="AS598" s="447"/>
      <c r="AT598" s="447"/>
      <c r="AU598" s="447"/>
      <c r="AV598" s="447"/>
      <c r="AW598" s="447"/>
      <c r="AX598" s="447"/>
      <c r="AY598" s="447"/>
      <c r="AZ598" s="447"/>
      <c r="BA598" s="447"/>
      <c r="BB598" s="447"/>
      <c r="BC598" s="447"/>
      <c r="BD598" s="447"/>
      <c r="BE598" s="447"/>
      <c r="BF598" s="447"/>
      <c r="BG598" s="447"/>
      <c r="BH598" s="447"/>
      <c r="BI598" s="447"/>
      <c r="BJ598" s="447"/>
      <c r="BK598" s="447"/>
      <c r="BL598" s="447"/>
      <c r="BM598" s="448"/>
      <c r="BN598" s="448"/>
    </row>
    <row r="599" spans="1:66" ht="11.25" customHeight="1">
      <c r="A599" s="469"/>
      <c r="B599" s="447"/>
      <c r="C599" s="447"/>
      <c r="D599" s="447"/>
      <c r="E599" s="447"/>
      <c r="F599" s="447"/>
      <c r="G599" s="447"/>
      <c r="H599" s="447"/>
      <c r="I599" s="447"/>
      <c r="J599" s="447"/>
      <c r="K599" s="447"/>
      <c r="L599" s="447"/>
      <c r="M599" s="447"/>
      <c r="N599" s="447"/>
      <c r="O599" s="447"/>
      <c r="P599" s="447"/>
      <c r="Q599" s="447"/>
      <c r="R599" s="447"/>
      <c r="S599" s="447"/>
      <c r="T599" s="447"/>
      <c r="U599" s="447"/>
      <c r="V599" s="447"/>
      <c r="W599" s="447"/>
      <c r="X599" s="447"/>
      <c r="Y599" s="447"/>
      <c r="Z599" s="447"/>
      <c r="AA599" s="447"/>
      <c r="AB599" s="447"/>
      <c r="AC599" s="447"/>
      <c r="AD599" s="447"/>
      <c r="AE599" s="447"/>
      <c r="AF599" s="448"/>
      <c r="AG599" s="448"/>
      <c r="AH599" s="448"/>
      <c r="AI599" s="447"/>
      <c r="AJ599" s="447"/>
      <c r="AK599" s="447"/>
      <c r="AL599" s="447"/>
      <c r="AM599" s="447"/>
      <c r="AN599" s="447"/>
      <c r="AO599" s="447"/>
      <c r="AP599" s="447"/>
      <c r="AQ599" s="447"/>
      <c r="AR599" s="447"/>
      <c r="AS599" s="447"/>
      <c r="AT599" s="447"/>
      <c r="AU599" s="447"/>
      <c r="AV599" s="447"/>
      <c r="AW599" s="447"/>
      <c r="AX599" s="447"/>
      <c r="AY599" s="447"/>
      <c r="AZ599" s="447"/>
      <c r="BA599" s="447"/>
      <c r="BB599" s="447"/>
      <c r="BC599" s="447"/>
      <c r="BD599" s="447"/>
      <c r="BE599" s="447"/>
      <c r="BF599" s="447"/>
      <c r="BG599" s="447"/>
      <c r="BH599" s="447"/>
      <c r="BI599" s="447"/>
      <c r="BJ599" s="447"/>
      <c r="BK599" s="447"/>
      <c r="BL599" s="447"/>
      <c r="BM599" s="448"/>
      <c r="BN599" s="448"/>
    </row>
    <row r="600" spans="1:66" ht="11.25" customHeight="1">
      <c r="A600" s="469"/>
      <c r="B600" s="447"/>
      <c r="C600" s="447"/>
      <c r="D600" s="447"/>
      <c r="E600" s="447"/>
      <c r="F600" s="447"/>
      <c r="G600" s="447"/>
      <c r="H600" s="447"/>
      <c r="I600" s="447"/>
      <c r="J600" s="447"/>
      <c r="K600" s="447"/>
      <c r="L600" s="447"/>
      <c r="M600" s="447"/>
      <c r="N600" s="447"/>
      <c r="O600" s="447"/>
      <c r="P600" s="447"/>
      <c r="Q600" s="447"/>
      <c r="R600" s="447"/>
      <c r="S600" s="447"/>
      <c r="T600" s="447"/>
      <c r="U600" s="447"/>
      <c r="V600" s="447"/>
      <c r="W600" s="447"/>
      <c r="X600" s="447"/>
      <c r="Y600" s="447"/>
      <c r="Z600" s="447"/>
      <c r="AA600" s="447"/>
      <c r="AB600" s="447"/>
      <c r="AC600" s="447"/>
      <c r="AD600" s="447"/>
      <c r="AE600" s="447"/>
      <c r="AF600" s="448"/>
      <c r="AG600" s="448"/>
      <c r="AH600" s="448"/>
      <c r="AI600" s="447"/>
      <c r="AJ600" s="447"/>
      <c r="AK600" s="447"/>
      <c r="AL600" s="447"/>
      <c r="AM600" s="447"/>
      <c r="AN600" s="447"/>
      <c r="AO600" s="447"/>
      <c r="AP600" s="447"/>
      <c r="AQ600" s="447"/>
      <c r="AR600" s="447"/>
      <c r="AS600" s="447"/>
      <c r="AT600" s="447"/>
      <c r="AU600" s="447"/>
      <c r="AV600" s="447"/>
      <c r="AW600" s="447"/>
      <c r="AX600" s="447"/>
      <c r="AY600" s="447"/>
      <c r="AZ600" s="447"/>
      <c r="BA600" s="447"/>
      <c r="BB600" s="447"/>
      <c r="BC600" s="447"/>
      <c r="BD600" s="447"/>
      <c r="BE600" s="447"/>
      <c r="BF600" s="447"/>
      <c r="BG600" s="447"/>
      <c r="BH600" s="447"/>
      <c r="BI600" s="447"/>
      <c r="BJ600" s="447"/>
      <c r="BK600" s="447"/>
      <c r="BL600" s="447"/>
      <c r="BM600" s="448"/>
      <c r="BN600" s="448"/>
    </row>
    <row r="601" spans="1:66" ht="11.25" customHeight="1">
      <c r="A601" s="469"/>
      <c r="B601" s="447"/>
      <c r="C601" s="447"/>
      <c r="D601" s="447"/>
      <c r="E601" s="447"/>
      <c r="F601" s="447"/>
      <c r="G601" s="447"/>
      <c r="H601" s="447"/>
      <c r="I601" s="447"/>
      <c r="J601" s="447"/>
      <c r="K601" s="447"/>
      <c r="L601" s="447"/>
      <c r="M601" s="447"/>
      <c r="N601" s="447"/>
      <c r="O601" s="447"/>
      <c r="P601" s="447"/>
      <c r="Q601" s="447"/>
      <c r="R601" s="447"/>
      <c r="S601" s="447"/>
      <c r="T601" s="447"/>
      <c r="U601" s="447"/>
      <c r="V601" s="447"/>
      <c r="W601" s="447"/>
      <c r="X601" s="447"/>
      <c r="Y601" s="447"/>
      <c r="Z601" s="447"/>
      <c r="AA601" s="447"/>
      <c r="AB601" s="447"/>
      <c r="AC601" s="447"/>
      <c r="AD601" s="447"/>
      <c r="AE601" s="447"/>
      <c r="AF601" s="448"/>
      <c r="AG601" s="448"/>
      <c r="AH601" s="448"/>
      <c r="AI601" s="447"/>
      <c r="AJ601" s="447"/>
      <c r="AK601" s="447"/>
      <c r="AL601" s="447"/>
      <c r="AM601" s="447"/>
      <c r="AN601" s="447"/>
      <c r="AO601" s="447"/>
      <c r="AP601" s="447"/>
      <c r="AQ601" s="447"/>
      <c r="AR601" s="447"/>
      <c r="AS601" s="447"/>
      <c r="AT601" s="447"/>
      <c r="AU601" s="447"/>
      <c r="AV601" s="447"/>
      <c r="AW601" s="447"/>
      <c r="AX601" s="447"/>
      <c r="AY601" s="447"/>
      <c r="AZ601" s="447"/>
      <c r="BA601" s="447"/>
      <c r="BB601" s="447"/>
      <c r="BC601" s="447"/>
      <c r="BD601" s="447"/>
      <c r="BE601" s="447"/>
      <c r="BF601" s="447"/>
      <c r="BG601" s="447"/>
      <c r="BH601" s="447"/>
      <c r="BI601" s="447"/>
      <c r="BJ601" s="447"/>
      <c r="BK601" s="447"/>
      <c r="BL601" s="447"/>
      <c r="BM601" s="448"/>
      <c r="BN601" s="448"/>
    </row>
    <row r="602" spans="1:66" ht="11.25" customHeight="1">
      <c r="A602" s="469"/>
      <c r="B602" s="447"/>
      <c r="C602" s="447"/>
      <c r="D602" s="447"/>
      <c r="E602" s="447"/>
      <c r="F602" s="447"/>
      <c r="G602" s="447"/>
      <c r="H602" s="447"/>
      <c r="I602" s="447"/>
      <c r="J602" s="447"/>
      <c r="K602" s="447"/>
      <c r="L602" s="447"/>
      <c r="M602" s="447"/>
      <c r="N602" s="447"/>
      <c r="O602" s="447"/>
      <c r="P602" s="447"/>
      <c r="Q602" s="447"/>
      <c r="R602" s="447"/>
      <c r="S602" s="447"/>
      <c r="T602" s="447"/>
      <c r="U602" s="447"/>
      <c r="V602" s="447"/>
      <c r="W602" s="447"/>
      <c r="X602" s="447"/>
      <c r="Y602" s="447"/>
      <c r="Z602" s="447"/>
      <c r="AA602" s="447"/>
      <c r="AB602" s="447"/>
      <c r="AC602" s="447"/>
      <c r="AD602" s="447"/>
      <c r="AE602" s="447"/>
      <c r="AF602" s="448"/>
      <c r="AG602" s="448"/>
      <c r="AH602" s="448"/>
      <c r="AI602" s="447"/>
      <c r="AJ602" s="447"/>
      <c r="AK602" s="447"/>
      <c r="AL602" s="447"/>
      <c r="AM602" s="447"/>
      <c r="AN602" s="447"/>
      <c r="AO602" s="447"/>
      <c r="AP602" s="447"/>
      <c r="AQ602" s="447"/>
      <c r="AR602" s="447"/>
      <c r="AS602" s="447"/>
      <c r="AT602" s="447"/>
      <c r="AU602" s="447"/>
      <c r="AV602" s="447"/>
      <c r="AW602" s="447"/>
      <c r="AX602" s="447"/>
      <c r="AY602" s="447"/>
      <c r="AZ602" s="447"/>
      <c r="BA602" s="447"/>
      <c r="BB602" s="447"/>
      <c r="BC602" s="447"/>
      <c r="BD602" s="447"/>
      <c r="BE602" s="447"/>
      <c r="BF602" s="447"/>
      <c r="BG602" s="447"/>
      <c r="BH602" s="447"/>
      <c r="BI602" s="447"/>
      <c r="BJ602" s="447"/>
      <c r="BK602" s="447"/>
      <c r="BL602" s="447"/>
      <c r="BM602" s="448"/>
      <c r="BN602" s="448"/>
    </row>
    <row r="603" spans="1:66" ht="11.25" customHeight="1">
      <c r="A603" s="469"/>
      <c r="B603" s="447"/>
      <c r="C603" s="447"/>
      <c r="D603" s="447"/>
      <c r="E603" s="447"/>
      <c r="F603" s="447"/>
      <c r="G603" s="447"/>
      <c r="H603" s="447"/>
      <c r="I603" s="447"/>
      <c r="J603" s="447"/>
      <c r="K603" s="447"/>
      <c r="L603" s="447"/>
      <c r="M603" s="447"/>
      <c r="N603" s="447"/>
      <c r="O603" s="447"/>
      <c r="P603" s="447"/>
      <c r="Q603" s="447"/>
      <c r="R603" s="447"/>
      <c r="S603" s="447"/>
      <c r="T603" s="447"/>
      <c r="U603" s="447"/>
      <c r="V603" s="447"/>
      <c r="W603" s="447"/>
      <c r="X603" s="447"/>
      <c r="Y603" s="447"/>
      <c r="Z603" s="447"/>
      <c r="AA603" s="447"/>
      <c r="AB603" s="447"/>
      <c r="AC603" s="447"/>
      <c r="AD603" s="447"/>
      <c r="AE603" s="447"/>
      <c r="AF603" s="448"/>
      <c r="AG603" s="448"/>
      <c r="AH603" s="448"/>
      <c r="AI603" s="447"/>
      <c r="AJ603" s="447"/>
      <c r="AK603" s="447"/>
      <c r="AL603" s="447"/>
      <c r="AM603" s="447"/>
      <c r="AN603" s="447"/>
      <c r="AO603" s="447"/>
      <c r="AP603" s="447"/>
      <c r="AQ603" s="447"/>
      <c r="AR603" s="447"/>
      <c r="AS603" s="447"/>
      <c r="AT603" s="447"/>
      <c r="AU603" s="447"/>
      <c r="AV603" s="447"/>
      <c r="AW603" s="447"/>
      <c r="AX603" s="447"/>
      <c r="AY603" s="447"/>
      <c r="AZ603" s="447"/>
      <c r="BA603" s="447"/>
      <c r="BB603" s="447"/>
      <c r="BC603" s="447"/>
      <c r="BD603" s="447"/>
      <c r="BE603" s="447"/>
      <c r="BF603" s="447"/>
      <c r="BG603" s="447"/>
      <c r="BH603" s="447"/>
      <c r="BI603" s="447"/>
      <c r="BJ603" s="447"/>
      <c r="BK603" s="447"/>
      <c r="BL603" s="447"/>
      <c r="BM603" s="448"/>
      <c r="BN603" s="448"/>
    </row>
    <row r="604" spans="1:66" ht="11.25" customHeight="1">
      <c r="A604" s="469"/>
      <c r="B604" s="447"/>
      <c r="C604" s="447"/>
      <c r="D604" s="447"/>
      <c r="E604" s="447"/>
      <c r="F604" s="447"/>
      <c r="G604" s="447"/>
      <c r="H604" s="447"/>
      <c r="I604" s="447"/>
      <c r="J604" s="447"/>
      <c r="K604" s="447"/>
      <c r="L604" s="447"/>
      <c r="M604" s="447"/>
      <c r="N604" s="447"/>
      <c r="O604" s="447"/>
      <c r="P604" s="447"/>
      <c r="Q604" s="447"/>
      <c r="R604" s="447"/>
      <c r="S604" s="447"/>
      <c r="T604" s="447"/>
      <c r="U604" s="447"/>
      <c r="V604" s="447"/>
      <c r="W604" s="447"/>
      <c r="X604" s="447"/>
      <c r="Y604" s="447"/>
      <c r="Z604" s="447"/>
      <c r="AA604" s="447"/>
      <c r="AB604" s="447"/>
      <c r="AC604" s="447"/>
      <c r="AD604" s="447"/>
      <c r="AE604" s="447"/>
      <c r="AF604" s="448"/>
      <c r="AG604" s="448"/>
      <c r="AH604" s="448"/>
      <c r="AI604" s="447"/>
      <c r="AJ604" s="447"/>
      <c r="AK604" s="447"/>
      <c r="AL604" s="447"/>
      <c r="AM604" s="447"/>
      <c r="AN604" s="447"/>
      <c r="AO604" s="447"/>
      <c r="AP604" s="447"/>
      <c r="AQ604" s="447"/>
      <c r="AR604" s="447"/>
      <c r="AS604" s="447"/>
      <c r="AT604" s="447"/>
      <c r="AU604" s="447"/>
      <c r="AV604" s="447"/>
      <c r="AW604" s="447"/>
      <c r="AX604" s="447"/>
      <c r="AY604" s="447"/>
      <c r="AZ604" s="447"/>
      <c r="BA604" s="447"/>
      <c r="BB604" s="447"/>
      <c r="BC604" s="447"/>
      <c r="BD604" s="447"/>
      <c r="BE604" s="447"/>
      <c r="BF604" s="447"/>
      <c r="BG604" s="447"/>
      <c r="BH604" s="447"/>
      <c r="BI604" s="447"/>
      <c r="BJ604" s="447"/>
      <c r="BK604" s="447"/>
      <c r="BL604" s="447"/>
      <c r="BM604" s="448"/>
      <c r="BN604" s="448"/>
    </row>
    <row r="605" spans="1:66" ht="11.25" customHeight="1">
      <c r="A605" s="469"/>
      <c r="B605" s="447"/>
      <c r="C605" s="447"/>
      <c r="D605" s="447"/>
      <c r="E605" s="447"/>
      <c r="F605" s="447"/>
      <c r="G605" s="447"/>
      <c r="H605" s="447"/>
      <c r="I605" s="447"/>
      <c r="J605" s="447"/>
      <c r="K605" s="447"/>
      <c r="L605" s="447"/>
      <c r="M605" s="447"/>
      <c r="N605" s="447"/>
      <c r="O605" s="447"/>
      <c r="P605" s="447"/>
      <c r="Q605" s="447"/>
      <c r="R605" s="447"/>
      <c r="S605" s="447"/>
      <c r="T605" s="447"/>
      <c r="U605" s="447"/>
      <c r="V605" s="447"/>
      <c r="W605" s="447"/>
      <c r="X605" s="447"/>
      <c r="Y605" s="447"/>
      <c r="Z605" s="447"/>
      <c r="AA605" s="447"/>
      <c r="AB605" s="447"/>
      <c r="AC605" s="447"/>
      <c r="AD605" s="447"/>
      <c r="AE605" s="447"/>
      <c r="AF605" s="448"/>
      <c r="AG605" s="448"/>
      <c r="AH605" s="448"/>
      <c r="AI605" s="447"/>
      <c r="AJ605" s="447"/>
      <c r="AK605" s="447"/>
      <c r="AL605" s="447"/>
      <c r="AM605" s="447"/>
      <c r="AN605" s="447"/>
      <c r="AO605" s="447"/>
      <c r="AP605" s="447"/>
      <c r="AQ605" s="447"/>
      <c r="AR605" s="447"/>
      <c r="AS605" s="447"/>
      <c r="AT605" s="447"/>
      <c r="AU605" s="447"/>
      <c r="AV605" s="447"/>
      <c r="AW605" s="447"/>
      <c r="AX605" s="447"/>
      <c r="AY605" s="447"/>
      <c r="AZ605" s="447"/>
      <c r="BA605" s="447"/>
      <c r="BB605" s="447"/>
      <c r="BC605" s="447"/>
      <c r="BD605" s="447"/>
      <c r="BE605" s="447"/>
      <c r="BF605" s="447"/>
      <c r="BG605" s="447"/>
      <c r="BH605" s="447"/>
      <c r="BI605" s="447"/>
      <c r="BJ605" s="447"/>
      <c r="BK605" s="447"/>
      <c r="BL605" s="447"/>
      <c r="BM605" s="448"/>
      <c r="BN605" s="448"/>
    </row>
    <row r="606" spans="1:66" ht="11.25" customHeight="1">
      <c r="A606" s="469"/>
      <c r="B606" s="447"/>
      <c r="C606" s="447"/>
      <c r="D606" s="447"/>
      <c r="E606" s="447"/>
      <c r="F606" s="447"/>
      <c r="G606" s="447"/>
      <c r="H606" s="447"/>
      <c r="I606" s="447"/>
      <c r="J606" s="447"/>
      <c r="K606" s="447"/>
      <c r="L606" s="447"/>
      <c r="M606" s="447"/>
      <c r="N606" s="447"/>
      <c r="O606" s="447"/>
      <c r="P606" s="447"/>
      <c r="Q606" s="447"/>
      <c r="R606" s="447"/>
      <c r="S606" s="447"/>
      <c r="T606" s="447"/>
      <c r="U606" s="447"/>
      <c r="V606" s="447"/>
      <c r="W606" s="447"/>
      <c r="X606" s="447"/>
      <c r="Y606" s="447"/>
      <c r="Z606" s="447"/>
      <c r="AA606" s="447"/>
      <c r="AB606" s="447"/>
      <c r="AC606" s="447"/>
      <c r="AD606" s="447"/>
      <c r="AE606" s="447"/>
      <c r="AF606" s="448"/>
      <c r="AG606" s="448"/>
      <c r="AH606" s="448"/>
      <c r="AI606" s="447"/>
      <c r="AJ606" s="447"/>
      <c r="AK606" s="447"/>
      <c r="AL606" s="447"/>
      <c r="AM606" s="447"/>
      <c r="AN606" s="447"/>
      <c r="AO606" s="447"/>
      <c r="AP606" s="447"/>
      <c r="AQ606" s="447"/>
      <c r="AR606" s="447"/>
      <c r="AS606" s="447"/>
      <c r="AT606" s="447"/>
      <c r="AU606" s="447"/>
      <c r="AV606" s="447"/>
      <c r="AW606" s="447"/>
      <c r="AX606" s="447"/>
      <c r="AY606" s="447"/>
      <c r="AZ606" s="447"/>
      <c r="BA606" s="447"/>
      <c r="BB606" s="447"/>
      <c r="BC606" s="447"/>
      <c r="BD606" s="447"/>
      <c r="BE606" s="447"/>
      <c r="BF606" s="447"/>
      <c r="BG606" s="447"/>
      <c r="BH606" s="447"/>
      <c r="BI606" s="447"/>
      <c r="BJ606" s="447"/>
      <c r="BK606" s="447"/>
      <c r="BL606" s="447"/>
      <c r="BM606" s="448"/>
      <c r="BN606" s="448"/>
    </row>
    <row r="607" spans="1:66" ht="11.25" customHeight="1">
      <c r="A607" s="469"/>
      <c r="B607" s="447"/>
      <c r="C607" s="447"/>
      <c r="D607" s="447"/>
      <c r="E607" s="447"/>
      <c r="F607" s="447"/>
      <c r="G607" s="447"/>
      <c r="H607" s="447"/>
      <c r="I607" s="447"/>
      <c r="J607" s="447"/>
      <c r="K607" s="447"/>
      <c r="L607" s="447"/>
      <c r="M607" s="447"/>
      <c r="N607" s="447"/>
      <c r="O607" s="447"/>
      <c r="P607" s="447"/>
      <c r="Q607" s="447"/>
      <c r="R607" s="447"/>
      <c r="S607" s="447"/>
      <c r="T607" s="447"/>
      <c r="U607" s="447"/>
      <c r="V607" s="447"/>
      <c r="W607" s="447"/>
      <c r="X607" s="447"/>
      <c r="Y607" s="447"/>
      <c r="Z607" s="447"/>
      <c r="AA607" s="447"/>
      <c r="AB607" s="447"/>
      <c r="AC607" s="447"/>
      <c r="AD607" s="447"/>
      <c r="AE607" s="447"/>
      <c r="AF607" s="448"/>
      <c r="AG607" s="448"/>
      <c r="AH607" s="448"/>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8"/>
      <c r="BN607" s="448"/>
    </row>
    <row r="608" spans="1:66" ht="11.25" customHeight="1">
      <c r="A608" s="469"/>
      <c r="B608" s="447"/>
      <c r="C608" s="447"/>
      <c r="D608" s="447"/>
      <c r="E608" s="447"/>
      <c r="F608" s="447"/>
      <c r="G608" s="447"/>
      <c r="H608" s="447"/>
      <c r="I608" s="447"/>
      <c r="J608" s="447"/>
      <c r="K608" s="447"/>
      <c r="L608" s="447"/>
      <c r="M608" s="447"/>
      <c r="N608" s="447"/>
      <c r="O608" s="447"/>
      <c r="P608" s="447"/>
      <c r="Q608" s="447"/>
      <c r="R608" s="447"/>
      <c r="S608" s="447"/>
      <c r="T608" s="447"/>
      <c r="U608" s="447"/>
      <c r="V608" s="447"/>
      <c r="W608" s="447"/>
      <c r="X608" s="447"/>
      <c r="Y608" s="447"/>
      <c r="Z608" s="447"/>
      <c r="AA608" s="447"/>
      <c r="AB608" s="447"/>
      <c r="AC608" s="447"/>
      <c r="AD608" s="447"/>
      <c r="AE608" s="447"/>
      <c r="AF608" s="448"/>
      <c r="AG608" s="448"/>
      <c r="AH608" s="448"/>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8"/>
      <c r="BN608" s="448"/>
    </row>
    <row r="609" spans="1:66" ht="11.25" customHeight="1">
      <c r="A609" s="469"/>
      <c r="B609" s="447"/>
      <c r="C609" s="447"/>
      <c r="D609" s="447"/>
      <c r="E609" s="447"/>
      <c r="F609" s="447"/>
      <c r="G609" s="447"/>
      <c r="H609" s="447"/>
      <c r="I609" s="447"/>
      <c r="J609" s="447"/>
      <c r="K609" s="447"/>
      <c r="L609" s="447"/>
      <c r="M609" s="447"/>
      <c r="N609" s="447"/>
      <c r="O609" s="447"/>
      <c r="P609" s="447"/>
      <c r="Q609" s="447"/>
      <c r="R609" s="447"/>
      <c r="S609" s="447"/>
      <c r="T609" s="447"/>
      <c r="U609" s="447"/>
      <c r="V609" s="447"/>
      <c r="W609" s="447"/>
      <c r="X609" s="447"/>
      <c r="Y609" s="447"/>
      <c r="Z609" s="447"/>
      <c r="AA609" s="447"/>
      <c r="AB609" s="447"/>
      <c r="AC609" s="447"/>
      <c r="AD609" s="447"/>
      <c r="AE609" s="447"/>
      <c r="AF609" s="448"/>
      <c r="AG609" s="448"/>
      <c r="AH609" s="448"/>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8"/>
      <c r="BN609" s="448"/>
    </row>
    <row r="610" spans="1:66" ht="11.25" customHeight="1">
      <c r="A610" s="469"/>
      <c r="B610" s="447"/>
      <c r="C610" s="447"/>
      <c r="D610" s="447"/>
      <c r="E610" s="447"/>
      <c r="F610" s="447"/>
      <c r="G610" s="447"/>
      <c r="H610" s="447"/>
      <c r="I610" s="447"/>
      <c r="J610" s="447"/>
      <c r="K610" s="447"/>
      <c r="L610" s="447"/>
      <c r="M610" s="447"/>
      <c r="N610" s="447"/>
      <c r="O610" s="447"/>
      <c r="P610" s="447"/>
      <c r="Q610" s="447"/>
      <c r="R610" s="447"/>
      <c r="S610" s="447"/>
      <c r="T610" s="447"/>
      <c r="U610" s="447"/>
      <c r="V610" s="447"/>
      <c r="W610" s="447"/>
      <c r="X610" s="447"/>
      <c r="Y610" s="447"/>
      <c r="Z610" s="447"/>
      <c r="AA610" s="447"/>
      <c r="AB610" s="447"/>
      <c r="AC610" s="447"/>
      <c r="AD610" s="447"/>
      <c r="AE610" s="447"/>
      <c r="AF610" s="448"/>
      <c r="AG610" s="448"/>
      <c r="AH610" s="448"/>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8"/>
      <c r="BN610" s="448"/>
    </row>
    <row r="611" spans="1:66" ht="11.25" customHeight="1">
      <c r="A611" s="469"/>
      <c r="B611" s="447"/>
      <c r="C611" s="447"/>
      <c r="D611" s="447"/>
      <c r="E611" s="447"/>
      <c r="F611" s="447"/>
      <c r="G611" s="447"/>
      <c r="H611" s="447"/>
      <c r="I611" s="447"/>
      <c r="J611" s="447"/>
      <c r="K611" s="447"/>
      <c r="L611" s="447"/>
      <c r="M611" s="447"/>
      <c r="N611" s="447"/>
      <c r="O611" s="447"/>
      <c r="P611" s="447"/>
      <c r="Q611" s="447"/>
      <c r="R611" s="447"/>
      <c r="S611" s="447"/>
      <c r="T611" s="447"/>
      <c r="U611" s="447"/>
      <c r="V611" s="447"/>
      <c r="W611" s="447"/>
      <c r="X611" s="447"/>
      <c r="Y611" s="447"/>
      <c r="Z611" s="447"/>
      <c r="AA611" s="447"/>
      <c r="AB611" s="447"/>
      <c r="AC611" s="447"/>
      <c r="AD611" s="447"/>
      <c r="AE611" s="447"/>
      <c r="AF611" s="448"/>
      <c r="AG611" s="448"/>
      <c r="AH611" s="448"/>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8"/>
      <c r="BN611" s="448"/>
    </row>
    <row r="612" spans="1:66" ht="11.25" customHeight="1">
      <c r="A612" s="469"/>
      <c r="B612" s="447"/>
      <c r="C612" s="447"/>
      <c r="D612" s="447"/>
      <c r="E612" s="447"/>
      <c r="F612" s="447"/>
      <c r="G612" s="447"/>
      <c r="H612" s="447"/>
      <c r="I612" s="447"/>
      <c r="J612" s="447"/>
      <c r="K612" s="447"/>
      <c r="L612" s="447"/>
      <c r="M612" s="447"/>
      <c r="N612" s="447"/>
      <c r="O612" s="447"/>
      <c r="P612" s="447"/>
      <c r="Q612" s="447"/>
      <c r="R612" s="447"/>
      <c r="S612" s="447"/>
      <c r="T612" s="447"/>
      <c r="U612" s="447"/>
      <c r="V612" s="447"/>
      <c r="W612" s="447"/>
      <c r="X612" s="447"/>
      <c r="Y612" s="447"/>
      <c r="Z612" s="447"/>
      <c r="AA612" s="447"/>
      <c r="AB612" s="447"/>
      <c r="AC612" s="447"/>
      <c r="AD612" s="447"/>
      <c r="AE612" s="447"/>
      <c r="AF612" s="448"/>
      <c r="AG612" s="448"/>
      <c r="AH612" s="448"/>
      <c r="AI612" s="447"/>
      <c r="AJ612" s="447"/>
      <c r="AK612" s="447"/>
      <c r="AL612" s="447"/>
      <c r="AM612" s="447"/>
      <c r="AN612" s="447"/>
      <c r="AO612" s="447"/>
      <c r="AP612" s="447"/>
      <c r="AQ612" s="447"/>
      <c r="AR612" s="447"/>
      <c r="AS612" s="447"/>
      <c r="AT612" s="447"/>
      <c r="AU612" s="447"/>
      <c r="AV612" s="447"/>
      <c r="AW612" s="447"/>
      <c r="AX612" s="447"/>
      <c r="AY612" s="447"/>
      <c r="AZ612" s="447"/>
      <c r="BA612" s="447"/>
      <c r="BB612" s="447"/>
      <c r="BC612" s="447"/>
      <c r="BD612" s="447"/>
      <c r="BE612" s="447"/>
      <c r="BF612" s="447"/>
      <c r="BG612" s="447"/>
      <c r="BH612" s="447"/>
      <c r="BI612" s="447"/>
      <c r="BJ612" s="447"/>
      <c r="BK612" s="447"/>
      <c r="BL612" s="447"/>
      <c r="BM612" s="448"/>
      <c r="BN612" s="448"/>
    </row>
    <row r="613" spans="1:66" ht="11.25" customHeight="1">
      <c r="A613" s="469"/>
      <c r="B613" s="447"/>
      <c r="C613" s="447"/>
      <c r="D613" s="447"/>
      <c r="E613" s="447"/>
      <c r="F613" s="447"/>
      <c r="G613" s="447"/>
      <c r="H613" s="447"/>
      <c r="I613" s="447"/>
      <c r="J613" s="447"/>
      <c r="K613" s="447"/>
      <c r="L613" s="447"/>
      <c r="M613" s="447"/>
      <c r="N613" s="447"/>
      <c r="O613" s="447"/>
      <c r="P613" s="447"/>
      <c r="Q613" s="447"/>
      <c r="R613" s="447"/>
      <c r="S613" s="447"/>
      <c r="T613" s="447"/>
      <c r="U613" s="447"/>
      <c r="V613" s="447"/>
      <c r="W613" s="447"/>
      <c r="X613" s="447"/>
      <c r="Y613" s="447"/>
      <c r="Z613" s="447"/>
      <c r="AA613" s="447"/>
      <c r="AB613" s="447"/>
      <c r="AC613" s="447"/>
      <c r="AD613" s="447"/>
      <c r="AE613" s="447"/>
      <c r="AF613" s="448"/>
      <c r="AG613" s="448"/>
      <c r="AH613" s="448"/>
      <c r="AI613" s="447"/>
      <c r="AJ613" s="447"/>
      <c r="AK613" s="447"/>
      <c r="AL613" s="447"/>
      <c r="AM613" s="447"/>
      <c r="AN613" s="447"/>
      <c r="AO613" s="447"/>
      <c r="AP613" s="447"/>
      <c r="AQ613" s="447"/>
      <c r="AR613" s="447"/>
      <c r="AS613" s="447"/>
      <c r="AT613" s="447"/>
      <c r="AU613" s="447"/>
      <c r="AV613" s="447"/>
      <c r="AW613" s="447"/>
      <c r="AX613" s="447"/>
      <c r="AY613" s="447"/>
      <c r="AZ613" s="447"/>
      <c r="BA613" s="447"/>
      <c r="BB613" s="447"/>
      <c r="BC613" s="447"/>
      <c r="BD613" s="447"/>
      <c r="BE613" s="447"/>
      <c r="BF613" s="447"/>
      <c r="BG613" s="447"/>
      <c r="BH613" s="447"/>
      <c r="BI613" s="447"/>
      <c r="BJ613" s="447"/>
      <c r="BK613" s="447"/>
      <c r="BL613" s="447"/>
      <c r="BM613" s="448"/>
      <c r="BN613" s="448"/>
    </row>
    <row r="614" spans="1:66" ht="11.25" customHeight="1">
      <c r="A614" s="469"/>
      <c r="B614" s="447"/>
      <c r="C614" s="447"/>
      <c r="D614" s="447"/>
      <c r="E614" s="447"/>
      <c r="F614" s="447"/>
      <c r="G614" s="447"/>
      <c r="H614" s="447"/>
      <c r="I614" s="447"/>
      <c r="J614" s="447"/>
      <c r="K614" s="447"/>
      <c r="L614" s="447"/>
      <c r="M614" s="447"/>
      <c r="N614" s="447"/>
      <c r="O614" s="447"/>
      <c r="P614" s="447"/>
      <c r="Q614" s="447"/>
      <c r="R614" s="447"/>
      <c r="S614" s="447"/>
      <c r="T614" s="447"/>
      <c r="U614" s="447"/>
      <c r="V614" s="447"/>
      <c r="W614" s="447"/>
      <c r="X614" s="447"/>
      <c r="Y614" s="447"/>
      <c r="Z614" s="447"/>
      <c r="AA614" s="447"/>
      <c r="AB614" s="447"/>
      <c r="AC614" s="447"/>
      <c r="AD614" s="447"/>
      <c r="AE614" s="447"/>
      <c r="AF614" s="448"/>
      <c r="AG614" s="448"/>
      <c r="AH614" s="448"/>
      <c r="AI614" s="447"/>
      <c r="AJ614" s="447"/>
      <c r="AK614" s="447"/>
      <c r="AL614" s="447"/>
      <c r="AM614" s="447"/>
      <c r="AN614" s="447"/>
      <c r="AO614" s="447"/>
      <c r="AP614" s="447"/>
      <c r="AQ614" s="447"/>
      <c r="AR614" s="447"/>
      <c r="AS614" s="447"/>
      <c r="AT614" s="447"/>
      <c r="AU614" s="447"/>
      <c r="AV614" s="447"/>
      <c r="AW614" s="447"/>
      <c r="AX614" s="447"/>
      <c r="AY614" s="447"/>
      <c r="AZ614" s="447"/>
      <c r="BA614" s="447"/>
      <c r="BB614" s="447"/>
      <c r="BC614" s="447"/>
      <c r="BD614" s="447"/>
      <c r="BE614" s="447"/>
      <c r="BF614" s="447"/>
      <c r="BG614" s="447"/>
      <c r="BH614" s="447"/>
      <c r="BI614" s="447"/>
      <c r="BJ614" s="447"/>
      <c r="BK614" s="447"/>
      <c r="BL614" s="447"/>
      <c r="BM614" s="448"/>
      <c r="BN614" s="448"/>
    </row>
    <row r="615" spans="1:66" ht="11.25" customHeight="1">
      <c r="A615" s="469"/>
      <c r="B615" s="447"/>
      <c r="C615" s="447"/>
      <c r="D615" s="447"/>
      <c r="E615" s="447"/>
      <c r="F615" s="447"/>
      <c r="G615" s="447"/>
      <c r="H615" s="447"/>
      <c r="I615" s="447"/>
      <c r="J615" s="447"/>
      <c r="K615" s="447"/>
      <c r="L615" s="447"/>
      <c r="M615" s="447"/>
      <c r="N615" s="447"/>
      <c r="O615" s="447"/>
      <c r="P615" s="447"/>
      <c r="Q615" s="447"/>
      <c r="R615" s="447"/>
      <c r="S615" s="447"/>
      <c r="T615" s="447"/>
      <c r="U615" s="447"/>
      <c r="V615" s="447"/>
      <c r="W615" s="447"/>
      <c r="X615" s="447"/>
      <c r="Y615" s="447"/>
      <c r="Z615" s="447"/>
      <c r="AA615" s="447"/>
      <c r="AB615" s="447"/>
      <c r="AC615" s="447"/>
      <c r="AD615" s="447"/>
      <c r="AE615" s="447"/>
      <c r="AF615" s="448"/>
      <c r="AG615" s="448"/>
      <c r="AH615" s="448"/>
      <c r="AI615" s="447"/>
      <c r="AJ615" s="447"/>
      <c r="AK615" s="447"/>
      <c r="AL615" s="447"/>
      <c r="AM615" s="447"/>
      <c r="AN615" s="447"/>
      <c r="AO615" s="447"/>
      <c r="AP615" s="447"/>
      <c r="AQ615" s="447"/>
      <c r="AR615" s="447"/>
      <c r="AS615" s="447"/>
      <c r="AT615" s="447"/>
      <c r="AU615" s="447"/>
      <c r="AV615" s="447"/>
      <c r="AW615" s="447"/>
      <c r="AX615" s="447"/>
      <c r="AY615" s="447"/>
      <c r="AZ615" s="447"/>
      <c r="BA615" s="447"/>
      <c r="BB615" s="447"/>
      <c r="BC615" s="447"/>
      <c r="BD615" s="447"/>
      <c r="BE615" s="447"/>
      <c r="BF615" s="447"/>
      <c r="BG615" s="447"/>
      <c r="BH615" s="447"/>
      <c r="BI615" s="447"/>
      <c r="BJ615" s="447"/>
      <c r="BK615" s="447"/>
      <c r="BL615" s="447"/>
      <c r="BM615" s="448"/>
      <c r="BN615" s="448"/>
    </row>
    <row r="616" spans="1:66" ht="11.25" customHeight="1">
      <c r="A616" s="469"/>
      <c r="B616" s="447"/>
      <c r="C616" s="447"/>
      <c r="D616" s="447"/>
      <c r="E616" s="447"/>
      <c r="F616" s="447"/>
      <c r="G616" s="447"/>
      <c r="H616" s="447"/>
      <c r="I616" s="447"/>
      <c r="J616" s="447"/>
      <c r="K616" s="447"/>
      <c r="L616" s="447"/>
      <c r="M616" s="447"/>
      <c r="N616" s="447"/>
      <c r="O616" s="447"/>
      <c r="P616" s="447"/>
      <c r="Q616" s="447"/>
      <c r="R616" s="447"/>
      <c r="S616" s="447"/>
      <c r="T616" s="447"/>
      <c r="U616" s="447"/>
      <c r="V616" s="447"/>
      <c r="W616" s="447"/>
      <c r="X616" s="447"/>
      <c r="Y616" s="447"/>
      <c r="Z616" s="447"/>
      <c r="AA616" s="447"/>
      <c r="AB616" s="447"/>
      <c r="AC616" s="447"/>
      <c r="AD616" s="447"/>
      <c r="AE616" s="447"/>
      <c r="AF616" s="448"/>
      <c r="AG616" s="448"/>
      <c r="AH616" s="448"/>
      <c r="AI616" s="447"/>
      <c r="AJ616" s="447"/>
      <c r="AK616" s="447"/>
      <c r="AL616" s="447"/>
      <c r="AM616" s="447"/>
      <c r="AN616" s="447"/>
      <c r="AO616" s="447"/>
      <c r="AP616" s="447"/>
      <c r="AQ616" s="447"/>
      <c r="AR616" s="447"/>
      <c r="AS616" s="447"/>
      <c r="AT616" s="447"/>
      <c r="AU616" s="447"/>
      <c r="AV616" s="447"/>
      <c r="AW616" s="447"/>
      <c r="AX616" s="447"/>
      <c r="AY616" s="447"/>
      <c r="AZ616" s="447"/>
      <c r="BA616" s="447"/>
      <c r="BB616" s="447"/>
      <c r="BC616" s="447"/>
      <c r="BD616" s="447"/>
      <c r="BE616" s="447"/>
      <c r="BF616" s="447"/>
      <c r="BG616" s="447"/>
      <c r="BH616" s="447"/>
      <c r="BI616" s="447"/>
      <c r="BJ616" s="447"/>
      <c r="BK616" s="447"/>
      <c r="BL616" s="447"/>
      <c r="BM616" s="448"/>
      <c r="BN616" s="448"/>
    </row>
    <row r="617" spans="1:66" ht="11.25" customHeight="1">
      <c r="A617" s="469"/>
      <c r="B617" s="447"/>
      <c r="C617" s="447"/>
      <c r="D617" s="447"/>
      <c r="E617" s="447"/>
      <c r="F617" s="447"/>
      <c r="G617" s="447"/>
      <c r="H617" s="447"/>
      <c r="I617" s="447"/>
      <c r="J617" s="447"/>
      <c r="K617" s="447"/>
      <c r="L617" s="447"/>
      <c r="M617" s="447"/>
      <c r="N617" s="447"/>
      <c r="O617" s="447"/>
      <c r="P617" s="447"/>
      <c r="Q617" s="447"/>
      <c r="R617" s="447"/>
      <c r="S617" s="447"/>
      <c r="T617" s="447"/>
      <c r="U617" s="447"/>
      <c r="V617" s="447"/>
      <c r="W617" s="447"/>
      <c r="X617" s="447"/>
      <c r="Y617" s="447"/>
      <c r="Z617" s="447"/>
      <c r="AA617" s="447"/>
      <c r="AB617" s="447"/>
      <c r="AC617" s="447"/>
      <c r="AD617" s="447"/>
      <c r="AE617" s="447"/>
      <c r="AF617" s="448"/>
      <c r="AG617" s="448"/>
      <c r="AH617" s="448"/>
      <c r="AI617" s="447"/>
      <c r="AJ617" s="447"/>
      <c r="AK617" s="447"/>
      <c r="AL617" s="447"/>
      <c r="AM617" s="447"/>
      <c r="AN617" s="447"/>
      <c r="AO617" s="447"/>
      <c r="AP617" s="447"/>
      <c r="AQ617" s="447"/>
      <c r="AR617" s="447"/>
      <c r="AS617" s="447"/>
      <c r="AT617" s="447"/>
      <c r="AU617" s="447"/>
      <c r="AV617" s="447"/>
      <c r="AW617" s="447"/>
      <c r="AX617" s="447"/>
      <c r="AY617" s="447"/>
      <c r="AZ617" s="447"/>
      <c r="BA617" s="447"/>
      <c r="BB617" s="447"/>
      <c r="BC617" s="447"/>
      <c r="BD617" s="447"/>
      <c r="BE617" s="447"/>
      <c r="BF617" s="447"/>
      <c r="BG617" s="447"/>
      <c r="BH617" s="447"/>
      <c r="BI617" s="447"/>
      <c r="BJ617" s="447"/>
      <c r="BK617" s="447"/>
      <c r="BL617" s="447"/>
      <c r="BM617" s="448"/>
      <c r="BN617" s="448"/>
    </row>
    <row r="618" spans="1:66" ht="11.25" customHeight="1">
      <c r="A618" s="469"/>
      <c r="B618" s="447"/>
      <c r="C618" s="447"/>
      <c r="D618" s="447"/>
      <c r="E618" s="447"/>
      <c r="F618" s="447"/>
      <c r="G618" s="447"/>
      <c r="H618" s="447"/>
      <c r="I618" s="447"/>
      <c r="J618" s="447"/>
      <c r="K618" s="447"/>
      <c r="L618" s="447"/>
      <c r="M618" s="447"/>
      <c r="N618" s="447"/>
      <c r="O618" s="447"/>
      <c r="P618" s="447"/>
      <c r="Q618" s="447"/>
      <c r="R618" s="447"/>
      <c r="S618" s="447"/>
      <c r="T618" s="447"/>
      <c r="U618" s="447"/>
      <c r="V618" s="447"/>
      <c r="W618" s="447"/>
      <c r="X618" s="447"/>
      <c r="Y618" s="447"/>
      <c r="Z618" s="447"/>
      <c r="AA618" s="447"/>
      <c r="AB618" s="447"/>
      <c r="AC618" s="447"/>
      <c r="AD618" s="447"/>
      <c r="AE618" s="447"/>
      <c r="AF618" s="448"/>
      <c r="AG618" s="448"/>
      <c r="AH618" s="448"/>
      <c r="AI618" s="447"/>
      <c r="AJ618" s="447"/>
      <c r="AK618" s="447"/>
      <c r="AL618" s="447"/>
      <c r="AM618" s="447"/>
      <c r="AN618" s="447"/>
      <c r="AO618" s="447"/>
      <c r="AP618" s="447"/>
      <c r="AQ618" s="447"/>
      <c r="AR618" s="447"/>
      <c r="AS618" s="447"/>
      <c r="AT618" s="447"/>
      <c r="AU618" s="447"/>
      <c r="AV618" s="447"/>
      <c r="AW618" s="447"/>
      <c r="AX618" s="447"/>
      <c r="AY618" s="447"/>
      <c r="AZ618" s="447"/>
      <c r="BA618" s="447"/>
      <c r="BB618" s="447"/>
      <c r="BC618" s="447"/>
      <c r="BD618" s="447"/>
      <c r="BE618" s="447"/>
      <c r="BF618" s="447"/>
      <c r="BG618" s="447"/>
      <c r="BH618" s="447"/>
      <c r="BI618" s="447"/>
      <c r="BJ618" s="447"/>
      <c r="BK618" s="447"/>
      <c r="BL618" s="447"/>
      <c r="BM618" s="448"/>
      <c r="BN618" s="448"/>
    </row>
    <row r="619" spans="1:66" ht="11.25" customHeight="1">
      <c r="A619" s="469"/>
      <c r="B619" s="447"/>
      <c r="C619" s="447"/>
      <c r="D619" s="447"/>
      <c r="E619" s="447"/>
      <c r="F619" s="447"/>
      <c r="G619" s="447"/>
      <c r="H619" s="447"/>
      <c r="I619" s="447"/>
      <c r="J619" s="447"/>
      <c r="K619" s="447"/>
      <c r="L619" s="447"/>
      <c r="M619" s="447"/>
      <c r="N619" s="447"/>
      <c r="O619" s="447"/>
      <c r="P619" s="447"/>
      <c r="Q619" s="447"/>
      <c r="R619" s="447"/>
      <c r="S619" s="447"/>
      <c r="T619" s="447"/>
      <c r="U619" s="447"/>
      <c r="V619" s="447"/>
      <c r="W619" s="447"/>
      <c r="X619" s="447"/>
      <c r="Y619" s="447"/>
      <c r="Z619" s="447"/>
      <c r="AA619" s="447"/>
      <c r="AB619" s="447"/>
      <c r="AC619" s="447"/>
      <c r="AD619" s="447"/>
      <c r="AE619" s="447"/>
      <c r="AF619" s="448"/>
      <c r="AG619" s="448"/>
      <c r="AH619" s="448"/>
      <c r="AI619" s="447"/>
      <c r="AJ619" s="447"/>
      <c r="AK619" s="447"/>
      <c r="AL619" s="447"/>
      <c r="AM619" s="447"/>
      <c r="AN619" s="447"/>
      <c r="AO619" s="447"/>
      <c r="AP619" s="447"/>
      <c r="AQ619" s="447"/>
      <c r="AR619" s="447"/>
      <c r="AS619" s="447"/>
      <c r="AT619" s="447"/>
      <c r="AU619" s="447"/>
      <c r="AV619" s="447"/>
      <c r="AW619" s="447"/>
      <c r="AX619" s="447"/>
      <c r="AY619" s="447"/>
      <c r="AZ619" s="447"/>
      <c r="BA619" s="447"/>
      <c r="BB619" s="447"/>
      <c r="BC619" s="447"/>
      <c r="BD619" s="447"/>
      <c r="BE619" s="447"/>
      <c r="BF619" s="447"/>
      <c r="BG619" s="447"/>
      <c r="BH619" s="447"/>
      <c r="BI619" s="447"/>
      <c r="BJ619" s="447"/>
      <c r="BK619" s="447"/>
      <c r="BL619" s="447"/>
      <c r="BM619" s="448"/>
      <c r="BN619" s="448"/>
    </row>
    <row r="620" spans="1:66" ht="11.25" customHeight="1">
      <c r="A620" s="469"/>
      <c r="B620" s="447"/>
      <c r="C620" s="447"/>
      <c r="D620" s="447"/>
      <c r="E620" s="447"/>
      <c r="F620" s="447"/>
      <c r="G620" s="447"/>
      <c r="H620" s="447"/>
      <c r="I620" s="447"/>
      <c r="J620" s="447"/>
      <c r="K620" s="447"/>
      <c r="L620" s="447"/>
      <c r="M620" s="447"/>
      <c r="N620" s="447"/>
      <c r="O620" s="447"/>
      <c r="P620" s="447"/>
      <c r="Q620" s="447"/>
      <c r="R620" s="447"/>
      <c r="S620" s="447"/>
      <c r="T620" s="447"/>
      <c r="U620" s="447"/>
      <c r="V620" s="447"/>
      <c r="W620" s="447"/>
      <c r="X620" s="447"/>
      <c r="Y620" s="447"/>
      <c r="Z620" s="447"/>
      <c r="AA620" s="447"/>
      <c r="AB620" s="447"/>
      <c r="AC620" s="447"/>
      <c r="AD620" s="447"/>
      <c r="AE620" s="447"/>
      <c r="AF620" s="448"/>
      <c r="AG620" s="448"/>
      <c r="AH620" s="448"/>
      <c r="AI620" s="447"/>
      <c r="AJ620" s="447"/>
      <c r="AK620" s="447"/>
      <c r="AL620" s="447"/>
      <c r="AM620" s="447"/>
      <c r="AN620" s="447"/>
      <c r="AO620" s="447"/>
      <c r="AP620" s="447"/>
      <c r="AQ620" s="447"/>
      <c r="AR620" s="447"/>
      <c r="AS620" s="447"/>
      <c r="AT620" s="447"/>
      <c r="AU620" s="447"/>
      <c r="AV620" s="447"/>
      <c r="AW620" s="447"/>
      <c r="AX620" s="447"/>
      <c r="AY620" s="447"/>
      <c r="AZ620" s="447"/>
      <c r="BA620" s="447"/>
      <c r="BB620" s="447"/>
      <c r="BC620" s="447"/>
      <c r="BD620" s="447"/>
      <c r="BE620" s="447"/>
      <c r="BF620" s="447"/>
      <c r="BG620" s="447"/>
      <c r="BH620" s="447"/>
      <c r="BI620" s="447"/>
      <c r="BJ620" s="447"/>
      <c r="BK620" s="447"/>
      <c r="BL620" s="447"/>
      <c r="BM620" s="448"/>
      <c r="BN620" s="448"/>
    </row>
    <row r="621" spans="1:66" ht="11.25" customHeight="1">
      <c r="A621" s="469"/>
      <c r="B621" s="447"/>
      <c r="C621" s="447"/>
      <c r="D621" s="447"/>
      <c r="E621" s="447"/>
      <c r="F621" s="447"/>
      <c r="G621" s="447"/>
      <c r="H621" s="447"/>
      <c r="I621" s="447"/>
      <c r="J621" s="447"/>
      <c r="K621" s="447"/>
      <c r="L621" s="447"/>
      <c r="M621" s="447"/>
      <c r="N621" s="447"/>
      <c r="O621" s="447"/>
      <c r="P621" s="447"/>
      <c r="Q621" s="447"/>
      <c r="R621" s="447"/>
      <c r="S621" s="447"/>
      <c r="T621" s="447"/>
      <c r="U621" s="447"/>
      <c r="V621" s="447"/>
      <c r="W621" s="447"/>
      <c r="X621" s="447"/>
      <c r="Y621" s="447"/>
      <c r="Z621" s="447"/>
      <c r="AA621" s="447"/>
      <c r="AB621" s="447"/>
      <c r="AC621" s="447"/>
      <c r="AD621" s="447"/>
      <c r="AE621" s="447"/>
      <c r="AF621" s="448"/>
      <c r="AG621" s="448"/>
      <c r="AH621" s="448"/>
      <c r="AI621" s="447"/>
      <c r="AJ621" s="447"/>
      <c r="AK621" s="447"/>
      <c r="AL621" s="447"/>
      <c r="AM621" s="447"/>
      <c r="AN621" s="447"/>
      <c r="AO621" s="447"/>
      <c r="AP621" s="447"/>
      <c r="AQ621" s="447"/>
      <c r="AR621" s="447"/>
      <c r="AS621" s="447"/>
      <c r="AT621" s="447"/>
      <c r="AU621" s="447"/>
      <c r="AV621" s="447"/>
      <c r="AW621" s="447"/>
      <c r="AX621" s="447"/>
      <c r="AY621" s="447"/>
      <c r="AZ621" s="447"/>
      <c r="BA621" s="447"/>
      <c r="BB621" s="447"/>
      <c r="BC621" s="447"/>
      <c r="BD621" s="447"/>
      <c r="BE621" s="447"/>
      <c r="BF621" s="447"/>
      <c r="BG621" s="447"/>
      <c r="BH621" s="447"/>
      <c r="BI621" s="447"/>
      <c r="BJ621" s="447"/>
      <c r="BK621" s="447"/>
      <c r="BL621" s="447"/>
      <c r="BM621" s="448"/>
      <c r="BN621" s="448"/>
    </row>
    <row r="622" spans="1:66" ht="11.25" customHeight="1">
      <c r="A622" s="469"/>
      <c r="B622" s="447"/>
      <c r="C622" s="447"/>
      <c r="D622" s="447"/>
      <c r="E622" s="447"/>
      <c r="F622" s="447"/>
      <c r="G622" s="447"/>
      <c r="H622" s="447"/>
      <c r="I622" s="447"/>
      <c r="J622" s="447"/>
      <c r="K622" s="447"/>
      <c r="L622" s="447"/>
      <c r="M622" s="447"/>
      <c r="N622" s="447"/>
      <c r="O622" s="447"/>
      <c r="P622" s="447"/>
      <c r="Q622" s="447"/>
      <c r="R622" s="447"/>
      <c r="S622" s="447"/>
      <c r="T622" s="447"/>
      <c r="U622" s="447"/>
      <c r="V622" s="447"/>
      <c r="W622" s="447"/>
      <c r="X622" s="447"/>
      <c r="Y622" s="447"/>
      <c r="Z622" s="447"/>
      <c r="AA622" s="447"/>
      <c r="AB622" s="447"/>
      <c r="AC622" s="447"/>
      <c r="AD622" s="447"/>
      <c r="AE622" s="447"/>
      <c r="AF622" s="448"/>
      <c r="AG622" s="448"/>
      <c r="AH622" s="448"/>
      <c r="AI622" s="447"/>
      <c r="AJ622" s="447"/>
      <c r="AK622" s="447"/>
      <c r="AL622" s="447"/>
      <c r="AM622" s="447"/>
      <c r="AN622" s="447"/>
      <c r="AO622" s="447"/>
      <c r="AP622" s="447"/>
      <c r="AQ622" s="447"/>
      <c r="AR622" s="447"/>
      <c r="AS622" s="447"/>
      <c r="AT622" s="447"/>
      <c r="AU622" s="447"/>
      <c r="AV622" s="447"/>
      <c r="AW622" s="447"/>
      <c r="AX622" s="447"/>
      <c r="AY622" s="447"/>
      <c r="AZ622" s="447"/>
      <c r="BA622" s="447"/>
      <c r="BB622" s="447"/>
      <c r="BC622" s="447"/>
      <c r="BD622" s="447"/>
      <c r="BE622" s="447"/>
      <c r="BF622" s="447"/>
      <c r="BG622" s="447"/>
      <c r="BH622" s="447"/>
      <c r="BI622" s="447"/>
      <c r="BJ622" s="447"/>
      <c r="BK622" s="447"/>
      <c r="BL622" s="447"/>
      <c r="BM622" s="448"/>
      <c r="BN622" s="448"/>
    </row>
    <row r="623" spans="1:66" ht="11.25" customHeight="1">
      <c r="A623" s="469"/>
      <c r="B623" s="447"/>
      <c r="C623" s="447"/>
      <c r="D623" s="447"/>
      <c r="E623" s="447"/>
      <c r="F623" s="447"/>
      <c r="G623" s="447"/>
      <c r="H623" s="447"/>
      <c r="I623" s="447"/>
      <c r="J623" s="447"/>
      <c r="K623" s="447"/>
      <c r="L623" s="447"/>
      <c r="M623" s="447"/>
      <c r="N623" s="447"/>
      <c r="O623" s="447"/>
      <c r="P623" s="447"/>
      <c r="Q623" s="447"/>
      <c r="R623" s="447"/>
      <c r="S623" s="447"/>
      <c r="T623" s="447"/>
      <c r="U623" s="447"/>
      <c r="V623" s="447"/>
      <c r="W623" s="447"/>
      <c r="X623" s="447"/>
      <c r="Y623" s="447"/>
      <c r="Z623" s="447"/>
      <c r="AA623" s="447"/>
      <c r="AB623" s="447"/>
      <c r="AC623" s="447"/>
      <c r="AD623" s="447"/>
      <c r="AE623" s="447"/>
      <c r="AF623" s="448"/>
      <c r="AG623" s="448"/>
      <c r="AH623" s="448"/>
      <c r="AI623" s="447"/>
      <c r="AJ623" s="447"/>
      <c r="AK623" s="447"/>
      <c r="AL623" s="447"/>
      <c r="AM623" s="447"/>
      <c r="AN623" s="447"/>
      <c r="AO623" s="447"/>
      <c r="AP623" s="447"/>
      <c r="AQ623" s="447"/>
      <c r="AR623" s="447"/>
      <c r="AS623" s="447"/>
      <c r="AT623" s="447"/>
      <c r="AU623" s="447"/>
      <c r="AV623" s="447"/>
      <c r="AW623" s="447"/>
      <c r="AX623" s="447"/>
      <c r="AY623" s="447"/>
      <c r="AZ623" s="447"/>
      <c r="BA623" s="447"/>
      <c r="BB623" s="447"/>
      <c r="BC623" s="447"/>
      <c r="BD623" s="447"/>
      <c r="BE623" s="447"/>
      <c r="BF623" s="447"/>
      <c r="BG623" s="447"/>
      <c r="BH623" s="447"/>
      <c r="BI623" s="447"/>
      <c r="BJ623" s="447"/>
      <c r="BK623" s="447"/>
      <c r="BL623" s="447"/>
      <c r="BM623" s="448"/>
      <c r="BN623" s="448"/>
    </row>
    <row r="624" spans="1:66" ht="11.25" customHeight="1">
      <c r="A624" s="469"/>
      <c r="B624" s="447"/>
      <c r="C624" s="447"/>
      <c r="D624" s="447"/>
      <c r="E624" s="447"/>
      <c r="F624" s="447"/>
      <c r="G624" s="447"/>
      <c r="H624" s="447"/>
      <c r="I624" s="447"/>
      <c r="J624" s="447"/>
      <c r="K624" s="447"/>
      <c r="L624" s="447"/>
      <c r="M624" s="447"/>
      <c r="N624" s="447"/>
      <c r="O624" s="447"/>
      <c r="P624" s="447"/>
      <c r="Q624" s="447"/>
      <c r="R624" s="447"/>
      <c r="S624" s="447"/>
      <c r="T624" s="447"/>
      <c r="U624" s="447"/>
      <c r="V624" s="447"/>
      <c r="W624" s="447"/>
      <c r="X624" s="447"/>
      <c r="Y624" s="447"/>
      <c r="Z624" s="447"/>
      <c r="AA624" s="447"/>
      <c r="AB624" s="447"/>
      <c r="AC624" s="447"/>
      <c r="AD624" s="447"/>
      <c r="AE624" s="447"/>
      <c r="AF624" s="448"/>
      <c r="AG624" s="448"/>
      <c r="AH624" s="448"/>
      <c r="AI624" s="447"/>
      <c r="AJ624" s="447"/>
      <c r="AK624" s="447"/>
      <c r="AL624" s="447"/>
      <c r="AM624" s="447"/>
      <c r="AN624" s="447"/>
      <c r="AO624" s="447"/>
      <c r="AP624" s="447"/>
      <c r="AQ624" s="447"/>
      <c r="AR624" s="447"/>
      <c r="AS624" s="447"/>
      <c r="AT624" s="447"/>
      <c r="AU624" s="447"/>
      <c r="AV624" s="447"/>
      <c r="AW624" s="447"/>
      <c r="AX624" s="447"/>
      <c r="AY624" s="447"/>
      <c r="AZ624" s="447"/>
      <c r="BA624" s="447"/>
      <c r="BB624" s="447"/>
      <c r="BC624" s="447"/>
      <c r="BD624" s="447"/>
      <c r="BE624" s="447"/>
      <c r="BF624" s="447"/>
      <c r="BG624" s="447"/>
      <c r="BH624" s="447"/>
      <c r="BI624" s="447"/>
      <c r="BJ624" s="447"/>
      <c r="BK624" s="447"/>
      <c r="BL624" s="447"/>
      <c r="BM624" s="448"/>
      <c r="BN624" s="448"/>
    </row>
    <row r="625" spans="1:66" ht="11.25" customHeight="1">
      <c r="A625" s="469"/>
      <c r="B625" s="447"/>
      <c r="C625" s="447"/>
      <c r="D625" s="447"/>
      <c r="E625" s="447"/>
      <c r="F625" s="447"/>
      <c r="G625" s="447"/>
      <c r="H625" s="447"/>
      <c r="I625" s="447"/>
      <c r="J625" s="447"/>
      <c r="K625" s="447"/>
      <c r="L625" s="447"/>
      <c r="M625" s="447"/>
      <c r="N625" s="447"/>
      <c r="O625" s="447"/>
      <c r="P625" s="447"/>
      <c r="Q625" s="447"/>
      <c r="R625" s="447"/>
      <c r="S625" s="447"/>
      <c r="T625" s="447"/>
      <c r="U625" s="447"/>
      <c r="V625" s="447"/>
      <c r="W625" s="447"/>
      <c r="X625" s="447"/>
      <c r="Y625" s="447"/>
      <c r="Z625" s="447"/>
      <c r="AA625" s="447"/>
      <c r="AB625" s="447"/>
      <c r="AC625" s="447"/>
      <c r="AD625" s="447"/>
      <c r="AE625" s="447"/>
      <c r="AF625" s="448"/>
      <c r="AG625" s="448"/>
      <c r="AH625" s="448"/>
      <c r="AI625" s="447"/>
      <c r="AJ625" s="447"/>
      <c r="AK625" s="447"/>
      <c r="AL625" s="447"/>
      <c r="AM625" s="447"/>
      <c r="AN625" s="447"/>
      <c r="AO625" s="447"/>
      <c r="AP625" s="447"/>
      <c r="AQ625" s="447"/>
      <c r="AR625" s="447"/>
      <c r="AS625" s="447"/>
      <c r="AT625" s="447"/>
      <c r="AU625" s="447"/>
      <c r="AV625" s="447"/>
      <c r="AW625" s="447"/>
      <c r="AX625" s="447"/>
      <c r="AY625" s="447"/>
      <c r="AZ625" s="447"/>
      <c r="BA625" s="447"/>
      <c r="BB625" s="447"/>
      <c r="BC625" s="447"/>
      <c r="BD625" s="447"/>
      <c r="BE625" s="447"/>
      <c r="BF625" s="447"/>
      <c r="BG625" s="447"/>
      <c r="BH625" s="447"/>
      <c r="BI625" s="447"/>
      <c r="BJ625" s="447"/>
      <c r="BK625" s="447"/>
      <c r="BL625" s="447"/>
      <c r="BM625" s="448"/>
      <c r="BN625" s="448"/>
    </row>
    <row r="626" spans="1:66" ht="11.25" customHeight="1">
      <c r="A626" s="469"/>
      <c r="B626" s="447"/>
      <c r="C626" s="447"/>
      <c r="D626" s="447"/>
      <c r="E626" s="447"/>
      <c r="F626" s="447"/>
      <c r="G626" s="447"/>
      <c r="H626" s="447"/>
      <c r="I626" s="447"/>
      <c r="J626" s="447"/>
      <c r="K626" s="447"/>
      <c r="L626" s="447"/>
      <c r="M626" s="447"/>
      <c r="N626" s="447"/>
      <c r="O626" s="447"/>
      <c r="P626" s="447"/>
      <c r="Q626" s="447"/>
      <c r="R626" s="447"/>
      <c r="S626" s="447"/>
      <c r="T626" s="447"/>
      <c r="U626" s="447"/>
      <c r="V626" s="447"/>
      <c r="W626" s="447"/>
      <c r="X626" s="447"/>
      <c r="Y626" s="447"/>
      <c r="Z626" s="447"/>
      <c r="AA626" s="447"/>
      <c r="AB626" s="447"/>
      <c r="AC626" s="447"/>
      <c r="AD626" s="447"/>
      <c r="AE626" s="447"/>
      <c r="AF626" s="448"/>
      <c r="AG626" s="448"/>
      <c r="AH626" s="448"/>
      <c r="AI626" s="447"/>
      <c r="AJ626" s="447"/>
      <c r="AK626" s="447"/>
      <c r="AL626" s="447"/>
      <c r="AM626" s="447"/>
      <c r="AN626" s="447"/>
      <c r="AO626" s="447"/>
      <c r="AP626" s="447"/>
      <c r="AQ626" s="447"/>
      <c r="AR626" s="447"/>
      <c r="AS626" s="447"/>
      <c r="AT626" s="447"/>
      <c r="AU626" s="447"/>
      <c r="AV626" s="447"/>
      <c r="AW626" s="447"/>
      <c r="AX626" s="447"/>
      <c r="AY626" s="447"/>
      <c r="AZ626" s="447"/>
      <c r="BA626" s="447"/>
      <c r="BB626" s="447"/>
      <c r="BC626" s="447"/>
      <c r="BD626" s="447"/>
      <c r="BE626" s="447"/>
      <c r="BF626" s="447"/>
      <c r="BG626" s="447"/>
      <c r="BH626" s="447"/>
      <c r="BI626" s="447"/>
      <c r="BJ626" s="447"/>
      <c r="BK626" s="447"/>
      <c r="BL626" s="447"/>
      <c r="BM626" s="448"/>
      <c r="BN626" s="448"/>
    </row>
    <row r="627" spans="1:66" ht="11.25" customHeight="1">
      <c r="A627" s="469"/>
      <c r="B627" s="447"/>
      <c r="C627" s="447"/>
      <c r="D627" s="447"/>
      <c r="E627" s="447"/>
      <c r="F627" s="447"/>
      <c r="G627" s="447"/>
      <c r="H627" s="447"/>
      <c r="I627" s="447"/>
      <c r="J627" s="447"/>
      <c r="K627" s="447"/>
      <c r="L627" s="447"/>
      <c r="M627" s="447"/>
      <c r="N627" s="447"/>
      <c r="O627" s="447"/>
      <c r="P627" s="447"/>
      <c r="Q627" s="447"/>
      <c r="R627" s="447"/>
      <c r="S627" s="447"/>
      <c r="T627" s="447"/>
      <c r="U627" s="447"/>
      <c r="V627" s="447"/>
      <c r="W627" s="447"/>
      <c r="X627" s="447"/>
      <c r="Y627" s="447"/>
      <c r="Z627" s="447"/>
      <c r="AA627" s="447"/>
      <c r="AB627" s="447"/>
      <c r="AC627" s="447"/>
      <c r="AD627" s="447"/>
      <c r="AE627" s="447"/>
      <c r="AF627" s="448"/>
      <c r="AG627" s="448"/>
      <c r="AH627" s="448"/>
      <c r="AI627" s="447"/>
      <c r="AJ627" s="447"/>
      <c r="AK627" s="447"/>
      <c r="AL627" s="447"/>
      <c r="AM627" s="447"/>
      <c r="AN627" s="447"/>
      <c r="AO627" s="447"/>
      <c r="AP627" s="447"/>
      <c r="AQ627" s="447"/>
      <c r="AR627" s="447"/>
      <c r="AS627" s="447"/>
      <c r="AT627" s="447"/>
      <c r="AU627" s="447"/>
      <c r="AV627" s="447"/>
      <c r="AW627" s="447"/>
      <c r="AX627" s="447"/>
      <c r="AY627" s="447"/>
      <c r="AZ627" s="447"/>
      <c r="BA627" s="447"/>
      <c r="BB627" s="447"/>
      <c r="BC627" s="447"/>
      <c r="BD627" s="447"/>
      <c r="BE627" s="447"/>
      <c r="BF627" s="447"/>
      <c r="BG627" s="447"/>
      <c r="BH627" s="447"/>
      <c r="BI627" s="447"/>
      <c r="BJ627" s="447"/>
      <c r="BK627" s="447"/>
      <c r="BL627" s="447"/>
      <c r="BM627" s="448"/>
      <c r="BN627" s="448"/>
    </row>
    <row r="628" spans="1:66" ht="11.25" customHeight="1">
      <c r="A628" s="469"/>
      <c r="B628" s="447"/>
      <c r="C628" s="447"/>
      <c r="D628" s="447"/>
      <c r="E628" s="447"/>
      <c r="F628" s="447"/>
      <c r="G628" s="447"/>
      <c r="H628" s="447"/>
      <c r="I628" s="447"/>
      <c r="J628" s="447"/>
      <c r="K628" s="447"/>
      <c r="L628" s="447"/>
      <c r="M628" s="447"/>
      <c r="N628" s="447"/>
      <c r="O628" s="447"/>
      <c r="P628" s="447"/>
      <c r="Q628" s="447"/>
      <c r="R628" s="447"/>
      <c r="S628" s="447"/>
      <c r="T628" s="447"/>
      <c r="U628" s="447"/>
      <c r="V628" s="447"/>
      <c r="W628" s="447"/>
      <c r="X628" s="447"/>
      <c r="Y628" s="447"/>
      <c r="Z628" s="447"/>
      <c r="AA628" s="447"/>
      <c r="AB628" s="447"/>
      <c r="AC628" s="447"/>
      <c r="AD628" s="447"/>
      <c r="AE628" s="447"/>
      <c r="AF628" s="448"/>
      <c r="AG628" s="448"/>
      <c r="AH628" s="448"/>
      <c r="AI628" s="447"/>
      <c r="AJ628" s="447"/>
      <c r="AK628" s="447"/>
      <c r="AL628" s="447"/>
      <c r="AM628" s="447"/>
      <c r="AN628" s="447"/>
      <c r="AO628" s="447"/>
      <c r="AP628" s="447"/>
      <c r="AQ628" s="447"/>
      <c r="AR628" s="447"/>
      <c r="AS628" s="447"/>
      <c r="AT628" s="447"/>
      <c r="AU628" s="447"/>
      <c r="AV628" s="447"/>
      <c r="AW628" s="447"/>
      <c r="AX628" s="447"/>
      <c r="AY628" s="447"/>
      <c r="AZ628" s="447"/>
      <c r="BA628" s="447"/>
      <c r="BB628" s="447"/>
      <c r="BC628" s="447"/>
      <c r="BD628" s="447"/>
      <c r="BE628" s="447"/>
      <c r="BF628" s="447"/>
      <c r="BG628" s="447"/>
      <c r="BH628" s="447"/>
      <c r="BI628" s="447"/>
      <c r="BJ628" s="447"/>
      <c r="BK628" s="447"/>
      <c r="BL628" s="447"/>
      <c r="BM628" s="448"/>
      <c r="BN628" s="448"/>
    </row>
    <row r="629" spans="1:66" ht="11.25" customHeight="1">
      <c r="A629" s="469"/>
      <c r="B629" s="447"/>
      <c r="C629" s="447"/>
      <c r="D629" s="447"/>
      <c r="E629" s="447"/>
      <c r="F629" s="447"/>
      <c r="G629" s="447"/>
      <c r="H629" s="447"/>
      <c r="I629" s="447"/>
      <c r="J629" s="447"/>
      <c r="K629" s="447"/>
      <c r="L629" s="447"/>
      <c r="M629" s="447"/>
      <c r="N629" s="447"/>
      <c r="O629" s="447"/>
      <c r="P629" s="447"/>
      <c r="Q629" s="447"/>
      <c r="R629" s="447"/>
      <c r="S629" s="447"/>
      <c r="T629" s="447"/>
      <c r="U629" s="447"/>
      <c r="V629" s="447"/>
      <c r="W629" s="447"/>
      <c r="X629" s="447"/>
      <c r="Y629" s="447"/>
      <c r="Z629" s="447"/>
      <c r="AA629" s="447"/>
      <c r="AB629" s="447"/>
      <c r="AC629" s="447"/>
      <c r="AD629" s="447"/>
      <c r="AE629" s="447"/>
      <c r="AF629" s="448"/>
      <c r="AG629" s="448"/>
      <c r="AH629" s="448"/>
      <c r="AI629" s="447"/>
      <c r="AJ629" s="447"/>
      <c r="AK629" s="447"/>
      <c r="AL629" s="447"/>
      <c r="AM629" s="447"/>
      <c r="AN629" s="447"/>
      <c r="AO629" s="447"/>
      <c r="AP629" s="447"/>
      <c r="AQ629" s="447"/>
      <c r="AR629" s="447"/>
      <c r="AS629" s="447"/>
      <c r="AT629" s="447"/>
      <c r="AU629" s="447"/>
      <c r="AV629" s="447"/>
      <c r="AW629" s="447"/>
      <c r="AX629" s="447"/>
      <c r="AY629" s="447"/>
      <c r="AZ629" s="447"/>
      <c r="BA629" s="447"/>
      <c r="BB629" s="447"/>
      <c r="BC629" s="447"/>
      <c r="BD629" s="447"/>
      <c r="BE629" s="447"/>
      <c r="BF629" s="447"/>
      <c r="BG629" s="447"/>
      <c r="BH629" s="447"/>
      <c r="BI629" s="447"/>
      <c r="BJ629" s="447"/>
      <c r="BK629" s="447"/>
      <c r="BL629" s="447"/>
      <c r="BM629" s="448"/>
      <c r="BN629" s="448"/>
    </row>
    <row r="630" spans="1:66" ht="11.25" customHeight="1">
      <c r="A630" s="469"/>
      <c r="B630" s="447"/>
      <c r="C630" s="447"/>
      <c r="D630" s="447"/>
      <c r="E630" s="447"/>
      <c r="F630" s="447"/>
      <c r="G630" s="447"/>
      <c r="H630" s="447"/>
      <c r="I630" s="447"/>
      <c r="J630" s="447"/>
      <c r="K630" s="447"/>
      <c r="L630" s="447"/>
      <c r="M630" s="447"/>
      <c r="N630" s="447"/>
      <c r="O630" s="447"/>
      <c r="P630" s="447"/>
      <c r="Q630" s="447"/>
      <c r="R630" s="447"/>
      <c r="S630" s="447"/>
      <c r="T630" s="447"/>
      <c r="U630" s="447"/>
      <c r="V630" s="447"/>
      <c r="W630" s="447"/>
      <c r="X630" s="447"/>
      <c r="Y630" s="447"/>
      <c r="Z630" s="447"/>
      <c r="AA630" s="447"/>
      <c r="AB630" s="447"/>
      <c r="AC630" s="447"/>
      <c r="AD630" s="447"/>
      <c r="AE630" s="447"/>
      <c r="AF630" s="448"/>
      <c r="AG630" s="448"/>
      <c r="AH630" s="448"/>
      <c r="AI630" s="447"/>
      <c r="AJ630" s="447"/>
      <c r="AK630" s="447"/>
      <c r="AL630" s="447"/>
      <c r="AM630" s="447"/>
      <c r="AN630" s="447"/>
      <c r="AO630" s="447"/>
      <c r="AP630" s="447"/>
      <c r="AQ630" s="447"/>
      <c r="AR630" s="447"/>
      <c r="AS630" s="447"/>
      <c r="AT630" s="447"/>
      <c r="AU630" s="447"/>
      <c r="AV630" s="447"/>
      <c r="AW630" s="447"/>
      <c r="AX630" s="447"/>
      <c r="AY630" s="447"/>
      <c r="AZ630" s="447"/>
      <c r="BA630" s="447"/>
      <c r="BB630" s="447"/>
      <c r="BC630" s="447"/>
      <c r="BD630" s="447"/>
      <c r="BE630" s="447"/>
      <c r="BF630" s="447"/>
      <c r="BG630" s="447"/>
      <c r="BH630" s="447"/>
      <c r="BI630" s="447"/>
      <c r="BJ630" s="447"/>
      <c r="BK630" s="447"/>
      <c r="BL630" s="447"/>
      <c r="BM630" s="448"/>
      <c r="BN630" s="448"/>
    </row>
    <row r="631" spans="1:66" ht="11.25" customHeight="1">
      <c r="A631" s="469"/>
      <c r="B631" s="447"/>
      <c r="C631" s="447"/>
      <c r="D631" s="447"/>
      <c r="E631" s="447"/>
      <c r="F631" s="447"/>
      <c r="G631" s="447"/>
      <c r="H631" s="447"/>
      <c r="I631" s="447"/>
      <c r="J631" s="447"/>
      <c r="K631" s="447"/>
      <c r="L631" s="447"/>
      <c r="M631" s="447"/>
      <c r="N631" s="447"/>
      <c r="O631" s="447"/>
      <c r="P631" s="447"/>
      <c r="Q631" s="447"/>
      <c r="R631" s="447"/>
      <c r="S631" s="447"/>
      <c r="T631" s="447"/>
      <c r="U631" s="447"/>
      <c r="V631" s="447"/>
      <c r="W631" s="447"/>
      <c r="X631" s="447"/>
      <c r="Y631" s="447"/>
      <c r="Z631" s="447"/>
      <c r="AA631" s="447"/>
      <c r="AB631" s="447"/>
      <c r="AC631" s="447"/>
      <c r="AD631" s="447"/>
      <c r="AE631" s="447"/>
      <c r="AF631" s="448"/>
      <c r="AG631" s="448"/>
      <c r="AH631" s="448"/>
      <c r="AI631" s="447"/>
      <c r="AJ631" s="447"/>
      <c r="AK631" s="447"/>
      <c r="AL631" s="447"/>
      <c r="AM631" s="447"/>
      <c r="AN631" s="447"/>
      <c r="AO631" s="447"/>
      <c r="AP631" s="447"/>
      <c r="AQ631" s="447"/>
      <c r="AR631" s="447"/>
      <c r="AS631" s="447"/>
      <c r="AT631" s="447"/>
      <c r="AU631" s="447"/>
      <c r="AV631" s="447"/>
      <c r="AW631" s="447"/>
      <c r="AX631" s="447"/>
      <c r="AY631" s="447"/>
      <c r="AZ631" s="447"/>
      <c r="BA631" s="447"/>
      <c r="BB631" s="447"/>
      <c r="BC631" s="447"/>
      <c r="BD631" s="447"/>
      <c r="BE631" s="447"/>
      <c r="BF631" s="447"/>
      <c r="BG631" s="447"/>
      <c r="BH631" s="447"/>
      <c r="BI631" s="447"/>
      <c r="BJ631" s="447"/>
      <c r="BK631" s="447"/>
      <c r="BL631" s="447"/>
      <c r="BM631" s="448"/>
      <c r="BN631" s="448"/>
    </row>
    <row r="632" spans="1:66" ht="11.25" customHeight="1">
      <c r="A632" s="469"/>
      <c r="B632" s="447"/>
      <c r="C632" s="447"/>
      <c r="D632" s="447"/>
      <c r="E632" s="447"/>
      <c r="F632" s="447"/>
      <c r="G632" s="447"/>
      <c r="H632" s="447"/>
      <c r="I632" s="447"/>
      <c r="J632" s="447"/>
      <c r="K632" s="447"/>
      <c r="L632" s="447"/>
      <c r="M632" s="447"/>
      <c r="N632" s="447"/>
      <c r="O632" s="447"/>
      <c r="P632" s="447"/>
      <c r="Q632" s="447"/>
      <c r="R632" s="447"/>
      <c r="S632" s="447"/>
      <c r="T632" s="447"/>
      <c r="U632" s="447"/>
      <c r="V632" s="447"/>
      <c r="W632" s="447"/>
      <c r="X632" s="447"/>
      <c r="Y632" s="447"/>
      <c r="Z632" s="447"/>
      <c r="AA632" s="447"/>
      <c r="AB632" s="447"/>
      <c r="AC632" s="447"/>
      <c r="AD632" s="447"/>
      <c r="AE632" s="447"/>
      <c r="AF632" s="448"/>
      <c r="AG632" s="448"/>
      <c r="AH632" s="448"/>
      <c r="AI632" s="447"/>
      <c r="AJ632" s="447"/>
      <c r="AK632" s="447"/>
      <c r="AL632" s="447"/>
      <c r="AM632" s="447"/>
      <c r="AN632" s="447"/>
      <c r="AO632" s="447"/>
      <c r="AP632" s="447"/>
      <c r="AQ632" s="447"/>
      <c r="AR632" s="447"/>
      <c r="AS632" s="447"/>
      <c r="AT632" s="447"/>
      <c r="AU632" s="447"/>
      <c r="AV632" s="447"/>
      <c r="AW632" s="447"/>
      <c r="AX632" s="447"/>
      <c r="AY632" s="447"/>
      <c r="AZ632" s="447"/>
      <c r="BA632" s="447"/>
      <c r="BB632" s="447"/>
      <c r="BC632" s="447"/>
      <c r="BD632" s="447"/>
      <c r="BE632" s="447"/>
      <c r="BF632" s="447"/>
      <c r="BG632" s="447"/>
      <c r="BH632" s="447"/>
      <c r="BI632" s="447"/>
      <c r="BJ632" s="447"/>
      <c r="BK632" s="447"/>
      <c r="BL632" s="447"/>
      <c r="BM632" s="448"/>
      <c r="BN632" s="448"/>
    </row>
    <row r="633" spans="1:66" ht="11.25" customHeight="1">
      <c r="A633" s="469"/>
      <c r="B633" s="447"/>
      <c r="C633" s="447"/>
      <c r="D633" s="447"/>
      <c r="E633" s="447"/>
      <c r="F633" s="447"/>
      <c r="G633" s="447"/>
      <c r="H633" s="447"/>
      <c r="I633" s="447"/>
      <c r="J633" s="447"/>
      <c r="K633" s="447"/>
      <c r="L633" s="447"/>
      <c r="M633" s="447"/>
      <c r="N633" s="447"/>
      <c r="O633" s="447"/>
      <c r="P633" s="447"/>
      <c r="Q633" s="447"/>
      <c r="R633" s="447"/>
      <c r="S633" s="447"/>
      <c r="T633" s="447"/>
      <c r="U633" s="447"/>
      <c r="V633" s="447"/>
      <c r="W633" s="447"/>
      <c r="X633" s="447"/>
      <c r="Y633" s="447"/>
      <c r="Z633" s="447"/>
      <c r="AA633" s="447"/>
      <c r="AB633" s="447"/>
      <c r="AC633" s="447"/>
      <c r="AD633" s="447"/>
      <c r="AE633" s="447"/>
      <c r="AF633" s="448"/>
      <c r="AG633" s="448"/>
      <c r="AH633" s="448"/>
      <c r="AI633" s="447"/>
      <c r="AJ633" s="447"/>
      <c r="AK633" s="447"/>
      <c r="AL633" s="447"/>
      <c r="AM633" s="447"/>
      <c r="AN633" s="447"/>
      <c r="AO633" s="447"/>
      <c r="AP633" s="447"/>
      <c r="AQ633" s="447"/>
      <c r="AR633" s="447"/>
      <c r="AS633" s="447"/>
      <c r="AT633" s="447"/>
      <c r="AU633" s="447"/>
      <c r="AV633" s="447"/>
      <c r="AW633" s="447"/>
      <c r="AX633" s="447"/>
      <c r="AY633" s="447"/>
      <c r="AZ633" s="447"/>
      <c r="BA633" s="447"/>
      <c r="BB633" s="447"/>
      <c r="BC633" s="447"/>
      <c r="BD633" s="447"/>
      <c r="BE633" s="447"/>
      <c r="BF633" s="447"/>
      <c r="BG633" s="447"/>
      <c r="BH633" s="447"/>
      <c r="BI633" s="447"/>
      <c r="BJ633" s="447"/>
      <c r="BK633" s="447"/>
      <c r="BL633" s="447"/>
      <c r="BM633" s="448"/>
      <c r="BN633" s="448"/>
    </row>
    <row r="634" spans="1:66" ht="11.25" customHeight="1">
      <c r="A634" s="469"/>
      <c r="B634" s="447"/>
      <c r="C634" s="447"/>
      <c r="D634" s="447"/>
      <c r="E634" s="447"/>
      <c r="F634" s="447"/>
      <c r="G634" s="447"/>
      <c r="H634" s="447"/>
      <c r="I634" s="447"/>
      <c r="J634" s="447"/>
      <c r="K634" s="447"/>
      <c r="L634" s="447"/>
      <c r="M634" s="447"/>
      <c r="N634" s="447"/>
      <c r="O634" s="447"/>
      <c r="P634" s="447"/>
      <c r="Q634" s="447"/>
      <c r="R634" s="447"/>
      <c r="S634" s="447"/>
      <c r="T634" s="447"/>
      <c r="U634" s="447"/>
      <c r="V634" s="447"/>
      <c r="W634" s="447"/>
      <c r="X634" s="447"/>
      <c r="Y634" s="447"/>
      <c r="Z634" s="447"/>
      <c r="AA634" s="447"/>
      <c r="AB634" s="447"/>
      <c r="AC634" s="447"/>
      <c r="AD634" s="447"/>
      <c r="AE634" s="447"/>
      <c r="AF634" s="448"/>
      <c r="AG634" s="448"/>
      <c r="AH634" s="448"/>
      <c r="AI634" s="447"/>
      <c r="AJ634" s="447"/>
      <c r="AK634" s="447"/>
      <c r="AL634" s="447"/>
      <c r="AM634" s="447"/>
      <c r="AN634" s="447"/>
      <c r="AO634" s="447"/>
      <c r="AP634" s="447"/>
      <c r="AQ634" s="447"/>
      <c r="AR634" s="447"/>
      <c r="AS634" s="447"/>
      <c r="AT634" s="447"/>
      <c r="AU634" s="447"/>
      <c r="AV634" s="447"/>
      <c r="AW634" s="447"/>
      <c r="AX634" s="447"/>
      <c r="AY634" s="447"/>
      <c r="AZ634" s="447"/>
      <c r="BA634" s="447"/>
      <c r="BB634" s="447"/>
      <c r="BC634" s="447"/>
      <c r="BD634" s="447"/>
      <c r="BE634" s="447"/>
      <c r="BF634" s="447"/>
      <c r="BG634" s="447"/>
      <c r="BH634" s="447"/>
      <c r="BI634" s="447"/>
      <c r="BJ634" s="447"/>
      <c r="BK634" s="447"/>
      <c r="BL634" s="447"/>
      <c r="BM634" s="448"/>
      <c r="BN634" s="448"/>
    </row>
    <row r="635" spans="1:66" ht="11.25" customHeight="1">
      <c r="A635" s="469"/>
      <c r="B635" s="447"/>
      <c r="C635" s="447"/>
      <c r="D635" s="447"/>
      <c r="E635" s="447"/>
      <c r="F635" s="447"/>
      <c r="G635" s="447"/>
      <c r="H635" s="447"/>
      <c r="I635" s="447"/>
      <c r="J635" s="447"/>
      <c r="K635" s="447"/>
      <c r="L635" s="447"/>
      <c r="M635" s="447"/>
      <c r="N635" s="447"/>
      <c r="O635" s="447"/>
      <c r="P635" s="447"/>
      <c r="Q635" s="447"/>
      <c r="R635" s="447"/>
      <c r="S635" s="447"/>
      <c r="T635" s="447"/>
      <c r="U635" s="447"/>
      <c r="V635" s="447"/>
      <c r="W635" s="447"/>
      <c r="X635" s="447"/>
      <c r="Y635" s="447"/>
      <c r="Z635" s="447"/>
      <c r="AA635" s="447"/>
      <c r="AB635" s="447"/>
      <c r="AC635" s="447"/>
      <c r="AD635" s="447"/>
      <c r="AE635" s="447"/>
      <c r="AF635" s="448"/>
      <c r="AG635" s="448"/>
      <c r="AH635" s="448"/>
      <c r="AI635" s="447"/>
      <c r="AJ635" s="447"/>
      <c r="AK635" s="447"/>
      <c r="AL635" s="447"/>
      <c r="AM635" s="447"/>
      <c r="AN635" s="447"/>
      <c r="AO635" s="447"/>
      <c r="AP635" s="447"/>
      <c r="AQ635" s="447"/>
      <c r="AR635" s="447"/>
      <c r="AS635" s="447"/>
      <c r="AT635" s="447"/>
      <c r="AU635" s="447"/>
      <c r="AV635" s="447"/>
      <c r="AW635" s="447"/>
      <c r="AX635" s="447"/>
      <c r="AY635" s="447"/>
      <c r="AZ635" s="447"/>
      <c r="BA635" s="447"/>
      <c r="BB635" s="447"/>
      <c r="BC635" s="447"/>
      <c r="BD635" s="447"/>
      <c r="BE635" s="447"/>
      <c r="BF635" s="447"/>
      <c r="BG635" s="447"/>
      <c r="BH635" s="447"/>
      <c r="BI635" s="447"/>
      <c r="BJ635" s="447"/>
      <c r="BK635" s="447"/>
      <c r="BL635" s="447"/>
      <c r="BM635" s="448"/>
      <c r="BN635" s="448"/>
    </row>
    <row r="636" spans="1:66" ht="11.25" customHeight="1">
      <c r="A636" s="469"/>
      <c r="B636" s="447"/>
      <c r="C636" s="447"/>
      <c r="D636" s="447"/>
      <c r="E636" s="447"/>
      <c r="F636" s="447"/>
      <c r="G636" s="447"/>
      <c r="H636" s="447"/>
      <c r="I636" s="447"/>
      <c r="J636" s="447"/>
      <c r="K636" s="447"/>
      <c r="L636" s="447"/>
      <c r="M636" s="447"/>
      <c r="N636" s="447"/>
      <c r="O636" s="447"/>
      <c r="P636" s="447"/>
      <c r="Q636" s="447"/>
      <c r="R636" s="447"/>
      <c r="S636" s="447"/>
      <c r="T636" s="447"/>
      <c r="U636" s="447"/>
      <c r="V636" s="447"/>
      <c r="W636" s="447"/>
      <c r="X636" s="447"/>
      <c r="Y636" s="447"/>
      <c r="Z636" s="447"/>
      <c r="AA636" s="447"/>
      <c r="AB636" s="447"/>
      <c r="AC636" s="447"/>
      <c r="AD636" s="447"/>
      <c r="AE636" s="447"/>
      <c r="AF636" s="448"/>
      <c r="AG636" s="448"/>
      <c r="AH636" s="448"/>
      <c r="AI636" s="447"/>
      <c r="AJ636" s="447"/>
      <c r="AK636" s="447"/>
      <c r="AL636" s="447"/>
      <c r="AM636" s="447"/>
      <c r="AN636" s="447"/>
      <c r="AO636" s="447"/>
      <c r="AP636" s="447"/>
      <c r="AQ636" s="447"/>
      <c r="AR636" s="447"/>
      <c r="AS636" s="447"/>
      <c r="AT636" s="447"/>
      <c r="AU636" s="447"/>
      <c r="AV636" s="447"/>
      <c r="AW636" s="447"/>
      <c r="AX636" s="447"/>
      <c r="AY636" s="447"/>
      <c r="AZ636" s="447"/>
      <c r="BA636" s="447"/>
      <c r="BB636" s="447"/>
      <c r="BC636" s="447"/>
      <c r="BD636" s="447"/>
      <c r="BE636" s="447"/>
      <c r="BF636" s="447"/>
      <c r="BG636" s="447"/>
      <c r="BH636" s="447"/>
      <c r="BI636" s="447"/>
      <c r="BJ636" s="447"/>
      <c r="BK636" s="447"/>
      <c r="BL636" s="447"/>
      <c r="BM636" s="448"/>
      <c r="BN636" s="448"/>
    </row>
    <row r="637" spans="1:66" ht="11.25" customHeight="1">
      <c r="A637" s="469"/>
      <c r="B637" s="447"/>
      <c r="C637" s="447"/>
      <c r="D637" s="447"/>
      <c r="E637" s="447"/>
      <c r="F637" s="447"/>
      <c r="G637" s="447"/>
      <c r="H637" s="447"/>
      <c r="I637" s="447"/>
      <c r="J637" s="447"/>
      <c r="K637" s="447"/>
      <c r="L637" s="447"/>
      <c r="M637" s="447"/>
      <c r="N637" s="447"/>
      <c r="O637" s="447"/>
      <c r="P637" s="447"/>
      <c r="Q637" s="447"/>
      <c r="R637" s="447"/>
      <c r="S637" s="447"/>
      <c r="T637" s="447"/>
      <c r="U637" s="447"/>
      <c r="V637" s="447"/>
      <c r="W637" s="447"/>
      <c r="X637" s="447"/>
      <c r="Y637" s="447"/>
      <c r="Z637" s="447"/>
      <c r="AA637" s="447"/>
      <c r="AB637" s="447"/>
      <c r="AC637" s="447"/>
      <c r="AD637" s="447"/>
      <c r="AE637" s="447"/>
      <c r="AF637" s="448"/>
      <c r="AG637" s="448"/>
      <c r="AH637" s="448"/>
      <c r="AI637" s="447"/>
      <c r="AJ637" s="447"/>
      <c r="AK637" s="447"/>
      <c r="AL637" s="447"/>
      <c r="AM637" s="447"/>
      <c r="AN637" s="447"/>
      <c r="AO637" s="447"/>
      <c r="AP637" s="447"/>
      <c r="AQ637" s="447"/>
      <c r="AR637" s="447"/>
      <c r="AS637" s="447"/>
      <c r="AT637" s="447"/>
      <c r="AU637" s="447"/>
      <c r="AV637" s="447"/>
      <c r="AW637" s="447"/>
      <c r="AX637" s="447"/>
      <c r="AY637" s="447"/>
      <c r="AZ637" s="447"/>
      <c r="BA637" s="447"/>
      <c r="BB637" s="447"/>
      <c r="BC637" s="447"/>
      <c r="BD637" s="447"/>
      <c r="BE637" s="447"/>
      <c r="BF637" s="447"/>
      <c r="BG637" s="447"/>
      <c r="BH637" s="447"/>
      <c r="BI637" s="447"/>
      <c r="BJ637" s="447"/>
      <c r="BK637" s="447"/>
      <c r="BL637" s="447"/>
      <c r="BM637" s="448"/>
      <c r="BN637" s="448"/>
    </row>
    <row r="638" spans="1:66" ht="11.25" customHeight="1">
      <c r="A638" s="469"/>
      <c r="B638" s="447"/>
      <c r="C638" s="447"/>
      <c r="D638" s="447"/>
      <c r="E638" s="447"/>
      <c r="F638" s="447"/>
      <c r="G638" s="447"/>
      <c r="H638" s="447"/>
      <c r="I638" s="447"/>
      <c r="J638" s="447"/>
      <c r="K638" s="447"/>
      <c r="L638" s="447"/>
      <c r="M638" s="447"/>
      <c r="N638" s="447"/>
      <c r="O638" s="447"/>
      <c r="P638" s="447"/>
      <c r="Q638" s="447"/>
      <c r="R638" s="447"/>
      <c r="S638" s="447"/>
      <c r="T638" s="447"/>
      <c r="U638" s="447"/>
      <c r="V638" s="447"/>
      <c r="W638" s="447"/>
      <c r="X638" s="447"/>
      <c r="Y638" s="447"/>
      <c r="Z638" s="447"/>
      <c r="AA638" s="447"/>
      <c r="AB638" s="447"/>
      <c r="AC638" s="447"/>
      <c r="AD638" s="447"/>
      <c r="AE638" s="447"/>
      <c r="AF638" s="448"/>
      <c r="AG638" s="448"/>
      <c r="AH638" s="448"/>
      <c r="AI638" s="447"/>
      <c r="AJ638" s="447"/>
      <c r="AK638" s="447"/>
      <c r="AL638" s="447"/>
      <c r="AM638" s="447"/>
      <c r="AN638" s="447"/>
      <c r="AO638" s="447"/>
      <c r="AP638" s="447"/>
      <c r="AQ638" s="447"/>
      <c r="AR638" s="447"/>
      <c r="AS638" s="447"/>
      <c r="AT638" s="447"/>
      <c r="AU638" s="447"/>
      <c r="AV638" s="447"/>
      <c r="AW638" s="447"/>
      <c r="AX638" s="447"/>
      <c r="AY638" s="447"/>
      <c r="AZ638" s="447"/>
      <c r="BA638" s="447"/>
      <c r="BB638" s="447"/>
      <c r="BC638" s="447"/>
      <c r="BD638" s="447"/>
      <c r="BE638" s="447"/>
      <c r="BF638" s="447"/>
      <c r="BG638" s="447"/>
      <c r="BH638" s="447"/>
      <c r="BI638" s="447"/>
      <c r="BJ638" s="447"/>
      <c r="BK638" s="447"/>
      <c r="BL638" s="447"/>
      <c r="BM638" s="448"/>
      <c r="BN638" s="448"/>
    </row>
    <row r="639" spans="1:66" ht="11.25" customHeight="1">
      <c r="A639" s="469"/>
      <c r="B639" s="447"/>
      <c r="C639" s="447"/>
      <c r="D639" s="447"/>
      <c r="E639" s="447"/>
      <c r="F639" s="447"/>
      <c r="G639" s="447"/>
      <c r="H639" s="447"/>
      <c r="I639" s="447"/>
      <c r="J639" s="447"/>
      <c r="K639" s="447"/>
      <c r="L639" s="447"/>
      <c r="M639" s="447"/>
      <c r="N639" s="447"/>
      <c r="O639" s="447"/>
      <c r="P639" s="447"/>
      <c r="Q639" s="447"/>
      <c r="R639" s="447"/>
      <c r="S639" s="447"/>
      <c r="T639" s="447"/>
      <c r="U639" s="447"/>
      <c r="V639" s="447"/>
      <c r="W639" s="447"/>
      <c r="X639" s="447"/>
      <c r="Y639" s="447"/>
      <c r="Z639" s="447"/>
      <c r="AA639" s="447"/>
      <c r="AB639" s="447"/>
      <c r="AC639" s="447"/>
      <c r="AD639" s="447"/>
      <c r="AE639" s="447"/>
      <c r="AF639" s="448"/>
      <c r="AG639" s="448"/>
      <c r="AH639" s="448"/>
      <c r="AI639" s="447"/>
      <c r="AJ639" s="447"/>
      <c r="AK639" s="447"/>
      <c r="AL639" s="447"/>
      <c r="AM639" s="447"/>
      <c r="AN639" s="447"/>
      <c r="AO639" s="447"/>
      <c r="AP639" s="447"/>
      <c r="AQ639" s="447"/>
      <c r="AR639" s="447"/>
      <c r="AS639" s="447"/>
      <c r="AT639" s="447"/>
      <c r="AU639" s="447"/>
      <c r="AV639" s="447"/>
      <c r="AW639" s="447"/>
      <c r="AX639" s="447"/>
      <c r="AY639" s="447"/>
      <c r="AZ639" s="447"/>
      <c r="BA639" s="447"/>
      <c r="BB639" s="447"/>
      <c r="BC639" s="447"/>
      <c r="BD639" s="447"/>
      <c r="BE639" s="447"/>
      <c r="BF639" s="447"/>
      <c r="BG639" s="447"/>
      <c r="BH639" s="447"/>
      <c r="BI639" s="447"/>
      <c r="BJ639" s="447"/>
      <c r="BK639" s="447"/>
      <c r="BL639" s="447"/>
      <c r="BM639" s="448"/>
      <c r="BN639" s="448"/>
    </row>
    <row r="640" spans="1:66" ht="11.25" customHeight="1">
      <c r="A640" s="469"/>
      <c r="B640" s="447"/>
      <c r="C640" s="447"/>
      <c r="D640" s="447"/>
      <c r="E640" s="447"/>
      <c r="F640" s="447"/>
      <c r="G640" s="447"/>
      <c r="H640" s="447"/>
      <c r="I640" s="447"/>
      <c r="J640" s="447"/>
      <c r="K640" s="447"/>
      <c r="L640" s="447"/>
      <c r="M640" s="447"/>
      <c r="N640" s="447"/>
      <c r="O640" s="447"/>
      <c r="P640" s="447"/>
      <c r="Q640" s="447"/>
      <c r="R640" s="447"/>
      <c r="S640" s="447"/>
      <c r="T640" s="447"/>
      <c r="U640" s="447"/>
      <c r="V640" s="447"/>
      <c r="W640" s="447"/>
      <c r="X640" s="447"/>
      <c r="Y640" s="447"/>
      <c r="Z640" s="447"/>
      <c r="AA640" s="447"/>
      <c r="AB640" s="447"/>
      <c r="AC640" s="447"/>
      <c r="AD640" s="447"/>
      <c r="AE640" s="447"/>
      <c r="AF640" s="448"/>
      <c r="AG640" s="448"/>
      <c r="AH640" s="448"/>
      <c r="AI640" s="447"/>
      <c r="AJ640" s="447"/>
      <c r="AK640" s="447"/>
      <c r="AL640" s="447"/>
      <c r="AM640" s="447"/>
      <c r="AN640" s="447"/>
      <c r="AO640" s="447"/>
      <c r="AP640" s="447"/>
      <c r="AQ640" s="447"/>
      <c r="AR640" s="447"/>
      <c r="AS640" s="447"/>
      <c r="AT640" s="447"/>
      <c r="AU640" s="447"/>
      <c r="AV640" s="447"/>
      <c r="AW640" s="447"/>
      <c r="AX640" s="447"/>
      <c r="AY640" s="447"/>
      <c r="AZ640" s="447"/>
      <c r="BA640" s="447"/>
      <c r="BB640" s="447"/>
      <c r="BC640" s="447"/>
      <c r="BD640" s="447"/>
      <c r="BE640" s="447"/>
      <c r="BF640" s="447"/>
      <c r="BG640" s="447"/>
      <c r="BH640" s="447"/>
      <c r="BI640" s="447"/>
      <c r="BJ640" s="447"/>
      <c r="BK640" s="447"/>
      <c r="BL640" s="447"/>
      <c r="BM640" s="448"/>
      <c r="BN640" s="448"/>
    </row>
    <row r="641" spans="1:66" ht="11.25" customHeight="1">
      <c r="A641" s="469"/>
      <c r="B641" s="447"/>
      <c r="C641" s="447"/>
      <c r="D641" s="447"/>
      <c r="E641" s="447"/>
      <c r="F641" s="447"/>
      <c r="G641" s="447"/>
      <c r="H641" s="447"/>
      <c r="I641" s="447"/>
      <c r="J641" s="447"/>
      <c r="K641" s="447"/>
      <c r="L641" s="447"/>
      <c r="M641" s="447"/>
      <c r="N641" s="447"/>
      <c r="O641" s="447"/>
      <c r="P641" s="447"/>
      <c r="Q641" s="447"/>
      <c r="R641" s="447"/>
      <c r="S641" s="447"/>
      <c r="T641" s="447"/>
      <c r="U641" s="447"/>
      <c r="V641" s="447"/>
      <c r="W641" s="447"/>
      <c r="X641" s="447"/>
      <c r="Y641" s="447"/>
      <c r="Z641" s="447"/>
      <c r="AA641" s="447"/>
      <c r="AB641" s="447"/>
      <c r="AC641" s="447"/>
      <c r="AD641" s="447"/>
      <c r="AE641" s="447"/>
      <c r="AF641" s="448"/>
      <c r="AG641" s="448"/>
      <c r="AH641" s="448"/>
      <c r="AI641" s="447"/>
      <c r="AJ641" s="447"/>
      <c r="AK641" s="447"/>
      <c r="AL641" s="447"/>
      <c r="AM641" s="447"/>
      <c r="AN641" s="447"/>
      <c r="AO641" s="447"/>
      <c r="AP641" s="447"/>
      <c r="AQ641" s="447"/>
      <c r="AR641" s="447"/>
      <c r="AS641" s="447"/>
      <c r="AT641" s="447"/>
      <c r="AU641" s="447"/>
      <c r="AV641" s="447"/>
      <c r="AW641" s="447"/>
      <c r="AX641" s="447"/>
      <c r="AY641" s="447"/>
      <c r="AZ641" s="447"/>
      <c r="BA641" s="447"/>
      <c r="BB641" s="447"/>
      <c r="BC641" s="447"/>
      <c r="BD641" s="447"/>
      <c r="BE641" s="447"/>
      <c r="BF641" s="447"/>
      <c r="BG641" s="447"/>
      <c r="BH641" s="447"/>
      <c r="BI641" s="447"/>
      <c r="BJ641" s="447"/>
      <c r="BK641" s="447"/>
      <c r="BL641" s="447"/>
      <c r="BM641" s="448"/>
      <c r="BN641" s="448"/>
    </row>
    <row r="642" spans="1:66" ht="11.25" customHeight="1">
      <c r="A642" s="469"/>
      <c r="B642" s="447"/>
      <c r="C642" s="447"/>
      <c r="D642" s="447"/>
      <c r="E642" s="447"/>
      <c r="F642" s="447"/>
      <c r="G642" s="447"/>
      <c r="H642" s="447"/>
      <c r="I642" s="447"/>
      <c r="J642" s="447"/>
      <c r="K642" s="447"/>
      <c r="L642" s="447"/>
      <c r="M642" s="447"/>
      <c r="N642" s="447"/>
      <c r="O642" s="447"/>
      <c r="P642" s="447"/>
      <c r="Q642" s="447"/>
      <c r="R642" s="447"/>
      <c r="S642" s="447"/>
      <c r="T642" s="447"/>
      <c r="U642" s="447"/>
      <c r="V642" s="447"/>
      <c r="W642" s="447"/>
      <c r="X642" s="447"/>
      <c r="Y642" s="447"/>
      <c r="Z642" s="447"/>
      <c r="AA642" s="447"/>
      <c r="AB642" s="447"/>
      <c r="AC642" s="447"/>
      <c r="AD642" s="447"/>
      <c r="AE642" s="447"/>
      <c r="AF642" s="448"/>
      <c r="AG642" s="448"/>
      <c r="AH642" s="448"/>
      <c r="AI642" s="447"/>
      <c r="AJ642" s="447"/>
      <c r="AK642" s="447"/>
      <c r="AL642" s="447"/>
      <c r="AM642" s="447"/>
      <c r="AN642" s="447"/>
      <c r="AO642" s="447"/>
      <c r="AP642" s="447"/>
      <c r="AQ642" s="447"/>
      <c r="AR642" s="447"/>
      <c r="AS642" s="447"/>
      <c r="AT642" s="447"/>
      <c r="AU642" s="447"/>
      <c r="AV642" s="447"/>
      <c r="AW642" s="447"/>
      <c r="AX642" s="447"/>
      <c r="AY642" s="447"/>
      <c r="AZ642" s="447"/>
      <c r="BA642" s="447"/>
      <c r="BB642" s="447"/>
      <c r="BC642" s="447"/>
      <c r="BD642" s="447"/>
      <c r="BE642" s="447"/>
      <c r="BF642" s="447"/>
      <c r="BG642" s="447"/>
      <c r="BH642" s="447"/>
      <c r="BI642" s="447"/>
      <c r="BJ642" s="447"/>
      <c r="BK642" s="447"/>
      <c r="BL642" s="447"/>
      <c r="BM642" s="448"/>
      <c r="BN642" s="448"/>
    </row>
    <row r="643" spans="1:66" ht="11.25" customHeight="1">
      <c r="A643" s="469"/>
      <c r="B643" s="447"/>
      <c r="C643" s="447"/>
      <c r="D643" s="447"/>
      <c r="E643" s="447"/>
      <c r="F643" s="447"/>
      <c r="G643" s="447"/>
      <c r="H643" s="447"/>
      <c r="I643" s="447"/>
      <c r="J643" s="447"/>
      <c r="K643" s="447"/>
      <c r="L643" s="447"/>
      <c r="M643" s="447"/>
      <c r="N643" s="447"/>
      <c r="O643" s="447"/>
      <c r="P643" s="447"/>
      <c r="Q643" s="447"/>
      <c r="R643" s="447"/>
      <c r="S643" s="447"/>
      <c r="T643" s="447"/>
      <c r="U643" s="447"/>
      <c r="V643" s="447"/>
      <c r="W643" s="447"/>
      <c r="X643" s="447"/>
      <c r="Y643" s="447"/>
      <c r="Z643" s="447"/>
      <c r="AA643" s="447"/>
      <c r="AB643" s="447"/>
      <c r="AC643" s="447"/>
      <c r="AD643" s="447"/>
      <c r="AE643" s="447"/>
      <c r="AF643" s="448"/>
      <c r="AG643" s="448"/>
      <c r="AH643" s="448"/>
      <c r="AI643" s="447"/>
      <c r="AJ643" s="447"/>
      <c r="AK643" s="447"/>
      <c r="AL643" s="447"/>
      <c r="AM643" s="447"/>
      <c r="AN643" s="447"/>
      <c r="AO643" s="447"/>
      <c r="AP643" s="447"/>
      <c r="AQ643" s="447"/>
      <c r="AR643" s="447"/>
      <c r="AS643" s="447"/>
      <c r="AT643" s="447"/>
      <c r="AU643" s="447"/>
      <c r="AV643" s="447"/>
      <c r="AW643" s="447"/>
      <c r="AX643" s="447"/>
      <c r="AY643" s="447"/>
      <c r="AZ643" s="447"/>
      <c r="BA643" s="447"/>
      <c r="BB643" s="447"/>
      <c r="BC643" s="447"/>
      <c r="BD643" s="447"/>
      <c r="BE643" s="447"/>
      <c r="BF643" s="447"/>
      <c r="BG643" s="447"/>
      <c r="BH643" s="447"/>
      <c r="BI643" s="447"/>
      <c r="BJ643" s="447"/>
      <c r="BK643" s="447"/>
      <c r="BL643" s="447"/>
      <c r="BM643" s="448"/>
      <c r="BN643" s="448"/>
    </row>
    <row r="644" spans="1:66" ht="11.25" customHeight="1">
      <c r="A644" s="469"/>
      <c r="B644" s="447"/>
      <c r="C644" s="447"/>
      <c r="D644" s="447"/>
      <c r="E644" s="447"/>
      <c r="F644" s="447"/>
      <c r="G644" s="447"/>
      <c r="H644" s="447"/>
      <c r="I644" s="447"/>
      <c r="J644" s="447"/>
      <c r="K644" s="447"/>
      <c r="L644" s="447"/>
      <c r="M644" s="447"/>
      <c r="N644" s="447"/>
      <c r="O644" s="447"/>
      <c r="P644" s="447"/>
      <c r="Q644" s="447"/>
      <c r="R644" s="447"/>
      <c r="S644" s="447"/>
      <c r="T644" s="447"/>
      <c r="U644" s="447"/>
      <c r="V644" s="447"/>
      <c r="W644" s="447"/>
      <c r="X644" s="447"/>
      <c r="Y644" s="447"/>
      <c r="Z644" s="447"/>
      <c r="AA644" s="447"/>
      <c r="AB644" s="447"/>
      <c r="AC644" s="447"/>
      <c r="AD644" s="447"/>
      <c r="AE644" s="447"/>
      <c r="AF644" s="448"/>
      <c r="AG644" s="448"/>
      <c r="AH644" s="448"/>
      <c r="AI644" s="447"/>
      <c r="AJ644" s="447"/>
      <c r="AK644" s="447"/>
      <c r="AL644" s="447"/>
      <c r="AM644" s="447"/>
      <c r="AN644" s="447"/>
      <c r="AO644" s="447"/>
      <c r="AP644" s="447"/>
      <c r="AQ644" s="447"/>
      <c r="AR644" s="447"/>
      <c r="AS644" s="447"/>
      <c r="AT644" s="447"/>
      <c r="AU644" s="447"/>
      <c r="AV644" s="447"/>
      <c r="AW644" s="447"/>
      <c r="AX644" s="447"/>
      <c r="AY644" s="447"/>
      <c r="AZ644" s="447"/>
      <c r="BA644" s="447"/>
      <c r="BB644" s="447"/>
      <c r="BC644" s="447"/>
      <c r="BD644" s="447"/>
      <c r="BE644" s="447"/>
      <c r="BF644" s="447"/>
      <c r="BG644" s="447"/>
      <c r="BH644" s="447"/>
      <c r="BI644" s="447"/>
      <c r="BJ644" s="447"/>
      <c r="BK644" s="447"/>
      <c r="BL644" s="447"/>
      <c r="BM644" s="448"/>
      <c r="BN644" s="448"/>
    </row>
    <row r="645" spans="1:66" ht="11.25" customHeight="1">
      <c r="A645" s="469"/>
      <c r="B645" s="447"/>
      <c r="C645" s="447"/>
      <c r="D645" s="447"/>
      <c r="E645" s="447"/>
      <c r="F645" s="447"/>
      <c r="G645" s="447"/>
      <c r="H645" s="447"/>
      <c r="I645" s="447"/>
      <c r="J645" s="447"/>
      <c r="K645" s="447"/>
      <c r="L645" s="447"/>
      <c r="M645" s="447"/>
      <c r="N645" s="447"/>
      <c r="O645" s="447"/>
      <c r="P645" s="447"/>
      <c r="Q645" s="447"/>
      <c r="R645" s="447"/>
      <c r="S645" s="447"/>
      <c r="T645" s="447"/>
      <c r="U645" s="447"/>
      <c r="V645" s="447"/>
      <c r="W645" s="447"/>
      <c r="X645" s="447"/>
      <c r="Y645" s="447"/>
      <c r="Z645" s="447"/>
      <c r="AA645" s="447"/>
      <c r="AB645" s="447"/>
      <c r="AC645" s="447"/>
      <c r="AD645" s="447"/>
      <c r="AE645" s="447"/>
      <c r="AF645" s="448"/>
      <c r="AG645" s="448"/>
      <c r="AH645" s="448"/>
      <c r="AI645" s="447"/>
      <c r="AJ645" s="447"/>
      <c r="AK645" s="447"/>
      <c r="AL645" s="447"/>
      <c r="AM645" s="447"/>
      <c r="AN645" s="447"/>
      <c r="AO645" s="447"/>
      <c r="AP645" s="447"/>
      <c r="AQ645" s="447"/>
      <c r="AR645" s="447"/>
      <c r="AS645" s="447"/>
      <c r="AT645" s="447"/>
      <c r="AU645" s="447"/>
      <c r="AV645" s="447"/>
      <c r="AW645" s="447"/>
      <c r="AX645" s="447"/>
      <c r="AY645" s="447"/>
      <c r="AZ645" s="447"/>
      <c r="BA645" s="447"/>
      <c r="BB645" s="447"/>
      <c r="BC645" s="447"/>
      <c r="BD645" s="447"/>
      <c r="BE645" s="447"/>
      <c r="BF645" s="447"/>
      <c r="BG645" s="447"/>
      <c r="BH645" s="447"/>
      <c r="BI645" s="447"/>
      <c r="BJ645" s="447"/>
      <c r="BK645" s="447"/>
      <c r="BL645" s="447"/>
      <c r="BM645" s="448"/>
      <c r="BN645" s="448"/>
    </row>
    <row r="646" spans="1:66" ht="11.25" customHeight="1">
      <c r="A646" s="469"/>
      <c r="B646" s="447"/>
      <c r="C646" s="447"/>
      <c r="D646" s="447"/>
      <c r="E646" s="447"/>
      <c r="F646" s="447"/>
      <c r="G646" s="447"/>
      <c r="H646" s="447"/>
      <c r="I646" s="447"/>
      <c r="J646" s="447"/>
      <c r="K646" s="447"/>
      <c r="L646" s="447"/>
      <c r="M646" s="447"/>
      <c r="N646" s="447"/>
      <c r="O646" s="447"/>
      <c r="P646" s="447"/>
      <c r="Q646" s="447"/>
      <c r="R646" s="447"/>
      <c r="S646" s="447"/>
      <c r="T646" s="447"/>
      <c r="U646" s="447"/>
      <c r="V646" s="447"/>
      <c r="W646" s="447"/>
      <c r="X646" s="447"/>
      <c r="Y646" s="447"/>
      <c r="Z646" s="447"/>
      <c r="AA646" s="447"/>
      <c r="AB646" s="447"/>
      <c r="AC646" s="447"/>
      <c r="AD646" s="447"/>
      <c r="AE646" s="447"/>
      <c r="AF646" s="448"/>
      <c r="AG646" s="448"/>
      <c r="AH646" s="448"/>
      <c r="AI646" s="447"/>
      <c r="AJ646" s="447"/>
      <c r="AK646" s="447"/>
      <c r="AL646" s="447"/>
      <c r="AM646" s="447"/>
      <c r="AN646" s="447"/>
      <c r="AO646" s="447"/>
      <c r="AP646" s="447"/>
      <c r="AQ646" s="447"/>
      <c r="AR646" s="447"/>
      <c r="AS646" s="447"/>
      <c r="AT646" s="447"/>
      <c r="AU646" s="447"/>
      <c r="AV646" s="447"/>
      <c r="AW646" s="447"/>
      <c r="AX646" s="447"/>
      <c r="AY646" s="447"/>
      <c r="AZ646" s="447"/>
      <c r="BA646" s="447"/>
      <c r="BB646" s="447"/>
      <c r="BC646" s="447"/>
      <c r="BD646" s="447"/>
      <c r="BE646" s="447"/>
      <c r="BF646" s="447"/>
      <c r="BG646" s="447"/>
      <c r="BH646" s="447"/>
      <c r="BI646" s="447"/>
      <c r="BJ646" s="447"/>
      <c r="BK646" s="447"/>
      <c r="BL646" s="447"/>
      <c r="BM646" s="448"/>
      <c r="BN646" s="448"/>
    </row>
    <row r="647" spans="1:66" ht="11.25" customHeight="1">
      <c r="A647" s="469"/>
      <c r="B647" s="447"/>
      <c r="C647" s="447"/>
      <c r="D647" s="447"/>
      <c r="E647" s="447"/>
      <c r="F647" s="447"/>
      <c r="G647" s="447"/>
      <c r="H647" s="447"/>
      <c r="I647" s="447"/>
      <c r="J647" s="447"/>
      <c r="K647" s="447"/>
      <c r="L647" s="447"/>
      <c r="M647" s="447"/>
      <c r="N647" s="447"/>
      <c r="O647" s="447"/>
      <c r="P647" s="447"/>
      <c r="Q647" s="447"/>
      <c r="R647" s="447"/>
      <c r="S647" s="447"/>
      <c r="T647" s="447"/>
      <c r="U647" s="447"/>
      <c r="V647" s="447"/>
      <c r="W647" s="447"/>
      <c r="X647" s="447"/>
      <c r="Y647" s="447"/>
      <c r="Z647" s="447"/>
      <c r="AA647" s="447"/>
      <c r="AB647" s="447"/>
      <c r="AC647" s="447"/>
      <c r="AD647" s="447"/>
      <c r="AE647" s="447"/>
      <c r="AF647" s="448"/>
      <c r="AG647" s="448"/>
      <c r="AH647" s="448"/>
      <c r="AI647" s="447"/>
      <c r="AJ647" s="447"/>
      <c r="AK647" s="447"/>
      <c r="AL647" s="447"/>
      <c r="AM647" s="447"/>
      <c r="AN647" s="447"/>
      <c r="AO647" s="447"/>
      <c r="AP647" s="447"/>
      <c r="AQ647" s="447"/>
      <c r="AR647" s="447"/>
      <c r="AS647" s="447"/>
      <c r="AT647" s="447"/>
      <c r="AU647" s="447"/>
      <c r="AV647" s="447"/>
      <c r="AW647" s="447"/>
      <c r="AX647" s="447"/>
      <c r="AY647" s="447"/>
      <c r="AZ647" s="447"/>
      <c r="BA647" s="447"/>
      <c r="BB647" s="447"/>
      <c r="BC647" s="447"/>
      <c r="BD647" s="447"/>
      <c r="BE647" s="447"/>
      <c r="BF647" s="447"/>
      <c r="BG647" s="447"/>
      <c r="BH647" s="447"/>
      <c r="BI647" s="447"/>
      <c r="BJ647" s="447"/>
      <c r="BK647" s="447"/>
      <c r="BL647" s="447"/>
      <c r="BM647" s="448"/>
      <c r="BN647" s="448"/>
    </row>
    <row r="648" spans="1:66" ht="11.25" customHeight="1">
      <c r="A648" s="469"/>
      <c r="B648" s="447"/>
      <c r="C648" s="447"/>
      <c r="D648" s="447"/>
      <c r="E648" s="447"/>
      <c r="F648" s="447"/>
      <c r="G648" s="447"/>
      <c r="H648" s="447"/>
      <c r="I648" s="447"/>
      <c r="J648" s="447"/>
      <c r="K648" s="447"/>
      <c r="L648" s="447"/>
      <c r="M648" s="447"/>
      <c r="N648" s="447"/>
      <c r="O648" s="447"/>
      <c r="P648" s="447"/>
      <c r="Q648" s="447"/>
      <c r="R648" s="447"/>
      <c r="S648" s="447"/>
      <c r="T648" s="447"/>
      <c r="U648" s="447"/>
      <c r="V648" s="447"/>
      <c r="W648" s="447"/>
      <c r="X648" s="447"/>
      <c r="Y648" s="447"/>
      <c r="Z648" s="447"/>
      <c r="AA648" s="447"/>
      <c r="AB648" s="447"/>
      <c r="AC648" s="447"/>
      <c r="AD648" s="447"/>
      <c r="AE648" s="447"/>
      <c r="AF648" s="448"/>
      <c r="AG648" s="448"/>
      <c r="AH648" s="448"/>
      <c r="AI648" s="447"/>
      <c r="AJ648" s="447"/>
      <c r="AK648" s="447"/>
      <c r="AL648" s="447"/>
      <c r="AM648" s="447"/>
      <c r="AN648" s="447"/>
      <c r="AO648" s="447"/>
      <c r="AP648" s="447"/>
      <c r="AQ648" s="447"/>
      <c r="AR648" s="447"/>
      <c r="AS648" s="447"/>
      <c r="AT648" s="447"/>
      <c r="AU648" s="447"/>
      <c r="AV648" s="447"/>
      <c r="AW648" s="447"/>
      <c r="AX648" s="447"/>
      <c r="AY648" s="447"/>
      <c r="AZ648" s="447"/>
      <c r="BA648" s="447"/>
      <c r="BB648" s="447"/>
      <c r="BC648" s="447"/>
      <c r="BD648" s="447"/>
      <c r="BE648" s="447"/>
      <c r="BF648" s="447"/>
      <c r="BG648" s="447"/>
      <c r="BH648" s="447"/>
      <c r="BI648" s="447"/>
      <c r="BJ648" s="447"/>
      <c r="BK648" s="447"/>
      <c r="BL648" s="447"/>
      <c r="BM648" s="448"/>
      <c r="BN648" s="448"/>
    </row>
    <row r="649" spans="1:66" ht="11.25" customHeight="1">
      <c r="A649" s="469"/>
      <c r="B649" s="447"/>
      <c r="C649" s="447"/>
      <c r="D649" s="447"/>
      <c r="E649" s="447"/>
      <c r="F649" s="447"/>
      <c r="G649" s="447"/>
      <c r="H649" s="447"/>
      <c r="I649" s="447"/>
      <c r="J649" s="447"/>
      <c r="K649" s="447"/>
      <c r="L649" s="447"/>
      <c r="M649" s="447"/>
      <c r="N649" s="447"/>
      <c r="O649" s="447"/>
      <c r="P649" s="447"/>
      <c r="Q649" s="447"/>
      <c r="R649" s="447"/>
      <c r="S649" s="447"/>
      <c r="T649" s="447"/>
      <c r="U649" s="447"/>
      <c r="V649" s="447"/>
      <c r="W649" s="447"/>
      <c r="X649" s="447"/>
      <c r="Y649" s="447"/>
      <c r="Z649" s="447"/>
      <c r="AA649" s="447"/>
      <c r="AB649" s="447"/>
      <c r="AC649" s="447"/>
      <c r="AD649" s="447"/>
      <c r="AE649" s="447"/>
      <c r="AF649" s="448"/>
      <c r="AG649" s="448"/>
      <c r="AH649" s="448"/>
      <c r="AI649" s="447"/>
      <c r="AJ649" s="447"/>
      <c r="AK649" s="447"/>
      <c r="AL649" s="447"/>
      <c r="AM649" s="447"/>
      <c r="AN649" s="447"/>
      <c r="AO649" s="447"/>
      <c r="AP649" s="447"/>
      <c r="AQ649" s="447"/>
      <c r="AR649" s="447"/>
      <c r="AS649" s="447"/>
      <c r="AT649" s="447"/>
      <c r="AU649" s="447"/>
      <c r="AV649" s="447"/>
      <c r="AW649" s="447"/>
      <c r="AX649" s="447"/>
      <c r="AY649" s="447"/>
      <c r="AZ649" s="447"/>
      <c r="BA649" s="447"/>
      <c r="BB649" s="447"/>
      <c r="BC649" s="447"/>
      <c r="BD649" s="447"/>
      <c r="BE649" s="447"/>
      <c r="BF649" s="447"/>
      <c r="BG649" s="447"/>
      <c r="BH649" s="447"/>
      <c r="BI649" s="447"/>
      <c r="BJ649" s="447"/>
      <c r="BK649" s="447"/>
      <c r="BL649" s="447"/>
      <c r="BM649" s="448"/>
      <c r="BN649" s="448"/>
    </row>
    <row r="650" spans="1:66" ht="11.25" customHeight="1">
      <c r="A650" s="469"/>
      <c r="B650" s="447"/>
      <c r="C650" s="447"/>
      <c r="D650" s="447"/>
      <c r="E650" s="447"/>
      <c r="F650" s="447"/>
      <c r="G650" s="447"/>
      <c r="H650" s="447"/>
      <c r="I650" s="447"/>
      <c r="J650" s="447"/>
      <c r="K650" s="447"/>
      <c r="L650" s="447"/>
      <c r="M650" s="447"/>
      <c r="N650" s="447"/>
      <c r="O650" s="447"/>
      <c r="P650" s="447"/>
      <c r="Q650" s="447"/>
      <c r="R650" s="447"/>
      <c r="S650" s="447"/>
      <c r="T650" s="447"/>
      <c r="U650" s="447"/>
      <c r="V650" s="447"/>
      <c r="W650" s="447"/>
      <c r="X650" s="447"/>
      <c r="Y650" s="447"/>
      <c r="Z650" s="447"/>
      <c r="AA650" s="447"/>
      <c r="AB650" s="447"/>
      <c r="AC650" s="447"/>
      <c r="AD650" s="447"/>
      <c r="AE650" s="447"/>
      <c r="AF650" s="448"/>
      <c r="AG650" s="448"/>
      <c r="AH650" s="448"/>
      <c r="AI650" s="447"/>
      <c r="AJ650" s="447"/>
      <c r="AK650" s="447"/>
      <c r="AL650" s="447"/>
      <c r="AM650" s="447"/>
      <c r="AN650" s="447"/>
      <c r="AO650" s="447"/>
      <c r="AP650" s="447"/>
      <c r="AQ650" s="447"/>
      <c r="AR650" s="447"/>
      <c r="AS650" s="447"/>
      <c r="AT650" s="447"/>
      <c r="AU650" s="447"/>
      <c r="AV650" s="447"/>
      <c r="AW650" s="447"/>
      <c r="AX650" s="447"/>
      <c r="AY650" s="447"/>
      <c r="AZ650" s="447"/>
      <c r="BA650" s="447"/>
      <c r="BB650" s="447"/>
      <c r="BC650" s="447"/>
      <c r="BD650" s="447"/>
      <c r="BE650" s="447"/>
      <c r="BF650" s="447"/>
      <c r="BG650" s="447"/>
      <c r="BH650" s="447"/>
      <c r="BI650" s="447"/>
      <c r="BJ650" s="447"/>
      <c r="BK650" s="447"/>
      <c r="BL650" s="447"/>
      <c r="BM650" s="448"/>
      <c r="BN650" s="448"/>
    </row>
    <row r="651" spans="1:66" ht="11.25" customHeight="1">
      <c r="A651" s="469"/>
      <c r="B651" s="447"/>
      <c r="C651" s="447"/>
      <c r="D651" s="447"/>
      <c r="E651" s="447"/>
      <c r="F651" s="447"/>
      <c r="G651" s="447"/>
      <c r="H651" s="447"/>
      <c r="I651" s="447"/>
      <c r="J651" s="447"/>
      <c r="K651" s="447"/>
      <c r="L651" s="447"/>
      <c r="M651" s="447"/>
      <c r="N651" s="447"/>
      <c r="O651" s="447"/>
      <c r="P651" s="447"/>
      <c r="Q651" s="447"/>
      <c r="R651" s="447"/>
      <c r="S651" s="447"/>
      <c r="T651" s="447"/>
      <c r="U651" s="447"/>
      <c r="V651" s="447"/>
      <c r="W651" s="447"/>
      <c r="X651" s="447"/>
      <c r="Y651" s="447"/>
      <c r="Z651" s="447"/>
      <c r="AA651" s="447"/>
      <c r="AB651" s="447"/>
      <c r="AC651" s="447"/>
      <c r="AD651" s="447"/>
      <c r="AE651" s="447"/>
      <c r="AF651" s="448"/>
      <c r="AG651" s="448"/>
      <c r="AH651" s="448"/>
      <c r="AI651" s="447"/>
      <c r="AJ651" s="447"/>
      <c r="AK651" s="447"/>
      <c r="AL651" s="447"/>
      <c r="AM651" s="447"/>
      <c r="AN651" s="447"/>
      <c r="AO651" s="447"/>
      <c r="AP651" s="447"/>
      <c r="AQ651" s="447"/>
      <c r="AR651" s="447"/>
      <c r="AS651" s="447"/>
      <c r="AT651" s="447"/>
      <c r="AU651" s="447"/>
      <c r="AV651" s="447"/>
      <c r="AW651" s="447"/>
      <c r="AX651" s="447"/>
      <c r="AY651" s="447"/>
      <c r="AZ651" s="447"/>
      <c r="BA651" s="447"/>
      <c r="BB651" s="447"/>
      <c r="BC651" s="447"/>
      <c r="BD651" s="447"/>
      <c r="BE651" s="447"/>
      <c r="BF651" s="447"/>
      <c r="BG651" s="447"/>
      <c r="BH651" s="447"/>
      <c r="BI651" s="447"/>
      <c r="BJ651" s="447"/>
      <c r="BK651" s="447"/>
      <c r="BL651" s="447"/>
      <c r="BM651" s="448"/>
      <c r="BN651" s="448"/>
    </row>
    <row r="652" spans="1:66" ht="11.25" customHeight="1">
      <c r="A652" s="469"/>
      <c r="B652" s="447"/>
      <c r="C652" s="447"/>
      <c r="D652" s="447"/>
      <c r="E652" s="447"/>
      <c r="F652" s="447"/>
      <c r="G652" s="447"/>
      <c r="H652" s="447"/>
      <c r="I652" s="447"/>
      <c r="J652" s="447"/>
      <c r="K652" s="447"/>
      <c r="L652" s="447"/>
      <c r="M652" s="447"/>
      <c r="N652" s="447"/>
      <c r="O652" s="447"/>
      <c r="P652" s="447"/>
      <c r="Q652" s="447"/>
      <c r="R652" s="447"/>
      <c r="S652" s="447"/>
      <c r="T652" s="447"/>
      <c r="U652" s="447"/>
      <c r="V652" s="447"/>
      <c r="W652" s="447"/>
      <c r="X652" s="447"/>
      <c r="Y652" s="447"/>
      <c r="Z652" s="447"/>
      <c r="AA652" s="447"/>
      <c r="AB652" s="447"/>
      <c r="AC652" s="447"/>
      <c r="AD652" s="447"/>
      <c r="AE652" s="447"/>
      <c r="AF652" s="448"/>
      <c r="AG652" s="448"/>
      <c r="AH652" s="448"/>
      <c r="AI652" s="447"/>
      <c r="AJ652" s="447"/>
      <c r="AK652" s="447"/>
      <c r="AL652" s="447"/>
      <c r="AM652" s="447"/>
      <c r="AN652" s="447"/>
      <c r="AO652" s="447"/>
      <c r="AP652" s="447"/>
      <c r="AQ652" s="447"/>
      <c r="AR652" s="447"/>
      <c r="AS652" s="447"/>
      <c r="AT652" s="447"/>
      <c r="AU652" s="447"/>
      <c r="AV652" s="447"/>
      <c r="AW652" s="447"/>
      <c r="AX652" s="447"/>
      <c r="AY652" s="447"/>
      <c r="AZ652" s="447"/>
      <c r="BA652" s="447"/>
      <c r="BB652" s="447"/>
      <c r="BC652" s="447"/>
      <c r="BD652" s="447"/>
      <c r="BE652" s="447"/>
      <c r="BF652" s="447"/>
      <c r="BG652" s="447"/>
      <c r="BH652" s="447"/>
      <c r="BI652" s="447"/>
      <c r="BJ652" s="447"/>
      <c r="BK652" s="447"/>
      <c r="BL652" s="447"/>
      <c r="BM652" s="448"/>
      <c r="BN652" s="448"/>
    </row>
    <row r="653" spans="1:66" ht="11.25" customHeight="1">
      <c r="A653" s="469"/>
      <c r="B653" s="447"/>
      <c r="C653" s="447"/>
      <c r="D653" s="447"/>
      <c r="E653" s="447"/>
      <c r="F653" s="447"/>
      <c r="G653" s="447"/>
      <c r="H653" s="447"/>
      <c r="I653" s="447"/>
      <c r="J653" s="447"/>
      <c r="K653" s="447"/>
      <c r="L653" s="447"/>
      <c r="M653" s="447"/>
      <c r="N653" s="447"/>
      <c r="O653" s="447"/>
      <c r="P653" s="447"/>
      <c r="Q653" s="447"/>
      <c r="R653" s="447"/>
      <c r="S653" s="447"/>
      <c r="T653" s="447"/>
      <c r="U653" s="447"/>
      <c r="V653" s="447"/>
      <c r="W653" s="447"/>
      <c r="X653" s="447"/>
      <c r="Y653" s="447"/>
      <c r="Z653" s="447"/>
      <c r="AA653" s="447"/>
      <c r="AB653" s="447"/>
      <c r="AC653" s="447"/>
      <c r="AD653" s="447"/>
      <c r="AE653" s="447"/>
      <c r="AF653" s="448"/>
      <c r="AG653" s="448"/>
      <c r="AH653" s="448"/>
      <c r="AI653" s="447"/>
      <c r="AJ653" s="447"/>
      <c r="AK653" s="447"/>
      <c r="AL653" s="447"/>
      <c r="AM653" s="447"/>
      <c r="AN653" s="447"/>
      <c r="AO653" s="447"/>
      <c r="AP653" s="447"/>
      <c r="AQ653" s="447"/>
      <c r="AR653" s="447"/>
      <c r="AS653" s="447"/>
      <c r="AT653" s="447"/>
      <c r="AU653" s="447"/>
      <c r="AV653" s="447"/>
      <c r="AW653" s="447"/>
      <c r="AX653" s="447"/>
      <c r="AY653" s="447"/>
      <c r="AZ653" s="447"/>
      <c r="BA653" s="447"/>
      <c r="BB653" s="447"/>
      <c r="BC653" s="447"/>
      <c r="BD653" s="447"/>
      <c r="BE653" s="447"/>
      <c r="BF653" s="447"/>
      <c r="BG653" s="447"/>
      <c r="BH653" s="447"/>
      <c r="BI653" s="447"/>
      <c r="BJ653" s="447"/>
      <c r="BK653" s="447"/>
      <c r="BL653" s="447"/>
      <c r="BM653" s="448"/>
      <c r="BN653" s="448"/>
    </row>
    <row r="654" spans="1:66" ht="11.25" customHeight="1">
      <c r="A654" s="469"/>
      <c r="B654" s="447"/>
      <c r="C654" s="447"/>
      <c r="D654" s="447"/>
      <c r="E654" s="447"/>
      <c r="F654" s="447"/>
      <c r="G654" s="447"/>
      <c r="H654" s="447"/>
      <c r="I654" s="447"/>
      <c r="J654" s="447"/>
      <c r="K654" s="447"/>
      <c r="L654" s="447"/>
      <c r="M654" s="447"/>
      <c r="N654" s="447"/>
      <c r="O654" s="447"/>
      <c r="P654" s="447"/>
      <c r="Q654" s="447"/>
      <c r="R654" s="447"/>
      <c r="S654" s="447"/>
      <c r="T654" s="447"/>
      <c r="U654" s="447"/>
      <c r="V654" s="447"/>
      <c r="W654" s="447"/>
      <c r="X654" s="447"/>
      <c r="Y654" s="447"/>
      <c r="Z654" s="447"/>
      <c r="AA654" s="447"/>
      <c r="AB654" s="447"/>
      <c r="AC654" s="447"/>
      <c r="AD654" s="447"/>
      <c r="AE654" s="447"/>
      <c r="AF654" s="448"/>
      <c r="AG654" s="448"/>
      <c r="AH654" s="448"/>
      <c r="AI654" s="447"/>
      <c r="AJ654" s="447"/>
      <c r="AK654" s="447"/>
      <c r="AL654" s="447"/>
      <c r="AM654" s="447"/>
      <c r="AN654" s="447"/>
      <c r="AO654" s="447"/>
      <c r="AP654" s="447"/>
      <c r="AQ654" s="447"/>
      <c r="AR654" s="447"/>
      <c r="AS654" s="447"/>
      <c r="AT654" s="447"/>
      <c r="AU654" s="447"/>
      <c r="AV654" s="447"/>
      <c r="AW654" s="447"/>
      <c r="AX654" s="447"/>
      <c r="AY654" s="447"/>
      <c r="AZ654" s="447"/>
      <c r="BA654" s="447"/>
      <c r="BB654" s="447"/>
      <c r="BC654" s="447"/>
      <c r="BD654" s="447"/>
      <c r="BE654" s="447"/>
      <c r="BF654" s="447"/>
      <c r="BG654" s="447"/>
      <c r="BH654" s="447"/>
      <c r="BI654" s="447"/>
      <c r="BJ654" s="447"/>
      <c r="BK654" s="447"/>
      <c r="BL654" s="447"/>
      <c r="BM654" s="448"/>
      <c r="BN654" s="448"/>
    </row>
    <row r="655" spans="1:66" ht="11.25" customHeight="1">
      <c r="A655" s="469"/>
      <c r="B655" s="447"/>
      <c r="C655" s="447"/>
      <c r="D655" s="447"/>
      <c r="E655" s="447"/>
      <c r="F655" s="447"/>
      <c r="G655" s="447"/>
      <c r="H655" s="447"/>
      <c r="I655" s="447"/>
      <c r="J655" s="447"/>
      <c r="K655" s="447"/>
      <c r="L655" s="447"/>
      <c r="M655" s="447"/>
      <c r="N655" s="447"/>
      <c r="O655" s="447"/>
      <c r="P655" s="447"/>
      <c r="Q655" s="447"/>
      <c r="R655" s="447"/>
      <c r="S655" s="447"/>
      <c r="T655" s="447"/>
      <c r="U655" s="447"/>
      <c r="V655" s="447"/>
      <c r="W655" s="447"/>
      <c r="X655" s="447"/>
      <c r="Y655" s="447"/>
      <c r="Z655" s="447"/>
      <c r="AA655" s="447"/>
      <c r="AB655" s="447"/>
      <c r="AC655" s="447"/>
      <c r="AD655" s="447"/>
      <c r="AE655" s="447"/>
      <c r="AF655" s="448"/>
      <c r="AG655" s="448"/>
      <c r="AH655" s="448"/>
      <c r="AI655" s="447"/>
      <c r="AJ655" s="447"/>
      <c r="AK655" s="447"/>
      <c r="AL655" s="447"/>
      <c r="AM655" s="447"/>
      <c r="AN655" s="447"/>
      <c r="AO655" s="447"/>
      <c r="AP655" s="447"/>
      <c r="AQ655" s="447"/>
      <c r="AR655" s="447"/>
      <c r="AS655" s="447"/>
      <c r="AT655" s="447"/>
      <c r="AU655" s="447"/>
      <c r="AV655" s="447"/>
      <c r="AW655" s="447"/>
      <c r="AX655" s="447"/>
      <c r="AY655" s="447"/>
      <c r="AZ655" s="447"/>
      <c r="BA655" s="447"/>
      <c r="BB655" s="447"/>
      <c r="BC655" s="447"/>
      <c r="BD655" s="447"/>
      <c r="BE655" s="447"/>
      <c r="BF655" s="447"/>
      <c r="BG655" s="447"/>
      <c r="BH655" s="447"/>
      <c r="BI655" s="447"/>
      <c r="BJ655" s="447"/>
      <c r="BK655" s="447"/>
      <c r="BL655" s="447"/>
      <c r="BM655" s="448"/>
      <c r="BN655" s="448"/>
    </row>
    <row r="656" spans="1:66" ht="11.25" customHeight="1">
      <c r="A656" s="469"/>
      <c r="B656" s="447"/>
      <c r="C656" s="447"/>
      <c r="D656" s="447"/>
      <c r="E656" s="447"/>
      <c r="F656" s="447"/>
      <c r="G656" s="447"/>
      <c r="H656" s="447"/>
      <c r="I656" s="447"/>
      <c r="J656" s="447"/>
      <c r="K656" s="447"/>
      <c r="L656" s="447"/>
      <c r="M656" s="447"/>
      <c r="N656" s="447"/>
      <c r="O656" s="447"/>
      <c r="P656" s="447"/>
      <c r="Q656" s="447"/>
      <c r="R656" s="447"/>
      <c r="S656" s="447"/>
      <c r="T656" s="447"/>
      <c r="U656" s="447"/>
      <c r="V656" s="447"/>
      <c r="W656" s="447"/>
      <c r="X656" s="447"/>
      <c r="Y656" s="447"/>
      <c r="Z656" s="447"/>
      <c r="AA656" s="447"/>
      <c r="AB656" s="447"/>
      <c r="AC656" s="447"/>
      <c r="AD656" s="447"/>
      <c r="AE656" s="447"/>
      <c r="AF656" s="448"/>
      <c r="AG656" s="448"/>
      <c r="AH656" s="448"/>
      <c r="AI656" s="447"/>
      <c r="AJ656" s="447"/>
      <c r="AK656" s="447"/>
      <c r="AL656" s="447"/>
      <c r="AM656" s="447"/>
      <c r="AN656" s="447"/>
      <c r="AO656" s="447"/>
      <c r="AP656" s="447"/>
      <c r="AQ656" s="447"/>
      <c r="AR656" s="447"/>
      <c r="AS656" s="447"/>
      <c r="AT656" s="447"/>
      <c r="AU656" s="447"/>
      <c r="AV656" s="447"/>
      <c r="AW656" s="447"/>
      <c r="AX656" s="447"/>
      <c r="AY656" s="447"/>
      <c r="AZ656" s="447"/>
      <c r="BA656" s="447"/>
      <c r="BB656" s="447"/>
      <c r="BC656" s="447"/>
      <c r="BD656" s="447"/>
      <c r="BE656" s="447"/>
      <c r="BF656" s="447"/>
      <c r="BG656" s="447"/>
      <c r="BH656" s="447"/>
      <c r="BI656" s="447"/>
      <c r="BJ656" s="447"/>
      <c r="BK656" s="447"/>
      <c r="BL656" s="447"/>
      <c r="BM656" s="448"/>
      <c r="BN656" s="448"/>
    </row>
    <row r="657" spans="1:66" ht="11.25" customHeight="1">
      <c r="A657" s="469"/>
      <c r="B657" s="447"/>
      <c r="C657" s="447"/>
      <c r="D657" s="447"/>
      <c r="E657" s="447"/>
      <c r="F657" s="447"/>
      <c r="G657" s="447"/>
      <c r="H657" s="447"/>
      <c r="I657" s="447"/>
      <c r="J657" s="447"/>
      <c r="K657" s="447"/>
      <c r="L657" s="447"/>
      <c r="M657" s="447"/>
      <c r="N657" s="447"/>
      <c r="O657" s="447"/>
      <c r="P657" s="447"/>
      <c r="Q657" s="447"/>
      <c r="R657" s="447"/>
      <c r="S657" s="447"/>
      <c r="T657" s="447"/>
      <c r="U657" s="447"/>
      <c r="V657" s="447"/>
      <c r="W657" s="447"/>
      <c r="X657" s="447"/>
      <c r="Y657" s="447"/>
      <c r="Z657" s="447"/>
      <c r="AA657" s="447"/>
      <c r="AB657" s="447"/>
      <c r="AC657" s="447"/>
      <c r="AD657" s="447"/>
      <c r="AE657" s="447"/>
      <c r="AF657" s="448"/>
      <c r="AG657" s="448"/>
      <c r="AH657" s="448"/>
      <c r="AI657" s="447"/>
      <c r="AJ657" s="447"/>
      <c r="AK657" s="447"/>
      <c r="AL657" s="447"/>
      <c r="AM657" s="447"/>
      <c r="AN657" s="447"/>
      <c r="AO657" s="447"/>
      <c r="AP657" s="447"/>
      <c r="AQ657" s="447"/>
      <c r="AR657" s="447"/>
      <c r="AS657" s="447"/>
      <c r="AT657" s="447"/>
      <c r="AU657" s="447"/>
      <c r="AV657" s="447"/>
      <c r="AW657" s="447"/>
      <c r="AX657" s="447"/>
      <c r="AY657" s="447"/>
      <c r="AZ657" s="447"/>
      <c r="BA657" s="447"/>
      <c r="BB657" s="447"/>
      <c r="BC657" s="447"/>
      <c r="BD657" s="447"/>
      <c r="BE657" s="447"/>
      <c r="BF657" s="447"/>
      <c r="BG657" s="447"/>
      <c r="BH657" s="447"/>
      <c r="BI657" s="447"/>
      <c r="BJ657" s="447"/>
      <c r="BK657" s="447"/>
      <c r="BL657" s="447"/>
      <c r="BM657" s="448"/>
      <c r="BN657" s="448"/>
    </row>
    <row r="658" spans="1:66" ht="11.25" customHeight="1">
      <c r="A658" s="469"/>
      <c r="B658" s="447"/>
      <c r="C658" s="447"/>
      <c r="D658" s="447"/>
      <c r="E658" s="447"/>
      <c r="F658" s="447"/>
      <c r="G658" s="447"/>
      <c r="H658" s="447"/>
      <c r="I658" s="447"/>
      <c r="J658" s="447"/>
      <c r="K658" s="447"/>
      <c r="L658" s="447"/>
      <c r="M658" s="447"/>
      <c r="N658" s="447"/>
      <c r="O658" s="447"/>
      <c r="P658" s="447"/>
      <c r="Q658" s="447"/>
      <c r="R658" s="447"/>
      <c r="S658" s="447"/>
      <c r="T658" s="447"/>
      <c r="U658" s="447"/>
      <c r="V658" s="447"/>
      <c r="W658" s="447"/>
      <c r="X658" s="447"/>
      <c r="Y658" s="447"/>
      <c r="Z658" s="447"/>
      <c r="AA658" s="447"/>
      <c r="AB658" s="447"/>
      <c r="AC658" s="447"/>
      <c r="AD658" s="447"/>
      <c r="AE658" s="447"/>
      <c r="AF658" s="448"/>
      <c r="AG658" s="448"/>
      <c r="AH658" s="448"/>
      <c r="AI658" s="447"/>
      <c r="AJ658" s="447"/>
      <c r="AK658" s="447"/>
      <c r="AL658" s="447"/>
      <c r="AM658" s="447"/>
      <c r="AN658" s="447"/>
      <c r="AO658" s="447"/>
      <c r="AP658" s="447"/>
      <c r="AQ658" s="447"/>
      <c r="AR658" s="447"/>
      <c r="AS658" s="447"/>
      <c r="AT658" s="447"/>
      <c r="AU658" s="447"/>
      <c r="AV658" s="447"/>
      <c r="AW658" s="447"/>
      <c r="AX658" s="447"/>
      <c r="AY658" s="447"/>
      <c r="AZ658" s="447"/>
      <c r="BA658" s="447"/>
      <c r="BB658" s="447"/>
      <c r="BC658" s="447"/>
      <c r="BD658" s="447"/>
      <c r="BE658" s="447"/>
      <c r="BF658" s="447"/>
      <c r="BG658" s="447"/>
      <c r="BH658" s="447"/>
      <c r="BI658" s="447"/>
      <c r="BJ658" s="447"/>
      <c r="BK658" s="447"/>
      <c r="BL658" s="447"/>
      <c r="BM658" s="448"/>
      <c r="BN658" s="448"/>
    </row>
    <row r="659" spans="1:66" ht="11.25" customHeight="1">
      <c r="A659" s="469"/>
      <c r="B659" s="447"/>
      <c r="C659" s="447"/>
      <c r="D659" s="447"/>
      <c r="E659" s="447"/>
      <c r="F659" s="447"/>
      <c r="G659" s="447"/>
      <c r="H659" s="447"/>
      <c r="I659" s="447"/>
      <c r="J659" s="447"/>
      <c r="K659" s="447"/>
      <c r="L659" s="447"/>
      <c r="M659" s="447"/>
      <c r="N659" s="447"/>
      <c r="O659" s="447"/>
      <c r="P659" s="447"/>
      <c r="Q659" s="447"/>
      <c r="R659" s="447"/>
      <c r="S659" s="447"/>
      <c r="T659" s="447"/>
      <c r="U659" s="447"/>
      <c r="V659" s="447"/>
      <c r="W659" s="447"/>
      <c r="X659" s="447"/>
      <c r="Y659" s="447"/>
      <c r="Z659" s="447"/>
      <c r="AA659" s="447"/>
      <c r="AB659" s="447"/>
      <c r="AC659" s="447"/>
      <c r="AD659" s="447"/>
      <c r="AE659" s="447"/>
      <c r="AF659" s="448"/>
      <c r="AG659" s="448"/>
      <c r="AH659" s="448"/>
      <c r="AI659" s="447"/>
      <c r="AJ659" s="447"/>
      <c r="AK659" s="447"/>
      <c r="AL659" s="447"/>
      <c r="AM659" s="447"/>
      <c r="AN659" s="447"/>
      <c r="AO659" s="447"/>
      <c r="AP659" s="447"/>
      <c r="AQ659" s="447"/>
      <c r="AR659" s="447"/>
      <c r="AS659" s="447"/>
      <c r="AT659" s="447"/>
      <c r="AU659" s="447"/>
      <c r="AV659" s="447"/>
      <c r="AW659" s="447"/>
      <c r="AX659" s="447"/>
      <c r="AY659" s="447"/>
      <c r="AZ659" s="447"/>
      <c r="BA659" s="447"/>
      <c r="BB659" s="447"/>
      <c r="BC659" s="447"/>
      <c r="BD659" s="447"/>
      <c r="BE659" s="447"/>
      <c r="BF659" s="447"/>
      <c r="BG659" s="447"/>
      <c r="BH659" s="447"/>
      <c r="BI659" s="447"/>
      <c r="BJ659" s="447"/>
      <c r="BK659" s="447"/>
      <c r="BL659" s="447"/>
      <c r="BM659" s="448"/>
      <c r="BN659" s="448"/>
    </row>
    <row r="660" spans="1:66" ht="11.25" customHeight="1">
      <c r="A660" s="469"/>
      <c r="B660" s="447"/>
      <c r="C660" s="447"/>
      <c r="D660" s="447"/>
      <c r="E660" s="447"/>
      <c r="F660" s="447"/>
      <c r="G660" s="447"/>
      <c r="H660" s="447"/>
      <c r="I660" s="447"/>
      <c r="J660" s="447"/>
      <c r="K660" s="447"/>
      <c r="L660" s="447"/>
      <c r="M660" s="447"/>
      <c r="N660" s="447"/>
      <c r="O660" s="447"/>
      <c r="P660" s="447"/>
      <c r="Q660" s="447"/>
      <c r="R660" s="447"/>
      <c r="S660" s="447"/>
      <c r="T660" s="447"/>
      <c r="U660" s="447"/>
      <c r="V660" s="447"/>
      <c r="W660" s="447"/>
      <c r="X660" s="447"/>
      <c r="Y660" s="447"/>
      <c r="Z660" s="447"/>
      <c r="AA660" s="447"/>
      <c r="AB660" s="447"/>
      <c r="AC660" s="447"/>
      <c r="AD660" s="447"/>
      <c r="AE660" s="447"/>
      <c r="AF660" s="448"/>
      <c r="AG660" s="448"/>
      <c r="AH660" s="448"/>
      <c r="AI660" s="447"/>
      <c r="AJ660" s="447"/>
      <c r="AK660" s="447"/>
      <c r="AL660" s="447"/>
      <c r="AM660" s="447"/>
      <c r="AN660" s="447"/>
      <c r="AO660" s="447"/>
      <c r="AP660" s="447"/>
      <c r="AQ660" s="447"/>
      <c r="AR660" s="447"/>
      <c r="AS660" s="447"/>
      <c r="AT660" s="447"/>
      <c r="AU660" s="447"/>
      <c r="AV660" s="447"/>
      <c r="AW660" s="447"/>
      <c r="AX660" s="447"/>
      <c r="AY660" s="447"/>
      <c r="AZ660" s="447"/>
      <c r="BA660" s="447"/>
      <c r="BB660" s="447"/>
      <c r="BC660" s="447"/>
      <c r="BD660" s="447"/>
      <c r="BE660" s="447"/>
      <c r="BF660" s="447"/>
      <c r="BG660" s="447"/>
      <c r="BH660" s="447"/>
      <c r="BI660" s="447"/>
      <c r="BJ660" s="447"/>
      <c r="BK660" s="447"/>
      <c r="BL660" s="447"/>
      <c r="BM660" s="448"/>
      <c r="BN660" s="448"/>
    </row>
    <row r="661" spans="1:66" ht="11.25" customHeight="1">
      <c r="A661" s="469"/>
      <c r="B661" s="447"/>
      <c r="C661" s="447"/>
      <c r="D661" s="447"/>
      <c r="E661" s="447"/>
      <c r="F661" s="447"/>
      <c r="G661" s="447"/>
      <c r="H661" s="447"/>
      <c r="I661" s="447"/>
      <c r="J661" s="447"/>
      <c r="K661" s="447"/>
      <c r="L661" s="447"/>
      <c r="M661" s="447"/>
      <c r="N661" s="447"/>
      <c r="O661" s="447"/>
      <c r="P661" s="447"/>
      <c r="Q661" s="447"/>
      <c r="R661" s="447"/>
      <c r="S661" s="447"/>
      <c r="T661" s="447"/>
      <c r="U661" s="447"/>
      <c r="V661" s="447"/>
      <c r="W661" s="447"/>
      <c r="X661" s="447"/>
      <c r="Y661" s="447"/>
      <c r="Z661" s="447"/>
      <c r="AA661" s="447"/>
      <c r="AB661" s="447"/>
      <c r="AC661" s="447"/>
      <c r="AD661" s="447"/>
      <c r="AE661" s="447"/>
      <c r="AF661" s="448"/>
      <c r="AG661" s="448"/>
      <c r="AH661" s="448"/>
      <c r="AI661" s="447"/>
      <c r="AJ661" s="447"/>
      <c r="AK661" s="447"/>
      <c r="AL661" s="447"/>
      <c r="AM661" s="447"/>
      <c r="AN661" s="447"/>
      <c r="AO661" s="447"/>
      <c r="AP661" s="447"/>
      <c r="AQ661" s="447"/>
      <c r="AR661" s="447"/>
      <c r="AS661" s="447"/>
      <c r="AT661" s="447"/>
      <c r="AU661" s="447"/>
      <c r="AV661" s="447"/>
      <c r="AW661" s="447"/>
      <c r="AX661" s="447"/>
      <c r="AY661" s="447"/>
      <c r="AZ661" s="447"/>
      <c r="BA661" s="447"/>
      <c r="BB661" s="447"/>
      <c r="BC661" s="447"/>
      <c r="BD661" s="447"/>
      <c r="BE661" s="447"/>
      <c r="BF661" s="447"/>
      <c r="BG661" s="447"/>
      <c r="BH661" s="447"/>
      <c r="BI661" s="447"/>
      <c r="BJ661" s="447"/>
      <c r="BK661" s="447"/>
      <c r="BL661" s="447"/>
      <c r="BM661" s="448"/>
      <c r="BN661" s="448"/>
    </row>
    <row r="662" spans="1:66" ht="11.25" customHeight="1">
      <c r="A662" s="469"/>
      <c r="B662" s="447"/>
      <c r="C662" s="447"/>
      <c r="D662" s="447"/>
      <c r="E662" s="447"/>
      <c r="F662" s="447"/>
      <c r="G662" s="447"/>
      <c r="H662" s="447"/>
      <c r="I662" s="447"/>
      <c r="J662" s="447"/>
      <c r="K662" s="447"/>
      <c r="L662" s="447"/>
      <c r="M662" s="447"/>
      <c r="N662" s="447"/>
      <c r="O662" s="447"/>
      <c r="P662" s="447"/>
      <c r="Q662" s="447"/>
      <c r="R662" s="447"/>
      <c r="S662" s="447"/>
      <c r="T662" s="447"/>
      <c r="U662" s="447"/>
      <c r="V662" s="447"/>
      <c r="W662" s="447"/>
      <c r="X662" s="447"/>
      <c r="Y662" s="447"/>
      <c r="Z662" s="447"/>
      <c r="AA662" s="447"/>
      <c r="AB662" s="447"/>
      <c r="AC662" s="447"/>
      <c r="AD662" s="447"/>
      <c r="AE662" s="447"/>
      <c r="AF662" s="448"/>
      <c r="AG662" s="448"/>
      <c r="AH662" s="448"/>
      <c r="AI662" s="447"/>
      <c r="AJ662" s="447"/>
      <c r="AK662" s="447"/>
      <c r="AL662" s="447"/>
      <c r="AM662" s="447"/>
      <c r="AN662" s="447"/>
      <c r="AO662" s="447"/>
      <c r="AP662" s="447"/>
      <c r="AQ662" s="447"/>
      <c r="AR662" s="447"/>
      <c r="AS662" s="447"/>
      <c r="AT662" s="447"/>
      <c r="AU662" s="447"/>
      <c r="AV662" s="447"/>
      <c r="AW662" s="447"/>
      <c r="AX662" s="447"/>
      <c r="AY662" s="447"/>
      <c r="AZ662" s="447"/>
      <c r="BA662" s="447"/>
      <c r="BB662" s="447"/>
      <c r="BC662" s="447"/>
      <c r="BD662" s="447"/>
      <c r="BE662" s="447"/>
      <c r="BF662" s="447"/>
      <c r="BG662" s="447"/>
      <c r="BH662" s="447"/>
      <c r="BI662" s="447"/>
      <c r="BJ662" s="447"/>
      <c r="BK662" s="447"/>
      <c r="BL662" s="447"/>
      <c r="BM662" s="448"/>
      <c r="BN662" s="448"/>
    </row>
    <row r="663" spans="1:66" ht="11.25" customHeight="1">
      <c r="A663" s="469"/>
      <c r="B663" s="447"/>
      <c r="C663" s="447"/>
      <c r="D663" s="447"/>
      <c r="E663" s="447"/>
      <c r="F663" s="447"/>
      <c r="G663" s="447"/>
      <c r="H663" s="447"/>
      <c r="I663" s="447"/>
      <c r="J663" s="447"/>
      <c r="K663" s="447"/>
      <c r="L663" s="447"/>
      <c r="M663" s="447"/>
      <c r="N663" s="447"/>
      <c r="O663" s="447"/>
      <c r="P663" s="447"/>
      <c r="Q663" s="447"/>
      <c r="R663" s="447"/>
      <c r="S663" s="447"/>
      <c r="T663" s="447"/>
      <c r="U663" s="447"/>
      <c r="V663" s="447"/>
      <c r="W663" s="447"/>
      <c r="X663" s="447"/>
      <c r="Y663" s="447"/>
      <c r="Z663" s="447"/>
      <c r="AA663" s="447"/>
      <c r="AB663" s="447"/>
      <c r="AC663" s="447"/>
      <c r="AD663" s="447"/>
      <c r="AE663" s="447"/>
      <c r="AF663" s="448"/>
      <c r="AG663" s="448"/>
      <c r="AH663" s="448"/>
      <c r="AI663" s="447"/>
      <c r="AJ663" s="447"/>
      <c r="AK663" s="447"/>
      <c r="AL663" s="447"/>
      <c r="AM663" s="447"/>
      <c r="AN663" s="447"/>
      <c r="AO663" s="447"/>
      <c r="AP663" s="447"/>
      <c r="AQ663" s="447"/>
      <c r="AR663" s="447"/>
      <c r="AS663" s="447"/>
      <c r="AT663" s="447"/>
      <c r="AU663" s="447"/>
      <c r="AV663" s="447"/>
      <c r="AW663" s="447"/>
      <c r="AX663" s="447"/>
      <c r="AY663" s="447"/>
      <c r="AZ663" s="447"/>
      <c r="BA663" s="447"/>
      <c r="BB663" s="447"/>
      <c r="BC663" s="447"/>
      <c r="BD663" s="447"/>
      <c r="BE663" s="447"/>
      <c r="BF663" s="447"/>
      <c r="BG663" s="447"/>
      <c r="BH663" s="447"/>
      <c r="BI663" s="447"/>
      <c r="BJ663" s="447"/>
      <c r="BK663" s="447"/>
      <c r="BL663" s="447"/>
      <c r="BM663" s="448"/>
      <c r="BN663" s="448"/>
    </row>
    <row r="664" spans="1:66" ht="11.25" customHeight="1">
      <c r="A664" s="469"/>
      <c r="B664" s="447"/>
      <c r="C664" s="447"/>
      <c r="D664" s="447"/>
      <c r="E664" s="447"/>
      <c r="F664" s="447"/>
      <c r="G664" s="447"/>
      <c r="H664" s="447"/>
      <c r="I664" s="447"/>
      <c r="J664" s="447"/>
      <c r="K664" s="447"/>
      <c r="L664" s="447"/>
      <c r="M664" s="447"/>
      <c r="N664" s="447"/>
      <c r="O664" s="447"/>
      <c r="P664" s="447"/>
      <c r="Q664" s="447"/>
      <c r="R664" s="447"/>
      <c r="S664" s="447"/>
      <c r="T664" s="447"/>
      <c r="U664" s="447"/>
      <c r="V664" s="447"/>
      <c r="W664" s="447"/>
      <c r="X664" s="447"/>
      <c r="Y664" s="447"/>
      <c r="Z664" s="447"/>
      <c r="AA664" s="447"/>
      <c r="AB664" s="447"/>
      <c r="AC664" s="447"/>
      <c r="AD664" s="447"/>
      <c r="AE664" s="447"/>
      <c r="AF664" s="448"/>
      <c r="AG664" s="448"/>
      <c r="AH664" s="448"/>
      <c r="AI664" s="447"/>
      <c r="AJ664" s="447"/>
      <c r="AK664" s="447"/>
      <c r="AL664" s="447"/>
      <c r="AM664" s="447"/>
      <c r="AN664" s="447"/>
      <c r="AO664" s="447"/>
      <c r="AP664" s="447"/>
      <c r="AQ664" s="447"/>
      <c r="AR664" s="447"/>
      <c r="AS664" s="447"/>
      <c r="AT664" s="447"/>
      <c r="AU664" s="447"/>
      <c r="AV664" s="447"/>
      <c r="AW664" s="447"/>
      <c r="AX664" s="447"/>
      <c r="AY664" s="447"/>
      <c r="AZ664" s="447"/>
      <c r="BA664" s="447"/>
      <c r="BB664" s="447"/>
      <c r="BC664" s="447"/>
      <c r="BD664" s="447"/>
      <c r="BE664" s="447"/>
      <c r="BF664" s="447"/>
      <c r="BG664" s="447"/>
      <c r="BH664" s="447"/>
      <c r="BI664" s="447"/>
      <c r="BJ664" s="447"/>
      <c r="BK664" s="447"/>
      <c r="BL664" s="447"/>
      <c r="BM664" s="448"/>
      <c r="BN664" s="448"/>
    </row>
    <row r="665" spans="1:66" ht="11.25" customHeight="1">
      <c r="A665" s="469"/>
      <c r="B665" s="447"/>
      <c r="C665" s="447"/>
      <c r="D665" s="447"/>
      <c r="E665" s="447"/>
      <c r="F665" s="447"/>
      <c r="G665" s="447"/>
      <c r="H665" s="447"/>
      <c r="I665" s="447"/>
      <c r="J665" s="447"/>
      <c r="K665" s="447"/>
      <c r="L665" s="447"/>
      <c r="M665" s="447"/>
      <c r="N665" s="447"/>
      <c r="O665" s="447"/>
      <c r="P665" s="447"/>
      <c r="Q665" s="447"/>
      <c r="R665" s="447"/>
      <c r="S665" s="447"/>
      <c r="T665" s="447"/>
      <c r="U665" s="447"/>
      <c r="V665" s="447"/>
      <c r="W665" s="447"/>
      <c r="X665" s="447"/>
      <c r="Y665" s="447"/>
      <c r="Z665" s="447"/>
      <c r="AA665" s="447"/>
      <c r="AB665" s="447"/>
      <c r="AC665" s="447"/>
      <c r="AD665" s="447"/>
      <c r="AE665" s="447"/>
      <c r="AF665" s="448"/>
      <c r="AG665" s="448"/>
      <c r="AH665" s="448"/>
      <c r="AI665" s="447"/>
      <c r="AJ665" s="447"/>
      <c r="AK665" s="447"/>
      <c r="AL665" s="447"/>
      <c r="AM665" s="447"/>
      <c r="AN665" s="447"/>
      <c r="AO665" s="447"/>
      <c r="AP665" s="447"/>
      <c r="AQ665" s="447"/>
      <c r="AR665" s="447"/>
      <c r="AS665" s="447"/>
      <c r="AT665" s="447"/>
      <c r="AU665" s="447"/>
      <c r="AV665" s="447"/>
      <c r="AW665" s="447"/>
      <c r="AX665" s="447"/>
      <c r="AY665" s="447"/>
      <c r="AZ665" s="447"/>
      <c r="BA665" s="447"/>
      <c r="BB665" s="447"/>
      <c r="BC665" s="447"/>
      <c r="BD665" s="447"/>
      <c r="BE665" s="447"/>
      <c r="BF665" s="447"/>
      <c r="BG665" s="447"/>
      <c r="BH665" s="447"/>
      <c r="BI665" s="447"/>
      <c r="BJ665" s="447"/>
      <c r="BK665" s="447"/>
      <c r="BL665" s="447"/>
      <c r="BM665" s="448"/>
      <c r="BN665" s="448"/>
    </row>
    <row r="666" spans="1:66" ht="11.25" customHeight="1">
      <c r="A666" s="469"/>
      <c r="B666" s="447"/>
      <c r="C666" s="447"/>
      <c r="D666" s="447"/>
      <c r="E666" s="447"/>
      <c r="F666" s="447"/>
      <c r="G666" s="447"/>
      <c r="H666" s="447"/>
      <c r="I666" s="447"/>
      <c r="J666" s="447"/>
      <c r="K666" s="447"/>
      <c r="L666" s="447"/>
      <c r="M666" s="447"/>
      <c r="N666" s="447"/>
      <c r="O666" s="447"/>
      <c r="P666" s="447"/>
      <c r="Q666" s="447"/>
      <c r="R666" s="447"/>
      <c r="S666" s="447"/>
      <c r="T666" s="447"/>
      <c r="U666" s="447"/>
      <c r="V666" s="447"/>
      <c r="W666" s="447"/>
      <c r="X666" s="447"/>
      <c r="Y666" s="447"/>
      <c r="Z666" s="447"/>
      <c r="AA666" s="447"/>
      <c r="AB666" s="447"/>
      <c r="AC666" s="447"/>
      <c r="AD666" s="447"/>
      <c r="AE666" s="447"/>
      <c r="AF666" s="448"/>
      <c r="AG666" s="448"/>
      <c r="AH666" s="448"/>
      <c r="AI666" s="447"/>
      <c r="AJ666" s="447"/>
      <c r="AK666" s="447"/>
      <c r="AL666" s="447"/>
      <c r="AM666" s="447"/>
      <c r="AN666" s="447"/>
      <c r="AO666" s="447"/>
      <c r="AP666" s="447"/>
      <c r="AQ666" s="447"/>
      <c r="AR666" s="447"/>
      <c r="AS666" s="447"/>
      <c r="AT666" s="447"/>
      <c r="AU666" s="447"/>
      <c r="AV666" s="447"/>
      <c r="AW666" s="447"/>
      <c r="AX666" s="447"/>
      <c r="AY666" s="447"/>
      <c r="AZ666" s="447"/>
      <c r="BA666" s="447"/>
      <c r="BB666" s="447"/>
      <c r="BC666" s="447"/>
      <c r="BD666" s="447"/>
      <c r="BE666" s="447"/>
      <c r="BF666" s="447"/>
      <c r="BG666" s="447"/>
      <c r="BH666" s="447"/>
      <c r="BI666" s="447"/>
      <c r="BJ666" s="447"/>
      <c r="BK666" s="447"/>
      <c r="BL666" s="447"/>
      <c r="BM666" s="448"/>
      <c r="BN666" s="448"/>
    </row>
    <row r="667" spans="1:66" ht="11.25" customHeight="1">
      <c r="A667" s="469"/>
      <c r="B667" s="447"/>
      <c r="C667" s="447"/>
      <c r="D667" s="447"/>
      <c r="E667" s="447"/>
      <c r="F667" s="447"/>
      <c r="G667" s="447"/>
      <c r="H667" s="447"/>
      <c r="I667" s="447"/>
      <c r="J667" s="447"/>
      <c r="K667" s="447"/>
      <c r="L667" s="447"/>
      <c r="M667" s="447"/>
      <c r="N667" s="447"/>
      <c r="O667" s="447"/>
      <c r="P667" s="447"/>
      <c r="Q667" s="447"/>
      <c r="R667" s="447"/>
      <c r="S667" s="447"/>
      <c r="T667" s="447"/>
      <c r="U667" s="447"/>
      <c r="V667" s="447"/>
      <c r="W667" s="447"/>
      <c r="X667" s="447"/>
      <c r="Y667" s="447"/>
      <c r="Z667" s="447"/>
      <c r="AA667" s="447"/>
      <c r="AB667" s="447"/>
      <c r="AC667" s="447"/>
      <c r="AD667" s="447"/>
      <c r="AE667" s="447"/>
      <c r="AF667" s="448"/>
      <c r="AG667" s="448"/>
      <c r="AH667" s="448"/>
      <c r="AI667" s="447"/>
      <c r="AJ667" s="447"/>
      <c r="AK667" s="447"/>
      <c r="AL667" s="447"/>
      <c r="AM667" s="447"/>
      <c r="AN667" s="447"/>
      <c r="AO667" s="447"/>
      <c r="AP667" s="447"/>
      <c r="AQ667" s="447"/>
      <c r="AR667" s="447"/>
      <c r="AS667" s="447"/>
      <c r="AT667" s="447"/>
      <c r="AU667" s="447"/>
      <c r="AV667" s="447"/>
      <c r="AW667" s="447"/>
      <c r="AX667" s="447"/>
      <c r="AY667" s="447"/>
      <c r="AZ667" s="447"/>
      <c r="BA667" s="447"/>
      <c r="BB667" s="447"/>
      <c r="BC667" s="447"/>
      <c r="BD667" s="447"/>
      <c r="BE667" s="447"/>
      <c r="BF667" s="447"/>
      <c r="BG667" s="447"/>
      <c r="BH667" s="447"/>
      <c r="BI667" s="447"/>
      <c r="BJ667" s="447"/>
      <c r="BK667" s="447"/>
      <c r="BL667" s="447"/>
      <c r="BM667" s="448"/>
      <c r="BN667" s="448"/>
    </row>
    <row r="668" spans="1:66" ht="11.25" customHeight="1">
      <c r="A668" s="469"/>
      <c r="B668" s="447"/>
      <c r="C668" s="447"/>
      <c r="D668" s="447"/>
      <c r="E668" s="447"/>
      <c r="F668" s="447"/>
      <c r="G668" s="447"/>
      <c r="H668" s="447"/>
      <c r="I668" s="447"/>
      <c r="J668" s="447"/>
      <c r="K668" s="447"/>
      <c r="L668" s="447"/>
      <c r="M668" s="447"/>
      <c r="N668" s="447"/>
      <c r="O668" s="447"/>
      <c r="P668" s="447"/>
      <c r="Q668" s="447"/>
      <c r="R668" s="447"/>
      <c r="S668" s="447"/>
      <c r="T668" s="447"/>
      <c r="U668" s="447"/>
      <c r="V668" s="447"/>
      <c r="W668" s="447"/>
      <c r="X668" s="447"/>
      <c r="Y668" s="447"/>
      <c r="Z668" s="447"/>
      <c r="AA668" s="447"/>
      <c r="AB668" s="447"/>
      <c r="AC668" s="447"/>
      <c r="AD668" s="447"/>
      <c r="AE668" s="447"/>
      <c r="AF668" s="448"/>
      <c r="AG668" s="448"/>
      <c r="AH668" s="448"/>
      <c r="AI668" s="447"/>
      <c r="AJ668" s="447"/>
      <c r="AK668" s="447"/>
      <c r="AL668" s="447"/>
      <c r="AM668" s="447"/>
      <c r="AN668" s="447"/>
      <c r="AO668" s="447"/>
      <c r="AP668" s="447"/>
      <c r="AQ668" s="447"/>
      <c r="AR668" s="447"/>
      <c r="AS668" s="447"/>
      <c r="AT668" s="447"/>
      <c r="AU668" s="447"/>
      <c r="AV668" s="447"/>
      <c r="AW668" s="447"/>
      <c r="AX668" s="447"/>
      <c r="AY668" s="447"/>
      <c r="AZ668" s="447"/>
      <c r="BA668" s="447"/>
      <c r="BB668" s="447"/>
      <c r="BC668" s="447"/>
      <c r="BD668" s="447"/>
      <c r="BE668" s="447"/>
      <c r="BF668" s="447"/>
      <c r="BG668" s="447"/>
      <c r="BH668" s="447"/>
      <c r="BI668" s="447"/>
      <c r="BJ668" s="447"/>
      <c r="BK668" s="447"/>
      <c r="BL668" s="447"/>
      <c r="BM668" s="448"/>
      <c r="BN668" s="448"/>
    </row>
    <row r="669" spans="1:66" ht="11.25" customHeight="1">
      <c r="A669" s="469"/>
      <c r="B669" s="447"/>
      <c r="C669" s="447"/>
      <c r="D669" s="447"/>
      <c r="E669" s="447"/>
      <c r="F669" s="447"/>
      <c r="G669" s="447"/>
      <c r="H669" s="447"/>
      <c r="I669" s="447"/>
      <c r="J669" s="447"/>
      <c r="K669" s="447"/>
      <c r="L669" s="447"/>
      <c r="M669" s="447"/>
      <c r="N669" s="447"/>
      <c r="O669" s="447"/>
      <c r="P669" s="447"/>
      <c r="Q669" s="447"/>
      <c r="R669" s="447"/>
      <c r="S669" s="447"/>
      <c r="T669" s="447"/>
      <c r="U669" s="447"/>
      <c r="V669" s="447"/>
      <c r="W669" s="447"/>
      <c r="X669" s="447"/>
      <c r="Y669" s="447"/>
      <c r="Z669" s="447"/>
      <c r="AA669" s="447"/>
      <c r="AB669" s="447"/>
      <c r="AC669" s="447"/>
      <c r="AD669" s="447"/>
      <c r="AE669" s="447"/>
      <c r="AF669" s="448"/>
      <c r="AG669" s="448"/>
      <c r="AH669" s="448"/>
      <c r="AI669" s="447"/>
      <c r="AJ669" s="447"/>
      <c r="AK669" s="447"/>
      <c r="AL669" s="447"/>
      <c r="AM669" s="447"/>
      <c r="AN669" s="447"/>
      <c r="AO669" s="447"/>
      <c r="AP669" s="447"/>
      <c r="AQ669" s="447"/>
      <c r="AR669" s="447"/>
      <c r="AS669" s="447"/>
      <c r="AT669" s="447"/>
      <c r="AU669" s="447"/>
      <c r="AV669" s="447"/>
      <c r="AW669" s="447"/>
      <c r="AX669" s="447"/>
      <c r="AY669" s="447"/>
      <c r="AZ669" s="447"/>
      <c r="BA669" s="447"/>
      <c r="BB669" s="447"/>
      <c r="BC669" s="447"/>
      <c r="BD669" s="447"/>
      <c r="BE669" s="447"/>
      <c r="BF669" s="447"/>
      <c r="BG669" s="447"/>
      <c r="BH669" s="447"/>
      <c r="BI669" s="447"/>
      <c r="BJ669" s="447"/>
      <c r="BK669" s="447"/>
      <c r="BL669" s="447"/>
      <c r="BM669" s="448"/>
      <c r="BN669" s="448"/>
    </row>
    <row r="670" spans="1:66" ht="11.25" customHeight="1">
      <c r="A670" s="469"/>
      <c r="B670" s="447"/>
      <c r="C670" s="447"/>
      <c r="D670" s="447"/>
      <c r="E670" s="447"/>
      <c r="F670" s="447"/>
      <c r="G670" s="447"/>
      <c r="H670" s="447"/>
      <c r="I670" s="447"/>
      <c r="J670" s="447"/>
      <c r="K670" s="447"/>
      <c r="L670" s="447"/>
      <c r="M670" s="447"/>
      <c r="N670" s="447"/>
      <c r="O670" s="447"/>
      <c r="P670" s="447"/>
      <c r="Q670" s="447"/>
      <c r="R670" s="447"/>
      <c r="S670" s="447"/>
      <c r="T670" s="447"/>
      <c r="U670" s="447"/>
      <c r="V670" s="447"/>
      <c r="W670" s="447"/>
      <c r="X670" s="447"/>
      <c r="Y670" s="447"/>
      <c r="Z670" s="447"/>
      <c r="AA670" s="447"/>
      <c r="AB670" s="447"/>
      <c r="AC670" s="447"/>
      <c r="AD670" s="447"/>
      <c r="AE670" s="447"/>
      <c r="AF670" s="448"/>
      <c r="AG670" s="448"/>
      <c r="AH670" s="448"/>
      <c r="AI670" s="447"/>
      <c r="AJ670" s="447"/>
      <c r="AK670" s="447"/>
      <c r="AL670" s="447"/>
      <c r="AM670" s="447"/>
      <c r="AN670" s="447"/>
      <c r="AO670" s="447"/>
      <c r="AP670" s="447"/>
      <c r="AQ670" s="447"/>
      <c r="AR670" s="447"/>
      <c r="AS670" s="447"/>
      <c r="AT670" s="447"/>
      <c r="AU670" s="447"/>
      <c r="AV670" s="447"/>
      <c r="AW670" s="447"/>
      <c r="AX670" s="447"/>
      <c r="AY670" s="447"/>
      <c r="AZ670" s="447"/>
      <c r="BA670" s="447"/>
      <c r="BB670" s="447"/>
      <c r="BC670" s="447"/>
      <c r="BD670" s="447"/>
      <c r="BE670" s="447"/>
      <c r="BF670" s="447"/>
      <c r="BG670" s="447"/>
      <c r="BH670" s="447"/>
      <c r="BI670" s="447"/>
      <c r="BJ670" s="447"/>
      <c r="BK670" s="447"/>
      <c r="BL670" s="447"/>
      <c r="BM670" s="448"/>
      <c r="BN670" s="448"/>
    </row>
    <row r="671" spans="1:66" ht="11.25" customHeight="1">
      <c r="A671" s="469"/>
      <c r="B671" s="447"/>
      <c r="C671" s="447"/>
      <c r="D671" s="447"/>
      <c r="E671" s="447"/>
      <c r="F671" s="447"/>
      <c r="G671" s="447"/>
      <c r="H671" s="447"/>
      <c r="I671" s="447"/>
      <c r="J671" s="447"/>
      <c r="K671" s="447"/>
      <c r="L671" s="447"/>
      <c r="M671" s="447"/>
      <c r="N671" s="447"/>
      <c r="O671" s="447"/>
      <c r="P671" s="447"/>
      <c r="Q671" s="447"/>
      <c r="R671" s="447"/>
      <c r="S671" s="447"/>
      <c r="T671" s="447"/>
      <c r="U671" s="447"/>
      <c r="V671" s="447"/>
      <c r="W671" s="447"/>
      <c r="X671" s="447"/>
      <c r="Y671" s="447"/>
      <c r="Z671" s="447"/>
      <c r="AA671" s="447"/>
      <c r="AB671" s="447"/>
      <c r="AC671" s="447"/>
      <c r="AD671" s="447"/>
      <c r="AE671" s="447"/>
      <c r="AF671" s="448"/>
      <c r="AG671" s="448"/>
      <c r="AH671" s="448"/>
      <c r="AI671" s="447"/>
      <c r="AJ671" s="447"/>
      <c r="AK671" s="447"/>
      <c r="AL671" s="447"/>
      <c r="AM671" s="447"/>
      <c r="AN671" s="447"/>
      <c r="AO671" s="447"/>
      <c r="AP671" s="447"/>
      <c r="AQ671" s="447"/>
      <c r="AR671" s="447"/>
      <c r="AS671" s="447"/>
      <c r="AT671" s="447"/>
      <c r="AU671" s="447"/>
      <c r="AV671" s="447"/>
      <c r="AW671" s="447"/>
      <c r="AX671" s="447"/>
      <c r="AY671" s="447"/>
      <c r="AZ671" s="447"/>
      <c r="BA671" s="447"/>
      <c r="BB671" s="447"/>
      <c r="BC671" s="447"/>
      <c r="BD671" s="447"/>
      <c r="BE671" s="447"/>
      <c r="BF671" s="447"/>
      <c r="BG671" s="447"/>
      <c r="BH671" s="447"/>
      <c r="BI671" s="447"/>
      <c r="BJ671" s="447"/>
      <c r="BK671" s="447"/>
      <c r="BL671" s="447"/>
      <c r="BM671" s="448"/>
      <c r="BN671" s="448"/>
    </row>
    <row r="672" spans="1:66" ht="11.25" customHeight="1">
      <c r="A672" s="469"/>
      <c r="B672" s="447"/>
      <c r="C672" s="447"/>
      <c r="D672" s="447"/>
      <c r="E672" s="447"/>
      <c r="F672" s="447"/>
      <c r="G672" s="447"/>
      <c r="H672" s="447"/>
      <c r="I672" s="447"/>
      <c r="J672" s="447"/>
      <c r="K672" s="447"/>
      <c r="L672" s="447"/>
      <c r="M672" s="447"/>
      <c r="N672" s="447"/>
      <c r="O672" s="447"/>
      <c r="P672" s="447"/>
      <c r="Q672" s="447"/>
      <c r="R672" s="447"/>
      <c r="S672" s="447"/>
      <c r="T672" s="447"/>
      <c r="U672" s="447"/>
      <c r="V672" s="447"/>
      <c r="W672" s="447"/>
      <c r="X672" s="447"/>
      <c r="Y672" s="447"/>
      <c r="Z672" s="447"/>
      <c r="AA672" s="447"/>
      <c r="AB672" s="447"/>
      <c r="AC672" s="447"/>
      <c r="AD672" s="447"/>
      <c r="AE672" s="447"/>
      <c r="AF672" s="448"/>
      <c r="AG672" s="448"/>
      <c r="AH672" s="448"/>
      <c r="AI672" s="447"/>
      <c r="AJ672" s="447"/>
      <c r="AK672" s="447"/>
      <c r="AL672" s="447"/>
      <c r="AM672" s="447"/>
      <c r="AN672" s="447"/>
      <c r="AO672" s="447"/>
      <c r="AP672" s="447"/>
      <c r="AQ672" s="447"/>
      <c r="AR672" s="447"/>
      <c r="AS672" s="447"/>
      <c r="AT672" s="447"/>
      <c r="AU672" s="447"/>
      <c r="AV672" s="447"/>
      <c r="AW672" s="447"/>
      <c r="AX672" s="447"/>
      <c r="AY672" s="447"/>
      <c r="AZ672" s="447"/>
      <c r="BA672" s="447"/>
      <c r="BB672" s="447"/>
      <c r="BC672" s="447"/>
      <c r="BD672" s="447"/>
      <c r="BE672" s="447"/>
      <c r="BF672" s="447"/>
      <c r="BG672" s="447"/>
      <c r="BH672" s="447"/>
      <c r="BI672" s="447"/>
      <c r="BJ672" s="447"/>
      <c r="BK672" s="447"/>
      <c r="BL672" s="447"/>
      <c r="BM672" s="448"/>
      <c r="BN672" s="448"/>
    </row>
    <row r="673" spans="1:66" ht="11.25" customHeight="1">
      <c r="A673" s="469"/>
      <c r="B673" s="447"/>
      <c r="C673" s="447"/>
      <c r="D673" s="447"/>
      <c r="E673" s="447"/>
      <c r="F673" s="447"/>
      <c r="G673" s="447"/>
      <c r="H673" s="447"/>
      <c r="I673" s="447"/>
      <c r="J673" s="447"/>
      <c r="K673" s="447"/>
      <c r="L673" s="447"/>
      <c r="M673" s="447"/>
      <c r="N673" s="447"/>
      <c r="O673" s="447"/>
      <c r="P673" s="447"/>
      <c r="Q673" s="447"/>
      <c r="R673" s="447"/>
      <c r="S673" s="447"/>
      <c r="T673" s="447"/>
      <c r="U673" s="447"/>
      <c r="V673" s="447"/>
      <c r="W673" s="447"/>
      <c r="X673" s="447"/>
      <c r="Y673" s="447"/>
      <c r="Z673" s="447"/>
      <c r="AA673" s="447"/>
      <c r="AB673" s="447"/>
      <c r="AC673" s="447"/>
      <c r="AD673" s="447"/>
      <c r="AE673" s="447"/>
      <c r="AF673" s="448"/>
      <c r="AG673" s="448"/>
      <c r="AH673" s="448"/>
      <c r="AI673" s="447"/>
      <c r="AJ673" s="447"/>
      <c r="AK673" s="447"/>
      <c r="AL673" s="447"/>
      <c r="AM673" s="447"/>
      <c r="AN673" s="447"/>
      <c r="AO673" s="447"/>
      <c r="AP673" s="447"/>
      <c r="AQ673" s="447"/>
      <c r="AR673" s="447"/>
      <c r="AS673" s="447"/>
      <c r="AT673" s="447"/>
      <c r="AU673" s="447"/>
      <c r="AV673" s="447"/>
      <c r="AW673" s="447"/>
      <c r="AX673" s="447"/>
      <c r="AY673" s="447"/>
      <c r="AZ673" s="447"/>
      <c r="BA673" s="447"/>
      <c r="BB673" s="447"/>
      <c r="BC673" s="447"/>
      <c r="BD673" s="447"/>
      <c r="BE673" s="447"/>
      <c r="BF673" s="447"/>
      <c r="BG673" s="447"/>
      <c r="BH673" s="447"/>
      <c r="BI673" s="447"/>
      <c r="BJ673" s="447"/>
      <c r="BK673" s="447"/>
      <c r="BL673" s="447"/>
      <c r="BM673" s="448"/>
      <c r="BN673" s="448"/>
    </row>
    <row r="674" spans="1:66" ht="11.25" customHeight="1">
      <c r="A674" s="469"/>
      <c r="B674" s="447"/>
      <c r="C674" s="447"/>
      <c r="D674" s="447"/>
      <c r="E674" s="447"/>
      <c r="F674" s="447"/>
      <c r="G674" s="447"/>
      <c r="H674" s="447"/>
      <c r="I674" s="447"/>
      <c r="J674" s="447"/>
      <c r="K674" s="447"/>
      <c r="L674" s="447"/>
      <c r="M674" s="447"/>
      <c r="N674" s="447"/>
      <c r="O674" s="447"/>
      <c r="P674" s="447"/>
      <c r="Q674" s="447"/>
      <c r="R674" s="447"/>
      <c r="S674" s="447"/>
      <c r="T674" s="447"/>
      <c r="U674" s="447"/>
      <c r="V674" s="447"/>
      <c r="W674" s="447"/>
      <c r="X674" s="447"/>
      <c r="Y674" s="447"/>
      <c r="Z674" s="447"/>
      <c r="AA674" s="447"/>
      <c r="AB674" s="447"/>
      <c r="AC674" s="447"/>
      <c r="AD674" s="447"/>
      <c r="AE674" s="447"/>
      <c r="AF674" s="448"/>
      <c r="AG674" s="448"/>
      <c r="AH674" s="448"/>
      <c r="AI674" s="447"/>
      <c r="AJ674" s="447"/>
      <c r="AK674" s="447"/>
      <c r="AL674" s="447"/>
      <c r="AM674" s="447"/>
      <c r="AN674" s="447"/>
      <c r="AO674" s="447"/>
      <c r="AP674" s="447"/>
      <c r="AQ674" s="447"/>
      <c r="AR674" s="447"/>
      <c r="AS674" s="447"/>
      <c r="AT674" s="447"/>
      <c r="AU674" s="447"/>
      <c r="AV674" s="447"/>
      <c r="AW674" s="447"/>
      <c r="AX674" s="447"/>
      <c r="AY674" s="447"/>
      <c r="AZ674" s="447"/>
      <c r="BA674" s="447"/>
      <c r="BB674" s="447"/>
      <c r="BC674" s="447"/>
      <c r="BD674" s="447"/>
      <c r="BE674" s="447"/>
      <c r="BF674" s="447"/>
      <c r="BG674" s="447"/>
      <c r="BH674" s="447"/>
      <c r="BI674" s="447"/>
      <c r="BJ674" s="447"/>
      <c r="BK674" s="447"/>
      <c r="BL674" s="447"/>
      <c r="BM674" s="448"/>
      <c r="BN674" s="448"/>
    </row>
    <row r="675" spans="1:66" ht="11.25" customHeight="1">
      <c r="A675" s="469"/>
      <c r="B675" s="447"/>
      <c r="C675" s="447"/>
      <c r="D675" s="447"/>
      <c r="E675" s="447"/>
      <c r="F675" s="447"/>
      <c r="G675" s="447"/>
      <c r="H675" s="447"/>
      <c r="I675" s="447"/>
      <c r="J675" s="447"/>
      <c r="K675" s="447"/>
      <c r="L675" s="447"/>
      <c r="M675" s="447"/>
      <c r="N675" s="447"/>
      <c r="O675" s="447"/>
      <c r="P675" s="447"/>
      <c r="Q675" s="447"/>
      <c r="R675" s="447"/>
      <c r="S675" s="447"/>
      <c r="T675" s="447"/>
      <c r="U675" s="447"/>
      <c r="V675" s="447"/>
      <c r="W675" s="447"/>
      <c r="X675" s="447"/>
      <c r="Y675" s="447"/>
      <c r="Z675" s="447"/>
      <c r="AA675" s="447"/>
      <c r="AB675" s="447"/>
      <c r="AC675" s="447"/>
      <c r="AD675" s="447"/>
      <c r="AE675" s="447"/>
      <c r="AF675" s="448"/>
      <c r="AG675" s="448"/>
      <c r="AH675" s="448"/>
      <c r="AI675" s="447"/>
      <c r="AJ675" s="447"/>
      <c r="AK675" s="447"/>
      <c r="AL675" s="447"/>
      <c r="AM675" s="447"/>
      <c r="AN675" s="447"/>
      <c r="AO675" s="447"/>
      <c r="AP675" s="447"/>
      <c r="AQ675" s="447"/>
      <c r="AR675" s="447"/>
      <c r="AS675" s="447"/>
      <c r="AT675" s="447"/>
      <c r="AU675" s="447"/>
      <c r="AV675" s="447"/>
      <c r="AW675" s="447"/>
      <c r="AX675" s="447"/>
      <c r="AY675" s="447"/>
      <c r="AZ675" s="447"/>
      <c r="BA675" s="447"/>
      <c r="BB675" s="447"/>
      <c r="BC675" s="447"/>
      <c r="BD675" s="447"/>
      <c r="BE675" s="447"/>
      <c r="BF675" s="447"/>
      <c r="BG675" s="447"/>
      <c r="BH675" s="447"/>
      <c r="BI675" s="447"/>
      <c r="BJ675" s="447"/>
      <c r="BK675" s="447"/>
      <c r="BL675" s="447"/>
      <c r="BM675" s="448"/>
      <c r="BN675" s="448"/>
    </row>
    <row r="676" spans="1:66" ht="11.25" customHeight="1">
      <c r="A676" s="469"/>
      <c r="B676" s="447"/>
      <c r="C676" s="447"/>
      <c r="D676" s="447"/>
      <c r="E676" s="447"/>
      <c r="F676" s="447"/>
      <c r="G676" s="447"/>
      <c r="H676" s="447"/>
      <c r="I676" s="447"/>
      <c r="J676" s="447"/>
      <c r="K676" s="447"/>
      <c r="L676" s="447"/>
      <c r="M676" s="447"/>
      <c r="N676" s="447"/>
      <c r="O676" s="447"/>
      <c r="P676" s="447"/>
      <c r="Q676" s="447"/>
      <c r="R676" s="447"/>
      <c r="S676" s="447"/>
      <c r="T676" s="447"/>
      <c r="U676" s="447"/>
      <c r="V676" s="447"/>
      <c r="W676" s="447"/>
      <c r="X676" s="447"/>
      <c r="Y676" s="447"/>
      <c r="Z676" s="447"/>
      <c r="AA676" s="447"/>
      <c r="AB676" s="447"/>
      <c r="AC676" s="447"/>
      <c r="AD676" s="447"/>
      <c r="AE676" s="447"/>
      <c r="AF676" s="448"/>
      <c r="AG676" s="448"/>
      <c r="AH676" s="448"/>
      <c r="AI676" s="447"/>
      <c r="AJ676" s="447"/>
      <c r="AK676" s="447"/>
      <c r="AL676" s="447"/>
      <c r="AM676" s="447"/>
      <c r="AN676" s="447"/>
      <c r="AO676" s="447"/>
      <c r="AP676" s="447"/>
      <c r="AQ676" s="447"/>
      <c r="AR676" s="447"/>
      <c r="AS676" s="447"/>
      <c r="AT676" s="447"/>
      <c r="AU676" s="447"/>
      <c r="AV676" s="447"/>
      <c r="AW676" s="447"/>
      <c r="AX676" s="447"/>
      <c r="AY676" s="447"/>
      <c r="AZ676" s="447"/>
      <c r="BA676" s="447"/>
      <c r="BB676" s="447"/>
      <c r="BC676" s="447"/>
      <c r="BD676" s="447"/>
      <c r="BE676" s="447"/>
      <c r="BF676" s="447"/>
      <c r="BG676" s="447"/>
      <c r="BH676" s="447"/>
      <c r="BI676" s="447"/>
      <c r="BJ676" s="447"/>
      <c r="BK676" s="447"/>
      <c r="BL676" s="447"/>
      <c r="BM676" s="448"/>
      <c r="BN676" s="448"/>
    </row>
    <row r="677" spans="1:66" ht="11.25" customHeight="1">
      <c r="A677" s="469"/>
      <c r="B677" s="447"/>
      <c r="C677" s="447"/>
      <c r="D677" s="447"/>
      <c r="E677" s="447"/>
      <c r="F677" s="447"/>
      <c r="G677" s="447"/>
      <c r="H677" s="447"/>
      <c r="I677" s="447"/>
      <c r="J677" s="447"/>
      <c r="K677" s="447"/>
      <c r="L677" s="447"/>
      <c r="M677" s="447"/>
      <c r="N677" s="447"/>
      <c r="O677" s="447"/>
      <c r="P677" s="447"/>
      <c r="Q677" s="447"/>
      <c r="R677" s="447"/>
      <c r="S677" s="447"/>
      <c r="T677" s="447"/>
      <c r="U677" s="447"/>
      <c r="V677" s="447"/>
      <c r="W677" s="447"/>
      <c r="X677" s="447"/>
      <c r="Y677" s="447"/>
      <c r="Z677" s="447"/>
      <c r="AA677" s="447"/>
      <c r="AB677" s="447"/>
      <c r="AC677" s="447"/>
      <c r="AD677" s="447"/>
      <c r="AE677" s="447"/>
      <c r="AF677" s="448"/>
      <c r="AG677" s="448"/>
      <c r="AH677" s="448"/>
      <c r="AI677" s="447"/>
      <c r="AJ677" s="447"/>
      <c r="AK677" s="447"/>
      <c r="AL677" s="447"/>
      <c r="AM677" s="447"/>
      <c r="AN677" s="447"/>
      <c r="AO677" s="447"/>
      <c r="AP677" s="447"/>
      <c r="AQ677" s="447"/>
      <c r="AR677" s="447"/>
      <c r="AS677" s="447"/>
      <c r="AT677" s="447"/>
      <c r="AU677" s="447"/>
      <c r="AV677" s="447"/>
      <c r="AW677" s="447"/>
      <c r="AX677" s="447"/>
      <c r="AY677" s="447"/>
      <c r="AZ677" s="447"/>
      <c r="BA677" s="447"/>
      <c r="BB677" s="447"/>
      <c r="BC677" s="447"/>
      <c r="BD677" s="447"/>
      <c r="BE677" s="447"/>
      <c r="BF677" s="447"/>
      <c r="BG677" s="447"/>
      <c r="BH677" s="447"/>
      <c r="BI677" s="447"/>
      <c r="BJ677" s="447"/>
      <c r="BK677" s="447"/>
      <c r="BL677" s="447"/>
      <c r="BM677" s="448"/>
      <c r="BN677" s="448"/>
    </row>
    <row r="678" spans="1:66" ht="11.25" customHeight="1">
      <c r="A678" s="469"/>
      <c r="B678" s="447"/>
      <c r="C678" s="447"/>
      <c r="D678" s="447"/>
      <c r="E678" s="447"/>
      <c r="F678" s="447"/>
      <c r="G678" s="447"/>
      <c r="H678" s="447"/>
      <c r="I678" s="447"/>
      <c r="J678" s="447"/>
      <c r="K678" s="447"/>
      <c r="L678" s="447"/>
      <c r="M678" s="447"/>
      <c r="N678" s="447"/>
      <c r="O678" s="447"/>
      <c r="P678" s="447"/>
      <c r="Q678" s="447"/>
      <c r="R678" s="447"/>
      <c r="S678" s="447"/>
      <c r="T678" s="447"/>
      <c r="U678" s="447"/>
      <c r="V678" s="447"/>
      <c r="W678" s="447"/>
      <c r="X678" s="447"/>
      <c r="Y678" s="447"/>
      <c r="Z678" s="447"/>
      <c r="AA678" s="447"/>
      <c r="AB678" s="447"/>
      <c r="AC678" s="447"/>
      <c r="AD678" s="447"/>
      <c r="AE678" s="447"/>
      <c r="AF678" s="448"/>
      <c r="AG678" s="448"/>
      <c r="AH678" s="448"/>
      <c r="AI678" s="447"/>
      <c r="AJ678" s="447"/>
      <c r="AK678" s="447"/>
      <c r="AL678" s="447"/>
      <c r="AM678" s="447"/>
      <c r="AN678" s="447"/>
      <c r="AO678" s="447"/>
      <c r="AP678" s="447"/>
      <c r="AQ678" s="447"/>
      <c r="AR678" s="447"/>
      <c r="AS678" s="447"/>
      <c r="AT678" s="447"/>
      <c r="AU678" s="447"/>
      <c r="AV678" s="447"/>
      <c r="AW678" s="447"/>
      <c r="AX678" s="447"/>
      <c r="AY678" s="447"/>
      <c r="AZ678" s="447"/>
      <c r="BA678" s="447"/>
      <c r="BB678" s="447"/>
      <c r="BC678" s="447"/>
      <c r="BD678" s="447"/>
      <c r="BE678" s="447"/>
      <c r="BF678" s="447"/>
      <c r="BG678" s="447"/>
      <c r="BH678" s="447"/>
      <c r="BI678" s="447"/>
      <c r="BJ678" s="447"/>
      <c r="BK678" s="447"/>
      <c r="BL678" s="447"/>
      <c r="BM678" s="448"/>
      <c r="BN678" s="448"/>
    </row>
    <row r="679" spans="1:66" ht="11.25" customHeight="1">
      <c r="A679" s="469"/>
      <c r="B679" s="447"/>
      <c r="C679" s="447"/>
      <c r="D679" s="447"/>
      <c r="E679" s="447"/>
      <c r="F679" s="447"/>
      <c r="G679" s="447"/>
      <c r="H679" s="447"/>
      <c r="I679" s="447"/>
      <c r="J679" s="447"/>
      <c r="K679" s="447"/>
      <c r="L679" s="447"/>
      <c r="M679" s="447"/>
      <c r="N679" s="447"/>
      <c r="O679" s="447"/>
      <c r="P679" s="447"/>
      <c r="Q679" s="447"/>
      <c r="R679" s="447"/>
      <c r="S679" s="447"/>
      <c r="T679" s="447"/>
      <c r="U679" s="447"/>
      <c r="V679" s="447"/>
      <c r="W679" s="447"/>
      <c r="X679" s="447"/>
      <c r="Y679" s="447"/>
      <c r="Z679" s="447"/>
      <c r="AA679" s="447"/>
      <c r="AB679" s="447"/>
      <c r="AC679" s="447"/>
      <c r="AD679" s="447"/>
      <c r="AE679" s="447"/>
      <c r="AF679" s="448"/>
      <c r="AG679" s="448"/>
      <c r="AH679" s="448"/>
      <c r="AI679" s="447"/>
      <c r="AJ679" s="447"/>
      <c r="AK679" s="447"/>
      <c r="AL679" s="447"/>
      <c r="AM679" s="447"/>
      <c r="AN679" s="447"/>
      <c r="AO679" s="447"/>
      <c r="AP679" s="447"/>
      <c r="AQ679" s="447"/>
      <c r="AR679" s="447"/>
      <c r="AS679" s="447"/>
      <c r="AT679" s="447"/>
      <c r="AU679" s="447"/>
      <c r="AV679" s="447"/>
      <c r="AW679" s="447"/>
      <c r="AX679" s="447"/>
      <c r="AY679" s="447"/>
      <c r="AZ679" s="447"/>
      <c r="BA679" s="447"/>
      <c r="BB679" s="447"/>
      <c r="BC679" s="447"/>
      <c r="BD679" s="447"/>
      <c r="BE679" s="447"/>
      <c r="BF679" s="447"/>
      <c r="BG679" s="447"/>
      <c r="BH679" s="447"/>
      <c r="BI679" s="447"/>
      <c r="BJ679" s="447"/>
      <c r="BK679" s="447"/>
      <c r="BL679" s="447"/>
      <c r="BM679" s="448"/>
      <c r="BN679" s="448"/>
    </row>
    <row r="680" spans="1:66" ht="11.25" customHeight="1">
      <c r="A680" s="469"/>
      <c r="B680" s="447"/>
      <c r="C680" s="447"/>
      <c r="D680" s="447"/>
      <c r="E680" s="447"/>
      <c r="F680" s="447"/>
      <c r="G680" s="447"/>
      <c r="H680" s="447"/>
      <c r="I680" s="447"/>
      <c r="J680" s="447"/>
      <c r="K680" s="447"/>
      <c r="L680" s="447"/>
      <c r="M680" s="447"/>
      <c r="N680" s="447"/>
      <c r="O680" s="447"/>
      <c r="P680" s="447"/>
      <c r="Q680" s="447"/>
      <c r="R680" s="447"/>
      <c r="S680" s="447"/>
      <c r="T680" s="447"/>
      <c r="U680" s="447"/>
      <c r="V680" s="447"/>
      <c r="W680" s="447"/>
      <c r="X680" s="447"/>
      <c r="Y680" s="447"/>
      <c r="Z680" s="447"/>
      <c r="AA680" s="447"/>
      <c r="AB680" s="447"/>
      <c r="AC680" s="447"/>
      <c r="AD680" s="447"/>
      <c r="AE680" s="447"/>
      <c r="AF680" s="448"/>
      <c r="AG680" s="448"/>
      <c r="AH680" s="448"/>
      <c r="AI680" s="447"/>
      <c r="AJ680" s="447"/>
      <c r="AK680" s="447"/>
      <c r="AL680" s="447"/>
      <c r="AM680" s="447"/>
      <c r="AN680" s="447"/>
      <c r="AO680" s="447"/>
      <c r="AP680" s="447"/>
      <c r="AQ680" s="447"/>
      <c r="AR680" s="447"/>
      <c r="AS680" s="447"/>
      <c r="AT680" s="447"/>
      <c r="AU680" s="447"/>
      <c r="AV680" s="447"/>
      <c r="AW680" s="447"/>
      <c r="AX680" s="447"/>
      <c r="AY680" s="447"/>
      <c r="AZ680" s="447"/>
      <c r="BA680" s="447"/>
      <c r="BB680" s="447"/>
      <c r="BC680" s="447"/>
      <c r="BD680" s="447"/>
      <c r="BE680" s="447"/>
      <c r="BF680" s="447"/>
      <c r="BG680" s="447"/>
      <c r="BH680" s="447"/>
      <c r="BI680" s="447"/>
      <c r="BJ680" s="447"/>
      <c r="BK680" s="447"/>
      <c r="BL680" s="447"/>
      <c r="BM680" s="448"/>
      <c r="BN680" s="448"/>
    </row>
    <row r="681" spans="1:66" ht="11.25" customHeight="1">
      <c r="A681" s="469"/>
      <c r="B681" s="447"/>
      <c r="C681" s="447"/>
      <c r="D681" s="447"/>
      <c r="E681" s="447"/>
      <c r="F681" s="447"/>
      <c r="G681" s="447"/>
      <c r="H681" s="447"/>
      <c r="I681" s="447"/>
      <c r="J681" s="447"/>
      <c r="K681" s="447"/>
      <c r="L681" s="447"/>
      <c r="M681" s="447"/>
      <c r="N681" s="447"/>
      <c r="O681" s="447"/>
      <c r="P681" s="447"/>
      <c r="Q681" s="447"/>
      <c r="R681" s="447"/>
      <c r="S681" s="447"/>
      <c r="T681" s="447"/>
      <c r="U681" s="447"/>
      <c r="V681" s="447"/>
      <c r="W681" s="447"/>
      <c r="X681" s="447"/>
      <c r="Y681" s="447"/>
      <c r="Z681" s="447"/>
      <c r="AA681" s="447"/>
      <c r="AB681" s="447"/>
      <c r="AC681" s="447"/>
      <c r="AD681" s="447"/>
      <c r="AE681" s="447"/>
      <c r="AF681" s="448"/>
      <c r="AG681" s="448"/>
      <c r="AH681" s="448"/>
      <c r="AI681" s="447"/>
      <c r="AJ681" s="447"/>
      <c r="AK681" s="447"/>
      <c r="AL681" s="447"/>
      <c r="AM681" s="447"/>
      <c r="AN681" s="447"/>
      <c r="AO681" s="447"/>
      <c r="AP681" s="447"/>
      <c r="AQ681" s="447"/>
      <c r="AR681" s="447"/>
      <c r="AS681" s="447"/>
      <c r="AT681" s="447"/>
      <c r="AU681" s="447"/>
      <c r="AV681" s="447"/>
      <c r="AW681" s="447"/>
      <c r="AX681" s="447"/>
      <c r="AY681" s="447"/>
      <c r="AZ681" s="447"/>
      <c r="BA681" s="447"/>
      <c r="BB681" s="447"/>
      <c r="BC681" s="447"/>
      <c r="BD681" s="447"/>
      <c r="BE681" s="447"/>
      <c r="BF681" s="447"/>
      <c r="BG681" s="447"/>
      <c r="BH681" s="447"/>
      <c r="BI681" s="447"/>
      <c r="BJ681" s="447"/>
      <c r="BK681" s="447"/>
      <c r="BL681" s="447"/>
      <c r="BM681" s="448"/>
      <c r="BN681" s="448"/>
    </row>
    <row r="682" spans="1:66" ht="11.25" customHeight="1">
      <c r="A682" s="469"/>
      <c r="B682" s="447"/>
      <c r="C682" s="447"/>
      <c r="D682" s="447"/>
      <c r="E682" s="447"/>
      <c r="F682" s="447"/>
      <c r="G682" s="447"/>
      <c r="H682" s="447"/>
      <c r="I682" s="447"/>
      <c r="J682" s="447"/>
      <c r="K682" s="447"/>
      <c r="L682" s="447"/>
      <c r="M682" s="447"/>
      <c r="N682" s="447"/>
      <c r="O682" s="447"/>
      <c r="P682" s="447"/>
      <c r="Q682" s="447"/>
      <c r="R682" s="447"/>
      <c r="S682" s="447"/>
      <c r="T682" s="447"/>
      <c r="U682" s="447"/>
      <c r="V682" s="447"/>
      <c r="W682" s="447"/>
      <c r="X682" s="447"/>
      <c r="Y682" s="447"/>
      <c r="Z682" s="447"/>
      <c r="AA682" s="447"/>
      <c r="AB682" s="447"/>
      <c r="AC682" s="447"/>
      <c r="AD682" s="447"/>
      <c r="AE682" s="447"/>
      <c r="AF682" s="448"/>
      <c r="AG682" s="448"/>
      <c r="AH682" s="448"/>
      <c r="AI682" s="447"/>
      <c r="AJ682" s="447"/>
      <c r="AK682" s="447"/>
      <c r="AL682" s="447"/>
      <c r="AM682" s="447"/>
      <c r="AN682" s="447"/>
      <c r="AO682" s="447"/>
      <c r="AP682" s="447"/>
      <c r="AQ682" s="447"/>
      <c r="AR682" s="447"/>
      <c r="AS682" s="447"/>
      <c r="AT682" s="447"/>
      <c r="AU682" s="447"/>
      <c r="AV682" s="447"/>
      <c r="AW682" s="447"/>
      <c r="AX682" s="447"/>
      <c r="AY682" s="447"/>
      <c r="AZ682" s="447"/>
      <c r="BA682" s="447"/>
      <c r="BB682" s="447"/>
      <c r="BC682" s="447"/>
      <c r="BD682" s="447"/>
      <c r="BE682" s="447"/>
      <c r="BF682" s="447"/>
      <c r="BG682" s="447"/>
      <c r="BH682" s="447"/>
      <c r="BI682" s="447"/>
      <c r="BJ682" s="447"/>
      <c r="BK682" s="447"/>
      <c r="BL682" s="447"/>
      <c r="BM682" s="448"/>
      <c r="BN682" s="448"/>
    </row>
    <row r="683" spans="1:66" ht="11.25" customHeight="1">
      <c r="A683" s="469"/>
      <c r="B683" s="447"/>
      <c r="C683" s="447"/>
      <c r="D683" s="447"/>
      <c r="E683" s="447"/>
      <c r="F683" s="447"/>
      <c r="G683" s="447"/>
      <c r="H683" s="447"/>
      <c r="I683" s="447"/>
      <c r="J683" s="447"/>
      <c r="K683" s="447"/>
      <c r="L683" s="447"/>
      <c r="M683" s="447"/>
      <c r="N683" s="447"/>
      <c r="O683" s="447"/>
      <c r="P683" s="447"/>
      <c r="Q683" s="447"/>
      <c r="R683" s="447"/>
      <c r="S683" s="447"/>
      <c r="T683" s="447"/>
      <c r="U683" s="447"/>
      <c r="V683" s="447"/>
      <c r="W683" s="447"/>
      <c r="X683" s="447"/>
      <c r="Y683" s="447"/>
      <c r="Z683" s="447"/>
      <c r="AA683" s="447"/>
      <c r="AB683" s="447"/>
      <c r="AC683" s="447"/>
      <c r="AD683" s="447"/>
      <c r="AE683" s="447"/>
      <c r="AF683" s="448"/>
      <c r="AG683" s="448"/>
      <c r="AH683" s="448"/>
      <c r="AI683" s="447"/>
      <c r="AJ683" s="447"/>
      <c r="AK683" s="447"/>
      <c r="AL683" s="447"/>
      <c r="AM683" s="447"/>
      <c r="AN683" s="447"/>
      <c r="AO683" s="447"/>
      <c r="AP683" s="447"/>
      <c r="AQ683" s="447"/>
      <c r="AR683" s="447"/>
      <c r="AS683" s="447"/>
      <c r="AT683" s="447"/>
      <c r="AU683" s="447"/>
      <c r="AV683" s="447"/>
      <c r="AW683" s="447"/>
      <c r="AX683" s="447"/>
      <c r="AY683" s="447"/>
      <c r="AZ683" s="447"/>
      <c r="BA683" s="447"/>
      <c r="BB683" s="447"/>
      <c r="BC683" s="447"/>
      <c r="BD683" s="447"/>
      <c r="BE683" s="447"/>
      <c r="BF683" s="447"/>
      <c r="BG683" s="447"/>
      <c r="BH683" s="447"/>
      <c r="BI683" s="447"/>
      <c r="BJ683" s="447"/>
      <c r="BK683" s="447"/>
      <c r="BL683" s="447"/>
      <c r="BM683" s="448"/>
      <c r="BN683" s="448"/>
    </row>
    <row r="684" spans="1:66" ht="11.25" customHeight="1">
      <c r="A684" s="469"/>
      <c r="B684" s="447"/>
      <c r="C684" s="447"/>
      <c r="D684" s="447"/>
      <c r="E684" s="447"/>
      <c r="F684" s="447"/>
      <c r="G684" s="447"/>
      <c r="H684" s="447"/>
      <c r="I684" s="447"/>
      <c r="J684" s="447"/>
      <c r="K684" s="447"/>
      <c r="L684" s="447"/>
      <c r="M684" s="447"/>
      <c r="N684" s="447"/>
      <c r="O684" s="447"/>
      <c r="P684" s="447"/>
      <c r="Q684" s="447"/>
      <c r="R684" s="447"/>
      <c r="S684" s="447"/>
      <c r="T684" s="447"/>
      <c r="U684" s="447"/>
      <c r="V684" s="447"/>
      <c r="W684" s="447"/>
      <c r="X684" s="447"/>
      <c r="Y684" s="447"/>
      <c r="Z684" s="447"/>
      <c r="AA684" s="447"/>
      <c r="AB684" s="447"/>
      <c r="AC684" s="447"/>
      <c r="AD684" s="447"/>
      <c r="AE684" s="447"/>
      <c r="AF684" s="448"/>
      <c r="AG684" s="448"/>
      <c r="AH684" s="448"/>
      <c r="AI684" s="447"/>
      <c r="AJ684" s="447"/>
      <c r="AK684" s="447"/>
      <c r="AL684" s="447"/>
      <c r="AM684" s="447"/>
      <c r="AN684" s="447"/>
      <c r="AO684" s="447"/>
      <c r="AP684" s="447"/>
      <c r="AQ684" s="447"/>
      <c r="AR684" s="447"/>
      <c r="AS684" s="447"/>
      <c r="AT684" s="447"/>
      <c r="AU684" s="447"/>
      <c r="AV684" s="447"/>
      <c r="AW684" s="447"/>
      <c r="AX684" s="447"/>
      <c r="AY684" s="447"/>
      <c r="AZ684" s="447"/>
      <c r="BA684" s="447"/>
      <c r="BB684" s="447"/>
      <c r="BC684" s="447"/>
      <c r="BD684" s="447"/>
      <c r="BE684" s="447"/>
      <c r="BF684" s="447"/>
      <c r="BG684" s="447"/>
      <c r="BH684" s="447"/>
      <c r="BI684" s="447"/>
      <c r="BJ684" s="447"/>
      <c r="BK684" s="447"/>
      <c r="BL684" s="447"/>
      <c r="BM684" s="448"/>
      <c r="BN684" s="448"/>
    </row>
    <row r="685" spans="1:66" ht="11.25" customHeight="1">
      <c r="A685" s="469"/>
      <c r="B685" s="447"/>
      <c r="C685" s="447"/>
      <c r="D685" s="447"/>
      <c r="E685" s="447"/>
      <c r="F685" s="447"/>
      <c r="G685" s="447"/>
      <c r="H685" s="447"/>
      <c r="I685" s="447"/>
      <c r="J685" s="447"/>
      <c r="K685" s="447"/>
      <c r="L685" s="447"/>
      <c r="M685" s="447"/>
      <c r="N685" s="447"/>
      <c r="O685" s="447"/>
      <c r="P685" s="447"/>
      <c r="Q685" s="447"/>
      <c r="R685" s="447"/>
      <c r="S685" s="447"/>
      <c r="T685" s="447"/>
      <c r="U685" s="447"/>
      <c r="V685" s="447"/>
      <c r="W685" s="447"/>
      <c r="X685" s="447"/>
      <c r="Y685" s="447"/>
      <c r="Z685" s="447"/>
      <c r="AA685" s="447"/>
      <c r="AB685" s="447"/>
      <c r="AC685" s="447"/>
      <c r="AD685" s="447"/>
      <c r="AE685" s="447"/>
      <c r="AF685" s="448"/>
      <c r="AG685" s="448"/>
      <c r="AH685" s="448"/>
      <c r="AI685" s="447"/>
      <c r="AJ685" s="447"/>
      <c r="AK685" s="447"/>
      <c r="AL685" s="447"/>
      <c r="AM685" s="447"/>
      <c r="AN685" s="447"/>
      <c r="AO685" s="447"/>
      <c r="AP685" s="447"/>
      <c r="AQ685" s="447"/>
      <c r="AR685" s="447"/>
      <c r="AS685" s="447"/>
      <c r="AT685" s="447"/>
      <c r="AU685" s="447"/>
      <c r="AV685" s="447"/>
      <c r="AW685" s="447"/>
      <c r="AX685" s="447"/>
      <c r="AY685" s="447"/>
      <c r="AZ685" s="447"/>
      <c r="BA685" s="447"/>
      <c r="BB685" s="447"/>
      <c r="BC685" s="447"/>
      <c r="BD685" s="447"/>
      <c r="BE685" s="447"/>
      <c r="BF685" s="447"/>
      <c r="BG685" s="447"/>
      <c r="BH685" s="447"/>
      <c r="BI685" s="447"/>
      <c r="BJ685" s="447"/>
      <c r="BK685" s="447"/>
      <c r="BL685" s="447"/>
      <c r="BM685" s="448"/>
      <c r="BN685" s="448"/>
    </row>
    <row r="686" spans="1:66" ht="11.25" customHeight="1">
      <c r="A686" s="469"/>
      <c r="B686" s="447"/>
      <c r="C686" s="447"/>
      <c r="D686" s="447"/>
      <c r="E686" s="447"/>
      <c r="F686" s="447"/>
      <c r="G686" s="447"/>
      <c r="H686" s="447"/>
      <c r="I686" s="447"/>
      <c r="J686" s="447"/>
      <c r="K686" s="447"/>
      <c r="L686" s="447"/>
      <c r="M686" s="447"/>
      <c r="N686" s="447"/>
      <c r="O686" s="447"/>
      <c r="P686" s="447"/>
      <c r="Q686" s="447"/>
      <c r="R686" s="447"/>
      <c r="S686" s="447"/>
      <c r="T686" s="447"/>
      <c r="U686" s="447"/>
      <c r="V686" s="447"/>
      <c r="W686" s="447"/>
      <c r="X686" s="447"/>
      <c r="Y686" s="447"/>
      <c r="Z686" s="447"/>
      <c r="AA686" s="447"/>
      <c r="AB686" s="447"/>
      <c r="AC686" s="447"/>
      <c r="AD686" s="447"/>
      <c r="AE686" s="447"/>
      <c r="AF686" s="448"/>
      <c r="AG686" s="448"/>
      <c r="AH686" s="448"/>
      <c r="AI686" s="447"/>
      <c r="AJ686" s="447"/>
      <c r="AK686" s="447"/>
      <c r="AL686" s="447"/>
      <c r="AM686" s="447"/>
      <c r="AN686" s="447"/>
      <c r="AO686" s="447"/>
      <c r="AP686" s="447"/>
      <c r="AQ686" s="447"/>
      <c r="AR686" s="447"/>
      <c r="AS686" s="447"/>
      <c r="AT686" s="447"/>
      <c r="AU686" s="447"/>
      <c r="AV686" s="447"/>
      <c r="AW686" s="447"/>
      <c r="AX686" s="447"/>
      <c r="AY686" s="447"/>
      <c r="AZ686" s="447"/>
      <c r="BA686" s="447"/>
      <c r="BB686" s="447"/>
      <c r="BC686" s="447"/>
      <c r="BD686" s="447"/>
      <c r="BE686" s="447"/>
      <c r="BF686" s="447"/>
      <c r="BG686" s="447"/>
      <c r="BH686" s="447"/>
      <c r="BI686" s="447"/>
      <c r="BJ686" s="447"/>
      <c r="BK686" s="447"/>
      <c r="BL686" s="447"/>
      <c r="BM686" s="448"/>
      <c r="BN686" s="448"/>
    </row>
    <row r="687" spans="1:66" ht="11.25" customHeight="1">
      <c r="A687" s="469"/>
      <c r="B687" s="447"/>
      <c r="C687" s="447"/>
      <c r="D687" s="447"/>
      <c r="E687" s="447"/>
      <c r="F687" s="447"/>
      <c r="G687" s="447"/>
      <c r="H687" s="447"/>
      <c r="I687" s="447"/>
      <c r="J687" s="447"/>
      <c r="K687" s="447"/>
      <c r="L687" s="447"/>
      <c r="M687" s="447"/>
      <c r="N687" s="447"/>
      <c r="O687" s="447"/>
      <c r="P687" s="447"/>
      <c r="Q687" s="447"/>
      <c r="R687" s="447"/>
      <c r="S687" s="447"/>
      <c r="T687" s="447"/>
      <c r="U687" s="447"/>
      <c r="V687" s="447"/>
      <c r="W687" s="447"/>
      <c r="X687" s="447"/>
      <c r="Y687" s="447"/>
      <c r="Z687" s="447"/>
      <c r="AA687" s="447"/>
      <c r="AB687" s="447"/>
      <c r="AC687" s="447"/>
      <c r="AD687" s="447"/>
      <c r="AE687" s="447"/>
      <c r="AF687" s="448"/>
      <c r="AG687" s="448"/>
      <c r="AH687" s="448"/>
      <c r="AI687" s="447"/>
      <c r="AJ687" s="447"/>
      <c r="AK687" s="447"/>
      <c r="AL687" s="447"/>
      <c r="AM687" s="447"/>
      <c r="AN687" s="447"/>
      <c r="AO687" s="447"/>
      <c r="AP687" s="447"/>
      <c r="AQ687" s="447"/>
      <c r="AR687" s="447"/>
      <c r="AS687" s="447"/>
      <c r="AT687" s="447"/>
      <c r="AU687" s="447"/>
      <c r="AV687" s="447"/>
      <c r="AW687" s="447"/>
      <c r="AX687" s="447"/>
      <c r="AY687" s="447"/>
      <c r="AZ687" s="447"/>
      <c r="BA687" s="447"/>
      <c r="BB687" s="447"/>
      <c r="BC687" s="447"/>
      <c r="BD687" s="447"/>
      <c r="BE687" s="447"/>
      <c r="BF687" s="447"/>
      <c r="BG687" s="447"/>
      <c r="BH687" s="447"/>
      <c r="BI687" s="447"/>
      <c r="BJ687" s="447"/>
      <c r="BK687" s="447"/>
      <c r="BL687" s="447"/>
      <c r="BM687" s="448"/>
      <c r="BN687" s="448"/>
    </row>
    <row r="688" spans="1:66" ht="11.25" customHeight="1">
      <c r="A688" s="469"/>
      <c r="B688" s="447"/>
      <c r="C688" s="447"/>
      <c r="D688" s="447"/>
      <c r="E688" s="447"/>
      <c r="F688" s="447"/>
      <c r="G688" s="447"/>
      <c r="H688" s="447"/>
      <c r="I688" s="447"/>
      <c r="J688" s="447"/>
      <c r="K688" s="447"/>
      <c r="L688" s="447"/>
      <c r="M688" s="447"/>
      <c r="N688" s="447"/>
      <c r="O688" s="447"/>
      <c r="P688" s="447"/>
      <c r="Q688" s="447"/>
      <c r="R688" s="447"/>
      <c r="S688" s="447"/>
      <c r="T688" s="447"/>
      <c r="U688" s="447"/>
      <c r="V688" s="447"/>
      <c r="W688" s="447"/>
      <c r="X688" s="447"/>
      <c r="Y688" s="447"/>
      <c r="Z688" s="447"/>
      <c r="AA688" s="447"/>
      <c r="AB688" s="447"/>
      <c r="AC688" s="447"/>
      <c r="AD688" s="447"/>
      <c r="AE688" s="447"/>
      <c r="AF688" s="448"/>
      <c r="AG688" s="448"/>
      <c r="AH688" s="448"/>
      <c r="AI688" s="447"/>
      <c r="AJ688" s="447"/>
      <c r="AK688" s="447"/>
      <c r="AL688" s="447"/>
      <c r="AM688" s="447"/>
      <c r="AN688" s="447"/>
      <c r="AO688" s="447"/>
      <c r="AP688" s="447"/>
      <c r="AQ688" s="447"/>
      <c r="AR688" s="447"/>
      <c r="AS688" s="447"/>
      <c r="AT688" s="447"/>
      <c r="AU688" s="447"/>
      <c r="AV688" s="447"/>
      <c r="AW688" s="447"/>
      <c r="AX688" s="447"/>
      <c r="AY688" s="447"/>
      <c r="AZ688" s="447"/>
      <c r="BA688" s="447"/>
      <c r="BB688" s="447"/>
      <c r="BC688" s="447"/>
      <c r="BD688" s="447"/>
      <c r="BE688" s="447"/>
      <c r="BF688" s="447"/>
      <c r="BG688" s="447"/>
      <c r="BH688" s="447"/>
      <c r="BI688" s="447"/>
      <c r="BJ688" s="447"/>
      <c r="BK688" s="447"/>
      <c r="BL688" s="447"/>
      <c r="BM688" s="448"/>
      <c r="BN688" s="448"/>
    </row>
    <row r="689" spans="1:66" ht="11.25" customHeight="1">
      <c r="A689" s="469"/>
      <c r="B689" s="447"/>
      <c r="C689" s="447"/>
      <c r="D689" s="447"/>
      <c r="E689" s="447"/>
      <c r="F689" s="447"/>
      <c r="G689" s="447"/>
      <c r="H689" s="447"/>
      <c r="I689" s="447"/>
      <c r="J689" s="447"/>
      <c r="K689" s="447"/>
      <c r="L689" s="447"/>
      <c r="M689" s="447"/>
      <c r="N689" s="447"/>
      <c r="O689" s="447"/>
      <c r="P689" s="447"/>
      <c r="Q689" s="447"/>
      <c r="R689" s="447"/>
      <c r="S689" s="447"/>
      <c r="T689" s="447"/>
      <c r="U689" s="447"/>
      <c r="V689" s="447"/>
      <c r="W689" s="447"/>
      <c r="X689" s="447"/>
      <c r="Y689" s="447"/>
      <c r="Z689" s="447"/>
      <c r="AA689" s="447"/>
      <c r="AB689" s="447"/>
      <c r="AC689" s="447"/>
      <c r="AD689" s="447"/>
      <c r="AE689" s="447"/>
      <c r="AF689" s="448"/>
      <c r="AG689" s="448"/>
      <c r="AH689" s="448"/>
      <c r="AI689" s="447"/>
      <c r="AJ689" s="447"/>
      <c r="AK689" s="447"/>
      <c r="AL689" s="447"/>
      <c r="AM689" s="447"/>
      <c r="AN689" s="447"/>
      <c r="AO689" s="447"/>
      <c r="AP689" s="447"/>
      <c r="AQ689" s="447"/>
      <c r="AR689" s="447"/>
      <c r="AS689" s="447"/>
      <c r="AT689" s="447"/>
      <c r="AU689" s="447"/>
      <c r="AV689" s="447"/>
      <c r="AW689" s="447"/>
      <c r="AX689" s="447"/>
      <c r="AY689" s="447"/>
      <c r="AZ689" s="447"/>
      <c r="BA689" s="447"/>
      <c r="BB689" s="447"/>
      <c r="BC689" s="447"/>
      <c r="BD689" s="447"/>
      <c r="BE689" s="447"/>
      <c r="BF689" s="447"/>
      <c r="BG689" s="447"/>
      <c r="BH689" s="447"/>
      <c r="BI689" s="447"/>
      <c r="BJ689" s="447"/>
      <c r="BK689" s="447"/>
      <c r="BL689" s="447"/>
      <c r="BM689" s="448"/>
      <c r="BN689" s="448"/>
    </row>
    <row r="690" spans="1:66" ht="11.25" customHeight="1">
      <c r="A690" s="469"/>
      <c r="B690" s="447"/>
      <c r="C690" s="447"/>
      <c r="D690" s="447"/>
      <c r="E690" s="447"/>
      <c r="F690" s="447"/>
      <c r="G690" s="447"/>
      <c r="H690" s="447"/>
      <c r="I690" s="447"/>
      <c r="J690" s="447"/>
      <c r="K690" s="447"/>
      <c r="L690" s="447"/>
      <c r="M690" s="447"/>
      <c r="N690" s="447"/>
      <c r="O690" s="447"/>
      <c r="P690" s="447"/>
      <c r="Q690" s="447"/>
      <c r="R690" s="447"/>
      <c r="S690" s="447"/>
      <c r="T690" s="447"/>
      <c r="U690" s="447"/>
      <c r="V690" s="447"/>
      <c r="W690" s="447"/>
      <c r="X690" s="447"/>
      <c r="Y690" s="447"/>
      <c r="Z690" s="447"/>
      <c r="AA690" s="447"/>
      <c r="AB690" s="447"/>
      <c r="AC690" s="447"/>
      <c r="AD690" s="447"/>
      <c r="AE690" s="447"/>
      <c r="AF690" s="448"/>
      <c r="AG690" s="448"/>
      <c r="AH690" s="448"/>
      <c r="AI690" s="447"/>
      <c r="AJ690" s="447"/>
      <c r="AK690" s="447"/>
      <c r="AL690" s="447"/>
      <c r="AM690" s="447"/>
      <c r="AN690" s="447"/>
      <c r="AO690" s="447"/>
      <c r="AP690" s="447"/>
      <c r="AQ690" s="447"/>
      <c r="AR690" s="447"/>
      <c r="AS690" s="447"/>
      <c r="AT690" s="447"/>
      <c r="AU690" s="447"/>
      <c r="AV690" s="447"/>
      <c r="AW690" s="447"/>
      <c r="AX690" s="447"/>
      <c r="AY690" s="447"/>
      <c r="AZ690" s="447"/>
      <c r="BA690" s="447"/>
      <c r="BB690" s="447"/>
      <c r="BC690" s="447"/>
      <c r="BD690" s="447"/>
      <c r="BE690" s="447"/>
      <c r="BF690" s="447"/>
      <c r="BG690" s="447"/>
      <c r="BH690" s="447"/>
      <c r="BI690" s="447"/>
      <c r="BJ690" s="447"/>
      <c r="BK690" s="447"/>
      <c r="BL690" s="447"/>
      <c r="BM690" s="448"/>
      <c r="BN690" s="448"/>
    </row>
    <row r="691" spans="1:66" ht="11.25" customHeight="1">
      <c r="A691" s="469"/>
      <c r="B691" s="447"/>
      <c r="C691" s="447"/>
      <c r="D691" s="447"/>
      <c r="E691" s="447"/>
      <c r="F691" s="447"/>
      <c r="G691" s="447"/>
      <c r="H691" s="447"/>
      <c r="I691" s="447"/>
      <c r="J691" s="447"/>
      <c r="K691" s="447"/>
      <c r="L691" s="447"/>
      <c r="M691" s="447"/>
      <c r="N691" s="447"/>
      <c r="O691" s="447"/>
      <c r="P691" s="447"/>
      <c r="Q691" s="447"/>
      <c r="R691" s="447"/>
      <c r="S691" s="447"/>
      <c r="T691" s="447"/>
      <c r="U691" s="447"/>
      <c r="V691" s="447"/>
      <c r="W691" s="447"/>
      <c r="X691" s="447"/>
      <c r="Y691" s="447"/>
      <c r="Z691" s="447"/>
      <c r="AA691" s="447"/>
      <c r="AB691" s="447"/>
      <c r="AC691" s="447"/>
      <c r="AD691" s="447"/>
      <c r="AE691" s="447"/>
      <c r="AF691" s="448"/>
      <c r="AG691" s="448"/>
      <c r="AH691" s="448"/>
      <c r="AI691" s="447"/>
      <c r="AJ691" s="447"/>
      <c r="AK691" s="447"/>
      <c r="AL691" s="447"/>
      <c r="AM691" s="447"/>
      <c r="AN691" s="447"/>
      <c r="AO691" s="447"/>
      <c r="AP691" s="447"/>
      <c r="AQ691" s="447"/>
      <c r="AR691" s="447"/>
      <c r="AS691" s="447"/>
      <c r="AT691" s="447"/>
      <c r="AU691" s="447"/>
      <c r="AV691" s="447"/>
      <c r="AW691" s="447"/>
      <c r="AX691" s="447"/>
      <c r="AY691" s="447"/>
      <c r="AZ691" s="447"/>
      <c r="BA691" s="447"/>
      <c r="BB691" s="447"/>
      <c r="BC691" s="447"/>
      <c r="BD691" s="447"/>
      <c r="BE691" s="447"/>
      <c r="BF691" s="447"/>
      <c r="BG691" s="447"/>
      <c r="BH691" s="447"/>
      <c r="BI691" s="447"/>
      <c r="BJ691" s="447"/>
      <c r="BK691" s="447"/>
      <c r="BL691" s="447"/>
      <c r="BM691" s="448"/>
      <c r="BN691" s="448"/>
    </row>
    <row r="692" spans="1:66" ht="11.25" customHeight="1">
      <c r="A692" s="469"/>
      <c r="B692" s="447"/>
      <c r="C692" s="447"/>
      <c r="D692" s="447"/>
      <c r="E692" s="447"/>
      <c r="F692" s="447"/>
      <c r="G692" s="447"/>
      <c r="H692" s="447"/>
      <c r="I692" s="447"/>
      <c r="J692" s="447"/>
      <c r="K692" s="447"/>
      <c r="L692" s="447"/>
      <c r="M692" s="447"/>
      <c r="N692" s="447"/>
      <c r="O692" s="447"/>
      <c r="P692" s="447"/>
      <c r="Q692" s="447"/>
      <c r="R692" s="447"/>
      <c r="S692" s="447"/>
      <c r="T692" s="447"/>
      <c r="U692" s="447"/>
      <c r="V692" s="447"/>
      <c r="W692" s="447"/>
      <c r="X692" s="447"/>
      <c r="Y692" s="447"/>
      <c r="Z692" s="447"/>
      <c r="AA692" s="447"/>
      <c r="AB692" s="447"/>
      <c r="AC692" s="447"/>
      <c r="AD692" s="447"/>
      <c r="AE692" s="447"/>
      <c r="AF692" s="448"/>
      <c r="AG692" s="448"/>
      <c r="AH692" s="448"/>
      <c r="AI692" s="447"/>
      <c r="AJ692" s="447"/>
      <c r="AK692" s="447"/>
      <c r="AL692" s="447"/>
      <c r="AM692" s="447"/>
      <c r="AN692" s="447"/>
      <c r="AO692" s="447"/>
      <c r="AP692" s="447"/>
      <c r="AQ692" s="447"/>
      <c r="AR692" s="447"/>
      <c r="AS692" s="447"/>
      <c r="AT692" s="447"/>
      <c r="AU692" s="447"/>
      <c r="AV692" s="447"/>
      <c r="AW692" s="447"/>
      <c r="AX692" s="447"/>
      <c r="AY692" s="447"/>
      <c r="AZ692" s="447"/>
      <c r="BA692" s="447"/>
      <c r="BB692" s="447"/>
      <c r="BC692" s="447"/>
      <c r="BD692" s="447"/>
      <c r="BE692" s="447"/>
      <c r="BF692" s="447"/>
      <c r="BG692" s="447"/>
      <c r="BH692" s="447"/>
      <c r="BI692" s="447"/>
      <c r="BJ692" s="447"/>
      <c r="BK692" s="447"/>
      <c r="BL692" s="447"/>
      <c r="BM692" s="448"/>
      <c r="BN692" s="448"/>
    </row>
    <row r="693" spans="1:66" ht="11.25" customHeight="1">
      <c r="A693" s="469"/>
      <c r="B693" s="447"/>
      <c r="C693" s="447"/>
      <c r="D693" s="447"/>
      <c r="E693" s="447"/>
      <c r="F693" s="447"/>
      <c r="G693" s="447"/>
      <c r="H693" s="447"/>
      <c r="I693" s="447"/>
      <c r="J693" s="447"/>
      <c r="K693" s="447"/>
      <c r="L693" s="447"/>
      <c r="M693" s="447"/>
      <c r="N693" s="447"/>
      <c r="O693" s="447"/>
      <c r="P693" s="447"/>
      <c r="Q693" s="447"/>
      <c r="R693" s="447"/>
      <c r="S693" s="447"/>
      <c r="T693" s="447"/>
      <c r="U693" s="447"/>
      <c r="V693" s="447"/>
      <c r="W693" s="447"/>
      <c r="X693" s="447"/>
      <c r="Y693" s="447"/>
      <c r="Z693" s="447"/>
      <c r="AA693" s="447"/>
      <c r="AB693" s="447"/>
      <c r="AC693" s="447"/>
      <c r="AD693" s="447"/>
      <c r="AE693" s="447"/>
      <c r="AF693" s="448"/>
      <c r="AG693" s="448"/>
      <c r="AH693" s="448"/>
      <c r="AI693" s="447"/>
      <c r="AJ693" s="447"/>
      <c r="AK693" s="447"/>
      <c r="AL693" s="447"/>
      <c r="AM693" s="447"/>
      <c r="AN693" s="447"/>
      <c r="AO693" s="447"/>
      <c r="AP693" s="447"/>
      <c r="AQ693" s="447"/>
      <c r="AR693" s="447"/>
      <c r="AS693" s="447"/>
      <c r="AT693" s="447"/>
      <c r="AU693" s="447"/>
      <c r="AV693" s="447"/>
      <c r="AW693" s="447"/>
      <c r="AX693" s="447"/>
      <c r="AY693" s="447"/>
      <c r="AZ693" s="447"/>
      <c r="BA693" s="447"/>
      <c r="BB693" s="447"/>
      <c r="BC693" s="447"/>
      <c r="BD693" s="447"/>
      <c r="BE693" s="447"/>
      <c r="BF693" s="447"/>
      <c r="BG693" s="447"/>
      <c r="BH693" s="447"/>
      <c r="BI693" s="447"/>
      <c r="BJ693" s="447"/>
      <c r="BK693" s="447"/>
      <c r="BL693" s="447"/>
      <c r="BM693" s="448"/>
      <c r="BN693" s="448"/>
    </row>
    <row r="694" spans="1:66" ht="11.25" customHeight="1">
      <c r="A694" s="469"/>
      <c r="B694" s="447"/>
      <c r="C694" s="447"/>
      <c r="D694" s="447"/>
      <c r="E694" s="447"/>
      <c r="F694" s="447"/>
      <c r="G694" s="447"/>
      <c r="H694" s="447"/>
      <c r="I694" s="447"/>
      <c r="J694" s="447"/>
      <c r="K694" s="447"/>
      <c r="L694" s="447"/>
      <c r="M694" s="447"/>
      <c r="N694" s="447"/>
      <c r="O694" s="447"/>
      <c r="P694" s="447"/>
      <c r="Q694" s="447"/>
      <c r="R694" s="447"/>
      <c r="S694" s="447"/>
      <c r="T694" s="447"/>
      <c r="U694" s="447"/>
      <c r="V694" s="447"/>
      <c r="W694" s="447"/>
      <c r="X694" s="447"/>
      <c r="Y694" s="447"/>
      <c r="Z694" s="447"/>
      <c r="AA694" s="447"/>
      <c r="AB694" s="447"/>
      <c r="AC694" s="447"/>
      <c r="AD694" s="447"/>
      <c r="AE694" s="447"/>
      <c r="AF694" s="448"/>
      <c r="AG694" s="448"/>
      <c r="AH694" s="448"/>
      <c r="AI694" s="447"/>
      <c r="AJ694" s="447"/>
      <c r="AK694" s="447"/>
      <c r="AL694" s="447"/>
      <c r="AM694" s="447"/>
      <c r="AN694" s="447"/>
      <c r="AO694" s="447"/>
      <c r="AP694" s="447"/>
      <c r="AQ694" s="447"/>
      <c r="AR694" s="447"/>
      <c r="AS694" s="447"/>
      <c r="AT694" s="447"/>
      <c r="AU694" s="447"/>
      <c r="AV694" s="447"/>
      <c r="AW694" s="447"/>
      <c r="AX694" s="447"/>
      <c r="AY694" s="447"/>
      <c r="AZ694" s="447"/>
      <c r="BA694" s="447"/>
      <c r="BB694" s="447"/>
      <c r="BC694" s="447"/>
      <c r="BD694" s="447"/>
      <c r="BE694" s="447"/>
      <c r="BF694" s="447"/>
      <c r="BG694" s="447"/>
      <c r="BH694" s="447"/>
      <c r="BI694" s="447"/>
      <c r="BJ694" s="447"/>
      <c r="BK694" s="447"/>
      <c r="BL694" s="447"/>
      <c r="BM694" s="448"/>
      <c r="BN694" s="448"/>
    </row>
    <row r="695" spans="1:66" ht="11.25" customHeight="1">
      <c r="A695" s="469"/>
      <c r="B695" s="447"/>
      <c r="C695" s="447"/>
      <c r="D695" s="447"/>
      <c r="E695" s="447"/>
      <c r="F695" s="447"/>
      <c r="G695" s="447"/>
      <c r="H695" s="447"/>
      <c r="I695" s="447"/>
      <c r="J695" s="447"/>
      <c r="K695" s="447"/>
      <c r="L695" s="447"/>
      <c r="M695" s="447"/>
      <c r="N695" s="447"/>
      <c r="O695" s="447"/>
      <c r="P695" s="447"/>
      <c r="Q695" s="447"/>
      <c r="R695" s="447"/>
      <c r="S695" s="447"/>
      <c r="T695" s="447"/>
      <c r="U695" s="447"/>
      <c r="V695" s="447"/>
      <c r="W695" s="447"/>
      <c r="X695" s="447"/>
      <c r="Y695" s="447"/>
      <c r="Z695" s="447"/>
      <c r="AA695" s="447"/>
      <c r="AB695" s="447"/>
      <c r="AC695" s="447"/>
      <c r="AD695" s="447"/>
      <c r="AE695" s="447"/>
      <c r="AF695" s="448"/>
      <c r="AG695" s="448"/>
      <c r="AH695" s="448"/>
      <c r="AI695" s="447"/>
      <c r="AJ695" s="447"/>
      <c r="AK695" s="447"/>
      <c r="AL695" s="447"/>
      <c r="AM695" s="447"/>
      <c r="AN695" s="447"/>
      <c r="AO695" s="447"/>
      <c r="AP695" s="447"/>
      <c r="AQ695" s="447"/>
      <c r="AR695" s="447"/>
      <c r="AS695" s="447"/>
      <c r="AT695" s="447"/>
      <c r="AU695" s="447"/>
      <c r="AV695" s="447"/>
      <c r="AW695" s="447"/>
      <c r="AX695" s="447"/>
      <c r="AY695" s="447"/>
      <c r="AZ695" s="447"/>
      <c r="BA695" s="447"/>
      <c r="BB695" s="447"/>
      <c r="BC695" s="447"/>
      <c r="BD695" s="447"/>
      <c r="BE695" s="447"/>
      <c r="BF695" s="447"/>
      <c r="BG695" s="447"/>
      <c r="BH695" s="447"/>
      <c r="BI695" s="447"/>
      <c r="BJ695" s="447"/>
      <c r="BK695" s="447"/>
      <c r="BL695" s="447"/>
      <c r="BM695" s="448"/>
      <c r="BN695" s="448"/>
    </row>
    <row r="696" spans="1:66" ht="11.25" customHeight="1">
      <c r="A696" s="469"/>
      <c r="B696" s="447"/>
      <c r="C696" s="447"/>
      <c r="D696" s="447"/>
      <c r="E696" s="447"/>
      <c r="F696" s="447"/>
      <c r="G696" s="447"/>
      <c r="H696" s="447"/>
      <c r="I696" s="447"/>
      <c r="J696" s="447"/>
      <c r="K696" s="447"/>
      <c r="L696" s="447"/>
      <c r="M696" s="447"/>
      <c r="N696" s="447"/>
      <c r="O696" s="447"/>
      <c r="P696" s="447"/>
      <c r="Q696" s="447"/>
      <c r="R696" s="447"/>
      <c r="S696" s="447"/>
      <c r="T696" s="447"/>
      <c r="U696" s="447"/>
      <c r="V696" s="447"/>
      <c r="W696" s="447"/>
      <c r="X696" s="447"/>
      <c r="Y696" s="447"/>
      <c r="Z696" s="447"/>
      <c r="AA696" s="447"/>
      <c r="AB696" s="447"/>
      <c r="AC696" s="447"/>
      <c r="AD696" s="447"/>
      <c r="AE696" s="447"/>
      <c r="AF696" s="448"/>
      <c r="AG696" s="448"/>
      <c r="AH696" s="448"/>
      <c r="AI696" s="447"/>
      <c r="AJ696" s="447"/>
      <c r="AK696" s="447"/>
      <c r="AL696" s="447"/>
      <c r="AM696" s="447"/>
      <c r="AN696" s="447"/>
      <c r="AO696" s="447"/>
      <c r="AP696" s="447"/>
      <c r="AQ696" s="447"/>
      <c r="AR696" s="447"/>
      <c r="AS696" s="447"/>
      <c r="AT696" s="447"/>
      <c r="AU696" s="447"/>
      <c r="AV696" s="447"/>
      <c r="AW696" s="447"/>
      <c r="AX696" s="447"/>
      <c r="AY696" s="447"/>
      <c r="AZ696" s="447"/>
      <c r="BA696" s="447"/>
      <c r="BB696" s="447"/>
      <c r="BC696" s="447"/>
      <c r="BD696" s="447"/>
      <c r="BE696" s="447"/>
      <c r="BF696" s="447"/>
      <c r="BG696" s="447"/>
      <c r="BH696" s="447"/>
      <c r="BI696" s="447"/>
      <c r="BJ696" s="447"/>
      <c r="BK696" s="447"/>
      <c r="BL696" s="447"/>
      <c r="BM696" s="448"/>
      <c r="BN696" s="448"/>
    </row>
    <row r="697" spans="1:66" ht="11.25" customHeight="1">
      <c r="A697" s="469"/>
      <c r="B697" s="447"/>
      <c r="C697" s="447"/>
      <c r="D697" s="447"/>
      <c r="E697" s="447"/>
      <c r="F697" s="447"/>
      <c r="G697" s="447"/>
      <c r="H697" s="447"/>
      <c r="I697" s="447"/>
      <c r="J697" s="447"/>
      <c r="K697" s="447"/>
      <c r="L697" s="447"/>
      <c r="M697" s="447"/>
      <c r="N697" s="447"/>
      <c r="O697" s="447"/>
      <c r="P697" s="447"/>
      <c r="Q697" s="447"/>
      <c r="R697" s="447"/>
      <c r="S697" s="447"/>
      <c r="T697" s="447"/>
      <c r="U697" s="447"/>
      <c r="V697" s="447"/>
      <c r="W697" s="447"/>
      <c r="X697" s="447"/>
      <c r="Y697" s="447"/>
      <c r="Z697" s="447"/>
      <c r="AA697" s="447"/>
      <c r="AB697" s="447"/>
      <c r="AC697" s="447"/>
      <c r="AD697" s="447"/>
      <c r="AE697" s="447"/>
      <c r="AF697" s="448"/>
      <c r="AG697" s="448"/>
      <c r="AH697" s="448"/>
      <c r="AI697" s="447"/>
      <c r="AJ697" s="447"/>
      <c r="AK697" s="447"/>
      <c r="AL697" s="447"/>
      <c r="AM697" s="447"/>
      <c r="AN697" s="447"/>
      <c r="AO697" s="447"/>
      <c r="AP697" s="447"/>
      <c r="AQ697" s="447"/>
      <c r="AR697" s="447"/>
      <c r="AS697" s="447"/>
      <c r="AT697" s="447"/>
      <c r="AU697" s="447"/>
      <c r="AV697" s="447"/>
      <c r="AW697" s="447"/>
      <c r="AX697" s="447"/>
      <c r="AY697" s="447"/>
      <c r="AZ697" s="447"/>
      <c r="BA697" s="447"/>
      <c r="BB697" s="447"/>
      <c r="BC697" s="447"/>
      <c r="BD697" s="447"/>
      <c r="BE697" s="447"/>
      <c r="BF697" s="447"/>
      <c r="BG697" s="447"/>
      <c r="BH697" s="447"/>
      <c r="BI697" s="447"/>
      <c r="BJ697" s="447"/>
      <c r="BK697" s="447"/>
      <c r="BL697" s="447"/>
      <c r="BM697" s="448"/>
      <c r="BN697" s="448"/>
    </row>
    <row r="698" spans="1:66" ht="11.25" customHeight="1">
      <c r="A698" s="469"/>
      <c r="B698" s="447"/>
      <c r="C698" s="447"/>
      <c r="D698" s="447"/>
      <c r="E698" s="447"/>
      <c r="F698" s="447"/>
      <c r="G698" s="447"/>
      <c r="H698" s="447"/>
      <c r="I698" s="447"/>
      <c r="J698" s="447"/>
      <c r="K698" s="447"/>
      <c r="L698" s="447"/>
      <c r="M698" s="447"/>
      <c r="N698" s="447"/>
      <c r="O698" s="447"/>
      <c r="P698" s="447"/>
      <c r="Q698" s="447"/>
      <c r="R698" s="447"/>
      <c r="S698" s="447"/>
      <c r="T698" s="447"/>
      <c r="U698" s="447"/>
      <c r="V698" s="447"/>
      <c r="W698" s="447"/>
      <c r="X698" s="447"/>
      <c r="Y698" s="447"/>
      <c r="Z698" s="447"/>
      <c r="AA698" s="447"/>
      <c r="AB698" s="447"/>
      <c r="AC698" s="447"/>
      <c r="AD698" s="447"/>
      <c r="AE698" s="447"/>
      <c r="AF698" s="448"/>
      <c r="AG698" s="448"/>
      <c r="AH698" s="448"/>
      <c r="AI698" s="447"/>
      <c r="AJ698" s="447"/>
      <c r="AK698" s="447"/>
      <c r="AL698" s="447"/>
      <c r="AM698" s="447"/>
      <c r="AN698" s="447"/>
      <c r="AO698" s="447"/>
      <c r="AP698" s="447"/>
      <c r="AQ698" s="447"/>
      <c r="AR698" s="447"/>
      <c r="AS698" s="447"/>
      <c r="AT698" s="447"/>
      <c r="AU698" s="447"/>
      <c r="AV698" s="447"/>
      <c r="AW698" s="447"/>
      <c r="AX698" s="447"/>
      <c r="AY698" s="447"/>
      <c r="AZ698" s="447"/>
      <c r="BA698" s="447"/>
      <c r="BB698" s="447"/>
      <c r="BC698" s="447"/>
      <c r="BD698" s="447"/>
      <c r="BE698" s="447"/>
      <c r="BF698" s="447"/>
      <c r="BG698" s="447"/>
      <c r="BH698" s="447"/>
      <c r="BI698" s="447"/>
      <c r="BJ698" s="447"/>
      <c r="BK698" s="447"/>
      <c r="BL698" s="447"/>
      <c r="BM698" s="448"/>
      <c r="BN698" s="448"/>
    </row>
    <row r="699" spans="1:66" ht="11.25" customHeight="1">
      <c r="A699" s="469"/>
      <c r="B699" s="447"/>
      <c r="C699" s="447"/>
      <c r="D699" s="447"/>
      <c r="E699" s="447"/>
      <c r="F699" s="447"/>
      <c r="G699" s="447"/>
      <c r="H699" s="447"/>
      <c r="I699" s="447"/>
      <c r="J699" s="447"/>
      <c r="K699" s="447"/>
      <c r="L699" s="447"/>
      <c r="M699" s="447"/>
      <c r="N699" s="447"/>
      <c r="O699" s="447"/>
      <c r="P699" s="447"/>
      <c r="Q699" s="447"/>
      <c r="R699" s="447"/>
      <c r="S699" s="447"/>
      <c r="T699" s="447"/>
      <c r="U699" s="447"/>
      <c r="V699" s="447"/>
      <c r="W699" s="447"/>
      <c r="X699" s="447"/>
      <c r="Y699" s="447"/>
      <c r="Z699" s="447"/>
      <c r="AA699" s="447"/>
      <c r="AB699" s="447"/>
      <c r="AC699" s="447"/>
      <c r="AD699" s="447"/>
      <c r="AE699" s="447"/>
      <c r="AF699" s="448"/>
      <c r="AG699" s="448"/>
      <c r="AH699" s="448"/>
      <c r="AI699" s="447"/>
      <c r="AJ699" s="447"/>
      <c r="AK699" s="447"/>
      <c r="AL699" s="447"/>
      <c r="AM699" s="447"/>
      <c r="AN699" s="447"/>
      <c r="AO699" s="447"/>
      <c r="AP699" s="447"/>
      <c r="AQ699" s="447"/>
      <c r="AR699" s="447"/>
      <c r="AS699" s="447"/>
      <c r="AT699" s="447"/>
      <c r="AU699" s="447"/>
      <c r="AV699" s="447"/>
      <c r="AW699" s="447"/>
      <c r="AX699" s="447"/>
      <c r="AY699" s="447"/>
      <c r="AZ699" s="447"/>
      <c r="BA699" s="447"/>
      <c r="BB699" s="447"/>
      <c r="BC699" s="447"/>
      <c r="BD699" s="447"/>
      <c r="BE699" s="447"/>
      <c r="BF699" s="447"/>
      <c r="BG699" s="447"/>
      <c r="BH699" s="447"/>
      <c r="BI699" s="447"/>
      <c r="BJ699" s="447"/>
      <c r="BK699" s="447"/>
      <c r="BL699" s="447"/>
      <c r="BM699" s="448"/>
      <c r="BN699" s="448"/>
    </row>
    <row r="700" spans="1:66" ht="11.25" customHeight="1">
      <c r="A700" s="469"/>
      <c r="B700" s="447"/>
      <c r="C700" s="447"/>
      <c r="D700" s="447"/>
      <c r="E700" s="447"/>
      <c r="F700" s="447"/>
      <c r="G700" s="447"/>
      <c r="H700" s="447"/>
      <c r="I700" s="447"/>
      <c r="J700" s="447"/>
      <c r="K700" s="447"/>
      <c r="L700" s="447"/>
      <c r="M700" s="447"/>
      <c r="N700" s="447"/>
      <c r="O700" s="447"/>
      <c r="P700" s="447"/>
      <c r="Q700" s="447"/>
      <c r="R700" s="447"/>
      <c r="S700" s="447"/>
      <c r="T700" s="447"/>
      <c r="U700" s="447"/>
      <c r="V700" s="447"/>
      <c r="W700" s="447"/>
      <c r="X700" s="447"/>
      <c r="Y700" s="447"/>
      <c r="Z700" s="447"/>
      <c r="AA700" s="447"/>
      <c r="AB700" s="447"/>
      <c r="AC700" s="447"/>
      <c r="AD700" s="447"/>
      <c r="AE700" s="447"/>
      <c r="AF700" s="448"/>
      <c r="AG700" s="448"/>
      <c r="AH700" s="448"/>
      <c r="AI700" s="447"/>
      <c r="AJ700" s="447"/>
      <c r="AK700" s="447"/>
      <c r="AL700" s="447"/>
      <c r="AM700" s="447"/>
      <c r="AN700" s="447"/>
      <c r="AO700" s="447"/>
      <c r="AP700" s="447"/>
      <c r="AQ700" s="447"/>
      <c r="AR700" s="447"/>
      <c r="AS700" s="447"/>
      <c r="AT700" s="447"/>
      <c r="AU700" s="447"/>
      <c r="AV700" s="447"/>
      <c r="AW700" s="447"/>
      <c r="AX700" s="447"/>
      <c r="AY700" s="447"/>
      <c r="AZ700" s="447"/>
      <c r="BA700" s="447"/>
      <c r="BB700" s="447"/>
      <c r="BC700" s="447"/>
      <c r="BD700" s="447"/>
      <c r="BE700" s="447"/>
      <c r="BF700" s="447"/>
      <c r="BG700" s="447"/>
      <c r="BH700" s="447"/>
      <c r="BI700" s="447"/>
      <c r="BJ700" s="447"/>
      <c r="BK700" s="447"/>
      <c r="BL700" s="447"/>
      <c r="BM700" s="448"/>
      <c r="BN700" s="448"/>
    </row>
    <row r="701" spans="1:66" ht="11.25" customHeight="1">
      <c r="A701" s="469"/>
      <c r="B701" s="447"/>
      <c r="C701" s="447"/>
      <c r="D701" s="447"/>
      <c r="E701" s="447"/>
      <c r="F701" s="447"/>
      <c r="G701" s="447"/>
      <c r="H701" s="447"/>
      <c r="I701" s="447"/>
      <c r="J701" s="447"/>
      <c r="K701" s="447"/>
      <c r="L701" s="447"/>
      <c r="M701" s="447"/>
      <c r="N701" s="447"/>
      <c r="O701" s="447"/>
      <c r="P701" s="447"/>
      <c r="Q701" s="447"/>
      <c r="R701" s="447"/>
      <c r="S701" s="447"/>
      <c r="T701" s="447"/>
      <c r="U701" s="447"/>
      <c r="V701" s="447"/>
      <c r="W701" s="447"/>
      <c r="X701" s="447"/>
      <c r="Y701" s="447"/>
      <c r="Z701" s="447"/>
      <c r="AA701" s="447"/>
      <c r="AB701" s="447"/>
      <c r="AC701" s="447"/>
      <c r="AD701" s="447"/>
      <c r="AE701" s="447"/>
      <c r="AF701" s="448"/>
      <c r="AG701" s="448"/>
      <c r="AH701" s="448"/>
      <c r="AI701" s="447"/>
      <c r="AJ701" s="447"/>
      <c r="AK701" s="447"/>
      <c r="AL701" s="447"/>
      <c r="AM701" s="447"/>
      <c r="AN701" s="447"/>
      <c r="AO701" s="447"/>
      <c r="AP701" s="447"/>
      <c r="AQ701" s="447"/>
      <c r="AR701" s="447"/>
      <c r="AS701" s="447"/>
      <c r="AT701" s="447"/>
      <c r="AU701" s="447"/>
      <c r="AV701" s="447"/>
      <c r="AW701" s="447"/>
      <c r="AX701" s="447"/>
      <c r="AY701" s="447"/>
      <c r="AZ701" s="447"/>
      <c r="BA701" s="447"/>
      <c r="BB701" s="447"/>
      <c r="BC701" s="447"/>
      <c r="BD701" s="447"/>
      <c r="BE701" s="447"/>
      <c r="BF701" s="447"/>
      <c r="BG701" s="447"/>
      <c r="BH701" s="447"/>
      <c r="BI701" s="447"/>
      <c r="BJ701" s="447"/>
      <c r="BK701" s="447"/>
      <c r="BL701" s="447"/>
      <c r="BM701" s="448"/>
      <c r="BN701" s="448"/>
    </row>
    <row r="702" spans="1:66" ht="11.25" customHeight="1">
      <c r="A702" s="469"/>
      <c r="B702" s="447"/>
      <c r="C702" s="447"/>
      <c r="D702" s="447"/>
      <c r="E702" s="447"/>
      <c r="F702" s="447"/>
      <c r="G702" s="447"/>
      <c r="H702" s="447"/>
      <c r="I702" s="447"/>
      <c r="J702" s="447"/>
      <c r="K702" s="447"/>
      <c r="L702" s="447"/>
      <c r="M702" s="447"/>
      <c r="N702" s="447"/>
      <c r="O702" s="447"/>
      <c r="P702" s="447"/>
      <c r="Q702" s="447"/>
      <c r="R702" s="447"/>
      <c r="S702" s="447"/>
      <c r="T702" s="447"/>
      <c r="U702" s="447"/>
      <c r="V702" s="447"/>
      <c r="W702" s="447"/>
      <c r="X702" s="447"/>
      <c r="Y702" s="447"/>
      <c r="Z702" s="447"/>
      <c r="AA702" s="447"/>
      <c r="AB702" s="447"/>
      <c r="AC702" s="447"/>
      <c r="AD702" s="447"/>
      <c r="AE702" s="447"/>
      <c r="AF702" s="448"/>
      <c r="AG702" s="448"/>
      <c r="AH702" s="448"/>
      <c r="AI702" s="447"/>
      <c r="AJ702" s="447"/>
      <c r="AK702" s="447"/>
      <c r="AL702" s="447"/>
      <c r="AM702" s="447"/>
      <c r="AN702" s="447"/>
      <c r="AO702" s="447"/>
      <c r="AP702" s="447"/>
      <c r="AQ702" s="447"/>
      <c r="AR702" s="447"/>
      <c r="AS702" s="447"/>
      <c r="AT702" s="447"/>
      <c r="AU702" s="447"/>
      <c r="AV702" s="447"/>
      <c r="AW702" s="447"/>
      <c r="AX702" s="447"/>
      <c r="AY702" s="447"/>
      <c r="AZ702" s="447"/>
      <c r="BA702" s="447"/>
      <c r="BB702" s="447"/>
      <c r="BC702" s="447"/>
      <c r="BD702" s="447"/>
      <c r="BE702" s="447"/>
      <c r="BF702" s="447"/>
      <c r="BG702" s="447"/>
      <c r="BH702" s="447"/>
      <c r="BI702" s="447"/>
      <c r="BJ702" s="447"/>
      <c r="BK702" s="447"/>
      <c r="BL702" s="447"/>
      <c r="BM702" s="448"/>
      <c r="BN702" s="448"/>
    </row>
    <row r="703" spans="1:66" ht="11.25" customHeight="1">
      <c r="A703" s="469"/>
      <c r="B703" s="447"/>
      <c r="C703" s="447"/>
      <c r="D703" s="447"/>
      <c r="E703" s="447"/>
      <c r="F703" s="447"/>
      <c r="G703" s="447"/>
      <c r="H703" s="447"/>
      <c r="I703" s="447"/>
      <c r="J703" s="447"/>
      <c r="K703" s="447"/>
      <c r="L703" s="447"/>
      <c r="M703" s="447"/>
      <c r="N703" s="447"/>
      <c r="O703" s="447"/>
      <c r="P703" s="447"/>
      <c r="Q703" s="447"/>
      <c r="R703" s="447"/>
      <c r="S703" s="447"/>
      <c r="T703" s="447"/>
      <c r="U703" s="447"/>
      <c r="V703" s="447"/>
      <c r="W703" s="447"/>
      <c r="X703" s="447"/>
      <c r="Y703" s="447"/>
      <c r="Z703" s="447"/>
      <c r="AA703" s="447"/>
      <c r="AB703" s="447"/>
      <c r="AC703" s="447"/>
      <c r="AD703" s="447"/>
      <c r="AE703" s="447"/>
      <c r="AF703" s="448"/>
      <c r="AG703" s="448"/>
      <c r="AH703" s="448"/>
      <c r="AI703" s="447"/>
      <c r="AJ703" s="447"/>
      <c r="AK703" s="447"/>
      <c r="AL703" s="447"/>
      <c r="AM703" s="447"/>
      <c r="AN703" s="447"/>
      <c r="AO703" s="447"/>
      <c r="AP703" s="447"/>
      <c r="AQ703" s="447"/>
      <c r="AR703" s="447"/>
      <c r="AS703" s="447"/>
      <c r="AT703" s="447"/>
      <c r="AU703" s="447"/>
      <c r="AV703" s="447"/>
      <c r="AW703" s="447"/>
      <c r="AX703" s="447"/>
      <c r="AY703" s="447"/>
      <c r="AZ703" s="447"/>
      <c r="BA703" s="447"/>
      <c r="BB703" s="447"/>
      <c r="BC703" s="447"/>
      <c r="BD703" s="447"/>
      <c r="BE703" s="447"/>
      <c r="BF703" s="447"/>
      <c r="BG703" s="447"/>
      <c r="BH703" s="447"/>
      <c r="BI703" s="447"/>
      <c r="BJ703" s="447"/>
      <c r="BK703" s="447"/>
      <c r="BL703" s="447"/>
      <c r="BM703" s="448"/>
      <c r="BN703" s="448"/>
    </row>
    <row r="704" spans="1:66" ht="11.25" customHeight="1">
      <c r="A704" s="469"/>
      <c r="B704" s="447"/>
      <c r="C704" s="447"/>
      <c r="D704" s="447"/>
      <c r="E704" s="447"/>
      <c r="F704" s="447"/>
      <c r="G704" s="447"/>
      <c r="H704" s="447"/>
      <c r="I704" s="447"/>
      <c r="J704" s="447"/>
      <c r="K704" s="447"/>
      <c r="L704" s="447"/>
      <c r="M704" s="447"/>
      <c r="N704" s="447"/>
      <c r="O704" s="447"/>
      <c r="P704" s="447"/>
      <c r="Q704" s="447"/>
      <c r="R704" s="447"/>
      <c r="S704" s="447"/>
      <c r="T704" s="447"/>
      <c r="U704" s="447"/>
      <c r="V704" s="447"/>
      <c r="W704" s="447"/>
      <c r="X704" s="447"/>
      <c r="Y704" s="447"/>
      <c r="Z704" s="447"/>
      <c r="AA704" s="447"/>
      <c r="AB704" s="447"/>
      <c r="AC704" s="447"/>
      <c r="AD704" s="447"/>
      <c r="AE704" s="447"/>
      <c r="AF704" s="448"/>
      <c r="AG704" s="448"/>
      <c r="AH704" s="448"/>
      <c r="AI704" s="447"/>
      <c r="AJ704" s="447"/>
      <c r="AK704" s="447"/>
      <c r="AL704" s="447"/>
      <c r="AM704" s="447"/>
      <c r="AN704" s="447"/>
      <c r="AO704" s="447"/>
      <c r="AP704" s="447"/>
      <c r="AQ704" s="447"/>
      <c r="AR704" s="447"/>
      <c r="AS704" s="447"/>
      <c r="AT704" s="447"/>
      <c r="AU704" s="447"/>
      <c r="AV704" s="447"/>
      <c r="AW704" s="447"/>
      <c r="AX704" s="447"/>
      <c r="AY704" s="447"/>
      <c r="AZ704" s="447"/>
      <c r="BA704" s="447"/>
      <c r="BB704" s="447"/>
      <c r="BC704" s="447"/>
      <c r="BD704" s="447"/>
      <c r="BE704" s="447"/>
      <c r="BF704" s="447"/>
      <c r="BG704" s="447"/>
      <c r="BH704" s="447"/>
      <c r="BI704" s="447"/>
      <c r="BJ704" s="447"/>
      <c r="BK704" s="447"/>
      <c r="BL704" s="447"/>
      <c r="BM704" s="448"/>
      <c r="BN704" s="448"/>
    </row>
    <row r="705" spans="1:66" ht="11.25" customHeight="1">
      <c r="A705" s="469"/>
      <c r="B705" s="447"/>
      <c r="C705" s="447"/>
      <c r="D705" s="447"/>
      <c r="E705" s="447"/>
      <c r="F705" s="447"/>
      <c r="G705" s="447"/>
      <c r="H705" s="447"/>
      <c r="I705" s="447"/>
      <c r="J705" s="447"/>
      <c r="K705" s="447"/>
      <c r="L705" s="447"/>
      <c r="M705" s="447"/>
      <c r="N705" s="447"/>
      <c r="O705" s="447"/>
      <c r="P705" s="447"/>
      <c r="Q705" s="447"/>
      <c r="R705" s="447"/>
      <c r="S705" s="447"/>
      <c r="T705" s="447"/>
      <c r="U705" s="447"/>
      <c r="V705" s="447"/>
      <c r="W705" s="447"/>
      <c r="X705" s="447"/>
      <c r="Y705" s="447"/>
      <c r="Z705" s="447"/>
      <c r="AA705" s="447"/>
      <c r="AB705" s="447"/>
      <c r="AC705" s="447"/>
      <c r="AD705" s="447"/>
      <c r="AE705" s="447"/>
      <c r="AF705" s="448"/>
      <c r="AG705" s="448"/>
      <c r="AH705" s="448"/>
      <c r="AI705" s="447"/>
      <c r="AJ705" s="447"/>
      <c r="AK705" s="447"/>
      <c r="AL705" s="447"/>
      <c r="AM705" s="447"/>
      <c r="AN705" s="447"/>
      <c r="AO705" s="447"/>
      <c r="AP705" s="447"/>
      <c r="AQ705" s="447"/>
      <c r="AR705" s="447"/>
      <c r="AS705" s="447"/>
      <c r="AT705" s="447"/>
      <c r="AU705" s="447"/>
      <c r="AV705" s="447"/>
      <c r="AW705" s="447"/>
      <c r="AX705" s="447"/>
      <c r="AY705" s="447"/>
      <c r="AZ705" s="447"/>
      <c r="BA705" s="447"/>
      <c r="BB705" s="447"/>
      <c r="BC705" s="447"/>
      <c r="BD705" s="447"/>
      <c r="BE705" s="447"/>
      <c r="BF705" s="447"/>
      <c r="BG705" s="447"/>
      <c r="BH705" s="447"/>
      <c r="BI705" s="447"/>
      <c r="BJ705" s="447"/>
      <c r="BK705" s="447"/>
      <c r="BL705" s="447"/>
      <c r="BM705" s="448"/>
      <c r="BN705" s="448"/>
    </row>
    <row r="706" spans="1:66" ht="11.25" customHeight="1">
      <c r="A706" s="469"/>
      <c r="B706" s="447"/>
      <c r="C706" s="447"/>
      <c r="D706" s="447"/>
      <c r="E706" s="447"/>
      <c r="F706" s="447"/>
      <c r="G706" s="447"/>
      <c r="H706" s="447"/>
      <c r="I706" s="447"/>
      <c r="J706" s="447"/>
      <c r="K706" s="447"/>
      <c r="L706" s="447"/>
      <c r="M706" s="447"/>
      <c r="N706" s="447"/>
      <c r="O706" s="447"/>
      <c r="P706" s="447"/>
      <c r="Q706" s="447"/>
      <c r="R706" s="447"/>
      <c r="S706" s="447"/>
      <c r="T706" s="447"/>
      <c r="U706" s="447"/>
      <c r="V706" s="447"/>
      <c r="W706" s="447"/>
      <c r="X706" s="447"/>
      <c r="Y706" s="447"/>
      <c r="Z706" s="447"/>
      <c r="AA706" s="447"/>
      <c r="AB706" s="447"/>
      <c r="AC706" s="447"/>
      <c r="AD706" s="447"/>
      <c r="AE706" s="447"/>
      <c r="AF706" s="448"/>
      <c r="AG706" s="448"/>
      <c r="AH706" s="448"/>
      <c r="AI706" s="447"/>
      <c r="AJ706" s="447"/>
      <c r="AK706" s="447"/>
      <c r="AL706" s="447"/>
      <c r="AM706" s="447"/>
      <c r="AN706" s="447"/>
      <c r="AO706" s="447"/>
      <c r="AP706" s="447"/>
      <c r="AQ706" s="447"/>
      <c r="AR706" s="447"/>
      <c r="AS706" s="447"/>
      <c r="AT706" s="447"/>
      <c r="AU706" s="447"/>
      <c r="AV706" s="447"/>
      <c r="AW706" s="447"/>
      <c r="AX706" s="447"/>
      <c r="AY706" s="447"/>
      <c r="AZ706" s="447"/>
      <c r="BA706" s="447"/>
      <c r="BB706" s="447"/>
      <c r="BC706" s="447"/>
      <c r="BD706" s="447"/>
      <c r="BE706" s="447"/>
      <c r="BF706" s="447"/>
      <c r="BG706" s="447"/>
      <c r="BH706" s="447"/>
      <c r="BI706" s="447"/>
      <c r="BJ706" s="447"/>
      <c r="BK706" s="447"/>
      <c r="BL706" s="447"/>
      <c r="BM706" s="448"/>
      <c r="BN706" s="448"/>
    </row>
    <row r="707" spans="1:66" ht="11.25" customHeight="1">
      <c r="A707" s="469"/>
      <c r="B707" s="447"/>
      <c r="C707" s="447"/>
      <c r="D707" s="447"/>
      <c r="E707" s="447"/>
      <c r="F707" s="447"/>
      <c r="G707" s="447"/>
      <c r="H707" s="447"/>
      <c r="I707" s="447"/>
      <c r="J707" s="447"/>
      <c r="K707" s="447"/>
      <c r="L707" s="447"/>
      <c r="M707" s="447"/>
      <c r="N707" s="447"/>
      <c r="O707" s="447"/>
      <c r="P707" s="447"/>
      <c r="Q707" s="447"/>
      <c r="R707" s="447"/>
      <c r="S707" s="447"/>
      <c r="T707" s="447"/>
      <c r="U707" s="447"/>
      <c r="V707" s="447"/>
      <c r="W707" s="447"/>
      <c r="X707" s="447"/>
      <c r="Y707" s="447"/>
      <c r="Z707" s="447"/>
      <c r="AA707" s="447"/>
      <c r="AB707" s="447"/>
      <c r="AC707" s="447"/>
      <c r="AD707" s="447"/>
      <c r="AE707" s="447"/>
      <c r="AF707" s="448"/>
      <c r="AG707" s="448"/>
      <c r="AH707" s="448"/>
      <c r="AI707" s="447"/>
      <c r="AJ707" s="447"/>
      <c r="AK707" s="447"/>
      <c r="AL707" s="447"/>
      <c r="AM707" s="447"/>
      <c r="AN707" s="447"/>
      <c r="AO707" s="447"/>
      <c r="AP707" s="447"/>
      <c r="AQ707" s="447"/>
      <c r="AR707" s="447"/>
      <c r="AS707" s="447"/>
      <c r="AT707" s="447"/>
      <c r="AU707" s="447"/>
      <c r="AV707" s="447"/>
      <c r="AW707" s="447"/>
      <c r="AX707" s="447"/>
      <c r="AY707" s="447"/>
      <c r="AZ707" s="447"/>
      <c r="BA707" s="447"/>
      <c r="BB707" s="447"/>
      <c r="BC707" s="447"/>
      <c r="BD707" s="447"/>
      <c r="BE707" s="447"/>
      <c r="BF707" s="447"/>
      <c r="BG707" s="447"/>
      <c r="BH707" s="447"/>
      <c r="BI707" s="447"/>
      <c r="BJ707" s="447"/>
      <c r="BK707" s="447"/>
      <c r="BL707" s="447"/>
      <c r="BM707" s="448"/>
      <c r="BN707" s="448"/>
    </row>
    <row r="708" spans="1:66" ht="11.25" customHeight="1">
      <c r="A708" s="469"/>
      <c r="B708" s="447"/>
      <c r="C708" s="447"/>
      <c r="D708" s="447"/>
      <c r="E708" s="447"/>
      <c r="F708" s="447"/>
      <c r="G708" s="447"/>
      <c r="H708" s="447"/>
      <c r="I708" s="447"/>
      <c r="J708" s="447"/>
      <c r="K708" s="447"/>
      <c r="L708" s="447"/>
      <c r="M708" s="447"/>
      <c r="N708" s="447"/>
      <c r="O708" s="447"/>
      <c r="P708" s="447"/>
      <c r="Q708" s="447"/>
      <c r="R708" s="447"/>
      <c r="S708" s="447"/>
      <c r="T708" s="447"/>
      <c r="U708" s="447"/>
      <c r="V708" s="447"/>
      <c r="W708" s="447"/>
      <c r="X708" s="447"/>
      <c r="Y708" s="447"/>
      <c r="Z708" s="447"/>
      <c r="AA708" s="447"/>
      <c r="AB708" s="447"/>
      <c r="AC708" s="447"/>
      <c r="AD708" s="447"/>
      <c r="AE708" s="447"/>
      <c r="AF708" s="448"/>
      <c r="AG708" s="448"/>
      <c r="AH708" s="448"/>
      <c r="AI708" s="447"/>
      <c r="AJ708" s="447"/>
      <c r="AK708" s="447"/>
      <c r="AL708" s="447"/>
      <c r="AM708" s="447"/>
      <c r="AN708" s="447"/>
      <c r="AO708" s="447"/>
      <c r="AP708" s="447"/>
      <c r="AQ708" s="447"/>
      <c r="AR708" s="447"/>
      <c r="AS708" s="447"/>
      <c r="AT708" s="447"/>
      <c r="AU708" s="447"/>
      <c r="AV708" s="447"/>
      <c r="AW708" s="447"/>
      <c r="AX708" s="447"/>
      <c r="AY708" s="447"/>
      <c r="AZ708" s="447"/>
      <c r="BA708" s="447"/>
      <c r="BB708" s="447"/>
      <c r="BC708" s="447"/>
      <c r="BD708" s="447"/>
      <c r="BE708" s="447"/>
      <c r="BF708" s="447"/>
      <c r="BG708" s="447"/>
      <c r="BH708" s="447"/>
      <c r="BI708" s="447"/>
      <c r="BJ708" s="447"/>
      <c r="BK708" s="447"/>
      <c r="BL708" s="447"/>
      <c r="BM708" s="448"/>
      <c r="BN708" s="448"/>
    </row>
    <row r="709" spans="1:66" ht="11.25" customHeight="1">
      <c r="A709" s="469"/>
      <c r="B709" s="447"/>
      <c r="C709" s="447"/>
      <c r="D709" s="447"/>
      <c r="E709" s="447"/>
      <c r="F709" s="447"/>
      <c r="G709" s="447"/>
      <c r="H709" s="447"/>
      <c r="I709" s="447"/>
      <c r="J709" s="447"/>
      <c r="K709" s="447"/>
      <c r="L709" s="447"/>
      <c r="M709" s="447"/>
      <c r="N709" s="447"/>
      <c r="O709" s="447"/>
      <c r="P709" s="447"/>
      <c r="Q709" s="447"/>
      <c r="R709" s="447"/>
      <c r="S709" s="447"/>
      <c r="T709" s="447"/>
      <c r="U709" s="447"/>
      <c r="V709" s="447"/>
      <c r="W709" s="447"/>
      <c r="X709" s="447"/>
      <c r="Y709" s="447"/>
      <c r="Z709" s="447"/>
      <c r="AA709" s="447"/>
      <c r="AB709" s="447"/>
      <c r="AC709" s="447"/>
      <c r="AD709" s="447"/>
      <c r="AE709" s="447"/>
      <c r="AF709" s="448"/>
      <c r="AG709" s="448"/>
      <c r="AH709" s="448"/>
      <c r="AI709" s="447"/>
      <c r="AJ709" s="447"/>
      <c r="AK709" s="447"/>
      <c r="AL709" s="447"/>
      <c r="AM709" s="447"/>
      <c r="AN709" s="447"/>
      <c r="AO709" s="447"/>
      <c r="AP709" s="447"/>
      <c r="AQ709" s="447"/>
      <c r="AR709" s="447"/>
      <c r="AS709" s="447"/>
      <c r="AT709" s="447"/>
      <c r="AU709" s="447"/>
      <c r="AV709" s="447"/>
      <c r="AW709" s="447"/>
      <c r="AX709" s="447"/>
      <c r="AY709" s="447"/>
      <c r="AZ709" s="447"/>
      <c r="BA709" s="447"/>
      <c r="BB709" s="447"/>
      <c r="BC709" s="447"/>
      <c r="BD709" s="447"/>
      <c r="BE709" s="447"/>
      <c r="BF709" s="447"/>
      <c r="BG709" s="447"/>
      <c r="BH709" s="447"/>
      <c r="BI709" s="447"/>
      <c r="BJ709" s="447"/>
      <c r="BK709" s="447"/>
      <c r="BL709" s="447"/>
      <c r="BM709" s="448"/>
      <c r="BN709" s="448"/>
    </row>
    <row r="710" spans="1:66" ht="11.25" customHeight="1">
      <c r="A710" s="469"/>
      <c r="B710" s="447"/>
      <c r="C710" s="447"/>
      <c r="D710" s="447"/>
      <c r="E710" s="447"/>
      <c r="F710" s="447"/>
      <c r="G710" s="447"/>
      <c r="H710" s="447"/>
      <c r="I710" s="447"/>
      <c r="J710" s="447"/>
      <c r="K710" s="447"/>
      <c r="L710" s="447"/>
      <c r="M710" s="447"/>
      <c r="N710" s="447"/>
      <c r="O710" s="447"/>
      <c r="P710" s="447"/>
      <c r="Q710" s="447"/>
      <c r="R710" s="447"/>
      <c r="S710" s="447"/>
      <c r="T710" s="447"/>
      <c r="U710" s="447"/>
      <c r="V710" s="447"/>
      <c r="W710" s="447"/>
      <c r="X710" s="447"/>
      <c r="Y710" s="447"/>
      <c r="Z710" s="447"/>
      <c r="AA710" s="447"/>
      <c r="AB710" s="447"/>
      <c r="AC710" s="447"/>
      <c r="AD710" s="447"/>
      <c r="AE710" s="447"/>
      <c r="AF710" s="448"/>
      <c r="AG710" s="448"/>
      <c r="AH710" s="448"/>
      <c r="AI710" s="447"/>
      <c r="AJ710" s="447"/>
      <c r="AK710" s="447"/>
      <c r="AL710" s="447"/>
      <c r="AM710" s="447"/>
      <c r="AN710" s="447"/>
      <c r="AO710" s="447"/>
      <c r="AP710" s="447"/>
      <c r="AQ710" s="447"/>
      <c r="AR710" s="447"/>
      <c r="AS710" s="447"/>
      <c r="AT710" s="447"/>
      <c r="AU710" s="447"/>
      <c r="AV710" s="447"/>
      <c r="AW710" s="447"/>
      <c r="AX710" s="447"/>
      <c r="AY710" s="447"/>
      <c r="AZ710" s="447"/>
      <c r="BA710" s="447"/>
      <c r="BB710" s="447"/>
      <c r="BC710" s="447"/>
      <c r="BD710" s="447"/>
      <c r="BE710" s="447"/>
      <c r="BF710" s="447"/>
      <c r="BG710" s="447"/>
      <c r="BH710" s="447"/>
      <c r="BI710" s="447"/>
      <c r="BJ710" s="447"/>
      <c r="BK710" s="447"/>
      <c r="BL710" s="447"/>
      <c r="BM710" s="448"/>
      <c r="BN710" s="448"/>
    </row>
    <row r="711" spans="1:66" ht="11.25" customHeight="1">
      <c r="A711" s="469"/>
      <c r="B711" s="447"/>
      <c r="C711" s="447"/>
      <c r="D711" s="447"/>
      <c r="E711" s="447"/>
      <c r="F711" s="447"/>
      <c r="G711" s="447"/>
      <c r="H711" s="447"/>
      <c r="I711" s="447"/>
      <c r="J711" s="447"/>
      <c r="K711" s="447"/>
      <c r="L711" s="447"/>
      <c r="M711" s="447"/>
      <c r="N711" s="447"/>
      <c r="O711" s="447"/>
      <c r="P711" s="447"/>
      <c r="Q711" s="447"/>
      <c r="R711" s="447"/>
      <c r="S711" s="447"/>
      <c r="T711" s="447"/>
      <c r="U711" s="447"/>
      <c r="V711" s="447"/>
      <c r="W711" s="447"/>
      <c r="X711" s="447"/>
      <c r="Y711" s="447"/>
      <c r="Z711" s="447"/>
      <c r="AA711" s="447"/>
      <c r="AB711" s="447"/>
      <c r="AC711" s="447"/>
      <c r="AD711" s="447"/>
      <c r="AE711" s="447"/>
      <c r="AF711" s="448"/>
      <c r="AG711" s="448"/>
      <c r="AH711" s="448"/>
      <c r="AI711" s="447"/>
      <c r="AJ711" s="447"/>
      <c r="AK711" s="447"/>
      <c r="AL711" s="447"/>
      <c r="AM711" s="447"/>
      <c r="AN711" s="447"/>
      <c r="AO711" s="447"/>
      <c r="AP711" s="447"/>
      <c r="AQ711" s="447"/>
      <c r="AR711" s="447"/>
      <c r="AS711" s="447"/>
      <c r="AT711" s="447"/>
      <c r="AU711" s="447"/>
      <c r="AV711" s="447"/>
      <c r="AW711" s="447"/>
      <c r="AX711" s="447"/>
      <c r="AY711" s="447"/>
      <c r="AZ711" s="447"/>
      <c r="BA711" s="447"/>
      <c r="BB711" s="447"/>
      <c r="BC711" s="447"/>
      <c r="BD711" s="447"/>
      <c r="BE711" s="447"/>
      <c r="BF711" s="447"/>
      <c r="BG711" s="447"/>
      <c r="BH711" s="447"/>
      <c r="BI711" s="447"/>
      <c r="BJ711" s="447"/>
      <c r="BK711" s="447"/>
      <c r="BL711" s="447"/>
      <c r="BM711" s="448"/>
      <c r="BN711" s="448"/>
    </row>
    <row r="712" spans="1:66" ht="11.25" customHeight="1">
      <c r="A712" s="469"/>
      <c r="B712" s="447"/>
      <c r="C712" s="447"/>
      <c r="D712" s="447"/>
      <c r="E712" s="447"/>
      <c r="F712" s="447"/>
      <c r="G712" s="447"/>
      <c r="H712" s="447"/>
      <c r="I712" s="447"/>
      <c r="J712" s="447"/>
      <c r="K712" s="447"/>
      <c r="L712" s="447"/>
      <c r="M712" s="447"/>
      <c r="N712" s="447"/>
      <c r="O712" s="447"/>
      <c r="P712" s="447"/>
      <c r="Q712" s="447"/>
      <c r="R712" s="447"/>
      <c r="S712" s="447"/>
      <c r="T712" s="447"/>
      <c r="U712" s="447"/>
      <c r="V712" s="447"/>
      <c r="W712" s="447"/>
      <c r="X712" s="447"/>
      <c r="Y712" s="447"/>
      <c r="Z712" s="447"/>
      <c r="AA712" s="447"/>
      <c r="AB712" s="447"/>
      <c r="AC712" s="447"/>
      <c r="AD712" s="447"/>
      <c r="AE712" s="447"/>
      <c r="AF712" s="448"/>
      <c r="AG712" s="448"/>
      <c r="AH712" s="448"/>
      <c r="AI712" s="447"/>
      <c r="AJ712" s="447"/>
      <c r="AK712" s="447"/>
      <c r="AL712" s="447"/>
      <c r="AM712" s="447"/>
      <c r="AN712" s="447"/>
      <c r="AO712" s="447"/>
      <c r="AP712" s="447"/>
      <c r="AQ712" s="447"/>
      <c r="AR712" s="447"/>
      <c r="AS712" s="447"/>
      <c r="AT712" s="447"/>
      <c r="AU712" s="447"/>
      <c r="AV712" s="447"/>
      <c r="AW712" s="447"/>
      <c r="AX712" s="447"/>
      <c r="AY712" s="447"/>
      <c r="AZ712" s="447"/>
      <c r="BA712" s="447"/>
      <c r="BB712" s="447"/>
      <c r="BC712" s="447"/>
      <c r="BD712" s="447"/>
      <c r="BE712" s="447"/>
      <c r="BF712" s="447"/>
      <c r="BG712" s="447"/>
      <c r="BH712" s="447"/>
      <c r="BI712" s="447"/>
      <c r="BJ712" s="447"/>
      <c r="BK712" s="447"/>
      <c r="BL712" s="447"/>
      <c r="BM712" s="448"/>
      <c r="BN712" s="448"/>
    </row>
    <row r="713" spans="1:66" ht="11.25" customHeight="1">
      <c r="A713" s="469"/>
      <c r="B713" s="447"/>
      <c r="C713" s="447"/>
      <c r="D713" s="447"/>
      <c r="E713" s="447"/>
      <c r="F713" s="447"/>
      <c r="G713" s="447"/>
      <c r="H713" s="447"/>
      <c r="I713" s="447"/>
      <c r="J713" s="447"/>
      <c r="K713" s="447"/>
      <c r="L713" s="447"/>
      <c r="M713" s="447"/>
      <c r="N713" s="447"/>
      <c r="O713" s="447"/>
      <c r="P713" s="447"/>
      <c r="Q713" s="447"/>
      <c r="R713" s="447"/>
      <c r="S713" s="447"/>
      <c r="T713" s="447"/>
      <c r="U713" s="447"/>
      <c r="V713" s="447"/>
      <c r="W713" s="447"/>
      <c r="X713" s="447"/>
      <c r="Y713" s="447"/>
      <c r="Z713" s="447"/>
      <c r="AA713" s="447"/>
      <c r="AB713" s="447"/>
      <c r="AC713" s="447"/>
      <c r="AD713" s="447"/>
      <c r="AE713" s="447"/>
      <c r="AF713" s="448"/>
      <c r="AG713" s="448"/>
      <c r="AH713" s="448"/>
      <c r="AI713" s="447"/>
      <c r="AJ713" s="447"/>
      <c r="AK713" s="447"/>
      <c r="AL713" s="447"/>
      <c r="AM713" s="447"/>
      <c r="AN713" s="447"/>
      <c r="AO713" s="447"/>
      <c r="AP713" s="447"/>
      <c r="AQ713" s="447"/>
      <c r="AR713" s="447"/>
      <c r="AS713" s="447"/>
      <c r="AT713" s="447"/>
      <c r="AU713" s="447"/>
      <c r="AV713" s="447"/>
      <c r="AW713" s="447"/>
      <c r="AX713" s="447"/>
      <c r="AY713" s="447"/>
      <c r="AZ713" s="447"/>
      <c r="BA713" s="447"/>
      <c r="BB713" s="447"/>
      <c r="BC713" s="447"/>
      <c r="BD713" s="447"/>
      <c r="BE713" s="447"/>
      <c r="BF713" s="447"/>
      <c r="BG713" s="447"/>
      <c r="BH713" s="447"/>
      <c r="BI713" s="447"/>
      <c r="BJ713" s="447"/>
      <c r="BK713" s="447"/>
      <c r="BL713" s="447"/>
      <c r="BM713" s="448"/>
      <c r="BN713" s="448"/>
    </row>
    <row r="714" spans="1:66" ht="11.25" customHeight="1">
      <c r="A714" s="469"/>
      <c r="B714" s="447"/>
      <c r="C714" s="447"/>
      <c r="D714" s="447"/>
      <c r="E714" s="447"/>
      <c r="F714" s="447"/>
      <c r="G714" s="447"/>
      <c r="H714" s="447"/>
      <c r="I714" s="447"/>
      <c r="J714" s="447"/>
      <c r="K714" s="447"/>
      <c r="L714" s="447"/>
      <c r="M714" s="447"/>
      <c r="N714" s="447"/>
      <c r="O714" s="447"/>
      <c r="P714" s="447"/>
      <c r="Q714" s="447"/>
      <c r="R714" s="447"/>
      <c r="S714" s="447"/>
      <c r="T714" s="447"/>
      <c r="U714" s="447"/>
      <c r="V714" s="447"/>
      <c r="W714" s="447"/>
      <c r="X714" s="447"/>
      <c r="Y714" s="447"/>
      <c r="Z714" s="447"/>
      <c r="AA714" s="447"/>
      <c r="AB714" s="447"/>
      <c r="AC714" s="447"/>
      <c r="AD714" s="447"/>
      <c r="AE714" s="447"/>
      <c r="AF714" s="448"/>
      <c r="AG714" s="448"/>
      <c r="AH714" s="448"/>
      <c r="AI714" s="447"/>
      <c r="AJ714" s="447"/>
      <c r="AK714" s="447"/>
      <c r="AL714" s="447"/>
      <c r="AM714" s="447"/>
      <c r="AN714" s="447"/>
      <c r="AO714" s="447"/>
      <c r="AP714" s="447"/>
      <c r="AQ714" s="447"/>
      <c r="AR714" s="447"/>
      <c r="AS714" s="447"/>
      <c r="AT714" s="447"/>
      <c r="AU714" s="447"/>
      <c r="AV714" s="447"/>
      <c r="AW714" s="447"/>
      <c r="AX714" s="447"/>
      <c r="AY714" s="447"/>
      <c r="AZ714" s="447"/>
      <c r="BA714" s="447"/>
      <c r="BB714" s="447"/>
      <c r="BC714" s="447"/>
      <c r="BD714" s="447"/>
      <c r="BE714" s="447"/>
      <c r="BF714" s="447"/>
      <c r="BG714" s="447"/>
      <c r="BH714" s="447"/>
      <c r="BI714" s="447"/>
      <c r="BJ714" s="447"/>
      <c r="BK714" s="447"/>
      <c r="BL714" s="447"/>
      <c r="BM714" s="448"/>
      <c r="BN714" s="448"/>
    </row>
    <row r="715" spans="1:66" ht="11.25" customHeight="1">
      <c r="A715" s="469"/>
      <c r="B715" s="447"/>
      <c r="C715" s="447"/>
      <c r="D715" s="447"/>
      <c r="E715" s="447"/>
      <c r="F715" s="447"/>
      <c r="G715" s="447"/>
      <c r="H715" s="447"/>
      <c r="I715" s="447"/>
      <c r="J715" s="447"/>
      <c r="K715" s="447"/>
      <c r="L715" s="447"/>
      <c r="M715" s="447"/>
      <c r="N715" s="447"/>
      <c r="O715" s="447"/>
      <c r="P715" s="447"/>
      <c r="Q715" s="447"/>
      <c r="R715" s="447"/>
      <c r="S715" s="447"/>
      <c r="T715" s="447"/>
      <c r="U715" s="447"/>
      <c r="V715" s="447"/>
      <c r="W715" s="447"/>
      <c r="X715" s="447"/>
      <c r="Y715" s="447"/>
      <c r="Z715" s="447"/>
      <c r="AA715" s="447"/>
      <c r="AB715" s="447"/>
      <c r="AC715" s="447"/>
      <c r="AD715" s="447"/>
      <c r="AE715" s="447"/>
      <c r="AF715" s="448"/>
      <c r="AG715" s="448"/>
      <c r="AH715" s="448"/>
      <c r="AI715" s="447"/>
      <c r="AJ715" s="447"/>
      <c r="AK715" s="447"/>
      <c r="AL715" s="447"/>
      <c r="AM715" s="447"/>
      <c r="AN715" s="447"/>
      <c r="AO715" s="447"/>
      <c r="AP715" s="447"/>
      <c r="AQ715" s="447"/>
      <c r="AR715" s="447"/>
      <c r="AS715" s="447"/>
      <c r="AT715" s="447"/>
      <c r="AU715" s="447"/>
      <c r="AV715" s="447"/>
      <c r="AW715" s="447"/>
      <c r="AX715" s="447"/>
      <c r="AY715" s="447"/>
      <c r="AZ715" s="447"/>
      <c r="BA715" s="447"/>
      <c r="BB715" s="447"/>
      <c r="BC715" s="447"/>
      <c r="BD715" s="447"/>
      <c r="BE715" s="447"/>
      <c r="BF715" s="447"/>
      <c r="BG715" s="447"/>
      <c r="BH715" s="447"/>
      <c r="BI715" s="447"/>
      <c r="BJ715" s="447"/>
      <c r="BK715" s="447"/>
      <c r="BL715" s="447"/>
      <c r="BM715" s="448"/>
      <c r="BN715" s="448"/>
    </row>
    <row r="716" spans="1:66" ht="11.25" customHeight="1">
      <c r="A716" s="469"/>
      <c r="B716" s="447"/>
      <c r="C716" s="447"/>
      <c r="D716" s="447"/>
      <c r="E716" s="447"/>
      <c r="F716" s="447"/>
      <c r="G716" s="447"/>
      <c r="H716" s="447"/>
      <c r="I716" s="447"/>
      <c r="J716" s="447"/>
      <c r="K716" s="447"/>
      <c r="L716" s="447"/>
      <c r="M716" s="447"/>
      <c r="N716" s="447"/>
      <c r="O716" s="447"/>
      <c r="P716" s="447"/>
      <c r="Q716" s="447"/>
      <c r="R716" s="447"/>
      <c r="S716" s="447"/>
      <c r="T716" s="447"/>
      <c r="U716" s="447"/>
      <c r="V716" s="447"/>
      <c r="W716" s="447"/>
      <c r="X716" s="447"/>
      <c r="Y716" s="447"/>
      <c r="Z716" s="447"/>
      <c r="AA716" s="447"/>
      <c r="AB716" s="447"/>
      <c r="AC716" s="447"/>
      <c r="AD716" s="447"/>
      <c r="AE716" s="447"/>
      <c r="AF716" s="448"/>
      <c r="AG716" s="448"/>
      <c r="AH716" s="448"/>
      <c r="AI716" s="447"/>
      <c r="AJ716" s="447"/>
      <c r="AK716" s="447"/>
      <c r="AL716" s="447"/>
      <c r="AM716" s="447"/>
      <c r="AN716" s="447"/>
      <c r="AO716" s="447"/>
      <c r="AP716" s="447"/>
      <c r="AQ716" s="447"/>
      <c r="AR716" s="447"/>
      <c r="AS716" s="447"/>
      <c r="AT716" s="447"/>
      <c r="AU716" s="447"/>
      <c r="AV716" s="447"/>
      <c r="AW716" s="447"/>
      <c r="AX716" s="447"/>
      <c r="AY716" s="447"/>
      <c r="AZ716" s="447"/>
      <c r="BA716" s="447"/>
      <c r="BB716" s="447"/>
      <c r="BC716" s="447"/>
      <c r="BD716" s="447"/>
      <c r="BE716" s="447"/>
      <c r="BF716" s="447"/>
      <c r="BG716" s="447"/>
      <c r="BH716" s="447"/>
      <c r="BI716" s="447"/>
      <c r="BJ716" s="447"/>
      <c r="BK716" s="447"/>
      <c r="BL716" s="447"/>
      <c r="BM716" s="448"/>
      <c r="BN716" s="448"/>
    </row>
    <row r="717" spans="1:66" ht="11.25" customHeight="1">
      <c r="A717" s="469"/>
      <c r="B717" s="447"/>
      <c r="C717" s="447"/>
      <c r="D717" s="447"/>
      <c r="E717" s="447"/>
      <c r="F717" s="447"/>
      <c r="G717" s="447"/>
      <c r="H717" s="447"/>
      <c r="I717" s="447"/>
      <c r="J717" s="447"/>
      <c r="K717" s="447"/>
      <c r="L717" s="447"/>
      <c r="M717" s="447"/>
      <c r="N717" s="447"/>
      <c r="O717" s="447"/>
      <c r="P717" s="447"/>
      <c r="Q717" s="447"/>
      <c r="R717" s="447"/>
      <c r="S717" s="447"/>
      <c r="T717" s="447"/>
      <c r="U717" s="447"/>
      <c r="V717" s="447"/>
      <c r="W717" s="447"/>
      <c r="X717" s="447"/>
      <c r="Y717" s="447"/>
      <c r="Z717" s="447"/>
      <c r="AA717" s="447"/>
      <c r="AB717" s="447"/>
      <c r="AC717" s="447"/>
      <c r="AD717" s="447"/>
      <c r="AE717" s="447"/>
      <c r="AF717" s="448"/>
      <c r="AG717" s="448"/>
      <c r="AH717" s="448"/>
      <c r="AI717" s="447"/>
      <c r="AJ717" s="447"/>
      <c r="AK717" s="447"/>
      <c r="AL717" s="447"/>
      <c r="AM717" s="447"/>
      <c r="AN717" s="447"/>
      <c r="AO717" s="447"/>
      <c r="AP717" s="447"/>
      <c r="AQ717" s="447"/>
      <c r="AR717" s="447"/>
      <c r="AS717" s="447"/>
      <c r="AT717" s="447"/>
      <c r="AU717" s="447"/>
      <c r="AV717" s="447"/>
      <c r="AW717" s="447"/>
      <c r="AX717" s="447"/>
      <c r="AY717" s="447"/>
      <c r="AZ717" s="447"/>
      <c r="BA717" s="447"/>
      <c r="BB717" s="447"/>
      <c r="BC717" s="447"/>
      <c r="BD717" s="447"/>
      <c r="BE717" s="447"/>
      <c r="BF717" s="447"/>
      <c r="BG717" s="447"/>
      <c r="BH717" s="447"/>
      <c r="BI717" s="447"/>
      <c r="BJ717" s="447"/>
      <c r="BK717" s="447"/>
      <c r="BL717" s="447"/>
      <c r="BM717" s="448"/>
      <c r="BN717" s="448"/>
    </row>
    <row r="718" spans="1:66" ht="11.25" customHeight="1">
      <c r="A718" s="469"/>
      <c r="B718" s="447"/>
      <c r="C718" s="447"/>
      <c r="D718" s="447"/>
      <c r="E718" s="447"/>
      <c r="F718" s="447"/>
      <c r="G718" s="447"/>
      <c r="H718" s="447"/>
      <c r="I718" s="447"/>
      <c r="J718" s="447"/>
      <c r="K718" s="447"/>
      <c r="L718" s="447"/>
      <c r="M718" s="447"/>
      <c r="N718" s="447"/>
      <c r="O718" s="447"/>
      <c r="P718" s="447"/>
      <c r="Q718" s="447"/>
      <c r="R718" s="447"/>
      <c r="S718" s="447"/>
      <c r="T718" s="447"/>
      <c r="U718" s="447"/>
      <c r="V718" s="447"/>
      <c r="W718" s="447"/>
      <c r="X718" s="447"/>
      <c r="Y718" s="447"/>
      <c r="Z718" s="447"/>
      <c r="AA718" s="447"/>
      <c r="AB718" s="447"/>
      <c r="AC718" s="447"/>
      <c r="AD718" s="447"/>
      <c r="AE718" s="447"/>
      <c r="AF718" s="448"/>
      <c r="AG718" s="448"/>
      <c r="AH718" s="448"/>
      <c r="AI718" s="447"/>
      <c r="AJ718" s="447"/>
      <c r="AK718" s="447"/>
      <c r="AL718" s="447"/>
      <c r="AM718" s="447"/>
      <c r="AN718" s="447"/>
      <c r="AO718" s="447"/>
      <c r="AP718" s="447"/>
      <c r="AQ718" s="447"/>
      <c r="AR718" s="447"/>
      <c r="AS718" s="447"/>
      <c r="AT718" s="447"/>
      <c r="AU718" s="447"/>
      <c r="AV718" s="447"/>
      <c r="AW718" s="447"/>
      <c r="AX718" s="447"/>
      <c r="AY718" s="447"/>
      <c r="AZ718" s="447"/>
      <c r="BA718" s="447"/>
      <c r="BB718" s="447"/>
      <c r="BC718" s="447"/>
      <c r="BD718" s="447"/>
      <c r="BE718" s="447"/>
      <c r="BF718" s="447"/>
      <c r="BG718" s="447"/>
      <c r="BH718" s="447"/>
      <c r="BI718" s="447"/>
      <c r="BJ718" s="447"/>
      <c r="BK718" s="447"/>
      <c r="BL718" s="447"/>
      <c r="BM718" s="448"/>
      <c r="BN718" s="448"/>
    </row>
    <row r="719" spans="1:66" ht="11.25" customHeight="1">
      <c r="A719" s="469"/>
      <c r="B719" s="447"/>
      <c r="C719" s="447"/>
      <c r="D719" s="447"/>
      <c r="E719" s="447"/>
      <c r="F719" s="447"/>
      <c r="G719" s="447"/>
      <c r="H719" s="447"/>
      <c r="I719" s="447"/>
      <c r="J719" s="447"/>
      <c r="K719" s="447"/>
      <c r="L719" s="447"/>
      <c r="M719" s="447"/>
      <c r="N719" s="447"/>
      <c r="O719" s="447"/>
      <c r="P719" s="447"/>
      <c r="Q719" s="447"/>
      <c r="R719" s="447"/>
      <c r="S719" s="447"/>
      <c r="T719" s="447"/>
      <c r="U719" s="447"/>
      <c r="V719" s="447"/>
      <c r="W719" s="447"/>
      <c r="X719" s="447"/>
      <c r="Y719" s="447"/>
      <c r="Z719" s="447"/>
      <c r="AA719" s="447"/>
      <c r="AB719" s="447"/>
      <c r="AC719" s="447"/>
      <c r="AD719" s="447"/>
      <c r="AE719" s="447"/>
      <c r="AF719" s="448"/>
      <c r="AG719" s="448"/>
      <c r="AH719" s="448"/>
      <c r="AI719" s="447"/>
      <c r="AJ719" s="447"/>
      <c r="AK719" s="447"/>
      <c r="AL719" s="447"/>
      <c r="AM719" s="447"/>
      <c r="AN719" s="447"/>
      <c r="AO719" s="447"/>
      <c r="AP719" s="447"/>
      <c r="AQ719" s="447"/>
      <c r="AR719" s="447"/>
      <c r="AS719" s="447"/>
      <c r="AT719" s="447"/>
      <c r="AU719" s="447"/>
      <c r="AV719" s="447"/>
      <c r="AW719" s="447"/>
      <c r="AX719" s="447"/>
      <c r="AY719" s="447"/>
      <c r="AZ719" s="447"/>
      <c r="BA719" s="447"/>
      <c r="BB719" s="447"/>
      <c r="BC719" s="447"/>
      <c r="BD719" s="447"/>
      <c r="BE719" s="447"/>
      <c r="BF719" s="447"/>
      <c r="BG719" s="447"/>
      <c r="BH719" s="447"/>
      <c r="BI719" s="447"/>
      <c r="BJ719" s="447"/>
      <c r="BK719" s="447"/>
      <c r="BL719" s="447"/>
      <c r="BM719" s="448"/>
      <c r="BN719" s="448"/>
    </row>
    <row r="720" spans="1:66" ht="11.25" customHeight="1">
      <c r="A720" s="469"/>
      <c r="B720" s="447"/>
      <c r="C720" s="447"/>
      <c r="D720" s="447"/>
      <c r="E720" s="447"/>
      <c r="F720" s="447"/>
      <c r="G720" s="447"/>
      <c r="H720" s="447"/>
      <c r="I720" s="447"/>
      <c r="J720" s="447"/>
      <c r="K720" s="447"/>
      <c r="L720" s="447"/>
      <c r="M720" s="447"/>
      <c r="N720" s="447"/>
      <c r="O720" s="447"/>
      <c r="P720" s="447"/>
      <c r="Q720" s="447"/>
      <c r="R720" s="447"/>
      <c r="S720" s="447"/>
      <c r="T720" s="447"/>
      <c r="U720" s="447"/>
      <c r="V720" s="447"/>
      <c r="W720" s="447"/>
      <c r="X720" s="447"/>
      <c r="Y720" s="447"/>
      <c r="Z720" s="447"/>
      <c r="AA720" s="447"/>
      <c r="AB720" s="447"/>
      <c r="AC720" s="447"/>
      <c r="AD720" s="447"/>
      <c r="AE720" s="447"/>
      <c r="AF720" s="448"/>
      <c r="AG720" s="448"/>
      <c r="AH720" s="448"/>
      <c r="AI720" s="447"/>
      <c r="AJ720" s="447"/>
      <c r="AK720" s="447"/>
      <c r="AL720" s="447"/>
      <c r="AM720" s="447"/>
      <c r="AN720" s="447"/>
      <c r="AO720" s="447"/>
      <c r="AP720" s="447"/>
      <c r="AQ720" s="447"/>
      <c r="AR720" s="447"/>
      <c r="AS720" s="447"/>
      <c r="AT720" s="447"/>
      <c r="AU720" s="447"/>
      <c r="AV720" s="447"/>
      <c r="AW720" s="447"/>
      <c r="AX720" s="447"/>
      <c r="AY720" s="447"/>
      <c r="AZ720" s="447"/>
      <c r="BA720" s="447"/>
      <c r="BB720" s="447"/>
      <c r="BC720" s="447"/>
      <c r="BD720" s="447"/>
      <c r="BE720" s="447"/>
      <c r="BF720" s="447"/>
      <c r="BG720" s="447"/>
      <c r="BH720" s="447"/>
      <c r="BI720" s="447"/>
      <c r="BJ720" s="447"/>
      <c r="BK720" s="447"/>
      <c r="BL720" s="447"/>
      <c r="BM720" s="448"/>
      <c r="BN720" s="448"/>
    </row>
    <row r="721" spans="1:66" ht="11.25" customHeight="1">
      <c r="A721" s="469"/>
      <c r="B721" s="447"/>
      <c r="C721" s="447"/>
      <c r="D721" s="447"/>
      <c r="E721" s="447"/>
      <c r="F721" s="447"/>
      <c r="G721" s="447"/>
      <c r="H721" s="447"/>
      <c r="I721" s="447"/>
      <c r="J721" s="447"/>
      <c r="K721" s="447"/>
      <c r="L721" s="447"/>
      <c r="M721" s="447"/>
      <c r="N721" s="447"/>
      <c r="O721" s="447"/>
      <c r="P721" s="447"/>
      <c r="Q721" s="447"/>
      <c r="R721" s="447"/>
      <c r="S721" s="447"/>
      <c r="T721" s="447"/>
      <c r="U721" s="447"/>
      <c r="V721" s="447"/>
      <c r="W721" s="447"/>
      <c r="X721" s="447"/>
      <c r="Y721" s="447"/>
      <c r="Z721" s="447"/>
      <c r="AA721" s="447"/>
      <c r="AB721" s="447"/>
      <c r="AC721" s="447"/>
      <c r="AD721" s="447"/>
      <c r="AE721" s="447"/>
      <c r="AF721" s="448"/>
      <c r="AG721" s="448"/>
      <c r="AH721" s="448"/>
      <c r="AI721" s="447"/>
      <c r="AJ721" s="447"/>
      <c r="AK721" s="447"/>
      <c r="AL721" s="447"/>
      <c r="AM721" s="447"/>
      <c r="AN721" s="447"/>
      <c r="AO721" s="447"/>
      <c r="AP721" s="447"/>
      <c r="AQ721" s="447"/>
      <c r="AR721" s="447"/>
      <c r="AS721" s="447"/>
      <c r="AT721" s="447"/>
      <c r="AU721" s="447"/>
      <c r="AV721" s="447"/>
      <c r="AW721" s="447"/>
      <c r="AX721" s="447"/>
      <c r="AY721" s="447"/>
      <c r="AZ721" s="447"/>
      <c r="BA721" s="447"/>
      <c r="BB721" s="447"/>
      <c r="BC721" s="447"/>
      <c r="BD721" s="447"/>
      <c r="BE721" s="447"/>
      <c r="BF721" s="447"/>
      <c r="BG721" s="447"/>
      <c r="BH721" s="447"/>
      <c r="BI721" s="447"/>
      <c r="BJ721" s="447"/>
      <c r="BK721" s="447"/>
      <c r="BL721" s="447"/>
      <c r="BM721" s="448"/>
      <c r="BN721" s="448"/>
    </row>
    <row r="722" spans="1:66" ht="11.25" customHeight="1">
      <c r="A722" s="469"/>
      <c r="B722" s="447"/>
      <c r="C722" s="447"/>
      <c r="D722" s="447"/>
      <c r="E722" s="447"/>
      <c r="F722" s="447"/>
      <c r="G722" s="447"/>
      <c r="H722" s="447"/>
      <c r="I722" s="447"/>
      <c r="J722" s="447"/>
      <c r="K722" s="447"/>
      <c r="L722" s="447"/>
      <c r="M722" s="447"/>
      <c r="N722" s="447"/>
      <c r="O722" s="447"/>
      <c r="P722" s="447"/>
      <c r="Q722" s="447"/>
      <c r="R722" s="447"/>
      <c r="S722" s="447"/>
      <c r="T722" s="447"/>
      <c r="U722" s="447"/>
      <c r="V722" s="447"/>
      <c r="W722" s="447"/>
      <c r="X722" s="447"/>
      <c r="Y722" s="447"/>
      <c r="Z722" s="447"/>
      <c r="AA722" s="447"/>
      <c r="AB722" s="447"/>
      <c r="AC722" s="447"/>
      <c r="AD722" s="447"/>
      <c r="AE722" s="447"/>
      <c r="AF722" s="448"/>
      <c r="AG722" s="448"/>
      <c r="AH722" s="448"/>
      <c r="AI722" s="447"/>
      <c r="AJ722" s="447"/>
      <c r="AK722" s="447"/>
      <c r="AL722" s="447"/>
      <c r="AM722" s="447"/>
      <c r="AN722" s="447"/>
      <c r="AO722" s="447"/>
      <c r="AP722" s="447"/>
      <c r="AQ722" s="447"/>
      <c r="AR722" s="447"/>
      <c r="AS722" s="447"/>
      <c r="AT722" s="447"/>
      <c r="AU722" s="447"/>
      <c r="AV722" s="447"/>
      <c r="AW722" s="447"/>
      <c r="AX722" s="447"/>
      <c r="AY722" s="447"/>
      <c r="AZ722" s="447"/>
      <c r="BA722" s="447"/>
      <c r="BB722" s="447"/>
      <c r="BC722" s="447"/>
      <c r="BD722" s="447"/>
      <c r="BE722" s="447"/>
      <c r="BF722" s="447"/>
      <c r="BG722" s="447"/>
      <c r="BH722" s="447"/>
      <c r="BI722" s="447"/>
      <c r="BJ722" s="447"/>
      <c r="BK722" s="447"/>
      <c r="BL722" s="447"/>
      <c r="BM722" s="448"/>
      <c r="BN722" s="448"/>
    </row>
    <row r="723" spans="1:66" ht="11.25" customHeight="1">
      <c r="A723" s="469"/>
      <c r="B723" s="447"/>
      <c r="C723" s="447"/>
      <c r="D723" s="447"/>
      <c r="E723" s="447"/>
      <c r="F723" s="447"/>
      <c r="G723" s="447"/>
      <c r="H723" s="447"/>
      <c r="I723" s="447"/>
      <c r="J723" s="447"/>
      <c r="K723" s="447"/>
      <c r="L723" s="447"/>
      <c r="M723" s="447"/>
      <c r="N723" s="447"/>
      <c r="O723" s="447"/>
      <c r="P723" s="447"/>
      <c r="Q723" s="447"/>
      <c r="R723" s="447"/>
      <c r="S723" s="447"/>
      <c r="T723" s="447"/>
      <c r="U723" s="447"/>
      <c r="V723" s="447"/>
      <c r="W723" s="447"/>
      <c r="X723" s="447"/>
      <c r="Y723" s="447"/>
      <c r="Z723" s="447"/>
      <c r="AA723" s="447"/>
      <c r="AB723" s="447"/>
      <c r="AC723" s="447"/>
      <c r="AD723" s="447"/>
      <c r="AE723" s="447"/>
      <c r="AF723" s="448"/>
      <c r="AG723" s="448"/>
      <c r="AH723" s="448"/>
      <c r="AI723" s="447"/>
      <c r="AJ723" s="447"/>
      <c r="AK723" s="447"/>
      <c r="AL723" s="447"/>
      <c r="AM723" s="447"/>
      <c r="AN723" s="447"/>
      <c r="AO723" s="447"/>
      <c r="AP723" s="447"/>
      <c r="AQ723" s="447"/>
      <c r="AR723" s="447"/>
      <c r="AS723" s="447"/>
      <c r="AT723" s="447"/>
      <c r="AU723" s="447"/>
      <c r="AV723" s="447"/>
      <c r="AW723" s="447"/>
      <c r="AX723" s="447"/>
      <c r="AY723" s="447"/>
      <c r="AZ723" s="447"/>
      <c r="BA723" s="447"/>
      <c r="BB723" s="447"/>
      <c r="BC723" s="447"/>
      <c r="BD723" s="447"/>
      <c r="BE723" s="447"/>
      <c r="BF723" s="447"/>
      <c r="BG723" s="447"/>
      <c r="BH723" s="447"/>
      <c r="BI723" s="447"/>
      <c r="BJ723" s="447"/>
      <c r="BK723" s="447"/>
      <c r="BL723" s="447"/>
      <c r="BM723" s="448"/>
      <c r="BN723" s="448"/>
    </row>
    <row r="724" spans="1:66" ht="11.25" customHeight="1">
      <c r="A724" s="469"/>
      <c r="B724" s="447"/>
      <c r="C724" s="447"/>
      <c r="D724" s="447"/>
      <c r="E724" s="447"/>
      <c r="F724" s="447"/>
      <c r="G724" s="447"/>
      <c r="H724" s="447"/>
      <c r="I724" s="447"/>
      <c r="J724" s="447"/>
      <c r="K724" s="447"/>
      <c r="L724" s="447"/>
      <c r="M724" s="447"/>
      <c r="N724" s="447"/>
      <c r="O724" s="447"/>
      <c r="P724" s="447"/>
      <c r="Q724" s="447"/>
      <c r="R724" s="447"/>
      <c r="S724" s="447"/>
      <c r="T724" s="447"/>
      <c r="U724" s="447"/>
      <c r="V724" s="447"/>
      <c r="W724" s="447"/>
      <c r="X724" s="447"/>
      <c r="Y724" s="447"/>
      <c r="Z724" s="447"/>
      <c r="AA724" s="447"/>
      <c r="AB724" s="447"/>
      <c r="AC724" s="447"/>
      <c r="AD724" s="447"/>
      <c r="AE724" s="447"/>
      <c r="AF724" s="448"/>
      <c r="AG724" s="448"/>
      <c r="AH724" s="448"/>
      <c r="AI724" s="447"/>
      <c r="AJ724" s="447"/>
      <c r="AK724" s="447"/>
      <c r="AL724" s="447"/>
      <c r="AM724" s="447"/>
      <c r="AN724" s="447"/>
      <c r="AO724" s="447"/>
      <c r="AP724" s="447"/>
      <c r="AQ724" s="447"/>
      <c r="AR724" s="447"/>
      <c r="AS724" s="447"/>
      <c r="AT724" s="447"/>
      <c r="AU724" s="447"/>
      <c r="AV724" s="447"/>
      <c r="AW724" s="447"/>
      <c r="AX724" s="447"/>
      <c r="AY724" s="447"/>
      <c r="AZ724" s="447"/>
      <c r="BA724" s="447"/>
      <c r="BB724" s="447"/>
      <c r="BC724" s="447"/>
      <c r="BD724" s="447"/>
      <c r="BE724" s="447"/>
      <c r="BF724" s="447"/>
      <c r="BG724" s="447"/>
      <c r="BH724" s="447"/>
      <c r="BI724" s="447"/>
      <c r="BJ724" s="447"/>
      <c r="BK724" s="447"/>
      <c r="BL724" s="447"/>
      <c r="BM724" s="448"/>
      <c r="BN724" s="448"/>
    </row>
    <row r="725" spans="1:66" ht="11.25" customHeight="1">
      <c r="A725" s="469"/>
      <c r="B725" s="447"/>
      <c r="C725" s="447"/>
      <c r="D725" s="447"/>
      <c r="E725" s="447"/>
      <c r="F725" s="447"/>
      <c r="G725" s="447"/>
      <c r="H725" s="447"/>
      <c r="I725" s="447"/>
      <c r="J725" s="447"/>
      <c r="K725" s="447"/>
      <c r="L725" s="447"/>
      <c r="M725" s="447"/>
      <c r="N725" s="447"/>
      <c r="O725" s="447"/>
      <c r="P725" s="447"/>
      <c r="Q725" s="447"/>
      <c r="R725" s="447"/>
      <c r="S725" s="447"/>
      <c r="T725" s="447"/>
      <c r="U725" s="447"/>
      <c r="V725" s="447"/>
      <c r="W725" s="447"/>
      <c r="X725" s="447"/>
      <c r="Y725" s="447"/>
      <c r="Z725" s="447"/>
      <c r="AA725" s="447"/>
      <c r="AB725" s="447"/>
      <c r="AC725" s="447"/>
      <c r="AD725" s="447"/>
      <c r="AE725" s="447"/>
      <c r="AF725" s="448"/>
      <c r="AG725" s="448"/>
      <c r="AH725" s="448"/>
      <c r="AI725" s="447"/>
      <c r="AJ725" s="447"/>
      <c r="AK725" s="447"/>
      <c r="AL725" s="447"/>
      <c r="AM725" s="447"/>
      <c r="AN725" s="447"/>
      <c r="AO725" s="447"/>
      <c r="AP725" s="447"/>
      <c r="AQ725" s="447"/>
      <c r="AR725" s="447"/>
      <c r="AS725" s="447"/>
      <c r="AT725" s="447"/>
      <c r="AU725" s="447"/>
      <c r="AV725" s="447"/>
      <c r="AW725" s="447"/>
      <c r="AX725" s="447"/>
      <c r="AY725" s="447"/>
      <c r="AZ725" s="447"/>
      <c r="BA725" s="447"/>
      <c r="BB725" s="447"/>
      <c r="BC725" s="447"/>
      <c r="BD725" s="447"/>
      <c r="BE725" s="447"/>
      <c r="BF725" s="447"/>
      <c r="BG725" s="447"/>
      <c r="BH725" s="447"/>
      <c r="BI725" s="447"/>
      <c r="BJ725" s="447"/>
      <c r="BK725" s="447"/>
      <c r="BL725" s="447"/>
      <c r="BM725" s="448"/>
      <c r="BN725" s="448"/>
    </row>
    <row r="726" spans="1:66" ht="11.25" customHeight="1">
      <c r="A726" s="469"/>
      <c r="B726" s="447"/>
      <c r="C726" s="447"/>
      <c r="D726" s="447"/>
      <c r="E726" s="447"/>
      <c r="F726" s="447"/>
      <c r="G726" s="447"/>
      <c r="H726" s="447"/>
      <c r="I726" s="447"/>
      <c r="J726" s="447"/>
      <c r="K726" s="447"/>
      <c r="L726" s="447"/>
      <c r="M726" s="447"/>
      <c r="N726" s="447"/>
      <c r="O726" s="447"/>
      <c r="P726" s="447"/>
      <c r="Q726" s="447"/>
      <c r="R726" s="447"/>
      <c r="S726" s="447"/>
      <c r="T726" s="447"/>
      <c r="U726" s="447"/>
      <c r="V726" s="447"/>
      <c r="W726" s="447"/>
      <c r="X726" s="447"/>
      <c r="Y726" s="447"/>
      <c r="Z726" s="447"/>
      <c r="AA726" s="447"/>
      <c r="AB726" s="447"/>
      <c r="AC726" s="447"/>
      <c r="AD726" s="447"/>
      <c r="AE726" s="447"/>
      <c r="AF726" s="448"/>
      <c r="AG726" s="448"/>
      <c r="AH726" s="448"/>
      <c r="AI726" s="447"/>
      <c r="AJ726" s="447"/>
      <c r="AK726" s="447"/>
      <c r="AL726" s="447"/>
      <c r="AM726" s="447"/>
      <c r="AN726" s="447"/>
      <c r="AO726" s="447"/>
      <c r="AP726" s="447"/>
      <c r="AQ726" s="447"/>
      <c r="AR726" s="447"/>
      <c r="AS726" s="447"/>
      <c r="AT726" s="447"/>
      <c r="AU726" s="447"/>
      <c r="AV726" s="447"/>
      <c r="AW726" s="447"/>
      <c r="AX726" s="447"/>
      <c r="AY726" s="447"/>
      <c r="AZ726" s="447"/>
      <c r="BA726" s="447"/>
      <c r="BB726" s="447"/>
      <c r="BC726" s="447"/>
      <c r="BD726" s="447"/>
      <c r="BE726" s="447"/>
      <c r="BF726" s="447"/>
      <c r="BG726" s="447"/>
      <c r="BH726" s="447"/>
      <c r="BI726" s="447"/>
      <c r="BJ726" s="447"/>
      <c r="BK726" s="447"/>
      <c r="BL726" s="447"/>
      <c r="BM726" s="448"/>
      <c r="BN726" s="448"/>
    </row>
    <row r="727" spans="1:66" ht="11.25" customHeight="1">
      <c r="A727" s="469"/>
      <c r="B727" s="447"/>
      <c r="C727" s="447"/>
      <c r="D727" s="447"/>
      <c r="E727" s="447"/>
      <c r="F727" s="447"/>
      <c r="G727" s="447"/>
      <c r="H727" s="447"/>
      <c r="I727" s="447"/>
      <c r="J727" s="447"/>
      <c r="K727" s="447"/>
      <c r="L727" s="447"/>
      <c r="M727" s="447"/>
      <c r="N727" s="447"/>
      <c r="O727" s="447"/>
      <c r="P727" s="447"/>
      <c r="Q727" s="447"/>
      <c r="R727" s="447"/>
      <c r="S727" s="447"/>
      <c r="T727" s="447"/>
      <c r="U727" s="447"/>
      <c r="V727" s="447"/>
      <c r="W727" s="447"/>
      <c r="X727" s="447"/>
      <c r="Y727" s="447"/>
      <c r="Z727" s="447"/>
      <c r="AA727" s="447"/>
      <c r="AB727" s="447"/>
      <c r="AC727" s="447"/>
      <c r="AD727" s="447"/>
      <c r="AE727" s="447"/>
      <c r="AF727" s="448"/>
      <c r="AG727" s="448"/>
      <c r="AH727" s="448"/>
      <c r="AI727" s="447"/>
      <c r="AJ727" s="447"/>
      <c r="AK727" s="447"/>
      <c r="AL727" s="447"/>
      <c r="AM727" s="447"/>
      <c r="AN727" s="447"/>
      <c r="AO727" s="447"/>
      <c r="AP727" s="447"/>
      <c r="AQ727" s="447"/>
      <c r="AR727" s="447"/>
      <c r="AS727" s="447"/>
      <c r="AT727" s="447"/>
      <c r="AU727" s="447"/>
      <c r="AV727" s="447"/>
      <c r="AW727" s="447"/>
      <c r="AX727" s="447"/>
      <c r="AY727" s="447"/>
      <c r="AZ727" s="447"/>
      <c r="BA727" s="447"/>
      <c r="BB727" s="447"/>
      <c r="BC727" s="447"/>
      <c r="BD727" s="447"/>
      <c r="BE727" s="447"/>
      <c r="BF727" s="447"/>
      <c r="BG727" s="447"/>
      <c r="BH727" s="447"/>
      <c r="BI727" s="447"/>
      <c r="BJ727" s="447"/>
      <c r="BK727" s="447"/>
      <c r="BL727" s="447"/>
      <c r="BM727" s="448"/>
      <c r="BN727" s="448"/>
    </row>
    <row r="728" spans="1:66" ht="11.25" customHeight="1">
      <c r="A728" s="469"/>
      <c r="B728" s="447"/>
      <c r="C728" s="447"/>
      <c r="D728" s="447"/>
      <c r="E728" s="447"/>
      <c r="F728" s="447"/>
      <c r="G728" s="447"/>
      <c r="H728" s="447"/>
      <c r="I728" s="447"/>
      <c r="J728" s="447"/>
      <c r="K728" s="447"/>
      <c r="L728" s="447"/>
      <c r="M728" s="447"/>
      <c r="N728" s="447"/>
      <c r="O728" s="447"/>
      <c r="P728" s="447"/>
      <c r="Q728" s="447"/>
      <c r="R728" s="447"/>
      <c r="S728" s="447"/>
      <c r="T728" s="447"/>
      <c r="U728" s="447"/>
      <c r="V728" s="447"/>
      <c r="W728" s="447"/>
      <c r="X728" s="447"/>
      <c r="Y728" s="447"/>
      <c r="Z728" s="447"/>
      <c r="AA728" s="447"/>
      <c r="AB728" s="447"/>
      <c r="AC728" s="447"/>
      <c r="AD728" s="447"/>
      <c r="AE728" s="447"/>
      <c r="AF728" s="448"/>
      <c r="AG728" s="448"/>
      <c r="AH728" s="448"/>
      <c r="AI728" s="447"/>
      <c r="AJ728" s="447"/>
      <c r="AK728" s="447"/>
      <c r="AL728" s="447"/>
      <c r="AM728" s="447"/>
      <c r="AN728" s="447"/>
      <c r="AO728" s="447"/>
      <c r="AP728" s="447"/>
      <c r="AQ728" s="447"/>
      <c r="AR728" s="447"/>
      <c r="AS728" s="447"/>
      <c r="AT728" s="447"/>
      <c r="AU728" s="447"/>
      <c r="AV728" s="447"/>
      <c r="AW728" s="447"/>
      <c r="AX728" s="447"/>
      <c r="AY728" s="447"/>
      <c r="AZ728" s="447"/>
      <c r="BA728" s="447"/>
      <c r="BB728" s="447"/>
      <c r="BC728" s="447"/>
      <c r="BD728" s="447"/>
      <c r="BE728" s="447"/>
      <c r="BF728" s="447"/>
      <c r="BG728" s="447"/>
      <c r="BH728" s="447"/>
      <c r="BI728" s="447"/>
      <c r="BJ728" s="447"/>
      <c r="BK728" s="447"/>
      <c r="BL728" s="447"/>
      <c r="BM728" s="448"/>
      <c r="BN728" s="448"/>
    </row>
    <row r="729" spans="1:66" ht="11.25" customHeight="1">
      <c r="A729" s="469"/>
      <c r="B729" s="447"/>
      <c r="C729" s="447"/>
      <c r="D729" s="447"/>
      <c r="E729" s="447"/>
      <c r="F729" s="447"/>
      <c r="G729" s="447"/>
      <c r="H729" s="447"/>
      <c r="I729" s="447"/>
      <c r="J729" s="447"/>
      <c r="K729" s="447"/>
      <c r="L729" s="447"/>
      <c r="M729" s="447"/>
      <c r="N729" s="447"/>
      <c r="O729" s="447"/>
      <c r="P729" s="447"/>
      <c r="Q729" s="447"/>
      <c r="R729" s="447"/>
      <c r="S729" s="447"/>
      <c r="T729" s="447"/>
      <c r="U729" s="447"/>
      <c r="V729" s="447"/>
      <c r="W729" s="447"/>
      <c r="X729" s="447"/>
      <c r="Y729" s="447"/>
      <c r="Z729" s="447"/>
      <c r="AA729" s="447"/>
      <c r="AB729" s="447"/>
      <c r="AC729" s="447"/>
      <c r="AD729" s="447"/>
      <c r="AE729" s="447"/>
      <c r="AF729" s="448"/>
      <c r="AG729" s="448"/>
      <c r="AH729" s="448"/>
      <c r="AI729" s="447"/>
      <c r="AJ729" s="447"/>
      <c r="AK729" s="447"/>
      <c r="AL729" s="447"/>
      <c r="AM729" s="447"/>
      <c r="AN729" s="447"/>
      <c r="AO729" s="447"/>
      <c r="AP729" s="447"/>
      <c r="AQ729" s="447"/>
      <c r="AR729" s="447"/>
      <c r="AS729" s="447"/>
      <c r="AT729" s="447"/>
      <c r="AU729" s="447"/>
      <c r="AV729" s="447"/>
      <c r="AW729" s="447"/>
      <c r="AX729" s="447"/>
      <c r="AY729" s="447"/>
      <c r="AZ729" s="447"/>
      <c r="BA729" s="447"/>
      <c r="BB729" s="447"/>
      <c r="BC729" s="447"/>
      <c r="BD729" s="447"/>
      <c r="BE729" s="447"/>
      <c r="BF729" s="447"/>
      <c r="BG729" s="447"/>
      <c r="BH729" s="447"/>
      <c r="BI729" s="447"/>
      <c r="BJ729" s="447"/>
      <c r="BK729" s="447"/>
      <c r="BL729" s="447"/>
      <c r="BM729" s="448"/>
      <c r="BN729" s="448"/>
    </row>
    <row r="730" spans="1:66" ht="11.25" customHeight="1">
      <c r="A730" s="469"/>
      <c r="B730" s="447"/>
      <c r="C730" s="447"/>
      <c r="D730" s="447"/>
      <c r="E730" s="447"/>
      <c r="F730" s="447"/>
      <c r="G730" s="447"/>
      <c r="H730" s="447"/>
      <c r="I730" s="447"/>
      <c r="J730" s="447"/>
      <c r="K730" s="447"/>
      <c r="L730" s="447"/>
      <c r="M730" s="447"/>
      <c r="N730" s="447"/>
      <c r="O730" s="447"/>
      <c r="P730" s="447"/>
      <c r="Q730" s="447"/>
      <c r="R730" s="447"/>
      <c r="S730" s="447"/>
      <c r="T730" s="447"/>
      <c r="U730" s="447"/>
      <c r="V730" s="447"/>
      <c r="W730" s="447"/>
      <c r="X730" s="447"/>
      <c r="Y730" s="447"/>
      <c r="Z730" s="447"/>
      <c r="AA730" s="447"/>
      <c r="AB730" s="447"/>
      <c r="AC730" s="447"/>
      <c r="AD730" s="447"/>
      <c r="AE730" s="447"/>
      <c r="AF730" s="448"/>
      <c r="AG730" s="448"/>
      <c r="AH730" s="448"/>
      <c r="AI730" s="447"/>
      <c r="AJ730" s="447"/>
      <c r="AK730" s="447"/>
      <c r="AL730" s="447"/>
      <c r="AM730" s="447"/>
      <c r="AN730" s="447"/>
      <c r="AO730" s="447"/>
      <c r="AP730" s="447"/>
      <c r="AQ730" s="447"/>
      <c r="AR730" s="447"/>
      <c r="AS730" s="447"/>
      <c r="AT730" s="447"/>
      <c r="AU730" s="447"/>
      <c r="AV730" s="447"/>
      <c r="AW730" s="447"/>
      <c r="AX730" s="447"/>
      <c r="AY730" s="447"/>
      <c r="AZ730" s="447"/>
      <c r="BA730" s="447"/>
      <c r="BB730" s="447"/>
      <c r="BC730" s="447"/>
      <c r="BD730" s="447"/>
      <c r="BE730" s="447"/>
      <c r="BF730" s="447"/>
      <c r="BG730" s="447"/>
      <c r="BH730" s="447"/>
      <c r="BI730" s="447"/>
      <c r="BJ730" s="447"/>
      <c r="BK730" s="447"/>
      <c r="BL730" s="447"/>
      <c r="BM730" s="448"/>
      <c r="BN730" s="448"/>
    </row>
    <row r="731" spans="1:66" ht="11.25" customHeight="1">
      <c r="A731" s="469"/>
      <c r="B731" s="447"/>
      <c r="C731" s="447"/>
      <c r="D731" s="447"/>
      <c r="E731" s="447"/>
      <c r="F731" s="447"/>
      <c r="G731" s="447"/>
      <c r="H731" s="447"/>
      <c r="I731" s="447"/>
      <c r="J731" s="447"/>
      <c r="K731" s="447"/>
      <c r="L731" s="447"/>
      <c r="M731" s="447"/>
      <c r="N731" s="447"/>
      <c r="O731" s="447"/>
      <c r="P731" s="447"/>
      <c r="Q731" s="447"/>
      <c r="R731" s="447"/>
      <c r="S731" s="447"/>
      <c r="T731" s="447"/>
      <c r="U731" s="447"/>
      <c r="V731" s="447"/>
      <c r="W731" s="447"/>
      <c r="X731" s="447"/>
      <c r="Y731" s="447"/>
      <c r="Z731" s="447"/>
      <c r="AA731" s="447"/>
      <c r="AB731" s="447"/>
      <c r="AC731" s="447"/>
      <c r="AD731" s="447"/>
      <c r="AE731" s="447"/>
      <c r="AF731" s="448"/>
      <c r="AG731" s="448"/>
      <c r="AH731" s="448"/>
      <c r="AI731" s="447"/>
      <c r="AJ731" s="447"/>
      <c r="AK731" s="447"/>
      <c r="AL731" s="447"/>
      <c r="AM731" s="447"/>
      <c r="AN731" s="447"/>
      <c r="AO731" s="447"/>
      <c r="AP731" s="447"/>
      <c r="AQ731" s="447"/>
      <c r="AR731" s="447"/>
      <c r="AS731" s="447"/>
      <c r="AT731" s="447"/>
      <c r="AU731" s="447"/>
      <c r="AV731" s="447"/>
      <c r="AW731" s="447"/>
      <c r="AX731" s="447"/>
      <c r="AY731" s="447"/>
      <c r="AZ731" s="447"/>
      <c r="BA731" s="447"/>
      <c r="BB731" s="447"/>
      <c r="BC731" s="447"/>
      <c r="BD731" s="447"/>
      <c r="BE731" s="447"/>
      <c r="BF731" s="447"/>
      <c r="BG731" s="447"/>
      <c r="BH731" s="447"/>
      <c r="BI731" s="447"/>
      <c r="BJ731" s="447"/>
      <c r="BK731" s="447"/>
      <c r="BL731" s="447"/>
      <c r="BM731" s="448"/>
      <c r="BN731" s="448"/>
    </row>
    <row r="732" spans="1:66" ht="11.25" customHeight="1">
      <c r="A732" s="469"/>
      <c r="B732" s="447"/>
      <c r="C732" s="447"/>
      <c r="D732" s="447"/>
      <c r="E732" s="447"/>
      <c r="F732" s="447"/>
      <c r="G732" s="447"/>
      <c r="H732" s="447"/>
      <c r="I732" s="447"/>
      <c r="J732" s="447"/>
      <c r="K732" s="447"/>
      <c r="L732" s="447"/>
      <c r="M732" s="447"/>
      <c r="N732" s="447"/>
      <c r="O732" s="447"/>
      <c r="P732" s="447"/>
      <c r="Q732" s="447"/>
      <c r="R732" s="447"/>
      <c r="S732" s="447"/>
      <c r="T732" s="447"/>
      <c r="U732" s="447"/>
      <c r="V732" s="447"/>
      <c r="W732" s="447"/>
      <c r="X732" s="447"/>
      <c r="Y732" s="447"/>
      <c r="Z732" s="447"/>
      <c r="AA732" s="447"/>
      <c r="AB732" s="447"/>
      <c r="AC732" s="447"/>
      <c r="AD732" s="447"/>
      <c r="AE732" s="447"/>
      <c r="AF732" s="448"/>
      <c r="AG732" s="448"/>
      <c r="AH732" s="448"/>
      <c r="AI732" s="447"/>
      <c r="AJ732" s="447"/>
      <c r="AK732" s="447"/>
      <c r="AL732" s="447"/>
      <c r="AM732" s="447"/>
      <c r="AN732" s="447"/>
      <c r="AO732" s="447"/>
      <c r="AP732" s="447"/>
      <c r="AQ732" s="447"/>
      <c r="AR732" s="447"/>
      <c r="AS732" s="447"/>
      <c r="AT732" s="447"/>
      <c r="AU732" s="447"/>
      <c r="AV732" s="447"/>
      <c r="AW732" s="447"/>
      <c r="AX732" s="447"/>
      <c r="AY732" s="447"/>
      <c r="AZ732" s="447"/>
      <c r="BA732" s="447"/>
      <c r="BB732" s="447"/>
      <c r="BC732" s="447"/>
      <c r="BD732" s="447"/>
      <c r="BE732" s="447"/>
      <c r="BF732" s="447"/>
      <c r="BG732" s="447"/>
      <c r="BH732" s="447"/>
      <c r="BI732" s="447"/>
      <c r="BJ732" s="447"/>
      <c r="BK732" s="447"/>
      <c r="BL732" s="447"/>
      <c r="BM732" s="448"/>
      <c r="BN732" s="448"/>
    </row>
    <row r="733" spans="1:66" ht="11.25" customHeight="1">
      <c r="A733" s="469"/>
      <c r="B733" s="447"/>
      <c r="C733" s="447"/>
      <c r="D733" s="447"/>
      <c r="E733" s="447"/>
      <c r="F733" s="447"/>
      <c r="G733" s="447"/>
      <c r="H733" s="447"/>
      <c r="I733" s="447"/>
      <c r="J733" s="447"/>
      <c r="K733" s="447"/>
      <c r="L733" s="447"/>
      <c r="M733" s="447"/>
      <c r="N733" s="447"/>
      <c r="O733" s="447"/>
      <c r="P733" s="447"/>
      <c r="Q733" s="447"/>
      <c r="R733" s="447"/>
      <c r="S733" s="447"/>
      <c r="T733" s="447"/>
      <c r="U733" s="447"/>
      <c r="V733" s="447"/>
      <c r="W733" s="447"/>
      <c r="X733" s="447"/>
      <c r="Y733" s="447"/>
      <c r="Z733" s="447"/>
      <c r="AA733" s="447"/>
      <c r="AB733" s="447"/>
      <c r="AC733" s="447"/>
      <c r="AD733" s="447"/>
      <c r="AE733" s="447"/>
      <c r="AF733" s="448"/>
      <c r="AG733" s="448"/>
      <c r="AH733" s="448"/>
      <c r="AI733" s="447"/>
      <c r="AJ733" s="447"/>
      <c r="AK733" s="447"/>
      <c r="AL733" s="447"/>
      <c r="AM733" s="447"/>
      <c r="AN733" s="447"/>
      <c r="AO733" s="447"/>
      <c r="AP733" s="447"/>
      <c r="AQ733" s="447"/>
      <c r="AR733" s="447"/>
      <c r="AS733" s="447"/>
      <c r="AT733" s="447"/>
      <c r="AU733" s="447"/>
      <c r="AV733" s="447"/>
      <c r="AW733" s="447"/>
      <c r="AX733" s="447"/>
      <c r="AY733" s="447"/>
      <c r="AZ733" s="447"/>
      <c r="BA733" s="447"/>
      <c r="BB733" s="447"/>
      <c r="BC733" s="447"/>
      <c r="BD733" s="447"/>
      <c r="BE733" s="447"/>
      <c r="BF733" s="447"/>
      <c r="BG733" s="447"/>
      <c r="BH733" s="447"/>
      <c r="BI733" s="447"/>
      <c r="BJ733" s="447"/>
      <c r="BK733" s="447"/>
      <c r="BL733" s="447"/>
      <c r="BM733" s="448"/>
      <c r="BN733" s="448"/>
    </row>
    <row r="734" spans="1:66" ht="11.25" customHeight="1">
      <c r="A734" s="469"/>
      <c r="B734" s="447"/>
      <c r="C734" s="447"/>
      <c r="D734" s="447"/>
      <c r="E734" s="447"/>
      <c r="F734" s="447"/>
      <c r="G734" s="447"/>
      <c r="H734" s="447"/>
      <c r="I734" s="447"/>
      <c r="J734" s="447"/>
      <c r="K734" s="447"/>
      <c r="L734" s="447"/>
      <c r="M734" s="447"/>
      <c r="N734" s="447"/>
      <c r="O734" s="447"/>
      <c r="P734" s="447"/>
      <c r="Q734" s="447"/>
      <c r="R734" s="447"/>
      <c r="S734" s="447"/>
      <c r="T734" s="447"/>
      <c r="U734" s="447"/>
      <c r="V734" s="447"/>
      <c r="W734" s="447"/>
      <c r="X734" s="447"/>
      <c r="Y734" s="447"/>
      <c r="Z734" s="447"/>
      <c r="AA734" s="447"/>
      <c r="AB734" s="447"/>
      <c r="AC734" s="447"/>
      <c r="AD734" s="447"/>
      <c r="AE734" s="447"/>
      <c r="AF734" s="448"/>
      <c r="AG734" s="448"/>
      <c r="AH734" s="448"/>
      <c r="AI734" s="447"/>
      <c r="AJ734" s="447"/>
      <c r="AK734" s="447"/>
      <c r="AL734" s="447"/>
      <c r="AM734" s="447"/>
      <c r="AN734" s="447"/>
      <c r="AO734" s="447"/>
      <c r="AP734" s="447"/>
      <c r="AQ734" s="447"/>
      <c r="AR734" s="447"/>
      <c r="AS734" s="447"/>
      <c r="AT734" s="447"/>
      <c r="AU734" s="447"/>
      <c r="AV734" s="447"/>
      <c r="AW734" s="447"/>
      <c r="AX734" s="447"/>
      <c r="AY734" s="447"/>
      <c r="AZ734" s="447"/>
      <c r="BA734" s="447"/>
      <c r="BB734" s="447"/>
      <c r="BC734" s="447"/>
      <c r="BD734" s="447"/>
      <c r="BE734" s="447"/>
      <c r="BF734" s="447"/>
      <c r="BG734" s="447"/>
      <c r="BH734" s="447"/>
      <c r="BI734" s="447"/>
      <c r="BJ734" s="447"/>
      <c r="BK734" s="447"/>
      <c r="BL734" s="447"/>
      <c r="BM734" s="448"/>
      <c r="BN734" s="448"/>
    </row>
    <row r="735" spans="1:66" ht="11.25" customHeight="1">
      <c r="A735" s="469"/>
      <c r="B735" s="447"/>
      <c r="C735" s="447"/>
      <c r="D735" s="447"/>
      <c r="E735" s="447"/>
      <c r="F735" s="447"/>
      <c r="G735" s="447"/>
      <c r="H735" s="447"/>
      <c r="I735" s="447"/>
      <c r="J735" s="447"/>
      <c r="K735" s="447"/>
      <c r="L735" s="447"/>
      <c r="M735" s="447"/>
      <c r="N735" s="447"/>
      <c r="O735" s="447"/>
      <c r="P735" s="447"/>
      <c r="Q735" s="447"/>
      <c r="R735" s="447"/>
      <c r="S735" s="447"/>
      <c r="T735" s="447"/>
      <c r="U735" s="447"/>
      <c r="V735" s="447"/>
      <c r="W735" s="447"/>
      <c r="X735" s="447"/>
      <c r="Y735" s="447"/>
      <c r="Z735" s="447"/>
      <c r="AA735" s="447"/>
      <c r="AB735" s="447"/>
      <c r="AC735" s="447"/>
      <c r="AD735" s="447"/>
      <c r="AE735" s="447"/>
      <c r="AF735" s="448"/>
      <c r="AG735" s="448"/>
      <c r="AH735" s="448"/>
      <c r="AI735" s="447"/>
      <c r="AJ735" s="447"/>
      <c r="AK735" s="447"/>
      <c r="AL735" s="447"/>
      <c r="AM735" s="447"/>
      <c r="AN735" s="447"/>
      <c r="AO735" s="447"/>
      <c r="AP735" s="447"/>
      <c r="AQ735" s="447"/>
      <c r="AR735" s="447"/>
      <c r="AS735" s="447"/>
      <c r="AT735" s="447"/>
      <c r="AU735" s="447"/>
      <c r="AV735" s="447"/>
      <c r="AW735" s="447"/>
      <c r="AX735" s="447"/>
      <c r="AY735" s="447"/>
      <c r="AZ735" s="447"/>
      <c r="BA735" s="447"/>
      <c r="BB735" s="447"/>
      <c r="BC735" s="447"/>
      <c r="BD735" s="447"/>
      <c r="BE735" s="447"/>
      <c r="BF735" s="447"/>
      <c r="BG735" s="447"/>
      <c r="BH735" s="447"/>
      <c r="BI735" s="447"/>
      <c r="BJ735" s="447"/>
      <c r="BK735" s="447"/>
      <c r="BL735" s="447"/>
      <c r="BM735" s="448"/>
      <c r="BN735" s="448"/>
    </row>
    <row r="736" spans="1:66" ht="11.25" customHeight="1">
      <c r="A736" s="469"/>
      <c r="B736" s="447"/>
      <c r="C736" s="447"/>
      <c r="D736" s="447"/>
      <c r="E736" s="447"/>
      <c r="F736" s="447"/>
      <c r="G736" s="447"/>
      <c r="H736" s="447"/>
      <c r="I736" s="447"/>
      <c r="J736" s="447"/>
      <c r="K736" s="447"/>
      <c r="L736" s="447"/>
      <c r="M736" s="447"/>
      <c r="N736" s="447"/>
      <c r="O736" s="447"/>
      <c r="P736" s="447"/>
      <c r="Q736" s="447"/>
      <c r="R736" s="447"/>
      <c r="S736" s="447"/>
      <c r="T736" s="447"/>
      <c r="U736" s="447"/>
      <c r="V736" s="447"/>
      <c r="W736" s="447"/>
      <c r="X736" s="447"/>
      <c r="Y736" s="447"/>
      <c r="Z736" s="447"/>
      <c r="AA736" s="447"/>
      <c r="AB736" s="447"/>
      <c r="AC736" s="447"/>
      <c r="AD736" s="447"/>
      <c r="AE736" s="447"/>
      <c r="AF736" s="448"/>
      <c r="AG736" s="448"/>
      <c r="AH736" s="448"/>
      <c r="AI736" s="447"/>
      <c r="AJ736" s="447"/>
      <c r="AK736" s="447"/>
      <c r="AL736" s="447"/>
      <c r="AM736" s="447"/>
      <c r="AN736" s="447"/>
      <c r="AO736" s="447"/>
      <c r="AP736" s="447"/>
      <c r="AQ736" s="447"/>
      <c r="AR736" s="447"/>
      <c r="AS736" s="447"/>
      <c r="AT736" s="447"/>
      <c r="AU736" s="447"/>
      <c r="AV736" s="447"/>
      <c r="AW736" s="447"/>
      <c r="AX736" s="447"/>
      <c r="AY736" s="447"/>
      <c r="AZ736" s="447"/>
      <c r="BA736" s="447"/>
      <c r="BB736" s="447"/>
      <c r="BC736" s="447"/>
      <c r="BD736" s="447"/>
      <c r="BE736" s="447"/>
      <c r="BF736" s="447"/>
      <c r="BG736" s="447"/>
      <c r="BH736" s="447"/>
      <c r="BI736" s="447"/>
      <c r="BJ736" s="447"/>
      <c r="BK736" s="447"/>
      <c r="BL736" s="447"/>
      <c r="BM736" s="448"/>
      <c r="BN736" s="448"/>
    </row>
    <row r="737" spans="1:66" ht="11.25" customHeight="1">
      <c r="A737" s="469"/>
      <c r="B737" s="447"/>
      <c r="C737" s="447"/>
      <c r="D737" s="447"/>
      <c r="E737" s="447"/>
      <c r="F737" s="447"/>
      <c r="G737" s="447"/>
      <c r="H737" s="447"/>
      <c r="I737" s="447"/>
      <c r="J737" s="447"/>
      <c r="K737" s="447"/>
      <c r="L737" s="447"/>
      <c r="M737" s="447"/>
      <c r="N737" s="447"/>
      <c r="O737" s="447"/>
      <c r="P737" s="447"/>
      <c r="Q737" s="447"/>
      <c r="R737" s="447"/>
      <c r="S737" s="447"/>
      <c r="T737" s="447"/>
      <c r="U737" s="447"/>
      <c r="V737" s="447"/>
      <c r="W737" s="447"/>
      <c r="X737" s="447"/>
      <c r="Y737" s="447"/>
      <c r="Z737" s="447"/>
      <c r="AA737" s="447"/>
      <c r="AB737" s="447"/>
      <c r="AC737" s="447"/>
      <c r="AD737" s="447"/>
      <c r="AE737" s="447"/>
      <c r="AF737" s="448"/>
      <c r="AG737" s="448"/>
      <c r="AH737" s="448"/>
      <c r="AI737" s="447"/>
      <c r="AJ737" s="447"/>
      <c r="AK737" s="447"/>
      <c r="AL737" s="447"/>
      <c r="AM737" s="447"/>
      <c r="AN737" s="447"/>
      <c r="AO737" s="447"/>
      <c r="AP737" s="447"/>
      <c r="AQ737" s="447"/>
      <c r="AR737" s="447"/>
      <c r="AS737" s="447"/>
      <c r="AT737" s="447"/>
      <c r="AU737" s="447"/>
      <c r="AV737" s="447"/>
      <c r="AW737" s="447"/>
      <c r="AX737" s="447"/>
      <c r="AY737" s="447"/>
      <c r="AZ737" s="447"/>
      <c r="BA737" s="447"/>
      <c r="BB737" s="447"/>
      <c r="BC737" s="447"/>
      <c r="BD737" s="447"/>
      <c r="BE737" s="447"/>
      <c r="BF737" s="447"/>
      <c r="BG737" s="447"/>
      <c r="BH737" s="447"/>
      <c r="BI737" s="447"/>
      <c r="BJ737" s="447"/>
      <c r="BK737" s="447"/>
      <c r="BL737" s="447"/>
      <c r="BM737" s="448"/>
      <c r="BN737" s="448"/>
    </row>
    <row r="738" spans="1:66" ht="11.25" customHeight="1">
      <c r="A738" s="469"/>
      <c r="B738" s="447"/>
      <c r="C738" s="447"/>
      <c r="D738" s="447"/>
      <c r="E738" s="447"/>
      <c r="F738" s="447"/>
      <c r="G738" s="447"/>
      <c r="H738" s="447"/>
      <c r="I738" s="447"/>
      <c r="J738" s="447"/>
      <c r="K738" s="447"/>
      <c r="L738" s="447"/>
      <c r="M738" s="447"/>
      <c r="N738" s="447"/>
      <c r="O738" s="447"/>
      <c r="P738" s="447"/>
      <c r="Q738" s="447"/>
      <c r="R738" s="447"/>
      <c r="S738" s="447"/>
      <c r="T738" s="447"/>
      <c r="U738" s="447"/>
      <c r="V738" s="447"/>
      <c r="W738" s="447"/>
      <c r="X738" s="447"/>
      <c r="Y738" s="447"/>
      <c r="Z738" s="447"/>
      <c r="AA738" s="447"/>
      <c r="AB738" s="447"/>
      <c r="AC738" s="447"/>
      <c r="AD738" s="447"/>
      <c r="AE738" s="447"/>
      <c r="AF738" s="448"/>
      <c r="AG738" s="448"/>
      <c r="AH738" s="448"/>
      <c r="AI738" s="447"/>
      <c r="AJ738" s="447"/>
      <c r="AK738" s="447"/>
      <c r="AL738" s="447"/>
      <c r="AM738" s="447"/>
      <c r="AN738" s="447"/>
      <c r="AO738" s="447"/>
      <c r="AP738" s="447"/>
      <c r="AQ738" s="447"/>
      <c r="AR738" s="447"/>
      <c r="AS738" s="447"/>
      <c r="AT738" s="447"/>
      <c r="AU738" s="447"/>
      <c r="AV738" s="447"/>
      <c r="AW738" s="447"/>
      <c r="AX738" s="447"/>
      <c r="AY738" s="447"/>
      <c r="AZ738" s="447"/>
      <c r="BA738" s="447"/>
      <c r="BB738" s="447"/>
      <c r="BC738" s="447"/>
      <c r="BD738" s="447"/>
      <c r="BE738" s="447"/>
      <c r="BF738" s="447"/>
      <c r="BG738" s="447"/>
      <c r="BH738" s="447"/>
      <c r="BI738" s="447"/>
      <c r="BJ738" s="447"/>
      <c r="BK738" s="447"/>
      <c r="BL738" s="447"/>
      <c r="BM738" s="448"/>
      <c r="BN738" s="448"/>
    </row>
    <row r="739" spans="1:66" ht="11.25" customHeight="1">
      <c r="A739" s="469"/>
      <c r="B739" s="447"/>
      <c r="C739" s="447"/>
      <c r="D739" s="447"/>
      <c r="E739" s="447"/>
      <c r="F739" s="447"/>
      <c r="G739" s="447"/>
      <c r="H739" s="447"/>
      <c r="I739" s="447"/>
      <c r="J739" s="447"/>
      <c r="K739" s="447"/>
      <c r="L739" s="447"/>
      <c r="M739" s="447"/>
      <c r="N739" s="447"/>
      <c r="O739" s="447"/>
      <c r="P739" s="447"/>
      <c r="Q739" s="447"/>
      <c r="R739" s="447"/>
      <c r="S739" s="447"/>
      <c r="T739" s="447"/>
      <c r="U739" s="447"/>
      <c r="V739" s="447"/>
      <c r="W739" s="447"/>
      <c r="X739" s="447"/>
      <c r="Y739" s="447"/>
      <c r="Z739" s="447"/>
      <c r="AA739" s="447"/>
      <c r="AB739" s="447"/>
      <c r="AC739" s="447"/>
      <c r="AD739" s="447"/>
      <c r="AE739" s="447"/>
      <c r="AF739" s="448"/>
      <c r="AG739" s="448"/>
      <c r="AH739" s="448"/>
      <c r="AI739" s="447"/>
      <c r="AJ739" s="447"/>
      <c r="AK739" s="447"/>
      <c r="AL739" s="447"/>
      <c r="AM739" s="447"/>
      <c r="AN739" s="447"/>
      <c r="AO739" s="447"/>
      <c r="AP739" s="447"/>
      <c r="AQ739" s="447"/>
      <c r="AR739" s="447"/>
      <c r="AS739" s="447"/>
      <c r="AT739" s="447"/>
      <c r="AU739" s="447"/>
      <c r="AV739" s="447"/>
      <c r="AW739" s="447"/>
      <c r="AX739" s="447"/>
      <c r="AY739" s="447"/>
      <c r="AZ739" s="447"/>
      <c r="BA739" s="447"/>
      <c r="BB739" s="447"/>
      <c r="BC739" s="447"/>
      <c r="BD739" s="447"/>
      <c r="BE739" s="447"/>
      <c r="BF739" s="447"/>
      <c r="BG739" s="447"/>
      <c r="BH739" s="447"/>
      <c r="BI739" s="447"/>
      <c r="BJ739" s="447"/>
      <c r="BK739" s="447"/>
      <c r="BL739" s="447"/>
      <c r="BM739" s="448"/>
      <c r="BN739" s="448"/>
    </row>
    <row r="740" spans="1:66" ht="11.25" customHeight="1">
      <c r="A740" s="469"/>
      <c r="B740" s="447"/>
      <c r="C740" s="447"/>
      <c r="D740" s="447"/>
      <c r="E740" s="447"/>
      <c r="F740" s="447"/>
      <c r="G740" s="447"/>
      <c r="H740" s="447"/>
      <c r="I740" s="447"/>
      <c r="J740" s="447"/>
      <c r="K740" s="447"/>
      <c r="L740" s="447"/>
      <c r="M740" s="447"/>
      <c r="N740" s="447"/>
      <c r="O740" s="447"/>
      <c r="P740" s="447"/>
      <c r="Q740" s="447"/>
      <c r="R740" s="447"/>
      <c r="S740" s="447"/>
      <c r="T740" s="447"/>
      <c r="U740" s="447"/>
      <c r="V740" s="447"/>
      <c r="W740" s="447"/>
      <c r="X740" s="447"/>
      <c r="Y740" s="447"/>
      <c r="Z740" s="447"/>
      <c r="AA740" s="447"/>
      <c r="AB740" s="447"/>
      <c r="AC740" s="447"/>
      <c r="AD740" s="447"/>
      <c r="AE740" s="447"/>
      <c r="AF740" s="448"/>
      <c r="AG740" s="448"/>
      <c r="AH740" s="448"/>
      <c r="AI740" s="447"/>
      <c r="AJ740" s="447"/>
      <c r="AK740" s="447"/>
      <c r="AL740" s="447"/>
      <c r="AM740" s="447"/>
      <c r="AN740" s="447"/>
      <c r="AO740" s="447"/>
      <c r="AP740" s="447"/>
      <c r="AQ740" s="447"/>
      <c r="AR740" s="447"/>
      <c r="AS740" s="447"/>
      <c r="AT740" s="447"/>
      <c r="AU740" s="447"/>
      <c r="AV740" s="447"/>
      <c r="AW740" s="447"/>
      <c r="AX740" s="447"/>
      <c r="AY740" s="447"/>
      <c r="AZ740" s="447"/>
      <c r="BA740" s="447"/>
      <c r="BB740" s="447"/>
      <c r="BC740" s="447"/>
      <c r="BD740" s="447"/>
      <c r="BE740" s="447"/>
      <c r="BF740" s="447"/>
      <c r="BG740" s="447"/>
      <c r="BH740" s="447"/>
      <c r="BI740" s="447"/>
      <c r="BJ740" s="447"/>
      <c r="BK740" s="447"/>
      <c r="BL740" s="447"/>
      <c r="BM740" s="448"/>
      <c r="BN740" s="448"/>
    </row>
    <row r="741" spans="1:66" ht="11.25" customHeight="1">
      <c r="A741" s="469"/>
      <c r="B741" s="447"/>
      <c r="C741" s="447"/>
      <c r="D741" s="447"/>
      <c r="E741" s="447"/>
      <c r="F741" s="447"/>
      <c r="G741" s="447"/>
      <c r="H741" s="447"/>
      <c r="I741" s="447"/>
      <c r="J741" s="447"/>
      <c r="K741" s="447"/>
      <c r="L741" s="447"/>
      <c r="M741" s="447"/>
      <c r="N741" s="447"/>
      <c r="O741" s="447"/>
      <c r="P741" s="447"/>
      <c r="Q741" s="447"/>
      <c r="R741" s="447"/>
      <c r="S741" s="447"/>
      <c r="T741" s="447"/>
      <c r="U741" s="447"/>
      <c r="V741" s="447"/>
      <c r="W741" s="447"/>
      <c r="X741" s="447"/>
      <c r="Y741" s="447"/>
      <c r="Z741" s="447"/>
      <c r="AA741" s="447"/>
      <c r="AB741" s="447"/>
      <c r="AC741" s="447"/>
      <c r="AD741" s="447"/>
      <c r="AE741" s="447"/>
      <c r="AF741" s="448"/>
      <c r="AG741" s="448"/>
      <c r="AH741" s="448"/>
      <c r="AI741" s="447"/>
      <c r="AJ741" s="447"/>
      <c r="AK741" s="447"/>
      <c r="AL741" s="447"/>
      <c r="AM741" s="447"/>
      <c r="AN741" s="447"/>
      <c r="AO741" s="447"/>
      <c r="AP741" s="447"/>
      <c r="AQ741" s="447"/>
      <c r="AR741" s="447"/>
      <c r="AS741" s="447"/>
      <c r="AT741" s="447"/>
      <c r="AU741" s="447"/>
      <c r="AV741" s="447"/>
      <c r="AW741" s="447"/>
      <c r="AX741" s="447"/>
      <c r="AY741" s="447"/>
      <c r="AZ741" s="447"/>
      <c r="BA741" s="447"/>
      <c r="BB741" s="447"/>
      <c r="BC741" s="447"/>
      <c r="BD741" s="447"/>
      <c r="BE741" s="447"/>
      <c r="BF741" s="447"/>
      <c r="BG741" s="447"/>
      <c r="BH741" s="447"/>
      <c r="BI741" s="447"/>
      <c r="BJ741" s="447"/>
      <c r="BK741" s="447"/>
      <c r="BL741" s="447"/>
      <c r="BM741" s="448"/>
      <c r="BN741" s="448"/>
    </row>
    <row r="742" spans="1:66" ht="11.25" customHeight="1">
      <c r="A742" s="469"/>
      <c r="B742" s="447"/>
      <c r="C742" s="447"/>
      <c r="D742" s="447"/>
      <c r="E742" s="447"/>
      <c r="F742" s="447"/>
      <c r="G742" s="447"/>
      <c r="H742" s="447"/>
      <c r="I742" s="447"/>
      <c r="J742" s="447"/>
      <c r="K742" s="447"/>
      <c r="L742" s="447"/>
      <c r="M742" s="447"/>
      <c r="N742" s="447"/>
      <c r="O742" s="447"/>
      <c r="P742" s="447"/>
      <c r="Q742" s="447"/>
      <c r="R742" s="447"/>
      <c r="S742" s="447"/>
      <c r="T742" s="447"/>
      <c r="U742" s="447"/>
      <c r="V742" s="447"/>
      <c r="W742" s="447"/>
      <c r="X742" s="447"/>
      <c r="Y742" s="447"/>
      <c r="Z742" s="447"/>
      <c r="AA742" s="447"/>
      <c r="AB742" s="447"/>
      <c r="AC742" s="447"/>
      <c r="AD742" s="447"/>
      <c r="AE742" s="447"/>
      <c r="AF742" s="448"/>
      <c r="AG742" s="448"/>
      <c r="AH742" s="448"/>
      <c r="AI742" s="447"/>
      <c r="AJ742" s="447"/>
      <c r="AK742" s="447"/>
      <c r="AL742" s="447"/>
      <c r="AM742" s="447"/>
      <c r="AN742" s="447"/>
      <c r="AO742" s="447"/>
      <c r="AP742" s="447"/>
      <c r="AQ742" s="447"/>
      <c r="AR742" s="447"/>
      <c r="AS742" s="447"/>
      <c r="AT742" s="447"/>
      <c r="AU742" s="447"/>
      <c r="AV742" s="447"/>
      <c r="AW742" s="447"/>
      <c r="AX742" s="447"/>
      <c r="AY742" s="447"/>
      <c r="AZ742" s="447"/>
      <c r="BA742" s="447"/>
      <c r="BB742" s="447"/>
      <c r="BC742" s="447"/>
      <c r="BD742" s="447"/>
      <c r="BE742" s="447"/>
      <c r="BF742" s="447"/>
      <c r="BG742" s="447"/>
      <c r="BH742" s="447"/>
      <c r="BI742" s="447"/>
      <c r="BJ742" s="447"/>
      <c r="BK742" s="447"/>
      <c r="BL742" s="447"/>
      <c r="BM742" s="448"/>
      <c r="BN742" s="448"/>
    </row>
    <row r="743" spans="1:66" ht="11.25" customHeight="1">
      <c r="A743" s="469"/>
      <c r="B743" s="447"/>
      <c r="C743" s="447"/>
      <c r="D743" s="447"/>
      <c r="E743" s="447"/>
      <c r="F743" s="447"/>
      <c r="G743" s="447"/>
      <c r="H743" s="447"/>
      <c r="I743" s="447"/>
      <c r="J743" s="447"/>
      <c r="K743" s="447"/>
      <c r="L743" s="447"/>
      <c r="M743" s="447"/>
      <c r="N743" s="447"/>
      <c r="O743" s="447"/>
      <c r="P743" s="447"/>
      <c r="Q743" s="447"/>
      <c r="R743" s="447"/>
      <c r="S743" s="447"/>
      <c r="T743" s="447"/>
      <c r="U743" s="447"/>
      <c r="V743" s="447"/>
      <c r="W743" s="447"/>
      <c r="X743" s="447"/>
      <c r="Y743" s="447"/>
      <c r="Z743" s="447"/>
      <c r="AA743" s="447"/>
      <c r="AB743" s="447"/>
      <c r="AC743" s="447"/>
      <c r="AD743" s="447"/>
      <c r="AE743" s="447"/>
      <c r="AF743" s="448"/>
      <c r="AG743" s="448"/>
      <c r="AH743" s="448"/>
      <c r="AI743" s="447"/>
      <c r="AJ743" s="447"/>
      <c r="AK743" s="447"/>
      <c r="AL743" s="447"/>
      <c r="AM743" s="447"/>
      <c r="AN743" s="447"/>
      <c r="AO743" s="447"/>
      <c r="AP743" s="447"/>
      <c r="AQ743" s="447"/>
      <c r="AR743" s="447"/>
      <c r="AS743" s="447"/>
      <c r="AT743" s="447"/>
      <c r="AU743" s="447"/>
      <c r="AV743" s="447"/>
      <c r="AW743" s="447"/>
      <c r="AX743" s="447"/>
      <c r="AY743" s="447"/>
      <c r="AZ743" s="447"/>
      <c r="BA743" s="447"/>
      <c r="BB743" s="447"/>
      <c r="BC743" s="447"/>
      <c r="BD743" s="447"/>
      <c r="BE743" s="447"/>
      <c r="BF743" s="447"/>
      <c r="BG743" s="447"/>
      <c r="BH743" s="447"/>
      <c r="BI743" s="447"/>
      <c r="BJ743" s="447"/>
      <c r="BK743" s="447"/>
      <c r="BL743" s="447"/>
      <c r="BM743" s="448"/>
      <c r="BN743" s="448"/>
    </row>
    <row r="744" spans="1:66" ht="11.25" customHeight="1">
      <c r="A744" s="469"/>
      <c r="B744" s="447"/>
      <c r="C744" s="447"/>
      <c r="D744" s="447"/>
      <c r="E744" s="447"/>
      <c r="F744" s="447"/>
      <c r="G744" s="447"/>
      <c r="H744" s="447"/>
      <c r="I744" s="447"/>
      <c r="J744" s="447"/>
      <c r="K744" s="447"/>
      <c r="L744" s="447"/>
      <c r="M744" s="447"/>
      <c r="N744" s="447"/>
      <c r="O744" s="447"/>
      <c r="P744" s="447"/>
      <c r="Q744" s="447"/>
      <c r="R744" s="447"/>
      <c r="S744" s="447"/>
      <c r="T744" s="447"/>
      <c r="U744" s="447"/>
      <c r="V744" s="447"/>
      <c r="W744" s="447"/>
      <c r="X744" s="447"/>
      <c r="Y744" s="447"/>
      <c r="Z744" s="447"/>
      <c r="AA744" s="447"/>
      <c r="AB744" s="447"/>
      <c r="AC744" s="447"/>
      <c r="AD744" s="447"/>
      <c r="AE744" s="447"/>
      <c r="AF744" s="448"/>
      <c r="AG744" s="448"/>
      <c r="AH744" s="448"/>
      <c r="AI744" s="447"/>
      <c r="AJ744" s="447"/>
      <c r="AK744" s="447"/>
      <c r="AL744" s="447"/>
      <c r="AM744" s="447"/>
      <c r="AN744" s="447"/>
      <c r="AO744" s="447"/>
      <c r="AP744" s="447"/>
      <c r="AQ744" s="447"/>
      <c r="AR744" s="447"/>
      <c r="AS744" s="447"/>
      <c r="AT744" s="447"/>
      <c r="AU744" s="447"/>
      <c r="AV744" s="447"/>
      <c r="AW744" s="447"/>
      <c r="AX744" s="447"/>
      <c r="AY744" s="447"/>
      <c r="AZ744" s="447"/>
      <c r="BA744" s="447"/>
      <c r="BB744" s="447"/>
      <c r="BC744" s="447"/>
      <c r="BD744" s="447"/>
      <c r="BE744" s="447"/>
      <c r="BF744" s="447"/>
      <c r="BG744" s="447"/>
      <c r="BH744" s="447"/>
      <c r="BI744" s="447"/>
      <c r="BJ744" s="447"/>
      <c r="BK744" s="447"/>
      <c r="BL744" s="447"/>
      <c r="BM744" s="448"/>
      <c r="BN744" s="448"/>
    </row>
    <row r="745" spans="1:66" ht="11.25" customHeight="1">
      <c r="A745" s="469"/>
      <c r="B745" s="447"/>
      <c r="C745" s="447"/>
      <c r="D745" s="447"/>
      <c r="E745" s="447"/>
      <c r="F745" s="447"/>
      <c r="G745" s="447"/>
      <c r="H745" s="447"/>
      <c r="I745" s="447"/>
      <c r="J745" s="447"/>
      <c r="K745" s="447"/>
      <c r="L745" s="447"/>
      <c r="M745" s="447"/>
      <c r="N745" s="447"/>
      <c r="O745" s="447"/>
      <c r="P745" s="447"/>
      <c r="Q745" s="447"/>
      <c r="R745" s="447"/>
      <c r="S745" s="447"/>
      <c r="T745" s="447"/>
      <c r="U745" s="447"/>
      <c r="V745" s="447"/>
      <c r="W745" s="447"/>
      <c r="X745" s="447"/>
      <c r="Y745" s="447"/>
      <c r="Z745" s="447"/>
      <c r="AA745" s="447"/>
      <c r="AB745" s="447"/>
      <c r="AC745" s="447"/>
      <c r="AD745" s="447"/>
      <c r="AE745" s="447"/>
      <c r="AF745" s="448"/>
      <c r="AG745" s="448"/>
      <c r="AH745" s="448"/>
      <c r="AI745" s="447"/>
      <c r="AJ745" s="447"/>
      <c r="AK745" s="447"/>
      <c r="AL745" s="447"/>
      <c r="AM745" s="447"/>
      <c r="AN745" s="447"/>
      <c r="AO745" s="447"/>
      <c r="AP745" s="447"/>
      <c r="AQ745" s="447"/>
      <c r="AR745" s="447"/>
      <c r="AS745" s="447"/>
      <c r="AT745" s="447"/>
      <c r="AU745" s="447"/>
      <c r="AV745" s="447"/>
      <c r="AW745" s="447"/>
      <c r="AX745" s="447"/>
      <c r="AY745" s="447"/>
      <c r="AZ745" s="447"/>
      <c r="BA745" s="447"/>
      <c r="BB745" s="447"/>
      <c r="BC745" s="447"/>
      <c r="BD745" s="447"/>
      <c r="BE745" s="447"/>
      <c r="BF745" s="447"/>
      <c r="BG745" s="447"/>
      <c r="BH745" s="447"/>
      <c r="BI745" s="447"/>
      <c r="BJ745" s="447"/>
      <c r="BK745" s="447"/>
      <c r="BL745" s="447"/>
      <c r="BM745" s="448"/>
      <c r="BN745" s="448"/>
    </row>
    <row r="746" spans="1:66" ht="11.25" customHeight="1">
      <c r="A746" s="469"/>
      <c r="B746" s="447"/>
      <c r="C746" s="447"/>
      <c r="D746" s="447"/>
      <c r="E746" s="447"/>
      <c r="F746" s="447"/>
      <c r="G746" s="447"/>
      <c r="H746" s="447"/>
      <c r="I746" s="447"/>
      <c r="J746" s="447"/>
      <c r="K746" s="447"/>
      <c r="L746" s="447"/>
      <c r="M746" s="447"/>
      <c r="N746" s="447"/>
      <c r="O746" s="447"/>
      <c r="P746" s="447"/>
      <c r="Q746" s="447"/>
      <c r="R746" s="447"/>
      <c r="S746" s="447"/>
      <c r="T746" s="447"/>
      <c r="U746" s="447"/>
      <c r="V746" s="447"/>
      <c r="W746" s="447"/>
      <c r="X746" s="447"/>
      <c r="Y746" s="447"/>
      <c r="Z746" s="447"/>
      <c r="AA746" s="447"/>
      <c r="AB746" s="447"/>
      <c r="AC746" s="447"/>
      <c r="AD746" s="447"/>
      <c r="AE746" s="447"/>
      <c r="AF746" s="448"/>
      <c r="AG746" s="448"/>
      <c r="AH746" s="448"/>
      <c r="AI746" s="447"/>
      <c r="AJ746" s="447"/>
      <c r="AK746" s="447"/>
      <c r="AL746" s="447"/>
      <c r="AM746" s="447"/>
      <c r="AN746" s="447"/>
      <c r="AO746" s="447"/>
      <c r="AP746" s="447"/>
      <c r="AQ746" s="447"/>
      <c r="AR746" s="447"/>
      <c r="AS746" s="447"/>
      <c r="AT746" s="447"/>
      <c r="AU746" s="447"/>
      <c r="AV746" s="447"/>
      <c r="AW746" s="447"/>
      <c r="AX746" s="447"/>
      <c r="AY746" s="447"/>
      <c r="AZ746" s="447"/>
      <c r="BA746" s="447"/>
      <c r="BB746" s="447"/>
      <c r="BC746" s="447"/>
      <c r="BD746" s="447"/>
      <c r="BE746" s="447"/>
      <c r="BF746" s="447"/>
      <c r="BG746" s="447"/>
      <c r="BH746" s="447"/>
      <c r="BI746" s="447"/>
      <c r="BJ746" s="447"/>
      <c r="BK746" s="447"/>
      <c r="BL746" s="447"/>
      <c r="BM746" s="448"/>
      <c r="BN746" s="448"/>
    </row>
    <row r="747" spans="1:66" ht="11.25" customHeight="1">
      <c r="A747" s="469"/>
      <c r="B747" s="447"/>
      <c r="C747" s="447"/>
      <c r="D747" s="447"/>
      <c r="E747" s="447"/>
      <c r="F747" s="447"/>
      <c r="G747" s="447"/>
      <c r="H747" s="447"/>
      <c r="I747" s="447"/>
      <c r="J747" s="447"/>
      <c r="K747" s="447"/>
      <c r="L747" s="447"/>
      <c r="M747" s="447"/>
      <c r="N747" s="447"/>
      <c r="O747" s="447"/>
      <c r="P747" s="447"/>
      <c r="Q747" s="447"/>
      <c r="R747" s="447"/>
      <c r="S747" s="447"/>
      <c r="T747" s="447"/>
      <c r="U747" s="447"/>
      <c r="V747" s="447"/>
      <c r="W747" s="447"/>
      <c r="X747" s="447"/>
      <c r="Y747" s="447"/>
      <c r="Z747" s="447"/>
      <c r="AA747" s="447"/>
      <c r="AB747" s="447"/>
      <c r="AC747" s="447"/>
      <c r="AD747" s="447"/>
      <c r="AE747" s="447"/>
      <c r="AF747" s="448"/>
      <c r="AG747" s="448"/>
      <c r="AH747" s="448"/>
      <c r="AI747" s="447"/>
      <c r="AJ747" s="447"/>
      <c r="AK747" s="447"/>
      <c r="AL747" s="447"/>
      <c r="AM747" s="447"/>
      <c r="AN747" s="447"/>
      <c r="AO747" s="447"/>
      <c r="AP747" s="447"/>
      <c r="AQ747" s="447"/>
      <c r="AR747" s="447"/>
      <c r="AS747" s="447"/>
      <c r="AT747" s="447"/>
      <c r="AU747" s="447"/>
      <c r="AV747" s="447"/>
      <c r="AW747" s="447"/>
      <c r="AX747" s="447"/>
      <c r="AY747" s="447"/>
      <c r="AZ747" s="447"/>
      <c r="BA747" s="447"/>
      <c r="BB747" s="447"/>
      <c r="BC747" s="447"/>
      <c r="BD747" s="447"/>
      <c r="BE747" s="447"/>
      <c r="BF747" s="447"/>
      <c r="BG747" s="447"/>
      <c r="BH747" s="447"/>
      <c r="BI747" s="447"/>
      <c r="BJ747" s="447"/>
      <c r="BK747" s="447"/>
      <c r="BL747" s="447"/>
      <c r="BM747" s="448"/>
      <c r="BN747" s="448"/>
    </row>
    <row r="748" spans="1:66" ht="11.25" customHeight="1">
      <c r="A748" s="469"/>
      <c r="B748" s="447"/>
      <c r="C748" s="447"/>
      <c r="D748" s="447"/>
      <c r="E748" s="447"/>
      <c r="F748" s="447"/>
      <c r="G748" s="447"/>
      <c r="H748" s="447"/>
      <c r="I748" s="447"/>
      <c r="J748" s="447"/>
      <c r="K748" s="447"/>
      <c r="L748" s="447"/>
      <c r="M748" s="447"/>
      <c r="N748" s="447"/>
      <c r="O748" s="447"/>
      <c r="P748" s="447"/>
      <c r="Q748" s="447"/>
      <c r="R748" s="447"/>
      <c r="S748" s="447"/>
      <c r="T748" s="447"/>
      <c r="U748" s="447"/>
      <c r="V748" s="447"/>
      <c r="W748" s="447"/>
      <c r="X748" s="447"/>
      <c r="Y748" s="447"/>
      <c r="Z748" s="447"/>
      <c r="AA748" s="447"/>
      <c r="AB748" s="447"/>
      <c r="AC748" s="447"/>
      <c r="AD748" s="447"/>
      <c r="AE748" s="447"/>
      <c r="AF748" s="448"/>
      <c r="AG748" s="448"/>
      <c r="AH748" s="448"/>
      <c r="AI748" s="447"/>
      <c r="AJ748" s="447"/>
      <c r="AK748" s="447"/>
      <c r="AL748" s="447"/>
      <c r="AM748" s="447"/>
      <c r="AN748" s="447"/>
      <c r="AO748" s="447"/>
      <c r="AP748" s="447"/>
      <c r="AQ748" s="447"/>
      <c r="AR748" s="447"/>
      <c r="AS748" s="447"/>
      <c r="AT748" s="447"/>
      <c r="AU748" s="447"/>
      <c r="AV748" s="447"/>
      <c r="AW748" s="447"/>
      <c r="AX748" s="447"/>
      <c r="AY748" s="447"/>
      <c r="AZ748" s="447"/>
      <c r="BA748" s="447"/>
      <c r="BB748" s="447"/>
      <c r="BC748" s="447"/>
      <c r="BD748" s="447"/>
      <c r="BE748" s="447"/>
      <c r="BF748" s="447"/>
      <c r="BG748" s="447"/>
      <c r="BH748" s="447"/>
      <c r="BI748" s="447"/>
      <c r="BJ748" s="447"/>
      <c r="BK748" s="447"/>
      <c r="BL748" s="447"/>
      <c r="BM748" s="448"/>
      <c r="BN748" s="448"/>
    </row>
    <row r="749" spans="1:66" ht="11.25" customHeight="1">
      <c r="A749" s="469"/>
      <c r="B749" s="447"/>
      <c r="C749" s="447"/>
      <c r="D749" s="447"/>
      <c r="E749" s="447"/>
      <c r="F749" s="447"/>
      <c r="G749" s="447"/>
      <c r="H749" s="447"/>
      <c r="I749" s="447"/>
      <c r="J749" s="447"/>
      <c r="K749" s="447"/>
      <c r="L749" s="447"/>
      <c r="M749" s="447"/>
      <c r="N749" s="447"/>
      <c r="O749" s="447"/>
      <c r="P749" s="447"/>
      <c r="Q749" s="447"/>
      <c r="R749" s="447"/>
      <c r="S749" s="447"/>
      <c r="T749" s="447"/>
      <c r="U749" s="447"/>
      <c r="V749" s="447"/>
      <c r="W749" s="447"/>
      <c r="X749" s="447"/>
      <c r="Y749" s="447"/>
      <c r="Z749" s="447"/>
      <c r="AA749" s="447"/>
      <c r="AB749" s="447"/>
      <c r="AC749" s="447"/>
      <c r="AD749" s="447"/>
      <c r="AE749" s="447"/>
      <c r="AF749" s="448"/>
      <c r="AG749" s="448"/>
      <c r="AH749" s="448"/>
      <c r="AI749" s="447"/>
      <c r="AJ749" s="447"/>
      <c r="AK749" s="447"/>
      <c r="AL749" s="447"/>
      <c r="AM749" s="447"/>
      <c r="AN749" s="447"/>
      <c r="AO749" s="447"/>
      <c r="AP749" s="447"/>
      <c r="AQ749" s="447"/>
      <c r="AR749" s="447"/>
      <c r="AS749" s="447"/>
      <c r="AT749" s="447"/>
      <c r="AU749" s="447"/>
      <c r="AV749" s="447"/>
      <c r="AW749" s="447"/>
      <c r="AX749" s="447"/>
      <c r="AY749" s="447"/>
      <c r="AZ749" s="447"/>
      <c r="BA749" s="447"/>
      <c r="BB749" s="447"/>
      <c r="BC749" s="447"/>
      <c r="BD749" s="447"/>
      <c r="BE749" s="447"/>
      <c r="BF749" s="447"/>
      <c r="BG749" s="447"/>
      <c r="BH749" s="447"/>
      <c r="BI749" s="447"/>
      <c r="BJ749" s="447"/>
      <c r="BK749" s="447"/>
      <c r="BL749" s="447"/>
      <c r="BM749" s="448"/>
      <c r="BN749" s="448"/>
    </row>
    <row r="750" spans="1:66" ht="11.25" customHeight="1">
      <c r="A750" s="469"/>
      <c r="B750" s="447"/>
      <c r="C750" s="447"/>
      <c r="D750" s="447"/>
      <c r="E750" s="447"/>
      <c r="F750" s="447"/>
      <c r="G750" s="447"/>
      <c r="H750" s="447"/>
      <c r="I750" s="447"/>
      <c r="J750" s="447"/>
      <c r="K750" s="447"/>
      <c r="L750" s="447"/>
      <c r="M750" s="447"/>
      <c r="N750" s="447"/>
      <c r="O750" s="447"/>
      <c r="P750" s="447"/>
      <c r="Q750" s="447"/>
      <c r="R750" s="447"/>
      <c r="S750" s="447"/>
      <c r="T750" s="447"/>
      <c r="U750" s="447"/>
      <c r="V750" s="447"/>
      <c r="W750" s="447"/>
      <c r="X750" s="447"/>
      <c r="Y750" s="447"/>
      <c r="Z750" s="447"/>
      <c r="AA750" s="447"/>
      <c r="AB750" s="447"/>
      <c r="AC750" s="447"/>
      <c r="AD750" s="447"/>
      <c r="AE750" s="447"/>
      <c r="AF750" s="448"/>
      <c r="AG750" s="448"/>
      <c r="AH750" s="448"/>
      <c r="AI750" s="447"/>
      <c r="AJ750" s="447"/>
      <c r="AK750" s="447"/>
      <c r="AL750" s="447"/>
      <c r="AM750" s="447"/>
      <c r="AN750" s="447"/>
      <c r="AO750" s="447"/>
      <c r="AP750" s="447"/>
      <c r="AQ750" s="447"/>
      <c r="AR750" s="447"/>
      <c r="AS750" s="447"/>
      <c r="AT750" s="447"/>
      <c r="AU750" s="447"/>
      <c r="AV750" s="447"/>
      <c r="AW750" s="447"/>
      <c r="AX750" s="447"/>
      <c r="AY750" s="447"/>
      <c r="AZ750" s="447"/>
      <c r="BA750" s="447"/>
      <c r="BB750" s="447"/>
      <c r="BC750" s="447"/>
      <c r="BD750" s="447"/>
      <c r="BE750" s="447"/>
      <c r="BF750" s="447"/>
      <c r="BG750" s="447"/>
      <c r="BH750" s="447"/>
      <c r="BI750" s="447"/>
      <c r="BJ750" s="447"/>
      <c r="BK750" s="447"/>
      <c r="BL750" s="447"/>
      <c r="BM750" s="448"/>
      <c r="BN750" s="448"/>
    </row>
    <row r="751" spans="1:66" ht="11.25" customHeight="1">
      <c r="A751" s="469"/>
      <c r="B751" s="447"/>
      <c r="C751" s="447"/>
      <c r="D751" s="447"/>
      <c r="E751" s="447"/>
      <c r="F751" s="447"/>
      <c r="G751" s="447"/>
      <c r="H751" s="447"/>
      <c r="I751" s="447"/>
      <c r="J751" s="447"/>
      <c r="K751" s="447"/>
      <c r="L751" s="447"/>
      <c r="M751" s="447"/>
      <c r="N751" s="447"/>
      <c r="O751" s="447"/>
      <c r="P751" s="447"/>
      <c r="Q751" s="447"/>
      <c r="R751" s="447"/>
      <c r="S751" s="447"/>
      <c r="T751" s="447"/>
      <c r="U751" s="447"/>
      <c r="V751" s="447"/>
      <c r="W751" s="447"/>
      <c r="X751" s="447"/>
      <c r="Y751" s="447"/>
      <c r="Z751" s="447"/>
      <c r="AA751" s="447"/>
      <c r="AB751" s="447"/>
      <c r="AC751" s="447"/>
      <c r="AD751" s="447"/>
      <c r="AE751" s="447"/>
      <c r="AF751" s="448"/>
      <c r="AG751" s="448"/>
      <c r="AH751" s="448"/>
      <c r="AI751" s="447"/>
      <c r="AJ751" s="447"/>
      <c r="AK751" s="447"/>
      <c r="AL751" s="447"/>
      <c r="AM751" s="447"/>
      <c r="AN751" s="447"/>
      <c r="AO751" s="447"/>
      <c r="AP751" s="447"/>
      <c r="AQ751" s="447"/>
      <c r="AR751" s="447"/>
      <c r="AS751" s="447"/>
      <c r="AT751" s="447"/>
      <c r="AU751" s="447"/>
      <c r="AV751" s="447"/>
      <c r="AW751" s="447"/>
      <c r="AX751" s="447"/>
      <c r="AY751" s="447"/>
      <c r="AZ751" s="447"/>
      <c r="BA751" s="447"/>
      <c r="BB751" s="447"/>
      <c r="BC751" s="447"/>
      <c r="BD751" s="447"/>
      <c r="BE751" s="447"/>
      <c r="BF751" s="447"/>
      <c r="BG751" s="447"/>
      <c r="BH751" s="447"/>
      <c r="BI751" s="447"/>
      <c r="BJ751" s="447"/>
      <c r="BK751" s="447"/>
      <c r="BL751" s="447"/>
      <c r="BM751" s="448"/>
      <c r="BN751" s="448"/>
    </row>
    <row r="752" spans="1:66" ht="11.25" customHeight="1">
      <c r="A752" s="469"/>
      <c r="B752" s="447"/>
      <c r="C752" s="447"/>
      <c r="D752" s="447"/>
      <c r="E752" s="447"/>
      <c r="F752" s="447"/>
      <c r="G752" s="447"/>
      <c r="H752" s="447"/>
      <c r="I752" s="447"/>
      <c r="J752" s="447"/>
      <c r="K752" s="447"/>
      <c r="L752" s="447"/>
      <c r="M752" s="447"/>
      <c r="N752" s="447"/>
      <c r="O752" s="447"/>
      <c r="P752" s="447"/>
      <c r="Q752" s="447"/>
      <c r="R752" s="447"/>
      <c r="S752" s="447"/>
      <c r="T752" s="447"/>
      <c r="U752" s="447"/>
      <c r="V752" s="447"/>
      <c r="W752" s="447"/>
      <c r="X752" s="447"/>
      <c r="Y752" s="447"/>
      <c r="Z752" s="447"/>
      <c r="AA752" s="447"/>
      <c r="AB752" s="447"/>
      <c r="AC752" s="447"/>
      <c r="AD752" s="447"/>
      <c r="AE752" s="447"/>
      <c r="AF752" s="448"/>
      <c r="AG752" s="448"/>
      <c r="AH752" s="448"/>
      <c r="AI752" s="447"/>
      <c r="AJ752" s="447"/>
      <c r="AK752" s="447"/>
      <c r="AL752" s="447"/>
      <c r="AM752" s="447"/>
      <c r="AN752" s="447"/>
      <c r="AO752" s="447"/>
      <c r="AP752" s="447"/>
      <c r="AQ752" s="447"/>
      <c r="AR752" s="447"/>
      <c r="AS752" s="447"/>
      <c r="AT752" s="447"/>
      <c r="AU752" s="447"/>
      <c r="AV752" s="447"/>
      <c r="AW752" s="447"/>
      <c r="AX752" s="447"/>
      <c r="AY752" s="447"/>
      <c r="AZ752" s="447"/>
      <c r="BA752" s="447"/>
      <c r="BB752" s="447"/>
      <c r="BC752" s="447"/>
      <c r="BD752" s="447"/>
      <c r="BE752" s="447"/>
      <c r="BF752" s="447"/>
      <c r="BG752" s="447"/>
      <c r="BH752" s="447"/>
      <c r="BI752" s="447"/>
      <c r="BJ752" s="447"/>
      <c r="BK752" s="447"/>
      <c r="BL752" s="447"/>
      <c r="BM752" s="448"/>
      <c r="BN752" s="448"/>
    </row>
    <row r="753" spans="1:66" ht="11.25" customHeight="1">
      <c r="A753" s="469"/>
      <c r="B753" s="447"/>
      <c r="C753" s="447"/>
      <c r="D753" s="447"/>
      <c r="E753" s="447"/>
      <c r="F753" s="447"/>
      <c r="G753" s="447"/>
      <c r="H753" s="447"/>
      <c r="I753" s="447"/>
      <c r="J753" s="447"/>
      <c r="K753" s="447"/>
      <c r="L753" s="447"/>
      <c r="M753" s="447"/>
      <c r="N753" s="447"/>
      <c r="O753" s="447"/>
      <c r="P753" s="447"/>
      <c r="Q753" s="447"/>
      <c r="R753" s="447"/>
      <c r="S753" s="447"/>
      <c r="T753" s="447"/>
      <c r="U753" s="447"/>
      <c r="V753" s="447"/>
      <c r="W753" s="447"/>
      <c r="X753" s="447"/>
      <c r="Y753" s="447"/>
      <c r="Z753" s="447"/>
      <c r="AA753" s="447"/>
      <c r="AB753" s="447"/>
      <c r="AC753" s="447"/>
      <c r="AD753" s="447"/>
      <c r="AE753" s="447"/>
      <c r="AF753" s="448"/>
      <c r="AG753" s="448"/>
      <c r="AH753" s="448"/>
      <c r="AI753" s="447"/>
      <c r="AJ753" s="447"/>
      <c r="AK753" s="447"/>
      <c r="AL753" s="447"/>
      <c r="AM753" s="447"/>
      <c r="AN753" s="447"/>
      <c r="AO753" s="447"/>
      <c r="AP753" s="447"/>
      <c r="AQ753" s="447"/>
      <c r="AR753" s="447"/>
      <c r="AS753" s="447"/>
      <c r="AT753" s="447"/>
      <c r="AU753" s="447"/>
      <c r="AV753" s="447"/>
      <c r="AW753" s="447"/>
      <c r="AX753" s="447"/>
      <c r="AY753" s="447"/>
      <c r="AZ753" s="447"/>
      <c r="BA753" s="447"/>
      <c r="BB753" s="447"/>
      <c r="BC753" s="447"/>
      <c r="BD753" s="447"/>
      <c r="BE753" s="447"/>
      <c r="BF753" s="447"/>
      <c r="BG753" s="447"/>
      <c r="BH753" s="447"/>
      <c r="BI753" s="447"/>
      <c r="BJ753" s="447"/>
      <c r="BK753" s="447"/>
      <c r="BL753" s="447"/>
      <c r="BM753" s="448"/>
      <c r="BN753" s="448"/>
    </row>
    <row r="754" spans="1:66" ht="11.25" customHeight="1">
      <c r="A754" s="469"/>
      <c r="B754" s="447"/>
      <c r="C754" s="447"/>
      <c r="D754" s="447"/>
      <c r="E754" s="447"/>
      <c r="F754" s="447"/>
      <c r="G754" s="447"/>
      <c r="H754" s="447"/>
      <c r="I754" s="447"/>
      <c r="J754" s="447"/>
      <c r="K754" s="447"/>
      <c r="L754" s="447"/>
      <c r="M754" s="447"/>
      <c r="N754" s="447"/>
      <c r="O754" s="447"/>
      <c r="P754" s="447"/>
      <c r="Q754" s="447"/>
      <c r="R754" s="447"/>
      <c r="S754" s="447"/>
      <c r="T754" s="447"/>
      <c r="U754" s="447"/>
      <c r="V754" s="447"/>
      <c r="W754" s="447"/>
      <c r="X754" s="447"/>
      <c r="Y754" s="447"/>
      <c r="Z754" s="447"/>
      <c r="AA754" s="447"/>
      <c r="AB754" s="447"/>
      <c r="AC754" s="447"/>
      <c r="AD754" s="447"/>
      <c r="AE754" s="447"/>
      <c r="AF754" s="448"/>
      <c r="AG754" s="448"/>
      <c r="AH754" s="448"/>
      <c r="AI754" s="447"/>
      <c r="AJ754" s="447"/>
      <c r="AK754" s="447"/>
      <c r="AL754" s="447"/>
      <c r="AM754" s="447"/>
      <c r="AN754" s="447"/>
      <c r="AO754" s="447"/>
      <c r="AP754" s="447"/>
      <c r="AQ754" s="447"/>
      <c r="AR754" s="447"/>
      <c r="AS754" s="447"/>
      <c r="AT754" s="447"/>
      <c r="AU754" s="447"/>
      <c r="AV754" s="447"/>
      <c r="AW754" s="447"/>
      <c r="AX754" s="447"/>
      <c r="AY754" s="447"/>
      <c r="AZ754" s="447"/>
      <c r="BA754" s="447"/>
      <c r="BB754" s="447"/>
      <c r="BC754" s="447"/>
      <c r="BD754" s="447"/>
      <c r="BE754" s="447"/>
      <c r="BF754" s="447"/>
      <c r="BG754" s="447"/>
      <c r="BH754" s="447"/>
      <c r="BI754" s="447"/>
      <c r="BJ754" s="447"/>
      <c r="BK754" s="447"/>
      <c r="BL754" s="447"/>
      <c r="BM754" s="448"/>
      <c r="BN754" s="448"/>
    </row>
    <row r="755" spans="1:66" ht="11.25" customHeight="1">
      <c r="A755" s="469"/>
      <c r="B755" s="447"/>
      <c r="C755" s="447"/>
      <c r="D755" s="447"/>
      <c r="E755" s="447"/>
      <c r="F755" s="447"/>
      <c r="G755" s="447"/>
      <c r="H755" s="447"/>
      <c r="I755" s="447"/>
      <c r="J755" s="447"/>
      <c r="K755" s="447"/>
      <c r="L755" s="447"/>
      <c r="M755" s="447"/>
      <c r="N755" s="447"/>
      <c r="O755" s="447"/>
      <c r="P755" s="447"/>
      <c r="Q755" s="447"/>
      <c r="R755" s="447"/>
      <c r="S755" s="447"/>
      <c r="T755" s="447"/>
      <c r="U755" s="447"/>
      <c r="V755" s="447"/>
      <c r="W755" s="447"/>
      <c r="X755" s="447"/>
      <c r="Y755" s="447"/>
      <c r="Z755" s="447"/>
      <c r="AA755" s="447"/>
      <c r="AB755" s="447"/>
      <c r="AC755" s="447"/>
      <c r="AD755" s="447"/>
      <c r="AE755" s="447"/>
      <c r="AF755" s="448"/>
      <c r="AG755" s="448"/>
      <c r="AH755" s="448"/>
      <c r="AI755" s="447"/>
      <c r="AJ755" s="447"/>
      <c r="AK755" s="447"/>
      <c r="AL755" s="447"/>
      <c r="AM755" s="447"/>
      <c r="AN755" s="447"/>
      <c r="AO755" s="447"/>
      <c r="AP755" s="447"/>
      <c r="AQ755" s="447"/>
      <c r="AR755" s="447"/>
      <c r="AS755" s="447"/>
      <c r="AT755" s="447"/>
      <c r="AU755" s="447"/>
      <c r="AV755" s="447"/>
      <c r="AW755" s="447"/>
      <c r="AX755" s="447"/>
      <c r="AY755" s="447"/>
      <c r="AZ755" s="447"/>
      <c r="BA755" s="447"/>
      <c r="BB755" s="447"/>
      <c r="BC755" s="447"/>
      <c r="BD755" s="447"/>
      <c r="BE755" s="447"/>
      <c r="BF755" s="447"/>
      <c r="BG755" s="447"/>
      <c r="BH755" s="447"/>
      <c r="BI755" s="447"/>
      <c r="BJ755" s="447"/>
      <c r="BK755" s="447"/>
      <c r="BL755" s="447"/>
      <c r="BM755" s="448"/>
      <c r="BN755" s="448"/>
    </row>
    <row r="756" spans="1:66" ht="11.25" customHeight="1">
      <c r="A756" s="469"/>
      <c r="B756" s="447"/>
      <c r="C756" s="447"/>
      <c r="D756" s="447"/>
      <c r="E756" s="447"/>
      <c r="F756" s="447"/>
      <c r="G756" s="447"/>
      <c r="H756" s="447"/>
      <c r="I756" s="447"/>
      <c r="J756" s="447"/>
      <c r="K756" s="447"/>
      <c r="L756" s="447"/>
      <c r="M756" s="447"/>
      <c r="N756" s="447"/>
      <c r="O756" s="447"/>
      <c r="P756" s="447"/>
      <c r="Q756" s="447"/>
      <c r="R756" s="447"/>
      <c r="S756" s="447"/>
      <c r="T756" s="447"/>
      <c r="U756" s="447"/>
      <c r="V756" s="447"/>
      <c r="W756" s="447"/>
      <c r="X756" s="447"/>
      <c r="Y756" s="447"/>
      <c r="Z756" s="447"/>
      <c r="AA756" s="447"/>
      <c r="AB756" s="447"/>
      <c r="AC756" s="447"/>
      <c r="AD756" s="447"/>
      <c r="AE756" s="447"/>
      <c r="AF756" s="448"/>
      <c r="AG756" s="448"/>
      <c r="AH756" s="448"/>
      <c r="AI756" s="447"/>
      <c r="AJ756" s="447"/>
      <c r="AK756" s="447"/>
      <c r="AL756" s="447"/>
      <c r="AM756" s="447"/>
      <c r="AN756" s="447"/>
      <c r="AO756" s="447"/>
      <c r="AP756" s="447"/>
      <c r="AQ756" s="447"/>
      <c r="AR756" s="447"/>
      <c r="AS756" s="447"/>
      <c r="AT756" s="447"/>
      <c r="AU756" s="447"/>
      <c r="AV756" s="447"/>
      <c r="AW756" s="447"/>
      <c r="AX756" s="447"/>
      <c r="AY756" s="447"/>
      <c r="AZ756" s="447"/>
      <c r="BA756" s="447"/>
      <c r="BB756" s="447"/>
      <c r="BC756" s="447"/>
      <c r="BD756" s="447"/>
      <c r="BE756" s="447"/>
      <c r="BF756" s="447"/>
      <c r="BG756" s="447"/>
      <c r="BH756" s="447"/>
      <c r="BI756" s="447"/>
      <c r="BJ756" s="447"/>
      <c r="BK756" s="447"/>
      <c r="BL756" s="447"/>
      <c r="BM756" s="448"/>
      <c r="BN756" s="448"/>
    </row>
    <row r="757" spans="1:66" ht="11.25" customHeight="1">
      <c r="A757" s="469"/>
      <c r="B757" s="447"/>
      <c r="C757" s="447"/>
      <c r="D757" s="447"/>
      <c r="E757" s="447"/>
      <c r="F757" s="447"/>
      <c r="G757" s="447"/>
      <c r="H757" s="447"/>
      <c r="I757" s="447"/>
      <c r="J757" s="447"/>
      <c r="K757" s="447"/>
      <c r="L757" s="447"/>
      <c r="M757" s="447"/>
      <c r="N757" s="447"/>
      <c r="O757" s="447"/>
      <c r="P757" s="447"/>
      <c r="Q757" s="447"/>
      <c r="R757" s="447"/>
      <c r="S757" s="447"/>
      <c r="T757" s="447"/>
      <c r="U757" s="447"/>
      <c r="V757" s="447"/>
      <c r="W757" s="447"/>
      <c r="X757" s="447"/>
      <c r="Y757" s="447"/>
      <c r="Z757" s="447"/>
      <c r="AA757" s="447"/>
      <c r="AB757" s="447"/>
      <c r="AC757" s="447"/>
      <c r="AD757" s="447"/>
      <c r="AE757" s="447"/>
      <c r="AF757" s="448"/>
      <c r="AG757" s="448"/>
      <c r="AH757" s="448"/>
      <c r="AI757" s="447"/>
      <c r="AJ757" s="447"/>
      <c r="AK757" s="447"/>
      <c r="AL757" s="447"/>
      <c r="AM757" s="447"/>
      <c r="AN757" s="447"/>
      <c r="AO757" s="447"/>
      <c r="AP757" s="447"/>
      <c r="AQ757" s="447"/>
      <c r="AR757" s="447"/>
      <c r="AS757" s="447"/>
      <c r="AT757" s="447"/>
      <c r="AU757" s="447"/>
      <c r="AV757" s="447"/>
      <c r="AW757" s="447"/>
      <c r="AX757" s="447"/>
      <c r="AY757" s="447"/>
      <c r="AZ757" s="447"/>
      <c r="BA757" s="447"/>
      <c r="BB757" s="447"/>
      <c r="BC757" s="447"/>
      <c r="BD757" s="447"/>
      <c r="BE757" s="447"/>
      <c r="BF757" s="447"/>
      <c r="BG757" s="447"/>
      <c r="BH757" s="447"/>
      <c r="BI757" s="447"/>
      <c r="BJ757" s="447"/>
      <c r="BK757" s="447"/>
      <c r="BL757" s="447"/>
      <c r="BM757" s="448"/>
      <c r="BN757" s="448"/>
    </row>
    <row r="758" spans="1:66" ht="11.25" customHeight="1">
      <c r="A758" s="469"/>
      <c r="B758" s="447"/>
      <c r="C758" s="447"/>
      <c r="D758" s="447"/>
      <c r="E758" s="447"/>
      <c r="F758" s="447"/>
      <c r="G758" s="447"/>
      <c r="H758" s="447"/>
      <c r="I758" s="447"/>
      <c r="J758" s="447"/>
      <c r="K758" s="447"/>
      <c r="L758" s="447"/>
      <c r="M758" s="447"/>
      <c r="N758" s="447"/>
      <c r="O758" s="447"/>
      <c r="P758" s="447"/>
      <c r="Q758" s="447"/>
      <c r="R758" s="447"/>
      <c r="S758" s="447"/>
      <c r="T758" s="447"/>
      <c r="U758" s="447"/>
      <c r="V758" s="447"/>
      <c r="W758" s="447"/>
      <c r="X758" s="447"/>
      <c r="Y758" s="447"/>
      <c r="Z758" s="447"/>
      <c r="AA758" s="447"/>
      <c r="AB758" s="447"/>
      <c r="AC758" s="447"/>
      <c r="AD758" s="447"/>
      <c r="AE758" s="447"/>
      <c r="AF758" s="448"/>
      <c r="AG758" s="448"/>
      <c r="AH758" s="448"/>
      <c r="AI758" s="447"/>
      <c r="AJ758" s="447"/>
      <c r="AK758" s="447"/>
      <c r="AL758" s="447"/>
      <c r="AM758" s="447"/>
      <c r="AN758" s="447"/>
      <c r="AO758" s="447"/>
      <c r="AP758" s="447"/>
      <c r="AQ758" s="447"/>
      <c r="AR758" s="447"/>
      <c r="AS758" s="447"/>
      <c r="AT758" s="447"/>
      <c r="AU758" s="447"/>
      <c r="AV758" s="447"/>
      <c r="AW758" s="447"/>
      <c r="AX758" s="447"/>
      <c r="AY758" s="447"/>
      <c r="AZ758" s="447"/>
      <c r="BA758" s="447"/>
      <c r="BB758" s="447"/>
      <c r="BC758" s="447"/>
      <c r="BD758" s="447"/>
      <c r="BE758" s="447"/>
      <c r="BF758" s="447"/>
      <c r="BG758" s="447"/>
      <c r="BH758" s="447"/>
      <c r="BI758" s="447"/>
      <c r="BJ758" s="447"/>
      <c r="BK758" s="447"/>
      <c r="BL758" s="447"/>
      <c r="BM758" s="448"/>
      <c r="BN758" s="448"/>
    </row>
    <row r="759" spans="1:66" ht="11.25" customHeight="1">
      <c r="A759" s="469"/>
      <c r="B759" s="447"/>
      <c r="C759" s="447"/>
      <c r="D759" s="447"/>
      <c r="E759" s="447"/>
      <c r="F759" s="447"/>
      <c r="G759" s="447"/>
      <c r="H759" s="447"/>
      <c r="I759" s="447"/>
      <c r="J759" s="447"/>
      <c r="K759" s="447"/>
      <c r="L759" s="447"/>
      <c r="M759" s="447"/>
      <c r="N759" s="447"/>
      <c r="O759" s="447"/>
      <c r="P759" s="447"/>
      <c r="Q759" s="447"/>
      <c r="R759" s="447"/>
      <c r="S759" s="447"/>
      <c r="T759" s="447"/>
      <c r="U759" s="447"/>
      <c r="V759" s="447"/>
      <c r="W759" s="447"/>
      <c r="X759" s="447"/>
      <c r="Y759" s="447"/>
      <c r="Z759" s="447"/>
      <c r="AA759" s="447"/>
      <c r="AB759" s="447"/>
      <c r="AC759" s="447"/>
      <c r="AD759" s="447"/>
      <c r="AE759" s="447"/>
      <c r="AF759" s="448"/>
      <c r="AG759" s="448"/>
      <c r="AH759" s="448"/>
      <c r="AI759" s="447"/>
      <c r="AJ759" s="447"/>
      <c r="AK759" s="447"/>
      <c r="AL759" s="447"/>
      <c r="AM759" s="447"/>
      <c r="AN759" s="447"/>
      <c r="AO759" s="447"/>
      <c r="AP759" s="447"/>
      <c r="AQ759" s="447"/>
      <c r="AR759" s="447"/>
      <c r="AS759" s="447"/>
      <c r="AT759" s="447"/>
      <c r="AU759" s="447"/>
      <c r="AV759" s="447"/>
      <c r="AW759" s="447"/>
      <c r="AX759" s="447"/>
      <c r="AY759" s="447"/>
      <c r="AZ759" s="447"/>
      <c r="BA759" s="447"/>
      <c r="BB759" s="447"/>
      <c r="BC759" s="447"/>
      <c r="BD759" s="447"/>
      <c r="BE759" s="447"/>
      <c r="BF759" s="447"/>
      <c r="BG759" s="447"/>
      <c r="BH759" s="447"/>
      <c r="BI759" s="447"/>
      <c r="BJ759" s="447"/>
      <c r="BK759" s="447"/>
      <c r="BL759" s="447"/>
      <c r="BM759" s="448"/>
      <c r="BN759" s="448"/>
    </row>
    <row r="760" spans="1:66" ht="11.25" customHeight="1">
      <c r="A760" s="469"/>
      <c r="B760" s="447"/>
      <c r="C760" s="447"/>
      <c r="D760" s="447"/>
      <c r="E760" s="447"/>
      <c r="F760" s="447"/>
      <c r="G760" s="447"/>
      <c r="H760" s="447"/>
      <c r="I760" s="447"/>
      <c r="J760" s="447"/>
      <c r="K760" s="447"/>
      <c r="L760" s="447"/>
      <c r="M760" s="447"/>
      <c r="N760" s="447"/>
      <c r="O760" s="447"/>
      <c r="P760" s="447"/>
      <c r="Q760" s="447"/>
      <c r="R760" s="447"/>
      <c r="S760" s="447"/>
      <c r="T760" s="447"/>
      <c r="U760" s="447"/>
      <c r="V760" s="447"/>
      <c r="W760" s="447"/>
      <c r="X760" s="447"/>
      <c r="Y760" s="447"/>
      <c r="Z760" s="447"/>
      <c r="AA760" s="447"/>
      <c r="AB760" s="447"/>
      <c r="AC760" s="447"/>
      <c r="AD760" s="447"/>
      <c r="AE760" s="447"/>
      <c r="AF760" s="448"/>
      <c r="AG760" s="448"/>
      <c r="AH760" s="448"/>
      <c r="AI760" s="447"/>
      <c r="AJ760" s="447"/>
      <c r="AK760" s="447"/>
      <c r="AL760" s="447"/>
      <c r="AM760" s="447"/>
      <c r="AN760" s="447"/>
      <c r="AO760" s="447"/>
      <c r="AP760" s="447"/>
      <c r="AQ760" s="447"/>
      <c r="AR760" s="447"/>
      <c r="AS760" s="447"/>
      <c r="AT760" s="447"/>
      <c r="AU760" s="447"/>
      <c r="AV760" s="447"/>
      <c r="AW760" s="447"/>
      <c r="AX760" s="447"/>
      <c r="AY760" s="447"/>
      <c r="AZ760" s="447"/>
      <c r="BA760" s="447"/>
      <c r="BB760" s="447"/>
      <c r="BC760" s="447"/>
      <c r="BD760" s="447"/>
      <c r="BE760" s="447"/>
      <c r="BF760" s="447"/>
      <c r="BG760" s="447"/>
      <c r="BH760" s="447"/>
      <c r="BI760" s="447"/>
      <c r="BJ760" s="447"/>
      <c r="BK760" s="447"/>
      <c r="BL760" s="447"/>
      <c r="BM760" s="448"/>
      <c r="BN760" s="448"/>
    </row>
    <row r="761" spans="1:66" ht="11.25" customHeight="1">
      <c r="A761" s="469"/>
      <c r="B761" s="447"/>
      <c r="C761" s="447"/>
      <c r="D761" s="447"/>
      <c r="E761" s="447"/>
      <c r="F761" s="447"/>
      <c r="G761" s="447"/>
      <c r="H761" s="447"/>
      <c r="I761" s="447"/>
      <c r="J761" s="447"/>
      <c r="K761" s="447"/>
      <c r="L761" s="447"/>
      <c r="M761" s="447"/>
      <c r="N761" s="447"/>
      <c r="O761" s="447"/>
      <c r="P761" s="447"/>
      <c r="Q761" s="447"/>
      <c r="R761" s="447"/>
      <c r="S761" s="447"/>
      <c r="T761" s="447"/>
      <c r="U761" s="447"/>
      <c r="V761" s="447"/>
      <c r="W761" s="447"/>
      <c r="X761" s="447"/>
      <c r="Y761" s="447"/>
      <c r="Z761" s="447"/>
      <c r="AA761" s="447"/>
      <c r="AB761" s="447"/>
      <c r="AC761" s="447"/>
      <c r="AD761" s="447"/>
      <c r="AE761" s="447"/>
      <c r="AF761" s="448"/>
      <c r="AG761" s="448"/>
      <c r="AH761" s="448"/>
      <c r="AI761" s="447"/>
      <c r="AJ761" s="447"/>
      <c r="AK761" s="447"/>
      <c r="AL761" s="447"/>
      <c r="AM761" s="447"/>
      <c r="AN761" s="447"/>
      <c r="AO761" s="447"/>
      <c r="AP761" s="447"/>
      <c r="AQ761" s="447"/>
      <c r="AR761" s="447"/>
      <c r="AS761" s="447"/>
      <c r="AT761" s="447"/>
      <c r="AU761" s="447"/>
      <c r="AV761" s="447"/>
      <c r="AW761" s="447"/>
      <c r="AX761" s="447"/>
      <c r="AY761" s="447"/>
      <c r="AZ761" s="447"/>
      <c r="BA761" s="447"/>
      <c r="BB761" s="447"/>
      <c r="BC761" s="447"/>
      <c r="BD761" s="447"/>
      <c r="BE761" s="447"/>
      <c r="BF761" s="447"/>
      <c r="BG761" s="447"/>
      <c r="BH761" s="447"/>
      <c r="BI761" s="447"/>
      <c r="BJ761" s="447"/>
      <c r="BK761" s="447"/>
      <c r="BL761" s="447"/>
      <c r="BM761" s="448"/>
      <c r="BN761" s="448"/>
    </row>
    <row r="762" spans="1:66" ht="11.25" customHeight="1">
      <c r="A762" s="469"/>
      <c r="B762" s="447"/>
      <c r="C762" s="447"/>
      <c r="D762" s="447"/>
      <c r="E762" s="447"/>
      <c r="F762" s="447"/>
      <c r="G762" s="447"/>
      <c r="H762" s="447"/>
      <c r="I762" s="447"/>
      <c r="J762" s="447"/>
      <c r="K762" s="447"/>
      <c r="L762" s="447"/>
      <c r="M762" s="447"/>
      <c r="N762" s="447"/>
      <c r="O762" s="447"/>
      <c r="P762" s="447"/>
      <c r="Q762" s="447"/>
      <c r="R762" s="447"/>
      <c r="S762" s="447"/>
      <c r="T762" s="447"/>
      <c r="U762" s="447"/>
      <c r="V762" s="447"/>
      <c r="W762" s="447"/>
      <c r="X762" s="447"/>
      <c r="Y762" s="447"/>
      <c r="Z762" s="447"/>
      <c r="AA762" s="447"/>
      <c r="AB762" s="447"/>
      <c r="AC762" s="447"/>
      <c r="AD762" s="447"/>
      <c r="AE762" s="447"/>
      <c r="AF762" s="448"/>
      <c r="AG762" s="448"/>
      <c r="AH762" s="448"/>
      <c r="AI762" s="447"/>
      <c r="AJ762" s="447"/>
      <c r="AK762" s="447"/>
      <c r="AL762" s="447"/>
      <c r="AM762" s="447"/>
      <c r="AN762" s="447"/>
      <c r="AO762" s="447"/>
      <c r="AP762" s="447"/>
      <c r="AQ762" s="447"/>
      <c r="AR762" s="447"/>
      <c r="AS762" s="447"/>
      <c r="AT762" s="447"/>
      <c r="AU762" s="447"/>
      <c r="AV762" s="447"/>
      <c r="AW762" s="447"/>
      <c r="AX762" s="447"/>
      <c r="AY762" s="447"/>
      <c r="AZ762" s="447"/>
      <c r="BA762" s="447"/>
      <c r="BB762" s="447"/>
      <c r="BC762" s="447"/>
      <c r="BD762" s="447"/>
      <c r="BE762" s="447"/>
      <c r="BF762" s="447"/>
      <c r="BG762" s="447"/>
      <c r="BH762" s="447"/>
      <c r="BI762" s="447"/>
      <c r="BJ762" s="447"/>
      <c r="BK762" s="447"/>
      <c r="BL762" s="447"/>
      <c r="BM762" s="448"/>
      <c r="BN762" s="448"/>
    </row>
    <row r="763" spans="1:66" ht="11.25" customHeight="1">
      <c r="A763" s="469"/>
      <c r="B763" s="447"/>
      <c r="C763" s="447"/>
      <c r="D763" s="447"/>
      <c r="E763" s="447"/>
      <c r="F763" s="447"/>
      <c r="G763" s="447"/>
      <c r="H763" s="447"/>
      <c r="I763" s="447"/>
      <c r="J763" s="447"/>
      <c r="K763" s="447"/>
      <c r="L763" s="447"/>
      <c r="M763" s="447"/>
      <c r="N763" s="447"/>
      <c r="O763" s="447"/>
      <c r="P763" s="447"/>
      <c r="Q763" s="447"/>
      <c r="R763" s="447"/>
      <c r="S763" s="447"/>
      <c r="T763" s="447"/>
      <c r="U763" s="447"/>
      <c r="V763" s="447"/>
      <c r="W763" s="447"/>
      <c r="X763" s="447"/>
      <c r="Y763" s="447"/>
      <c r="Z763" s="447"/>
      <c r="AA763" s="447"/>
      <c r="AB763" s="447"/>
      <c r="AC763" s="447"/>
      <c r="AD763" s="447"/>
      <c r="AE763" s="447"/>
      <c r="AF763" s="448"/>
      <c r="AG763" s="448"/>
      <c r="AH763" s="448"/>
      <c r="AI763" s="447"/>
      <c r="AJ763" s="447"/>
      <c r="AK763" s="447"/>
      <c r="AL763" s="447"/>
      <c r="AM763" s="447"/>
      <c r="AN763" s="447"/>
      <c r="AO763" s="447"/>
      <c r="AP763" s="447"/>
      <c r="AQ763" s="447"/>
      <c r="AR763" s="447"/>
      <c r="AS763" s="447"/>
      <c r="AT763" s="447"/>
      <c r="AU763" s="447"/>
      <c r="AV763" s="447"/>
      <c r="AW763" s="447"/>
      <c r="AX763" s="447"/>
      <c r="AY763" s="447"/>
      <c r="AZ763" s="447"/>
      <c r="BA763" s="447"/>
      <c r="BB763" s="447"/>
      <c r="BC763" s="447"/>
      <c r="BD763" s="447"/>
      <c r="BE763" s="447"/>
      <c r="BF763" s="447"/>
      <c r="BG763" s="447"/>
      <c r="BH763" s="447"/>
      <c r="BI763" s="447"/>
      <c r="BJ763" s="447"/>
      <c r="BK763" s="447"/>
      <c r="BL763" s="447"/>
      <c r="BM763" s="448"/>
      <c r="BN763" s="448"/>
    </row>
    <row r="764" spans="1:66" ht="11.25" customHeight="1">
      <c r="A764" s="469"/>
      <c r="B764" s="447"/>
      <c r="C764" s="447"/>
      <c r="D764" s="447"/>
      <c r="E764" s="447"/>
      <c r="F764" s="447"/>
      <c r="G764" s="447"/>
      <c r="H764" s="447"/>
      <c r="I764" s="447"/>
      <c r="J764" s="447"/>
      <c r="K764" s="447"/>
      <c r="L764" s="447"/>
      <c r="M764" s="447"/>
      <c r="N764" s="447"/>
      <c r="O764" s="447"/>
      <c r="P764" s="447"/>
      <c r="Q764" s="447"/>
      <c r="R764" s="447"/>
      <c r="S764" s="447"/>
      <c r="T764" s="447"/>
      <c r="U764" s="447"/>
      <c r="V764" s="447"/>
      <c r="W764" s="447"/>
      <c r="X764" s="447"/>
      <c r="Y764" s="447"/>
      <c r="Z764" s="447"/>
      <c r="AA764" s="447"/>
      <c r="AB764" s="447"/>
      <c r="AC764" s="447"/>
      <c r="AD764" s="447"/>
      <c r="AE764" s="447"/>
      <c r="AF764" s="448"/>
      <c r="AG764" s="448"/>
      <c r="AH764" s="448"/>
      <c r="AI764" s="447"/>
      <c r="AJ764" s="447"/>
      <c r="AK764" s="447"/>
      <c r="AL764" s="447"/>
      <c r="AM764" s="447"/>
      <c r="AN764" s="447"/>
      <c r="AO764" s="447"/>
      <c r="AP764" s="447"/>
      <c r="AQ764" s="447"/>
      <c r="AR764" s="447"/>
      <c r="AS764" s="447"/>
      <c r="AT764" s="447"/>
      <c r="AU764" s="447"/>
      <c r="AV764" s="447"/>
      <c r="AW764" s="447"/>
      <c r="AX764" s="447"/>
      <c r="AY764" s="447"/>
      <c r="AZ764" s="447"/>
      <c r="BA764" s="447"/>
      <c r="BB764" s="447"/>
      <c r="BC764" s="447"/>
      <c r="BD764" s="447"/>
      <c r="BE764" s="447"/>
      <c r="BF764" s="447"/>
      <c r="BG764" s="447"/>
      <c r="BH764" s="447"/>
      <c r="BI764" s="447"/>
      <c r="BJ764" s="447"/>
      <c r="BK764" s="447"/>
      <c r="BL764" s="447"/>
      <c r="BM764" s="448"/>
      <c r="BN764" s="448"/>
    </row>
    <row r="765" spans="1:66" ht="11.25" customHeight="1">
      <c r="A765" s="469"/>
      <c r="B765" s="447"/>
      <c r="C765" s="447"/>
      <c r="D765" s="447"/>
      <c r="E765" s="447"/>
      <c r="F765" s="447"/>
      <c r="G765" s="447"/>
      <c r="H765" s="447"/>
      <c r="I765" s="447"/>
      <c r="J765" s="447"/>
      <c r="K765" s="447"/>
      <c r="L765" s="447"/>
      <c r="M765" s="447"/>
      <c r="N765" s="447"/>
      <c r="O765" s="447"/>
      <c r="P765" s="447"/>
      <c r="Q765" s="447"/>
      <c r="R765" s="447"/>
      <c r="S765" s="447"/>
      <c r="T765" s="447"/>
      <c r="U765" s="447"/>
      <c r="V765" s="447"/>
      <c r="W765" s="447"/>
      <c r="X765" s="447"/>
      <c r="Y765" s="447"/>
      <c r="Z765" s="447"/>
      <c r="AA765" s="447"/>
      <c r="AB765" s="447"/>
      <c r="AC765" s="447"/>
      <c r="AD765" s="447"/>
      <c r="AE765" s="447"/>
      <c r="AF765" s="448"/>
      <c r="AG765" s="448"/>
      <c r="AH765" s="448"/>
      <c r="AI765" s="447"/>
      <c r="AJ765" s="447"/>
      <c r="AK765" s="447"/>
      <c r="AL765" s="447"/>
      <c r="AM765" s="447"/>
      <c r="AN765" s="447"/>
      <c r="AO765" s="447"/>
      <c r="AP765" s="447"/>
      <c r="AQ765" s="447"/>
      <c r="AR765" s="447"/>
      <c r="AS765" s="447"/>
      <c r="AT765" s="447"/>
      <c r="AU765" s="447"/>
      <c r="AV765" s="447"/>
      <c r="AW765" s="447"/>
      <c r="AX765" s="447"/>
      <c r="AY765" s="447"/>
      <c r="AZ765" s="447"/>
      <c r="BA765" s="447"/>
      <c r="BB765" s="447"/>
      <c r="BC765" s="447"/>
      <c r="BD765" s="447"/>
      <c r="BE765" s="447"/>
      <c r="BF765" s="447"/>
      <c r="BG765" s="447"/>
      <c r="BH765" s="447"/>
      <c r="BI765" s="447"/>
      <c r="BJ765" s="447"/>
      <c r="BK765" s="447"/>
      <c r="BL765" s="447"/>
      <c r="BM765" s="448"/>
      <c r="BN765" s="448"/>
    </row>
    <row r="766" spans="1:66" ht="11.25" customHeight="1">
      <c r="A766" s="469"/>
      <c r="B766" s="447"/>
      <c r="C766" s="447"/>
      <c r="D766" s="447"/>
      <c r="E766" s="447"/>
      <c r="F766" s="447"/>
      <c r="G766" s="447"/>
      <c r="H766" s="447"/>
      <c r="I766" s="447"/>
      <c r="J766" s="447"/>
      <c r="K766" s="447"/>
      <c r="L766" s="447"/>
      <c r="M766" s="447"/>
      <c r="N766" s="447"/>
      <c r="O766" s="447"/>
      <c r="P766" s="447"/>
      <c r="Q766" s="447"/>
      <c r="R766" s="447"/>
      <c r="S766" s="447"/>
      <c r="T766" s="447"/>
      <c r="U766" s="447"/>
      <c r="V766" s="447"/>
      <c r="W766" s="447"/>
      <c r="X766" s="447"/>
      <c r="Y766" s="447"/>
      <c r="Z766" s="447"/>
      <c r="AA766" s="447"/>
      <c r="AB766" s="447"/>
      <c r="AC766" s="447"/>
      <c r="AD766" s="447"/>
      <c r="AE766" s="447"/>
      <c r="AF766" s="448"/>
      <c r="AG766" s="448"/>
      <c r="AH766" s="448"/>
      <c r="AI766" s="447"/>
      <c r="AJ766" s="447"/>
      <c r="AK766" s="447"/>
      <c r="AL766" s="447"/>
      <c r="AM766" s="447"/>
      <c r="AN766" s="447"/>
      <c r="AO766" s="447"/>
      <c r="AP766" s="447"/>
      <c r="AQ766" s="447"/>
      <c r="AR766" s="447"/>
      <c r="AS766" s="447"/>
      <c r="AT766" s="447"/>
      <c r="AU766" s="447"/>
      <c r="AV766" s="447"/>
      <c r="AW766" s="447"/>
      <c r="AX766" s="447"/>
      <c r="AY766" s="447"/>
      <c r="AZ766" s="447"/>
      <c r="BA766" s="447"/>
      <c r="BB766" s="447"/>
      <c r="BC766" s="447"/>
      <c r="BD766" s="447"/>
      <c r="BE766" s="447"/>
      <c r="BF766" s="447"/>
      <c r="BG766" s="447"/>
      <c r="BH766" s="447"/>
      <c r="BI766" s="447"/>
      <c r="BJ766" s="447"/>
      <c r="BK766" s="447"/>
      <c r="BL766" s="447"/>
      <c r="BM766" s="448"/>
      <c r="BN766" s="448"/>
    </row>
    <row r="767" spans="1:66" ht="11.25" customHeight="1">
      <c r="A767" s="469"/>
      <c r="B767" s="447"/>
      <c r="C767" s="447"/>
      <c r="D767" s="447"/>
      <c r="E767" s="447"/>
      <c r="F767" s="447"/>
      <c r="G767" s="447"/>
      <c r="H767" s="447"/>
      <c r="I767" s="447"/>
      <c r="J767" s="447"/>
      <c r="K767" s="447"/>
      <c r="L767" s="447"/>
      <c r="M767" s="447"/>
      <c r="N767" s="447"/>
      <c r="O767" s="447"/>
      <c r="P767" s="447"/>
      <c r="Q767" s="447"/>
      <c r="R767" s="447"/>
      <c r="S767" s="447"/>
      <c r="T767" s="447"/>
      <c r="U767" s="447"/>
      <c r="V767" s="447"/>
      <c r="W767" s="447"/>
      <c r="X767" s="447"/>
      <c r="Y767" s="447"/>
      <c r="Z767" s="447"/>
      <c r="AA767" s="447"/>
      <c r="AB767" s="447"/>
      <c r="AC767" s="447"/>
      <c r="AD767" s="447"/>
      <c r="AE767" s="447"/>
      <c r="AF767" s="448"/>
      <c r="AG767" s="448"/>
      <c r="AH767" s="448"/>
      <c r="AI767" s="447"/>
      <c r="AJ767" s="447"/>
      <c r="AK767" s="447"/>
      <c r="AL767" s="447"/>
      <c r="AM767" s="447"/>
      <c r="AN767" s="447"/>
      <c r="AO767" s="447"/>
      <c r="AP767" s="447"/>
      <c r="AQ767" s="447"/>
      <c r="AR767" s="447"/>
      <c r="AS767" s="447"/>
      <c r="AT767" s="447"/>
      <c r="AU767" s="447"/>
      <c r="AV767" s="447"/>
      <c r="AW767" s="447"/>
      <c r="AX767" s="447"/>
      <c r="AY767" s="447"/>
      <c r="AZ767" s="447"/>
      <c r="BA767" s="447"/>
      <c r="BB767" s="447"/>
      <c r="BC767" s="447"/>
      <c r="BD767" s="447"/>
      <c r="BE767" s="447"/>
      <c r="BF767" s="447"/>
      <c r="BG767" s="447"/>
      <c r="BH767" s="447"/>
      <c r="BI767" s="447"/>
      <c r="BJ767" s="447"/>
      <c r="BK767" s="447"/>
      <c r="BL767" s="447"/>
      <c r="BM767" s="448"/>
      <c r="BN767" s="448"/>
    </row>
    <row r="768" spans="1:66" ht="11.25" customHeight="1">
      <c r="A768" s="469"/>
      <c r="B768" s="447"/>
      <c r="C768" s="447"/>
      <c r="D768" s="447"/>
      <c r="E768" s="447"/>
      <c r="F768" s="447"/>
      <c r="G768" s="447"/>
      <c r="H768" s="447"/>
      <c r="I768" s="447"/>
      <c r="J768" s="447"/>
      <c r="K768" s="447"/>
      <c r="L768" s="447"/>
      <c r="M768" s="447"/>
      <c r="N768" s="447"/>
      <c r="O768" s="447"/>
      <c r="P768" s="447"/>
      <c r="Q768" s="447"/>
      <c r="R768" s="447"/>
      <c r="S768" s="447"/>
      <c r="T768" s="447"/>
      <c r="U768" s="447"/>
      <c r="V768" s="447"/>
      <c r="W768" s="447"/>
      <c r="X768" s="447"/>
      <c r="Y768" s="447"/>
      <c r="Z768" s="447"/>
      <c r="AA768" s="447"/>
      <c r="AB768" s="447"/>
      <c r="AC768" s="447"/>
      <c r="AD768" s="447"/>
      <c r="AE768" s="447"/>
      <c r="AF768" s="448"/>
      <c r="AG768" s="448"/>
      <c r="AH768" s="448"/>
      <c r="AI768" s="447"/>
      <c r="AJ768" s="447"/>
      <c r="AK768" s="447"/>
      <c r="AL768" s="447"/>
      <c r="AM768" s="447"/>
      <c r="AN768" s="447"/>
      <c r="AO768" s="447"/>
      <c r="AP768" s="447"/>
      <c r="AQ768" s="447"/>
      <c r="AR768" s="447"/>
      <c r="AS768" s="447"/>
      <c r="AT768" s="447"/>
      <c r="AU768" s="447"/>
      <c r="AV768" s="447"/>
      <c r="AW768" s="447"/>
      <c r="AX768" s="447"/>
      <c r="AY768" s="447"/>
      <c r="AZ768" s="447"/>
      <c r="BA768" s="447"/>
      <c r="BB768" s="447"/>
      <c r="BC768" s="447"/>
      <c r="BD768" s="447"/>
      <c r="BE768" s="447"/>
      <c r="BF768" s="447"/>
      <c r="BG768" s="447"/>
      <c r="BH768" s="447"/>
      <c r="BI768" s="447"/>
      <c r="BJ768" s="447"/>
      <c r="BK768" s="447"/>
      <c r="BL768" s="447"/>
      <c r="BM768" s="448"/>
      <c r="BN768" s="448"/>
    </row>
    <row r="769" spans="1:66" ht="11.25" customHeight="1">
      <c r="A769" s="469"/>
      <c r="B769" s="447"/>
      <c r="C769" s="447"/>
      <c r="D769" s="447"/>
      <c r="E769" s="447"/>
      <c r="F769" s="447"/>
      <c r="G769" s="447"/>
      <c r="H769" s="447"/>
      <c r="I769" s="447"/>
      <c r="J769" s="447"/>
      <c r="K769" s="447"/>
      <c r="L769" s="447"/>
      <c r="M769" s="447"/>
      <c r="N769" s="447"/>
      <c r="O769" s="447"/>
      <c r="P769" s="447"/>
      <c r="Q769" s="447"/>
      <c r="R769" s="447"/>
      <c r="S769" s="447"/>
      <c r="T769" s="447"/>
      <c r="U769" s="447"/>
      <c r="V769" s="447"/>
      <c r="W769" s="447"/>
      <c r="X769" s="447"/>
      <c r="Y769" s="447"/>
      <c r="Z769" s="447"/>
      <c r="AA769" s="447"/>
      <c r="AB769" s="447"/>
      <c r="AC769" s="447"/>
      <c r="AD769" s="447"/>
      <c r="AE769" s="447"/>
      <c r="AF769" s="448"/>
      <c r="AG769" s="448"/>
      <c r="AH769" s="448"/>
      <c r="AI769" s="447"/>
      <c r="AJ769" s="447"/>
      <c r="AK769" s="447"/>
      <c r="AL769" s="447"/>
      <c r="AM769" s="447"/>
      <c r="AN769" s="447"/>
      <c r="AO769" s="447"/>
      <c r="AP769" s="447"/>
      <c r="AQ769" s="447"/>
      <c r="AR769" s="447"/>
      <c r="AS769" s="447"/>
      <c r="AT769" s="447"/>
      <c r="AU769" s="447"/>
      <c r="AV769" s="447"/>
      <c r="AW769" s="447"/>
      <c r="AX769" s="447"/>
      <c r="AY769" s="447"/>
      <c r="AZ769" s="447"/>
      <c r="BA769" s="447"/>
      <c r="BB769" s="447"/>
      <c r="BC769" s="447"/>
      <c r="BD769" s="447"/>
      <c r="BE769" s="447"/>
      <c r="BF769" s="447"/>
      <c r="BG769" s="447"/>
      <c r="BH769" s="447"/>
      <c r="BI769" s="447"/>
      <c r="BJ769" s="447"/>
      <c r="BK769" s="447"/>
      <c r="BL769" s="447"/>
      <c r="BM769" s="448"/>
      <c r="BN769" s="448"/>
    </row>
    <row r="770" spans="1:66" ht="11.25" customHeight="1">
      <c r="A770" s="469"/>
      <c r="B770" s="447"/>
      <c r="C770" s="447"/>
      <c r="D770" s="447"/>
      <c r="E770" s="447"/>
      <c r="F770" s="447"/>
      <c r="G770" s="447"/>
      <c r="H770" s="447"/>
      <c r="I770" s="447"/>
      <c r="J770" s="447"/>
      <c r="K770" s="447"/>
      <c r="L770" s="447"/>
      <c r="M770" s="447"/>
      <c r="N770" s="447"/>
      <c r="O770" s="447"/>
      <c r="P770" s="447"/>
      <c r="Q770" s="447"/>
      <c r="R770" s="447"/>
      <c r="S770" s="447"/>
      <c r="T770" s="447"/>
      <c r="U770" s="447"/>
      <c r="V770" s="447"/>
      <c r="W770" s="447"/>
      <c r="X770" s="447"/>
      <c r="Y770" s="447"/>
      <c r="Z770" s="447"/>
      <c r="AA770" s="447"/>
      <c r="AB770" s="447"/>
      <c r="AC770" s="447"/>
      <c r="AD770" s="447"/>
      <c r="AE770" s="447"/>
      <c r="AF770" s="448"/>
      <c r="AG770" s="448"/>
      <c r="AH770" s="448"/>
      <c r="AI770" s="447"/>
      <c r="AJ770" s="447"/>
      <c r="AK770" s="447"/>
      <c r="AL770" s="447"/>
      <c r="AM770" s="447"/>
      <c r="AN770" s="447"/>
      <c r="AO770" s="447"/>
      <c r="AP770" s="447"/>
      <c r="AQ770" s="447"/>
      <c r="AR770" s="447"/>
      <c r="AS770" s="447"/>
      <c r="AT770" s="447"/>
      <c r="AU770" s="447"/>
      <c r="AV770" s="447"/>
      <c r="AW770" s="447"/>
      <c r="AX770" s="447"/>
      <c r="AY770" s="447"/>
      <c r="AZ770" s="447"/>
      <c r="BA770" s="447"/>
      <c r="BB770" s="447"/>
      <c r="BC770" s="447"/>
      <c r="BD770" s="447"/>
      <c r="BE770" s="447"/>
      <c r="BF770" s="447"/>
      <c r="BG770" s="447"/>
      <c r="BH770" s="447"/>
      <c r="BI770" s="447"/>
      <c r="BJ770" s="447"/>
      <c r="BK770" s="447"/>
      <c r="BL770" s="447"/>
      <c r="BM770" s="448"/>
      <c r="BN770" s="448"/>
    </row>
    <row r="771" spans="1:66" ht="11.25" customHeight="1">
      <c r="A771" s="469"/>
      <c r="B771" s="447"/>
      <c r="C771" s="447"/>
      <c r="D771" s="447"/>
      <c r="E771" s="447"/>
      <c r="F771" s="447"/>
      <c r="G771" s="447"/>
      <c r="H771" s="447"/>
      <c r="I771" s="447"/>
      <c r="J771" s="447"/>
      <c r="K771" s="447"/>
      <c r="L771" s="447"/>
      <c r="M771" s="447"/>
      <c r="N771" s="447"/>
      <c r="O771" s="447"/>
      <c r="P771" s="447"/>
      <c r="Q771" s="447"/>
      <c r="R771" s="447"/>
      <c r="S771" s="447"/>
      <c r="T771" s="447"/>
      <c r="U771" s="447"/>
      <c r="V771" s="447"/>
      <c r="W771" s="447"/>
      <c r="X771" s="447"/>
      <c r="Y771" s="447"/>
      <c r="Z771" s="447"/>
      <c r="AA771" s="447"/>
      <c r="AB771" s="447"/>
      <c r="AC771" s="447"/>
      <c r="AD771" s="447"/>
      <c r="AE771" s="447"/>
      <c r="AF771" s="448"/>
      <c r="AG771" s="448"/>
      <c r="AH771" s="448"/>
      <c r="AI771" s="447"/>
      <c r="AJ771" s="447"/>
      <c r="AK771" s="447"/>
      <c r="AL771" s="447"/>
      <c r="AM771" s="447"/>
      <c r="AN771" s="447"/>
      <c r="AO771" s="447"/>
      <c r="AP771" s="447"/>
      <c r="AQ771" s="447"/>
      <c r="AR771" s="447"/>
      <c r="AS771" s="447"/>
      <c r="AT771" s="447"/>
      <c r="AU771" s="447"/>
      <c r="AV771" s="447"/>
      <c r="AW771" s="447"/>
      <c r="AX771" s="447"/>
      <c r="AY771" s="447"/>
      <c r="AZ771" s="447"/>
      <c r="BA771" s="447"/>
      <c r="BB771" s="447"/>
      <c r="BC771" s="447"/>
      <c r="BD771" s="447"/>
      <c r="BE771" s="447"/>
      <c r="BF771" s="447"/>
      <c r="BG771" s="447"/>
      <c r="BH771" s="447"/>
      <c r="BI771" s="447"/>
      <c r="BJ771" s="447"/>
      <c r="BK771" s="447"/>
      <c r="BL771" s="447"/>
      <c r="BM771" s="448"/>
      <c r="BN771" s="448"/>
    </row>
    <row r="772" spans="1:66" ht="11.25" customHeight="1">
      <c r="A772" s="469"/>
      <c r="B772" s="447"/>
      <c r="C772" s="447"/>
      <c r="D772" s="447"/>
      <c r="E772" s="447"/>
      <c r="F772" s="447"/>
      <c r="G772" s="447"/>
      <c r="H772" s="447"/>
      <c r="I772" s="447"/>
      <c r="J772" s="447"/>
      <c r="K772" s="447"/>
      <c r="L772" s="447"/>
      <c r="M772" s="447"/>
      <c r="N772" s="447"/>
      <c r="O772" s="447"/>
      <c r="P772" s="447"/>
      <c r="Q772" s="447"/>
      <c r="R772" s="447"/>
      <c r="S772" s="447"/>
      <c r="T772" s="447"/>
      <c r="U772" s="447"/>
      <c r="V772" s="447"/>
      <c r="W772" s="447"/>
      <c r="X772" s="447"/>
      <c r="Y772" s="447"/>
      <c r="Z772" s="447"/>
      <c r="AA772" s="447"/>
      <c r="AB772" s="447"/>
      <c r="AC772" s="447"/>
      <c r="AD772" s="447"/>
      <c r="AE772" s="447"/>
      <c r="AF772" s="448"/>
      <c r="AG772" s="448"/>
      <c r="AH772" s="448"/>
      <c r="AI772" s="447"/>
      <c r="AJ772" s="447"/>
      <c r="AK772" s="447"/>
      <c r="AL772" s="447"/>
      <c r="AM772" s="447"/>
      <c r="AN772" s="447"/>
      <c r="AO772" s="447"/>
      <c r="AP772" s="447"/>
      <c r="AQ772" s="447"/>
      <c r="AR772" s="447"/>
      <c r="AS772" s="447"/>
      <c r="AT772" s="447"/>
      <c r="AU772" s="447"/>
      <c r="AV772" s="447"/>
      <c r="AW772" s="447"/>
      <c r="AX772" s="447"/>
      <c r="AY772" s="447"/>
      <c r="AZ772" s="447"/>
      <c r="BA772" s="447"/>
      <c r="BB772" s="447"/>
      <c r="BC772" s="447"/>
      <c r="BD772" s="447"/>
      <c r="BE772" s="447"/>
      <c r="BF772" s="447"/>
      <c r="BG772" s="447"/>
      <c r="BH772" s="447"/>
      <c r="BI772" s="447"/>
      <c r="BJ772" s="447"/>
      <c r="BK772" s="447"/>
      <c r="BL772" s="447"/>
      <c r="BM772" s="448"/>
      <c r="BN772" s="448"/>
    </row>
    <row r="773" spans="1:66" ht="11.25" customHeight="1">
      <c r="A773" s="469"/>
      <c r="B773" s="447"/>
      <c r="C773" s="447"/>
      <c r="D773" s="447"/>
      <c r="E773" s="447"/>
      <c r="F773" s="447"/>
      <c r="G773" s="447"/>
      <c r="H773" s="447"/>
      <c r="I773" s="447"/>
      <c r="J773" s="447"/>
      <c r="K773" s="447"/>
      <c r="L773" s="447"/>
      <c r="M773" s="447"/>
      <c r="N773" s="447"/>
      <c r="O773" s="447"/>
      <c r="P773" s="447"/>
      <c r="Q773" s="447"/>
      <c r="R773" s="447"/>
      <c r="S773" s="447"/>
      <c r="T773" s="447"/>
      <c r="U773" s="447"/>
      <c r="V773" s="447"/>
      <c r="W773" s="447"/>
      <c r="X773" s="447"/>
      <c r="Y773" s="447"/>
      <c r="Z773" s="447"/>
      <c r="AA773" s="447"/>
      <c r="AB773" s="447"/>
      <c r="AC773" s="447"/>
      <c r="AD773" s="447"/>
      <c r="AE773" s="447"/>
      <c r="AF773" s="448"/>
      <c r="AG773" s="448"/>
      <c r="AH773" s="448"/>
      <c r="AI773" s="447"/>
      <c r="AJ773" s="447"/>
      <c r="AK773" s="447"/>
      <c r="AL773" s="447"/>
      <c r="AM773" s="447"/>
      <c r="AN773" s="447"/>
      <c r="AO773" s="447"/>
      <c r="AP773" s="447"/>
      <c r="AQ773" s="447"/>
      <c r="AR773" s="447"/>
      <c r="AS773" s="447"/>
      <c r="AT773" s="447"/>
      <c r="AU773" s="447"/>
      <c r="AV773" s="447"/>
      <c r="AW773" s="447"/>
      <c r="AX773" s="447"/>
      <c r="AY773" s="447"/>
      <c r="AZ773" s="447"/>
      <c r="BA773" s="447"/>
      <c r="BB773" s="447"/>
      <c r="BC773" s="447"/>
      <c r="BD773" s="447"/>
      <c r="BE773" s="447"/>
      <c r="BF773" s="447"/>
      <c r="BG773" s="447"/>
      <c r="BH773" s="447"/>
      <c r="BI773" s="447"/>
      <c r="BJ773" s="447"/>
      <c r="BK773" s="447"/>
      <c r="BL773" s="447"/>
      <c r="BM773" s="448"/>
      <c r="BN773" s="448"/>
    </row>
    <row r="774" spans="1:66" ht="11.25" customHeight="1">
      <c r="A774" s="469"/>
      <c r="B774" s="447"/>
      <c r="C774" s="447"/>
      <c r="D774" s="447"/>
      <c r="E774" s="447"/>
      <c r="F774" s="447"/>
      <c r="G774" s="447"/>
      <c r="H774" s="447"/>
      <c r="I774" s="447"/>
      <c r="J774" s="447"/>
      <c r="K774" s="447"/>
      <c r="L774" s="447"/>
      <c r="M774" s="447"/>
      <c r="N774" s="447"/>
      <c r="O774" s="447"/>
      <c r="P774" s="447"/>
      <c r="Q774" s="447"/>
      <c r="R774" s="447"/>
      <c r="S774" s="447"/>
      <c r="T774" s="447"/>
      <c r="U774" s="447"/>
      <c r="V774" s="447"/>
      <c r="W774" s="447"/>
      <c r="X774" s="447"/>
      <c r="Y774" s="447"/>
      <c r="Z774" s="447"/>
      <c r="AA774" s="447"/>
      <c r="AB774" s="447"/>
      <c r="AC774" s="447"/>
      <c r="AD774" s="447"/>
      <c r="AE774" s="447"/>
      <c r="AF774" s="448"/>
      <c r="AG774" s="448"/>
      <c r="AH774" s="448"/>
      <c r="AI774" s="447"/>
      <c r="AJ774" s="447"/>
      <c r="AK774" s="447"/>
      <c r="AL774" s="447"/>
      <c r="AM774" s="447"/>
      <c r="AN774" s="447"/>
      <c r="AO774" s="447"/>
      <c r="AP774" s="447"/>
      <c r="AQ774" s="447"/>
      <c r="AR774" s="447"/>
      <c r="AS774" s="447"/>
      <c r="AT774" s="447"/>
      <c r="AU774" s="447"/>
      <c r="AV774" s="447"/>
      <c r="AW774" s="447"/>
      <c r="AX774" s="447"/>
      <c r="AY774" s="447"/>
      <c r="AZ774" s="447"/>
      <c r="BA774" s="447"/>
      <c r="BB774" s="447"/>
      <c r="BC774" s="447"/>
      <c r="BD774" s="447"/>
      <c r="BE774" s="447"/>
      <c r="BF774" s="447"/>
      <c r="BG774" s="447"/>
      <c r="BH774" s="447"/>
      <c r="BI774" s="447"/>
      <c r="BJ774" s="447"/>
      <c r="BK774" s="447"/>
      <c r="BL774" s="447"/>
      <c r="BM774" s="448"/>
      <c r="BN774" s="448"/>
    </row>
    <row r="775" spans="1:66" ht="11.25" customHeight="1">
      <c r="A775" s="469"/>
      <c r="B775" s="447"/>
      <c r="C775" s="447"/>
      <c r="D775" s="447"/>
      <c r="E775" s="447"/>
      <c r="F775" s="447"/>
      <c r="G775" s="447"/>
      <c r="H775" s="447"/>
      <c r="I775" s="447"/>
      <c r="J775" s="447"/>
      <c r="K775" s="447"/>
      <c r="L775" s="447"/>
      <c r="M775" s="447"/>
      <c r="N775" s="447"/>
      <c r="O775" s="447"/>
      <c r="P775" s="447"/>
      <c r="Q775" s="447"/>
      <c r="R775" s="447"/>
      <c r="S775" s="447"/>
      <c r="T775" s="447"/>
      <c r="U775" s="447"/>
      <c r="V775" s="447"/>
      <c r="W775" s="447"/>
      <c r="X775" s="447"/>
      <c r="Y775" s="447"/>
      <c r="Z775" s="447"/>
      <c r="AA775" s="447"/>
      <c r="AB775" s="447"/>
      <c r="AC775" s="447"/>
      <c r="AD775" s="447"/>
      <c r="AE775" s="447"/>
      <c r="AF775" s="448"/>
      <c r="AG775" s="448"/>
      <c r="AH775" s="448"/>
      <c r="AI775" s="447"/>
      <c r="AJ775" s="447"/>
      <c r="AK775" s="447"/>
      <c r="AL775" s="447"/>
      <c r="AM775" s="447"/>
      <c r="AN775" s="447"/>
      <c r="AO775" s="447"/>
      <c r="AP775" s="447"/>
      <c r="AQ775" s="447"/>
      <c r="AR775" s="447"/>
      <c r="AS775" s="447"/>
      <c r="AT775" s="447"/>
      <c r="AU775" s="447"/>
      <c r="AV775" s="447"/>
      <c r="AW775" s="447"/>
      <c r="AX775" s="447"/>
      <c r="AY775" s="447"/>
      <c r="AZ775" s="447"/>
      <c r="BA775" s="447"/>
      <c r="BB775" s="447"/>
      <c r="BC775" s="447"/>
      <c r="BD775" s="447"/>
      <c r="BE775" s="447"/>
      <c r="BF775" s="447"/>
      <c r="BG775" s="447"/>
      <c r="BH775" s="447"/>
      <c r="BI775" s="447"/>
      <c r="BJ775" s="447"/>
      <c r="BK775" s="447"/>
      <c r="BL775" s="447"/>
      <c r="BM775" s="448"/>
      <c r="BN775" s="448"/>
    </row>
    <row r="776" spans="1:66" ht="11.25" customHeight="1">
      <c r="A776" s="469"/>
      <c r="B776" s="447"/>
      <c r="C776" s="447"/>
      <c r="D776" s="447"/>
      <c r="E776" s="447"/>
      <c r="F776" s="447"/>
      <c r="G776" s="447"/>
      <c r="H776" s="447"/>
      <c r="I776" s="447"/>
      <c r="J776" s="447"/>
      <c r="K776" s="447"/>
      <c r="L776" s="447"/>
      <c r="M776" s="447"/>
      <c r="N776" s="447"/>
      <c r="O776" s="447"/>
      <c r="P776" s="447"/>
      <c r="Q776" s="447"/>
      <c r="R776" s="447"/>
      <c r="S776" s="447"/>
      <c r="T776" s="447"/>
      <c r="U776" s="447"/>
      <c r="V776" s="447"/>
      <c r="W776" s="447"/>
      <c r="X776" s="447"/>
      <c r="Y776" s="447"/>
      <c r="Z776" s="447"/>
      <c r="AA776" s="447"/>
      <c r="AB776" s="447"/>
      <c r="AC776" s="447"/>
      <c r="AD776" s="447"/>
      <c r="AE776" s="447"/>
      <c r="AF776" s="448"/>
      <c r="AG776" s="448"/>
      <c r="AH776" s="448"/>
      <c r="AI776" s="447"/>
      <c r="AJ776" s="447"/>
      <c r="AK776" s="447"/>
      <c r="AL776" s="447"/>
      <c r="AM776" s="447"/>
      <c r="AN776" s="447"/>
      <c r="AO776" s="447"/>
      <c r="AP776" s="447"/>
      <c r="AQ776" s="447"/>
      <c r="AR776" s="447"/>
      <c r="AS776" s="447"/>
      <c r="AT776" s="447"/>
      <c r="AU776" s="447"/>
      <c r="AV776" s="447"/>
      <c r="AW776" s="447"/>
      <c r="AX776" s="447"/>
      <c r="AY776" s="447"/>
      <c r="AZ776" s="447"/>
      <c r="BA776" s="447"/>
      <c r="BB776" s="447"/>
      <c r="BC776" s="447"/>
      <c r="BD776" s="447"/>
      <c r="BE776" s="447"/>
      <c r="BF776" s="447"/>
      <c r="BG776" s="447"/>
      <c r="BH776" s="447"/>
      <c r="BI776" s="447"/>
      <c r="BJ776" s="447"/>
      <c r="BK776" s="447"/>
      <c r="BL776" s="447"/>
      <c r="BM776" s="448"/>
      <c r="BN776" s="448"/>
    </row>
    <row r="777" spans="1:66" ht="11.25" customHeight="1">
      <c r="A777" s="469"/>
      <c r="B777" s="447"/>
      <c r="C777" s="447"/>
      <c r="D777" s="447"/>
      <c r="E777" s="447"/>
      <c r="F777" s="447"/>
      <c r="G777" s="447"/>
      <c r="H777" s="447"/>
      <c r="I777" s="447"/>
      <c r="J777" s="447"/>
      <c r="K777" s="447"/>
      <c r="L777" s="447"/>
      <c r="M777" s="447"/>
      <c r="N777" s="447"/>
      <c r="O777" s="447"/>
      <c r="P777" s="447"/>
      <c r="Q777" s="447"/>
      <c r="R777" s="447"/>
      <c r="S777" s="447"/>
      <c r="T777" s="447"/>
      <c r="U777" s="447"/>
      <c r="V777" s="447"/>
      <c r="W777" s="447"/>
      <c r="X777" s="447"/>
      <c r="Y777" s="447"/>
      <c r="Z777" s="447"/>
      <c r="AA777" s="447"/>
      <c r="AB777" s="447"/>
      <c r="AC777" s="447"/>
      <c r="AD777" s="447"/>
      <c r="AE777" s="447"/>
      <c r="AF777" s="448"/>
      <c r="AG777" s="448"/>
      <c r="AH777" s="448"/>
      <c r="AI777" s="447"/>
      <c r="AJ777" s="447"/>
      <c r="AK777" s="447"/>
      <c r="AL777" s="447"/>
      <c r="AM777" s="447"/>
      <c r="AN777" s="447"/>
      <c r="AO777" s="447"/>
      <c r="AP777" s="447"/>
      <c r="AQ777" s="447"/>
      <c r="AR777" s="447"/>
      <c r="AS777" s="447"/>
      <c r="AT777" s="447"/>
      <c r="AU777" s="447"/>
      <c r="AV777" s="447"/>
      <c r="AW777" s="447"/>
      <c r="AX777" s="447"/>
      <c r="AY777" s="447"/>
      <c r="AZ777" s="447"/>
      <c r="BA777" s="447"/>
      <c r="BB777" s="447"/>
      <c r="BC777" s="447"/>
      <c r="BD777" s="447"/>
      <c r="BE777" s="447"/>
      <c r="BF777" s="447"/>
      <c r="BG777" s="447"/>
      <c r="BH777" s="447"/>
      <c r="BI777" s="447"/>
      <c r="BJ777" s="447"/>
      <c r="BK777" s="447"/>
      <c r="BL777" s="447"/>
      <c r="BM777" s="448"/>
      <c r="BN777" s="448"/>
    </row>
    <row r="778" spans="1:66" ht="11.25" customHeight="1">
      <c r="A778" s="469"/>
      <c r="B778" s="447"/>
      <c r="C778" s="447"/>
      <c r="D778" s="447"/>
      <c r="E778" s="447"/>
      <c r="F778" s="447"/>
      <c r="G778" s="447"/>
      <c r="H778" s="447"/>
      <c r="I778" s="447"/>
      <c r="J778" s="447"/>
      <c r="K778" s="447"/>
      <c r="L778" s="447"/>
      <c r="M778" s="447"/>
      <c r="N778" s="447"/>
      <c r="O778" s="447"/>
      <c r="P778" s="447"/>
      <c r="Q778" s="447"/>
      <c r="R778" s="447"/>
      <c r="S778" s="447"/>
      <c r="T778" s="447"/>
      <c r="U778" s="447"/>
      <c r="V778" s="447"/>
      <c r="W778" s="447"/>
      <c r="X778" s="447"/>
      <c r="Y778" s="447"/>
      <c r="Z778" s="447"/>
      <c r="AA778" s="447"/>
      <c r="AB778" s="447"/>
      <c r="AC778" s="447"/>
      <c r="AD778" s="447"/>
      <c r="AE778" s="447"/>
      <c r="AF778" s="448"/>
      <c r="AG778" s="448"/>
      <c r="AH778" s="448"/>
      <c r="AI778" s="447"/>
      <c r="AJ778" s="447"/>
      <c r="AK778" s="447"/>
      <c r="AL778" s="447"/>
      <c r="AM778" s="447"/>
      <c r="AN778" s="447"/>
      <c r="AO778" s="447"/>
      <c r="AP778" s="447"/>
      <c r="AQ778" s="447"/>
      <c r="AR778" s="447"/>
      <c r="AS778" s="447"/>
      <c r="AT778" s="447"/>
      <c r="AU778" s="447"/>
      <c r="AV778" s="447"/>
      <c r="AW778" s="447"/>
      <c r="AX778" s="447"/>
      <c r="AY778" s="447"/>
      <c r="AZ778" s="447"/>
      <c r="BA778" s="447"/>
      <c r="BB778" s="447"/>
      <c r="BC778" s="447"/>
      <c r="BD778" s="447"/>
      <c r="BE778" s="447"/>
      <c r="BF778" s="447"/>
      <c r="BG778" s="447"/>
      <c r="BH778" s="447"/>
      <c r="BI778" s="447"/>
      <c r="BJ778" s="447"/>
      <c r="BK778" s="447"/>
      <c r="BL778" s="447"/>
      <c r="BM778" s="448"/>
      <c r="BN778" s="448"/>
    </row>
    <row r="779" spans="1:66" ht="11.25" customHeight="1">
      <c r="A779" s="469"/>
      <c r="B779" s="447"/>
      <c r="C779" s="447"/>
      <c r="D779" s="447"/>
      <c r="E779" s="447"/>
      <c r="F779" s="447"/>
      <c r="G779" s="447"/>
      <c r="H779" s="447"/>
      <c r="I779" s="447"/>
      <c r="J779" s="447"/>
      <c r="K779" s="447"/>
      <c r="L779" s="447"/>
      <c r="M779" s="447"/>
      <c r="N779" s="447"/>
      <c r="O779" s="447"/>
      <c r="P779" s="447"/>
      <c r="Q779" s="447"/>
      <c r="R779" s="447"/>
      <c r="S779" s="447"/>
      <c r="T779" s="447"/>
      <c r="U779" s="447"/>
      <c r="V779" s="447"/>
      <c r="W779" s="447"/>
      <c r="X779" s="447"/>
      <c r="Y779" s="447"/>
      <c r="Z779" s="447"/>
      <c r="AA779" s="447"/>
      <c r="AB779" s="447"/>
      <c r="AC779" s="447"/>
      <c r="AD779" s="447"/>
      <c r="AE779" s="447"/>
      <c r="AF779" s="448"/>
      <c r="AG779" s="448"/>
      <c r="AH779" s="448"/>
      <c r="AI779" s="447"/>
      <c r="AJ779" s="447"/>
      <c r="AK779" s="447"/>
      <c r="AL779" s="447"/>
      <c r="AM779" s="447"/>
      <c r="AN779" s="447"/>
      <c r="AO779" s="447"/>
      <c r="AP779" s="447"/>
      <c r="AQ779" s="447"/>
      <c r="AR779" s="447"/>
      <c r="AS779" s="447"/>
      <c r="AT779" s="447"/>
      <c r="AU779" s="447"/>
      <c r="AV779" s="447"/>
      <c r="AW779" s="447"/>
      <c r="AX779" s="447"/>
      <c r="AY779" s="447"/>
      <c r="AZ779" s="447"/>
      <c r="BA779" s="447"/>
      <c r="BB779" s="447"/>
      <c r="BC779" s="447"/>
      <c r="BD779" s="447"/>
      <c r="BE779" s="447"/>
      <c r="BF779" s="447"/>
      <c r="BG779" s="447"/>
      <c r="BH779" s="447"/>
      <c r="BI779" s="447"/>
      <c r="BJ779" s="447"/>
      <c r="BK779" s="447"/>
      <c r="BL779" s="447"/>
      <c r="BM779" s="448"/>
      <c r="BN779" s="448"/>
    </row>
    <row r="780" spans="1:66" ht="11.25" customHeight="1">
      <c r="A780" s="469"/>
      <c r="B780" s="447"/>
      <c r="C780" s="447"/>
      <c r="D780" s="447"/>
      <c r="E780" s="447"/>
      <c r="F780" s="447"/>
      <c r="G780" s="447"/>
      <c r="H780" s="447"/>
      <c r="I780" s="447"/>
      <c r="J780" s="447"/>
      <c r="K780" s="447"/>
      <c r="L780" s="447"/>
      <c r="M780" s="447"/>
      <c r="N780" s="447"/>
      <c r="O780" s="447"/>
      <c r="P780" s="447"/>
      <c r="Q780" s="447"/>
      <c r="R780" s="447"/>
      <c r="S780" s="447"/>
      <c r="T780" s="447"/>
      <c r="U780" s="447"/>
      <c r="V780" s="447"/>
      <c r="W780" s="447"/>
      <c r="X780" s="447"/>
      <c r="Y780" s="447"/>
      <c r="Z780" s="447"/>
      <c r="AA780" s="447"/>
      <c r="AB780" s="447"/>
      <c r="AC780" s="447"/>
      <c r="AD780" s="447"/>
      <c r="AE780" s="447"/>
      <c r="AF780" s="448"/>
      <c r="AG780" s="448"/>
      <c r="AH780" s="448"/>
      <c r="AI780" s="447"/>
      <c r="AJ780" s="447"/>
      <c r="AK780" s="447"/>
      <c r="AL780" s="447"/>
      <c r="AM780" s="447"/>
      <c r="AN780" s="447"/>
      <c r="AO780" s="447"/>
      <c r="AP780" s="447"/>
      <c r="AQ780" s="447"/>
      <c r="AR780" s="447"/>
      <c r="AS780" s="447"/>
      <c r="AT780" s="447"/>
      <c r="AU780" s="447"/>
      <c r="AV780" s="447"/>
      <c r="AW780" s="447"/>
      <c r="AX780" s="447"/>
      <c r="AY780" s="447"/>
      <c r="AZ780" s="447"/>
      <c r="BA780" s="447"/>
      <c r="BB780" s="447"/>
      <c r="BC780" s="447"/>
      <c r="BD780" s="447"/>
      <c r="BE780" s="447"/>
      <c r="BF780" s="447"/>
      <c r="BG780" s="447"/>
      <c r="BH780" s="447"/>
      <c r="BI780" s="447"/>
      <c r="BJ780" s="447"/>
      <c r="BK780" s="447"/>
      <c r="BL780" s="447"/>
      <c r="BM780" s="448"/>
      <c r="BN780" s="448"/>
    </row>
    <row r="781" spans="1:66" ht="11.25" customHeight="1">
      <c r="A781" s="469"/>
      <c r="B781" s="447"/>
      <c r="C781" s="447"/>
      <c r="D781" s="447"/>
      <c r="E781" s="447"/>
      <c r="F781" s="447"/>
      <c r="G781" s="447"/>
      <c r="H781" s="447"/>
      <c r="I781" s="447"/>
      <c r="J781" s="447"/>
      <c r="K781" s="447"/>
      <c r="L781" s="447"/>
      <c r="M781" s="447"/>
      <c r="N781" s="447"/>
      <c r="O781" s="447"/>
      <c r="P781" s="447"/>
      <c r="Q781" s="447"/>
      <c r="R781" s="447"/>
      <c r="S781" s="447"/>
      <c r="T781" s="447"/>
      <c r="U781" s="447"/>
      <c r="V781" s="447"/>
      <c r="W781" s="447"/>
      <c r="X781" s="447"/>
      <c r="Y781" s="447"/>
      <c r="Z781" s="447"/>
      <c r="AA781" s="447"/>
      <c r="AB781" s="447"/>
      <c r="AC781" s="447"/>
      <c r="AD781" s="447"/>
      <c r="AE781" s="447"/>
      <c r="AF781" s="448"/>
      <c r="AG781" s="448"/>
      <c r="AH781" s="448"/>
      <c r="AI781" s="447"/>
      <c r="AJ781" s="447"/>
      <c r="AK781" s="447"/>
      <c r="AL781" s="447"/>
      <c r="AM781" s="447"/>
      <c r="AN781" s="447"/>
      <c r="AO781" s="447"/>
      <c r="AP781" s="447"/>
      <c r="AQ781" s="447"/>
      <c r="AR781" s="447"/>
      <c r="AS781" s="447"/>
      <c r="AT781" s="447"/>
      <c r="AU781" s="447"/>
      <c r="AV781" s="447"/>
      <c r="AW781" s="447"/>
      <c r="AX781" s="447"/>
      <c r="AY781" s="447"/>
      <c r="AZ781" s="447"/>
      <c r="BA781" s="447"/>
      <c r="BB781" s="447"/>
      <c r="BC781" s="447"/>
      <c r="BD781" s="447"/>
      <c r="BE781" s="447"/>
      <c r="BF781" s="447"/>
      <c r="BG781" s="447"/>
      <c r="BH781" s="447"/>
      <c r="BI781" s="447"/>
      <c r="BJ781" s="447"/>
      <c r="BK781" s="447"/>
      <c r="BL781" s="447"/>
      <c r="BM781" s="448"/>
      <c r="BN781" s="448"/>
    </row>
    <row r="782" spans="1:66" ht="11.25" customHeight="1">
      <c r="A782" s="469"/>
      <c r="B782" s="447"/>
      <c r="C782" s="447"/>
      <c r="D782" s="447"/>
      <c r="E782" s="447"/>
      <c r="F782" s="447"/>
      <c r="G782" s="447"/>
      <c r="H782" s="447"/>
      <c r="I782" s="447"/>
      <c r="J782" s="447"/>
      <c r="K782" s="447"/>
      <c r="L782" s="447"/>
      <c r="M782" s="447"/>
      <c r="N782" s="447"/>
      <c r="O782" s="447"/>
      <c r="P782" s="447"/>
      <c r="Q782" s="447"/>
      <c r="R782" s="447"/>
      <c r="S782" s="447"/>
      <c r="T782" s="447"/>
      <c r="U782" s="447"/>
      <c r="V782" s="447"/>
      <c r="W782" s="447"/>
      <c r="X782" s="447"/>
      <c r="Y782" s="447"/>
      <c r="Z782" s="447"/>
      <c r="AA782" s="447"/>
      <c r="AB782" s="447"/>
      <c r="AC782" s="447"/>
      <c r="AD782" s="447"/>
      <c r="AE782" s="447"/>
      <c r="AF782" s="448"/>
      <c r="AG782" s="448"/>
      <c r="AH782" s="448"/>
      <c r="AI782" s="447"/>
      <c r="AJ782" s="447"/>
      <c r="AK782" s="447"/>
      <c r="AL782" s="447"/>
      <c r="AM782" s="447"/>
      <c r="AN782" s="447"/>
      <c r="AO782" s="447"/>
      <c r="AP782" s="447"/>
      <c r="AQ782" s="447"/>
      <c r="AR782" s="447"/>
      <c r="AS782" s="447"/>
      <c r="AT782" s="447"/>
      <c r="AU782" s="447"/>
      <c r="AV782" s="447"/>
      <c r="AW782" s="447"/>
      <c r="AX782" s="447"/>
      <c r="AY782" s="447"/>
      <c r="AZ782" s="447"/>
      <c r="BA782" s="447"/>
      <c r="BB782" s="447"/>
      <c r="BC782" s="447"/>
      <c r="BD782" s="447"/>
      <c r="BE782" s="447"/>
      <c r="BF782" s="447"/>
      <c r="BG782" s="447"/>
      <c r="BH782" s="447"/>
      <c r="BI782" s="447"/>
      <c r="BJ782" s="447"/>
      <c r="BK782" s="447"/>
      <c r="BL782" s="447"/>
      <c r="BM782" s="448"/>
      <c r="BN782" s="448"/>
    </row>
    <row r="783" spans="1:66" ht="11.25" customHeight="1">
      <c r="A783" s="469"/>
      <c r="B783" s="447"/>
      <c r="C783" s="447"/>
      <c r="D783" s="447"/>
      <c r="E783" s="447"/>
      <c r="F783" s="447"/>
      <c r="G783" s="447"/>
      <c r="H783" s="447"/>
      <c r="I783" s="447"/>
      <c r="J783" s="447"/>
      <c r="K783" s="447"/>
      <c r="L783" s="447"/>
      <c r="M783" s="447"/>
      <c r="N783" s="447"/>
      <c r="O783" s="447"/>
      <c r="P783" s="447"/>
      <c r="Q783" s="447"/>
      <c r="R783" s="447"/>
      <c r="S783" s="447"/>
      <c r="T783" s="447"/>
      <c r="U783" s="447"/>
      <c r="V783" s="447"/>
      <c r="W783" s="447"/>
      <c r="X783" s="447"/>
      <c r="Y783" s="447"/>
      <c r="Z783" s="447"/>
      <c r="AA783" s="447"/>
      <c r="AB783" s="447"/>
      <c r="AC783" s="447"/>
      <c r="AD783" s="447"/>
      <c r="AE783" s="447"/>
      <c r="AF783" s="448"/>
      <c r="AG783" s="448"/>
      <c r="AH783" s="448"/>
      <c r="AI783" s="447"/>
      <c r="AJ783" s="447"/>
      <c r="AK783" s="447"/>
      <c r="AL783" s="447"/>
      <c r="AM783" s="447"/>
      <c r="AN783" s="447"/>
      <c r="AO783" s="447"/>
      <c r="AP783" s="447"/>
      <c r="AQ783" s="447"/>
      <c r="AR783" s="447"/>
      <c r="AS783" s="447"/>
      <c r="AT783" s="447"/>
      <c r="AU783" s="447"/>
      <c r="AV783" s="447"/>
      <c r="AW783" s="447"/>
      <c r="AX783" s="447"/>
      <c r="AY783" s="447"/>
      <c r="AZ783" s="447"/>
      <c r="BA783" s="447"/>
      <c r="BB783" s="447"/>
      <c r="BC783" s="447"/>
      <c r="BD783" s="447"/>
      <c r="BE783" s="447"/>
      <c r="BF783" s="447"/>
      <c r="BG783" s="447"/>
      <c r="BH783" s="447"/>
      <c r="BI783" s="447"/>
      <c r="BJ783" s="447"/>
      <c r="BK783" s="447"/>
      <c r="BL783" s="447"/>
      <c r="BM783" s="448"/>
      <c r="BN783" s="448"/>
    </row>
    <row r="784" spans="1:66" ht="11.25" customHeight="1">
      <c r="A784" s="469"/>
      <c r="B784" s="447"/>
      <c r="C784" s="447"/>
      <c r="D784" s="447"/>
      <c r="E784" s="447"/>
      <c r="F784" s="447"/>
      <c r="G784" s="447"/>
      <c r="H784" s="447"/>
      <c r="I784" s="447"/>
      <c r="J784" s="447"/>
      <c r="K784" s="447"/>
      <c r="L784" s="447"/>
      <c r="M784" s="447"/>
      <c r="N784" s="447"/>
      <c r="O784" s="447"/>
      <c r="P784" s="447"/>
      <c r="Q784" s="447"/>
      <c r="R784" s="447"/>
      <c r="S784" s="447"/>
      <c r="T784" s="447"/>
      <c r="U784" s="447"/>
      <c r="V784" s="447"/>
      <c r="W784" s="447"/>
      <c r="X784" s="447"/>
      <c r="Y784" s="447"/>
      <c r="Z784" s="447"/>
      <c r="AA784" s="447"/>
      <c r="AB784" s="447"/>
      <c r="AC784" s="447"/>
      <c r="AD784" s="447"/>
      <c r="AE784" s="447"/>
      <c r="AF784" s="448"/>
      <c r="AG784" s="448"/>
      <c r="AH784" s="448"/>
      <c r="AI784" s="447"/>
      <c r="AJ784" s="447"/>
      <c r="AK784" s="447"/>
      <c r="AL784" s="447"/>
      <c r="AM784" s="447"/>
      <c r="AN784" s="447"/>
      <c r="AO784" s="447"/>
      <c r="AP784" s="447"/>
      <c r="AQ784" s="447"/>
      <c r="AR784" s="447"/>
      <c r="AS784" s="447"/>
      <c r="AT784" s="447"/>
      <c r="AU784" s="447"/>
      <c r="AV784" s="447"/>
      <c r="AW784" s="447"/>
      <c r="AX784" s="447"/>
      <c r="AY784" s="447"/>
      <c r="AZ784" s="447"/>
      <c r="BA784" s="447"/>
      <c r="BB784" s="447"/>
      <c r="BC784" s="447"/>
      <c r="BD784" s="447"/>
      <c r="BE784" s="447"/>
      <c r="BF784" s="447"/>
      <c r="BG784" s="447"/>
      <c r="BH784" s="447"/>
      <c r="BI784" s="447"/>
      <c r="BJ784" s="447"/>
      <c r="BK784" s="447"/>
      <c r="BL784" s="447"/>
      <c r="BM784" s="448"/>
      <c r="BN784" s="448"/>
    </row>
    <row r="785" spans="1:66" ht="11.25" customHeight="1">
      <c r="A785" s="469"/>
      <c r="B785" s="447"/>
      <c r="C785" s="447"/>
      <c r="D785" s="447"/>
      <c r="E785" s="447"/>
      <c r="F785" s="447"/>
      <c r="G785" s="447"/>
      <c r="H785" s="447"/>
      <c r="I785" s="447"/>
      <c r="J785" s="447"/>
      <c r="K785" s="447"/>
      <c r="L785" s="447"/>
      <c r="M785" s="447"/>
      <c r="N785" s="447"/>
      <c r="O785" s="447"/>
      <c r="P785" s="447"/>
      <c r="Q785" s="447"/>
      <c r="R785" s="447"/>
      <c r="S785" s="447"/>
      <c r="T785" s="447"/>
      <c r="U785" s="447"/>
      <c r="V785" s="447"/>
      <c r="W785" s="447"/>
      <c r="X785" s="447"/>
      <c r="Y785" s="447"/>
      <c r="Z785" s="447"/>
      <c r="AA785" s="447"/>
      <c r="AB785" s="447"/>
      <c r="AC785" s="447"/>
      <c r="AD785" s="447"/>
      <c r="AE785" s="447"/>
      <c r="AF785" s="448"/>
      <c r="AG785" s="448"/>
      <c r="AH785" s="448"/>
      <c r="AI785" s="447"/>
      <c r="AJ785" s="447"/>
      <c r="AK785" s="447"/>
      <c r="AL785" s="447"/>
      <c r="AM785" s="447"/>
      <c r="AN785" s="447"/>
      <c r="AO785" s="447"/>
      <c r="AP785" s="447"/>
      <c r="AQ785" s="447"/>
      <c r="AR785" s="447"/>
      <c r="AS785" s="447"/>
      <c r="AT785" s="447"/>
      <c r="AU785" s="447"/>
      <c r="AV785" s="447"/>
      <c r="AW785" s="447"/>
      <c r="AX785" s="447"/>
      <c r="AY785" s="447"/>
      <c r="AZ785" s="447"/>
      <c r="BA785" s="447"/>
      <c r="BB785" s="447"/>
      <c r="BC785" s="447"/>
      <c r="BD785" s="447"/>
      <c r="BE785" s="447"/>
      <c r="BF785" s="447"/>
      <c r="BG785" s="447"/>
      <c r="BH785" s="447"/>
      <c r="BI785" s="447"/>
      <c r="BJ785" s="447"/>
      <c r="BK785" s="447"/>
      <c r="BL785" s="447"/>
      <c r="BM785" s="448"/>
      <c r="BN785" s="448"/>
    </row>
    <row r="786" spans="1:66" ht="11.25" customHeight="1">
      <c r="A786" s="469"/>
      <c r="B786" s="447"/>
      <c r="C786" s="447"/>
      <c r="D786" s="447"/>
      <c r="E786" s="447"/>
      <c r="F786" s="447"/>
      <c r="G786" s="447"/>
      <c r="H786" s="447"/>
      <c r="I786" s="447"/>
      <c r="J786" s="447"/>
      <c r="K786" s="447"/>
      <c r="L786" s="447"/>
      <c r="M786" s="447"/>
      <c r="N786" s="447"/>
      <c r="O786" s="447"/>
      <c r="P786" s="447"/>
      <c r="Q786" s="447"/>
      <c r="R786" s="447"/>
      <c r="S786" s="447"/>
      <c r="T786" s="447"/>
      <c r="U786" s="447"/>
      <c r="V786" s="447"/>
      <c r="W786" s="447"/>
      <c r="X786" s="447"/>
      <c r="Y786" s="447"/>
      <c r="Z786" s="447"/>
      <c r="AA786" s="447"/>
      <c r="AB786" s="447"/>
      <c r="AC786" s="447"/>
      <c r="AD786" s="447"/>
      <c r="AE786" s="447"/>
      <c r="AF786" s="448"/>
      <c r="AG786" s="448"/>
      <c r="AH786" s="448"/>
      <c r="AI786" s="447"/>
      <c r="AJ786" s="447"/>
      <c r="AK786" s="447"/>
      <c r="AL786" s="447"/>
      <c r="AM786" s="447"/>
      <c r="AN786" s="447"/>
      <c r="AO786" s="447"/>
      <c r="AP786" s="447"/>
      <c r="AQ786" s="447"/>
      <c r="AR786" s="447"/>
      <c r="AS786" s="447"/>
      <c r="AT786" s="447"/>
      <c r="AU786" s="447"/>
      <c r="AV786" s="447"/>
      <c r="AW786" s="447"/>
      <c r="AX786" s="447"/>
      <c r="AY786" s="447"/>
      <c r="AZ786" s="447"/>
      <c r="BA786" s="447"/>
      <c r="BB786" s="447"/>
      <c r="BC786" s="447"/>
      <c r="BD786" s="447"/>
      <c r="BE786" s="447"/>
      <c r="BF786" s="447"/>
      <c r="BG786" s="447"/>
      <c r="BH786" s="447"/>
      <c r="BI786" s="447"/>
      <c r="BJ786" s="447"/>
      <c r="BK786" s="447"/>
      <c r="BL786" s="447"/>
      <c r="BM786" s="448"/>
      <c r="BN786" s="448"/>
    </row>
    <row r="787" spans="1:66" ht="11.25" customHeight="1">
      <c r="A787" s="469"/>
      <c r="B787" s="447"/>
      <c r="C787" s="447"/>
      <c r="D787" s="447"/>
      <c r="E787" s="447"/>
      <c r="F787" s="447"/>
      <c r="G787" s="447"/>
      <c r="H787" s="447"/>
      <c r="I787" s="447"/>
      <c r="J787" s="447"/>
      <c r="K787" s="447"/>
      <c r="L787" s="447"/>
      <c r="M787" s="447"/>
      <c r="N787" s="447"/>
      <c r="O787" s="447"/>
      <c r="P787" s="447"/>
      <c r="Q787" s="447"/>
      <c r="R787" s="447"/>
      <c r="S787" s="447"/>
      <c r="T787" s="447"/>
      <c r="U787" s="447"/>
      <c r="V787" s="447"/>
      <c r="W787" s="447"/>
      <c r="X787" s="447"/>
      <c r="Y787" s="447"/>
      <c r="Z787" s="447"/>
      <c r="AA787" s="447"/>
      <c r="AB787" s="447"/>
      <c r="AC787" s="447"/>
      <c r="AD787" s="447"/>
      <c r="AE787" s="447"/>
      <c r="AF787" s="448"/>
      <c r="AG787" s="448"/>
      <c r="AH787" s="448"/>
      <c r="AI787" s="447"/>
      <c r="AJ787" s="447"/>
      <c r="AK787" s="447"/>
      <c r="AL787" s="447"/>
      <c r="AM787" s="447"/>
      <c r="AN787" s="447"/>
      <c r="AO787" s="447"/>
      <c r="AP787" s="447"/>
      <c r="AQ787" s="447"/>
      <c r="AR787" s="447"/>
      <c r="AS787" s="447"/>
      <c r="AT787" s="447"/>
      <c r="AU787" s="447"/>
      <c r="AV787" s="447"/>
      <c r="AW787" s="447"/>
      <c r="AX787" s="447"/>
      <c r="AY787" s="447"/>
      <c r="AZ787" s="447"/>
      <c r="BA787" s="447"/>
      <c r="BB787" s="447"/>
      <c r="BC787" s="447"/>
      <c r="BD787" s="447"/>
      <c r="BE787" s="447"/>
      <c r="BF787" s="447"/>
      <c r="BG787" s="447"/>
      <c r="BH787" s="447"/>
      <c r="BI787" s="447"/>
      <c r="BJ787" s="447"/>
      <c r="BK787" s="447"/>
      <c r="BL787" s="447"/>
      <c r="BM787" s="448"/>
      <c r="BN787" s="448"/>
    </row>
    <row r="788" spans="1:66" ht="11.25" customHeight="1">
      <c r="A788" s="469"/>
      <c r="B788" s="447"/>
      <c r="C788" s="447"/>
      <c r="D788" s="447"/>
      <c r="E788" s="447"/>
      <c r="F788" s="447"/>
      <c r="G788" s="447"/>
      <c r="H788" s="447"/>
      <c r="I788" s="447"/>
      <c r="J788" s="447"/>
      <c r="K788" s="447"/>
      <c r="L788" s="447"/>
      <c r="M788" s="447"/>
      <c r="N788" s="447"/>
      <c r="O788" s="447"/>
      <c r="P788" s="447"/>
      <c r="Q788" s="447"/>
      <c r="R788" s="447"/>
      <c r="S788" s="447"/>
      <c r="T788" s="447"/>
      <c r="U788" s="447"/>
      <c r="V788" s="447"/>
      <c r="W788" s="447"/>
      <c r="X788" s="447"/>
      <c r="Y788" s="447"/>
      <c r="Z788" s="447"/>
      <c r="AA788" s="447"/>
      <c r="AB788" s="447"/>
      <c r="AC788" s="447"/>
      <c r="AD788" s="447"/>
      <c r="AE788" s="447"/>
      <c r="AF788" s="448"/>
      <c r="AG788" s="448"/>
      <c r="AH788" s="448"/>
      <c r="AI788" s="447"/>
      <c r="AJ788" s="447"/>
      <c r="AK788" s="447"/>
      <c r="AL788" s="447"/>
      <c r="AM788" s="447"/>
      <c r="AN788" s="447"/>
      <c r="AO788" s="447"/>
      <c r="AP788" s="447"/>
      <c r="AQ788" s="447"/>
      <c r="AR788" s="447"/>
      <c r="AS788" s="447"/>
      <c r="AT788" s="447"/>
      <c r="AU788" s="447"/>
      <c r="AV788" s="447"/>
      <c r="AW788" s="447"/>
      <c r="AX788" s="447"/>
      <c r="AY788" s="447"/>
      <c r="AZ788" s="447"/>
      <c r="BA788" s="447"/>
      <c r="BB788" s="447"/>
      <c r="BC788" s="447"/>
      <c r="BD788" s="447"/>
      <c r="BE788" s="447"/>
      <c r="BF788" s="447"/>
      <c r="BG788" s="447"/>
      <c r="BH788" s="447"/>
      <c r="BI788" s="447"/>
      <c r="BJ788" s="447"/>
      <c r="BK788" s="447"/>
      <c r="BL788" s="447"/>
      <c r="BM788" s="448"/>
      <c r="BN788" s="448"/>
    </row>
    <row r="789" spans="1:66" ht="11.25" customHeight="1">
      <c r="A789" s="469"/>
      <c r="B789" s="447"/>
      <c r="C789" s="447"/>
      <c r="D789" s="447"/>
      <c r="E789" s="447"/>
      <c r="F789" s="447"/>
      <c r="G789" s="447"/>
      <c r="H789" s="447"/>
      <c r="I789" s="447"/>
      <c r="J789" s="447"/>
      <c r="K789" s="447"/>
      <c r="L789" s="447"/>
      <c r="M789" s="447"/>
      <c r="N789" s="447"/>
      <c r="O789" s="447"/>
      <c r="P789" s="447"/>
      <c r="Q789" s="447"/>
      <c r="R789" s="447"/>
      <c r="S789" s="447"/>
      <c r="T789" s="447"/>
      <c r="U789" s="447"/>
      <c r="V789" s="447"/>
      <c r="W789" s="447"/>
      <c r="X789" s="447"/>
      <c r="Y789" s="447"/>
      <c r="Z789" s="447"/>
      <c r="AA789" s="447"/>
      <c r="AB789" s="447"/>
      <c r="AC789" s="447"/>
      <c r="AD789" s="447"/>
      <c r="AE789" s="447"/>
      <c r="AF789" s="448"/>
      <c r="AG789" s="448"/>
      <c r="AH789" s="448"/>
      <c r="AI789" s="447"/>
      <c r="AJ789" s="447"/>
      <c r="AK789" s="447"/>
      <c r="AL789" s="447"/>
      <c r="AM789" s="447"/>
      <c r="AN789" s="447"/>
      <c r="AO789" s="447"/>
      <c r="AP789" s="447"/>
      <c r="AQ789" s="447"/>
      <c r="AR789" s="447"/>
      <c r="AS789" s="447"/>
      <c r="AT789" s="447"/>
      <c r="AU789" s="447"/>
      <c r="AV789" s="447"/>
      <c r="AW789" s="447"/>
      <c r="AX789" s="447"/>
      <c r="AY789" s="447"/>
      <c r="AZ789" s="447"/>
      <c r="BA789" s="447"/>
      <c r="BB789" s="447"/>
      <c r="BC789" s="447"/>
      <c r="BD789" s="447"/>
      <c r="BE789" s="447"/>
      <c r="BF789" s="447"/>
      <c r="BG789" s="447"/>
      <c r="BH789" s="447"/>
      <c r="BI789" s="447"/>
      <c r="BJ789" s="447"/>
      <c r="BK789" s="447"/>
      <c r="BL789" s="447"/>
      <c r="BM789" s="448"/>
      <c r="BN789" s="448"/>
    </row>
    <row r="790" spans="1:66" ht="11.25" customHeight="1">
      <c r="A790" s="469"/>
      <c r="B790" s="447"/>
      <c r="C790" s="447"/>
      <c r="D790" s="447"/>
      <c r="E790" s="447"/>
      <c r="F790" s="447"/>
      <c r="G790" s="447"/>
      <c r="H790" s="447"/>
      <c r="I790" s="447"/>
      <c r="J790" s="447"/>
      <c r="K790" s="447"/>
      <c r="L790" s="447"/>
      <c r="M790" s="447"/>
      <c r="N790" s="447"/>
      <c r="O790" s="447"/>
      <c r="P790" s="447"/>
      <c r="Q790" s="447"/>
      <c r="R790" s="447"/>
      <c r="S790" s="447"/>
      <c r="T790" s="447"/>
      <c r="U790" s="447"/>
      <c r="V790" s="447"/>
      <c r="W790" s="447"/>
      <c r="X790" s="447"/>
      <c r="Y790" s="447"/>
      <c r="Z790" s="447"/>
      <c r="AA790" s="447"/>
      <c r="AB790" s="447"/>
      <c r="AC790" s="447"/>
      <c r="AD790" s="447"/>
      <c r="AE790" s="447"/>
      <c r="AF790" s="448"/>
      <c r="AG790" s="448"/>
      <c r="AH790" s="448"/>
      <c r="AI790" s="447"/>
      <c r="AJ790" s="447"/>
      <c r="AK790" s="447"/>
      <c r="AL790" s="447"/>
      <c r="AM790" s="447"/>
      <c r="AN790" s="447"/>
      <c r="AO790" s="447"/>
      <c r="AP790" s="447"/>
      <c r="AQ790" s="447"/>
      <c r="AR790" s="447"/>
      <c r="AS790" s="447"/>
      <c r="AT790" s="447"/>
      <c r="AU790" s="447"/>
      <c r="AV790" s="447"/>
      <c r="AW790" s="447"/>
      <c r="AX790" s="447"/>
      <c r="AY790" s="447"/>
      <c r="AZ790" s="447"/>
      <c r="BA790" s="447"/>
      <c r="BB790" s="447"/>
      <c r="BC790" s="447"/>
      <c r="BD790" s="447"/>
      <c r="BE790" s="447"/>
      <c r="BF790" s="447"/>
      <c r="BG790" s="447"/>
      <c r="BH790" s="447"/>
      <c r="BI790" s="447"/>
      <c r="BJ790" s="447"/>
      <c r="BK790" s="447"/>
      <c r="BL790" s="447"/>
      <c r="BM790" s="448"/>
      <c r="BN790" s="448"/>
    </row>
    <row r="791" spans="1:66" ht="11.25" customHeight="1">
      <c r="A791" s="469"/>
      <c r="B791" s="447"/>
      <c r="C791" s="447"/>
      <c r="D791" s="447"/>
      <c r="E791" s="447"/>
      <c r="F791" s="447"/>
      <c r="G791" s="447"/>
      <c r="H791" s="447"/>
      <c r="I791" s="447"/>
      <c r="J791" s="447"/>
      <c r="K791" s="447"/>
      <c r="L791" s="447"/>
      <c r="M791" s="447"/>
      <c r="N791" s="447"/>
      <c r="O791" s="447"/>
      <c r="P791" s="447"/>
      <c r="Q791" s="447"/>
      <c r="R791" s="447"/>
      <c r="S791" s="447"/>
      <c r="T791" s="447"/>
      <c r="U791" s="447"/>
      <c r="V791" s="447"/>
      <c r="W791" s="447"/>
      <c r="X791" s="447"/>
      <c r="Y791" s="447"/>
      <c r="Z791" s="447"/>
      <c r="AA791" s="447"/>
      <c r="AB791" s="447"/>
      <c r="AC791" s="447"/>
      <c r="AD791" s="447"/>
      <c r="AE791" s="447"/>
      <c r="AF791" s="448"/>
      <c r="AG791" s="448"/>
      <c r="AH791" s="448"/>
      <c r="AI791" s="447"/>
      <c r="AJ791" s="447"/>
      <c r="AK791" s="447"/>
      <c r="AL791" s="447"/>
      <c r="AM791" s="447"/>
      <c r="AN791" s="447"/>
      <c r="AO791" s="447"/>
      <c r="AP791" s="447"/>
      <c r="AQ791" s="447"/>
      <c r="AR791" s="447"/>
      <c r="AS791" s="447"/>
      <c r="AT791" s="447"/>
      <c r="AU791" s="447"/>
      <c r="AV791" s="447"/>
      <c r="AW791" s="447"/>
      <c r="AX791" s="447"/>
      <c r="AY791" s="447"/>
      <c r="AZ791" s="447"/>
      <c r="BA791" s="447"/>
      <c r="BB791" s="447"/>
      <c r="BC791" s="447"/>
      <c r="BD791" s="447"/>
      <c r="BE791" s="447"/>
      <c r="BF791" s="447"/>
      <c r="BG791" s="447"/>
      <c r="BH791" s="447"/>
      <c r="BI791" s="447"/>
      <c r="BJ791" s="447"/>
      <c r="BK791" s="447"/>
      <c r="BL791" s="447"/>
      <c r="BM791" s="448"/>
      <c r="BN791" s="448"/>
    </row>
    <row r="792" spans="1:66" ht="11.25" customHeight="1">
      <c r="A792" s="469"/>
      <c r="B792" s="447"/>
      <c r="C792" s="447"/>
      <c r="D792" s="447"/>
      <c r="E792" s="447"/>
      <c r="F792" s="447"/>
      <c r="G792" s="447"/>
      <c r="H792" s="447"/>
      <c r="I792" s="447"/>
      <c r="J792" s="447"/>
      <c r="K792" s="447"/>
      <c r="L792" s="447"/>
      <c r="M792" s="447"/>
      <c r="N792" s="447"/>
      <c r="O792" s="447"/>
      <c r="P792" s="447"/>
      <c r="Q792" s="447"/>
      <c r="R792" s="447"/>
      <c r="S792" s="447"/>
      <c r="T792" s="447"/>
      <c r="U792" s="447"/>
      <c r="V792" s="447"/>
      <c r="W792" s="447"/>
      <c r="X792" s="447"/>
      <c r="Y792" s="447"/>
      <c r="Z792" s="447"/>
      <c r="AA792" s="447"/>
      <c r="AB792" s="447"/>
      <c r="AC792" s="447"/>
      <c r="AD792" s="447"/>
      <c r="AE792" s="447"/>
      <c r="AF792" s="448"/>
      <c r="AG792" s="448"/>
      <c r="AH792" s="448"/>
      <c r="AI792" s="447"/>
      <c r="AJ792" s="447"/>
      <c r="AK792" s="447"/>
      <c r="AL792" s="447"/>
      <c r="AM792" s="447"/>
      <c r="AN792" s="447"/>
      <c r="AO792" s="447"/>
      <c r="AP792" s="447"/>
      <c r="AQ792" s="447"/>
      <c r="AR792" s="447"/>
      <c r="AS792" s="447"/>
      <c r="AT792" s="447"/>
      <c r="AU792" s="447"/>
      <c r="AV792" s="447"/>
      <c r="AW792" s="447"/>
      <c r="AX792" s="447"/>
      <c r="AY792" s="447"/>
      <c r="AZ792" s="447"/>
      <c r="BA792" s="447"/>
      <c r="BB792" s="447"/>
      <c r="BC792" s="447"/>
      <c r="BD792" s="447"/>
      <c r="BE792" s="447"/>
      <c r="BF792" s="447"/>
      <c r="BG792" s="447"/>
      <c r="BH792" s="447"/>
      <c r="BI792" s="447"/>
      <c r="BJ792" s="447"/>
      <c r="BK792" s="447"/>
      <c r="BL792" s="447"/>
      <c r="BM792" s="448"/>
      <c r="BN792" s="448"/>
    </row>
    <row r="793" spans="1:66" ht="11.25" customHeight="1">
      <c r="A793" s="469"/>
      <c r="B793" s="447"/>
      <c r="C793" s="447"/>
      <c r="D793" s="447"/>
      <c r="E793" s="447"/>
      <c r="F793" s="447"/>
      <c r="G793" s="447"/>
      <c r="H793" s="447"/>
      <c r="I793" s="447"/>
      <c r="J793" s="447"/>
      <c r="K793" s="447"/>
      <c r="L793" s="447"/>
      <c r="M793" s="447"/>
      <c r="N793" s="447"/>
      <c r="O793" s="447"/>
      <c r="P793" s="447"/>
      <c r="Q793" s="447"/>
      <c r="R793" s="447"/>
      <c r="S793" s="447"/>
      <c r="T793" s="447"/>
      <c r="U793" s="447"/>
      <c r="V793" s="447"/>
      <c r="W793" s="447"/>
      <c r="X793" s="447"/>
      <c r="Y793" s="447"/>
      <c r="Z793" s="447"/>
      <c r="AA793" s="447"/>
      <c r="AB793" s="447"/>
      <c r="AC793" s="447"/>
      <c r="AD793" s="447"/>
      <c r="AE793" s="447"/>
      <c r="AF793" s="448"/>
      <c r="AG793" s="448"/>
      <c r="AH793" s="448"/>
      <c r="AI793" s="447"/>
      <c r="AJ793" s="447"/>
      <c r="AK793" s="447"/>
      <c r="AL793" s="447"/>
      <c r="AM793" s="447"/>
      <c r="AN793" s="447"/>
      <c r="AO793" s="447"/>
      <c r="AP793" s="447"/>
      <c r="AQ793" s="447"/>
      <c r="AR793" s="447"/>
      <c r="AS793" s="447"/>
      <c r="AT793" s="447"/>
      <c r="AU793" s="447"/>
      <c r="AV793" s="447"/>
      <c r="AW793" s="447"/>
      <c r="AX793" s="447"/>
      <c r="AY793" s="447"/>
      <c r="AZ793" s="447"/>
      <c r="BA793" s="447"/>
      <c r="BB793" s="447"/>
      <c r="BC793" s="447"/>
      <c r="BD793" s="447"/>
      <c r="BE793" s="447"/>
      <c r="BF793" s="447"/>
      <c r="BG793" s="447"/>
      <c r="BH793" s="447"/>
      <c r="BI793" s="447"/>
      <c r="BJ793" s="447"/>
      <c r="BK793" s="447"/>
      <c r="BL793" s="447"/>
      <c r="BM793" s="448"/>
      <c r="BN793" s="448"/>
    </row>
    <row r="794" spans="1:66" ht="11.25" customHeight="1">
      <c r="A794" s="469"/>
      <c r="B794" s="447"/>
      <c r="C794" s="447"/>
      <c r="D794" s="447"/>
      <c r="E794" s="447"/>
      <c r="F794" s="447"/>
      <c r="G794" s="447"/>
      <c r="H794" s="447"/>
      <c r="I794" s="447"/>
      <c r="J794" s="447"/>
      <c r="K794" s="447"/>
      <c r="L794" s="447"/>
      <c r="M794" s="447"/>
      <c r="N794" s="447"/>
      <c r="O794" s="447"/>
      <c r="P794" s="447"/>
      <c r="Q794" s="447"/>
      <c r="R794" s="447"/>
      <c r="S794" s="447"/>
      <c r="T794" s="447"/>
      <c r="U794" s="447"/>
      <c r="V794" s="447"/>
      <c r="W794" s="447"/>
      <c r="X794" s="447"/>
      <c r="Y794" s="447"/>
      <c r="Z794" s="447"/>
      <c r="AA794" s="447"/>
      <c r="AB794" s="447"/>
      <c r="AC794" s="447"/>
      <c r="AD794" s="447"/>
      <c r="AE794" s="447"/>
      <c r="AF794" s="448"/>
      <c r="AG794" s="448"/>
      <c r="AH794" s="448"/>
      <c r="AI794" s="447"/>
      <c r="AJ794" s="447"/>
      <c r="AK794" s="447"/>
      <c r="AL794" s="447"/>
      <c r="AM794" s="447"/>
      <c r="AN794" s="447"/>
      <c r="AO794" s="447"/>
      <c r="AP794" s="447"/>
      <c r="AQ794" s="447"/>
      <c r="AR794" s="447"/>
      <c r="AS794" s="447"/>
      <c r="AT794" s="447"/>
      <c r="AU794" s="447"/>
      <c r="AV794" s="447"/>
      <c r="AW794" s="447"/>
      <c r="AX794" s="447"/>
      <c r="AY794" s="447"/>
      <c r="AZ794" s="447"/>
      <c r="BA794" s="447"/>
      <c r="BB794" s="447"/>
      <c r="BC794" s="447"/>
      <c r="BD794" s="447"/>
      <c r="BE794" s="447"/>
      <c r="BF794" s="447"/>
      <c r="BG794" s="447"/>
      <c r="BH794" s="447"/>
      <c r="BI794" s="447"/>
      <c r="BJ794" s="447"/>
      <c r="BK794" s="447"/>
      <c r="BL794" s="447"/>
      <c r="BM794" s="448"/>
      <c r="BN794" s="448"/>
    </row>
    <row r="795" spans="1:66" ht="11.25" customHeight="1">
      <c r="A795" s="469"/>
      <c r="B795" s="447"/>
      <c r="C795" s="447"/>
      <c r="D795" s="447"/>
      <c r="E795" s="447"/>
      <c r="F795" s="447"/>
      <c r="G795" s="447"/>
      <c r="H795" s="447"/>
      <c r="I795" s="447"/>
      <c r="J795" s="447"/>
      <c r="K795" s="447"/>
      <c r="L795" s="447"/>
      <c r="M795" s="447"/>
      <c r="N795" s="447"/>
      <c r="O795" s="447"/>
      <c r="P795" s="447"/>
      <c r="Q795" s="447"/>
      <c r="R795" s="447"/>
      <c r="S795" s="447"/>
      <c r="T795" s="447"/>
      <c r="U795" s="447"/>
      <c r="V795" s="447"/>
      <c r="W795" s="447"/>
      <c r="X795" s="447"/>
      <c r="Y795" s="447"/>
      <c r="Z795" s="447"/>
      <c r="AA795" s="447"/>
      <c r="AB795" s="447"/>
      <c r="AC795" s="447"/>
      <c r="AD795" s="447"/>
      <c r="AE795" s="447"/>
      <c r="AF795" s="448"/>
      <c r="AG795" s="448"/>
      <c r="AH795" s="448"/>
      <c r="AI795" s="447"/>
      <c r="AJ795" s="447"/>
      <c r="AK795" s="447"/>
      <c r="AL795" s="447"/>
      <c r="AM795" s="447"/>
      <c r="AN795" s="447"/>
      <c r="AO795" s="447"/>
      <c r="AP795" s="447"/>
      <c r="AQ795" s="447"/>
      <c r="AR795" s="447"/>
      <c r="AS795" s="447"/>
      <c r="AT795" s="447"/>
      <c r="AU795" s="447"/>
      <c r="AV795" s="447"/>
      <c r="AW795" s="447"/>
      <c r="AX795" s="447"/>
      <c r="AY795" s="447"/>
      <c r="AZ795" s="447"/>
      <c r="BA795" s="447"/>
      <c r="BB795" s="447"/>
      <c r="BC795" s="447"/>
      <c r="BD795" s="447"/>
      <c r="BE795" s="447"/>
      <c r="BF795" s="447"/>
      <c r="BG795" s="447"/>
      <c r="BH795" s="447"/>
      <c r="BI795" s="447"/>
      <c r="BJ795" s="447"/>
      <c r="BK795" s="447"/>
      <c r="BL795" s="447"/>
      <c r="BM795" s="448"/>
      <c r="BN795" s="448"/>
    </row>
    <row r="796" spans="1:66" ht="11.25" customHeight="1">
      <c r="A796" s="469"/>
      <c r="B796" s="447"/>
      <c r="C796" s="447"/>
      <c r="D796" s="447"/>
      <c r="E796" s="447"/>
      <c r="F796" s="447"/>
      <c r="G796" s="447"/>
      <c r="H796" s="447"/>
      <c r="I796" s="447"/>
      <c r="J796" s="447"/>
      <c r="K796" s="447"/>
      <c r="L796" s="447"/>
      <c r="M796" s="447"/>
      <c r="N796" s="447"/>
      <c r="O796" s="447"/>
      <c r="P796" s="447"/>
      <c r="Q796" s="447"/>
      <c r="R796" s="447"/>
      <c r="S796" s="447"/>
      <c r="T796" s="447"/>
      <c r="U796" s="447"/>
      <c r="V796" s="447"/>
      <c r="W796" s="447"/>
      <c r="X796" s="447"/>
      <c r="Y796" s="447"/>
      <c r="Z796" s="447"/>
      <c r="AA796" s="447"/>
      <c r="AB796" s="447"/>
      <c r="AC796" s="447"/>
      <c r="AD796" s="447"/>
      <c r="AE796" s="447"/>
      <c r="AF796" s="448"/>
      <c r="AG796" s="448"/>
      <c r="AH796" s="448"/>
      <c r="AI796" s="447"/>
      <c r="AJ796" s="447"/>
      <c r="AK796" s="447"/>
      <c r="AL796" s="447"/>
      <c r="AM796" s="447"/>
      <c r="AN796" s="447"/>
      <c r="AO796" s="447"/>
      <c r="AP796" s="447"/>
      <c r="AQ796" s="447"/>
      <c r="AR796" s="447"/>
      <c r="AS796" s="447"/>
      <c r="AT796" s="447"/>
      <c r="AU796" s="447"/>
      <c r="AV796" s="447"/>
      <c r="AW796" s="447"/>
      <c r="AX796" s="447"/>
      <c r="AY796" s="447"/>
      <c r="AZ796" s="447"/>
      <c r="BA796" s="447"/>
      <c r="BB796" s="447"/>
      <c r="BC796" s="447"/>
      <c r="BD796" s="447"/>
      <c r="BE796" s="447"/>
      <c r="BF796" s="447"/>
      <c r="BG796" s="447"/>
      <c r="BH796" s="447"/>
      <c r="BI796" s="447"/>
      <c r="BJ796" s="447"/>
      <c r="BK796" s="447"/>
      <c r="BL796" s="447"/>
      <c r="BM796" s="448"/>
      <c r="BN796" s="448"/>
    </row>
    <row r="797" spans="1:66" ht="11.25" customHeight="1">
      <c r="A797" s="469"/>
      <c r="B797" s="447"/>
      <c r="C797" s="447"/>
      <c r="D797" s="447"/>
      <c r="E797" s="447"/>
      <c r="F797" s="447"/>
      <c r="G797" s="447"/>
      <c r="H797" s="447"/>
      <c r="I797" s="447"/>
      <c r="J797" s="447"/>
      <c r="K797" s="447"/>
      <c r="L797" s="447"/>
      <c r="M797" s="447"/>
      <c r="N797" s="447"/>
      <c r="O797" s="447"/>
      <c r="P797" s="447"/>
      <c r="Q797" s="447"/>
      <c r="R797" s="447"/>
      <c r="S797" s="447"/>
      <c r="T797" s="447"/>
      <c r="U797" s="447"/>
      <c r="V797" s="447"/>
      <c r="W797" s="447"/>
      <c r="X797" s="447"/>
      <c r="Y797" s="447"/>
      <c r="Z797" s="447"/>
      <c r="AA797" s="447"/>
      <c r="AB797" s="447"/>
      <c r="AC797" s="447"/>
      <c r="AD797" s="447"/>
      <c r="AE797" s="447"/>
      <c r="AF797" s="448"/>
      <c r="AG797" s="448"/>
      <c r="AH797" s="448"/>
      <c r="AI797" s="447"/>
      <c r="AJ797" s="447"/>
      <c r="AK797" s="447"/>
      <c r="AL797" s="447"/>
      <c r="AM797" s="447"/>
      <c r="AN797" s="447"/>
      <c r="AO797" s="447"/>
      <c r="AP797" s="447"/>
      <c r="AQ797" s="447"/>
      <c r="AR797" s="447"/>
      <c r="AS797" s="447"/>
      <c r="AT797" s="447"/>
      <c r="AU797" s="447"/>
      <c r="AV797" s="447"/>
      <c r="AW797" s="447"/>
      <c r="AX797" s="447"/>
      <c r="AY797" s="447"/>
      <c r="AZ797" s="447"/>
      <c r="BA797" s="447"/>
      <c r="BB797" s="447"/>
      <c r="BC797" s="447"/>
      <c r="BD797" s="447"/>
      <c r="BE797" s="447"/>
      <c r="BF797" s="447"/>
      <c r="BG797" s="447"/>
      <c r="BH797" s="447"/>
      <c r="BI797" s="447"/>
      <c r="BJ797" s="447"/>
      <c r="BK797" s="447"/>
      <c r="BL797" s="447"/>
      <c r="BM797" s="448"/>
      <c r="BN797" s="448"/>
    </row>
    <row r="798" spans="1:66" ht="11.25" customHeight="1">
      <c r="A798" s="469"/>
      <c r="B798" s="447"/>
      <c r="C798" s="447"/>
      <c r="D798" s="447"/>
      <c r="E798" s="447"/>
      <c r="F798" s="447"/>
      <c r="G798" s="447"/>
      <c r="H798" s="447"/>
      <c r="I798" s="447"/>
      <c r="J798" s="447"/>
      <c r="K798" s="447"/>
      <c r="L798" s="447"/>
      <c r="M798" s="447"/>
      <c r="N798" s="447"/>
      <c r="O798" s="447"/>
      <c r="P798" s="447"/>
      <c r="Q798" s="447"/>
      <c r="R798" s="447"/>
      <c r="S798" s="447"/>
      <c r="T798" s="447"/>
      <c r="U798" s="447"/>
      <c r="V798" s="447"/>
      <c r="W798" s="447"/>
      <c r="X798" s="447"/>
      <c r="Y798" s="447"/>
      <c r="Z798" s="447"/>
      <c r="AA798" s="447"/>
      <c r="AB798" s="447"/>
      <c r="AC798" s="447"/>
      <c r="AD798" s="447"/>
      <c r="AE798" s="447"/>
      <c r="AF798" s="448"/>
      <c r="AG798" s="448"/>
      <c r="AH798" s="448"/>
      <c r="AI798" s="447"/>
      <c r="AJ798" s="447"/>
      <c r="AK798" s="447"/>
      <c r="AL798" s="447"/>
      <c r="AM798" s="447"/>
      <c r="AN798" s="447"/>
      <c r="AO798" s="447"/>
      <c r="AP798" s="447"/>
      <c r="AQ798" s="447"/>
      <c r="AR798" s="447"/>
      <c r="AS798" s="447"/>
      <c r="AT798" s="447"/>
      <c r="AU798" s="447"/>
      <c r="AV798" s="447"/>
      <c r="AW798" s="447"/>
      <c r="AX798" s="447"/>
      <c r="AY798" s="447"/>
      <c r="AZ798" s="447"/>
      <c r="BA798" s="447"/>
      <c r="BB798" s="447"/>
      <c r="BC798" s="447"/>
      <c r="BD798" s="447"/>
      <c r="BE798" s="447"/>
      <c r="BF798" s="447"/>
      <c r="BG798" s="447"/>
      <c r="BH798" s="447"/>
      <c r="BI798" s="447"/>
      <c r="BJ798" s="447"/>
      <c r="BK798" s="447"/>
      <c r="BL798" s="447"/>
      <c r="BM798" s="448"/>
      <c r="BN798" s="448"/>
    </row>
    <row r="799" spans="1:66" ht="11.25" customHeight="1">
      <c r="A799" s="469"/>
      <c r="B799" s="447"/>
      <c r="C799" s="447"/>
      <c r="D799" s="447"/>
      <c r="E799" s="447"/>
      <c r="F799" s="447"/>
      <c r="G799" s="447"/>
      <c r="H799" s="447"/>
      <c r="I799" s="447"/>
      <c r="J799" s="447"/>
      <c r="K799" s="447"/>
      <c r="L799" s="447"/>
      <c r="M799" s="447"/>
      <c r="N799" s="447"/>
      <c r="O799" s="447"/>
      <c r="P799" s="447"/>
      <c r="Q799" s="447"/>
      <c r="R799" s="447"/>
      <c r="S799" s="447"/>
      <c r="T799" s="447"/>
      <c r="U799" s="447"/>
      <c r="V799" s="447"/>
      <c r="W799" s="447"/>
      <c r="X799" s="447"/>
      <c r="Y799" s="447"/>
      <c r="Z799" s="447"/>
      <c r="AA799" s="447"/>
      <c r="AB799" s="447"/>
      <c r="AC799" s="447"/>
      <c r="AD799" s="447"/>
      <c r="AE799" s="447"/>
      <c r="AF799" s="448"/>
      <c r="AG799" s="448"/>
      <c r="AH799" s="448"/>
      <c r="AI799" s="447"/>
      <c r="AJ799" s="447"/>
      <c r="AK799" s="447"/>
      <c r="AL799" s="447"/>
      <c r="AM799" s="447"/>
      <c r="AN799" s="447"/>
      <c r="AO799" s="447"/>
      <c r="AP799" s="447"/>
      <c r="AQ799" s="447"/>
      <c r="AR799" s="447"/>
      <c r="AS799" s="447"/>
      <c r="AT799" s="447"/>
      <c r="AU799" s="447"/>
      <c r="AV799" s="447"/>
      <c r="AW799" s="447"/>
      <c r="AX799" s="447"/>
      <c r="AY799" s="447"/>
      <c r="AZ799" s="447"/>
      <c r="BA799" s="447"/>
      <c r="BB799" s="447"/>
      <c r="BC799" s="447"/>
      <c r="BD799" s="447"/>
      <c r="BE799" s="447"/>
      <c r="BF799" s="447"/>
      <c r="BG799" s="447"/>
      <c r="BH799" s="447"/>
      <c r="BI799" s="447"/>
      <c r="BJ799" s="447"/>
      <c r="BK799" s="447"/>
      <c r="BL799" s="447"/>
      <c r="BM799" s="448"/>
      <c r="BN799" s="448"/>
    </row>
    <row r="800" spans="1:66" ht="11.25" customHeight="1">
      <c r="A800" s="469"/>
      <c r="B800" s="447"/>
      <c r="C800" s="447"/>
      <c r="D800" s="447"/>
      <c r="E800" s="447"/>
      <c r="F800" s="447"/>
      <c r="G800" s="447"/>
      <c r="H800" s="447"/>
      <c r="I800" s="447"/>
      <c r="J800" s="447"/>
      <c r="K800" s="447"/>
      <c r="L800" s="447"/>
      <c r="M800" s="447"/>
      <c r="N800" s="447"/>
      <c r="O800" s="447"/>
      <c r="P800" s="447"/>
      <c r="Q800" s="447"/>
      <c r="R800" s="447"/>
      <c r="S800" s="447"/>
      <c r="T800" s="447"/>
      <c r="U800" s="447"/>
      <c r="V800" s="447"/>
      <c r="W800" s="447"/>
      <c r="X800" s="447"/>
      <c r="Y800" s="447"/>
      <c r="Z800" s="447"/>
      <c r="AA800" s="447"/>
      <c r="AB800" s="447"/>
      <c r="AC800" s="447"/>
      <c r="AD800" s="447"/>
      <c r="AE800" s="447"/>
      <c r="AF800" s="448"/>
      <c r="AG800" s="448"/>
      <c r="AH800" s="448"/>
      <c r="AI800" s="447"/>
      <c r="AJ800" s="447"/>
      <c r="AK800" s="447"/>
      <c r="AL800" s="447"/>
      <c r="AM800" s="447"/>
      <c r="AN800" s="447"/>
      <c r="AO800" s="447"/>
      <c r="AP800" s="447"/>
      <c r="AQ800" s="447"/>
      <c r="AR800" s="447"/>
      <c r="AS800" s="447"/>
      <c r="AT800" s="447"/>
      <c r="AU800" s="447"/>
      <c r="AV800" s="447"/>
      <c r="AW800" s="447"/>
      <c r="AX800" s="447"/>
      <c r="AY800" s="447"/>
      <c r="AZ800" s="447"/>
      <c r="BA800" s="447"/>
      <c r="BB800" s="447"/>
      <c r="BC800" s="447"/>
      <c r="BD800" s="447"/>
      <c r="BE800" s="447"/>
      <c r="BF800" s="447"/>
      <c r="BG800" s="447"/>
      <c r="BH800" s="447"/>
      <c r="BI800" s="447"/>
      <c r="BJ800" s="447"/>
      <c r="BK800" s="447"/>
      <c r="BL800" s="447"/>
      <c r="BM800" s="448"/>
      <c r="BN800" s="448"/>
    </row>
    <row r="801" spans="1:66" ht="11.25" customHeight="1">
      <c r="A801" s="469"/>
      <c r="B801" s="447"/>
      <c r="C801" s="447"/>
      <c r="D801" s="447"/>
      <c r="E801" s="447"/>
      <c r="F801" s="447"/>
      <c r="G801" s="447"/>
      <c r="H801" s="447"/>
      <c r="I801" s="447"/>
      <c r="J801" s="447"/>
      <c r="K801" s="447"/>
      <c r="L801" s="447"/>
      <c r="M801" s="447"/>
      <c r="N801" s="447"/>
      <c r="O801" s="447"/>
      <c r="P801" s="447"/>
      <c r="Q801" s="447"/>
      <c r="R801" s="447"/>
      <c r="S801" s="447"/>
      <c r="T801" s="447"/>
      <c r="U801" s="447"/>
      <c r="V801" s="447"/>
      <c r="W801" s="447"/>
      <c r="X801" s="447"/>
      <c r="Y801" s="447"/>
      <c r="Z801" s="447"/>
      <c r="AA801" s="447"/>
      <c r="AB801" s="447"/>
      <c r="AC801" s="447"/>
      <c r="AD801" s="447"/>
      <c r="AE801" s="447"/>
      <c r="AF801" s="448"/>
      <c r="AG801" s="448"/>
      <c r="AH801" s="448"/>
      <c r="AI801" s="447"/>
      <c r="AJ801" s="447"/>
      <c r="AK801" s="447"/>
      <c r="AL801" s="447"/>
      <c r="AM801" s="447"/>
      <c r="AN801" s="447"/>
      <c r="AO801" s="447"/>
      <c r="AP801" s="447"/>
      <c r="AQ801" s="447"/>
      <c r="AR801" s="447"/>
      <c r="AS801" s="447"/>
      <c r="AT801" s="447"/>
      <c r="AU801" s="447"/>
      <c r="AV801" s="447"/>
      <c r="AW801" s="447"/>
      <c r="AX801" s="447"/>
      <c r="AY801" s="447"/>
      <c r="AZ801" s="447"/>
      <c r="BA801" s="447"/>
      <c r="BB801" s="447"/>
      <c r="BC801" s="447"/>
      <c r="BD801" s="447"/>
      <c r="BE801" s="447"/>
      <c r="BF801" s="447"/>
      <c r="BG801" s="447"/>
      <c r="BH801" s="447"/>
      <c r="BI801" s="447"/>
      <c r="BJ801" s="447"/>
      <c r="BK801" s="447"/>
      <c r="BL801" s="447"/>
      <c r="BM801" s="448"/>
      <c r="BN801" s="448"/>
    </row>
    <row r="802" spans="1:66" ht="11.25" customHeight="1">
      <c r="A802" s="469"/>
      <c r="B802" s="447"/>
      <c r="C802" s="447"/>
      <c r="D802" s="447"/>
      <c r="E802" s="447"/>
      <c r="F802" s="447"/>
      <c r="G802" s="447"/>
      <c r="H802" s="447"/>
      <c r="I802" s="447"/>
      <c r="J802" s="447"/>
      <c r="K802" s="447"/>
      <c r="L802" s="447"/>
      <c r="M802" s="447"/>
      <c r="N802" s="447"/>
      <c r="O802" s="447"/>
      <c r="P802" s="447"/>
      <c r="Q802" s="447"/>
      <c r="R802" s="447"/>
      <c r="S802" s="447"/>
      <c r="T802" s="447"/>
      <c r="U802" s="447"/>
      <c r="V802" s="447"/>
      <c r="W802" s="447"/>
      <c r="X802" s="447"/>
      <c r="Y802" s="447"/>
      <c r="Z802" s="447"/>
      <c r="AA802" s="447"/>
      <c r="AB802" s="447"/>
      <c r="AC802" s="447"/>
      <c r="AD802" s="447"/>
      <c r="AE802" s="447"/>
      <c r="AF802" s="448"/>
      <c r="AG802" s="448"/>
      <c r="AH802" s="448"/>
      <c r="AI802" s="447"/>
      <c r="AJ802" s="447"/>
      <c r="AK802" s="447"/>
      <c r="AL802" s="447"/>
      <c r="AM802" s="447"/>
      <c r="AN802" s="447"/>
      <c r="AO802" s="447"/>
      <c r="AP802" s="447"/>
      <c r="AQ802" s="447"/>
      <c r="AR802" s="447"/>
      <c r="AS802" s="447"/>
      <c r="AT802" s="447"/>
      <c r="AU802" s="447"/>
      <c r="AV802" s="447"/>
      <c r="AW802" s="447"/>
      <c r="AX802" s="447"/>
      <c r="AY802" s="447"/>
      <c r="AZ802" s="447"/>
      <c r="BA802" s="447"/>
      <c r="BB802" s="447"/>
      <c r="BC802" s="447"/>
      <c r="BD802" s="447"/>
      <c r="BE802" s="447"/>
      <c r="BF802" s="447"/>
      <c r="BG802" s="447"/>
      <c r="BH802" s="447"/>
      <c r="BI802" s="447"/>
      <c r="BJ802" s="447"/>
      <c r="BK802" s="447"/>
      <c r="BL802" s="447"/>
      <c r="BM802" s="448"/>
      <c r="BN802" s="448"/>
    </row>
    <row r="803" spans="1:66" ht="11.25" customHeight="1">
      <c r="A803" s="469"/>
      <c r="B803" s="447"/>
      <c r="C803" s="447"/>
      <c r="D803" s="447"/>
      <c r="E803" s="447"/>
      <c r="F803" s="447"/>
      <c r="G803" s="447"/>
      <c r="H803" s="447"/>
      <c r="I803" s="447"/>
      <c r="J803" s="447"/>
      <c r="K803" s="447"/>
      <c r="L803" s="447"/>
      <c r="M803" s="447"/>
      <c r="N803" s="447"/>
      <c r="O803" s="447"/>
      <c r="P803" s="447"/>
      <c r="Q803" s="447"/>
      <c r="R803" s="447"/>
      <c r="S803" s="447"/>
      <c r="T803" s="447"/>
      <c r="U803" s="447"/>
      <c r="V803" s="447"/>
      <c r="W803" s="447"/>
      <c r="X803" s="447"/>
      <c r="Y803" s="447"/>
      <c r="Z803" s="447"/>
      <c r="AA803" s="447"/>
      <c r="AB803" s="447"/>
      <c r="AC803" s="447"/>
      <c r="AD803" s="447"/>
      <c r="AE803" s="447"/>
      <c r="AF803" s="448"/>
      <c r="AG803" s="448"/>
      <c r="AH803" s="448"/>
      <c r="AI803" s="447"/>
      <c r="AJ803" s="447"/>
      <c r="AK803" s="447"/>
      <c r="AL803" s="447"/>
      <c r="AM803" s="447"/>
      <c r="AN803" s="447"/>
      <c r="AO803" s="447"/>
      <c r="AP803" s="447"/>
      <c r="AQ803" s="447"/>
      <c r="AR803" s="447"/>
      <c r="AS803" s="447"/>
      <c r="AT803" s="447"/>
      <c r="AU803" s="447"/>
      <c r="AV803" s="447"/>
      <c r="AW803" s="447"/>
      <c r="AX803" s="447"/>
      <c r="AY803" s="447"/>
      <c r="AZ803" s="447"/>
      <c r="BA803" s="447"/>
      <c r="BB803" s="447"/>
      <c r="BC803" s="447"/>
      <c r="BD803" s="447"/>
      <c r="BE803" s="447"/>
      <c r="BF803" s="447"/>
      <c r="BG803" s="447"/>
      <c r="BH803" s="447"/>
      <c r="BI803" s="447"/>
      <c r="BJ803" s="447"/>
      <c r="BK803" s="447"/>
      <c r="BL803" s="447"/>
      <c r="BM803" s="448"/>
      <c r="BN803" s="448"/>
    </row>
    <row r="804" spans="1:66" ht="11.25" customHeight="1">
      <c r="A804" s="469"/>
      <c r="B804" s="447"/>
      <c r="C804" s="447"/>
      <c r="D804" s="447"/>
      <c r="E804" s="447"/>
      <c r="F804" s="447"/>
      <c r="G804" s="447"/>
      <c r="H804" s="447"/>
      <c r="I804" s="447"/>
      <c r="J804" s="447"/>
      <c r="K804" s="447"/>
      <c r="L804" s="447"/>
      <c r="M804" s="447"/>
      <c r="N804" s="447"/>
      <c r="O804" s="447"/>
      <c r="P804" s="447"/>
      <c r="Q804" s="447"/>
      <c r="R804" s="447"/>
      <c r="S804" s="447"/>
      <c r="T804" s="447"/>
      <c r="U804" s="447"/>
      <c r="V804" s="447"/>
      <c r="W804" s="447"/>
      <c r="X804" s="447"/>
      <c r="Y804" s="447"/>
      <c r="Z804" s="447"/>
      <c r="AA804" s="447"/>
      <c r="AB804" s="447"/>
      <c r="AC804" s="447"/>
      <c r="AD804" s="447"/>
      <c r="AE804" s="447"/>
      <c r="AF804" s="448"/>
      <c r="AG804" s="448"/>
      <c r="AH804" s="448"/>
      <c r="AI804" s="447"/>
      <c r="AJ804" s="447"/>
      <c r="AK804" s="447"/>
      <c r="AL804" s="447"/>
      <c r="AM804" s="447"/>
      <c r="AN804" s="447"/>
      <c r="AO804" s="447"/>
      <c r="AP804" s="447"/>
      <c r="AQ804" s="447"/>
      <c r="AR804" s="447"/>
      <c r="AS804" s="447"/>
      <c r="AT804" s="447"/>
      <c r="AU804" s="447"/>
      <c r="AV804" s="447"/>
      <c r="AW804" s="447"/>
      <c r="AX804" s="447"/>
      <c r="AY804" s="447"/>
      <c r="AZ804" s="447"/>
      <c r="BA804" s="447"/>
      <c r="BB804" s="447"/>
      <c r="BC804" s="447"/>
      <c r="BD804" s="447"/>
      <c r="BE804" s="447"/>
      <c r="BF804" s="447"/>
      <c r="BG804" s="447"/>
      <c r="BH804" s="447"/>
      <c r="BI804" s="447"/>
      <c r="BJ804" s="447"/>
      <c r="BK804" s="447"/>
      <c r="BL804" s="447"/>
      <c r="BM804" s="448"/>
      <c r="BN804" s="448"/>
    </row>
    <row r="805" spans="1:66" ht="11.25" customHeight="1">
      <c r="A805" s="469"/>
      <c r="B805" s="447"/>
      <c r="C805" s="447"/>
      <c r="D805" s="447"/>
      <c r="E805" s="447"/>
      <c r="F805" s="447"/>
      <c r="G805" s="447"/>
      <c r="H805" s="447"/>
      <c r="I805" s="447"/>
      <c r="J805" s="447"/>
      <c r="K805" s="447"/>
      <c r="L805" s="447"/>
      <c r="M805" s="447"/>
      <c r="N805" s="447"/>
      <c r="O805" s="447"/>
      <c r="P805" s="447"/>
      <c r="Q805" s="447"/>
      <c r="R805" s="447"/>
      <c r="S805" s="447"/>
      <c r="T805" s="447"/>
      <c r="U805" s="447"/>
      <c r="V805" s="447"/>
      <c r="W805" s="447"/>
      <c r="X805" s="447"/>
      <c r="Y805" s="447"/>
      <c r="Z805" s="447"/>
      <c r="AA805" s="447"/>
      <c r="AB805" s="447"/>
      <c r="AC805" s="447"/>
      <c r="AD805" s="447"/>
      <c r="AE805" s="447"/>
      <c r="AF805" s="448"/>
      <c r="AG805" s="448"/>
      <c r="AH805" s="448"/>
      <c r="AI805" s="447"/>
      <c r="AJ805" s="447"/>
      <c r="AK805" s="447"/>
      <c r="AL805" s="447"/>
      <c r="AM805" s="447"/>
      <c r="AN805" s="447"/>
      <c r="AO805" s="447"/>
      <c r="AP805" s="447"/>
      <c r="AQ805" s="447"/>
      <c r="AR805" s="447"/>
      <c r="AS805" s="447"/>
      <c r="AT805" s="447"/>
      <c r="AU805" s="447"/>
      <c r="AV805" s="447"/>
      <c r="AW805" s="447"/>
      <c r="AX805" s="447"/>
      <c r="AY805" s="447"/>
      <c r="AZ805" s="447"/>
      <c r="BA805" s="447"/>
      <c r="BB805" s="447"/>
      <c r="BC805" s="447"/>
      <c r="BD805" s="447"/>
      <c r="BE805" s="447"/>
      <c r="BF805" s="447"/>
      <c r="BG805" s="447"/>
      <c r="BH805" s="447"/>
      <c r="BI805" s="447"/>
      <c r="BJ805" s="447"/>
      <c r="BK805" s="447"/>
      <c r="BL805" s="447"/>
      <c r="BM805" s="448"/>
      <c r="BN805" s="448"/>
    </row>
    <row r="806" spans="1:66" ht="11.25" customHeight="1">
      <c r="A806" s="469"/>
      <c r="B806" s="447"/>
      <c r="C806" s="447"/>
      <c r="D806" s="447"/>
      <c r="E806" s="447"/>
      <c r="F806" s="447"/>
      <c r="G806" s="447"/>
      <c r="H806" s="447"/>
      <c r="I806" s="447"/>
      <c r="J806" s="447"/>
      <c r="K806" s="447"/>
      <c r="L806" s="447"/>
      <c r="M806" s="447"/>
      <c r="N806" s="447"/>
      <c r="O806" s="447"/>
      <c r="P806" s="447"/>
      <c r="Q806" s="447"/>
      <c r="R806" s="447"/>
      <c r="S806" s="447"/>
      <c r="T806" s="447"/>
      <c r="U806" s="447"/>
      <c r="V806" s="447"/>
      <c r="W806" s="447"/>
      <c r="X806" s="447"/>
      <c r="Y806" s="447"/>
      <c r="Z806" s="447"/>
      <c r="AA806" s="447"/>
      <c r="AB806" s="447"/>
      <c r="AC806" s="447"/>
      <c r="AD806" s="447"/>
      <c r="AE806" s="447"/>
      <c r="AF806" s="448"/>
      <c r="AG806" s="448"/>
      <c r="AH806" s="448"/>
      <c r="AI806" s="447"/>
      <c r="AJ806" s="447"/>
      <c r="AK806" s="447"/>
      <c r="AL806" s="447"/>
      <c r="AM806" s="447"/>
      <c r="AN806" s="447"/>
      <c r="AO806" s="447"/>
      <c r="AP806" s="447"/>
      <c r="AQ806" s="447"/>
      <c r="AR806" s="447"/>
      <c r="AS806" s="447"/>
      <c r="AT806" s="447"/>
      <c r="AU806" s="447"/>
      <c r="AV806" s="447"/>
      <c r="AW806" s="447"/>
      <c r="AX806" s="447"/>
      <c r="AY806" s="447"/>
      <c r="AZ806" s="447"/>
      <c r="BA806" s="447"/>
      <c r="BB806" s="447"/>
      <c r="BC806" s="447"/>
      <c r="BD806" s="447"/>
      <c r="BE806" s="447"/>
      <c r="BF806" s="447"/>
      <c r="BG806" s="447"/>
      <c r="BH806" s="447"/>
      <c r="BI806" s="447"/>
      <c r="BJ806" s="447"/>
      <c r="BK806" s="447"/>
      <c r="BL806" s="447"/>
      <c r="BM806" s="448"/>
      <c r="BN806" s="448"/>
    </row>
    <row r="807" spans="1:66" ht="11.25" customHeight="1">
      <c r="A807" s="469"/>
      <c r="B807" s="447"/>
      <c r="C807" s="447"/>
      <c r="D807" s="447"/>
      <c r="E807" s="447"/>
      <c r="F807" s="447"/>
      <c r="G807" s="447"/>
      <c r="H807" s="447"/>
      <c r="I807" s="447"/>
      <c r="J807" s="447"/>
      <c r="K807" s="447"/>
      <c r="L807" s="447"/>
      <c r="M807" s="447"/>
      <c r="N807" s="447"/>
      <c r="O807" s="447"/>
      <c r="P807" s="447"/>
      <c r="Q807" s="447"/>
      <c r="R807" s="447"/>
      <c r="S807" s="447"/>
      <c r="T807" s="447"/>
      <c r="U807" s="447"/>
      <c r="V807" s="447"/>
      <c r="W807" s="447"/>
      <c r="X807" s="447"/>
      <c r="Y807" s="447"/>
      <c r="Z807" s="447"/>
      <c r="AA807" s="447"/>
      <c r="AB807" s="447"/>
      <c r="AC807" s="447"/>
      <c r="AD807" s="447"/>
      <c r="AE807" s="447"/>
      <c r="AF807" s="448"/>
      <c r="AG807" s="448"/>
      <c r="AH807" s="448"/>
      <c r="AI807" s="447"/>
      <c r="AJ807" s="447"/>
      <c r="AK807" s="447"/>
      <c r="AL807" s="447"/>
      <c r="AM807" s="447"/>
      <c r="AN807" s="447"/>
      <c r="AO807" s="447"/>
      <c r="AP807" s="447"/>
      <c r="AQ807" s="447"/>
      <c r="AR807" s="447"/>
      <c r="AS807" s="447"/>
      <c r="AT807" s="447"/>
      <c r="AU807" s="447"/>
      <c r="AV807" s="447"/>
      <c r="AW807" s="447"/>
      <c r="AX807" s="447"/>
      <c r="AY807" s="447"/>
      <c r="AZ807" s="447"/>
      <c r="BA807" s="447"/>
      <c r="BB807" s="447"/>
      <c r="BC807" s="447"/>
      <c r="BD807" s="447"/>
      <c r="BE807" s="447"/>
      <c r="BF807" s="447"/>
      <c r="BG807" s="447"/>
      <c r="BH807" s="447"/>
      <c r="BI807" s="447"/>
      <c r="BJ807" s="447"/>
      <c r="BK807" s="447"/>
      <c r="BL807" s="447"/>
      <c r="BM807" s="448"/>
      <c r="BN807" s="448"/>
    </row>
    <row r="808" spans="1:66" ht="11.25" customHeight="1">
      <c r="A808" s="469"/>
      <c r="B808" s="447"/>
      <c r="C808" s="447"/>
      <c r="D808" s="447"/>
      <c r="E808" s="447"/>
      <c r="F808" s="447"/>
      <c r="G808" s="447"/>
      <c r="H808" s="447"/>
      <c r="I808" s="447"/>
      <c r="J808" s="447"/>
      <c r="K808" s="447"/>
      <c r="L808" s="447"/>
      <c r="M808" s="447"/>
      <c r="N808" s="447"/>
      <c r="O808" s="447"/>
      <c r="P808" s="447"/>
      <c r="Q808" s="447"/>
      <c r="R808" s="447"/>
      <c r="S808" s="447"/>
      <c r="T808" s="447"/>
      <c r="U808" s="447"/>
      <c r="V808" s="447"/>
      <c r="W808" s="447"/>
      <c r="X808" s="447"/>
      <c r="Y808" s="447"/>
      <c r="Z808" s="447"/>
      <c r="AA808" s="447"/>
      <c r="AB808" s="447"/>
      <c r="AC808" s="447"/>
      <c r="AD808" s="447"/>
      <c r="AE808" s="447"/>
      <c r="AF808" s="448"/>
      <c r="AG808" s="448"/>
      <c r="AH808" s="448"/>
      <c r="AI808" s="447"/>
      <c r="AJ808" s="447"/>
      <c r="AK808" s="447"/>
      <c r="AL808" s="447"/>
      <c r="AM808" s="447"/>
      <c r="AN808" s="447"/>
      <c r="AO808" s="447"/>
      <c r="AP808" s="447"/>
      <c r="AQ808" s="447"/>
      <c r="AR808" s="447"/>
      <c r="AS808" s="447"/>
      <c r="AT808" s="447"/>
      <c r="AU808" s="447"/>
      <c r="AV808" s="447"/>
      <c r="AW808" s="447"/>
      <c r="AX808" s="447"/>
      <c r="AY808" s="447"/>
      <c r="AZ808" s="447"/>
      <c r="BA808" s="447"/>
      <c r="BB808" s="447"/>
      <c r="BC808" s="447"/>
      <c r="BD808" s="447"/>
      <c r="BE808" s="447"/>
      <c r="BF808" s="447"/>
      <c r="BG808" s="447"/>
      <c r="BH808" s="447"/>
      <c r="BI808" s="447"/>
      <c r="BJ808" s="447"/>
      <c r="BK808" s="447"/>
      <c r="BL808" s="447"/>
      <c r="BM808" s="448"/>
      <c r="BN808" s="448"/>
    </row>
    <row r="809" spans="1:66" ht="11.25" customHeight="1">
      <c r="A809" s="469"/>
      <c r="B809" s="447"/>
      <c r="C809" s="447"/>
      <c r="D809" s="447"/>
      <c r="E809" s="447"/>
      <c r="F809" s="447"/>
      <c r="G809" s="447"/>
      <c r="H809" s="447"/>
      <c r="I809" s="447"/>
      <c r="J809" s="447"/>
      <c r="K809" s="447"/>
      <c r="L809" s="447"/>
      <c r="M809" s="447"/>
      <c r="N809" s="447"/>
      <c r="O809" s="447"/>
      <c r="P809" s="447"/>
      <c r="Q809" s="447"/>
      <c r="R809" s="447"/>
      <c r="S809" s="447"/>
      <c r="T809" s="447"/>
      <c r="U809" s="447"/>
      <c r="V809" s="447"/>
      <c r="W809" s="447"/>
      <c r="X809" s="447"/>
      <c r="Y809" s="447"/>
      <c r="Z809" s="447"/>
      <c r="AA809" s="447"/>
      <c r="AB809" s="447"/>
      <c r="AC809" s="447"/>
      <c r="AD809" s="447"/>
      <c r="AE809" s="447"/>
      <c r="AF809" s="448"/>
      <c r="AG809" s="448"/>
      <c r="AH809" s="448"/>
      <c r="AI809" s="447"/>
      <c r="AJ809" s="447"/>
      <c r="AK809" s="447"/>
      <c r="AL809" s="447"/>
      <c r="AM809" s="447"/>
      <c r="AN809" s="447"/>
      <c r="AO809" s="447"/>
      <c r="AP809" s="447"/>
      <c r="AQ809" s="447"/>
      <c r="AR809" s="447"/>
      <c r="AS809" s="447"/>
      <c r="AT809" s="447"/>
      <c r="AU809" s="447"/>
      <c r="AV809" s="447"/>
      <c r="AW809" s="447"/>
      <c r="AX809" s="447"/>
      <c r="AY809" s="447"/>
      <c r="AZ809" s="447"/>
      <c r="BA809" s="447"/>
      <c r="BB809" s="447"/>
      <c r="BC809" s="447"/>
      <c r="BD809" s="447"/>
      <c r="BE809" s="447"/>
      <c r="BF809" s="447"/>
      <c r="BG809" s="447"/>
      <c r="BH809" s="447"/>
      <c r="BI809" s="447"/>
      <c r="BJ809" s="447"/>
      <c r="BK809" s="447"/>
      <c r="BL809" s="447"/>
      <c r="BM809" s="448"/>
      <c r="BN809" s="448"/>
    </row>
    <row r="810" spans="1:66" ht="11.25" customHeight="1">
      <c r="A810" s="469"/>
      <c r="B810" s="447"/>
      <c r="C810" s="447"/>
      <c r="D810" s="447"/>
      <c r="E810" s="447"/>
      <c r="F810" s="447"/>
      <c r="G810" s="447"/>
      <c r="H810" s="447"/>
      <c r="I810" s="447"/>
      <c r="J810" s="447"/>
      <c r="K810" s="447"/>
      <c r="L810" s="447"/>
      <c r="M810" s="447"/>
      <c r="N810" s="447"/>
      <c r="O810" s="447"/>
      <c r="P810" s="447"/>
      <c r="Q810" s="447"/>
      <c r="R810" s="447"/>
      <c r="S810" s="447"/>
      <c r="T810" s="447"/>
      <c r="U810" s="447"/>
      <c r="V810" s="447"/>
      <c r="W810" s="447"/>
      <c r="X810" s="447"/>
      <c r="Y810" s="447"/>
      <c r="Z810" s="447"/>
      <c r="AA810" s="447"/>
      <c r="AB810" s="447"/>
      <c r="AC810" s="447"/>
      <c r="AD810" s="447"/>
      <c r="AE810" s="447"/>
      <c r="AF810" s="448"/>
      <c r="AG810" s="448"/>
      <c r="AH810" s="448"/>
      <c r="AI810" s="447"/>
      <c r="AJ810" s="447"/>
      <c r="AK810" s="447"/>
      <c r="AL810" s="447"/>
      <c r="AM810" s="447"/>
      <c r="AN810" s="447"/>
      <c r="AO810" s="447"/>
      <c r="AP810" s="447"/>
      <c r="AQ810" s="447"/>
      <c r="AR810" s="447"/>
      <c r="AS810" s="447"/>
      <c r="AT810" s="447"/>
      <c r="AU810" s="447"/>
      <c r="AV810" s="447"/>
      <c r="AW810" s="447"/>
      <c r="AX810" s="447"/>
      <c r="AY810" s="447"/>
      <c r="AZ810" s="447"/>
      <c r="BA810" s="447"/>
      <c r="BB810" s="447"/>
      <c r="BC810" s="447"/>
      <c r="BD810" s="447"/>
      <c r="BE810" s="447"/>
      <c r="BF810" s="447"/>
      <c r="BG810" s="447"/>
      <c r="BH810" s="447"/>
      <c r="BI810" s="447"/>
      <c r="BJ810" s="447"/>
      <c r="BK810" s="447"/>
      <c r="BL810" s="447"/>
      <c r="BM810" s="448"/>
      <c r="BN810" s="448"/>
    </row>
    <row r="811" spans="1:66" ht="11.25" customHeight="1">
      <c r="A811" s="469"/>
      <c r="B811" s="447"/>
      <c r="C811" s="447"/>
      <c r="D811" s="447"/>
      <c r="E811" s="447"/>
      <c r="F811" s="447"/>
      <c r="G811" s="447"/>
      <c r="H811" s="447"/>
      <c r="I811" s="447"/>
      <c r="J811" s="447"/>
      <c r="K811" s="447"/>
      <c r="L811" s="447"/>
      <c r="M811" s="447"/>
      <c r="N811" s="447"/>
      <c r="O811" s="447"/>
      <c r="P811" s="447"/>
      <c r="Q811" s="447"/>
      <c r="R811" s="447"/>
      <c r="S811" s="447"/>
      <c r="T811" s="447"/>
      <c r="U811" s="447"/>
      <c r="V811" s="447"/>
      <c r="W811" s="447"/>
      <c r="X811" s="447"/>
      <c r="Y811" s="447"/>
      <c r="Z811" s="447"/>
      <c r="AA811" s="447"/>
      <c r="AB811" s="447"/>
      <c r="AC811" s="447"/>
      <c r="AD811" s="447"/>
      <c r="AE811" s="447"/>
      <c r="AF811" s="448"/>
      <c r="AG811" s="448"/>
      <c r="AH811" s="448"/>
      <c r="AI811" s="447"/>
      <c r="AJ811" s="447"/>
      <c r="AK811" s="447"/>
      <c r="AL811" s="447"/>
      <c r="AM811" s="447"/>
      <c r="AN811" s="447"/>
      <c r="AO811" s="447"/>
      <c r="AP811" s="447"/>
      <c r="AQ811" s="447"/>
      <c r="AR811" s="447"/>
      <c r="AS811" s="447"/>
      <c r="AT811" s="447"/>
      <c r="AU811" s="447"/>
      <c r="AV811" s="447"/>
      <c r="AW811" s="447"/>
      <c r="AX811" s="447"/>
      <c r="AY811" s="447"/>
      <c r="AZ811" s="447"/>
      <c r="BA811" s="447"/>
      <c r="BB811" s="447"/>
      <c r="BC811" s="447"/>
      <c r="BD811" s="447"/>
      <c r="BE811" s="447"/>
      <c r="BF811" s="447"/>
      <c r="BG811" s="447"/>
      <c r="BH811" s="447"/>
      <c r="BI811" s="447"/>
      <c r="BJ811" s="447"/>
      <c r="BK811" s="447"/>
      <c r="BL811" s="447"/>
      <c r="BM811" s="448"/>
      <c r="BN811" s="448"/>
    </row>
    <row r="812" spans="1:66" ht="11.25" customHeight="1">
      <c r="A812" s="469"/>
      <c r="B812" s="447"/>
      <c r="C812" s="447"/>
      <c r="D812" s="447"/>
      <c r="E812" s="447"/>
      <c r="F812" s="447"/>
      <c r="G812" s="447"/>
      <c r="H812" s="447"/>
      <c r="I812" s="447"/>
      <c r="J812" s="447"/>
      <c r="K812" s="447"/>
      <c r="L812" s="447"/>
      <c r="M812" s="447"/>
      <c r="N812" s="447"/>
      <c r="O812" s="447"/>
      <c r="P812" s="447"/>
      <c r="Q812" s="447"/>
      <c r="R812" s="447"/>
      <c r="S812" s="447"/>
      <c r="T812" s="447"/>
      <c r="U812" s="447"/>
      <c r="V812" s="447"/>
      <c r="W812" s="447"/>
      <c r="X812" s="447"/>
      <c r="Y812" s="447"/>
      <c r="Z812" s="447"/>
      <c r="AA812" s="447"/>
      <c r="AB812" s="447"/>
      <c r="AC812" s="447"/>
      <c r="AD812" s="447"/>
      <c r="AE812" s="447"/>
      <c r="AF812" s="448"/>
      <c r="AG812" s="448"/>
      <c r="AH812" s="448"/>
      <c r="AI812" s="447"/>
      <c r="AJ812" s="447"/>
      <c r="AK812" s="447"/>
      <c r="AL812" s="447"/>
      <c r="AM812" s="447"/>
      <c r="AN812" s="447"/>
      <c r="AO812" s="447"/>
      <c r="AP812" s="447"/>
      <c r="AQ812" s="447"/>
      <c r="AR812" s="447"/>
      <c r="AS812" s="447"/>
      <c r="AT812" s="447"/>
      <c r="AU812" s="447"/>
      <c r="AV812" s="447"/>
      <c r="AW812" s="447"/>
      <c r="AX812" s="447"/>
      <c r="AY812" s="447"/>
      <c r="AZ812" s="447"/>
      <c r="BA812" s="447"/>
      <c r="BB812" s="447"/>
      <c r="BC812" s="447"/>
      <c r="BD812" s="447"/>
      <c r="BE812" s="447"/>
      <c r="BF812" s="447"/>
      <c r="BG812" s="447"/>
      <c r="BH812" s="447"/>
      <c r="BI812" s="447"/>
      <c r="BJ812" s="447"/>
      <c r="BK812" s="447"/>
      <c r="BL812" s="447"/>
      <c r="BM812" s="448"/>
      <c r="BN812" s="448"/>
    </row>
    <row r="813" spans="1:66" ht="11.25" customHeight="1">
      <c r="A813" s="469"/>
      <c r="B813" s="447"/>
      <c r="C813" s="447"/>
      <c r="D813" s="447"/>
      <c r="E813" s="447"/>
      <c r="F813" s="447"/>
      <c r="G813" s="447"/>
      <c r="H813" s="447"/>
      <c r="I813" s="447"/>
      <c r="J813" s="447"/>
      <c r="K813" s="447"/>
      <c r="L813" s="447"/>
      <c r="M813" s="447"/>
      <c r="N813" s="447"/>
      <c r="O813" s="447"/>
      <c r="P813" s="447"/>
      <c r="Q813" s="447"/>
      <c r="R813" s="447"/>
      <c r="S813" s="447"/>
      <c r="T813" s="447"/>
      <c r="U813" s="447"/>
      <c r="V813" s="447"/>
      <c r="W813" s="447"/>
      <c r="X813" s="447"/>
      <c r="Y813" s="447"/>
      <c r="Z813" s="447"/>
      <c r="AA813" s="447"/>
      <c r="AB813" s="447"/>
      <c r="AC813" s="447"/>
      <c r="AD813" s="447"/>
      <c r="AE813" s="447"/>
      <c r="AF813" s="448"/>
      <c r="AG813" s="448"/>
      <c r="AH813" s="448"/>
      <c r="AI813" s="447"/>
      <c r="AJ813" s="447"/>
      <c r="AK813" s="447"/>
      <c r="AL813" s="447"/>
      <c r="AM813" s="447"/>
      <c r="AN813" s="447"/>
      <c r="AO813" s="447"/>
      <c r="AP813" s="447"/>
      <c r="AQ813" s="447"/>
      <c r="AR813" s="447"/>
      <c r="AS813" s="447"/>
      <c r="AT813" s="447"/>
      <c r="AU813" s="447"/>
      <c r="AV813" s="447"/>
      <c r="AW813" s="447"/>
      <c r="AX813" s="447"/>
      <c r="AY813" s="447"/>
      <c r="AZ813" s="447"/>
      <c r="BA813" s="447"/>
      <c r="BB813" s="447"/>
      <c r="BC813" s="447"/>
      <c r="BD813" s="447"/>
      <c r="BE813" s="447"/>
      <c r="BF813" s="447"/>
      <c r="BG813" s="447"/>
      <c r="BH813" s="447"/>
      <c r="BI813" s="447"/>
      <c r="BJ813" s="447"/>
      <c r="BK813" s="447"/>
      <c r="BL813" s="447"/>
      <c r="BM813" s="448"/>
      <c r="BN813" s="448"/>
    </row>
    <row r="814" spans="1:66" ht="11.25" customHeight="1">
      <c r="A814" s="469"/>
      <c r="B814" s="447"/>
      <c r="C814" s="447"/>
      <c r="D814" s="447"/>
      <c r="E814" s="447"/>
      <c r="F814" s="447"/>
      <c r="G814" s="447"/>
      <c r="H814" s="447"/>
      <c r="I814" s="447"/>
      <c r="J814" s="447"/>
      <c r="K814" s="447"/>
      <c r="L814" s="447"/>
      <c r="M814" s="447"/>
      <c r="N814" s="447"/>
      <c r="O814" s="447"/>
      <c r="P814" s="447"/>
      <c r="Q814" s="447"/>
      <c r="R814" s="447"/>
      <c r="S814" s="447"/>
      <c r="T814" s="447"/>
      <c r="U814" s="447"/>
      <c r="V814" s="447"/>
      <c r="W814" s="447"/>
      <c r="X814" s="447"/>
      <c r="Y814" s="447"/>
      <c r="Z814" s="447"/>
      <c r="AA814" s="447"/>
      <c r="AB814" s="447"/>
      <c r="AC814" s="447"/>
      <c r="AD814" s="447"/>
      <c r="AE814" s="447"/>
      <c r="AF814" s="448"/>
      <c r="AG814" s="448"/>
      <c r="AH814" s="448"/>
      <c r="AI814" s="447"/>
      <c r="AJ814" s="447"/>
      <c r="AK814" s="447"/>
      <c r="AL814" s="447"/>
      <c r="AM814" s="447"/>
      <c r="AN814" s="447"/>
      <c r="AO814" s="447"/>
      <c r="AP814" s="447"/>
      <c r="AQ814" s="447"/>
      <c r="AR814" s="447"/>
      <c r="AS814" s="447"/>
      <c r="AT814" s="447"/>
      <c r="AU814" s="447"/>
      <c r="AV814" s="447"/>
      <c r="AW814" s="447"/>
      <c r="AX814" s="447"/>
      <c r="AY814" s="447"/>
      <c r="AZ814" s="447"/>
      <c r="BA814" s="447"/>
      <c r="BB814" s="447"/>
      <c r="BC814" s="447"/>
      <c r="BD814" s="447"/>
      <c r="BE814" s="447"/>
      <c r="BF814" s="447"/>
      <c r="BG814" s="447"/>
      <c r="BH814" s="447"/>
      <c r="BI814" s="447"/>
      <c r="BJ814" s="447"/>
      <c r="BK814" s="447"/>
      <c r="BL814" s="447"/>
      <c r="BM814" s="448"/>
      <c r="BN814" s="448"/>
    </row>
    <row r="815" spans="1:66" ht="11.25" customHeight="1">
      <c r="A815" s="469"/>
      <c r="B815" s="447"/>
      <c r="C815" s="447"/>
      <c r="D815" s="447"/>
      <c r="E815" s="447"/>
      <c r="F815" s="447"/>
      <c r="G815" s="447"/>
      <c r="H815" s="447"/>
      <c r="I815" s="447"/>
      <c r="J815" s="447"/>
      <c r="K815" s="447"/>
      <c r="L815" s="447"/>
      <c r="M815" s="447"/>
      <c r="N815" s="447"/>
      <c r="O815" s="447"/>
      <c r="P815" s="447"/>
      <c r="Q815" s="447"/>
      <c r="R815" s="447"/>
      <c r="S815" s="447"/>
      <c r="T815" s="447"/>
      <c r="U815" s="447"/>
      <c r="V815" s="447"/>
      <c r="W815" s="447"/>
      <c r="X815" s="447"/>
      <c r="Y815" s="447"/>
      <c r="Z815" s="447"/>
      <c r="AA815" s="447"/>
      <c r="AB815" s="447"/>
      <c r="AC815" s="447"/>
      <c r="AD815" s="447"/>
      <c r="AE815" s="447"/>
      <c r="AF815" s="448"/>
      <c r="AG815" s="448"/>
      <c r="AH815" s="448"/>
      <c r="AI815" s="447"/>
      <c r="AJ815" s="447"/>
      <c r="AK815" s="447"/>
      <c r="AL815" s="447"/>
      <c r="AM815" s="447"/>
      <c r="AN815" s="447"/>
      <c r="AO815" s="447"/>
      <c r="AP815" s="447"/>
      <c r="AQ815" s="447"/>
      <c r="AR815" s="447"/>
      <c r="AS815" s="447"/>
      <c r="AT815" s="447"/>
      <c r="AU815" s="447"/>
      <c r="AV815" s="447"/>
      <c r="AW815" s="447"/>
      <c r="AX815" s="447"/>
      <c r="AY815" s="447"/>
      <c r="AZ815" s="447"/>
      <c r="BA815" s="447"/>
      <c r="BB815" s="447"/>
      <c r="BC815" s="447"/>
      <c r="BD815" s="447"/>
      <c r="BE815" s="447"/>
      <c r="BF815" s="447"/>
      <c r="BG815" s="447"/>
      <c r="BH815" s="447"/>
      <c r="BI815" s="447"/>
      <c r="BJ815" s="447"/>
      <c r="BK815" s="447"/>
      <c r="BL815" s="447"/>
      <c r="BM815" s="448"/>
      <c r="BN815" s="448"/>
    </row>
    <row r="816" spans="1:66" ht="11.25" customHeight="1">
      <c r="A816" s="469"/>
      <c r="B816" s="447"/>
      <c r="C816" s="447"/>
      <c r="D816" s="447"/>
      <c r="E816" s="447"/>
      <c r="F816" s="447"/>
      <c r="G816" s="447"/>
      <c r="H816" s="447"/>
      <c r="I816" s="447"/>
      <c r="J816" s="447"/>
      <c r="K816" s="447"/>
      <c r="L816" s="447"/>
      <c r="M816" s="447"/>
      <c r="N816" s="447"/>
      <c r="O816" s="447"/>
      <c r="P816" s="447"/>
      <c r="Q816" s="447"/>
      <c r="R816" s="447"/>
      <c r="S816" s="447"/>
      <c r="T816" s="447"/>
      <c r="U816" s="447"/>
      <c r="V816" s="447"/>
      <c r="W816" s="447"/>
      <c r="X816" s="447"/>
      <c r="Y816" s="447"/>
      <c r="Z816" s="447"/>
      <c r="AA816" s="447"/>
      <c r="AB816" s="447"/>
      <c r="AC816" s="447"/>
      <c r="AD816" s="447"/>
      <c r="AE816" s="447"/>
      <c r="AF816" s="448"/>
      <c r="AG816" s="448"/>
      <c r="AH816" s="448"/>
      <c r="AI816" s="447"/>
      <c r="AJ816" s="447"/>
      <c r="AK816" s="447"/>
      <c r="AL816" s="447"/>
      <c r="AM816" s="447"/>
      <c r="AN816" s="447"/>
      <c r="AO816" s="447"/>
      <c r="AP816" s="447"/>
      <c r="AQ816" s="447"/>
      <c r="AR816" s="447"/>
      <c r="AS816" s="447"/>
      <c r="AT816" s="447"/>
      <c r="AU816" s="447"/>
      <c r="AV816" s="447"/>
      <c r="AW816" s="447"/>
      <c r="AX816" s="447"/>
      <c r="AY816" s="447"/>
      <c r="AZ816" s="447"/>
      <c r="BA816" s="447"/>
      <c r="BB816" s="447"/>
      <c r="BC816" s="447"/>
      <c r="BD816" s="447"/>
      <c r="BE816" s="447"/>
      <c r="BF816" s="447"/>
      <c r="BG816" s="447"/>
      <c r="BH816" s="447"/>
      <c r="BI816" s="447"/>
      <c r="BJ816" s="447"/>
      <c r="BK816" s="447"/>
      <c r="BL816" s="447"/>
      <c r="BM816" s="448"/>
      <c r="BN816" s="448"/>
    </row>
    <row r="817" spans="1:66" ht="11.25" customHeight="1">
      <c r="A817" s="469"/>
      <c r="B817" s="447"/>
      <c r="C817" s="447"/>
      <c r="D817" s="447"/>
      <c r="E817" s="447"/>
      <c r="F817" s="447"/>
      <c r="G817" s="447"/>
      <c r="H817" s="447"/>
      <c r="I817" s="447"/>
      <c r="J817" s="447"/>
      <c r="K817" s="447"/>
      <c r="L817" s="447"/>
      <c r="M817" s="447"/>
      <c r="N817" s="447"/>
      <c r="O817" s="447"/>
      <c r="P817" s="447"/>
      <c r="Q817" s="447"/>
      <c r="R817" s="447"/>
      <c r="S817" s="447"/>
      <c r="T817" s="447"/>
      <c r="U817" s="447"/>
      <c r="V817" s="447"/>
      <c r="W817" s="447"/>
      <c r="X817" s="447"/>
      <c r="Y817" s="447"/>
      <c r="Z817" s="447"/>
      <c r="AA817" s="447"/>
      <c r="AB817" s="447"/>
      <c r="AC817" s="447"/>
      <c r="AD817" s="447"/>
      <c r="AE817" s="447"/>
      <c r="AF817" s="448"/>
      <c r="AG817" s="448"/>
      <c r="AH817" s="448"/>
      <c r="AI817" s="447"/>
      <c r="AJ817" s="447"/>
      <c r="AK817" s="447"/>
      <c r="AL817" s="447"/>
      <c r="AM817" s="447"/>
      <c r="AN817" s="447"/>
      <c r="AO817" s="447"/>
      <c r="AP817" s="447"/>
      <c r="AQ817" s="447"/>
      <c r="AR817" s="447"/>
      <c r="AS817" s="447"/>
      <c r="AT817" s="447"/>
      <c r="AU817" s="447"/>
      <c r="AV817" s="447"/>
      <c r="AW817" s="447"/>
      <c r="AX817" s="447"/>
      <c r="AY817" s="447"/>
      <c r="AZ817" s="447"/>
      <c r="BA817" s="447"/>
      <c r="BB817" s="447"/>
      <c r="BC817" s="447"/>
      <c r="BD817" s="447"/>
      <c r="BE817" s="447"/>
      <c r="BF817" s="447"/>
      <c r="BG817" s="447"/>
      <c r="BH817" s="447"/>
      <c r="BI817" s="447"/>
      <c r="BJ817" s="447"/>
      <c r="BK817" s="447"/>
      <c r="BL817" s="447"/>
      <c r="BM817" s="448"/>
      <c r="BN817" s="448"/>
    </row>
    <row r="818" spans="1:66" ht="11.25" customHeight="1">
      <c r="A818" s="469"/>
      <c r="B818" s="447"/>
      <c r="C818" s="447"/>
      <c r="D818" s="447"/>
      <c r="E818" s="447"/>
      <c r="F818" s="447"/>
      <c r="G818" s="447"/>
      <c r="H818" s="447"/>
      <c r="I818" s="447"/>
      <c r="J818" s="447"/>
      <c r="K818" s="447"/>
      <c r="L818" s="447"/>
      <c r="M818" s="447"/>
      <c r="N818" s="447"/>
      <c r="O818" s="447"/>
      <c r="P818" s="447"/>
      <c r="Q818" s="447"/>
      <c r="R818" s="447"/>
      <c r="S818" s="447"/>
      <c r="T818" s="447"/>
      <c r="U818" s="447"/>
      <c r="V818" s="447"/>
      <c r="W818" s="447"/>
      <c r="X818" s="447"/>
      <c r="Y818" s="447"/>
      <c r="Z818" s="447"/>
      <c r="AA818" s="447"/>
      <c r="AB818" s="447"/>
      <c r="AC818" s="447"/>
      <c r="AD818" s="447"/>
      <c r="AE818" s="447"/>
      <c r="AF818" s="448"/>
      <c r="AG818" s="448"/>
      <c r="AH818" s="448"/>
      <c r="AI818" s="447"/>
      <c r="AJ818" s="447"/>
      <c r="AK818" s="447"/>
      <c r="AL818" s="447"/>
      <c r="AM818" s="447"/>
      <c r="AN818" s="447"/>
      <c r="AO818" s="447"/>
      <c r="AP818" s="447"/>
      <c r="AQ818" s="447"/>
      <c r="AR818" s="447"/>
      <c r="AS818" s="447"/>
      <c r="AT818" s="447"/>
      <c r="AU818" s="447"/>
      <c r="AV818" s="447"/>
      <c r="AW818" s="447"/>
      <c r="AX818" s="447"/>
      <c r="AY818" s="447"/>
      <c r="AZ818" s="447"/>
      <c r="BA818" s="447"/>
      <c r="BB818" s="447"/>
      <c r="BC818" s="447"/>
      <c r="BD818" s="447"/>
      <c r="BE818" s="447"/>
      <c r="BF818" s="447"/>
      <c r="BG818" s="447"/>
      <c r="BH818" s="447"/>
      <c r="BI818" s="447"/>
      <c r="BJ818" s="447"/>
      <c r="BK818" s="447"/>
      <c r="BL818" s="447"/>
      <c r="BM818" s="448"/>
      <c r="BN818" s="448"/>
    </row>
    <row r="819" spans="1:66" ht="11.25" customHeight="1">
      <c r="A819" s="469"/>
      <c r="B819" s="447"/>
      <c r="C819" s="447"/>
      <c r="D819" s="447"/>
      <c r="E819" s="447"/>
      <c r="F819" s="447"/>
      <c r="G819" s="447"/>
      <c r="H819" s="447"/>
      <c r="I819" s="447"/>
      <c r="J819" s="447"/>
      <c r="K819" s="447"/>
      <c r="L819" s="447"/>
      <c r="M819" s="447"/>
      <c r="N819" s="447"/>
      <c r="O819" s="447"/>
      <c r="P819" s="447"/>
      <c r="Q819" s="447"/>
      <c r="R819" s="447"/>
      <c r="S819" s="447"/>
      <c r="T819" s="447"/>
      <c r="U819" s="447"/>
      <c r="V819" s="447"/>
      <c r="W819" s="447"/>
      <c r="X819" s="447"/>
      <c r="Y819" s="447"/>
      <c r="Z819" s="447"/>
      <c r="AA819" s="447"/>
      <c r="AB819" s="447"/>
      <c r="AC819" s="447"/>
      <c r="AD819" s="447"/>
      <c r="AE819" s="447"/>
      <c r="AF819" s="448"/>
      <c r="AG819" s="448"/>
      <c r="AH819" s="448"/>
      <c r="AI819" s="447"/>
      <c r="AJ819" s="447"/>
      <c r="AK819" s="447"/>
      <c r="AL819" s="447"/>
      <c r="AM819" s="447"/>
      <c r="AN819" s="447"/>
      <c r="AO819" s="447"/>
      <c r="AP819" s="447"/>
      <c r="AQ819" s="447"/>
      <c r="AR819" s="447"/>
      <c r="AS819" s="447"/>
      <c r="AT819" s="447"/>
      <c r="AU819" s="447"/>
      <c r="AV819" s="447"/>
      <c r="AW819" s="447"/>
      <c r="AX819" s="447"/>
      <c r="AY819" s="447"/>
      <c r="AZ819" s="447"/>
      <c r="BA819" s="447"/>
      <c r="BB819" s="447"/>
      <c r="BC819" s="447"/>
      <c r="BD819" s="447"/>
      <c r="BE819" s="447"/>
      <c r="BF819" s="447"/>
      <c r="BG819" s="447"/>
      <c r="BH819" s="447"/>
      <c r="BI819" s="447"/>
      <c r="BJ819" s="447"/>
      <c r="BK819" s="447"/>
      <c r="BL819" s="447"/>
      <c r="BM819" s="448"/>
      <c r="BN819" s="448"/>
    </row>
    <row r="820" spans="1:66" ht="11.25" customHeight="1">
      <c r="A820" s="469"/>
      <c r="B820" s="447"/>
      <c r="C820" s="447"/>
      <c r="D820" s="447"/>
      <c r="E820" s="447"/>
      <c r="F820" s="447"/>
      <c r="G820" s="447"/>
      <c r="H820" s="447"/>
      <c r="I820" s="447"/>
      <c r="J820" s="447"/>
      <c r="K820" s="447"/>
      <c r="L820" s="447"/>
      <c r="M820" s="447"/>
      <c r="N820" s="447"/>
      <c r="O820" s="447"/>
      <c r="P820" s="447"/>
      <c r="Q820" s="447"/>
      <c r="R820" s="447"/>
      <c r="S820" s="447"/>
      <c r="T820" s="447"/>
      <c r="U820" s="447"/>
      <c r="V820" s="447"/>
      <c r="W820" s="447"/>
      <c r="X820" s="447"/>
      <c r="Y820" s="447"/>
      <c r="Z820" s="447"/>
      <c r="AA820" s="447"/>
      <c r="AB820" s="447"/>
      <c r="AC820" s="447"/>
      <c r="AD820" s="447"/>
      <c r="AE820" s="447"/>
      <c r="AF820" s="448"/>
      <c r="AG820" s="448"/>
      <c r="AH820" s="448"/>
      <c r="AI820" s="447"/>
      <c r="AJ820" s="447"/>
      <c r="AK820" s="447"/>
      <c r="AL820" s="447"/>
      <c r="AM820" s="447"/>
      <c r="AN820" s="447"/>
      <c r="AO820" s="447"/>
      <c r="AP820" s="447"/>
      <c r="AQ820" s="447"/>
      <c r="AR820" s="447"/>
      <c r="AS820" s="447"/>
      <c r="AT820" s="447"/>
      <c r="AU820" s="447"/>
      <c r="AV820" s="447"/>
      <c r="AW820" s="447"/>
      <c r="AX820" s="447"/>
      <c r="AY820" s="447"/>
      <c r="AZ820" s="447"/>
      <c r="BA820" s="447"/>
      <c r="BB820" s="447"/>
      <c r="BC820" s="447"/>
      <c r="BD820" s="447"/>
      <c r="BE820" s="447"/>
      <c r="BF820" s="447"/>
      <c r="BG820" s="447"/>
      <c r="BH820" s="447"/>
      <c r="BI820" s="447"/>
      <c r="BJ820" s="447"/>
      <c r="BK820" s="447"/>
      <c r="BL820" s="447"/>
      <c r="BM820" s="448"/>
      <c r="BN820" s="448"/>
    </row>
    <row r="821" spans="1:66" ht="11.25" customHeight="1">
      <c r="A821" s="469"/>
      <c r="B821" s="447"/>
      <c r="C821" s="447"/>
      <c r="D821" s="447"/>
      <c r="E821" s="447"/>
      <c r="F821" s="447"/>
      <c r="G821" s="447"/>
      <c r="H821" s="447"/>
      <c r="I821" s="447"/>
      <c r="J821" s="447"/>
      <c r="K821" s="447"/>
      <c r="L821" s="447"/>
      <c r="M821" s="447"/>
      <c r="N821" s="447"/>
      <c r="O821" s="447"/>
      <c r="P821" s="447"/>
      <c r="Q821" s="447"/>
      <c r="R821" s="447"/>
      <c r="S821" s="447"/>
      <c r="T821" s="447"/>
      <c r="U821" s="447"/>
      <c r="V821" s="447"/>
      <c r="W821" s="447"/>
      <c r="X821" s="447"/>
      <c r="Y821" s="447"/>
      <c r="Z821" s="447"/>
      <c r="AA821" s="447"/>
      <c r="AB821" s="447"/>
      <c r="AC821" s="447"/>
      <c r="AD821" s="447"/>
      <c r="AE821" s="447"/>
      <c r="AF821" s="448"/>
      <c r="AG821" s="448"/>
      <c r="AH821" s="448"/>
      <c r="AI821" s="447"/>
      <c r="AJ821" s="447"/>
      <c r="AK821" s="447"/>
      <c r="AL821" s="447"/>
      <c r="AM821" s="447"/>
      <c r="AN821" s="447"/>
      <c r="AO821" s="447"/>
      <c r="AP821" s="447"/>
      <c r="AQ821" s="447"/>
      <c r="AR821" s="447"/>
      <c r="AS821" s="447"/>
      <c r="AT821" s="447"/>
      <c r="AU821" s="447"/>
      <c r="AV821" s="447"/>
      <c r="AW821" s="447"/>
      <c r="AX821" s="447"/>
      <c r="AY821" s="447"/>
      <c r="AZ821" s="447"/>
      <c r="BA821" s="447"/>
      <c r="BB821" s="447"/>
      <c r="BC821" s="447"/>
      <c r="BD821" s="447"/>
      <c r="BE821" s="447"/>
      <c r="BF821" s="447"/>
      <c r="BG821" s="447"/>
      <c r="BH821" s="447"/>
      <c r="BI821" s="447"/>
      <c r="BJ821" s="447"/>
      <c r="BK821" s="447"/>
      <c r="BL821" s="447"/>
      <c r="BM821" s="448"/>
      <c r="BN821" s="448"/>
    </row>
    <row r="822" spans="1:66" ht="11.25" customHeight="1">
      <c r="A822" s="469"/>
      <c r="B822" s="447"/>
      <c r="C822" s="447"/>
      <c r="D822" s="447"/>
      <c r="E822" s="447"/>
      <c r="F822" s="447"/>
      <c r="G822" s="447"/>
      <c r="H822" s="447"/>
      <c r="I822" s="447"/>
      <c r="J822" s="447"/>
      <c r="K822" s="447"/>
      <c r="L822" s="447"/>
      <c r="M822" s="447"/>
      <c r="N822" s="447"/>
      <c r="O822" s="447"/>
      <c r="P822" s="447"/>
      <c r="Q822" s="447"/>
      <c r="R822" s="447"/>
      <c r="S822" s="447"/>
      <c r="T822" s="447"/>
      <c r="U822" s="447"/>
      <c r="V822" s="447"/>
      <c r="W822" s="447"/>
      <c r="X822" s="447"/>
      <c r="Y822" s="447"/>
      <c r="Z822" s="447"/>
      <c r="AA822" s="447"/>
      <c r="AB822" s="447"/>
      <c r="AC822" s="447"/>
      <c r="AD822" s="447"/>
      <c r="AE822" s="447"/>
      <c r="AF822" s="448"/>
      <c r="AG822" s="448"/>
      <c r="AH822" s="448"/>
      <c r="AI822" s="447"/>
      <c r="AJ822" s="447"/>
      <c r="AK822" s="447"/>
      <c r="AL822" s="447"/>
      <c r="AM822" s="447"/>
      <c r="AN822" s="447"/>
      <c r="AO822" s="447"/>
      <c r="AP822" s="447"/>
      <c r="AQ822" s="447"/>
      <c r="AR822" s="447"/>
      <c r="AS822" s="447"/>
      <c r="AT822" s="447"/>
      <c r="AU822" s="447"/>
      <c r="AV822" s="447"/>
      <c r="AW822" s="447"/>
      <c r="AX822" s="447"/>
      <c r="AY822" s="447"/>
      <c r="AZ822" s="447"/>
      <c r="BA822" s="447"/>
      <c r="BB822" s="447"/>
      <c r="BC822" s="447"/>
      <c r="BD822" s="447"/>
      <c r="BE822" s="447"/>
      <c r="BF822" s="447"/>
      <c r="BG822" s="447"/>
      <c r="BH822" s="447"/>
      <c r="BI822" s="447"/>
      <c r="BJ822" s="447"/>
      <c r="BK822" s="447"/>
      <c r="BL822" s="447"/>
      <c r="BM822" s="448"/>
      <c r="BN822" s="448"/>
    </row>
    <row r="823" spans="1:66" ht="11.25" customHeight="1">
      <c r="A823" s="469"/>
      <c r="B823" s="447"/>
      <c r="C823" s="447"/>
      <c r="D823" s="447"/>
      <c r="E823" s="447"/>
      <c r="F823" s="447"/>
      <c r="G823" s="447"/>
      <c r="H823" s="447"/>
      <c r="I823" s="447"/>
      <c r="J823" s="447"/>
      <c r="K823" s="447"/>
      <c r="L823" s="447"/>
      <c r="M823" s="447"/>
      <c r="N823" s="447"/>
      <c r="O823" s="447"/>
      <c r="P823" s="447"/>
      <c r="Q823" s="447"/>
      <c r="R823" s="447"/>
      <c r="S823" s="447"/>
      <c r="T823" s="447"/>
      <c r="U823" s="447"/>
      <c r="V823" s="447"/>
      <c r="W823" s="447"/>
      <c r="X823" s="447"/>
      <c r="Y823" s="447"/>
      <c r="Z823" s="447"/>
      <c r="AA823" s="447"/>
      <c r="AB823" s="447"/>
      <c r="AC823" s="447"/>
      <c r="AD823" s="447"/>
      <c r="AE823" s="447"/>
      <c r="AF823" s="448"/>
      <c r="AG823" s="448"/>
      <c r="AH823" s="448"/>
      <c r="AI823" s="447"/>
      <c r="AJ823" s="447"/>
      <c r="AK823" s="447"/>
      <c r="AL823" s="447"/>
      <c r="AM823" s="447"/>
      <c r="AN823" s="447"/>
      <c r="AO823" s="447"/>
      <c r="AP823" s="447"/>
      <c r="AQ823" s="447"/>
      <c r="AR823" s="447"/>
      <c r="AS823" s="447"/>
      <c r="AT823" s="447"/>
      <c r="AU823" s="447"/>
      <c r="AV823" s="447"/>
      <c r="AW823" s="447"/>
      <c r="AX823" s="447"/>
      <c r="AY823" s="447"/>
      <c r="AZ823" s="447"/>
      <c r="BA823" s="447"/>
      <c r="BB823" s="447"/>
      <c r="BC823" s="447"/>
      <c r="BD823" s="447"/>
      <c r="BE823" s="447"/>
      <c r="BF823" s="447"/>
      <c r="BG823" s="447"/>
      <c r="BH823" s="447"/>
      <c r="BI823" s="447"/>
      <c r="BJ823" s="447"/>
      <c r="BK823" s="447"/>
      <c r="BL823" s="447"/>
      <c r="BM823" s="448"/>
      <c r="BN823" s="448"/>
    </row>
    <row r="824" spans="1:66" ht="11.25" customHeight="1">
      <c r="A824" s="469"/>
      <c r="B824" s="447"/>
      <c r="C824" s="447"/>
      <c r="D824" s="447"/>
      <c r="E824" s="447"/>
      <c r="F824" s="447"/>
      <c r="G824" s="447"/>
      <c r="H824" s="447"/>
      <c r="I824" s="447"/>
      <c r="J824" s="447"/>
      <c r="K824" s="447"/>
      <c r="L824" s="447"/>
      <c r="M824" s="447"/>
      <c r="N824" s="447"/>
      <c r="O824" s="447"/>
      <c r="P824" s="447"/>
      <c r="Q824" s="447"/>
      <c r="R824" s="447"/>
      <c r="S824" s="447"/>
      <c r="T824" s="447"/>
      <c r="U824" s="447"/>
      <c r="V824" s="447"/>
      <c r="W824" s="447"/>
      <c r="X824" s="447"/>
      <c r="Y824" s="447"/>
      <c r="Z824" s="447"/>
      <c r="AA824" s="447"/>
      <c r="AB824" s="447"/>
      <c r="AC824" s="447"/>
      <c r="AD824" s="447"/>
      <c r="AE824" s="447"/>
      <c r="AF824" s="448"/>
      <c r="AG824" s="448"/>
      <c r="AH824" s="448"/>
      <c r="AI824" s="447"/>
      <c r="AJ824" s="447"/>
      <c r="AK824" s="447"/>
      <c r="AL824" s="447"/>
      <c r="AM824" s="447"/>
      <c r="AN824" s="447"/>
      <c r="AO824" s="447"/>
      <c r="AP824" s="447"/>
      <c r="AQ824" s="447"/>
      <c r="AR824" s="447"/>
      <c r="AS824" s="447"/>
      <c r="AT824" s="447"/>
      <c r="AU824" s="447"/>
      <c r="AV824" s="447"/>
      <c r="AW824" s="447"/>
      <c r="AX824" s="447"/>
      <c r="AY824" s="447"/>
      <c r="AZ824" s="447"/>
      <c r="BA824" s="447"/>
      <c r="BB824" s="447"/>
      <c r="BC824" s="447"/>
      <c r="BD824" s="447"/>
      <c r="BE824" s="447"/>
      <c r="BF824" s="447"/>
      <c r="BG824" s="447"/>
      <c r="BH824" s="447"/>
      <c r="BI824" s="447"/>
      <c r="BJ824" s="447"/>
      <c r="BK824" s="447"/>
      <c r="BL824" s="447"/>
      <c r="BM824" s="448"/>
      <c r="BN824" s="448"/>
    </row>
    <row r="825" spans="1:66" ht="11.25" customHeight="1">
      <c r="A825" s="469"/>
      <c r="B825" s="447"/>
      <c r="C825" s="447"/>
      <c r="D825" s="447"/>
      <c r="E825" s="447"/>
      <c r="F825" s="447"/>
      <c r="G825" s="447"/>
      <c r="H825" s="447"/>
      <c r="I825" s="447"/>
      <c r="J825" s="447"/>
      <c r="K825" s="447"/>
      <c r="L825" s="447"/>
      <c r="M825" s="447"/>
      <c r="N825" s="447"/>
      <c r="O825" s="447"/>
      <c r="P825" s="447"/>
      <c r="Q825" s="447"/>
      <c r="R825" s="447"/>
      <c r="S825" s="447"/>
      <c r="T825" s="447"/>
      <c r="U825" s="447"/>
      <c r="V825" s="447"/>
      <c r="W825" s="447"/>
      <c r="X825" s="447"/>
      <c r="Y825" s="447"/>
      <c r="Z825" s="447"/>
      <c r="AA825" s="447"/>
      <c r="AB825" s="447"/>
      <c r="AC825" s="447"/>
      <c r="AD825" s="447"/>
      <c r="AE825" s="447"/>
      <c r="AF825" s="448"/>
      <c r="AG825" s="448"/>
      <c r="AH825" s="448"/>
      <c r="AI825" s="447"/>
      <c r="AJ825" s="447"/>
      <c r="AK825" s="447"/>
      <c r="AL825" s="447"/>
      <c r="AM825" s="447"/>
      <c r="AN825" s="447"/>
      <c r="AO825" s="447"/>
      <c r="AP825" s="447"/>
      <c r="AQ825" s="447"/>
      <c r="AR825" s="447"/>
      <c r="AS825" s="447"/>
      <c r="AT825" s="447"/>
      <c r="AU825" s="447"/>
      <c r="AV825" s="447"/>
      <c r="AW825" s="447"/>
      <c r="AX825" s="447"/>
      <c r="AY825" s="447"/>
      <c r="AZ825" s="447"/>
      <c r="BA825" s="447"/>
      <c r="BB825" s="447"/>
      <c r="BC825" s="447"/>
      <c r="BD825" s="447"/>
      <c r="BE825" s="447"/>
      <c r="BF825" s="447"/>
      <c r="BG825" s="447"/>
      <c r="BH825" s="447"/>
      <c r="BI825" s="447"/>
      <c r="BJ825" s="447"/>
      <c r="BK825" s="447"/>
      <c r="BL825" s="447"/>
      <c r="BM825" s="448"/>
      <c r="BN825" s="448"/>
    </row>
    <row r="826" spans="1:66" ht="11.25" customHeight="1">
      <c r="A826" s="469"/>
      <c r="B826" s="447"/>
      <c r="C826" s="447"/>
      <c r="D826" s="447"/>
      <c r="E826" s="447"/>
      <c r="F826" s="447"/>
      <c r="G826" s="447"/>
      <c r="H826" s="447"/>
      <c r="I826" s="447"/>
      <c r="J826" s="447"/>
      <c r="K826" s="447"/>
      <c r="L826" s="447"/>
      <c r="M826" s="447"/>
      <c r="N826" s="447"/>
      <c r="O826" s="447"/>
      <c r="P826" s="447"/>
      <c r="Q826" s="447"/>
      <c r="R826" s="447"/>
      <c r="S826" s="447"/>
      <c r="T826" s="447"/>
      <c r="U826" s="447"/>
      <c r="V826" s="447"/>
      <c r="W826" s="447"/>
      <c r="X826" s="447"/>
      <c r="Y826" s="447"/>
      <c r="Z826" s="447"/>
      <c r="AA826" s="447"/>
      <c r="AB826" s="447"/>
      <c r="AC826" s="447"/>
      <c r="AD826" s="447"/>
      <c r="AE826" s="447"/>
      <c r="AF826" s="448"/>
      <c r="AG826" s="448"/>
      <c r="AH826" s="448"/>
      <c r="AI826" s="447"/>
      <c r="AJ826" s="447"/>
      <c r="AK826" s="447"/>
      <c r="AL826" s="447"/>
      <c r="AM826" s="447"/>
      <c r="AN826" s="447"/>
      <c r="AO826" s="447"/>
      <c r="AP826" s="447"/>
      <c r="AQ826" s="447"/>
      <c r="AR826" s="447"/>
      <c r="AS826" s="447"/>
      <c r="AT826" s="447"/>
      <c r="AU826" s="447"/>
      <c r="AV826" s="447"/>
      <c r="AW826" s="447"/>
      <c r="AX826" s="447"/>
      <c r="AY826" s="447"/>
      <c r="AZ826" s="447"/>
      <c r="BA826" s="447"/>
      <c r="BB826" s="447"/>
      <c r="BC826" s="447"/>
      <c r="BD826" s="447"/>
      <c r="BE826" s="447"/>
      <c r="BF826" s="447"/>
      <c r="BG826" s="447"/>
      <c r="BH826" s="447"/>
      <c r="BI826" s="447"/>
      <c r="BJ826" s="447"/>
      <c r="BK826" s="447"/>
      <c r="BL826" s="447"/>
      <c r="BM826" s="448"/>
      <c r="BN826" s="448"/>
    </row>
    <row r="827" spans="1:66" ht="11.25" customHeight="1">
      <c r="A827" s="469"/>
      <c r="B827" s="447"/>
      <c r="C827" s="447"/>
      <c r="D827" s="447"/>
      <c r="E827" s="447"/>
      <c r="F827" s="447"/>
      <c r="G827" s="447"/>
      <c r="H827" s="447"/>
      <c r="I827" s="447"/>
      <c r="J827" s="447"/>
      <c r="K827" s="447"/>
      <c r="L827" s="447"/>
      <c r="M827" s="447"/>
      <c r="N827" s="447"/>
      <c r="O827" s="447"/>
      <c r="P827" s="447"/>
      <c r="Q827" s="447"/>
      <c r="R827" s="447"/>
      <c r="S827" s="447"/>
      <c r="T827" s="447"/>
      <c r="U827" s="447"/>
      <c r="V827" s="447"/>
      <c r="W827" s="447"/>
      <c r="X827" s="447"/>
      <c r="Y827" s="447"/>
      <c r="Z827" s="447"/>
      <c r="AA827" s="447"/>
      <c r="AB827" s="447"/>
      <c r="AC827" s="447"/>
      <c r="AD827" s="447"/>
      <c r="AE827" s="447"/>
      <c r="AF827" s="448"/>
      <c r="AG827" s="448"/>
      <c r="AH827" s="448"/>
      <c r="AI827" s="447"/>
      <c r="AJ827" s="447"/>
      <c r="AK827" s="447"/>
      <c r="AL827" s="447"/>
      <c r="AM827" s="447"/>
      <c r="AN827" s="447"/>
      <c r="AO827" s="447"/>
      <c r="AP827" s="447"/>
      <c r="AQ827" s="447"/>
      <c r="AR827" s="447"/>
      <c r="AS827" s="447"/>
      <c r="AT827" s="447"/>
      <c r="AU827" s="447"/>
      <c r="AV827" s="447"/>
      <c r="AW827" s="447"/>
      <c r="AX827" s="447"/>
      <c r="AY827" s="447"/>
      <c r="AZ827" s="447"/>
      <c r="BA827" s="447"/>
      <c r="BB827" s="447"/>
      <c r="BC827" s="447"/>
      <c r="BD827" s="447"/>
      <c r="BE827" s="447"/>
      <c r="BF827" s="447"/>
      <c r="BG827" s="447"/>
      <c r="BH827" s="447"/>
      <c r="BI827" s="447"/>
      <c r="BJ827" s="447"/>
      <c r="BK827" s="447"/>
      <c r="BL827" s="447"/>
      <c r="BM827" s="448"/>
      <c r="BN827" s="448"/>
    </row>
    <row r="828" spans="1:66" ht="11.25" customHeight="1">
      <c r="A828" s="469"/>
      <c r="B828" s="447"/>
      <c r="C828" s="447"/>
      <c r="D828" s="447"/>
      <c r="E828" s="447"/>
      <c r="F828" s="447"/>
      <c r="G828" s="447"/>
      <c r="H828" s="447"/>
      <c r="I828" s="447"/>
      <c r="J828" s="447"/>
      <c r="K828" s="447"/>
      <c r="L828" s="447"/>
      <c r="M828" s="447"/>
      <c r="N828" s="447"/>
      <c r="O828" s="447"/>
      <c r="P828" s="447"/>
      <c r="Q828" s="447"/>
      <c r="R828" s="447"/>
      <c r="S828" s="447"/>
      <c r="T828" s="447"/>
      <c r="U828" s="447"/>
      <c r="V828" s="447"/>
      <c r="W828" s="447"/>
      <c r="X828" s="447"/>
      <c r="Y828" s="447"/>
      <c r="Z828" s="447"/>
      <c r="AA828" s="447"/>
      <c r="AB828" s="447"/>
      <c r="AC828" s="447"/>
      <c r="AD828" s="447"/>
      <c r="AE828" s="447"/>
      <c r="AF828" s="448"/>
      <c r="AG828" s="448"/>
      <c r="AH828" s="448"/>
      <c r="AI828" s="447"/>
      <c r="AJ828" s="447"/>
      <c r="AK828" s="447"/>
      <c r="AL828" s="447"/>
      <c r="AM828" s="447"/>
      <c r="AN828" s="447"/>
      <c r="AO828" s="447"/>
      <c r="AP828" s="447"/>
      <c r="AQ828" s="447"/>
      <c r="AR828" s="447"/>
      <c r="AS828" s="447"/>
      <c r="AT828" s="447"/>
      <c r="AU828" s="447"/>
      <c r="AV828" s="447"/>
      <c r="AW828" s="447"/>
      <c r="AX828" s="447"/>
      <c r="AY828" s="447"/>
      <c r="AZ828" s="447"/>
      <c r="BA828" s="447"/>
      <c r="BB828" s="447"/>
      <c r="BC828" s="447"/>
      <c r="BD828" s="447"/>
      <c r="BE828" s="447"/>
      <c r="BF828" s="447"/>
      <c r="BG828" s="447"/>
      <c r="BH828" s="447"/>
      <c r="BI828" s="447"/>
      <c r="BJ828" s="447"/>
      <c r="BK828" s="447"/>
      <c r="BL828" s="447"/>
      <c r="BM828" s="448"/>
      <c r="BN828" s="448"/>
    </row>
    <row r="829" spans="1:66" ht="11.25" customHeight="1">
      <c r="A829" s="469"/>
      <c r="B829" s="447"/>
      <c r="C829" s="447"/>
      <c r="D829" s="447"/>
      <c r="E829" s="447"/>
      <c r="F829" s="447"/>
      <c r="G829" s="447"/>
      <c r="H829" s="447"/>
      <c r="I829" s="447"/>
      <c r="J829" s="447"/>
      <c r="K829" s="447"/>
      <c r="L829" s="447"/>
      <c r="M829" s="447"/>
      <c r="N829" s="447"/>
      <c r="O829" s="447"/>
      <c r="P829" s="447"/>
      <c r="Q829" s="447"/>
      <c r="R829" s="447"/>
      <c r="S829" s="447"/>
      <c r="T829" s="447"/>
      <c r="U829" s="447"/>
      <c r="V829" s="447"/>
      <c r="W829" s="447"/>
      <c r="X829" s="447"/>
      <c r="Y829" s="447"/>
      <c r="Z829" s="447"/>
      <c r="AA829" s="447"/>
      <c r="AB829" s="447"/>
      <c r="AC829" s="447"/>
      <c r="AD829" s="447"/>
      <c r="AE829" s="447"/>
      <c r="AF829" s="448"/>
      <c r="AG829" s="448"/>
      <c r="AH829" s="448"/>
      <c r="AI829" s="447"/>
      <c r="AJ829" s="447"/>
      <c r="AK829" s="447"/>
      <c r="AL829" s="447"/>
      <c r="AM829" s="447"/>
      <c r="AN829" s="447"/>
      <c r="AO829" s="447"/>
      <c r="AP829" s="447"/>
      <c r="AQ829" s="447"/>
      <c r="AR829" s="447"/>
      <c r="AS829" s="447"/>
      <c r="AT829" s="447"/>
      <c r="AU829" s="447"/>
      <c r="AV829" s="447"/>
      <c r="AW829" s="447"/>
      <c r="AX829" s="447"/>
      <c r="AY829" s="447"/>
      <c r="AZ829" s="447"/>
      <c r="BA829" s="447"/>
      <c r="BB829" s="447"/>
      <c r="BC829" s="447"/>
      <c r="BD829" s="447"/>
      <c r="BE829" s="447"/>
      <c r="BF829" s="447"/>
      <c r="BG829" s="447"/>
      <c r="BH829" s="447"/>
      <c r="BI829" s="447"/>
      <c r="BJ829" s="447"/>
      <c r="BK829" s="447"/>
      <c r="BL829" s="447"/>
      <c r="BM829" s="448"/>
      <c r="BN829" s="448"/>
    </row>
    <row r="830" spans="1:66" ht="11.25" customHeight="1">
      <c r="A830" s="469"/>
      <c r="B830" s="447"/>
      <c r="C830" s="447"/>
      <c r="D830" s="447"/>
      <c r="E830" s="447"/>
      <c r="F830" s="447"/>
      <c r="G830" s="447"/>
      <c r="H830" s="447"/>
      <c r="I830" s="447"/>
      <c r="J830" s="447"/>
      <c r="K830" s="447"/>
      <c r="L830" s="447"/>
      <c r="M830" s="447"/>
      <c r="N830" s="447"/>
      <c r="O830" s="447"/>
      <c r="P830" s="447"/>
      <c r="Q830" s="447"/>
      <c r="R830" s="447"/>
      <c r="S830" s="447"/>
      <c r="T830" s="447"/>
      <c r="U830" s="447"/>
      <c r="V830" s="447"/>
      <c r="W830" s="447"/>
      <c r="X830" s="447"/>
      <c r="Y830" s="447"/>
      <c r="Z830" s="447"/>
      <c r="AA830" s="447"/>
      <c r="AB830" s="447"/>
      <c r="AC830" s="447"/>
      <c r="AD830" s="447"/>
      <c r="AE830" s="447"/>
      <c r="AF830" s="448"/>
      <c r="AG830" s="448"/>
      <c r="AH830" s="448"/>
      <c r="AI830" s="447"/>
      <c r="AJ830" s="447"/>
      <c r="AK830" s="447"/>
      <c r="AL830" s="447"/>
      <c r="AM830" s="447"/>
      <c r="AN830" s="447"/>
      <c r="AO830" s="447"/>
      <c r="AP830" s="447"/>
      <c r="AQ830" s="447"/>
      <c r="AR830" s="447"/>
      <c r="AS830" s="447"/>
      <c r="AT830" s="447"/>
      <c r="AU830" s="447"/>
      <c r="AV830" s="447"/>
      <c r="AW830" s="447"/>
      <c r="AX830" s="447"/>
      <c r="AY830" s="447"/>
      <c r="AZ830" s="447"/>
      <c r="BA830" s="447"/>
      <c r="BB830" s="447"/>
      <c r="BC830" s="447"/>
      <c r="BD830" s="447"/>
      <c r="BE830" s="447"/>
      <c r="BF830" s="447"/>
      <c r="BG830" s="447"/>
      <c r="BH830" s="447"/>
      <c r="BI830" s="447"/>
      <c r="BJ830" s="447"/>
      <c r="BK830" s="447"/>
      <c r="BL830" s="447"/>
      <c r="BM830" s="448"/>
      <c r="BN830" s="448"/>
    </row>
    <row r="831" spans="1:66" ht="11.25" customHeight="1">
      <c r="A831" s="469"/>
      <c r="B831" s="447"/>
      <c r="C831" s="447"/>
      <c r="D831" s="447"/>
      <c r="E831" s="447"/>
      <c r="F831" s="447"/>
      <c r="G831" s="447"/>
      <c r="H831" s="447"/>
      <c r="I831" s="447"/>
      <c r="J831" s="447"/>
      <c r="K831" s="447"/>
      <c r="L831" s="447"/>
      <c r="M831" s="447"/>
      <c r="N831" s="447"/>
      <c r="O831" s="447"/>
      <c r="P831" s="447"/>
      <c r="Q831" s="447"/>
      <c r="R831" s="447"/>
      <c r="S831" s="447"/>
      <c r="T831" s="447"/>
      <c r="U831" s="447"/>
      <c r="V831" s="447"/>
      <c r="W831" s="447"/>
      <c r="X831" s="447"/>
      <c r="Y831" s="447"/>
      <c r="Z831" s="447"/>
      <c r="AA831" s="447"/>
      <c r="AB831" s="447"/>
      <c r="AC831" s="447"/>
      <c r="AD831" s="447"/>
      <c r="AE831" s="447"/>
      <c r="AF831" s="448"/>
      <c r="AG831" s="448"/>
      <c r="AH831" s="448"/>
      <c r="AI831" s="447"/>
      <c r="AJ831" s="447"/>
      <c r="AK831" s="447"/>
      <c r="AL831" s="447"/>
      <c r="AM831" s="447"/>
      <c r="AN831" s="447"/>
      <c r="AO831" s="447"/>
      <c r="AP831" s="447"/>
      <c r="AQ831" s="447"/>
      <c r="AR831" s="447"/>
      <c r="AS831" s="447"/>
      <c r="AT831" s="447"/>
      <c r="AU831" s="447"/>
      <c r="AV831" s="447"/>
      <c r="AW831" s="447"/>
      <c r="AX831" s="447"/>
      <c r="AY831" s="447"/>
      <c r="AZ831" s="447"/>
      <c r="BA831" s="447"/>
      <c r="BB831" s="447"/>
      <c r="BC831" s="447"/>
      <c r="BD831" s="447"/>
      <c r="BE831" s="447"/>
      <c r="BF831" s="447"/>
      <c r="BG831" s="447"/>
      <c r="BH831" s="447"/>
      <c r="BI831" s="447"/>
      <c r="BJ831" s="447"/>
      <c r="BK831" s="447"/>
      <c r="BL831" s="447"/>
      <c r="BM831" s="448"/>
      <c r="BN831" s="448"/>
    </row>
    <row r="832" spans="1:66" ht="11.25" customHeight="1">
      <c r="A832" s="469"/>
      <c r="B832" s="447"/>
      <c r="C832" s="447"/>
      <c r="D832" s="447"/>
      <c r="E832" s="447"/>
      <c r="F832" s="447"/>
      <c r="G832" s="447"/>
      <c r="H832" s="447"/>
      <c r="I832" s="447"/>
      <c r="J832" s="447"/>
      <c r="K832" s="447"/>
      <c r="L832" s="447"/>
      <c r="M832" s="447"/>
      <c r="N832" s="447"/>
      <c r="O832" s="447"/>
      <c r="P832" s="447"/>
      <c r="Q832" s="447"/>
      <c r="R832" s="447"/>
      <c r="S832" s="447"/>
      <c r="T832" s="447"/>
      <c r="U832" s="447"/>
      <c r="V832" s="447"/>
      <c r="W832" s="447"/>
      <c r="X832" s="447"/>
      <c r="Y832" s="447"/>
      <c r="Z832" s="447"/>
      <c r="AA832" s="447"/>
      <c r="AB832" s="447"/>
      <c r="AC832" s="447"/>
      <c r="AD832" s="447"/>
      <c r="AE832" s="447"/>
      <c r="AF832" s="448"/>
      <c r="AG832" s="448"/>
      <c r="AH832" s="448"/>
      <c r="AI832" s="447"/>
      <c r="AJ832" s="447"/>
      <c r="AK832" s="447"/>
      <c r="AL832" s="447"/>
      <c r="AM832" s="447"/>
      <c r="AN832" s="447"/>
      <c r="AO832" s="447"/>
      <c r="AP832" s="447"/>
      <c r="AQ832" s="447"/>
      <c r="AR832" s="447"/>
      <c r="AS832" s="447"/>
      <c r="AT832" s="447"/>
      <c r="AU832" s="447"/>
      <c r="AV832" s="447"/>
      <c r="AW832" s="447"/>
      <c r="AX832" s="447"/>
      <c r="AY832" s="447"/>
      <c r="AZ832" s="447"/>
      <c r="BA832" s="447"/>
      <c r="BB832" s="447"/>
      <c r="BC832" s="447"/>
      <c r="BD832" s="447"/>
      <c r="BE832" s="447"/>
      <c r="BF832" s="447"/>
      <c r="BG832" s="447"/>
      <c r="BH832" s="447"/>
      <c r="BI832" s="447"/>
      <c r="BJ832" s="447"/>
      <c r="BK832" s="447"/>
      <c r="BL832" s="447"/>
      <c r="BM832" s="448"/>
      <c r="BN832" s="448"/>
    </row>
    <row r="833" spans="1:66" ht="11.25" customHeight="1">
      <c r="A833" s="469"/>
      <c r="B833" s="447"/>
      <c r="C833" s="447"/>
      <c r="D833" s="447"/>
      <c r="E833" s="447"/>
      <c r="F833" s="447"/>
      <c r="G833" s="447"/>
      <c r="H833" s="447"/>
      <c r="I833" s="447"/>
      <c r="J833" s="447"/>
      <c r="K833" s="447"/>
      <c r="L833" s="447"/>
      <c r="M833" s="447"/>
      <c r="N833" s="447"/>
      <c r="O833" s="447"/>
      <c r="P833" s="447"/>
      <c r="Q833" s="447"/>
      <c r="R833" s="447"/>
      <c r="S833" s="447"/>
      <c r="T833" s="447"/>
      <c r="U833" s="447"/>
      <c r="V833" s="447"/>
      <c r="W833" s="447"/>
      <c r="X833" s="447"/>
      <c r="Y833" s="447"/>
      <c r="Z833" s="447"/>
      <c r="AA833" s="447"/>
      <c r="AB833" s="447"/>
      <c r="AC833" s="447"/>
      <c r="AD833" s="447"/>
      <c r="AE833" s="447"/>
      <c r="AF833" s="448"/>
      <c r="AG833" s="448"/>
      <c r="AH833" s="448"/>
      <c r="AI833" s="447"/>
      <c r="AJ833" s="447"/>
      <c r="AK833" s="447"/>
      <c r="AL833" s="447"/>
      <c r="AM833" s="447"/>
      <c r="AN833" s="447"/>
      <c r="AO833" s="447"/>
      <c r="AP833" s="447"/>
      <c r="AQ833" s="447"/>
      <c r="AR833" s="447"/>
      <c r="AS833" s="447"/>
      <c r="AT833" s="447"/>
      <c r="AU833" s="447"/>
      <c r="AV833" s="447"/>
      <c r="AW833" s="447"/>
      <c r="AX833" s="447"/>
      <c r="AY833" s="447"/>
      <c r="AZ833" s="447"/>
      <c r="BA833" s="447"/>
      <c r="BB833" s="447"/>
      <c r="BC833" s="447"/>
      <c r="BD833" s="447"/>
      <c r="BE833" s="447"/>
      <c r="BF833" s="447"/>
      <c r="BG833" s="447"/>
      <c r="BH833" s="447"/>
      <c r="BI833" s="447"/>
      <c r="BJ833" s="447"/>
      <c r="BK833" s="447"/>
      <c r="BL833" s="447"/>
      <c r="BM833" s="448"/>
      <c r="BN833" s="448"/>
    </row>
    <row r="834" spans="1:66" ht="11.25" customHeight="1">
      <c r="A834" s="469"/>
      <c r="B834" s="447"/>
      <c r="C834" s="447"/>
      <c r="D834" s="447"/>
      <c r="E834" s="447"/>
      <c r="F834" s="447"/>
      <c r="G834" s="447"/>
      <c r="H834" s="447"/>
      <c r="I834" s="447"/>
      <c r="J834" s="447"/>
      <c r="K834" s="447"/>
      <c r="L834" s="447"/>
      <c r="M834" s="447"/>
      <c r="N834" s="447"/>
      <c r="O834" s="447"/>
      <c r="P834" s="447"/>
      <c r="Q834" s="447"/>
      <c r="R834" s="447"/>
      <c r="S834" s="447"/>
      <c r="T834" s="447"/>
      <c r="U834" s="447"/>
      <c r="V834" s="447"/>
      <c r="W834" s="447"/>
      <c r="X834" s="447"/>
      <c r="Y834" s="447"/>
      <c r="Z834" s="447"/>
      <c r="AA834" s="447"/>
      <c r="AB834" s="447"/>
      <c r="AC834" s="447"/>
      <c r="AD834" s="447"/>
      <c r="AE834" s="447"/>
      <c r="AF834" s="448"/>
      <c r="AG834" s="448"/>
      <c r="AH834" s="448"/>
      <c r="AI834" s="447"/>
      <c r="AJ834" s="447"/>
      <c r="AK834" s="447"/>
      <c r="AL834" s="447"/>
      <c r="AM834" s="447"/>
      <c r="AN834" s="447"/>
      <c r="AO834" s="447"/>
      <c r="AP834" s="447"/>
      <c r="AQ834" s="447"/>
      <c r="AR834" s="447"/>
      <c r="AS834" s="447"/>
      <c r="AT834" s="447"/>
      <c r="AU834" s="447"/>
      <c r="AV834" s="447"/>
      <c r="AW834" s="447"/>
      <c r="AX834" s="447"/>
      <c r="AY834" s="447"/>
      <c r="AZ834" s="447"/>
      <c r="BA834" s="447"/>
      <c r="BB834" s="447"/>
      <c r="BC834" s="447"/>
      <c r="BD834" s="447"/>
      <c r="BE834" s="447"/>
      <c r="BF834" s="447"/>
      <c r="BG834" s="447"/>
      <c r="BH834" s="447"/>
      <c r="BI834" s="447"/>
      <c r="BJ834" s="447"/>
      <c r="BK834" s="447"/>
      <c r="BL834" s="447"/>
      <c r="BM834" s="448"/>
      <c r="BN834" s="448"/>
    </row>
    <row r="835" spans="1:66" ht="11.25" customHeight="1">
      <c r="A835" s="469"/>
      <c r="B835" s="447"/>
      <c r="C835" s="447"/>
      <c r="D835" s="447"/>
      <c r="E835" s="447"/>
      <c r="F835" s="447"/>
      <c r="G835" s="447"/>
      <c r="H835" s="447"/>
      <c r="I835" s="447"/>
      <c r="J835" s="447"/>
      <c r="K835" s="447"/>
      <c r="L835" s="447"/>
      <c r="M835" s="447"/>
      <c r="N835" s="447"/>
      <c r="O835" s="447"/>
      <c r="P835" s="447"/>
      <c r="Q835" s="447"/>
      <c r="R835" s="447"/>
      <c r="S835" s="447"/>
      <c r="T835" s="447"/>
      <c r="U835" s="447"/>
      <c r="V835" s="447"/>
      <c r="W835" s="447"/>
      <c r="X835" s="447"/>
      <c r="Y835" s="447"/>
      <c r="Z835" s="447"/>
      <c r="AA835" s="447"/>
      <c r="AB835" s="447"/>
      <c r="AC835" s="447"/>
      <c r="AD835" s="447"/>
      <c r="AE835" s="447"/>
      <c r="AF835" s="448"/>
      <c r="AG835" s="448"/>
      <c r="AH835" s="448"/>
      <c r="AI835" s="447"/>
      <c r="AJ835" s="447"/>
      <c r="AK835" s="447"/>
      <c r="AL835" s="447"/>
      <c r="AM835" s="447"/>
      <c r="AN835" s="447"/>
      <c r="AO835" s="447"/>
      <c r="AP835" s="447"/>
      <c r="AQ835" s="447"/>
      <c r="AR835" s="447"/>
      <c r="AS835" s="447"/>
      <c r="AT835" s="447"/>
      <c r="AU835" s="447"/>
      <c r="AV835" s="447"/>
      <c r="AW835" s="447"/>
      <c r="AX835" s="447"/>
      <c r="AY835" s="447"/>
      <c r="AZ835" s="447"/>
      <c r="BA835" s="447"/>
      <c r="BB835" s="447"/>
      <c r="BC835" s="447"/>
      <c r="BD835" s="447"/>
      <c r="BE835" s="447"/>
      <c r="BF835" s="447"/>
      <c r="BG835" s="447"/>
      <c r="BH835" s="447"/>
      <c r="BI835" s="447"/>
      <c r="BJ835" s="447"/>
      <c r="BK835" s="447"/>
      <c r="BL835" s="447"/>
      <c r="BM835" s="448"/>
      <c r="BN835" s="448"/>
    </row>
    <row r="836" spans="1:66" ht="11.25" customHeight="1">
      <c r="A836" s="469"/>
      <c r="B836" s="447"/>
      <c r="C836" s="447"/>
      <c r="D836" s="447"/>
      <c r="E836" s="447"/>
      <c r="F836" s="447"/>
      <c r="G836" s="447"/>
      <c r="H836" s="447"/>
      <c r="I836" s="447"/>
      <c r="J836" s="447"/>
      <c r="K836" s="447"/>
      <c r="L836" s="447"/>
      <c r="M836" s="447"/>
      <c r="N836" s="447"/>
      <c r="O836" s="447"/>
      <c r="P836" s="447"/>
      <c r="Q836" s="447"/>
      <c r="R836" s="447"/>
      <c r="S836" s="447"/>
      <c r="T836" s="447"/>
      <c r="U836" s="447"/>
      <c r="V836" s="447"/>
      <c r="W836" s="447"/>
      <c r="X836" s="447"/>
      <c r="Y836" s="447"/>
      <c r="Z836" s="447"/>
      <c r="AA836" s="447"/>
      <c r="AB836" s="447"/>
      <c r="AC836" s="447"/>
      <c r="AD836" s="447"/>
      <c r="AE836" s="447"/>
      <c r="AF836" s="448"/>
      <c r="AG836" s="448"/>
      <c r="AH836" s="448"/>
      <c r="AI836" s="447"/>
      <c r="AJ836" s="447"/>
      <c r="AK836" s="447"/>
      <c r="AL836" s="447"/>
      <c r="AM836" s="447"/>
      <c r="AN836" s="447"/>
      <c r="AO836" s="447"/>
      <c r="AP836" s="447"/>
      <c r="AQ836" s="447"/>
      <c r="AR836" s="447"/>
      <c r="AS836" s="447"/>
      <c r="AT836" s="447"/>
      <c r="AU836" s="447"/>
      <c r="AV836" s="447"/>
      <c r="AW836" s="447"/>
      <c r="AX836" s="447"/>
      <c r="AY836" s="447"/>
      <c r="AZ836" s="447"/>
      <c r="BA836" s="447"/>
      <c r="BB836" s="447"/>
      <c r="BC836" s="447"/>
      <c r="BD836" s="447"/>
      <c r="BE836" s="447"/>
      <c r="BF836" s="447"/>
      <c r="BG836" s="447"/>
      <c r="BH836" s="447"/>
      <c r="BI836" s="447"/>
      <c r="BJ836" s="447"/>
      <c r="BK836" s="447"/>
      <c r="BL836" s="447"/>
      <c r="BM836" s="448"/>
      <c r="BN836" s="448"/>
    </row>
    <row r="837" spans="1:66" ht="11.25" customHeight="1">
      <c r="A837" s="469"/>
      <c r="B837" s="447"/>
      <c r="C837" s="447"/>
      <c r="D837" s="447"/>
      <c r="E837" s="447"/>
      <c r="F837" s="447"/>
      <c r="G837" s="447"/>
      <c r="H837" s="447"/>
      <c r="I837" s="447"/>
      <c r="J837" s="447"/>
      <c r="K837" s="447"/>
      <c r="L837" s="447"/>
      <c r="M837" s="447"/>
      <c r="N837" s="447"/>
      <c r="O837" s="447"/>
      <c r="P837" s="447"/>
      <c r="Q837" s="447"/>
      <c r="R837" s="447"/>
      <c r="S837" s="447"/>
      <c r="T837" s="447"/>
      <c r="U837" s="447"/>
      <c r="V837" s="447"/>
      <c r="W837" s="447"/>
      <c r="X837" s="447"/>
      <c r="Y837" s="447"/>
      <c r="Z837" s="447"/>
      <c r="AA837" s="447"/>
      <c r="AB837" s="447"/>
      <c r="AC837" s="447"/>
      <c r="AD837" s="447"/>
      <c r="AE837" s="447"/>
      <c r="AF837" s="448"/>
      <c r="AG837" s="448"/>
      <c r="AH837" s="448"/>
      <c r="AI837" s="447"/>
      <c r="AJ837" s="447"/>
      <c r="AK837" s="447"/>
      <c r="AL837" s="447"/>
      <c r="AM837" s="447"/>
      <c r="AN837" s="447"/>
      <c r="AO837" s="447"/>
      <c r="AP837" s="447"/>
      <c r="AQ837" s="447"/>
      <c r="AR837" s="447"/>
      <c r="AS837" s="447"/>
      <c r="AT837" s="447"/>
      <c r="AU837" s="447"/>
      <c r="AV837" s="447"/>
      <c r="AW837" s="447"/>
      <c r="AX837" s="447"/>
      <c r="AY837" s="447"/>
      <c r="AZ837" s="447"/>
      <c r="BA837" s="447"/>
      <c r="BB837" s="447"/>
      <c r="BC837" s="447"/>
      <c r="BD837" s="447"/>
      <c r="BE837" s="447"/>
      <c r="BF837" s="447"/>
      <c r="BG837" s="447"/>
      <c r="BH837" s="447"/>
      <c r="BI837" s="447"/>
      <c r="BJ837" s="447"/>
      <c r="BK837" s="447"/>
      <c r="BL837" s="447"/>
      <c r="BM837" s="448"/>
      <c r="BN837" s="448"/>
    </row>
    <row r="838" spans="1:66" ht="11.25" customHeight="1">
      <c r="A838" s="469"/>
      <c r="B838" s="447"/>
      <c r="C838" s="447"/>
      <c r="D838" s="447"/>
      <c r="E838" s="447"/>
      <c r="F838" s="447"/>
      <c r="G838" s="447"/>
      <c r="H838" s="447"/>
      <c r="I838" s="447"/>
      <c r="J838" s="447"/>
      <c r="K838" s="447"/>
      <c r="L838" s="447"/>
      <c r="M838" s="447"/>
      <c r="N838" s="447"/>
      <c r="O838" s="447"/>
      <c r="P838" s="447"/>
      <c r="Q838" s="447"/>
      <c r="R838" s="447"/>
      <c r="S838" s="447"/>
      <c r="T838" s="447"/>
      <c r="U838" s="447"/>
      <c r="V838" s="447"/>
      <c r="W838" s="447"/>
      <c r="X838" s="447"/>
      <c r="Y838" s="447"/>
      <c r="Z838" s="447"/>
      <c r="AA838" s="447"/>
      <c r="AB838" s="447"/>
      <c r="AC838" s="447"/>
      <c r="AD838" s="447"/>
      <c r="AE838" s="447"/>
      <c r="AF838" s="448"/>
      <c r="AG838" s="448"/>
      <c r="AH838" s="448"/>
      <c r="AI838" s="447"/>
      <c r="AJ838" s="447"/>
      <c r="AK838" s="447"/>
      <c r="AL838" s="447"/>
      <c r="AM838" s="447"/>
      <c r="AN838" s="447"/>
      <c r="AO838" s="447"/>
      <c r="AP838" s="447"/>
      <c r="AQ838" s="447"/>
      <c r="AR838" s="447"/>
      <c r="AS838" s="447"/>
      <c r="AT838" s="447"/>
      <c r="AU838" s="447"/>
      <c r="AV838" s="447"/>
      <c r="AW838" s="447"/>
      <c r="AX838" s="447"/>
      <c r="AY838" s="447"/>
      <c r="AZ838" s="447"/>
      <c r="BA838" s="447"/>
      <c r="BB838" s="447"/>
      <c r="BC838" s="447"/>
      <c r="BD838" s="447"/>
      <c r="BE838" s="447"/>
      <c r="BF838" s="447"/>
      <c r="BG838" s="447"/>
      <c r="BH838" s="447"/>
      <c r="BI838" s="447"/>
      <c r="BJ838" s="447"/>
      <c r="BK838" s="447"/>
      <c r="BL838" s="447"/>
      <c r="BM838" s="448"/>
      <c r="BN838" s="448"/>
    </row>
    <row r="839" spans="1:66" ht="11.25" customHeight="1">
      <c r="A839" s="469"/>
      <c r="B839" s="447"/>
      <c r="C839" s="447"/>
      <c r="D839" s="447"/>
      <c r="E839" s="447"/>
      <c r="F839" s="447"/>
      <c r="G839" s="447"/>
      <c r="H839" s="447"/>
      <c r="I839" s="447"/>
      <c r="J839" s="447"/>
      <c r="K839" s="447"/>
      <c r="L839" s="447"/>
      <c r="M839" s="447"/>
      <c r="N839" s="447"/>
      <c r="O839" s="447"/>
      <c r="P839" s="447"/>
      <c r="Q839" s="447"/>
      <c r="R839" s="447"/>
      <c r="S839" s="447"/>
      <c r="T839" s="447"/>
      <c r="U839" s="447"/>
      <c r="V839" s="447"/>
      <c r="W839" s="447"/>
      <c r="X839" s="447"/>
      <c r="Y839" s="447"/>
      <c r="Z839" s="447"/>
      <c r="AA839" s="447"/>
      <c r="AB839" s="447"/>
      <c r="AC839" s="447"/>
      <c r="AD839" s="447"/>
      <c r="AE839" s="447"/>
      <c r="AF839" s="448"/>
      <c r="AG839" s="448"/>
      <c r="AH839" s="448"/>
      <c r="AI839" s="447"/>
      <c r="AJ839" s="447"/>
      <c r="AK839" s="447"/>
      <c r="AL839" s="447"/>
      <c r="AM839" s="447"/>
      <c r="AN839" s="447"/>
      <c r="AO839" s="447"/>
      <c r="AP839" s="447"/>
      <c r="AQ839" s="447"/>
      <c r="AR839" s="447"/>
      <c r="AS839" s="447"/>
      <c r="AT839" s="447"/>
      <c r="AU839" s="447"/>
      <c r="AV839" s="447"/>
      <c r="AW839" s="447"/>
      <c r="AX839" s="447"/>
      <c r="AY839" s="447"/>
      <c r="AZ839" s="447"/>
      <c r="BA839" s="447"/>
      <c r="BB839" s="447"/>
      <c r="BC839" s="447"/>
      <c r="BD839" s="447"/>
      <c r="BE839" s="447"/>
      <c r="BF839" s="447"/>
      <c r="BG839" s="447"/>
      <c r="BH839" s="447"/>
      <c r="BI839" s="447"/>
      <c r="BJ839" s="447"/>
      <c r="BK839" s="447"/>
      <c r="BL839" s="447"/>
      <c r="BM839" s="448"/>
      <c r="BN839" s="448"/>
    </row>
    <row r="840" spans="1:66" ht="11.25" customHeight="1">
      <c r="A840" s="469"/>
      <c r="B840" s="447"/>
      <c r="C840" s="447"/>
      <c r="D840" s="447"/>
      <c r="E840" s="447"/>
      <c r="F840" s="447"/>
      <c r="G840" s="447"/>
      <c r="H840" s="447"/>
      <c r="I840" s="447"/>
      <c r="J840" s="447"/>
      <c r="K840" s="447"/>
      <c r="L840" s="447"/>
      <c r="M840" s="447"/>
      <c r="N840" s="447"/>
      <c r="O840" s="447"/>
      <c r="P840" s="447"/>
      <c r="Q840" s="447"/>
      <c r="R840" s="447"/>
      <c r="S840" s="447"/>
      <c r="T840" s="447"/>
      <c r="U840" s="447"/>
      <c r="V840" s="447"/>
      <c r="W840" s="447"/>
      <c r="X840" s="447"/>
      <c r="Y840" s="447"/>
      <c r="Z840" s="447"/>
      <c r="AA840" s="447"/>
      <c r="AB840" s="447"/>
      <c r="AC840" s="447"/>
      <c r="AD840" s="447"/>
      <c r="AE840" s="447"/>
      <c r="AF840" s="448"/>
      <c r="AG840" s="448"/>
      <c r="AH840" s="448"/>
      <c r="AI840" s="447"/>
      <c r="AJ840" s="447"/>
      <c r="AK840" s="447"/>
      <c r="AL840" s="447"/>
      <c r="AM840" s="447"/>
      <c r="AN840" s="447"/>
      <c r="AO840" s="447"/>
      <c r="AP840" s="447"/>
      <c r="AQ840" s="447"/>
      <c r="AR840" s="447"/>
      <c r="AS840" s="447"/>
      <c r="AT840" s="447"/>
      <c r="AU840" s="447"/>
      <c r="AV840" s="447"/>
      <c r="AW840" s="447"/>
      <c r="AX840" s="447"/>
      <c r="AY840" s="447"/>
      <c r="AZ840" s="447"/>
      <c r="BA840" s="447"/>
      <c r="BB840" s="447"/>
      <c r="BC840" s="447"/>
      <c r="BD840" s="447"/>
      <c r="BE840" s="447"/>
      <c r="BF840" s="447"/>
      <c r="BG840" s="447"/>
      <c r="BH840" s="447"/>
      <c r="BI840" s="447"/>
      <c r="BJ840" s="447"/>
      <c r="BK840" s="447"/>
      <c r="BL840" s="447"/>
      <c r="BM840" s="448"/>
      <c r="BN840" s="448"/>
    </row>
    <row r="841" spans="1:66" ht="11.25" customHeight="1">
      <c r="A841" s="469"/>
      <c r="B841" s="447"/>
      <c r="C841" s="447"/>
      <c r="D841" s="447"/>
      <c r="E841" s="447"/>
      <c r="F841" s="447"/>
      <c r="G841" s="447"/>
      <c r="H841" s="447"/>
      <c r="I841" s="447"/>
      <c r="J841" s="447"/>
      <c r="K841" s="447"/>
      <c r="L841" s="447"/>
      <c r="M841" s="447"/>
      <c r="N841" s="447"/>
      <c r="O841" s="447"/>
      <c r="P841" s="447"/>
      <c r="Q841" s="447"/>
      <c r="R841" s="447"/>
      <c r="S841" s="447"/>
      <c r="T841" s="447"/>
      <c r="U841" s="447"/>
      <c r="V841" s="447"/>
      <c r="W841" s="447"/>
      <c r="X841" s="447"/>
      <c r="Y841" s="447"/>
      <c r="Z841" s="447"/>
      <c r="AA841" s="447"/>
      <c r="AB841" s="447"/>
      <c r="AC841" s="447"/>
      <c r="AD841" s="447"/>
      <c r="AE841" s="447"/>
      <c r="AF841" s="448"/>
      <c r="AG841" s="448"/>
      <c r="AH841" s="448"/>
      <c r="AI841" s="447"/>
      <c r="AJ841" s="447"/>
      <c r="AK841" s="447"/>
      <c r="AL841" s="447"/>
      <c r="AM841" s="447"/>
      <c r="AN841" s="447"/>
      <c r="AO841" s="447"/>
      <c r="AP841" s="447"/>
      <c r="AQ841" s="447"/>
      <c r="AR841" s="447"/>
      <c r="AS841" s="447"/>
      <c r="AT841" s="447"/>
      <c r="AU841" s="447"/>
      <c r="AV841" s="447"/>
      <c r="AW841" s="447"/>
      <c r="AX841" s="447"/>
      <c r="AY841" s="447"/>
      <c r="AZ841" s="447"/>
      <c r="BA841" s="447"/>
      <c r="BB841" s="447"/>
      <c r="BC841" s="447"/>
      <c r="BD841" s="447"/>
      <c r="BE841" s="447"/>
      <c r="BF841" s="447"/>
      <c r="BG841" s="447"/>
      <c r="BH841" s="447"/>
      <c r="BI841" s="447"/>
      <c r="BJ841" s="447"/>
      <c r="BK841" s="447"/>
      <c r="BL841" s="447"/>
      <c r="BM841" s="448"/>
      <c r="BN841" s="448"/>
    </row>
    <row r="842" spans="1:66" ht="11.25" customHeight="1">
      <c r="A842" s="469"/>
      <c r="B842" s="447"/>
      <c r="C842" s="447"/>
      <c r="D842" s="447"/>
      <c r="E842" s="447"/>
      <c r="F842" s="447"/>
      <c r="G842" s="447"/>
      <c r="H842" s="447"/>
      <c r="I842" s="447"/>
      <c r="J842" s="447"/>
      <c r="K842" s="447"/>
      <c r="L842" s="447"/>
      <c r="M842" s="447"/>
      <c r="N842" s="447"/>
      <c r="O842" s="447"/>
      <c r="P842" s="447"/>
      <c r="Q842" s="447"/>
      <c r="R842" s="447"/>
      <c r="S842" s="447"/>
      <c r="T842" s="447"/>
      <c r="U842" s="447"/>
      <c r="V842" s="447"/>
      <c r="W842" s="447"/>
      <c r="X842" s="447"/>
      <c r="Y842" s="447"/>
      <c r="Z842" s="447"/>
      <c r="AA842" s="447"/>
      <c r="AB842" s="447"/>
      <c r="AC842" s="447"/>
      <c r="AD842" s="447"/>
      <c r="AE842" s="447"/>
      <c r="AF842" s="448"/>
      <c r="AG842" s="448"/>
      <c r="AH842" s="448"/>
      <c r="AI842" s="447"/>
      <c r="AJ842" s="447"/>
      <c r="AK842" s="447"/>
      <c r="AL842" s="447"/>
      <c r="AM842" s="447"/>
      <c r="AN842" s="447"/>
      <c r="AO842" s="447"/>
      <c r="AP842" s="447"/>
      <c r="AQ842" s="447"/>
      <c r="AR842" s="447"/>
      <c r="AS842" s="447"/>
      <c r="AT842" s="447"/>
      <c r="AU842" s="447"/>
      <c r="AV842" s="447"/>
      <c r="AW842" s="447"/>
      <c r="AX842" s="447"/>
      <c r="AY842" s="447"/>
      <c r="AZ842" s="447"/>
      <c r="BA842" s="447"/>
      <c r="BB842" s="447"/>
      <c r="BC842" s="447"/>
      <c r="BD842" s="447"/>
      <c r="BE842" s="447"/>
      <c r="BF842" s="447"/>
      <c r="BG842" s="447"/>
      <c r="BH842" s="447"/>
      <c r="BI842" s="447"/>
      <c r="BJ842" s="447"/>
      <c r="BK842" s="447"/>
      <c r="BL842" s="447"/>
      <c r="BM842" s="448"/>
      <c r="BN842" s="448"/>
    </row>
    <row r="843" spans="1:66" ht="11.25" customHeight="1">
      <c r="A843" s="469"/>
      <c r="B843" s="447"/>
      <c r="C843" s="447"/>
      <c r="D843" s="447"/>
      <c r="E843" s="447"/>
      <c r="F843" s="447"/>
      <c r="G843" s="447"/>
      <c r="H843" s="447"/>
      <c r="I843" s="447"/>
      <c r="J843" s="447"/>
      <c r="K843" s="447"/>
      <c r="L843" s="447"/>
      <c r="M843" s="447"/>
      <c r="N843" s="447"/>
      <c r="O843" s="447"/>
      <c r="P843" s="447"/>
      <c r="Q843" s="447"/>
      <c r="R843" s="447"/>
      <c r="S843" s="447"/>
      <c r="T843" s="447"/>
      <c r="U843" s="447"/>
      <c r="V843" s="447"/>
      <c r="W843" s="447"/>
      <c r="X843" s="447"/>
      <c r="Y843" s="447"/>
      <c r="Z843" s="447"/>
      <c r="AA843" s="447"/>
      <c r="AB843" s="447"/>
      <c r="AC843" s="447"/>
      <c r="AD843" s="447"/>
      <c r="AE843" s="447"/>
      <c r="AF843" s="448"/>
      <c r="AG843" s="448"/>
      <c r="AH843" s="448"/>
      <c r="AI843" s="447"/>
      <c r="AJ843" s="447"/>
      <c r="AK843" s="447"/>
      <c r="AL843" s="447"/>
      <c r="AM843" s="447"/>
      <c r="AN843" s="447"/>
      <c r="AO843" s="447"/>
      <c r="AP843" s="447"/>
      <c r="AQ843" s="447"/>
      <c r="AR843" s="447"/>
      <c r="AS843" s="447"/>
      <c r="AT843" s="447"/>
      <c r="AU843" s="447"/>
      <c r="AV843" s="447"/>
      <c r="AW843" s="447"/>
      <c r="AX843" s="447"/>
      <c r="AY843" s="447"/>
      <c r="AZ843" s="447"/>
      <c r="BA843" s="447"/>
      <c r="BB843" s="447"/>
      <c r="BC843" s="447"/>
      <c r="BD843" s="447"/>
      <c r="BE843" s="447"/>
      <c r="BF843" s="447"/>
      <c r="BG843" s="447"/>
      <c r="BH843" s="447"/>
      <c r="BI843" s="447"/>
      <c r="BJ843" s="447"/>
      <c r="BK843" s="447"/>
      <c r="BL843" s="447"/>
      <c r="BM843" s="448"/>
      <c r="BN843" s="448"/>
    </row>
    <row r="844" spans="1:66" ht="11.25" customHeight="1">
      <c r="A844" s="469"/>
      <c r="B844" s="447"/>
      <c r="C844" s="447"/>
      <c r="D844" s="447"/>
      <c r="E844" s="447"/>
      <c r="F844" s="447"/>
      <c r="G844" s="447"/>
      <c r="H844" s="447"/>
      <c r="I844" s="447"/>
      <c r="J844" s="447"/>
      <c r="K844" s="447"/>
      <c r="L844" s="447"/>
      <c r="M844" s="447"/>
      <c r="N844" s="447"/>
      <c r="O844" s="447"/>
      <c r="P844" s="447"/>
      <c r="Q844" s="447"/>
      <c r="R844" s="447"/>
      <c r="S844" s="447"/>
      <c r="T844" s="447"/>
      <c r="U844" s="447"/>
      <c r="V844" s="447"/>
      <c r="W844" s="447"/>
      <c r="X844" s="447"/>
      <c r="Y844" s="447"/>
      <c r="Z844" s="447"/>
      <c r="AA844" s="447"/>
      <c r="AB844" s="447"/>
      <c r="AC844" s="447"/>
      <c r="AD844" s="447"/>
      <c r="AE844" s="447"/>
      <c r="AF844" s="448"/>
      <c r="AG844" s="448"/>
      <c r="AH844" s="448"/>
      <c r="AI844" s="447"/>
      <c r="AJ844" s="447"/>
      <c r="AK844" s="447"/>
      <c r="AL844" s="447"/>
      <c r="AM844" s="447"/>
      <c r="AN844" s="447"/>
      <c r="AO844" s="447"/>
      <c r="AP844" s="447"/>
      <c r="AQ844" s="447"/>
      <c r="AR844" s="447"/>
      <c r="AS844" s="447"/>
      <c r="AT844" s="447"/>
      <c r="AU844" s="447"/>
      <c r="AV844" s="447"/>
      <c r="AW844" s="447"/>
      <c r="AX844" s="447"/>
      <c r="AY844" s="447"/>
      <c r="AZ844" s="447"/>
      <c r="BA844" s="447"/>
      <c r="BB844" s="447"/>
      <c r="BC844" s="447"/>
      <c r="BD844" s="447"/>
      <c r="BE844" s="447"/>
      <c r="BF844" s="447"/>
      <c r="BG844" s="447"/>
      <c r="BH844" s="447"/>
      <c r="BI844" s="447"/>
      <c r="BJ844" s="447"/>
      <c r="BK844" s="447"/>
      <c r="BL844" s="447"/>
      <c r="BM844" s="448"/>
      <c r="BN844" s="448"/>
    </row>
    <row r="845" spans="1:66" ht="11.25" customHeight="1">
      <c r="A845" s="469"/>
      <c r="B845" s="447"/>
      <c r="C845" s="447"/>
      <c r="D845" s="447"/>
      <c r="E845" s="447"/>
      <c r="F845" s="447"/>
      <c r="G845" s="447"/>
      <c r="H845" s="447"/>
      <c r="I845" s="447"/>
      <c r="J845" s="447"/>
      <c r="K845" s="447"/>
      <c r="L845" s="447"/>
      <c r="M845" s="447"/>
      <c r="N845" s="447"/>
      <c r="O845" s="447"/>
      <c r="P845" s="447"/>
      <c r="Q845" s="447"/>
      <c r="R845" s="447"/>
      <c r="S845" s="447"/>
      <c r="T845" s="447"/>
      <c r="U845" s="447"/>
      <c r="V845" s="447"/>
      <c r="W845" s="447"/>
      <c r="X845" s="447"/>
      <c r="Y845" s="447"/>
      <c r="Z845" s="447"/>
      <c r="AA845" s="447"/>
      <c r="AB845" s="447"/>
      <c r="AC845" s="447"/>
      <c r="AD845" s="447"/>
      <c r="AE845" s="447"/>
      <c r="AF845" s="448"/>
      <c r="AG845" s="448"/>
      <c r="AH845" s="448"/>
      <c r="AI845" s="447"/>
      <c r="AJ845" s="447"/>
      <c r="AK845" s="447"/>
      <c r="AL845" s="447"/>
      <c r="AM845" s="447"/>
      <c r="AN845" s="447"/>
      <c r="AO845" s="447"/>
      <c r="AP845" s="447"/>
      <c r="AQ845" s="447"/>
      <c r="AR845" s="447"/>
      <c r="AS845" s="447"/>
      <c r="AT845" s="447"/>
      <c r="AU845" s="447"/>
      <c r="AV845" s="447"/>
      <c r="AW845" s="447"/>
      <c r="AX845" s="447"/>
      <c r="AY845" s="447"/>
      <c r="AZ845" s="447"/>
      <c r="BA845" s="447"/>
      <c r="BB845" s="447"/>
      <c r="BC845" s="447"/>
      <c r="BD845" s="447"/>
      <c r="BE845" s="447"/>
      <c r="BF845" s="447"/>
      <c r="BG845" s="447"/>
      <c r="BH845" s="447"/>
      <c r="BI845" s="447"/>
      <c r="BJ845" s="447"/>
      <c r="BK845" s="447"/>
      <c r="BL845" s="447"/>
      <c r="BM845" s="448"/>
      <c r="BN845" s="448"/>
    </row>
    <row r="846" spans="1:66" ht="11.25" customHeight="1">
      <c r="A846" s="469"/>
      <c r="B846" s="447"/>
      <c r="C846" s="447"/>
      <c r="D846" s="447"/>
      <c r="E846" s="447"/>
      <c r="F846" s="447"/>
      <c r="G846" s="447"/>
      <c r="H846" s="447"/>
      <c r="I846" s="447"/>
      <c r="J846" s="447"/>
      <c r="K846" s="447"/>
      <c r="L846" s="447"/>
      <c r="M846" s="447"/>
      <c r="N846" s="447"/>
      <c r="O846" s="447"/>
      <c r="P846" s="447"/>
      <c r="Q846" s="447"/>
      <c r="R846" s="447"/>
      <c r="S846" s="447"/>
      <c r="T846" s="447"/>
      <c r="U846" s="447"/>
      <c r="V846" s="447"/>
      <c r="W846" s="447"/>
      <c r="X846" s="447"/>
      <c r="Y846" s="447"/>
      <c r="Z846" s="447"/>
      <c r="AA846" s="447"/>
      <c r="AB846" s="447"/>
      <c r="AC846" s="447"/>
      <c r="AD846" s="447"/>
      <c r="AE846" s="447"/>
      <c r="AF846" s="448"/>
      <c r="AG846" s="448"/>
      <c r="AH846" s="448"/>
      <c r="AI846" s="447"/>
      <c r="AJ846" s="447"/>
      <c r="AK846" s="447"/>
      <c r="AL846" s="447"/>
      <c r="AM846" s="447"/>
      <c r="AN846" s="447"/>
      <c r="AO846" s="447"/>
      <c r="AP846" s="447"/>
      <c r="AQ846" s="447"/>
      <c r="AR846" s="447"/>
      <c r="AS846" s="447"/>
      <c r="AT846" s="447"/>
      <c r="AU846" s="447"/>
      <c r="AV846" s="447"/>
      <c r="AW846" s="447"/>
      <c r="AX846" s="447"/>
      <c r="AY846" s="447"/>
      <c r="AZ846" s="447"/>
      <c r="BA846" s="447"/>
      <c r="BB846" s="447"/>
      <c r="BC846" s="447"/>
      <c r="BD846" s="447"/>
      <c r="BE846" s="447"/>
      <c r="BF846" s="447"/>
      <c r="BG846" s="447"/>
      <c r="BH846" s="447"/>
      <c r="BI846" s="447"/>
      <c r="BJ846" s="447"/>
      <c r="BK846" s="447"/>
      <c r="BL846" s="447"/>
      <c r="BM846" s="448"/>
      <c r="BN846" s="448"/>
    </row>
    <row r="847" spans="1:66" ht="11.25" customHeight="1">
      <c r="A847" s="469"/>
      <c r="B847" s="447"/>
      <c r="C847" s="447"/>
      <c r="D847" s="447"/>
      <c r="E847" s="447"/>
      <c r="F847" s="447"/>
      <c r="G847" s="447"/>
      <c r="H847" s="447"/>
      <c r="I847" s="447"/>
      <c r="J847" s="447"/>
      <c r="K847" s="447"/>
      <c r="L847" s="447"/>
      <c r="M847" s="447"/>
      <c r="N847" s="447"/>
      <c r="O847" s="447"/>
      <c r="P847" s="447"/>
      <c r="Q847" s="447"/>
      <c r="R847" s="447"/>
      <c r="S847" s="447"/>
      <c r="T847" s="447"/>
      <c r="U847" s="447"/>
      <c r="V847" s="447"/>
      <c r="W847" s="447"/>
      <c r="X847" s="447"/>
      <c r="Y847" s="447"/>
      <c r="Z847" s="447"/>
      <c r="AA847" s="447"/>
      <c r="AB847" s="447"/>
      <c r="AC847" s="447"/>
      <c r="AD847" s="447"/>
      <c r="AE847" s="447"/>
      <c r="AF847" s="448"/>
      <c r="AG847" s="448"/>
      <c r="AH847" s="448"/>
      <c r="AI847" s="447"/>
      <c r="AJ847" s="447"/>
      <c r="AK847" s="447"/>
      <c r="AL847" s="447"/>
      <c r="AM847" s="447"/>
      <c r="AN847" s="447"/>
      <c r="AO847" s="447"/>
      <c r="AP847" s="447"/>
      <c r="AQ847" s="447"/>
      <c r="AR847" s="447"/>
      <c r="AS847" s="447"/>
      <c r="AT847" s="447"/>
      <c r="AU847" s="447"/>
      <c r="AV847" s="447"/>
      <c r="AW847" s="447"/>
      <c r="AX847" s="447"/>
      <c r="AY847" s="447"/>
      <c r="AZ847" s="447"/>
      <c r="BA847" s="447"/>
      <c r="BB847" s="447"/>
      <c r="BC847" s="447"/>
      <c r="BD847" s="447"/>
      <c r="BE847" s="447"/>
      <c r="BF847" s="447"/>
      <c r="BG847" s="447"/>
      <c r="BH847" s="447"/>
      <c r="BI847" s="447"/>
      <c r="BJ847" s="447"/>
      <c r="BK847" s="447"/>
      <c r="BL847" s="447"/>
      <c r="BM847" s="448"/>
      <c r="BN847" s="448"/>
    </row>
    <row r="848" spans="1:66" ht="11.25" customHeight="1">
      <c r="A848" s="469"/>
      <c r="B848" s="447"/>
      <c r="C848" s="447"/>
      <c r="D848" s="447"/>
      <c r="E848" s="447"/>
      <c r="F848" s="447"/>
      <c r="G848" s="447"/>
      <c r="H848" s="447"/>
      <c r="I848" s="447"/>
      <c r="J848" s="447"/>
      <c r="K848" s="447"/>
      <c r="L848" s="447"/>
      <c r="M848" s="447"/>
      <c r="N848" s="447"/>
      <c r="O848" s="447"/>
      <c r="P848" s="447"/>
      <c r="Q848" s="447"/>
      <c r="R848" s="447"/>
      <c r="S848" s="447"/>
      <c r="T848" s="447"/>
      <c r="U848" s="447"/>
      <c r="V848" s="447"/>
      <c r="W848" s="447"/>
      <c r="X848" s="447"/>
      <c r="Y848" s="447"/>
      <c r="Z848" s="447"/>
      <c r="AA848" s="447"/>
      <c r="AB848" s="447"/>
      <c r="AC848" s="447"/>
      <c r="AD848" s="447"/>
      <c r="AE848" s="447"/>
      <c r="AF848" s="448"/>
      <c r="AG848" s="448"/>
      <c r="AH848" s="448"/>
      <c r="AI848" s="447"/>
      <c r="AJ848" s="447"/>
      <c r="AK848" s="447"/>
      <c r="AL848" s="447"/>
      <c r="AM848" s="447"/>
      <c r="AN848" s="447"/>
      <c r="AO848" s="447"/>
      <c r="AP848" s="447"/>
      <c r="AQ848" s="447"/>
      <c r="AR848" s="447"/>
      <c r="AS848" s="447"/>
      <c r="AT848" s="447"/>
      <c r="AU848" s="447"/>
      <c r="AV848" s="447"/>
      <c r="AW848" s="447"/>
      <c r="AX848" s="447"/>
      <c r="AY848" s="447"/>
      <c r="AZ848" s="447"/>
      <c r="BA848" s="447"/>
      <c r="BB848" s="447"/>
      <c r="BC848" s="447"/>
      <c r="BD848" s="447"/>
      <c r="BE848" s="447"/>
      <c r="BF848" s="447"/>
      <c r="BG848" s="447"/>
      <c r="BH848" s="447"/>
      <c r="BI848" s="447"/>
      <c r="BJ848" s="447"/>
      <c r="BK848" s="447"/>
      <c r="BL848" s="447"/>
      <c r="BM848" s="448"/>
      <c r="BN848" s="448"/>
    </row>
    <row r="849" spans="1:66" ht="11.25" customHeight="1">
      <c r="A849" s="469"/>
      <c r="B849" s="447"/>
      <c r="C849" s="447"/>
      <c r="D849" s="447"/>
      <c r="E849" s="447"/>
      <c r="F849" s="447"/>
      <c r="G849" s="447"/>
      <c r="H849" s="447"/>
      <c r="I849" s="447"/>
      <c r="J849" s="447"/>
      <c r="K849" s="447"/>
      <c r="L849" s="447"/>
      <c r="M849" s="447"/>
      <c r="N849" s="447"/>
      <c r="O849" s="447"/>
      <c r="P849" s="447"/>
      <c r="Q849" s="447"/>
      <c r="R849" s="447"/>
      <c r="S849" s="447"/>
      <c r="T849" s="447"/>
      <c r="U849" s="447"/>
      <c r="V849" s="447"/>
      <c r="W849" s="447"/>
      <c r="X849" s="447"/>
      <c r="Y849" s="447"/>
      <c r="Z849" s="447"/>
      <c r="AA849" s="447"/>
      <c r="AB849" s="447"/>
      <c r="AC849" s="447"/>
      <c r="AD849" s="447"/>
      <c r="AE849" s="447"/>
      <c r="AF849" s="448"/>
      <c r="AG849" s="448"/>
      <c r="AH849" s="448"/>
      <c r="AI849" s="447"/>
      <c r="AJ849" s="447"/>
      <c r="AK849" s="447"/>
      <c r="AL849" s="447"/>
      <c r="AM849" s="447"/>
      <c r="AN849" s="447"/>
      <c r="AO849" s="447"/>
      <c r="AP849" s="447"/>
      <c r="AQ849" s="447"/>
      <c r="AR849" s="447"/>
      <c r="AS849" s="447"/>
      <c r="AT849" s="447"/>
      <c r="AU849" s="447"/>
      <c r="AV849" s="447"/>
      <c r="AW849" s="447"/>
      <c r="AX849" s="447"/>
      <c r="AY849" s="447"/>
      <c r="AZ849" s="447"/>
      <c r="BA849" s="447"/>
      <c r="BB849" s="447"/>
      <c r="BC849" s="447"/>
      <c r="BD849" s="447"/>
      <c r="BE849" s="447"/>
      <c r="BF849" s="447"/>
      <c r="BG849" s="447"/>
      <c r="BH849" s="447"/>
      <c r="BI849" s="447"/>
      <c r="BJ849" s="447"/>
      <c r="BK849" s="447"/>
      <c r="BL849" s="447"/>
      <c r="BM849" s="448"/>
      <c r="BN849" s="448"/>
    </row>
    <row r="850" spans="1:66" ht="11.25" customHeight="1">
      <c r="A850" s="469"/>
      <c r="B850" s="447"/>
      <c r="C850" s="447"/>
      <c r="D850" s="447"/>
      <c r="E850" s="447"/>
      <c r="F850" s="447"/>
      <c r="G850" s="447"/>
      <c r="H850" s="447"/>
      <c r="I850" s="447"/>
      <c r="J850" s="447"/>
      <c r="K850" s="447"/>
      <c r="L850" s="447"/>
      <c r="M850" s="447"/>
      <c r="N850" s="447"/>
      <c r="O850" s="447"/>
      <c r="P850" s="447"/>
      <c r="Q850" s="447"/>
      <c r="R850" s="447"/>
      <c r="S850" s="447"/>
      <c r="T850" s="447"/>
      <c r="U850" s="447"/>
      <c r="V850" s="447"/>
      <c r="W850" s="447"/>
      <c r="X850" s="447"/>
      <c r="Y850" s="447"/>
      <c r="Z850" s="447"/>
      <c r="AA850" s="447"/>
      <c r="AB850" s="447"/>
      <c r="AC850" s="447"/>
      <c r="AD850" s="447"/>
      <c r="AE850" s="447"/>
      <c r="AF850" s="448"/>
      <c r="AG850" s="448"/>
      <c r="AH850" s="448"/>
      <c r="AI850" s="447"/>
      <c r="AJ850" s="447"/>
      <c r="AK850" s="447"/>
      <c r="AL850" s="447"/>
      <c r="AM850" s="447"/>
      <c r="AN850" s="447"/>
      <c r="AO850" s="447"/>
      <c r="AP850" s="447"/>
      <c r="AQ850" s="447"/>
      <c r="AR850" s="447"/>
      <c r="AS850" s="447"/>
      <c r="AT850" s="447"/>
      <c r="AU850" s="447"/>
      <c r="AV850" s="447"/>
      <c r="AW850" s="447"/>
      <c r="AX850" s="447"/>
      <c r="AY850" s="447"/>
      <c r="AZ850" s="447"/>
      <c r="BA850" s="447"/>
      <c r="BB850" s="447"/>
      <c r="BC850" s="447"/>
      <c r="BD850" s="447"/>
      <c r="BE850" s="447"/>
      <c r="BF850" s="447"/>
      <c r="BG850" s="447"/>
      <c r="BH850" s="447"/>
      <c r="BI850" s="447"/>
      <c r="BJ850" s="447"/>
      <c r="BK850" s="447"/>
      <c r="BL850" s="447"/>
      <c r="BM850" s="448"/>
      <c r="BN850" s="448"/>
    </row>
    <row r="851" spans="1:66" ht="11.25" customHeight="1">
      <c r="A851" s="469"/>
      <c r="B851" s="447"/>
      <c r="C851" s="447"/>
      <c r="D851" s="447"/>
      <c r="E851" s="447"/>
      <c r="F851" s="447"/>
      <c r="G851" s="447"/>
      <c r="H851" s="447"/>
      <c r="I851" s="447"/>
      <c r="J851" s="447"/>
      <c r="K851" s="447"/>
      <c r="L851" s="447"/>
      <c r="M851" s="447"/>
      <c r="N851" s="447"/>
      <c r="O851" s="447"/>
      <c r="P851" s="447"/>
      <c r="Q851" s="447"/>
      <c r="R851" s="447"/>
      <c r="S851" s="447"/>
      <c r="T851" s="447"/>
      <c r="U851" s="447"/>
      <c r="V851" s="447"/>
      <c r="W851" s="447"/>
      <c r="X851" s="447"/>
      <c r="Y851" s="447"/>
      <c r="Z851" s="447"/>
      <c r="AA851" s="447"/>
      <c r="AB851" s="447"/>
      <c r="AC851" s="447"/>
      <c r="AD851" s="447"/>
      <c r="AE851" s="447"/>
      <c r="AF851" s="448"/>
      <c r="AG851" s="448"/>
      <c r="AH851" s="448"/>
      <c r="AI851" s="447"/>
      <c r="AJ851" s="447"/>
      <c r="AK851" s="447"/>
      <c r="AL851" s="447"/>
      <c r="AM851" s="447"/>
      <c r="AN851" s="447"/>
      <c r="AO851" s="447"/>
      <c r="AP851" s="447"/>
      <c r="AQ851" s="447"/>
      <c r="AR851" s="447"/>
      <c r="AS851" s="447"/>
      <c r="AT851" s="447"/>
      <c r="AU851" s="447"/>
      <c r="AV851" s="447"/>
      <c r="AW851" s="447"/>
      <c r="AX851" s="447"/>
      <c r="AY851" s="447"/>
      <c r="AZ851" s="447"/>
      <c r="BA851" s="447"/>
      <c r="BB851" s="447"/>
      <c r="BC851" s="447"/>
      <c r="BD851" s="447"/>
      <c r="BE851" s="447"/>
      <c r="BF851" s="447"/>
      <c r="BG851" s="447"/>
      <c r="BH851" s="447"/>
      <c r="BI851" s="447"/>
      <c r="BJ851" s="447"/>
      <c r="BK851" s="447"/>
      <c r="BL851" s="447"/>
      <c r="BM851" s="448"/>
      <c r="BN851" s="448"/>
    </row>
    <row r="852" spans="1:66" ht="11.25" customHeight="1">
      <c r="A852" s="469"/>
      <c r="B852" s="447"/>
      <c r="C852" s="447"/>
      <c r="D852" s="447"/>
      <c r="E852" s="447"/>
      <c r="F852" s="447"/>
      <c r="G852" s="447"/>
      <c r="H852" s="447"/>
      <c r="I852" s="447"/>
      <c r="J852" s="447"/>
      <c r="K852" s="447"/>
      <c r="L852" s="447"/>
      <c r="M852" s="447"/>
      <c r="N852" s="447"/>
      <c r="O852" s="447"/>
      <c r="P852" s="447"/>
      <c r="Q852" s="447"/>
      <c r="R852" s="447"/>
      <c r="S852" s="447"/>
      <c r="T852" s="447"/>
      <c r="U852" s="447"/>
      <c r="V852" s="447"/>
      <c r="W852" s="447"/>
      <c r="X852" s="447"/>
      <c r="Y852" s="447"/>
      <c r="Z852" s="447"/>
      <c r="AA852" s="447"/>
      <c r="AB852" s="447"/>
      <c r="AC852" s="447"/>
      <c r="AD852" s="447"/>
      <c r="AE852" s="447"/>
      <c r="AF852" s="448"/>
      <c r="AG852" s="448"/>
      <c r="AH852" s="448"/>
      <c r="AI852" s="447"/>
      <c r="AJ852" s="447"/>
      <c r="AK852" s="447"/>
      <c r="AL852" s="447"/>
      <c r="AM852" s="447"/>
      <c r="AN852" s="447"/>
      <c r="AO852" s="447"/>
      <c r="AP852" s="447"/>
      <c r="AQ852" s="447"/>
      <c r="AR852" s="447"/>
      <c r="AS852" s="447"/>
      <c r="AT852" s="447"/>
      <c r="AU852" s="447"/>
      <c r="AV852" s="447"/>
      <c r="AW852" s="447"/>
      <c r="AX852" s="447"/>
      <c r="AY852" s="447"/>
      <c r="AZ852" s="447"/>
      <c r="BA852" s="447"/>
      <c r="BB852" s="447"/>
      <c r="BC852" s="447"/>
      <c r="BD852" s="447"/>
      <c r="BE852" s="447"/>
      <c r="BF852" s="447"/>
      <c r="BG852" s="447"/>
      <c r="BH852" s="447"/>
      <c r="BI852" s="447"/>
      <c r="BJ852" s="447"/>
      <c r="BK852" s="447"/>
      <c r="BL852" s="447"/>
      <c r="BM852" s="448"/>
      <c r="BN852" s="448"/>
    </row>
    <row r="853" spans="1:66" ht="11.25" customHeight="1">
      <c r="A853" s="469"/>
      <c r="B853" s="447"/>
      <c r="C853" s="447"/>
      <c r="D853" s="447"/>
      <c r="E853" s="447"/>
      <c r="F853" s="447"/>
      <c r="G853" s="447"/>
      <c r="H853" s="447"/>
      <c r="I853" s="447"/>
      <c r="J853" s="447"/>
      <c r="K853" s="447"/>
      <c r="L853" s="447"/>
      <c r="M853" s="447"/>
      <c r="N853" s="447"/>
      <c r="O853" s="447"/>
      <c r="P853" s="447"/>
      <c r="Q853" s="447"/>
      <c r="R853" s="447"/>
      <c r="S853" s="447"/>
      <c r="T853" s="447"/>
      <c r="U853" s="447"/>
      <c r="V853" s="447"/>
      <c r="W853" s="447"/>
      <c r="X853" s="447"/>
      <c r="Y853" s="447"/>
      <c r="Z853" s="447"/>
      <c r="AA853" s="447"/>
      <c r="AB853" s="447"/>
      <c r="AC853" s="447"/>
      <c r="AD853" s="447"/>
      <c r="AE853" s="447"/>
      <c r="AF853" s="448"/>
      <c r="AG853" s="448"/>
      <c r="AH853" s="448"/>
      <c r="AI853" s="447"/>
      <c r="AJ853" s="447"/>
      <c r="AK853" s="447"/>
      <c r="AL853" s="447"/>
      <c r="AM853" s="447"/>
      <c r="AN853" s="447"/>
      <c r="AO853" s="447"/>
      <c r="AP853" s="447"/>
      <c r="AQ853" s="447"/>
      <c r="AR853" s="447"/>
      <c r="AS853" s="447"/>
      <c r="AT853" s="447"/>
      <c r="AU853" s="447"/>
      <c r="AV853" s="447"/>
      <c r="AW853" s="447"/>
      <c r="AX853" s="447"/>
      <c r="AY853" s="447"/>
      <c r="AZ853" s="447"/>
      <c r="BA853" s="447"/>
      <c r="BB853" s="447"/>
      <c r="BC853" s="447"/>
      <c r="BD853" s="447"/>
      <c r="BE853" s="447"/>
      <c r="BF853" s="447"/>
      <c r="BG853" s="447"/>
      <c r="BH853" s="447"/>
      <c r="BI853" s="447"/>
      <c r="BJ853" s="447"/>
      <c r="BK853" s="447"/>
      <c r="BL853" s="447"/>
      <c r="BM853" s="448"/>
      <c r="BN853" s="448"/>
    </row>
    <row r="854" spans="1:66" ht="11.25" customHeight="1">
      <c r="A854" s="469"/>
      <c r="B854" s="447"/>
      <c r="C854" s="447"/>
      <c r="D854" s="447"/>
      <c r="E854" s="447"/>
      <c r="F854" s="447"/>
      <c r="G854" s="447"/>
      <c r="H854" s="447"/>
      <c r="I854" s="447"/>
      <c r="J854" s="447"/>
      <c r="K854" s="447"/>
      <c r="L854" s="447"/>
      <c r="M854" s="447"/>
      <c r="N854" s="447"/>
      <c r="O854" s="447"/>
      <c r="P854" s="447"/>
      <c r="Q854" s="447"/>
      <c r="R854" s="447"/>
      <c r="S854" s="447"/>
      <c r="T854" s="447"/>
      <c r="U854" s="447"/>
      <c r="V854" s="447"/>
      <c r="W854" s="447"/>
      <c r="X854" s="447"/>
      <c r="Y854" s="447"/>
      <c r="Z854" s="447"/>
      <c r="AA854" s="447"/>
      <c r="AB854" s="447"/>
      <c r="AC854" s="447"/>
      <c r="AD854" s="447"/>
      <c r="AE854" s="447"/>
      <c r="AF854" s="448"/>
      <c r="AG854" s="448"/>
      <c r="AH854" s="448"/>
      <c r="AI854" s="447"/>
      <c r="AJ854" s="447"/>
      <c r="AK854" s="447"/>
      <c r="AL854" s="447"/>
      <c r="AM854" s="447"/>
      <c r="AN854" s="447"/>
      <c r="AO854" s="447"/>
      <c r="AP854" s="447"/>
      <c r="AQ854" s="447"/>
      <c r="AR854" s="447"/>
      <c r="AS854" s="447"/>
      <c r="AT854" s="447"/>
      <c r="AU854" s="447"/>
      <c r="AV854" s="447"/>
      <c r="AW854" s="447"/>
      <c r="AX854" s="447"/>
      <c r="AY854" s="447"/>
      <c r="AZ854" s="447"/>
      <c r="BA854" s="447"/>
      <c r="BB854" s="447"/>
      <c r="BC854" s="447"/>
      <c r="BD854" s="447"/>
      <c r="BE854" s="447"/>
      <c r="BF854" s="447"/>
      <c r="BG854" s="447"/>
      <c r="BH854" s="447"/>
      <c r="BI854" s="447"/>
      <c r="BJ854" s="447"/>
      <c r="BK854" s="447"/>
      <c r="BL854" s="447"/>
      <c r="BM854" s="448"/>
      <c r="BN854" s="448"/>
    </row>
    <row r="855" spans="1:66" ht="11.25" customHeight="1">
      <c r="A855" s="469"/>
      <c r="B855" s="447"/>
      <c r="C855" s="447"/>
      <c r="D855" s="447"/>
      <c r="E855" s="447"/>
      <c r="F855" s="447"/>
      <c r="G855" s="447"/>
      <c r="H855" s="447"/>
      <c r="I855" s="447"/>
      <c r="J855" s="447"/>
      <c r="K855" s="447"/>
      <c r="L855" s="447"/>
      <c r="M855" s="447"/>
      <c r="N855" s="447"/>
      <c r="O855" s="447"/>
      <c r="P855" s="447"/>
      <c r="Q855" s="447"/>
      <c r="R855" s="447"/>
      <c r="S855" s="447"/>
      <c r="T855" s="447"/>
      <c r="U855" s="447"/>
      <c r="V855" s="447"/>
      <c r="W855" s="447"/>
      <c r="X855" s="447"/>
      <c r="Y855" s="447"/>
      <c r="Z855" s="447"/>
      <c r="AA855" s="447"/>
      <c r="AB855" s="447"/>
      <c r="AC855" s="447"/>
      <c r="AD855" s="447"/>
      <c r="AE855" s="447"/>
      <c r="AF855" s="448"/>
      <c r="AG855" s="448"/>
      <c r="AH855" s="448"/>
      <c r="AI855" s="447"/>
      <c r="AJ855" s="447"/>
      <c r="AK855" s="447"/>
      <c r="AL855" s="447"/>
      <c r="AM855" s="447"/>
      <c r="AN855" s="447"/>
      <c r="AO855" s="447"/>
      <c r="AP855" s="447"/>
      <c r="AQ855" s="447"/>
      <c r="AR855" s="447"/>
      <c r="AS855" s="447"/>
      <c r="AT855" s="447"/>
      <c r="AU855" s="447"/>
      <c r="AV855" s="447"/>
      <c r="AW855" s="447"/>
      <c r="AX855" s="447"/>
      <c r="AY855" s="447"/>
      <c r="AZ855" s="447"/>
      <c r="BA855" s="447"/>
      <c r="BB855" s="447"/>
      <c r="BC855" s="447"/>
      <c r="BD855" s="447"/>
      <c r="BE855" s="447"/>
      <c r="BF855" s="447"/>
      <c r="BG855" s="447"/>
      <c r="BH855" s="447"/>
      <c r="BI855" s="447"/>
      <c r="BJ855" s="447"/>
      <c r="BK855" s="447"/>
      <c r="BL855" s="447"/>
      <c r="BM855" s="448"/>
      <c r="BN855" s="448"/>
    </row>
    <row r="856" spans="1:66" ht="11.25" customHeight="1">
      <c r="A856" s="469"/>
      <c r="B856" s="447"/>
      <c r="C856" s="447"/>
      <c r="D856" s="447"/>
      <c r="E856" s="447"/>
      <c r="F856" s="447"/>
      <c r="G856" s="447"/>
      <c r="H856" s="447"/>
      <c r="I856" s="447"/>
      <c r="J856" s="447"/>
      <c r="K856" s="447"/>
      <c r="L856" s="447"/>
      <c r="M856" s="447"/>
      <c r="N856" s="447"/>
      <c r="O856" s="447"/>
      <c r="P856" s="447"/>
      <c r="Q856" s="447"/>
      <c r="R856" s="447"/>
      <c r="S856" s="447"/>
      <c r="T856" s="447"/>
      <c r="U856" s="447"/>
      <c r="V856" s="447"/>
      <c r="W856" s="447"/>
      <c r="X856" s="447"/>
      <c r="Y856" s="447"/>
      <c r="Z856" s="447"/>
      <c r="AA856" s="447"/>
      <c r="AB856" s="447"/>
      <c r="AC856" s="447"/>
      <c r="AD856" s="447"/>
      <c r="AE856" s="447"/>
      <c r="AF856" s="448"/>
      <c r="AG856" s="448"/>
      <c r="AH856" s="448"/>
      <c r="AI856" s="447"/>
      <c r="AJ856" s="447"/>
      <c r="AK856" s="447"/>
      <c r="AL856" s="447"/>
      <c r="AM856" s="447"/>
      <c r="AN856" s="447"/>
      <c r="AO856" s="447"/>
      <c r="AP856" s="447"/>
      <c r="AQ856" s="447"/>
      <c r="AR856" s="447"/>
      <c r="AS856" s="447"/>
      <c r="AT856" s="447"/>
      <c r="AU856" s="447"/>
      <c r="AV856" s="447"/>
      <c r="AW856" s="447"/>
      <c r="AX856" s="447"/>
      <c r="AY856" s="447"/>
      <c r="AZ856" s="447"/>
      <c r="BA856" s="447"/>
      <c r="BB856" s="447"/>
      <c r="BC856" s="447"/>
      <c r="BD856" s="447"/>
      <c r="BE856" s="447"/>
      <c r="BF856" s="447"/>
      <c r="BG856" s="447"/>
      <c r="BH856" s="447"/>
      <c r="BI856" s="447"/>
      <c r="BJ856" s="447"/>
      <c r="BK856" s="447"/>
      <c r="BL856" s="447"/>
      <c r="BM856" s="448"/>
      <c r="BN856" s="448"/>
    </row>
    <row r="857" spans="1:66" ht="11.25" customHeight="1">
      <c r="A857" s="469"/>
      <c r="B857" s="447"/>
      <c r="C857" s="447"/>
      <c r="D857" s="447"/>
      <c r="E857" s="447"/>
      <c r="F857" s="447"/>
      <c r="G857" s="447"/>
      <c r="H857" s="447"/>
      <c r="I857" s="447"/>
      <c r="J857" s="447"/>
      <c r="K857" s="447"/>
      <c r="L857" s="447"/>
      <c r="M857" s="447"/>
      <c r="N857" s="447"/>
      <c r="O857" s="447"/>
      <c r="P857" s="447"/>
      <c r="Q857" s="447"/>
      <c r="R857" s="447"/>
      <c r="S857" s="447"/>
      <c r="T857" s="447"/>
      <c r="U857" s="447"/>
      <c r="V857" s="447"/>
      <c r="W857" s="447"/>
      <c r="X857" s="447"/>
      <c r="Y857" s="447"/>
      <c r="Z857" s="447"/>
      <c r="AA857" s="447"/>
      <c r="AB857" s="447"/>
      <c r="AC857" s="447"/>
      <c r="AD857" s="447"/>
      <c r="AE857" s="447"/>
      <c r="AF857" s="448"/>
      <c r="AG857" s="448"/>
      <c r="AH857" s="448"/>
      <c r="AI857" s="447"/>
      <c r="AJ857" s="447"/>
      <c r="AK857" s="447"/>
      <c r="AL857" s="447"/>
      <c r="AM857" s="447"/>
      <c r="AN857" s="447"/>
      <c r="AO857" s="447"/>
      <c r="AP857" s="447"/>
      <c r="AQ857" s="447"/>
      <c r="AR857" s="447"/>
      <c r="AS857" s="447"/>
      <c r="AT857" s="447"/>
      <c r="AU857" s="447"/>
      <c r="AV857" s="447"/>
      <c r="AW857" s="447"/>
      <c r="AX857" s="447"/>
      <c r="AY857" s="447"/>
      <c r="AZ857" s="447"/>
      <c r="BA857" s="447"/>
      <c r="BB857" s="447"/>
      <c r="BC857" s="447"/>
      <c r="BD857" s="447"/>
      <c r="BE857" s="447"/>
      <c r="BF857" s="447"/>
      <c r="BG857" s="447"/>
      <c r="BH857" s="447"/>
      <c r="BI857" s="447"/>
      <c r="BJ857" s="447"/>
      <c r="BK857" s="447"/>
      <c r="BL857" s="447"/>
      <c r="BM857" s="448"/>
      <c r="BN857" s="448"/>
    </row>
    <row r="858" spans="1:66" ht="11.25" customHeight="1">
      <c r="A858" s="469"/>
      <c r="B858" s="447"/>
      <c r="C858" s="447"/>
      <c r="D858" s="447"/>
      <c r="E858" s="447"/>
      <c r="F858" s="447"/>
      <c r="G858" s="447"/>
      <c r="H858" s="447"/>
      <c r="I858" s="447"/>
      <c r="J858" s="447"/>
      <c r="K858" s="447"/>
      <c r="L858" s="447"/>
      <c r="M858" s="447"/>
      <c r="N858" s="447"/>
      <c r="O858" s="447"/>
      <c r="P858" s="447"/>
      <c r="Q858" s="447"/>
      <c r="R858" s="447"/>
      <c r="S858" s="447"/>
      <c r="T858" s="447"/>
      <c r="U858" s="447"/>
      <c r="V858" s="447"/>
      <c r="W858" s="447"/>
      <c r="X858" s="447"/>
      <c r="Y858" s="447"/>
      <c r="Z858" s="447"/>
      <c r="AA858" s="447"/>
      <c r="AB858" s="447"/>
      <c r="AC858" s="447"/>
      <c r="AD858" s="447"/>
      <c r="AE858" s="447"/>
      <c r="AF858" s="448"/>
      <c r="AG858" s="448"/>
      <c r="AH858" s="448"/>
      <c r="AI858" s="447"/>
      <c r="AJ858" s="447"/>
      <c r="AK858" s="447"/>
      <c r="AL858" s="447"/>
      <c r="AM858" s="447"/>
      <c r="AN858" s="447"/>
      <c r="AO858" s="447"/>
      <c r="AP858" s="447"/>
      <c r="AQ858" s="447"/>
      <c r="AR858" s="447"/>
      <c r="AS858" s="447"/>
      <c r="AT858" s="447"/>
      <c r="AU858" s="447"/>
      <c r="AV858" s="447"/>
      <c r="AW858" s="447"/>
      <c r="AX858" s="447"/>
      <c r="AY858" s="447"/>
      <c r="AZ858" s="447"/>
      <c r="BA858" s="447"/>
      <c r="BB858" s="447"/>
      <c r="BC858" s="447"/>
      <c r="BD858" s="447"/>
      <c r="BE858" s="447"/>
      <c r="BF858" s="447"/>
      <c r="BG858" s="447"/>
      <c r="BH858" s="447"/>
      <c r="BI858" s="447"/>
      <c r="BJ858" s="447"/>
      <c r="BK858" s="447"/>
      <c r="BL858" s="447"/>
      <c r="BM858" s="448"/>
      <c r="BN858" s="448"/>
    </row>
    <row r="859" spans="1:66" ht="11.25" customHeight="1">
      <c r="A859" s="469"/>
      <c r="B859" s="447"/>
      <c r="C859" s="447"/>
      <c r="D859" s="447"/>
      <c r="E859" s="447"/>
      <c r="F859" s="447"/>
      <c r="G859" s="447"/>
      <c r="H859" s="447"/>
      <c r="I859" s="447"/>
      <c r="J859" s="447"/>
      <c r="K859" s="447"/>
      <c r="L859" s="447"/>
      <c r="M859" s="447"/>
      <c r="N859" s="447"/>
      <c r="O859" s="447"/>
      <c r="P859" s="447"/>
      <c r="Q859" s="447"/>
      <c r="R859" s="447"/>
      <c r="S859" s="447"/>
      <c r="T859" s="447"/>
      <c r="U859" s="447"/>
      <c r="V859" s="447"/>
      <c r="W859" s="447"/>
      <c r="X859" s="447"/>
      <c r="Y859" s="447"/>
      <c r="Z859" s="447"/>
      <c r="AA859" s="447"/>
      <c r="AB859" s="447"/>
      <c r="AC859" s="447"/>
      <c r="AD859" s="447"/>
      <c r="AE859" s="447"/>
      <c r="AF859" s="448"/>
      <c r="AG859" s="448"/>
      <c r="AH859" s="448"/>
      <c r="AI859" s="447"/>
      <c r="AJ859" s="447"/>
      <c r="AK859" s="447"/>
      <c r="AL859" s="447"/>
      <c r="AM859" s="447"/>
      <c r="AN859" s="447"/>
      <c r="AO859" s="447"/>
      <c r="AP859" s="447"/>
      <c r="AQ859" s="447"/>
      <c r="AR859" s="447"/>
      <c r="AS859" s="447"/>
      <c r="AT859" s="447"/>
      <c r="AU859" s="447"/>
      <c r="AV859" s="447"/>
      <c r="AW859" s="447"/>
      <c r="AX859" s="447"/>
      <c r="AY859" s="447"/>
      <c r="AZ859" s="447"/>
      <c r="BA859" s="447"/>
      <c r="BB859" s="447"/>
      <c r="BC859" s="447"/>
      <c r="BD859" s="447"/>
      <c r="BE859" s="447"/>
      <c r="BF859" s="447"/>
      <c r="BG859" s="447"/>
      <c r="BH859" s="447"/>
      <c r="BI859" s="447"/>
      <c r="BJ859" s="447"/>
      <c r="BK859" s="447"/>
      <c r="BL859" s="447"/>
      <c r="BM859" s="448"/>
      <c r="BN859" s="448"/>
    </row>
    <row r="860" spans="1:66" ht="11.25" customHeight="1">
      <c r="A860" s="469"/>
      <c r="B860" s="447"/>
      <c r="C860" s="447"/>
      <c r="D860" s="447"/>
      <c r="E860" s="447"/>
      <c r="F860" s="447"/>
      <c r="G860" s="447"/>
      <c r="H860" s="447"/>
      <c r="I860" s="447"/>
      <c r="J860" s="447"/>
      <c r="K860" s="447"/>
      <c r="L860" s="447"/>
      <c r="M860" s="447"/>
      <c r="N860" s="447"/>
      <c r="O860" s="447"/>
      <c r="P860" s="447"/>
      <c r="Q860" s="447"/>
      <c r="R860" s="447"/>
      <c r="S860" s="447"/>
      <c r="T860" s="447"/>
      <c r="U860" s="447"/>
      <c r="V860" s="447"/>
      <c r="W860" s="447"/>
      <c r="X860" s="447"/>
      <c r="Y860" s="447"/>
      <c r="Z860" s="447"/>
      <c r="AA860" s="447"/>
      <c r="AB860" s="447"/>
      <c r="AC860" s="447"/>
      <c r="AD860" s="447"/>
      <c r="AE860" s="447"/>
      <c r="AF860" s="448"/>
      <c r="AG860" s="448"/>
      <c r="AH860" s="448"/>
      <c r="AI860" s="447"/>
      <c r="AJ860" s="447"/>
      <c r="AK860" s="447"/>
      <c r="AL860" s="447"/>
      <c r="AM860" s="447"/>
      <c r="AN860" s="447"/>
      <c r="AO860" s="447"/>
      <c r="AP860" s="447"/>
      <c r="AQ860" s="447"/>
      <c r="AR860" s="447"/>
      <c r="AS860" s="447"/>
      <c r="AT860" s="447"/>
      <c r="AU860" s="447"/>
      <c r="AV860" s="447"/>
      <c r="AW860" s="447"/>
      <c r="AX860" s="447"/>
      <c r="AY860" s="447"/>
      <c r="AZ860" s="447"/>
      <c r="BA860" s="447"/>
      <c r="BB860" s="447"/>
      <c r="BC860" s="447"/>
      <c r="BD860" s="447"/>
      <c r="BE860" s="447"/>
      <c r="BF860" s="447"/>
      <c r="BG860" s="447"/>
      <c r="BH860" s="447"/>
      <c r="BI860" s="447"/>
      <c r="BJ860" s="447"/>
      <c r="BK860" s="447"/>
      <c r="BL860" s="447"/>
      <c r="BM860" s="448"/>
      <c r="BN860" s="448"/>
    </row>
    <row r="861" spans="1:66" ht="11.25" customHeight="1">
      <c r="A861" s="469"/>
      <c r="B861" s="447"/>
      <c r="C861" s="447"/>
      <c r="D861" s="447"/>
      <c r="E861" s="447"/>
      <c r="F861" s="447"/>
      <c r="G861" s="447"/>
      <c r="H861" s="447"/>
      <c r="I861" s="447"/>
      <c r="J861" s="447"/>
      <c r="K861" s="447"/>
      <c r="L861" s="447"/>
      <c r="M861" s="447"/>
      <c r="N861" s="447"/>
      <c r="O861" s="447"/>
      <c r="P861" s="447"/>
      <c r="Q861" s="447"/>
      <c r="R861" s="447"/>
      <c r="S861" s="447"/>
      <c r="T861" s="447"/>
      <c r="U861" s="447"/>
      <c r="V861" s="447"/>
      <c r="W861" s="447"/>
      <c r="X861" s="447"/>
      <c r="Y861" s="447"/>
      <c r="Z861" s="447"/>
      <c r="AA861" s="447"/>
      <c r="AB861" s="447"/>
      <c r="AC861" s="447"/>
      <c r="AD861" s="447"/>
      <c r="AE861" s="447"/>
      <c r="AF861" s="448"/>
      <c r="AG861" s="448"/>
      <c r="AH861" s="448"/>
      <c r="AI861" s="447"/>
      <c r="AJ861" s="447"/>
      <c r="AK861" s="447"/>
      <c r="AL861" s="447"/>
      <c r="AM861" s="447"/>
      <c r="AN861" s="447"/>
      <c r="AO861" s="447"/>
      <c r="AP861" s="447"/>
      <c r="AQ861" s="447"/>
      <c r="AR861" s="447"/>
      <c r="AS861" s="447"/>
      <c r="AT861" s="447"/>
      <c r="AU861" s="447"/>
      <c r="AV861" s="447"/>
      <c r="AW861" s="447"/>
      <c r="AX861" s="447"/>
      <c r="AY861" s="447"/>
      <c r="AZ861" s="447"/>
      <c r="BA861" s="447"/>
      <c r="BB861" s="447"/>
      <c r="BC861" s="447"/>
      <c r="BD861" s="447"/>
      <c r="BE861" s="447"/>
      <c r="BF861" s="447"/>
      <c r="BG861" s="447"/>
      <c r="BH861" s="447"/>
      <c r="BI861" s="447"/>
      <c r="BJ861" s="447"/>
      <c r="BK861" s="447"/>
      <c r="BL861" s="447"/>
      <c r="BM861" s="448"/>
      <c r="BN861" s="448"/>
    </row>
    <row r="862" spans="1:66" ht="11.25" customHeight="1">
      <c r="A862" s="469"/>
      <c r="B862" s="447"/>
      <c r="C862" s="447"/>
      <c r="D862" s="447"/>
      <c r="E862" s="447"/>
      <c r="F862" s="447"/>
      <c r="G862" s="447"/>
      <c r="H862" s="447"/>
      <c r="I862" s="447"/>
      <c r="J862" s="447"/>
      <c r="K862" s="447"/>
      <c r="L862" s="447"/>
      <c r="M862" s="447"/>
      <c r="N862" s="447"/>
      <c r="O862" s="447"/>
      <c r="P862" s="447"/>
      <c r="Q862" s="447"/>
      <c r="R862" s="447"/>
      <c r="S862" s="447"/>
      <c r="T862" s="447"/>
      <c r="U862" s="447"/>
      <c r="V862" s="447"/>
      <c r="W862" s="447"/>
      <c r="X862" s="447"/>
      <c r="Y862" s="447"/>
      <c r="Z862" s="447"/>
      <c r="AA862" s="447"/>
      <c r="AB862" s="447"/>
      <c r="AC862" s="447"/>
      <c r="AD862" s="447"/>
      <c r="AE862" s="447"/>
      <c r="AF862" s="448"/>
      <c r="AG862" s="448"/>
      <c r="AH862" s="448"/>
      <c r="AI862" s="447"/>
      <c r="AJ862" s="447"/>
      <c r="AK862" s="447"/>
      <c r="AL862" s="447"/>
      <c r="AM862" s="447"/>
      <c r="AN862" s="447"/>
      <c r="AO862" s="447"/>
      <c r="AP862" s="447"/>
      <c r="AQ862" s="447"/>
      <c r="AR862" s="447"/>
      <c r="AS862" s="447"/>
      <c r="AT862" s="447"/>
      <c r="AU862" s="447"/>
      <c r="AV862" s="447"/>
      <c r="AW862" s="447"/>
      <c r="AX862" s="447"/>
      <c r="AY862" s="447"/>
      <c r="AZ862" s="447"/>
      <c r="BA862" s="447"/>
      <c r="BB862" s="447"/>
      <c r="BC862" s="447"/>
      <c r="BD862" s="447"/>
      <c r="BE862" s="447"/>
      <c r="BF862" s="447"/>
      <c r="BG862" s="447"/>
      <c r="BH862" s="447"/>
      <c r="BI862" s="447"/>
      <c r="BJ862" s="447"/>
      <c r="BK862" s="447"/>
      <c r="BL862" s="447"/>
      <c r="BM862" s="448"/>
      <c r="BN862" s="448"/>
    </row>
    <row r="863" spans="1:66" ht="11.25" customHeight="1">
      <c r="A863" s="469"/>
      <c r="B863" s="447"/>
      <c r="C863" s="447"/>
      <c r="D863" s="447"/>
      <c r="E863" s="447"/>
      <c r="F863" s="447"/>
      <c r="G863" s="447"/>
      <c r="H863" s="447"/>
      <c r="I863" s="447"/>
      <c r="J863" s="447"/>
      <c r="K863" s="447"/>
      <c r="L863" s="447"/>
      <c r="M863" s="447"/>
      <c r="N863" s="447"/>
      <c r="O863" s="447"/>
      <c r="P863" s="447"/>
      <c r="Q863" s="447"/>
      <c r="R863" s="447"/>
      <c r="S863" s="447"/>
      <c r="T863" s="447"/>
      <c r="U863" s="447"/>
      <c r="V863" s="447"/>
      <c r="W863" s="447"/>
      <c r="X863" s="447"/>
      <c r="Y863" s="447"/>
      <c r="Z863" s="447"/>
      <c r="AA863" s="447"/>
      <c r="AB863" s="447"/>
      <c r="AC863" s="447"/>
      <c r="AD863" s="447"/>
      <c r="AE863" s="447"/>
      <c r="AF863" s="448"/>
      <c r="AG863" s="448"/>
      <c r="AH863" s="448"/>
      <c r="AI863" s="447"/>
      <c r="AJ863" s="447"/>
      <c r="AK863" s="447"/>
      <c r="AL863" s="447"/>
      <c r="AM863" s="447"/>
      <c r="AN863" s="447"/>
      <c r="AO863" s="447"/>
      <c r="AP863" s="447"/>
      <c r="AQ863" s="447"/>
      <c r="AR863" s="447"/>
      <c r="AS863" s="447"/>
      <c r="AT863" s="447"/>
      <c r="AU863" s="447"/>
      <c r="AV863" s="447"/>
      <c r="AW863" s="447"/>
      <c r="AX863" s="447"/>
      <c r="AY863" s="447"/>
      <c r="AZ863" s="447"/>
      <c r="BA863" s="447"/>
      <c r="BB863" s="447"/>
      <c r="BC863" s="447"/>
      <c r="BD863" s="447"/>
      <c r="BE863" s="447"/>
      <c r="BF863" s="447"/>
      <c r="BG863" s="447"/>
      <c r="BH863" s="447"/>
      <c r="BI863" s="447"/>
      <c r="BJ863" s="447"/>
      <c r="BK863" s="447"/>
      <c r="BL863" s="447"/>
      <c r="BM863" s="448"/>
      <c r="BN863" s="448"/>
    </row>
    <row r="864" spans="1:66" ht="11.25" customHeight="1">
      <c r="A864" s="469"/>
      <c r="B864" s="447"/>
      <c r="C864" s="447"/>
      <c r="D864" s="447"/>
      <c r="E864" s="447"/>
      <c r="F864" s="447"/>
      <c r="G864" s="447"/>
      <c r="H864" s="447"/>
      <c r="I864" s="447"/>
      <c r="J864" s="447"/>
      <c r="K864" s="447"/>
      <c r="L864" s="447"/>
      <c r="M864" s="447"/>
      <c r="N864" s="447"/>
      <c r="O864" s="447"/>
      <c r="P864" s="447"/>
      <c r="Q864" s="447"/>
      <c r="R864" s="447"/>
      <c r="S864" s="447"/>
      <c r="T864" s="447"/>
      <c r="U864" s="447"/>
      <c r="V864" s="447"/>
      <c r="W864" s="447"/>
      <c r="X864" s="447"/>
      <c r="Y864" s="447"/>
      <c r="Z864" s="447"/>
      <c r="AA864" s="447"/>
      <c r="AB864" s="447"/>
      <c r="AC864" s="447"/>
      <c r="AD864" s="447"/>
      <c r="AE864" s="447"/>
      <c r="AF864" s="448"/>
      <c r="AG864" s="448"/>
      <c r="AH864" s="448"/>
      <c r="AI864" s="447"/>
      <c r="AJ864" s="447"/>
      <c r="AK864" s="447"/>
      <c r="AL864" s="447"/>
      <c r="AM864" s="447"/>
      <c r="AN864" s="447"/>
      <c r="AO864" s="447"/>
      <c r="AP864" s="447"/>
      <c r="AQ864" s="447"/>
      <c r="AR864" s="447"/>
      <c r="AS864" s="447"/>
      <c r="AT864" s="447"/>
      <c r="AU864" s="447"/>
      <c r="AV864" s="447"/>
      <c r="AW864" s="447"/>
      <c r="AX864" s="447"/>
      <c r="AY864" s="447"/>
      <c r="AZ864" s="447"/>
      <c r="BA864" s="447"/>
      <c r="BB864" s="447"/>
      <c r="BC864" s="447"/>
      <c r="BD864" s="447"/>
      <c r="BE864" s="447"/>
      <c r="BF864" s="447"/>
      <c r="BG864" s="447"/>
      <c r="BH864" s="447"/>
      <c r="BI864" s="447"/>
      <c r="BJ864" s="447"/>
      <c r="BK864" s="447"/>
      <c r="BL864" s="447"/>
      <c r="BM864" s="448"/>
      <c r="BN864" s="448"/>
    </row>
    <row r="865" spans="1:66" ht="11.25" customHeight="1">
      <c r="A865" s="469"/>
      <c r="B865" s="447"/>
      <c r="C865" s="447"/>
      <c r="D865" s="447"/>
      <c r="E865" s="447"/>
      <c r="F865" s="447"/>
      <c r="G865" s="447"/>
      <c r="H865" s="447"/>
      <c r="I865" s="447"/>
      <c r="J865" s="447"/>
      <c r="K865" s="447"/>
      <c r="L865" s="447"/>
      <c r="M865" s="447"/>
      <c r="N865" s="447"/>
      <c r="O865" s="447"/>
      <c r="P865" s="447"/>
      <c r="Q865" s="447"/>
      <c r="R865" s="447"/>
      <c r="S865" s="447"/>
      <c r="T865" s="447"/>
      <c r="U865" s="447"/>
      <c r="V865" s="447"/>
      <c r="W865" s="447"/>
      <c r="X865" s="447"/>
      <c r="Y865" s="447"/>
      <c r="Z865" s="447"/>
      <c r="AA865" s="447"/>
      <c r="AB865" s="447"/>
      <c r="AC865" s="447"/>
      <c r="AD865" s="447"/>
      <c r="AE865" s="447"/>
      <c r="AF865" s="448"/>
      <c r="AG865" s="448"/>
      <c r="AH865" s="448"/>
      <c r="AI865" s="447"/>
      <c r="AJ865" s="447"/>
      <c r="AK865" s="447"/>
      <c r="AL865" s="447"/>
      <c r="AM865" s="447"/>
      <c r="AN865" s="447"/>
      <c r="AO865" s="447"/>
      <c r="AP865" s="447"/>
      <c r="AQ865" s="447"/>
      <c r="AR865" s="447"/>
      <c r="AS865" s="447"/>
      <c r="AT865" s="447"/>
      <c r="AU865" s="447"/>
      <c r="AV865" s="447"/>
      <c r="AW865" s="447"/>
      <c r="AX865" s="447"/>
      <c r="AY865" s="447"/>
      <c r="AZ865" s="447"/>
      <c r="BA865" s="447"/>
      <c r="BB865" s="447"/>
      <c r="BC865" s="447"/>
      <c r="BD865" s="447"/>
      <c r="BE865" s="447"/>
      <c r="BF865" s="447"/>
      <c r="BG865" s="447"/>
      <c r="BH865" s="447"/>
      <c r="BI865" s="447"/>
      <c r="BJ865" s="447"/>
      <c r="BK865" s="447"/>
      <c r="BL865" s="447"/>
      <c r="BM865" s="448"/>
      <c r="BN865" s="448"/>
    </row>
    <row r="866" spans="1:66" ht="11.25" customHeight="1">
      <c r="A866" s="469"/>
      <c r="B866" s="447"/>
      <c r="C866" s="447"/>
      <c r="D866" s="447"/>
      <c r="E866" s="447"/>
      <c r="F866" s="447"/>
      <c r="G866" s="447"/>
      <c r="H866" s="447"/>
      <c r="I866" s="447"/>
      <c r="J866" s="447"/>
      <c r="K866" s="447"/>
      <c r="L866" s="447"/>
      <c r="M866" s="447"/>
      <c r="N866" s="447"/>
      <c r="O866" s="447"/>
      <c r="P866" s="447"/>
      <c r="Q866" s="447"/>
      <c r="R866" s="447"/>
      <c r="S866" s="447"/>
      <c r="T866" s="447"/>
      <c r="U866" s="447"/>
      <c r="V866" s="447"/>
      <c r="W866" s="447"/>
      <c r="X866" s="447"/>
      <c r="Y866" s="447"/>
      <c r="Z866" s="447"/>
      <c r="AA866" s="447"/>
      <c r="AB866" s="447"/>
      <c r="AC866" s="447"/>
      <c r="AD866" s="447"/>
      <c r="AE866" s="447"/>
      <c r="AF866" s="448"/>
      <c r="AG866" s="448"/>
      <c r="AH866" s="448"/>
      <c r="AI866" s="447"/>
      <c r="AJ866" s="447"/>
      <c r="AK866" s="447"/>
      <c r="AL866" s="447"/>
      <c r="AM866" s="447"/>
      <c r="AN866" s="447"/>
      <c r="AO866" s="447"/>
      <c r="AP866" s="447"/>
      <c r="AQ866" s="447"/>
      <c r="AR866" s="447"/>
      <c r="AS866" s="447"/>
      <c r="AT866" s="447"/>
      <c r="AU866" s="447"/>
      <c r="AV866" s="447"/>
      <c r="AW866" s="447"/>
      <c r="AX866" s="447"/>
      <c r="AY866" s="447"/>
      <c r="AZ866" s="447"/>
      <c r="BA866" s="447"/>
      <c r="BB866" s="447"/>
      <c r="BC866" s="447"/>
      <c r="BD866" s="447"/>
      <c r="BE866" s="447"/>
      <c r="BF866" s="447"/>
      <c r="BG866" s="447"/>
      <c r="BH866" s="447"/>
      <c r="BI866" s="447"/>
      <c r="BJ866" s="447"/>
      <c r="BK866" s="447"/>
      <c r="BL866" s="447"/>
      <c r="BM866" s="448"/>
      <c r="BN866" s="448"/>
    </row>
    <row r="867" spans="1:66" ht="11.25" customHeight="1">
      <c r="A867" s="469"/>
      <c r="B867" s="447"/>
      <c r="C867" s="447"/>
      <c r="D867" s="447"/>
      <c r="E867" s="447"/>
      <c r="F867" s="447"/>
      <c r="G867" s="447"/>
      <c r="H867" s="447"/>
      <c r="I867" s="447"/>
      <c r="J867" s="447"/>
      <c r="K867" s="447"/>
      <c r="L867" s="447"/>
      <c r="M867" s="447"/>
      <c r="N867" s="447"/>
      <c r="O867" s="447"/>
      <c r="P867" s="447"/>
      <c r="Q867" s="447"/>
      <c r="R867" s="447"/>
      <c r="S867" s="447"/>
      <c r="T867" s="447"/>
      <c r="U867" s="447"/>
      <c r="V867" s="447"/>
      <c r="W867" s="447"/>
      <c r="X867" s="447"/>
      <c r="Y867" s="447"/>
      <c r="Z867" s="447"/>
      <c r="AA867" s="447"/>
      <c r="AB867" s="447"/>
      <c r="AC867" s="447"/>
      <c r="AD867" s="447"/>
      <c r="AE867" s="447"/>
      <c r="AF867" s="448"/>
      <c r="AG867" s="448"/>
      <c r="AH867" s="448"/>
      <c r="AI867" s="447"/>
      <c r="AJ867" s="447"/>
      <c r="AK867" s="447"/>
      <c r="AL867" s="447"/>
      <c r="AM867" s="447"/>
      <c r="AN867" s="447"/>
      <c r="AO867" s="447"/>
      <c r="AP867" s="447"/>
      <c r="AQ867" s="447"/>
      <c r="AR867" s="447"/>
      <c r="AS867" s="447"/>
      <c r="AT867" s="447"/>
      <c r="AU867" s="447"/>
      <c r="AV867" s="447"/>
      <c r="AW867" s="447"/>
      <c r="AX867" s="447"/>
      <c r="AY867" s="447"/>
      <c r="AZ867" s="447"/>
      <c r="BA867" s="447"/>
      <c r="BB867" s="447"/>
      <c r="BC867" s="447"/>
      <c r="BD867" s="447"/>
      <c r="BE867" s="447"/>
      <c r="BF867" s="447"/>
      <c r="BG867" s="447"/>
      <c r="BH867" s="447"/>
      <c r="BI867" s="447"/>
      <c r="BJ867" s="447"/>
      <c r="BK867" s="447"/>
      <c r="BL867" s="447"/>
      <c r="BM867" s="448"/>
      <c r="BN867" s="448"/>
    </row>
    <row r="868" spans="1:66" ht="11.25" customHeight="1">
      <c r="A868" s="469"/>
      <c r="B868" s="447"/>
      <c r="C868" s="447"/>
      <c r="D868" s="447"/>
      <c r="E868" s="447"/>
      <c r="F868" s="447"/>
      <c r="G868" s="447"/>
      <c r="H868" s="447"/>
      <c r="I868" s="447"/>
      <c r="J868" s="447"/>
      <c r="K868" s="447"/>
      <c r="L868" s="447"/>
      <c r="M868" s="447"/>
      <c r="N868" s="447"/>
      <c r="O868" s="447"/>
      <c r="P868" s="447"/>
      <c r="Q868" s="447"/>
      <c r="R868" s="447"/>
      <c r="S868" s="447"/>
      <c r="T868" s="447"/>
      <c r="U868" s="447"/>
      <c r="V868" s="447"/>
      <c r="W868" s="447"/>
      <c r="X868" s="447"/>
      <c r="Y868" s="447"/>
      <c r="Z868" s="447"/>
      <c r="AA868" s="447"/>
      <c r="AB868" s="447"/>
      <c r="AC868" s="447"/>
      <c r="AD868" s="447"/>
      <c r="AE868" s="447"/>
      <c r="AF868" s="448"/>
      <c r="AG868" s="448"/>
      <c r="AH868" s="448"/>
      <c r="AI868" s="447"/>
      <c r="AJ868" s="447"/>
      <c r="AK868" s="447"/>
      <c r="AL868" s="447"/>
      <c r="AM868" s="447"/>
      <c r="AN868" s="447"/>
      <c r="AO868" s="447"/>
      <c r="AP868" s="447"/>
      <c r="AQ868" s="447"/>
      <c r="AR868" s="447"/>
      <c r="AS868" s="447"/>
      <c r="AT868" s="447"/>
      <c r="AU868" s="447"/>
      <c r="AV868" s="447"/>
      <c r="AW868" s="447"/>
      <c r="AX868" s="447"/>
      <c r="AY868" s="447"/>
      <c r="AZ868" s="447"/>
      <c r="BA868" s="447"/>
      <c r="BB868" s="447"/>
      <c r="BC868" s="447"/>
      <c r="BD868" s="447"/>
      <c r="BE868" s="447"/>
      <c r="BF868" s="447"/>
      <c r="BG868" s="447"/>
      <c r="BH868" s="447"/>
      <c r="BI868" s="447"/>
      <c r="BJ868" s="447"/>
      <c r="BK868" s="447"/>
      <c r="BL868" s="447"/>
      <c r="BM868" s="448"/>
      <c r="BN868" s="448"/>
    </row>
    <row r="869" spans="1:66" ht="11.25" customHeight="1">
      <c r="A869" s="469"/>
      <c r="B869" s="447"/>
      <c r="C869" s="447"/>
      <c r="D869" s="447"/>
      <c r="E869" s="447"/>
      <c r="F869" s="447"/>
      <c r="G869" s="447"/>
      <c r="H869" s="447"/>
      <c r="I869" s="447"/>
      <c r="J869" s="447"/>
      <c r="K869" s="447"/>
      <c r="L869" s="447"/>
      <c r="M869" s="447"/>
      <c r="N869" s="447"/>
      <c r="O869" s="447"/>
      <c r="P869" s="447"/>
      <c r="Q869" s="447"/>
      <c r="R869" s="447"/>
      <c r="S869" s="447"/>
      <c r="T869" s="447"/>
      <c r="U869" s="447"/>
      <c r="V869" s="447"/>
      <c r="W869" s="447"/>
      <c r="X869" s="447"/>
      <c r="Y869" s="447"/>
      <c r="Z869" s="447"/>
      <c r="AA869" s="447"/>
      <c r="AB869" s="447"/>
      <c r="AC869" s="447"/>
      <c r="AD869" s="447"/>
      <c r="AE869" s="447"/>
      <c r="AF869" s="448"/>
      <c r="AG869" s="448"/>
      <c r="AH869" s="448"/>
      <c r="AI869" s="447"/>
      <c r="AJ869" s="447"/>
      <c r="AK869" s="447"/>
      <c r="AL869" s="447"/>
      <c r="AM869" s="447"/>
      <c r="AN869" s="447"/>
      <c r="AO869" s="447"/>
      <c r="AP869" s="447"/>
      <c r="AQ869" s="447"/>
      <c r="AR869" s="447"/>
      <c r="AS869" s="447"/>
      <c r="AT869" s="447"/>
      <c r="AU869" s="447"/>
      <c r="AV869" s="447"/>
      <c r="AW869" s="447"/>
      <c r="AX869" s="447"/>
      <c r="AY869" s="447"/>
      <c r="AZ869" s="447"/>
      <c r="BA869" s="447"/>
      <c r="BB869" s="447"/>
      <c r="BC869" s="447"/>
      <c r="BD869" s="447"/>
      <c r="BE869" s="447"/>
      <c r="BF869" s="447"/>
      <c r="BG869" s="447"/>
      <c r="BH869" s="447"/>
      <c r="BI869" s="447"/>
      <c r="BJ869" s="447"/>
      <c r="BK869" s="447"/>
      <c r="BL869" s="447"/>
      <c r="BM869" s="448"/>
      <c r="BN869" s="448"/>
    </row>
    <row r="870" spans="1:66" ht="11.25" customHeight="1">
      <c r="A870" s="469"/>
      <c r="B870" s="447"/>
      <c r="C870" s="447"/>
      <c r="D870" s="447"/>
      <c r="E870" s="447"/>
      <c r="F870" s="447"/>
      <c r="G870" s="447"/>
      <c r="H870" s="447"/>
      <c r="I870" s="447"/>
      <c r="J870" s="447"/>
      <c r="K870" s="447"/>
      <c r="L870" s="447"/>
      <c r="M870" s="447"/>
      <c r="N870" s="447"/>
      <c r="O870" s="447"/>
      <c r="P870" s="447"/>
      <c r="Q870" s="447"/>
      <c r="R870" s="447"/>
      <c r="S870" s="447"/>
      <c r="T870" s="447"/>
      <c r="U870" s="447"/>
      <c r="V870" s="447"/>
      <c r="W870" s="447"/>
      <c r="X870" s="447"/>
      <c r="Y870" s="447"/>
      <c r="Z870" s="447"/>
      <c r="AA870" s="447"/>
      <c r="AB870" s="447"/>
      <c r="AC870" s="447"/>
      <c r="AD870" s="447"/>
      <c r="AE870" s="447"/>
      <c r="AF870" s="448"/>
      <c r="AG870" s="448"/>
      <c r="AH870" s="448"/>
      <c r="AI870" s="447"/>
      <c r="AJ870" s="447"/>
      <c r="AK870" s="447"/>
      <c r="AL870" s="447"/>
      <c r="AM870" s="447"/>
      <c r="AN870" s="447"/>
      <c r="AO870" s="447"/>
      <c r="AP870" s="447"/>
      <c r="AQ870" s="447"/>
      <c r="AR870" s="447"/>
      <c r="AS870" s="447"/>
      <c r="AT870" s="447"/>
      <c r="AU870" s="447"/>
      <c r="AV870" s="447"/>
      <c r="AW870" s="447"/>
      <c r="AX870" s="447"/>
      <c r="AY870" s="447"/>
      <c r="AZ870" s="447"/>
      <c r="BA870" s="447"/>
      <c r="BB870" s="447"/>
      <c r="BC870" s="447"/>
      <c r="BD870" s="447"/>
      <c r="BE870" s="447"/>
      <c r="BF870" s="447"/>
      <c r="BG870" s="447"/>
      <c r="BH870" s="447"/>
      <c r="BI870" s="447"/>
      <c r="BJ870" s="447"/>
      <c r="BK870" s="447"/>
      <c r="BL870" s="447"/>
      <c r="BM870" s="448"/>
      <c r="BN870" s="448"/>
    </row>
    <row r="871" spans="1:66" ht="11.25" customHeight="1">
      <c r="A871" s="469"/>
      <c r="B871" s="447"/>
      <c r="C871" s="447"/>
      <c r="D871" s="447"/>
      <c r="E871" s="447"/>
      <c r="F871" s="447"/>
      <c r="G871" s="447"/>
      <c r="H871" s="447"/>
      <c r="I871" s="447"/>
      <c r="J871" s="447"/>
      <c r="K871" s="447"/>
      <c r="L871" s="447"/>
      <c r="M871" s="447"/>
      <c r="N871" s="447"/>
      <c r="O871" s="447"/>
      <c r="P871" s="447"/>
      <c r="Q871" s="447"/>
      <c r="R871" s="447"/>
      <c r="S871" s="447"/>
      <c r="T871" s="447"/>
      <c r="U871" s="447"/>
      <c r="V871" s="447"/>
      <c r="W871" s="447"/>
      <c r="X871" s="447"/>
      <c r="Y871" s="447"/>
      <c r="Z871" s="447"/>
      <c r="AA871" s="447"/>
      <c r="AB871" s="447"/>
      <c r="AC871" s="447"/>
      <c r="AD871" s="447"/>
      <c r="AE871" s="447"/>
      <c r="AF871" s="448"/>
      <c r="AG871" s="448"/>
      <c r="AH871" s="448"/>
      <c r="AI871" s="447"/>
      <c r="AJ871" s="447"/>
      <c r="AK871" s="447"/>
      <c r="AL871" s="447"/>
      <c r="AM871" s="447"/>
      <c r="AN871" s="447"/>
      <c r="AO871" s="447"/>
      <c r="AP871" s="447"/>
      <c r="AQ871" s="447"/>
      <c r="AR871" s="447"/>
      <c r="AS871" s="447"/>
      <c r="AT871" s="447"/>
      <c r="AU871" s="447"/>
      <c r="AV871" s="447"/>
      <c r="AW871" s="447"/>
      <c r="AX871" s="447"/>
      <c r="AY871" s="447"/>
      <c r="AZ871" s="447"/>
      <c r="BA871" s="447"/>
      <c r="BB871" s="447"/>
      <c r="BC871" s="447"/>
      <c r="BD871" s="447"/>
      <c r="BE871" s="447"/>
      <c r="BF871" s="447"/>
      <c r="BG871" s="447"/>
      <c r="BH871" s="447"/>
      <c r="BI871" s="447"/>
      <c r="BJ871" s="447"/>
      <c r="BK871" s="447"/>
      <c r="BL871" s="447"/>
      <c r="BM871" s="448"/>
      <c r="BN871" s="448"/>
    </row>
    <row r="872" spans="1:66" ht="11.25" customHeight="1">
      <c r="A872" s="469"/>
      <c r="B872" s="447"/>
      <c r="C872" s="447"/>
      <c r="D872" s="447"/>
      <c r="E872" s="447"/>
      <c r="F872" s="447"/>
      <c r="G872" s="447"/>
      <c r="H872" s="447"/>
      <c r="I872" s="447"/>
      <c r="J872" s="447"/>
      <c r="K872" s="447"/>
      <c r="L872" s="447"/>
      <c r="M872" s="447"/>
      <c r="N872" s="447"/>
      <c r="O872" s="447"/>
      <c r="P872" s="447"/>
      <c r="Q872" s="447"/>
      <c r="R872" s="447"/>
      <c r="S872" s="447"/>
      <c r="T872" s="447"/>
      <c r="U872" s="447"/>
      <c r="V872" s="447"/>
      <c r="W872" s="447"/>
      <c r="X872" s="447"/>
      <c r="Y872" s="447"/>
      <c r="Z872" s="447"/>
      <c r="AA872" s="447"/>
      <c r="AB872" s="447"/>
      <c r="AC872" s="447"/>
      <c r="AD872" s="447"/>
      <c r="AE872" s="447"/>
      <c r="AF872" s="448"/>
      <c r="AG872" s="448"/>
      <c r="AH872" s="448"/>
      <c r="AI872" s="447"/>
      <c r="AJ872" s="447"/>
      <c r="AK872" s="447"/>
      <c r="AL872" s="447"/>
      <c r="AM872" s="447"/>
      <c r="AN872" s="447"/>
      <c r="AO872" s="447"/>
      <c r="AP872" s="447"/>
      <c r="AQ872" s="447"/>
      <c r="AR872" s="447"/>
      <c r="AS872" s="447"/>
      <c r="AT872" s="447"/>
      <c r="AU872" s="447"/>
      <c r="AV872" s="447"/>
      <c r="AW872" s="447"/>
      <c r="AX872" s="447"/>
      <c r="AY872" s="447"/>
      <c r="AZ872" s="447"/>
      <c r="BA872" s="447"/>
      <c r="BB872" s="447"/>
      <c r="BC872" s="447"/>
      <c r="BD872" s="447"/>
      <c r="BE872" s="447"/>
      <c r="BF872" s="447"/>
      <c r="BG872" s="447"/>
      <c r="BH872" s="447"/>
      <c r="BI872" s="447"/>
      <c r="BJ872" s="447"/>
      <c r="BK872" s="447"/>
      <c r="BL872" s="447"/>
      <c r="BM872" s="448"/>
      <c r="BN872" s="448"/>
    </row>
    <row r="873" spans="1:66" ht="11.25" customHeight="1">
      <c r="A873" s="469"/>
      <c r="B873" s="447"/>
      <c r="C873" s="447"/>
      <c r="D873" s="447"/>
      <c r="E873" s="447"/>
      <c r="F873" s="447"/>
      <c r="G873" s="447"/>
      <c r="H873" s="447"/>
      <c r="I873" s="447"/>
      <c r="J873" s="447"/>
      <c r="K873" s="447"/>
      <c r="L873" s="447"/>
      <c r="M873" s="447"/>
      <c r="N873" s="447"/>
      <c r="O873" s="447"/>
      <c r="P873" s="447"/>
      <c r="Q873" s="447"/>
      <c r="R873" s="447"/>
      <c r="S873" s="447"/>
      <c r="T873" s="447"/>
      <c r="U873" s="447"/>
      <c r="V873" s="447"/>
      <c r="W873" s="447"/>
      <c r="X873" s="447"/>
      <c r="Y873" s="447"/>
      <c r="Z873" s="447"/>
      <c r="AA873" s="447"/>
      <c r="AB873" s="447"/>
      <c r="AC873" s="447"/>
      <c r="AD873" s="447"/>
      <c r="AE873" s="447"/>
      <c r="AF873" s="448"/>
      <c r="AG873" s="448"/>
      <c r="AH873" s="448"/>
      <c r="AI873" s="447"/>
      <c r="AJ873" s="447"/>
      <c r="AK873" s="447"/>
      <c r="AL873" s="447"/>
      <c r="AM873" s="447"/>
      <c r="AN873" s="447"/>
      <c r="AO873" s="447"/>
      <c r="AP873" s="447"/>
      <c r="AQ873" s="447"/>
      <c r="AR873" s="447"/>
      <c r="AS873" s="447"/>
      <c r="AT873" s="447"/>
      <c r="AU873" s="447"/>
      <c r="AV873" s="447"/>
      <c r="AW873" s="447"/>
      <c r="AX873" s="447"/>
      <c r="AY873" s="447"/>
      <c r="AZ873" s="447"/>
      <c r="BA873" s="447"/>
      <c r="BB873" s="447"/>
      <c r="BC873" s="447"/>
      <c r="BD873" s="447"/>
      <c r="BE873" s="447"/>
      <c r="BF873" s="447"/>
      <c r="BG873" s="447"/>
      <c r="BH873" s="447"/>
      <c r="BI873" s="447"/>
      <c r="BJ873" s="447"/>
      <c r="BK873" s="447"/>
      <c r="BL873" s="447"/>
      <c r="BM873" s="448"/>
      <c r="BN873" s="448"/>
    </row>
    <row r="874" spans="1:66" ht="11.25" customHeight="1">
      <c r="A874" s="469"/>
      <c r="B874" s="447"/>
      <c r="C874" s="447"/>
      <c r="D874" s="447"/>
      <c r="E874" s="447"/>
      <c r="F874" s="447"/>
      <c r="G874" s="447"/>
      <c r="H874" s="447"/>
      <c r="I874" s="447"/>
      <c r="J874" s="447"/>
      <c r="K874" s="447"/>
      <c r="L874" s="447"/>
      <c r="M874" s="447"/>
      <c r="N874" s="447"/>
      <c r="O874" s="447"/>
      <c r="P874" s="447"/>
      <c r="Q874" s="447"/>
      <c r="R874" s="447"/>
      <c r="S874" s="447"/>
      <c r="T874" s="447"/>
      <c r="U874" s="447"/>
      <c r="V874" s="447"/>
      <c r="W874" s="447"/>
      <c r="X874" s="447"/>
      <c r="Y874" s="447"/>
      <c r="Z874" s="447"/>
      <c r="AA874" s="447"/>
      <c r="AB874" s="447"/>
      <c r="AC874" s="447"/>
      <c r="AD874" s="447"/>
      <c r="AE874" s="447"/>
      <c r="AF874" s="448"/>
      <c r="AG874" s="448"/>
      <c r="AH874" s="448"/>
      <c r="AI874" s="447"/>
      <c r="AJ874" s="447"/>
      <c r="AK874" s="447"/>
      <c r="AL874" s="447"/>
      <c r="AM874" s="447"/>
      <c r="AN874" s="447"/>
      <c r="AO874" s="447"/>
      <c r="AP874" s="447"/>
      <c r="AQ874" s="447"/>
      <c r="AR874" s="447"/>
      <c r="AS874" s="447"/>
      <c r="AT874" s="447"/>
      <c r="AU874" s="447"/>
      <c r="AV874" s="447"/>
      <c r="AW874" s="447"/>
      <c r="AX874" s="447"/>
      <c r="AY874" s="447"/>
      <c r="AZ874" s="447"/>
      <c r="BA874" s="447"/>
      <c r="BB874" s="447"/>
      <c r="BC874" s="447"/>
      <c r="BD874" s="447"/>
      <c r="BE874" s="447"/>
      <c r="BF874" s="447"/>
      <c r="BG874" s="447"/>
      <c r="BH874" s="447"/>
      <c r="BI874" s="447"/>
      <c r="BJ874" s="447"/>
      <c r="BK874" s="447"/>
      <c r="BL874" s="447"/>
      <c r="BM874" s="448"/>
      <c r="BN874" s="448"/>
    </row>
    <row r="875" spans="1:66" ht="11.25" customHeight="1">
      <c r="A875" s="469"/>
      <c r="B875" s="447"/>
      <c r="C875" s="447"/>
      <c r="D875" s="447"/>
      <c r="E875" s="447"/>
      <c r="F875" s="447"/>
      <c r="G875" s="447"/>
      <c r="H875" s="447"/>
      <c r="I875" s="447"/>
      <c r="J875" s="447"/>
      <c r="K875" s="447"/>
      <c r="L875" s="447"/>
      <c r="M875" s="447"/>
      <c r="N875" s="447"/>
      <c r="O875" s="447"/>
      <c r="P875" s="447"/>
      <c r="Q875" s="447"/>
      <c r="R875" s="447"/>
      <c r="S875" s="447"/>
      <c r="T875" s="447"/>
      <c r="U875" s="447"/>
      <c r="V875" s="447"/>
      <c r="W875" s="447"/>
      <c r="X875" s="447"/>
      <c r="Y875" s="447"/>
      <c r="Z875" s="447"/>
      <c r="AA875" s="447"/>
      <c r="AB875" s="447"/>
      <c r="AC875" s="447"/>
      <c r="AD875" s="447"/>
      <c r="AE875" s="447"/>
      <c r="AF875" s="448"/>
      <c r="AG875" s="448"/>
      <c r="AH875" s="448"/>
      <c r="AI875" s="447"/>
      <c r="AJ875" s="447"/>
      <c r="AK875" s="447"/>
      <c r="AL875" s="447"/>
      <c r="AM875" s="447"/>
      <c r="AN875" s="447"/>
      <c r="AO875" s="447"/>
      <c r="AP875" s="447"/>
      <c r="AQ875" s="447"/>
      <c r="AR875" s="447"/>
      <c r="AS875" s="447"/>
      <c r="AT875" s="447"/>
      <c r="AU875" s="447"/>
      <c r="AV875" s="447"/>
      <c r="AW875" s="447"/>
      <c r="AX875" s="447"/>
      <c r="AY875" s="447"/>
      <c r="AZ875" s="447"/>
      <c r="BA875" s="447"/>
      <c r="BB875" s="447"/>
      <c r="BC875" s="447"/>
      <c r="BD875" s="447"/>
      <c r="BE875" s="447"/>
      <c r="BF875" s="447"/>
      <c r="BG875" s="447"/>
      <c r="BH875" s="447"/>
      <c r="BI875" s="447"/>
      <c r="BJ875" s="447"/>
      <c r="BK875" s="447"/>
      <c r="BL875" s="447"/>
      <c r="BM875" s="448"/>
      <c r="BN875" s="448"/>
    </row>
    <row r="876" spans="1:66" ht="11.25" customHeight="1">
      <c r="A876" s="469"/>
      <c r="B876" s="447"/>
      <c r="C876" s="447"/>
      <c r="D876" s="447"/>
      <c r="E876" s="447"/>
      <c r="F876" s="447"/>
      <c r="G876" s="447"/>
      <c r="H876" s="447"/>
      <c r="I876" s="447"/>
      <c r="J876" s="447"/>
      <c r="K876" s="447"/>
      <c r="L876" s="447"/>
      <c r="M876" s="447"/>
      <c r="N876" s="447"/>
      <c r="O876" s="447"/>
      <c r="P876" s="447"/>
      <c r="Q876" s="447"/>
      <c r="R876" s="447"/>
      <c r="S876" s="447"/>
      <c r="T876" s="447"/>
      <c r="U876" s="447"/>
      <c r="V876" s="447"/>
      <c r="W876" s="447"/>
      <c r="X876" s="447"/>
      <c r="Y876" s="447"/>
      <c r="Z876" s="447"/>
      <c r="AA876" s="447"/>
      <c r="AB876" s="447"/>
      <c r="AC876" s="447"/>
      <c r="AD876" s="447"/>
      <c r="AE876" s="447"/>
      <c r="AF876" s="448"/>
      <c r="AG876" s="448"/>
      <c r="AH876" s="448"/>
      <c r="AI876" s="447"/>
      <c r="AJ876" s="447"/>
      <c r="AK876" s="447"/>
      <c r="AL876" s="447"/>
      <c r="AM876" s="447"/>
      <c r="AN876" s="447"/>
      <c r="AO876" s="447"/>
      <c r="AP876" s="447"/>
      <c r="AQ876" s="447"/>
      <c r="AR876" s="447"/>
      <c r="AS876" s="447"/>
      <c r="AT876" s="447"/>
      <c r="AU876" s="447"/>
      <c r="AV876" s="447"/>
      <c r="AW876" s="447"/>
      <c r="AX876" s="447"/>
      <c r="AY876" s="447"/>
      <c r="AZ876" s="447"/>
      <c r="BA876" s="447"/>
      <c r="BB876" s="447"/>
      <c r="BC876" s="447"/>
      <c r="BD876" s="447"/>
      <c r="BE876" s="447"/>
      <c r="BF876" s="447"/>
      <c r="BG876" s="447"/>
      <c r="BH876" s="447"/>
      <c r="BI876" s="447"/>
      <c r="BJ876" s="447"/>
      <c r="BK876" s="447"/>
      <c r="BL876" s="447"/>
      <c r="BM876" s="448"/>
      <c r="BN876" s="448"/>
    </row>
    <row r="877" spans="1:66" ht="11.25" customHeight="1">
      <c r="A877" s="469"/>
      <c r="B877" s="447"/>
      <c r="C877" s="447"/>
      <c r="D877" s="447"/>
      <c r="E877" s="447"/>
      <c r="F877" s="447"/>
      <c r="G877" s="447"/>
      <c r="H877" s="447"/>
      <c r="I877" s="447"/>
      <c r="J877" s="447"/>
      <c r="K877" s="447"/>
      <c r="L877" s="447"/>
      <c r="M877" s="447"/>
      <c r="N877" s="447"/>
      <c r="O877" s="447"/>
      <c r="P877" s="447"/>
      <c r="Q877" s="447"/>
      <c r="R877" s="447"/>
      <c r="S877" s="447"/>
      <c r="T877" s="447"/>
      <c r="U877" s="447"/>
      <c r="V877" s="447"/>
      <c r="W877" s="447"/>
      <c r="X877" s="447"/>
      <c r="Y877" s="447"/>
      <c r="Z877" s="447"/>
      <c r="AA877" s="447"/>
      <c r="AB877" s="447"/>
      <c r="AC877" s="447"/>
      <c r="AD877" s="447"/>
      <c r="AE877" s="447"/>
      <c r="AF877" s="448"/>
      <c r="AG877" s="448"/>
      <c r="AH877" s="448"/>
      <c r="AI877" s="447"/>
      <c r="AJ877" s="447"/>
      <c r="AK877" s="447"/>
      <c r="AL877" s="447"/>
      <c r="AM877" s="447"/>
      <c r="AN877" s="447"/>
      <c r="AO877" s="447"/>
      <c r="AP877" s="447"/>
      <c r="AQ877" s="447"/>
      <c r="AR877" s="447"/>
      <c r="AS877" s="447"/>
      <c r="AT877" s="447"/>
      <c r="AU877" s="447"/>
      <c r="AV877" s="447"/>
      <c r="AW877" s="447"/>
      <c r="AX877" s="447"/>
      <c r="AY877" s="447"/>
      <c r="AZ877" s="447"/>
      <c r="BA877" s="447"/>
      <c r="BB877" s="447"/>
      <c r="BC877" s="447"/>
      <c r="BD877" s="447"/>
      <c r="BE877" s="447"/>
      <c r="BF877" s="447"/>
      <c r="BG877" s="447"/>
      <c r="BH877" s="447"/>
      <c r="BI877" s="447"/>
      <c r="BJ877" s="447"/>
      <c r="BK877" s="447"/>
      <c r="BL877" s="447"/>
      <c r="BM877" s="448"/>
      <c r="BN877" s="448"/>
    </row>
    <row r="878" spans="1:66" ht="11.25" customHeight="1">
      <c r="A878" s="469"/>
      <c r="B878" s="447"/>
      <c r="C878" s="447"/>
      <c r="D878" s="447"/>
      <c r="E878" s="447"/>
      <c r="F878" s="447"/>
      <c r="G878" s="447"/>
      <c r="H878" s="447"/>
      <c r="I878" s="447"/>
      <c r="J878" s="447"/>
      <c r="K878" s="447"/>
      <c r="L878" s="447"/>
      <c r="M878" s="447"/>
      <c r="N878" s="447"/>
      <c r="O878" s="447"/>
      <c r="P878" s="447"/>
      <c r="Q878" s="447"/>
      <c r="R878" s="447"/>
      <c r="S878" s="447"/>
      <c r="T878" s="447"/>
      <c r="U878" s="447"/>
      <c r="V878" s="447"/>
      <c r="W878" s="447"/>
      <c r="X878" s="447"/>
      <c r="Y878" s="447"/>
      <c r="Z878" s="447"/>
      <c r="AA878" s="447"/>
      <c r="AB878" s="447"/>
      <c r="AC878" s="447"/>
      <c r="AD878" s="447"/>
      <c r="AE878" s="447"/>
      <c r="AF878" s="448"/>
      <c r="AG878" s="448"/>
      <c r="AH878" s="448"/>
      <c r="AI878" s="447"/>
      <c r="AJ878" s="447"/>
      <c r="AK878" s="447"/>
      <c r="AL878" s="447"/>
      <c r="AM878" s="447"/>
      <c r="AN878" s="447"/>
      <c r="AO878" s="447"/>
      <c r="AP878" s="447"/>
      <c r="AQ878" s="447"/>
      <c r="AR878" s="447"/>
      <c r="AS878" s="447"/>
      <c r="AT878" s="447"/>
      <c r="AU878" s="447"/>
      <c r="AV878" s="447"/>
      <c r="AW878" s="447"/>
      <c r="AX878" s="447"/>
      <c r="AY878" s="447"/>
      <c r="AZ878" s="447"/>
      <c r="BA878" s="447"/>
      <c r="BB878" s="447"/>
      <c r="BC878" s="447"/>
      <c r="BD878" s="447"/>
      <c r="BE878" s="447"/>
      <c r="BF878" s="447"/>
      <c r="BG878" s="447"/>
      <c r="BH878" s="447"/>
      <c r="BI878" s="447"/>
      <c r="BJ878" s="447"/>
      <c r="BK878" s="447"/>
      <c r="BL878" s="447"/>
      <c r="BM878" s="448"/>
      <c r="BN878" s="448"/>
    </row>
    <row r="879" spans="1:66" ht="11.25" customHeight="1">
      <c r="A879" s="469"/>
      <c r="B879" s="447"/>
      <c r="C879" s="447"/>
      <c r="D879" s="447"/>
      <c r="E879" s="447"/>
      <c r="F879" s="447"/>
      <c r="G879" s="447"/>
      <c r="H879" s="447"/>
      <c r="I879" s="447"/>
      <c r="J879" s="447"/>
      <c r="K879" s="447"/>
      <c r="L879" s="447"/>
      <c r="M879" s="447"/>
      <c r="N879" s="447"/>
      <c r="O879" s="447"/>
      <c r="P879" s="447"/>
      <c r="Q879" s="447"/>
      <c r="R879" s="447"/>
      <c r="S879" s="447"/>
      <c r="T879" s="447"/>
      <c r="U879" s="447"/>
      <c r="V879" s="447"/>
      <c r="W879" s="447"/>
      <c r="X879" s="447"/>
      <c r="Y879" s="447"/>
      <c r="Z879" s="447"/>
      <c r="AA879" s="447"/>
      <c r="AB879" s="447"/>
      <c r="AC879" s="447"/>
      <c r="AD879" s="447"/>
      <c r="AE879" s="447"/>
      <c r="AF879" s="448"/>
      <c r="AG879" s="448"/>
      <c r="AH879" s="448"/>
      <c r="AI879" s="447"/>
      <c r="AJ879" s="447"/>
      <c r="AK879" s="447"/>
      <c r="AL879" s="447"/>
      <c r="AM879" s="447"/>
      <c r="AN879" s="447"/>
      <c r="AO879" s="447"/>
      <c r="AP879" s="447"/>
      <c r="AQ879" s="447"/>
      <c r="AR879" s="447"/>
      <c r="AS879" s="447"/>
      <c r="AT879" s="447"/>
      <c r="AU879" s="447"/>
      <c r="AV879" s="447"/>
      <c r="AW879" s="447"/>
      <c r="AX879" s="447"/>
      <c r="AY879" s="447"/>
      <c r="AZ879" s="447"/>
      <c r="BA879" s="447"/>
      <c r="BB879" s="447"/>
      <c r="BC879" s="447"/>
      <c r="BD879" s="447"/>
      <c r="BE879" s="447"/>
      <c r="BF879" s="447"/>
      <c r="BG879" s="447"/>
      <c r="BH879" s="447"/>
      <c r="BI879" s="447"/>
      <c r="BJ879" s="447"/>
      <c r="BK879" s="447"/>
      <c r="BL879" s="447"/>
      <c r="BM879" s="448"/>
      <c r="BN879" s="448"/>
    </row>
    <row r="880" spans="1:66" ht="11.25" customHeight="1">
      <c r="A880" s="469"/>
      <c r="B880" s="447"/>
      <c r="C880" s="447"/>
      <c r="D880" s="447"/>
      <c r="E880" s="447"/>
      <c r="F880" s="447"/>
      <c r="G880" s="447"/>
      <c r="H880" s="447"/>
      <c r="I880" s="447"/>
      <c r="J880" s="447"/>
      <c r="K880" s="447"/>
      <c r="L880" s="447"/>
      <c r="M880" s="447"/>
      <c r="N880" s="447"/>
      <c r="O880" s="447"/>
      <c r="P880" s="447"/>
      <c r="Q880" s="447"/>
      <c r="R880" s="447"/>
      <c r="S880" s="447"/>
      <c r="T880" s="447"/>
      <c r="U880" s="447"/>
      <c r="V880" s="447"/>
      <c r="W880" s="447"/>
      <c r="X880" s="447"/>
      <c r="Y880" s="447"/>
      <c r="Z880" s="447"/>
      <c r="AA880" s="447"/>
      <c r="AB880" s="447"/>
      <c r="AC880" s="447"/>
      <c r="AD880" s="447"/>
      <c r="AE880" s="447"/>
      <c r="AF880" s="448"/>
      <c r="AG880" s="448"/>
      <c r="AH880" s="448"/>
      <c r="AI880" s="447"/>
      <c r="AJ880" s="447"/>
      <c r="AK880" s="447"/>
      <c r="AL880" s="447"/>
      <c r="AM880" s="447"/>
      <c r="AN880" s="447"/>
      <c r="AO880" s="447"/>
      <c r="AP880" s="447"/>
      <c r="AQ880" s="447"/>
      <c r="AR880" s="447"/>
      <c r="AS880" s="447"/>
      <c r="AT880" s="447"/>
      <c r="AU880" s="447"/>
      <c r="AV880" s="447"/>
      <c r="AW880" s="447"/>
      <c r="AX880" s="447"/>
      <c r="AY880" s="447"/>
      <c r="AZ880" s="447"/>
      <c r="BA880" s="447"/>
      <c r="BB880" s="447"/>
      <c r="BC880" s="447"/>
      <c r="BD880" s="447"/>
      <c r="BE880" s="447"/>
      <c r="BF880" s="447"/>
      <c r="BG880" s="447"/>
      <c r="BH880" s="447"/>
      <c r="BI880" s="447"/>
      <c r="BJ880" s="447"/>
      <c r="BK880" s="447"/>
      <c r="BL880" s="447"/>
      <c r="BM880" s="448"/>
      <c r="BN880" s="448"/>
    </row>
    <row r="881" spans="1:66" ht="11.25" customHeight="1">
      <c r="A881" s="469"/>
      <c r="B881" s="447"/>
      <c r="C881" s="447"/>
      <c r="D881" s="447"/>
      <c r="E881" s="447"/>
      <c r="F881" s="447"/>
      <c r="G881" s="447"/>
      <c r="H881" s="447"/>
      <c r="I881" s="447"/>
      <c r="J881" s="447"/>
      <c r="K881" s="447"/>
      <c r="L881" s="447"/>
      <c r="M881" s="447"/>
      <c r="N881" s="447"/>
      <c r="O881" s="447"/>
      <c r="P881" s="447"/>
      <c r="Q881" s="447"/>
      <c r="R881" s="447"/>
      <c r="S881" s="447"/>
      <c r="T881" s="447"/>
      <c r="U881" s="447"/>
      <c r="V881" s="447"/>
      <c r="W881" s="447"/>
      <c r="X881" s="447"/>
      <c r="Y881" s="447"/>
      <c r="Z881" s="447"/>
      <c r="AA881" s="447"/>
      <c r="AB881" s="447"/>
      <c r="AC881" s="447"/>
      <c r="AD881" s="447"/>
      <c r="AE881" s="447"/>
      <c r="AF881" s="448"/>
      <c r="AG881" s="448"/>
      <c r="AH881" s="448"/>
      <c r="AI881" s="447"/>
      <c r="AJ881" s="447"/>
      <c r="AK881" s="447"/>
      <c r="AL881" s="447"/>
      <c r="AM881" s="447"/>
      <c r="AN881" s="447"/>
      <c r="AO881" s="447"/>
      <c r="AP881" s="447"/>
      <c r="AQ881" s="447"/>
      <c r="AR881" s="447"/>
      <c r="AS881" s="447"/>
      <c r="AT881" s="447"/>
      <c r="AU881" s="447"/>
      <c r="AV881" s="447"/>
      <c r="AW881" s="447"/>
      <c r="AX881" s="447"/>
      <c r="AY881" s="447"/>
      <c r="AZ881" s="447"/>
      <c r="BA881" s="447"/>
      <c r="BB881" s="447"/>
      <c r="BC881" s="447"/>
      <c r="BD881" s="447"/>
      <c r="BE881" s="447"/>
      <c r="BF881" s="447"/>
      <c r="BG881" s="447"/>
      <c r="BH881" s="447"/>
      <c r="BI881" s="447"/>
      <c r="BJ881" s="447"/>
      <c r="BK881" s="447"/>
      <c r="BL881" s="447"/>
      <c r="BM881" s="448"/>
      <c r="BN881" s="448"/>
    </row>
    <row r="882" spans="1:66" ht="11.25" customHeight="1">
      <c r="A882" s="469"/>
      <c r="B882" s="447"/>
      <c r="C882" s="447"/>
      <c r="D882" s="447"/>
      <c r="E882" s="447"/>
      <c r="F882" s="447"/>
      <c r="G882" s="447"/>
      <c r="H882" s="447"/>
      <c r="I882" s="447"/>
      <c r="J882" s="447"/>
      <c r="K882" s="447"/>
      <c r="L882" s="447"/>
      <c r="M882" s="447"/>
      <c r="N882" s="447"/>
      <c r="O882" s="447"/>
      <c r="P882" s="447"/>
      <c r="Q882" s="447"/>
      <c r="R882" s="447"/>
      <c r="S882" s="447"/>
      <c r="T882" s="447"/>
      <c r="U882" s="447"/>
      <c r="V882" s="447"/>
      <c r="W882" s="447"/>
      <c r="X882" s="447"/>
      <c r="Y882" s="447"/>
      <c r="Z882" s="447"/>
      <c r="AA882" s="447"/>
      <c r="AB882" s="447"/>
      <c r="AC882" s="447"/>
      <c r="AD882" s="447"/>
      <c r="AE882" s="447"/>
      <c r="AF882" s="448"/>
      <c r="AG882" s="448"/>
      <c r="AH882" s="448"/>
      <c r="AI882" s="447"/>
      <c r="AJ882" s="447"/>
      <c r="AK882" s="447"/>
      <c r="AL882" s="447"/>
      <c r="AM882" s="447"/>
      <c r="AN882" s="447"/>
      <c r="AO882" s="447"/>
      <c r="AP882" s="447"/>
      <c r="AQ882" s="447"/>
      <c r="AR882" s="447"/>
      <c r="AS882" s="447"/>
      <c r="AT882" s="447"/>
      <c r="AU882" s="447"/>
      <c r="AV882" s="447"/>
      <c r="AW882" s="447"/>
      <c r="AX882" s="447"/>
      <c r="AY882" s="447"/>
      <c r="AZ882" s="447"/>
      <c r="BA882" s="447"/>
      <c r="BB882" s="447"/>
      <c r="BC882" s="447"/>
      <c r="BD882" s="447"/>
      <c r="BE882" s="447"/>
      <c r="BF882" s="447"/>
      <c r="BG882" s="447"/>
      <c r="BH882" s="447"/>
      <c r="BI882" s="447"/>
      <c r="BJ882" s="447"/>
      <c r="BK882" s="447"/>
      <c r="BL882" s="447"/>
      <c r="BM882" s="448"/>
      <c r="BN882" s="448"/>
    </row>
    <row r="883" spans="1:66" ht="11.25" customHeight="1">
      <c r="A883" s="469"/>
      <c r="B883" s="447"/>
      <c r="C883" s="447"/>
      <c r="D883" s="447"/>
      <c r="E883" s="447"/>
      <c r="F883" s="447"/>
      <c r="G883" s="447"/>
      <c r="H883" s="447"/>
      <c r="I883" s="447"/>
      <c r="J883" s="447"/>
      <c r="K883" s="447"/>
      <c r="L883" s="447"/>
      <c r="M883" s="447"/>
      <c r="N883" s="447"/>
      <c r="O883" s="447"/>
      <c r="P883" s="447"/>
      <c r="Q883" s="447"/>
      <c r="R883" s="447"/>
      <c r="S883" s="447"/>
      <c r="T883" s="447"/>
      <c r="U883" s="447"/>
      <c r="V883" s="447"/>
      <c r="W883" s="447"/>
      <c r="X883" s="447"/>
      <c r="Y883" s="447"/>
      <c r="Z883" s="447"/>
      <c r="AA883" s="447"/>
      <c r="AB883" s="447"/>
      <c r="AC883" s="447"/>
      <c r="AD883" s="447"/>
      <c r="AE883" s="447"/>
      <c r="AF883" s="448"/>
      <c r="AG883" s="448"/>
      <c r="AH883" s="448"/>
      <c r="AI883" s="447"/>
      <c r="AJ883" s="447"/>
      <c r="AK883" s="447"/>
      <c r="AL883" s="447"/>
      <c r="AM883" s="447"/>
      <c r="AN883" s="447"/>
      <c r="AO883" s="447"/>
      <c r="AP883" s="447"/>
      <c r="AQ883" s="447"/>
      <c r="AR883" s="447"/>
      <c r="AS883" s="447"/>
      <c r="AT883" s="447"/>
      <c r="AU883" s="447"/>
      <c r="AV883" s="447"/>
      <c r="AW883" s="447"/>
      <c r="AX883" s="447"/>
      <c r="AY883" s="447"/>
      <c r="AZ883" s="447"/>
      <c r="BA883" s="447"/>
      <c r="BB883" s="447"/>
      <c r="BC883" s="447"/>
      <c r="BD883" s="447"/>
      <c r="BE883" s="447"/>
      <c r="BF883" s="447"/>
      <c r="BG883" s="447"/>
      <c r="BH883" s="447"/>
      <c r="BI883" s="447"/>
      <c r="BJ883" s="447"/>
      <c r="BK883" s="447"/>
      <c r="BL883" s="447"/>
      <c r="BM883" s="448"/>
      <c r="BN883" s="448"/>
    </row>
    <row r="884" spans="1:66" ht="11.25" customHeight="1">
      <c r="A884" s="469"/>
      <c r="B884" s="447"/>
      <c r="C884" s="447"/>
      <c r="D884" s="447"/>
      <c r="E884" s="447"/>
      <c r="F884" s="447"/>
      <c r="G884" s="447"/>
      <c r="H884" s="447"/>
      <c r="I884" s="447"/>
      <c r="J884" s="447"/>
      <c r="K884" s="447"/>
      <c r="L884" s="447"/>
      <c r="M884" s="447"/>
      <c r="N884" s="447"/>
      <c r="O884" s="447"/>
      <c r="P884" s="447"/>
      <c r="Q884" s="447"/>
      <c r="R884" s="447"/>
      <c r="S884" s="447"/>
      <c r="T884" s="447"/>
      <c r="U884" s="447"/>
      <c r="V884" s="447"/>
      <c r="W884" s="447"/>
      <c r="X884" s="447"/>
      <c r="Y884" s="447"/>
      <c r="Z884" s="447"/>
      <c r="AA884" s="447"/>
      <c r="AB884" s="447"/>
      <c r="AC884" s="447"/>
      <c r="AD884" s="447"/>
      <c r="AE884" s="447"/>
      <c r="AF884" s="448"/>
      <c r="AG884" s="448"/>
      <c r="AH884" s="448"/>
      <c r="AI884" s="447"/>
      <c r="AJ884" s="447"/>
      <c r="AK884" s="447"/>
      <c r="AL884" s="447"/>
      <c r="AM884" s="447"/>
      <c r="AN884" s="447"/>
      <c r="AO884" s="447"/>
      <c r="AP884" s="447"/>
      <c r="AQ884" s="447"/>
      <c r="AR884" s="447"/>
      <c r="AS884" s="447"/>
      <c r="AT884" s="447"/>
      <c r="AU884" s="447"/>
      <c r="AV884" s="447"/>
      <c r="AW884" s="447"/>
      <c r="AX884" s="447"/>
      <c r="AY884" s="447"/>
      <c r="AZ884" s="447"/>
      <c r="BA884" s="447"/>
      <c r="BB884" s="447"/>
      <c r="BC884" s="447"/>
      <c r="BD884" s="447"/>
      <c r="BE884" s="447"/>
      <c r="BF884" s="447"/>
      <c r="BG884" s="447"/>
      <c r="BH884" s="447"/>
      <c r="BI884" s="447"/>
      <c r="BJ884" s="447"/>
      <c r="BK884" s="447"/>
      <c r="BL884" s="447"/>
      <c r="BM884" s="448"/>
      <c r="BN884" s="448"/>
    </row>
    <row r="885" spans="1:66" ht="11.25" customHeight="1">
      <c r="A885" s="469"/>
      <c r="B885" s="447"/>
      <c r="C885" s="447"/>
      <c r="D885" s="447"/>
      <c r="E885" s="447"/>
      <c r="F885" s="447"/>
      <c r="G885" s="447"/>
      <c r="H885" s="447"/>
      <c r="I885" s="447"/>
      <c r="J885" s="447"/>
      <c r="K885" s="447"/>
      <c r="L885" s="447"/>
      <c r="M885" s="447"/>
      <c r="N885" s="447"/>
      <c r="O885" s="447"/>
      <c r="P885" s="447"/>
      <c r="Q885" s="447"/>
      <c r="R885" s="447"/>
      <c r="S885" s="447"/>
      <c r="T885" s="447"/>
      <c r="U885" s="447"/>
      <c r="V885" s="447"/>
      <c r="W885" s="447"/>
      <c r="X885" s="447"/>
      <c r="Y885" s="447"/>
      <c r="Z885" s="447"/>
      <c r="AA885" s="447"/>
      <c r="AB885" s="447"/>
      <c r="AC885" s="447"/>
      <c r="AD885" s="447"/>
      <c r="AE885" s="447"/>
      <c r="AF885" s="448"/>
      <c r="AG885" s="448"/>
      <c r="AH885" s="448"/>
      <c r="AI885" s="447"/>
      <c r="AJ885" s="447"/>
      <c r="AK885" s="447"/>
      <c r="AL885" s="447"/>
      <c r="AM885" s="447"/>
      <c r="AN885" s="447"/>
      <c r="AO885" s="447"/>
      <c r="AP885" s="447"/>
      <c r="AQ885" s="447"/>
      <c r="AR885" s="447"/>
      <c r="AS885" s="447"/>
      <c r="AT885" s="447"/>
      <c r="AU885" s="447"/>
      <c r="AV885" s="447"/>
      <c r="AW885" s="447"/>
      <c r="AX885" s="447"/>
      <c r="AY885" s="447"/>
      <c r="AZ885" s="447"/>
      <c r="BA885" s="447"/>
      <c r="BB885" s="447"/>
      <c r="BC885" s="447"/>
      <c r="BD885" s="447"/>
      <c r="BE885" s="447"/>
      <c r="BF885" s="447"/>
      <c r="BG885" s="447"/>
      <c r="BH885" s="447"/>
      <c r="BI885" s="447"/>
      <c r="BJ885" s="447"/>
      <c r="BK885" s="447"/>
      <c r="BL885" s="447"/>
      <c r="BM885" s="448"/>
      <c r="BN885" s="448"/>
    </row>
    <row r="886" spans="1:66" ht="11.25" customHeight="1">
      <c r="A886" s="469"/>
      <c r="B886" s="447"/>
      <c r="C886" s="447"/>
      <c r="D886" s="447"/>
      <c r="E886" s="447"/>
      <c r="F886" s="447"/>
      <c r="G886" s="447"/>
      <c r="H886" s="447"/>
      <c r="I886" s="447"/>
      <c r="J886" s="447"/>
      <c r="K886" s="447"/>
      <c r="L886" s="447"/>
      <c r="M886" s="447"/>
      <c r="N886" s="447"/>
      <c r="O886" s="447"/>
      <c r="P886" s="447"/>
      <c r="Q886" s="447"/>
      <c r="R886" s="447"/>
      <c r="S886" s="447"/>
      <c r="T886" s="447"/>
      <c r="U886" s="447"/>
      <c r="V886" s="447"/>
      <c r="W886" s="447"/>
      <c r="X886" s="447"/>
      <c r="Y886" s="447"/>
      <c r="Z886" s="447"/>
      <c r="AA886" s="447"/>
      <c r="AB886" s="447"/>
      <c r="AC886" s="447"/>
      <c r="AD886" s="447"/>
      <c r="AE886" s="447"/>
      <c r="AF886" s="448"/>
      <c r="AG886" s="448"/>
      <c r="AH886" s="448"/>
      <c r="AI886" s="447"/>
      <c r="AJ886" s="447"/>
      <c r="AK886" s="447"/>
      <c r="AL886" s="447"/>
      <c r="AM886" s="447"/>
      <c r="AN886" s="447"/>
      <c r="AO886" s="447"/>
      <c r="AP886" s="447"/>
      <c r="AQ886" s="447"/>
      <c r="AR886" s="447"/>
      <c r="AS886" s="447"/>
      <c r="AT886" s="447"/>
      <c r="AU886" s="447"/>
      <c r="AV886" s="447"/>
      <c r="AW886" s="447"/>
      <c r="AX886" s="447"/>
      <c r="AY886" s="447"/>
      <c r="AZ886" s="447"/>
      <c r="BA886" s="447"/>
      <c r="BB886" s="447"/>
      <c r="BC886" s="447"/>
      <c r="BD886" s="447"/>
      <c r="BE886" s="447"/>
      <c r="BF886" s="447"/>
      <c r="BG886" s="447"/>
      <c r="BH886" s="447"/>
      <c r="BI886" s="447"/>
      <c r="BJ886" s="447"/>
      <c r="BK886" s="447"/>
      <c r="BL886" s="447"/>
      <c r="BM886" s="448"/>
      <c r="BN886" s="448"/>
    </row>
    <row r="887" spans="1:66" ht="11.25" customHeight="1">
      <c r="A887" s="469"/>
      <c r="B887" s="447"/>
      <c r="C887" s="447"/>
      <c r="D887" s="447"/>
      <c r="E887" s="447"/>
      <c r="F887" s="447"/>
      <c r="G887" s="447"/>
      <c r="H887" s="447"/>
      <c r="I887" s="447"/>
      <c r="J887" s="447"/>
      <c r="K887" s="447"/>
      <c r="L887" s="447"/>
      <c r="M887" s="447"/>
      <c r="N887" s="447"/>
      <c r="O887" s="447"/>
      <c r="P887" s="447"/>
      <c r="Q887" s="447"/>
      <c r="R887" s="447"/>
      <c r="S887" s="447"/>
      <c r="T887" s="447"/>
      <c r="U887" s="447"/>
      <c r="V887" s="447"/>
      <c r="W887" s="447"/>
      <c r="X887" s="447"/>
      <c r="Y887" s="447"/>
      <c r="Z887" s="447"/>
      <c r="AA887" s="447"/>
      <c r="AB887" s="447"/>
      <c r="AC887" s="447"/>
      <c r="AD887" s="447"/>
      <c r="AE887" s="447"/>
      <c r="AF887" s="448"/>
      <c r="AG887" s="448"/>
      <c r="AH887" s="448"/>
      <c r="AI887" s="447"/>
      <c r="AJ887" s="447"/>
      <c r="AK887" s="447"/>
      <c r="AL887" s="447"/>
      <c r="AM887" s="447"/>
      <c r="AN887" s="447"/>
      <c r="AO887" s="447"/>
      <c r="AP887" s="447"/>
      <c r="AQ887" s="447"/>
      <c r="AR887" s="447"/>
      <c r="AS887" s="447"/>
      <c r="AT887" s="447"/>
      <c r="AU887" s="447"/>
      <c r="AV887" s="447"/>
      <c r="AW887" s="447"/>
      <c r="AX887" s="447"/>
      <c r="AY887" s="447"/>
      <c r="AZ887" s="447"/>
      <c r="BA887" s="447"/>
      <c r="BB887" s="447"/>
      <c r="BC887" s="447"/>
      <c r="BD887" s="447"/>
      <c r="BE887" s="447"/>
      <c r="BF887" s="447"/>
      <c r="BG887" s="447"/>
      <c r="BH887" s="447"/>
      <c r="BI887" s="447"/>
      <c r="BJ887" s="447"/>
      <c r="BK887" s="447"/>
      <c r="BL887" s="447"/>
      <c r="BM887" s="448"/>
      <c r="BN887" s="448"/>
    </row>
    <row r="888" spans="1:66" ht="11.25" customHeight="1">
      <c r="A888" s="469"/>
      <c r="B888" s="447"/>
      <c r="C888" s="447"/>
      <c r="D888" s="447"/>
      <c r="E888" s="447"/>
      <c r="F888" s="447"/>
      <c r="G888" s="447"/>
      <c r="H888" s="447"/>
      <c r="I888" s="447"/>
      <c r="J888" s="447"/>
      <c r="K888" s="447"/>
      <c r="L888" s="447"/>
      <c r="M888" s="447"/>
      <c r="N888" s="447"/>
      <c r="O888" s="447"/>
      <c r="P888" s="447"/>
      <c r="Q888" s="447"/>
      <c r="R888" s="447"/>
      <c r="S888" s="447"/>
      <c r="T888" s="447"/>
      <c r="U888" s="447"/>
      <c r="V888" s="447"/>
      <c r="W888" s="447"/>
      <c r="X888" s="447"/>
      <c r="Y888" s="447"/>
      <c r="Z888" s="447"/>
      <c r="AA888" s="447"/>
      <c r="AB888" s="447"/>
      <c r="AC888" s="447"/>
      <c r="AD888" s="447"/>
      <c r="AE888" s="447"/>
      <c r="AF888" s="448"/>
      <c r="AG888" s="448"/>
      <c r="AH888" s="448"/>
      <c r="AI888" s="447"/>
      <c r="AJ888" s="447"/>
      <c r="AK888" s="447"/>
      <c r="AL888" s="447"/>
      <c r="AM888" s="447"/>
      <c r="AN888" s="447"/>
      <c r="AO888" s="447"/>
      <c r="AP888" s="447"/>
      <c r="AQ888" s="447"/>
      <c r="AR888" s="447"/>
      <c r="AS888" s="447"/>
      <c r="AT888" s="447"/>
      <c r="AU888" s="447"/>
      <c r="AV888" s="447"/>
      <c r="AW888" s="447"/>
      <c r="AX888" s="447"/>
      <c r="AY888" s="447"/>
      <c r="AZ888" s="447"/>
      <c r="BA888" s="447"/>
      <c r="BB888" s="447"/>
      <c r="BC888" s="447"/>
      <c r="BD888" s="447"/>
      <c r="BE888" s="447"/>
      <c r="BF888" s="447"/>
      <c r="BG888" s="447"/>
      <c r="BH888" s="447"/>
      <c r="BI888" s="447"/>
      <c r="BJ888" s="447"/>
      <c r="BK888" s="447"/>
      <c r="BL888" s="447"/>
      <c r="BM888" s="448"/>
      <c r="BN888" s="448"/>
    </row>
    <row r="889" spans="1:66" ht="11.25" customHeight="1">
      <c r="A889" s="469"/>
      <c r="B889" s="447"/>
      <c r="C889" s="447"/>
      <c r="D889" s="447"/>
      <c r="E889" s="447"/>
      <c r="F889" s="447"/>
      <c r="G889" s="447"/>
      <c r="H889" s="447"/>
      <c r="I889" s="447"/>
      <c r="J889" s="447"/>
      <c r="K889" s="447"/>
      <c r="L889" s="447"/>
      <c r="M889" s="447"/>
      <c r="N889" s="447"/>
      <c r="O889" s="447"/>
      <c r="P889" s="447"/>
      <c r="Q889" s="447"/>
      <c r="R889" s="447"/>
      <c r="S889" s="447"/>
      <c r="T889" s="447"/>
      <c r="U889" s="447"/>
      <c r="V889" s="447"/>
      <c r="W889" s="447"/>
      <c r="X889" s="447"/>
      <c r="Y889" s="447"/>
      <c r="Z889" s="447"/>
      <c r="AA889" s="447"/>
      <c r="AB889" s="447"/>
      <c r="AC889" s="447"/>
      <c r="AD889" s="447"/>
      <c r="AE889" s="447"/>
      <c r="AF889" s="448"/>
      <c r="AG889" s="448"/>
      <c r="AH889" s="448"/>
      <c r="AI889" s="447"/>
      <c r="AJ889" s="447"/>
      <c r="AK889" s="447"/>
      <c r="AL889" s="447"/>
      <c r="AM889" s="447"/>
      <c r="AN889" s="447"/>
      <c r="AO889" s="447"/>
      <c r="AP889" s="447"/>
      <c r="AQ889" s="447"/>
      <c r="AR889" s="447"/>
      <c r="AS889" s="447"/>
      <c r="AT889" s="447"/>
      <c r="AU889" s="447"/>
      <c r="AV889" s="447"/>
      <c r="AW889" s="447"/>
      <c r="AX889" s="447"/>
      <c r="AY889" s="447"/>
      <c r="AZ889" s="447"/>
      <c r="BA889" s="447"/>
      <c r="BB889" s="447"/>
      <c r="BC889" s="447"/>
      <c r="BD889" s="447"/>
      <c r="BE889" s="447"/>
      <c r="BF889" s="447"/>
      <c r="BG889" s="447"/>
      <c r="BH889" s="447"/>
      <c r="BI889" s="447"/>
      <c r="BJ889" s="447"/>
      <c r="BK889" s="447"/>
      <c r="BL889" s="447"/>
      <c r="BM889" s="448"/>
      <c r="BN889" s="448"/>
    </row>
    <row r="890" spans="1:66" ht="11.25" customHeight="1">
      <c r="A890" s="469"/>
      <c r="B890" s="447"/>
      <c r="C890" s="447"/>
      <c r="D890" s="447"/>
      <c r="E890" s="447"/>
      <c r="F890" s="447"/>
      <c r="G890" s="447"/>
      <c r="H890" s="447"/>
      <c r="I890" s="447"/>
      <c r="J890" s="447"/>
      <c r="K890" s="447"/>
      <c r="L890" s="447"/>
      <c r="M890" s="447"/>
      <c r="N890" s="447"/>
      <c r="O890" s="447"/>
      <c r="P890" s="447"/>
      <c r="Q890" s="447"/>
      <c r="R890" s="447"/>
      <c r="S890" s="447"/>
      <c r="T890" s="447"/>
      <c r="U890" s="447"/>
      <c r="V890" s="447"/>
      <c r="W890" s="447"/>
      <c r="X890" s="447"/>
      <c r="Y890" s="447"/>
      <c r="Z890" s="447"/>
      <c r="AA890" s="447"/>
      <c r="AB890" s="447"/>
      <c r="AC890" s="447"/>
      <c r="AD890" s="447"/>
      <c r="AE890" s="447"/>
      <c r="AF890" s="448"/>
      <c r="AG890" s="448"/>
      <c r="AH890" s="448"/>
      <c r="AI890" s="447"/>
      <c r="AJ890" s="447"/>
      <c r="AK890" s="447"/>
      <c r="AL890" s="447"/>
      <c r="AM890" s="447"/>
      <c r="AN890" s="447"/>
      <c r="AO890" s="447"/>
      <c r="AP890" s="447"/>
      <c r="AQ890" s="447"/>
      <c r="AR890" s="447"/>
      <c r="AS890" s="447"/>
      <c r="AT890" s="447"/>
      <c r="AU890" s="447"/>
      <c r="AV890" s="447"/>
      <c r="AW890" s="447"/>
      <c r="AX890" s="447"/>
      <c r="AY890" s="447"/>
      <c r="AZ890" s="447"/>
      <c r="BA890" s="447"/>
      <c r="BB890" s="447"/>
      <c r="BC890" s="447"/>
      <c r="BD890" s="447"/>
      <c r="BE890" s="447"/>
      <c r="BF890" s="447"/>
      <c r="BG890" s="447"/>
      <c r="BH890" s="447"/>
      <c r="BI890" s="447"/>
      <c r="BJ890" s="447"/>
      <c r="BK890" s="447"/>
      <c r="BL890" s="447"/>
      <c r="BM890" s="448"/>
      <c r="BN890" s="448"/>
    </row>
    <row r="891" spans="1:66" ht="11.25" customHeight="1">
      <c r="A891" s="469"/>
      <c r="B891" s="447"/>
      <c r="C891" s="447"/>
      <c r="D891" s="447"/>
      <c r="E891" s="447"/>
      <c r="F891" s="447"/>
      <c r="G891" s="447"/>
      <c r="H891" s="447"/>
      <c r="I891" s="447"/>
      <c r="J891" s="447"/>
      <c r="K891" s="447"/>
      <c r="L891" s="447"/>
      <c r="M891" s="447"/>
      <c r="N891" s="447"/>
      <c r="O891" s="447"/>
      <c r="P891" s="447"/>
      <c r="Q891" s="447"/>
      <c r="R891" s="447"/>
      <c r="S891" s="447"/>
      <c r="T891" s="447"/>
      <c r="U891" s="447"/>
      <c r="V891" s="447"/>
      <c r="W891" s="447"/>
      <c r="X891" s="447"/>
      <c r="Y891" s="447"/>
      <c r="Z891" s="447"/>
      <c r="AA891" s="447"/>
      <c r="AB891" s="447"/>
      <c r="AC891" s="447"/>
      <c r="AD891" s="447"/>
      <c r="AE891" s="447"/>
      <c r="AF891" s="448"/>
      <c r="AG891" s="448"/>
      <c r="AH891" s="448"/>
      <c r="AI891" s="447"/>
      <c r="AJ891" s="447"/>
      <c r="AK891" s="447"/>
      <c r="AL891" s="447"/>
      <c r="AM891" s="447"/>
      <c r="AN891" s="447"/>
      <c r="AO891" s="447"/>
      <c r="AP891" s="447"/>
      <c r="AQ891" s="447"/>
      <c r="AR891" s="447"/>
      <c r="AS891" s="447"/>
      <c r="AT891" s="447"/>
      <c r="AU891" s="447"/>
      <c r="AV891" s="447"/>
      <c r="AW891" s="447"/>
      <c r="AX891" s="447"/>
      <c r="AY891" s="447"/>
      <c r="AZ891" s="447"/>
      <c r="BA891" s="447"/>
      <c r="BB891" s="447"/>
      <c r="BC891" s="447"/>
      <c r="BD891" s="447"/>
      <c r="BE891" s="447"/>
      <c r="BF891" s="447"/>
      <c r="BG891" s="447"/>
      <c r="BH891" s="447"/>
      <c r="BI891" s="447"/>
      <c r="BJ891" s="447"/>
      <c r="BK891" s="447"/>
      <c r="BL891" s="447"/>
      <c r="BM891" s="448"/>
      <c r="BN891" s="448"/>
    </row>
    <row r="892" spans="1:66" ht="11.25" customHeight="1">
      <c r="A892" s="469"/>
      <c r="B892" s="447"/>
      <c r="C892" s="447"/>
      <c r="D892" s="447"/>
      <c r="E892" s="447"/>
      <c r="F892" s="447"/>
      <c r="G892" s="447"/>
      <c r="H892" s="447"/>
      <c r="I892" s="447"/>
      <c r="J892" s="447"/>
      <c r="K892" s="447"/>
      <c r="L892" s="447"/>
      <c r="M892" s="447"/>
      <c r="N892" s="447"/>
      <c r="O892" s="447"/>
      <c r="P892" s="447"/>
      <c r="Q892" s="447"/>
      <c r="R892" s="447"/>
      <c r="S892" s="447"/>
      <c r="T892" s="447"/>
      <c r="U892" s="447"/>
      <c r="V892" s="447"/>
      <c r="W892" s="447"/>
      <c r="X892" s="447"/>
      <c r="Y892" s="447"/>
      <c r="Z892" s="447"/>
      <c r="AA892" s="447"/>
      <c r="AB892" s="447"/>
      <c r="AC892" s="447"/>
      <c r="AD892" s="447"/>
      <c r="AE892" s="447"/>
      <c r="AF892" s="448"/>
      <c r="AG892" s="448"/>
      <c r="AH892" s="448"/>
      <c r="AI892" s="447"/>
      <c r="AJ892" s="447"/>
      <c r="AK892" s="447"/>
      <c r="AL892" s="447"/>
      <c r="AM892" s="447"/>
      <c r="AN892" s="447"/>
      <c r="AO892" s="447"/>
      <c r="AP892" s="447"/>
      <c r="AQ892" s="447"/>
      <c r="AR892" s="447"/>
      <c r="AS892" s="447"/>
      <c r="AT892" s="447"/>
      <c r="AU892" s="447"/>
      <c r="AV892" s="447"/>
      <c r="AW892" s="447"/>
      <c r="AX892" s="447"/>
      <c r="AY892" s="447"/>
      <c r="AZ892" s="447"/>
      <c r="BA892" s="447"/>
      <c r="BB892" s="447"/>
      <c r="BC892" s="447"/>
      <c r="BD892" s="447"/>
      <c r="BE892" s="447"/>
      <c r="BF892" s="447"/>
      <c r="BG892" s="447"/>
      <c r="BH892" s="447"/>
      <c r="BI892" s="447"/>
      <c r="BJ892" s="447"/>
      <c r="BK892" s="447"/>
      <c r="BL892" s="447"/>
      <c r="BM892" s="448"/>
      <c r="BN892" s="448"/>
    </row>
    <row r="893" spans="1:66" ht="11.25" customHeight="1">
      <c r="A893" s="469"/>
      <c r="B893" s="447"/>
      <c r="C893" s="447"/>
      <c r="D893" s="447"/>
      <c r="E893" s="447"/>
      <c r="F893" s="447"/>
      <c r="G893" s="447"/>
      <c r="H893" s="447"/>
      <c r="I893" s="447"/>
      <c r="J893" s="447"/>
      <c r="K893" s="447"/>
      <c r="L893" s="447"/>
      <c r="M893" s="447"/>
      <c r="N893" s="447"/>
      <c r="O893" s="447"/>
      <c r="P893" s="447"/>
      <c r="Q893" s="447"/>
      <c r="R893" s="447"/>
      <c r="S893" s="447"/>
      <c r="T893" s="447"/>
      <c r="U893" s="447"/>
      <c r="V893" s="447"/>
      <c r="W893" s="447"/>
      <c r="X893" s="447"/>
      <c r="Y893" s="447"/>
      <c r="Z893" s="447"/>
      <c r="AA893" s="447"/>
      <c r="AB893" s="447"/>
      <c r="AC893" s="447"/>
      <c r="AD893" s="447"/>
      <c r="AE893" s="447"/>
      <c r="AF893" s="448"/>
      <c r="AG893" s="448"/>
      <c r="AH893" s="448"/>
      <c r="AI893" s="447"/>
      <c r="AJ893" s="447"/>
      <c r="AK893" s="447"/>
      <c r="AL893" s="447"/>
      <c r="AM893" s="447"/>
      <c r="AN893" s="447"/>
      <c r="AO893" s="447"/>
      <c r="AP893" s="447"/>
      <c r="AQ893" s="447"/>
      <c r="AR893" s="447"/>
      <c r="AS893" s="447"/>
      <c r="AT893" s="447"/>
      <c r="AU893" s="447"/>
      <c r="AV893" s="447"/>
      <c r="AW893" s="447"/>
      <c r="AX893" s="447"/>
      <c r="AY893" s="447"/>
      <c r="AZ893" s="447"/>
      <c r="BA893" s="447"/>
      <c r="BB893" s="447"/>
      <c r="BC893" s="447"/>
      <c r="BD893" s="447"/>
      <c r="BE893" s="447"/>
      <c r="BF893" s="447"/>
      <c r="BG893" s="447"/>
      <c r="BH893" s="447"/>
      <c r="BI893" s="447"/>
      <c r="BJ893" s="447"/>
      <c r="BK893" s="447"/>
      <c r="BL893" s="447"/>
      <c r="BM893" s="448"/>
      <c r="BN893" s="448"/>
    </row>
    <row r="894" spans="1:66" ht="11.25" customHeight="1">
      <c r="A894" s="469"/>
      <c r="B894" s="447"/>
      <c r="C894" s="447"/>
      <c r="D894" s="447"/>
      <c r="E894" s="447"/>
      <c r="F894" s="447"/>
      <c r="G894" s="447"/>
      <c r="H894" s="447"/>
      <c r="I894" s="447"/>
      <c r="J894" s="447"/>
      <c r="K894" s="447"/>
      <c r="L894" s="447"/>
      <c r="M894" s="447"/>
      <c r="N894" s="447"/>
      <c r="O894" s="447"/>
      <c r="P894" s="447"/>
      <c r="Q894" s="447"/>
      <c r="R894" s="447"/>
      <c r="S894" s="447"/>
      <c r="T894" s="447"/>
      <c r="U894" s="447"/>
      <c r="V894" s="447"/>
      <c r="W894" s="447"/>
      <c r="X894" s="447"/>
      <c r="Y894" s="447"/>
      <c r="Z894" s="447"/>
      <c r="AA894" s="447"/>
      <c r="AB894" s="447"/>
      <c r="AC894" s="447"/>
      <c r="AD894" s="447"/>
      <c r="AE894" s="447"/>
      <c r="AF894" s="448"/>
      <c r="AG894" s="448"/>
      <c r="AH894" s="448"/>
      <c r="AI894" s="447"/>
      <c r="AJ894" s="447"/>
      <c r="AK894" s="447"/>
      <c r="AL894" s="447"/>
      <c r="AM894" s="447"/>
      <c r="AN894" s="447"/>
      <c r="AO894" s="447"/>
      <c r="AP894" s="447"/>
      <c r="AQ894" s="447"/>
      <c r="AR894" s="447"/>
      <c r="AS894" s="447"/>
      <c r="AT894" s="447"/>
      <c r="AU894" s="447"/>
      <c r="AV894" s="447"/>
      <c r="AW894" s="447"/>
      <c r="AX894" s="447"/>
      <c r="AY894" s="447"/>
      <c r="AZ894" s="447"/>
      <c r="BA894" s="447"/>
      <c r="BB894" s="447"/>
      <c r="BC894" s="447"/>
      <c r="BD894" s="447"/>
      <c r="BE894" s="447"/>
      <c r="BF894" s="447"/>
      <c r="BG894" s="447"/>
      <c r="BH894" s="447"/>
      <c r="BI894" s="447"/>
      <c r="BJ894" s="447"/>
      <c r="BK894" s="447"/>
      <c r="BL894" s="447"/>
      <c r="BM894" s="448"/>
      <c r="BN894" s="448"/>
    </row>
    <row r="895" spans="1:66" ht="11.25" customHeight="1">
      <c r="A895" s="469"/>
      <c r="B895" s="447"/>
      <c r="C895" s="447"/>
      <c r="D895" s="447"/>
      <c r="E895" s="447"/>
      <c r="F895" s="447"/>
      <c r="G895" s="447"/>
      <c r="H895" s="447"/>
      <c r="I895" s="447"/>
      <c r="J895" s="447"/>
      <c r="K895" s="447"/>
      <c r="L895" s="447"/>
      <c r="M895" s="447"/>
      <c r="N895" s="447"/>
      <c r="O895" s="447"/>
      <c r="P895" s="447"/>
      <c r="Q895" s="447"/>
      <c r="R895" s="447"/>
      <c r="S895" s="447"/>
      <c r="T895" s="447"/>
      <c r="U895" s="447"/>
      <c r="V895" s="447"/>
      <c r="W895" s="447"/>
      <c r="X895" s="447"/>
      <c r="Y895" s="447"/>
      <c r="Z895" s="447"/>
      <c r="AA895" s="447"/>
      <c r="AB895" s="447"/>
      <c r="AC895" s="447"/>
      <c r="AD895" s="447"/>
      <c r="AE895" s="447"/>
      <c r="AF895" s="448"/>
      <c r="AG895" s="448"/>
      <c r="AH895" s="448"/>
      <c r="AI895" s="447"/>
      <c r="AJ895" s="447"/>
      <c r="AK895" s="447"/>
      <c r="AL895" s="447"/>
      <c r="AM895" s="447"/>
      <c r="AN895" s="447"/>
      <c r="AO895" s="447"/>
      <c r="AP895" s="447"/>
      <c r="AQ895" s="447"/>
      <c r="AR895" s="447"/>
      <c r="AS895" s="447"/>
      <c r="AT895" s="447"/>
      <c r="AU895" s="447"/>
      <c r="AV895" s="447"/>
      <c r="AW895" s="447"/>
      <c r="AX895" s="447"/>
      <c r="AY895" s="447"/>
      <c r="AZ895" s="447"/>
      <c r="BA895" s="447"/>
      <c r="BB895" s="447"/>
      <c r="BC895" s="447"/>
      <c r="BD895" s="447"/>
      <c r="BE895" s="447"/>
      <c r="BF895" s="447"/>
      <c r="BG895" s="447"/>
      <c r="BH895" s="447"/>
      <c r="BI895" s="447"/>
      <c r="BJ895" s="447"/>
      <c r="BK895" s="447"/>
      <c r="BL895" s="447"/>
      <c r="BM895" s="448"/>
      <c r="BN895" s="448"/>
    </row>
    <row r="896" spans="1:66" ht="11.25" customHeight="1">
      <c r="A896" s="469"/>
      <c r="B896" s="447"/>
      <c r="C896" s="447"/>
      <c r="D896" s="447"/>
      <c r="E896" s="447"/>
      <c r="F896" s="447"/>
      <c r="G896" s="447"/>
      <c r="H896" s="447"/>
      <c r="I896" s="447"/>
      <c r="J896" s="447"/>
      <c r="K896" s="447"/>
      <c r="L896" s="447"/>
      <c r="M896" s="447"/>
      <c r="N896" s="447"/>
      <c r="O896" s="447"/>
      <c r="P896" s="447"/>
      <c r="Q896" s="447"/>
      <c r="R896" s="447"/>
      <c r="S896" s="447"/>
      <c r="T896" s="447"/>
      <c r="U896" s="447"/>
      <c r="V896" s="447"/>
      <c r="W896" s="447"/>
      <c r="X896" s="447"/>
      <c r="Y896" s="447"/>
      <c r="Z896" s="447"/>
      <c r="AA896" s="447"/>
      <c r="AB896" s="447"/>
      <c r="AC896" s="447"/>
      <c r="AD896" s="447"/>
      <c r="AE896" s="447"/>
      <c r="AF896" s="448"/>
      <c r="AG896" s="448"/>
      <c r="AH896" s="448"/>
      <c r="AI896" s="447"/>
      <c r="AJ896" s="447"/>
      <c r="AK896" s="447"/>
      <c r="AL896" s="447"/>
      <c r="AM896" s="447"/>
      <c r="AN896" s="447"/>
      <c r="AO896" s="447"/>
      <c r="AP896" s="447"/>
      <c r="AQ896" s="447"/>
      <c r="AR896" s="447"/>
      <c r="AS896" s="447"/>
      <c r="AT896" s="447"/>
      <c r="AU896" s="447"/>
      <c r="AV896" s="447"/>
      <c r="AW896" s="447"/>
      <c r="AX896" s="447"/>
      <c r="AY896" s="447"/>
      <c r="AZ896" s="447"/>
      <c r="BA896" s="447"/>
      <c r="BB896" s="447"/>
      <c r="BC896" s="447"/>
      <c r="BD896" s="447"/>
      <c r="BE896" s="447"/>
      <c r="BF896" s="447"/>
      <c r="BG896" s="447"/>
      <c r="BH896" s="447"/>
      <c r="BI896" s="447"/>
      <c r="BJ896" s="447"/>
      <c r="BK896" s="447"/>
      <c r="BL896" s="447"/>
      <c r="BM896" s="448"/>
      <c r="BN896" s="448"/>
    </row>
    <row r="897" spans="1:66" ht="11.25" customHeight="1">
      <c r="A897" s="469"/>
      <c r="B897" s="447"/>
      <c r="C897" s="447"/>
      <c r="D897" s="447"/>
      <c r="E897" s="447"/>
      <c r="F897" s="447"/>
      <c r="G897" s="447"/>
      <c r="H897" s="447"/>
      <c r="I897" s="447"/>
      <c r="J897" s="447"/>
      <c r="K897" s="447"/>
      <c r="L897" s="447"/>
      <c r="M897" s="447"/>
      <c r="N897" s="447"/>
      <c r="O897" s="447"/>
      <c r="P897" s="447"/>
      <c r="Q897" s="447"/>
      <c r="R897" s="447"/>
      <c r="S897" s="447"/>
      <c r="T897" s="447"/>
      <c r="U897" s="447"/>
      <c r="V897" s="447"/>
      <c r="W897" s="447"/>
      <c r="X897" s="447"/>
      <c r="Y897" s="447"/>
      <c r="Z897" s="447"/>
      <c r="AA897" s="447"/>
      <c r="AB897" s="447"/>
      <c r="AC897" s="447"/>
      <c r="AD897" s="447"/>
      <c r="AE897" s="447"/>
      <c r="AF897" s="448"/>
      <c r="AG897" s="448"/>
      <c r="AH897" s="448"/>
      <c r="AI897" s="447"/>
      <c r="AJ897" s="447"/>
      <c r="AK897" s="447"/>
      <c r="AL897" s="447"/>
      <c r="AM897" s="447"/>
      <c r="AN897" s="447"/>
      <c r="AO897" s="447"/>
      <c r="AP897" s="447"/>
      <c r="AQ897" s="447"/>
      <c r="AR897" s="447"/>
      <c r="AS897" s="447"/>
      <c r="AT897" s="447"/>
      <c r="AU897" s="447"/>
      <c r="AV897" s="447"/>
      <c r="AW897" s="447"/>
      <c r="AX897" s="447"/>
      <c r="AY897" s="447"/>
      <c r="AZ897" s="447"/>
      <c r="BA897" s="447"/>
      <c r="BB897" s="447"/>
      <c r="BC897" s="447"/>
      <c r="BD897" s="447"/>
      <c r="BE897" s="447"/>
      <c r="BF897" s="447"/>
      <c r="BG897" s="447"/>
      <c r="BH897" s="447"/>
      <c r="BI897" s="447"/>
      <c r="BJ897" s="447"/>
      <c r="BK897" s="447"/>
      <c r="BL897" s="447"/>
      <c r="BM897" s="448"/>
      <c r="BN897" s="448"/>
    </row>
    <row r="898" spans="1:66" ht="11.25" customHeight="1">
      <c r="A898" s="469"/>
      <c r="B898" s="447"/>
      <c r="C898" s="447"/>
      <c r="D898" s="447"/>
      <c r="E898" s="447"/>
      <c r="F898" s="447"/>
      <c r="G898" s="447"/>
      <c r="H898" s="447"/>
      <c r="I898" s="447"/>
      <c r="J898" s="447"/>
      <c r="K898" s="447"/>
      <c r="L898" s="447"/>
      <c r="M898" s="447"/>
      <c r="N898" s="447"/>
      <c r="O898" s="447"/>
      <c r="P898" s="447"/>
      <c r="Q898" s="447"/>
      <c r="R898" s="447"/>
      <c r="S898" s="447"/>
      <c r="T898" s="447"/>
      <c r="U898" s="447"/>
      <c r="V898" s="447"/>
      <c r="W898" s="447"/>
      <c r="X898" s="447"/>
      <c r="Y898" s="447"/>
      <c r="Z898" s="447"/>
      <c r="AA898" s="447"/>
      <c r="AB898" s="447"/>
      <c r="AC898" s="447"/>
      <c r="AD898" s="447"/>
      <c r="AE898" s="447"/>
      <c r="AF898" s="448"/>
      <c r="AG898" s="448"/>
      <c r="AH898" s="448"/>
      <c r="AI898" s="447"/>
      <c r="AJ898" s="447"/>
      <c r="AK898" s="447"/>
      <c r="AL898" s="447"/>
      <c r="AM898" s="447"/>
      <c r="AN898" s="447"/>
      <c r="AO898" s="447"/>
      <c r="AP898" s="447"/>
      <c r="AQ898" s="447"/>
      <c r="AR898" s="447"/>
      <c r="AS898" s="447"/>
      <c r="AT898" s="447"/>
      <c r="AU898" s="447"/>
      <c r="AV898" s="447"/>
      <c r="AW898" s="447"/>
      <c r="AX898" s="447"/>
      <c r="AY898" s="447"/>
      <c r="AZ898" s="447"/>
      <c r="BA898" s="447"/>
      <c r="BB898" s="447"/>
      <c r="BC898" s="447"/>
      <c r="BD898" s="447"/>
      <c r="BE898" s="447"/>
      <c r="BF898" s="447"/>
      <c r="BG898" s="447"/>
      <c r="BH898" s="447"/>
      <c r="BI898" s="447"/>
      <c r="BJ898" s="447"/>
      <c r="BK898" s="447"/>
      <c r="BL898" s="447"/>
      <c r="BM898" s="448"/>
      <c r="BN898" s="448"/>
    </row>
    <row r="899" spans="1:66" ht="11.25" customHeight="1">
      <c r="A899" s="469"/>
      <c r="B899" s="447"/>
      <c r="C899" s="447"/>
      <c r="D899" s="447"/>
      <c r="E899" s="447"/>
      <c r="F899" s="447"/>
      <c r="G899" s="447"/>
      <c r="H899" s="447"/>
      <c r="I899" s="447"/>
      <c r="J899" s="447"/>
      <c r="K899" s="447"/>
      <c r="L899" s="447"/>
      <c r="M899" s="447"/>
      <c r="N899" s="447"/>
      <c r="O899" s="447"/>
      <c r="P899" s="447"/>
      <c r="Q899" s="447"/>
      <c r="R899" s="447"/>
      <c r="S899" s="447"/>
      <c r="T899" s="447"/>
      <c r="U899" s="447"/>
      <c r="V899" s="447"/>
      <c r="W899" s="447"/>
      <c r="X899" s="447"/>
      <c r="Y899" s="447"/>
      <c r="Z899" s="447"/>
      <c r="AA899" s="447"/>
      <c r="AB899" s="447"/>
      <c r="AC899" s="447"/>
      <c r="AD899" s="447"/>
      <c r="AE899" s="447"/>
      <c r="AF899" s="448"/>
      <c r="AG899" s="448"/>
      <c r="AH899" s="448"/>
      <c r="AI899" s="447"/>
      <c r="AJ899" s="447"/>
      <c r="AK899" s="447"/>
      <c r="AL899" s="447"/>
      <c r="AM899" s="447"/>
      <c r="AN899" s="447"/>
      <c r="AO899" s="447"/>
      <c r="AP899" s="447"/>
      <c r="AQ899" s="447"/>
      <c r="AR899" s="447"/>
      <c r="AS899" s="447"/>
      <c r="AT899" s="447"/>
      <c r="AU899" s="447"/>
      <c r="AV899" s="447"/>
      <c r="AW899" s="447"/>
      <c r="AX899" s="447"/>
      <c r="AY899" s="447"/>
      <c r="AZ899" s="447"/>
      <c r="BA899" s="447"/>
      <c r="BB899" s="447"/>
      <c r="BC899" s="447"/>
      <c r="BD899" s="447"/>
      <c r="BE899" s="447"/>
      <c r="BF899" s="447"/>
      <c r="BG899" s="447"/>
      <c r="BH899" s="447"/>
      <c r="BI899" s="447"/>
      <c r="BJ899" s="447"/>
      <c r="BK899" s="447"/>
      <c r="BL899" s="447"/>
      <c r="BM899" s="448"/>
      <c r="BN899" s="448"/>
    </row>
    <row r="900" spans="1:66" ht="11.25" customHeight="1">
      <c r="A900" s="469"/>
      <c r="B900" s="447"/>
      <c r="C900" s="447"/>
      <c r="D900" s="447"/>
      <c r="E900" s="447"/>
      <c r="F900" s="447"/>
      <c r="G900" s="447"/>
      <c r="H900" s="447"/>
      <c r="I900" s="447"/>
      <c r="J900" s="447"/>
      <c r="K900" s="447"/>
      <c r="L900" s="447"/>
      <c r="M900" s="447"/>
      <c r="N900" s="447"/>
      <c r="O900" s="447"/>
      <c r="P900" s="447"/>
      <c r="Q900" s="447"/>
      <c r="R900" s="447"/>
      <c r="S900" s="447"/>
      <c r="T900" s="447"/>
      <c r="U900" s="447"/>
      <c r="V900" s="447"/>
      <c r="W900" s="447"/>
      <c r="X900" s="447"/>
      <c r="Y900" s="447"/>
      <c r="Z900" s="447"/>
      <c r="AA900" s="447"/>
      <c r="AB900" s="447"/>
      <c r="AC900" s="447"/>
      <c r="AD900" s="447"/>
      <c r="AE900" s="447"/>
      <c r="AF900" s="448"/>
      <c r="AG900" s="448"/>
      <c r="AH900" s="448"/>
      <c r="AI900" s="447"/>
      <c r="AJ900" s="447"/>
      <c r="AK900" s="447"/>
      <c r="AL900" s="447"/>
      <c r="AM900" s="447"/>
      <c r="AN900" s="447"/>
      <c r="AO900" s="447"/>
      <c r="AP900" s="447"/>
      <c r="AQ900" s="447"/>
      <c r="AR900" s="447"/>
      <c r="AS900" s="447"/>
      <c r="AT900" s="447"/>
      <c r="AU900" s="447"/>
      <c r="AV900" s="447"/>
      <c r="AW900" s="447"/>
      <c r="AX900" s="447"/>
      <c r="AY900" s="447"/>
      <c r="AZ900" s="447"/>
      <c r="BA900" s="447"/>
      <c r="BB900" s="447"/>
      <c r="BC900" s="447"/>
      <c r="BD900" s="447"/>
      <c r="BE900" s="447"/>
      <c r="BF900" s="447"/>
      <c r="BG900" s="447"/>
      <c r="BH900" s="447"/>
      <c r="BI900" s="447"/>
      <c r="BJ900" s="447"/>
      <c r="BK900" s="447"/>
      <c r="BL900" s="447"/>
      <c r="BM900" s="448"/>
      <c r="BN900" s="448"/>
    </row>
    <row r="901" spans="1:66" ht="11.25" customHeight="1">
      <c r="A901" s="469"/>
      <c r="B901" s="447"/>
      <c r="C901" s="447"/>
      <c r="D901" s="447"/>
      <c r="E901" s="447"/>
      <c r="F901" s="447"/>
      <c r="G901" s="447"/>
      <c r="H901" s="447"/>
      <c r="I901" s="447"/>
      <c r="J901" s="447"/>
      <c r="K901" s="447"/>
      <c r="L901" s="447"/>
      <c r="M901" s="447"/>
      <c r="N901" s="447"/>
      <c r="O901" s="447"/>
      <c r="P901" s="447"/>
      <c r="Q901" s="447"/>
      <c r="R901" s="447"/>
      <c r="S901" s="447"/>
      <c r="T901" s="447"/>
      <c r="U901" s="447"/>
      <c r="V901" s="447"/>
      <c r="W901" s="447"/>
      <c r="X901" s="447"/>
      <c r="Y901" s="447"/>
      <c r="Z901" s="447"/>
      <c r="AA901" s="447"/>
      <c r="AB901" s="447"/>
      <c r="AC901" s="447"/>
      <c r="AD901" s="447"/>
      <c r="AE901" s="447"/>
      <c r="AF901" s="448"/>
      <c r="AG901" s="448"/>
      <c r="AH901" s="448"/>
      <c r="AI901" s="447"/>
      <c r="AJ901" s="447"/>
      <c r="AK901" s="447"/>
      <c r="AL901" s="447"/>
      <c r="AM901" s="447"/>
      <c r="AN901" s="447"/>
      <c r="AO901" s="447"/>
      <c r="AP901" s="447"/>
      <c r="AQ901" s="447"/>
      <c r="AR901" s="447"/>
      <c r="AS901" s="447"/>
      <c r="AT901" s="447"/>
      <c r="AU901" s="447"/>
      <c r="AV901" s="447"/>
      <c r="AW901" s="447"/>
      <c r="AX901" s="447"/>
      <c r="AY901" s="447"/>
      <c r="AZ901" s="447"/>
      <c r="BA901" s="447"/>
      <c r="BB901" s="447"/>
      <c r="BC901" s="447"/>
      <c r="BD901" s="447"/>
      <c r="BE901" s="447"/>
      <c r="BF901" s="447"/>
      <c r="BG901" s="447"/>
      <c r="BH901" s="447"/>
      <c r="BI901" s="447"/>
      <c r="BJ901" s="447"/>
      <c r="BK901" s="447"/>
      <c r="BL901" s="447"/>
      <c r="BM901" s="448"/>
      <c r="BN901" s="448"/>
    </row>
    <row r="902" spans="1:66" ht="11.25" customHeight="1">
      <c r="A902" s="469"/>
      <c r="B902" s="447"/>
      <c r="C902" s="447"/>
      <c r="D902" s="447"/>
      <c r="E902" s="447"/>
      <c r="F902" s="447"/>
      <c r="G902" s="447"/>
      <c r="H902" s="447"/>
      <c r="I902" s="447"/>
      <c r="J902" s="447"/>
      <c r="K902" s="447"/>
      <c r="L902" s="447"/>
      <c r="M902" s="447"/>
      <c r="N902" s="447"/>
      <c r="O902" s="447"/>
      <c r="P902" s="447"/>
      <c r="Q902" s="447"/>
      <c r="R902" s="447"/>
      <c r="S902" s="447"/>
      <c r="T902" s="447"/>
      <c r="U902" s="447"/>
      <c r="V902" s="447"/>
      <c r="W902" s="447"/>
      <c r="X902" s="447"/>
      <c r="Y902" s="447"/>
      <c r="Z902" s="447"/>
      <c r="AA902" s="447"/>
      <c r="AB902" s="447"/>
      <c r="AC902" s="447"/>
      <c r="AD902" s="447"/>
      <c r="AE902" s="447"/>
      <c r="AF902" s="448"/>
      <c r="AG902" s="448"/>
      <c r="AH902" s="448"/>
      <c r="AI902" s="447"/>
      <c r="AJ902" s="447"/>
      <c r="AK902" s="447"/>
      <c r="AL902" s="447"/>
      <c r="AM902" s="447"/>
      <c r="AN902" s="447"/>
      <c r="AO902" s="447"/>
      <c r="AP902" s="447"/>
      <c r="AQ902" s="447"/>
      <c r="AR902" s="447"/>
      <c r="AS902" s="447"/>
      <c r="AT902" s="447"/>
      <c r="AU902" s="447"/>
      <c r="AV902" s="447"/>
      <c r="AW902" s="447"/>
      <c r="AX902" s="447"/>
      <c r="AY902" s="447"/>
      <c r="AZ902" s="447"/>
      <c r="BA902" s="447"/>
      <c r="BB902" s="447"/>
      <c r="BC902" s="447"/>
      <c r="BD902" s="447"/>
      <c r="BE902" s="447"/>
      <c r="BF902" s="447"/>
      <c r="BG902" s="447"/>
      <c r="BH902" s="447"/>
      <c r="BI902" s="447"/>
      <c r="BJ902" s="447"/>
      <c r="BK902" s="447"/>
      <c r="BL902" s="447"/>
      <c r="BM902" s="448"/>
      <c r="BN902" s="448"/>
    </row>
    <row r="903" spans="1:66" ht="11.25" customHeight="1">
      <c r="A903" s="469"/>
      <c r="B903" s="447"/>
      <c r="C903" s="447"/>
      <c r="D903" s="447"/>
      <c r="E903" s="447"/>
      <c r="F903" s="447"/>
      <c r="G903" s="447"/>
      <c r="H903" s="447"/>
      <c r="I903" s="447"/>
      <c r="J903" s="447"/>
      <c r="K903" s="447"/>
      <c r="L903" s="447"/>
      <c r="M903" s="447"/>
      <c r="N903" s="447"/>
      <c r="O903" s="447"/>
      <c r="P903" s="447"/>
      <c r="Q903" s="447"/>
      <c r="R903" s="447"/>
      <c r="S903" s="447"/>
      <c r="T903" s="447"/>
      <c r="U903" s="447"/>
      <c r="V903" s="447"/>
      <c r="W903" s="447"/>
      <c r="X903" s="447"/>
      <c r="Y903" s="447"/>
      <c r="Z903" s="447"/>
      <c r="AA903" s="447"/>
      <c r="AB903" s="447"/>
      <c r="AC903" s="447"/>
      <c r="AD903" s="447"/>
      <c r="AE903" s="447"/>
      <c r="AF903" s="448"/>
      <c r="AG903" s="448"/>
      <c r="AH903" s="448"/>
      <c r="AI903" s="447"/>
      <c r="AJ903" s="447"/>
      <c r="AK903" s="447"/>
      <c r="AL903" s="447"/>
      <c r="AM903" s="447"/>
      <c r="AN903" s="447"/>
      <c r="AO903" s="447"/>
      <c r="AP903" s="447"/>
      <c r="AQ903" s="447"/>
      <c r="AR903" s="447"/>
      <c r="AS903" s="447"/>
      <c r="AT903" s="447"/>
      <c r="AU903" s="447"/>
      <c r="AV903" s="447"/>
      <c r="AW903" s="447"/>
      <c r="AX903" s="447"/>
      <c r="AY903" s="447"/>
      <c r="AZ903" s="447"/>
      <c r="BA903" s="447"/>
      <c r="BB903" s="447"/>
      <c r="BC903" s="447"/>
      <c r="BD903" s="447"/>
      <c r="BE903" s="447"/>
      <c r="BF903" s="447"/>
      <c r="BG903" s="447"/>
      <c r="BH903" s="447"/>
      <c r="BI903" s="447"/>
      <c r="BJ903" s="447"/>
      <c r="BK903" s="447"/>
      <c r="BL903" s="447"/>
      <c r="BM903" s="448"/>
      <c r="BN903" s="448"/>
    </row>
    <row r="904" spans="1:66" ht="11.25" customHeight="1">
      <c r="A904" s="469"/>
      <c r="B904" s="447"/>
      <c r="C904" s="447"/>
      <c r="D904" s="447"/>
      <c r="E904" s="447"/>
      <c r="F904" s="447"/>
      <c r="G904" s="447"/>
      <c r="H904" s="447"/>
      <c r="I904" s="447"/>
      <c r="J904" s="447"/>
      <c r="K904" s="447"/>
      <c r="L904" s="447"/>
      <c r="M904" s="447"/>
      <c r="N904" s="447"/>
      <c r="O904" s="447"/>
      <c r="P904" s="447"/>
      <c r="Q904" s="447"/>
      <c r="R904" s="447"/>
      <c r="S904" s="447"/>
      <c r="T904" s="447"/>
      <c r="U904" s="447"/>
      <c r="V904" s="447"/>
      <c r="W904" s="447"/>
      <c r="X904" s="447"/>
      <c r="Y904" s="447"/>
      <c r="Z904" s="447"/>
      <c r="AA904" s="447"/>
      <c r="AB904" s="447"/>
      <c r="AC904" s="447"/>
      <c r="AD904" s="447"/>
      <c r="AE904" s="447"/>
      <c r="AF904" s="448"/>
      <c r="AG904" s="448"/>
      <c r="AH904" s="448"/>
      <c r="AI904" s="447"/>
      <c r="AJ904" s="447"/>
      <c r="AK904" s="447"/>
      <c r="AL904" s="447"/>
      <c r="AM904" s="447"/>
      <c r="AN904" s="447"/>
      <c r="AO904" s="447"/>
      <c r="AP904" s="447"/>
      <c r="AQ904" s="447"/>
      <c r="AR904" s="447"/>
      <c r="AS904" s="447"/>
      <c r="AT904" s="447"/>
      <c r="AU904" s="447"/>
      <c r="AV904" s="447"/>
      <c r="AW904" s="447"/>
      <c r="AX904" s="447"/>
      <c r="AY904" s="447"/>
      <c r="AZ904" s="447"/>
      <c r="BA904" s="447"/>
      <c r="BB904" s="447"/>
      <c r="BC904" s="447"/>
      <c r="BD904" s="447"/>
      <c r="BE904" s="447"/>
      <c r="BF904" s="447"/>
      <c r="BG904" s="447"/>
      <c r="BH904" s="447"/>
      <c r="BI904" s="447"/>
      <c r="BJ904" s="447"/>
      <c r="BK904" s="447"/>
      <c r="BL904" s="447"/>
      <c r="BM904" s="448"/>
      <c r="BN904" s="448"/>
    </row>
    <row r="905" spans="1:66" ht="11.25" customHeight="1">
      <c r="A905" s="469"/>
      <c r="B905" s="447"/>
      <c r="C905" s="447"/>
      <c r="D905" s="447"/>
      <c r="E905" s="447"/>
      <c r="F905" s="447"/>
      <c r="G905" s="447"/>
      <c r="H905" s="447"/>
      <c r="I905" s="447"/>
      <c r="J905" s="447"/>
      <c r="K905" s="447"/>
      <c r="L905" s="447"/>
      <c r="M905" s="447"/>
      <c r="N905" s="447"/>
      <c r="O905" s="447"/>
      <c r="P905" s="447"/>
      <c r="Q905" s="447"/>
      <c r="R905" s="447"/>
      <c r="S905" s="447"/>
      <c r="T905" s="447"/>
      <c r="U905" s="447"/>
      <c r="V905" s="447"/>
      <c r="W905" s="447"/>
      <c r="X905" s="447"/>
      <c r="Y905" s="447"/>
      <c r="Z905" s="447"/>
      <c r="AA905" s="447"/>
      <c r="AB905" s="447"/>
      <c r="AC905" s="447"/>
      <c r="AD905" s="447"/>
      <c r="AE905" s="447"/>
      <c r="AF905" s="448"/>
      <c r="AG905" s="448"/>
      <c r="AH905" s="448"/>
      <c r="AI905" s="447"/>
      <c r="AJ905" s="447"/>
      <c r="AK905" s="447"/>
      <c r="AL905" s="447"/>
      <c r="AM905" s="447"/>
      <c r="AN905" s="447"/>
      <c r="AO905" s="447"/>
      <c r="AP905" s="447"/>
      <c r="AQ905" s="447"/>
      <c r="AR905" s="447"/>
      <c r="AS905" s="447"/>
      <c r="AT905" s="447"/>
      <c r="AU905" s="447"/>
      <c r="AV905" s="447"/>
      <c r="AW905" s="447"/>
      <c r="AX905" s="447"/>
      <c r="AY905" s="447"/>
      <c r="AZ905" s="447"/>
      <c r="BA905" s="447"/>
      <c r="BB905" s="447"/>
      <c r="BC905" s="447"/>
      <c r="BD905" s="447"/>
      <c r="BE905" s="447"/>
      <c r="BF905" s="447"/>
      <c r="BG905" s="447"/>
      <c r="BH905" s="447"/>
      <c r="BI905" s="447"/>
      <c r="BJ905" s="447"/>
      <c r="BK905" s="447"/>
      <c r="BL905" s="447"/>
      <c r="BM905" s="448"/>
      <c r="BN905" s="448"/>
    </row>
    <row r="906" spans="1:66" ht="11.25" customHeight="1">
      <c r="A906" s="469"/>
      <c r="B906" s="447"/>
      <c r="C906" s="447"/>
      <c r="D906" s="447"/>
      <c r="E906" s="447"/>
      <c r="F906" s="447"/>
      <c r="G906" s="447"/>
      <c r="H906" s="447"/>
      <c r="I906" s="447"/>
      <c r="J906" s="447"/>
      <c r="K906" s="447"/>
      <c r="L906" s="447"/>
      <c r="M906" s="447"/>
      <c r="N906" s="447"/>
      <c r="O906" s="447"/>
      <c r="P906" s="447"/>
      <c r="Q906" s="447"/>
      <c r="R906" s="447"/>
      <c r="S906" s="447"/>
      <c r="T906" s="447"/>
      <c r="U906" s="447"/>
      <c r="V906" s="447"/>
      <c r="W906" s="447"/>
      <c r="X906" s="447"/>
      <c r="Y906" s="447"/>
      <c r="Z906" s="447"/>
      <c r="AA906" s="447"/>
      <c r="AB906" s="447"/>
      <c r="AC906" s="447"/>
      <c r="AD906" s="447"/>
      <c r="AE906" s="447"/>
      <c r="AF906" s="448"/>
      <c r="AG906" s="448"/>
      <c r="AH906" s="448"/>
      <c r="AI906" s="447"/>
      <c r="AJ906" s="447"/>
      <c r="AK906" s="447"/>
      <c r="AL906" s="447"/>
      <c r="AM906" s="447"/>
      <c r="AN906" s="447"/>
      <c r="AO906" s="447"/>
      <c r="AP906" s="447"/>
      <c r="AQ906" s="447"/>
      <c r="AR906" s="447"/>
      <c r="AS906" s="447"/>
      <c r="AT906" s="447"/>
      <c r="AU906" s="447"/>
      <c r="AV906" s="447"/>
      <c r="AW906" s="447"/>
      <c r="AX906" s="447"/>
      <c r="AY906" s="447"/>
      <c r="AZ906" s="447"/>
      <c r="BA906" s="447"/>
      <c r="BB906" s="447"/>
      <c r="BC906" s="447"/>
      <c r="BD906" s="447"/>
      <c r="BE906" s="447"/>
      <c r="BF906" s="447"/>
      <c r="BG906" s="447"/>
      <c r="BH906" s="447"/>
      <c r="BI906" s="447"/>
      <c r="BJ906" s="447"/>
      <c r="BK906" s="447"/>
      <c r="BL906" s="447"/>
      <c r="BM906" s="448"/>
      <c r="BN906" s="448"/>
    </row>
    <row r="907" spans="1:66" ht="11.25" customHeight="1">
      <c r="A907" s="469"/>
      <c r="B907" s="447"/>
      <c r="C907" s="447"/>
      <c r="D907" s="447"/>
      <c r="E907" s="447"/>
      <c r="F907" s="447"/>
      <c r="G907" s="447"/>
      <c r="H907" s="447"/>
      <c r="I907" s="447"/>
      <c r="J907" s="447"/>
      <c r="K907" s="447"/>
      <c r="L907" s="447"/>
      <c r="M907" s="447"/>
      <c r="N907" s="447"/>
      <c r="O907" s="447"/>
      <c r="P907" s="447"/>
      <c r="Q907" s="447"/>
      <c r="R907" s="447"/>
      <c r="S907" s="447"/>
      <c r="T907" s="447"/>
      <c r="U907" s="447"/>
      <c r="V907" s="447"/>
      <c r="W907" s="447"/>
      <c r="X907" s="447"/>
      <c r="Y907" s="447"/>
      <c r="Z907" s="447"/>
      <c r="AA907" s="447"/>
      <c r="AB907" s="447"/>
      <c r="AC907" s="447"/>
      <c r="AD907" s="447"/>
      <c r="AE907" s="447"/>
      <c r="AF907" s="448"/>
      <c r="AG907" s="448"/>
      <c r="AH907" s="448"/>
      <c r="AI907" s="447"/>
      <c r="AJ907" s="447"/>
      <c r="AK907" s="447"/>
      <c r="AL907" s="447"/>
      <c r="AM907" s="447"/>
      <c r="AN907" s="447"/>
      <c r="AO907" s="447"/>
      <c r="AP907" s="447"/>
      <c r="AQ907" s="447"/>
      <c r="AR907" s="447"/>
      <c r="AS907" s="447"/>
      <c r="AT907" s="447"/>
      <c r="AU907" s="447"/>
      <c r="AV907" s="447"/>
      <c r="AW907" s="447"/>
      <c r="AX907" s="447"/>
      <c r="AY907" s="447"/>
      <c r="AZ907" s="447"/>
      <c r="BA907" s="447"/>
      <c r="BB907" s="447"/>
      <c r="BC907" s="447"/>
      <c r="BD907" s="447"/>
      <c r="BE907" s="447"/>
      <c r="BF907" s="447"/>
      <c r="BG907" s="447"/>
      <c r="BH907" s="447"/>
      <c r="BI907" s="447"/>
      <c r="BJ907" s="447"/>
      <c r="BK907" s="447"/>
      <c r="BL907" s="447"/>
      <c r="BM907" s="448"/>
      <c r="BN907" s="448"/>
    </row>
    <row r="908" spans="1:66" ht="11.25" customHeight="1">
      <c r="A908" s="469"/>
      <c r="B908" s="447"/>
      <c r="C908" s="447"/>
      <c r="D908" s="447"/>
      <c r="E908" s="447"/>
      <c r="F908" s="447"/>
      <c r="G908" s="447"/>
      <c r="H908" s="447"/>
      <c r="I908" s="447"/>
      <c r="J908" s="447"/>
      <c r="K908" s="447"/>
      <c r="L908" s="447"/>
      <c r="M908" s="447"/>
      <c r="N908" s="447"/>
      <c r="O908" s="447"/>
      <c r="P908" s="447"/>
      <c r="Q908" s="447"/>
      <c r="R908" s="447"/>
      <c r="S908" s="447"/>
      <c r="T908" s="447"/>
      <c r="U908" s="447"/>
      <c r="V908" s="447"/>
      <c r="W908" s="447"/>
      <c r="X908" s="447"/>
      <c r="Y908" s="447"/>
      <c r="Z908" s="447"/>
      <c r="AA908" s="447"/>
      <c r="AB908" s="447"/>
      <c r="AC908" s="447"/>
      <c r="AD908" s="447"/>
      <c r="AE908" s="447"/>
      <c r="AF908" s="448"/>
      <c r="AG908" s="448"/>
      <c r="AH908" s="448"/>
      <c r="AI908" s="447"/>
      <c r="AJ908" s="447"/>
      <c r="AK908" s="447"/>
      <c r="AL908" s="447"/>
      <c r="AM908" s="447"/>
      <c r="AN908" s="447"/>
      <c r="AO908" s="447"/>
      <c r="AP908" s="447"/>
      <c r="AQ908" s="447"/>
      <c r="AR908" s="447"/>
      <c r="AS908" s="447"/>
      <c r="AT908" s="447"/>
      <c r="AU908" s="447"/>
      <c r="AV908" s="447"/>
      <c r="AW908" s="447"/>
      <c r="AX908" s="447"/>
      <c r="AY908" s="447"/>
      <c r="AZ908" s="447"/>
      <c r="BA908" s="447"/>
      <c r="BB908" s="447"/>
      <c r="BC908" s="447"/>
      <c r="BD908" s="447"/>
      <c r="BE908" s="447"/>
      <c r="BF908" s="447"/>
      <c r="BG908" s="447"/>
      <c r="BH908" s="447"/>
      <c r="BI908" s="447"/>
      <c r="BJ908" s="447"/>
      <c r="BK908" s="447"/>
      <c r="BL908" s="447"/>
      <c r="BM908" s="448"/>
      <c r="BN908" s="448"/>
    </row>
    <row r="909" spans="1:66" ht="11.25" customHeight="1">
      <c r="A909" s="469"/>
      <c r="B909" s="447"/>
      <c r="C909" s="447"/>
      <c r="D909" s="447"/>
      <c r="E909" s="447"/>
      <c r="F909" s="447"/>
      <c r="G909" s="447"/>
      <c r="H909" s="447"/>
      <c r="I909" s="447"/>
      <c r="J909" s="447"/>
      <c r="K909" s="447"/>
      <c r="L909" s="447"/>
      <c r="M909" s="447"/>
      <c r="N909" s="447"/>
      <c r="O909" s="447"/>
      <c r="P909" s="447"/>
      <c r="Q909" s="447"/>
      <c r="R909" s="447"/>
      <c r="S909" s="447"/>
      <c r="T909" s="447"/>
      <c r="U909" s="447"/>
      <c r="V909" s="447"/>
      <c r="W909" s="447"/>
      <c r="X909" s="447"/>
      <c r="Y909" s="447"/>
      <c r="Z909" s="447"/>
      <c r="AA909" s="447"/>
      <c r="AB909" s="447"/>
      <c r="AC909" s="447"/>
      <c r="AD909" s="447"/>
      <c r="AE909" s="447"/>
      <c r="AF909" s="448"/>
      <c r="AG909" s="448"/>
      <c r="AH909" s="448"/>
      <c r="AI909" s="447"/>
      <c r="AJ909" s="447"/>
      <c r="AK909" s="447"/>
      <c r="AL909" s="447"/>
      <c r="AM909" s="447"/>
      <c r="AN909" s="447"/>
      <c r="AO909" s="447"/>
      <c r="AP909" s="447"/>
      <c r="AQ909" s="447"/>
      <c r="AR909" s="447"/>
      <c r="AS909" s="447"/>
      <c r="AT909" s="447"/>
      <c r="AU909" s="447"/>
      <c r="AV909" s="447"/>
      <c r="AW909" s="447"/>
      <c r="AX909" s="447"/>
      <c r="AY909" s="447"/>
      <c r="AZ909" s="447"/>
      <c r="BA909" s="447"/>
      <c r="BB909" s="447"/>
      <c r="BC909" s="447"/>
      <c r="BD909" s="447"/>
      <c r="BE909" s="447"/>
      <c r="BF909" s="447"/>
      <c r="BG909" s="447"/>
      <c r="BH909" s="447"/>
      <c r="BI909" s="447"/>
      <c r="BJ909" s="447"/>
      <c r="BK909" s="447"/>
      <c r="BL909" s="447"/>
      <c r="BM909" s="448"/>
      <c r="BN909" s="448"/>
    </row>
    <row r="910" spans="1:66" ht="11.25" customHeight="1">
      <c r="A910" s="469"/>
      <c r="B910" s="447"/>
      <c r="C910" s="447"/>
      <c r="D910" s="447"/>
      <c r="E910" s="447"/>
      <c r="F910" s="447"/>
      <c r="G910" s="447"/>
      <c r="H910" s="447"/>
      <c r="I910" s="447"/>
      <c r="J910" s="447"/>
      <c r="K910" s="447"/>
      <c r="L910" s="447"/>
      <c r="M910" s="447"/>
      <c r="N910" s="447"/>
      <c r="O910" s="447"/>
      <c r="P910" s="447"/>
      <c r="Q910" s="447"/>
      <c r="R910" s="447"/>
      <c r="S910" s="447"/>
      <c r="T910" s="447"/>
      <c r="U910" s="447"/>
      <c r="V910" s="447"/>
      <c r="W910" s="447"/>
      <c r="X910" s="447"/>
      <c r="Y910" s="447"/>
      <c r="Z910" s="447"/>
      <c r="AA910" s="447"/>
      <c r="AB910" s="447"/>
      <c r="AC910" s="447"/>
      <c r="AD910" s="447"/>
      <c r="AE910" s="447"/>
      <c r="AF910" s="448"/>
      <c r="AG910" s="448"/>
      <c r="AH910" s="448"/>
      <c r="AI910" s="447"/>
      <c r="AJ910" s="447"/>
      <c r="AK910" s="447"/>
      <c r="AL910" s="447"/>
      <c r="AM910" s="447"/>
      <c r="AN910" s="447"/>
      <c r="AO910" s="447"/>
      <c r="AP910" s="447"/>
      <c r="AQ910" s="447"/>
      <c r="AR910" s="447"/>
      <c r="AS910" s="447"/>
      <c r="AT910" s="447"/>
      <c r="AU910" s="447"/>
      <c r="AV910" s="447"/>
      <c r="AW910" s="447"/>
      <c r="AX910" s="447"/>
      <c r="AY910" s="447"/>
      <c r="AZ910" s="447"/>
      <c r="BA910" s="447"/>
      <c r="BB910" s="447"/>
      <c r="BC910" s="447"/>
      <c r="BD910" s="447"/>
      <c r="BE910" s="447"/>
      <c r="BF910" s="447"/>
      <c r="BG910" s="447"/>
      <c r="BH910" s="447"/>
      <c r="BI910" s="447"/>
      <c r="BJ910" s="447"/>
      <c r="BK910" s="447"/>
      <c r="BL910" s="447"/>
      <c r="BM910" s="448"/>
      <c r="BN910" s="448"/>
    </row>
    <row r="911" spans="1:66" ht="11.25" customHeight="1">
      <c r="A911" s="469"/>
      <c r="B911" s="447"/>
      <c r="C911" s="447"/>
      <c r="D911" s="447"/>
      <c r="E911" s="447"/>
      <c r="F911" s="447"/>
      <c r="G911" s="447"/>
      <c r="H911" s="447"/>
      <c r="I911" s="447"/>
      <c r="J911" s="447"/>
      <c r="K911" s="447"/>
      <c r="L911" s="447"/>
      <c r="M911" s="447"/>
      <c r="N911" s="447"/>
      <c r="O911" s="447"/>
      <c r="P911" s="447"/>
      <c r="Q911" s="447"/>
      <c r="R911" s="447"/>
      <c r="S911" s="447"/>
      <c r="T911" s="447"/>
      <c r="U911" s="447"/>
      <c r="V911" s="447"/>
      <c r="W911" s="447"/>
      <c r="X911" s="447"/>
      <c r="Y911" s="447"/>
      <c r="Z911" s="447"/>
      <c r="AA911" s="447"/>
      <c r="AB911" s="447"/>
      <c r="AC911" s="447"/>
      <c r="AD911" s="447"/>
      <c r="AE911" s="447"/>
      <c r="AF911" s="448"/>
      <c r="AG911" s="448"/>
      <c r="AH911" s="448"/>
      <c r="AI911" s="447"/>
      <c r="AJ911" s="447"/>
      <c r="AK911" s="447"/>
      <c r="AL911" s="447"/>
      <c r="AM911" s="447"/>
      <c r="AN911" s="447"/>
      <c r="AO911" s="447"/>
      <c r="AP911" s="447"/>
      <c r="AQ911" s="447"/>
      <c r="AR911" s="447"/>
      <c r="AS911" s="447"/>
      <c r="AT911" s="447"/>
      <c r="AU911" s="447"/>
      <c r="AV911" s="447"/>
      <c r="AW911" s="447"/>
      <c r="AX911" s="447"/>
      <c r="AY911" s="447"/>
      <c r="AZ911" s="447"/>
      <c r="BA911" s="447"/>
      <c r="BB911" s="447"/>
      <c r="BC911" s="447"/>
      <c r="BD911" s="447"/>
      <c r="BE911" s="447"/>
      <c r="BF911" s="447"/>
      <c r="BG911" s="447"/>
      <c r="BH911" s="447"/>
      <c r="BI911" s="447"/>
      <c r="BJ911" s="447"/>
      <c r="BK911" s="447"/>
      <c r="BL911" s="447"/>
      <c r="BM911" s="448"/>
      <c r="BN911" s="448"/>
    </row>
    <row r="912" spans="1:66" ht="11.25" customHeight="1">
      <c r="A912" s="469"/>
      <c r="B912" s="447"/>
      <c r="C912" s="447"/>
      <c r="D912" s="447"/>
      <c r="E912" s="447"/>
      <c r="F912" s="447"/>
      <c r="G912" s="447"/>
      <c r="H912" s="447"/>
      <c r="I912" s="447"/>
      <c r="J912" s="447"/>
      <c r="K912" s="447"/>
      <c r="L912" s="447"/>
      <c r="M912" s="447"/>
      <c r="N912" s="447"/>
      <c r="O912" s="447"/>
      <c r="P912" s="447"/>
      <c r="Q912" s="447"/>
      <c r="R912" s="447"/>
      <c r="S912" s="447"/>
      <c r="T912" s="447"/>
      <c r="U912" s="447"/>
      <c r="V912" s="447"/>
      <c r="W912" s="447"/>
      <c r="X912" s="447"/>
      <c r="Y912" s="447"/>
      <c r="Z912" s="447"/>
      <c r="AA912" s="447"/>
      <c r="AB912" s="447"/>
      <c r="AC912" s="447"/>
      <c r="AD912" s="447"/>
      <c r="AE912" s="447"/>
      <c r="AF912" s="448"/>
      <c r="AG912" s="448"/>
      <c r="AH912" s="448"/>
      <c r="AI912" s="447"/>
      <c r="AJ912" s="447"/>
      <c r="AK912" s="447"/>
      <c r="AL912" s="447"/>
      <c r="AM912" s="447"/>
      <c r="AN912" s="447"/>
      <c r="AO912" s="447"/>
      <c r="AP912" s="447"/>
      <c r="AQ912" s="447"/>
      <c r="AR912" s="447"/>
      <c r="AS912" s="447"/>
      <c r="AT912" s="447"/>
      <c r="AU912" s="447"/>
      <c r="AV912" s="447"/>
      <c r="AW912" s="447"/>
      <c r="AX912" s="447"/>
      <c r="AY912" s="447"/>
      <c r="AZ912" s="447"/>
      <c r="BA912" s="447"/>
      <c r="BB912" s="447"/>
      <c r="BC912" s="447"/>
      <c r="BD912" s="447"/>
      <c r="BE912" s="447"/>
      <c r="BF912" s="447"/>
      <c r="BG912" s="447"/>
      <c r="BH912" s="447"/>
      <c r="BI912" s="447"/>
      <c r="BJ912" s="447"/>
      <c r="BK912" s="447"/>
      <c r="BL912" s="447"/>
      <c r="BM912" s="448"/>
      <c r="BN912" s="448"/>
    </row>
    <row r="913" spans="1:66" ht="11.25" customHeight="1">
      <c r="A913" s="469"/>
      <c r="B913" s="447"/>
      <c r="C913" s="447"/>
      <c r="D913" s="447"/>
      <c r="E913" s="447"/>
      <c r="F913" s="447"/>
      <c r="G913" s="447"/>
      <c r="H913" s="447"/>
      <c r="I913" s="447"/>
      <c r="J913" s="447"/>
      <c r="K913" s="447"/>
      <c r="L913" s="447"/>
      <c r="M913" s="447"/>
      <c r="N913" s="447"/>
      <c r="O913" s="447"/>
      <c r="P913" s="447"/>
      <c r="Q913" s="447"/>
      <c r="R913" s="447"/>
      <c r="S913" s="447"/>
      <c r="T913" s="447"/>
      <c r="U913" s="447"/>
      <c r="V913" s="447"/>
      <c r="W913" s="447"/>
      <c r="X913" s="447"/>
      <c r="Y913" s="447"/>
      <c r="Z913" s="447"/>
      <c r="AA913" s="447"/>
      <c r="AB913" s="447"/>
      <c r="AC913" s="447"/>
      <c r="AD913" s="447"/>
      <c r="AE913" s="447"/>
      <c r="AF913" s="448"/>
      <c r="AG913" s="448"/>
      <c r="AH913" s="448"/>
      <c r="AI913" s="447"/>
      <c r="AJ913" s="447"/>
      <c r="AK913" s="447"/>
      <c r="AL913" s="447"/>
      <c r="AM913" s="447"/>
      <c r="AN913" s="447"/>
      <c r="AO913" s="447"/>
      <c r="AP913" s="447"/>
      <c r="AQ913" s="447"/>
      <c r="AR913" s="447"/>
      <c r="AS913" s="447"/>
      <c r="AT913" s="447"/>
      <c r="AU913" s="447"/>
      <c r="AV913" s="447"/>
      <c r="AW913" s="447"/>
      <c r="AX913" s="447"/>
      <c r="AY913" s="447"/>
      <c r="AZ913" s="447"/>
      <c r="BA913" s="447"/>
      <c r="BB913" s="447"/>
      <c r="BC913" s="447"/>
      <c r="BD913" s="447"/>
      <c r="BE913" s="447"/>
      <c r="BF913" s="447"/>
      <c r="BG913" s="447"/>
      <c r="BH913" s="447"/>
      <c r="BI913" s="447"/>
      <c r="BJ913" s="447"/>
      <c r="BK913" s="447"/>
      <c r="BL913" s="447"/>
      <c r="BM913" s="448"/>
      <c r="BN913" s="448"/>
    </row>
    <row r="914" spans="1:66" ht="11.25" customHeight="1">
      <c r="A914" s="469"/>
      <c r="B914" s="447"/>
      <c r="C914" s="447"/>
      <c r="D914" s="447"/>
      <c r="E914" s="447"/>
      <c r="F914" s="447"/>
      <c r="G914" s="447"/>
      <c r="H914" s="447"/>
      <c r="I914" s="447"/>
      <c r="J914" s="447"/>
      <c r="K914" s="447"/>
      <c r="L914" s="447"/>
      <c r="M914" s="447"/>
      <c r="N914" s="447"/>
      <c r="O914" s="447"/>
      <c r="P914" s="447"/>
      <c r="Q914" s="447"/>
      <c r="R914" s="447"/>
      <c r="S914" s="447"/>
      <c r="T914" s="447"/>
      <c r="U914" s="447"/>
      <c r="V914" s="447"/>
      <c r="W914" s="447"/>
      <c r="X914" s="447"/>
      <c r="Y914" s="447"/>
      <c r="Z914" s="447"/>
      <c r="AA914" s="447"/>
      <c r="AB914" s="447"/>
      <c r="AC914" s="447"/>
      <c r="AD914" s="447"/>
      <c r="AE914" s="447"/>
      <c r="AF914" s="448"/>
      <c r="AG914" s="448"/>
      <c r="AH914" s="448"/>
      <c r="AI914" s="447"/>
      <c r="AJ914" s="447"/>
      <c r="AK914" s="447"/>
      <c r="AL914" s="447"/>
      <c r="AM914" s="447"/>
      <c r="AN914" s="447"/>
      <c r="AO914" s="447"/>
      <c r="AP914" s="447"/>
      <c r="AQ914" s="447"/>
      <c r="AR914" s="447"/>
      <c r="AS914" s="447"/>
      <c r="AT914" s="447"/>
      <c r="AU914" s="447"/>
      <c r="AV914" s="447"/>
      <c r="AW914" s="447"/>
      <c r="AX914" s="447"/>
      <c r="AY914" s="447"/>
      <c r="AZ914" s="447"/>
      <c r="BA914" s="447"/>
      <c r="BB914" s="447"/>
      <c r="BC914" s="447"/>
      <c r="BD914" s="447"/>
      <c r="BE914" s="447"/>
      <c r="BF914" s="447"/>
      <c r="BG914" s="447"/>
      <c r="BH914" s="447"/>
      <c r="BI914" s="447"/>
      <c r="BJ914" s="447"/>
      <c r="BK914" s="447"/>
      <c r="BL914" s="447"/>
      <c r="BM914" s="448"/>
      <c r="BN914" s="448"/>
    </row>
    <row r="915" spans="1:66" ht="11.25" customHeight="1">
      <c r="A915" s="469"/>
      <c r="B915" s="447"/>
      <c r="C915" s="447"/>
      <c r="D915" s="447"/>
      <c r="E915" s="447"/>
      <c r="F915" s="447"/>
      <c r="G915" s="447"/>
      <c r="H915" s="447"/>
      <c r="I915" s="447"/>
      <c r="J915" s="447"/>
      <c r="K915" s="447"/>
      <c r="L915" s="447"/>
      <c r="M915" s="447"/>
      <c r="N915" s="447"/>
      <c r="O915" s="447"/>
      <c r="P915" s="447"/>
      <c r="Q915" s="447"/>
      <c r="R915" s="447"/>
      <c r="S915" s="447"/>
      <c r="T915" s="447"/>
      <c r="U915" s="447"/>
      <c r="V915" s="447"/>
      <c r="W915" s="447"/>
      <c r="X915" s="447"/>
      <c r="Y915" s="447"/>
      <c r="Z915" s="447"/>
      <c r="AA915" s="447"/>
      <c r="AB915" s="447"/>
      <c r="AC915" s="447"/>
      <c r="AD915" s="447"/>
      <c r="AE915" s="447"/>
      <c r="AF915" s="448"/>
      <c r="AG915" s="448"/>
      <c r="AH915" s="448"/>
      <c r="AI915" s="447"/>
      <c r="AJ915" s="447"/>
      <c r="AK915" s="447"/>
      <c r="AL915" s="447"/>
      <c r="AM915" s="447"/>
      <c r="AN915" s="447"/>
      <c r="AO915" s="447"/>
      <c r="AP915" s="447"/>
      <c r="AQ915" s="447"/>
      <c r="AR915" s="447"/>
      <c r="AS915" s="447"/>
      <c r="AT915" s="447"/>
      <c r="AU915" s="447"/>
      <c r="AV915" s="447"/>
      <c r="AW915" s="447"/>
      <c r="AX915" s="447"/>
      <c r="AY915" s="447"/>
      <c r="AZ915" s="447"/>
      <c r="BA915" s="447"/>
      <c r="BB915" s="447"/>
      <c r="BC915" s="447"/>
      <c r="BD915" s="447"/>
      <c r="BE915" s="447"/>
      <c r="BF915" s="447"/>
      <c r="BG915" s="447"/>
      <c r="BH915" s="447"/>
      <c r="BI915" s="447"/>
      <c r="BJ915" s="447"/>
      <c r="BK915" s="447"/>
      <c r="BL915" s="447"/>
      <c r="BM915" s="448"/>
      <c r="BN915" s="448"/>
    </row>
    <row r="916" spans="1:66" ht="11.25" customHeight="1">
      <c r="A916" s="469"/>
      <c r="B916" s="447"/>
      <c r="C916" s="447"/>
      <c r="D916" s="447"/>
      <c r="E916" s="447"/>
      <c r="F916" s="447"/>
      <c r="G916" s="447"/>
      <c r="H916" s="447"/>
      <c r="I916" s="447"/>
      <c r="J916" s="447"/>
      <c r="K916" s="447"/>
      <c r="L916" s="447"/>
      <c r="M916" s="447"/>
      <c r="N916" s="447"/>
      <c r="O916" s="447"/>
      <c r="P916" s="447"/>
      <c r="Q916" s="447"/>
      <c r="R916" s="447"/>
      <c r="S916" s="447"/>
      <c r="T916" s="447"/>
      <c r="U916" s="447"/>
      <c r="V916" s="447"/>
      <c r="W916" s="447"/>
      <c r="X916" s="447"/>
      <c r="Y916" s="447"/>
      <c r="Z916" s="447"/>
      <c r="AA916" s="447"/>
      <c r="AB916" s="447"/>
      <c r="AC916" s="447"/>
      <c r="AD916" s="447"/>
      <c r="AE916" s="447"/>
      <c r="AF916" s="448"/>
      <c r="AG916" s="448"/>
      <c r="AH916" s="448"/>
      <c r="AI916" s="447"/>
      <c r="AJ916" s="447"/>
      <c r="AK916" s="447"/>
      <c r="AL916" s="447"/>
      <c r="AM916" s="447"/>
      <c r="AN916" s="447"/>
      <c r="AO916" s="447"/>
      <c r="AP916" s="447"/>
      <c r="AQ916" s="447"/>
      <c r="AR916" s="447"/>
      <c r="AS916" s="447"/>
      <c r="AT916" s="447"/>
      <c r="AU916" s="447"/>
      <c r="AV916" s="447"/>
      <c r="AW916" s="447"/>
      <c r="AX916" s="447"/>
      <c r="AY916" s="447"/>
      <c r="AZ916" s="447"/>
      <c r="BA916" s="447"/>
      <c r="BB916" s="447"/>
      <c r="BC916" s="447"/>
      <c r="BD916" s="447"/>
      <c r="BE916" s="447"/>
      <c r="BF916" s="447"/>
      <c r="BG916" s="447"/>
      <c r="BH916" s="447"/>
      <c r="BI916" s="447"/>
      <c r="BJ916" s="447"/>
      <c r="BK916" s="447"/>
      <c r="BL916" s="447"/>
      <c r="BM916" s="448"/>
      <c r="BN916" s="448"/>
    </row>
    <row r="917" spans="1:66" ht="11.25" customHeight="1">
      <c r="A917" s="469"/>
      <c r="B917" s="447"/>
      <c r="C917" s="447"/>
      <c r="D917" s="447"/>
      <c r="E917" s="447"/>
      <c r="F917" s="447"/>
      <c r="G917" s="447"/>
      <c r="H917" s="447"/>
      <c r="I917" s="447"/>
      <c r="J917" s="447"/>
      <c r="K917" s="447"/>
      <c r="L917" s="447"/>
      <c r="M917" s="447"/>
      <c r="N917" s="447"/>
      <c r="O917" s="447"/>
      <c r="P917" s="447"/>
      <c r="Q917" s="447"/>
      <c r="R917" s="447"/>
      <c r="S917" s="447"/>
      <c r="T917" s="447"/>
      <c r="U917" s="447"/>
      <c r="V917" s="447"/>
      <c r="W917" s="447"/>
      <c r="X917" s="447"/>
      <c r="Y917" s="447"/>
      <c r="Z917" s="447"/>
      <c r="AA917" s="447"/>
      <c r="AB917" s="447"/>
      <c r="AC917" s="447"/>
      <c r="AD917" s="447"/>
      <c r="AE917" s="447"/>
      <c r="AF917" s="448"/>
      <c r="AG917" s="448"/>
      <c r="AH917" s="448"/>
      <c r="AI917" s="447"/>
      <c r="AJ917" s="447"/>
      <c r="AK917" s="447"/>
      <c r="AL917" s="447"/>
      <c r="AM917" s="447"/>
      <c r="AN917" s="447"/>
      <c r="AO917" s="447"/>
      <c r="AP917" s="447"/>
      <c r="AQ917" s="447"/>
      <c r="AR917" s="447"/>
      <c r="AS917" s="447"/>
      <c r="AT917" s="447"/>
      <c r="AU917" s="447"/>
      <c r="AV917" s="447"/>
      <c r="AW917" s="447"/>
      <c r="AX917" s="447"/>
      <c r="AY917" s="447"/>
      <c r="AZ917" s="447"/>
      <c r="BA917" s="447"/>
      <c r="BB917" s="447"/>
      <c r="BC917" s="447"/>
      <c r="BD917" s="447"/>
      <c r="BE917" s="447"/>
      <c r="BF917" s="447"/>
      <c r="BG917" s="447"/>
      <c r="BH917" s="447"/>
      <c r="BI917" s="447"/>
      <c r="BJ917" s="447"/>
      <c r="BK917" s="447"/>
      <c r="BL917" s="447"/>
      <c r="BM917" s="448"/>
      <c r="BN917" s="448"/>
    </row>
    <row r="918" spans="1:66" ht="11.25" customHeight="1">
      <c r="A918" s="469"/>
      <c r="B918" s="447"/>
      <c r="C918" s="447"/>
      <c r="D918" s="447"/>
      <c r="E918" s="447"/>
      <c r="F918" s="447"/>
      <c r="G918" s="447"/>
      <c r="H918" s="447"/>
      <c r="I918" s="447"/>
      <c r="J918" s="447"/>
      <c r="K918" s="447"/>
      <c r="L918" s="447"/>
      <c r="M918" s="447"/>
      <c r="N918" s="447"/>
      <c r="O918" s="447"/>
      <c r="P918" s="447"/>
      <c r="Q918" s="447"/>
      <c r="R918" s="447"/>
      <c r="S918" s="447"/>
      <c r="T918" s="447"/>
      <c r="U918" s="447"/>
      <c r="V918" s="447"/>
      <c r="W918" s="447"/>
      <c r="X918" s="447"/>
      <c r="Y918" s="447"/>
      <c r="Z918" s="447"/>
      <c r="AA918" s="447"/>
      <c r="AB918" s="447"/>
      <c r="AC918" s="447"/>
      <c r="AD918" s="447"/>
      <c r="AE918" s="447"/>
      <c r="AF918" s="448"/>
      <c r="AG918" s="448"/>
      <c r="AH918" s="448"/>
      <c r="AI918" s="447"/>
      <c r="AJ918" s="447"/>
      <c r="AK918" s="447"/>
      <c r="AL918" s="447"/>
      <c r="AM918" s="447"/>
      <c r="AN918" s="447"/>
      <c r="AO918" s="447"/>
      <c r="AP918" s="447"/>
      <c r="AQ918" s="447"/>
      <c r="AR918" s="447"/>
      <c r="AS918" s="447"/>
      <c r="AT918" s="447"/>
      <c r="AU918" s="447"/>
      <c r="AV918" s="447"/>
      <c r="AW918" s="447"/>
      <c r="AX918" s="447"/>
      <c r="AY918" s="447"/>
      <c r="AZ918" s="447"/>
      <c r="BA918" s="447"/>
      <c r="BB918" s="447"/>
      <c r="BC918" s="447"/>
      <c r="BD918" s="447"/>
      <c r="BE918" s="447"/>
      <c r="BF918" s="447"/>
      <c r="BG918" s="447"/>
      <c r="BH918" s="447"/>
      <c r="BI918" s="447"/>
      <c r="BJ918" s="447"/>
      <c r="BK918" s="447"/>
      <c r="BL918" s="447"/>
      <c r="BM918" s="448"/>
      <c r="BN918" s="448"/>
    </row>
    <row r="919" spans="1:66" ht="11.25" customHeight="1">
      <c r="A919" s="469"/>
      <c r="B919" s="447"/>
      <c r="C919" s="447"/>
      <c r="D919" s="447"/>
      <c r="E919" s="447"/>
      <c r="F919" s="447"/>
      <c r="G919" s="447"/>
      <c r="H919" s="447"/>
      <c r="I919" s="447"/>
      <c r="J919" s="447"/>
      <c r="K919" s="447"/>
      <c r="L919" s="447"/>
      <c r="M919" s="447"/>
      <c r="N919" s="447"/>
      <c r="O919" s="447"/>
      <c r="P919" s="447"/>
      <c r="Q919" s="447"/>
      <c r="R919" s="447"/>
      <c r="S919" s="447"/>
      <c r="T919" s="447"/>
      <c r="U919" s="447"/>
      <c r="V919" s="447"/>
      <c r="W919" s="447"/>
      <c r="X919" s="447"/>
      <c r="Y919" s="447"/>
      <c r="Z919" s="447"/>
      <c r="AA919" s="447"/>
      <c r="AB919" s="447"/>
      <c r="AC919" s="447"/>
      <c r="AD919" s="447"/>
      <c r="AE919" s="447"/>
      <c r="AF919" s="448"/>
      <c r="AG919" s="448"/>
      <c r="AH919" s="448"/>
      <c r="AI919" s="447"/>
      <c r="AJ919" s="447"/>
      <c r="AK919" s="447"/>
      <c r="AL919" s="447"/>
      <c r="AM919" s="447"/>
      <c r="AN919" s="447"/>
      <c r="AO919" s="447"/>
      <c r="AP919" s="447"/>
      <c r="AQ919" s="447"/>
      <c r="AR919" s="447"/>
      <c r="AS919" s="447"/>
      <c r="AT919" s="447"/>
      <c r="AU919" s="447"/>
      <c r="AV919" s="447"/>
      <c r="AW919" s="447"/>
      <c r="AX919" s="447"/>
      <c r="AY919" s="447"/>
      <c r="AZ919" s="447"/>
      <c r="BA919" s="447"/>
      <c r="BB919" s="447"/>
      <c r="BC919" s="447"/>
      <c r="BD919" s="447"/>
      <c r="BE919" s="447"/>
      <c r="BF919" s="447"/>
      <c r="BG919" s="447"/>
      <c r="BH919" s="447"/>
      <c r="BI919" s="447"/>
      <c r="BJ919" s="447"/>
      <c r="BK919" s="447"/>
      <c r="BL919" s="447"/>
      <c r="BM919" s="448"/>
      <c r="BN919" s="448"/>
    </row>
    <row r="920" spans="1:66" ht="11.25" customHeight="1">
      <c r="A920" s="469"/>
      <c r="B920" s="447"/>
      <c r="C920" s="447"/>
      <c r="D920" s="447"/>
      <c r="E920" s="447"/>
      <c r="F920" s="447"/>
      <c r="G920" s="447"/>
      <c r="H920" s="447"/>
      <c r="I920" s="447"/>
      <c r="J920" s="447"/>
      <c r="K920" s="447"/>
      <c r="L920" s="447"/>
      <c r="M920" s="447"/>
      <c r="N920" s="447"/>
      <c r="O920" s="447"/>
      <c r="P920" s="447"/>
      <c r="Q920" s="447"/>
      <c r="R920" s="447"/>
      <c r="S920" s="447"/>
      <c r="T920" s="447"/>
      <c r="U920" s="447"/>
      <c r="V920" s="447"/>
      <c r="W920" s="447"/>
      <c r="X920" s="447"/>
      <c r="Y920" s="447"/>
      <c r="Z920" s="447"/>
      <c r="AA920" s="447"/>
      <c r="AB920" s="447"/>
      <c r="AC920" s="447"/>
      <c r="AD920" s="447"/>
      <c r="AE920" s="447"/>
      <c r="AF920" s="448"/>
      <c r="AG920" s="448"/>
      <c r="AH920" s="448"/>
      <c r="AI920" s="447"/>
      <c r="AJ920" s="447"/>
      <c r="AK920" s="447"/>
      <c r="AL920" s="447"/>
      <c r="AM920" s="447"/>
      <c r="AN920" s="447"/>
      <c r="AO920" s="447"/>
      <c r="AP920" s="447"/>
      <c r="AQ920" s="447"/>
      <c r="AR920" s="447"/>
      <c r="AS920" s="447"/>
      <c r="AT920" s="447"/>
      <c r="AU920" s="447"/>
      <c r="AV920" s="447"/>
      <c r="AW920" s="447"/>
      <c r="AX920" s="447"/>
      <c r="AY920" s="447"/>
      <c r="AZ920" s="447"/>
      <c r="BA920" s="447"/>
      <c r="BB920" s="447"/>
      <c r="BC920" s="447"/>
      <c r="BD920" s="447"/>
      <c r="BE920" s="447"/>
      <c r="BF920" s="447"/>
      <c r="BG920" s="447"/>
      <c r="BH920" s="447"/>
      <c r="BI920" s="447"/>
      <c r="BJ920" s="447"/>
      <c r="BK920" s="447"/>
      <c r="BL920" s="447"/>
      <c r="BM920" s="448"/>
      <c r="BN920" s="448"/>
    </row>
    <row r="921" spans="1:66" ht="11.25" customHeight="1">
      <c r="A921" s="469"/>
      <c r="B921" s="447"/>
      <c r="C921" s="447"/>
      <c r="D921" s="447"/>
      <c r="E921" s="447"/>
      <c r="F921" s="447"/>
      <c r="G921" s="447"/>
      <c r="H921" s="447"/>
      <c r="I921" s="447"/>
      <c r="J921" s="447"/>
      <c r="K921" s="447"/>
      <c r="L921" s="447"/>
      <c r="M921" s="447"/>
      <c r="N921" s="447"/>
      <c r="O921" s="447"/>
      <c r="P921" s="447"/>
      <c r="Q921" s="447"/>
      <c r="R921" s="447"/>
      <c r="S921" s="447"/>
      <c r="T921" s="447"/>
      <c r="U921" s="447"/>
      <c r="V921" s="447"/>
      <c r="W921" s="447"/>
      <c r="X921" s="447"/>
      <c r="Y921" s="447"/>
      <c r="Z921" s="447"/>
      <c r="AA921" s="447"/>
      <c r="AB921" s="447"/>
      <c r="AC921" s="447"/>
      <c r="AD921" s="447"/>
      <c r="AE921" s="447"/>
      <c r="AF921" s="448"/>
      <c r="AG921" s="448"/>
      <c r="AH921" s="448"/>
      <c r="AI921" s="447"/>
      <c r="AJ921" s="447"/>
      <c r="AK921" s="447"/>
      <c r="AL921" s="447"/>
      <c r="AM921" s="447"/>
      <c r="AN921" s="447"/>
      <c r="AO921" s="447"/>
      <c r="AP921" s="447"/>
      <c r="AQ921" s="447"/>
      <c r="AR921" s="447"/>
      <c r="AS921" s="447"/>
      <c r="AT921" s="447"/>
      <c r="AU921" s="447"/>
      <c r="AV921" s="447"/>
      <c r="AW921" s="447"/>
      <c r="AX921" s="447"/>
      <c r="AY921" s="447"/>
      <c r="AZ921" s="447"/>
      <c r="BA921" s="447"/>
      <c r="BB921" s="447"/>
      <c r="BC921" s="447"/>
      <c r="BD921" s="447"/>
      <c r="BE921" s="447"/>
      <c r="BF921" s="447"/>
      <c r="BG921" s="447"/>
      <c r="BH921" s="447"/>
      <c r="BI921" s="447"/>
      <c r="BJ921" s="447"/>
      <c r="BK921" s="447"/>
      <c r="BL921" s="447"/>
      <c r="BM921" s="448"/>
      <c r="BN921" s="448"/>
    </row>
    <row r="922" spans="1:66" ht="11.25" customHeight="1">
      <c r="A922" s="469"/>
      <c r="B922" s="447"/>
      <c r="C922" s="447"/>
      <c r="D922" s="447"/>
      <c r="E922" s="447"/>
      <c r="F922" s="447"/>
      <c r="G922" s="447"/>
      <c r="H922" s="447"/>
      <c r="I922" s="447"/>
      <c r="J922" s="447"/>
      <c r="K922" s="447"/>
      <c r="L922" s="447"/>
      <c r="M922" s="447"/>
      <c r="N922" s="447"/>
      <c r="O922" s="447"/>
      <c r="P922" s="447"/>
      <c r="Q922" s="447"/>
      <c r="R922" s="447"/>
      <c r="S922" s="447"/>
      <c r="T922" s="447"/>
      <c r="U922" s="447"/>
      <c r="V922" s="447"/>
      <c r="W922" s="447"/>
      <c r="X922" s="447"/>
      <c r="Y922" s="447"/>
      <c r="Z922" s="447"/>
      <c r="AA922" s="447"/>
      <c r="AB922" s="447"/>
      <c r="AC922" s="447"/>
      <c r="AD922" s="447"/>
      <c r="AE922" s="447"/>
      <c r="AF922" s="448"/>
      <c r="AG922" s="448"/>
      <c r="AH922" s="448"/>
      <c r="AI922" s="447"/>
      <c r="AJ922" s="447"/>
      <c r="AK922" s="447"/>
      <c r="AL922" s="447"/>
      <c r="AM922" s="447"/>
      <c r="AN922" s="447"/>
      <c r="AO922" s="447"/>
      <c r="AP922" s="447"/>
      <c r="AQ922" s="447"/>
      <c r="AR922" s="447"/>
      <c r="AS922" s="447"/>
      <c r="AT922" s="447"/>
      <c r="AU922" s="447"/>
      <c r="AV922" s="447"/>
      <c r="AW922" s="447"/>
      <c r="AX922" s="447"/>
      <c r="AY922" s="447"/>
      <c r="AZ922" s="447"/>
      <c r="BA922" s="447"/>
      <c r="BB922" s="447"/>
      <c r="BC922" s="447"/>
      <c r="BD922" s="447"/>
      <c r="BE922" s="447"/>
      <c r="BF922" s="447"/>
      <c r="BG922" s="447"/>
      <c r="BH922" s="447"/>
      <c r="BI922" s="447"/>
      <c r="BJ922" s="447"/>
      <c r="BK922" s="447"/>
      <c r="BL922" s="447"/>
      <c r="BM922" s="448"/>
      <c r="BN922" s="448"/>
    </row>
    <row r="923" spans="1:66" ht="11.25" customHeight="1">
      <c r="A923" s="469"/>
      <c r="B923" s="447"/>
      <c r="C923" s="447"/>
      <c r="D923" s="447"/>
      <c r="E923" s="447"/>
      <c r="F923" s="447"/>
      <c r="G923" s="447"/>
      <c r="H923" s="447"/>
      <c r="I923" s="447"/>
      <c r="J923" s="447"/>
      <c r="K923" s="447"/>
      <c r="L923" s="447"/>
      <c r="M923" s="447"/>
      <c r="N923" s="447"/>
      <c r="O923" s="447"/>
      <c r="P923" s="447"/>
      <c r="Q923" s="447"/>
      <c r="R923" s="447"/>
      <c r="S923" s="447"/>
      <c r="T923" s="447"/>
      <c r="U923" s="447"/>
      <c r="V923" s="447"/>
      <c r="W923" s="447"/>
      <c r="X923" s="447"/>
      <c r="Y923" s="447"/>
      <c r="Z923" s="447"/>
      <c r="AA923" s="447"/>
      <c r="AB923" s="447"/>
      <c r="AC923" s="447"/>
      <c r="AD923" s="447"/>
      <c r="AE923" s="447"/>
      <c r="AF923" s="448"/>
      <c r="AG923" s="448"/>
      <c r="AH923" s="448"/>
      <c r="AI923" s="447"/>
      <c r="AJ923" s="447"/>
      <c r="AK923" s="447"/>
      <c r="AL923" s="447"/>
      <c r="AM923" s="447"/>
      <c r="AN923" s="447"/>
      <c r="AO923" s="447"/>
      <c r="AP923" s="447"/>
      <c r="AQ923" s="447"/>
      <c r="AR923" s="447"/>
      <c r="AS923" s="447"/>
      <c r="AT923" s="447"/>
      <c r="AU923" s="447"/>
      <c r="AV923" s="447"/>
      <c r="AW923" s="447"/>
      <c r="AX923" s="447"/>
      <c r="AY923" s="447"/>
      <c r="AZ923" s="447"/>
      <c r="BA923" s="447"/>
      <c r="BB923" s="447"/>
      <c r="BC923" s="447"/>
      <c r="BD923" s="447"/>
      <c r="BE923" s="447"/>
      <c r="BF923" s="447"/>
      <c r="BG923" s="447"/>
      <c r="BH923" s="447"/>
      <c r="BI923" s="447"/>
      <c r="BJ923" s="447"/>
      <c r="BK923" s="447"/>
      <c r="BL923" s="447"/>
      <c r="BM923" s="448"/>
      <c r="BN923" s="448"/>
    </row>
    <row r="924" spans="1:66" ht="11.25" customHeight="1">
      <c r="A924" s="469"/>
      <c r="B924" s="447"/>
      <c r="C924" s="447"/>
      <c r="D924" s="447"/>
      <c r="E924" s="447"/>
      <c r="F924" s="447"/>
      <c r="G924" s="447"/>
      <c r="H924" s="447"/>
      <c r="I924" s="447"/>
      <c r="J924" s="447"/>
      <c r="K924" s="447"/>
      <c r="L924" s="447"/>
      <c r="M924" s="447"/>
      <c r="N924" s="447"/>
      <c r="O924" s="447"/>
      <c r="P924" s="447"/>
      <c r="Q924" s="447"/>
      <c r="R924" s="447"/>
      <c r="S924" s="447"/>
      <c r="T924" s="447"/>
      <c r="U924" s="447"/>
      <c r="V924" s="447"/>
      <c r="W924" s="447"/>
      <c r="X924" s="447"/>
      <c r="Y924" s="447"/>
      <c r="Z924" s="447"/>
      <c r="AA924" s="447"/>
      <c r="AB924" s="447"/>
      <c r="AC924" s="447"/>
      <c r="AD924" s="447"/>
      <c r="AE924" s="447"/>
      <c r="AF924" s="448"/>
      <c r="AG924" s="448"/>
      <c r="AH924" s="448"/>
      <c r="AI924" s="447"/>
      <c r="AJ924" s="447"/>
      <c r="AK924" s="447"/>
      <c r="AL924" s="447"/>
      <c r="AM924" s="447"/>
      <c r="AN924" s="447"/>
      <c r="AO924" s="447"/>
      <c r="AP924" s="447"/>
      <c r="AQ924" s="447"/>
      <c r="AR924" s="447"/>
      <c r="AS924" s="447"/>
      <c r="AT924" s="447"/>
      <c r="AU924" s="447"/>
      <c r="AV924" s="447"/>
      <c r="AW924" s="447"/>
      <c r="AX924" s="447"/>
      <c r="AY924" s="447"/>
      <c r="AZ924" s="447"/>
      <c r="BA924" s="447"/>
      <c r="BB924" s="447"/>
      <c r="BC924" s="447"/>
      <c r="BD924" s="447"/>
      <c r="BE924" s="447"/>
      <c r="BF924" s="447"/>
      <c r="BG924" s="447"/>
      <c r="BH924" s="447"/>
      <c r="BI924" s="447"/>
      <c r="BJ924" s="447"/>
      <c r="BK924" s="447"/>
      <c r="BL924" s="447"/>
      <c r="BM924" s="448"/>
      <c r="BN924" s="448"/>
    </row>
    <row r="925" spans="1:66" ht="11.25" customHeight="1">
      <c r="A925" s="469"/>
      <c r="B925" s="447"/>
      <c r="C925" s="447"/>
      <c r="D925" s="447"/>
      <c r="E925" s="447"/>
      <c r="F925" s="447"/>
      <c r="G925" s="447"/>
      <c r="H925" s="447"/>
      <c r="I925" s="447"/>
      <c r="J925" s="447"/>
      <c r="K925" s="447"/>
      <c r="L925" s="447"/>
      <c r="M925" s="447"/>
      <c r="N925" s="447"/>
      <c r="O925" s="447"/>
      <c r="P925" s="447"/>
      <c r="Q925" s="447"/>
      <c r="R925" s="447"/>
      <c r="S925" s="447"/>
      <c r="T925" s="447"/>
      <c r="U925" s="447"/>
      <c r="V925" s="447"/>
      <c r="W925" s="447"/>
      <c r="X925" s="447"/>
      <c r="Y925" s="447"/>
      <c r="Z925" s="447"/>
      <c r="AA925" s="447"/>
      <c r="AB925" s="447"/>
      <c r="AC925" s="447"/>
      <c r="AD925" s="447"/>
      <c r="AE925" s="447"/>
      <c r="AF925" s="448"/>
      <c r="AG925" s="448"/>
      <c r="AH925" s="448"/>
      <c r="AI925" s="447"/>
      <c r="AJ925" s="447"/>
      <c r="AK925" s="447"/>
      <c r="AL925" s="447"/>
      <c r="AM925" s="447"/>
      <c r="AN925" s="447"/>
      <c r="AO925" s="447"/>
      <c r="AP925" s="447"/>
      <c r="AQ925" s="447"/>
      <c r="AR925" s="447"/>
      <c r="AS925" s="447"/>
      <c r="AT925" s="447"/>
      <c r="AU925" s="447"/>
      <c r="AV925" s="447"/>
      <c r="AW925" s="447"/>
      <c r="AX925" s="447"/>
      <c r="AY925" s="447"/>
      <c r="AZ925" s="447"/>
      <c r="BA925" s="447"/>
      <c r="BB925" s="447"/>
      <c r="BC925" s="447"/>
      <c r="BD925" s="447"/>
      <c r="BE925" s="447"/>
      <c r="BF925" s="447"/>
      <c r="BG925" s="447"/>
      <c r="BH925" s="447"/>
      <c r="BI925" s="447"/>
      <c r="BJ925" s="447"/>
      <c r="BK925" s="447"/>
      <c r="BL925" s="447"/>
      <c r="BM925" s="448"/>
      <c r="BN925" s="448"/>
    </row>
    <row r="926" spans="1:66" ht="11.25" customHeight="1">
      <c r="A926" s="469"/>
      <c r="B926" s="447"/>
      <c r="C926" s="447"/>
      <c r="D926" s="447"/>
      <c r="E926" s="447"/>
      <c r="F926" s="447"/>
      <c r="G926" s="447"/>
      <c r="H926" s="447"/>
      <c r="I926" s="447"/>
      <c r="J926" s="447"/>
      <c r="K926" s="447"/>
      <c r="L926" s="447"/>
      <c r="M926" s="447"/>
      <c r="N926" s="447"/>
      <c r="O926" s="447"/>
      <c r="P926" s="447"/>
      <c r="Q926" s="447"/>
      <c r="R926" s="447"/>
      <c r="S926" s="447"/>
      <c r="T926" s="447"/>
      <c r="U926" s="447"/>
      <c r="V926" s="447"/>
      <c r="W926" s="447"/>
      <c r="X926" s="447"/>
      <c r="Y926" s="447"/>
      <c r="Z926" s="447"/>
      <c r="AA926" s="447"/>
      <c r="AB926" s="447"/>
      <c r="AC926" s="447"/>
      <c r="AD926" s="447"/>
      <c r="AE926" s="447"/>
      <c r="AF926" s="448"/>
      <c r="AG926" s="448"/>
      <c r="AH926" s="448"/>
      <c r="AI926" s="447"/>
      <c r="AJ926" s="447"/>
      <c r="AK926" s="447"/>
      <c r="AL926" s="447"/>
      <c r="AM926" s="447"/>
      <c r="AN926" s="447"/>
      <c r="AO926" s="447"/>
      <c r="AP926" s="447"/>
      <c r="AQ926" s="447"/>
      <c r="AR926" s="447"/>
      <c r="AS926" s="447"/>
      <c r="AT926" s="447"/>
      <c r="AU926" s="447"/>
      <c r="AV926" s="447"/>
      <c r="AW926" s="447"/>
      <c r="AX926" s="447"/>
      <c r="AY926" s="447"/>
      <c r="AZ926" s="447"/>
      <c r="BA926" s="447"/>
      <c r="BB926" s="447"/>
      <c r="BC926" s="447"/>
      <c r="BD926" s="447"/>
      <c r="BE926" s="447"/>
      <c r="BF926" s="447"/>
      <c r="BG926" s="447"/>
      <c r="BH926" s="447"/>
      <c r="BI926" s="447"/>
      <c r="BJ926" s="447"/>
      <c r="BK926" s="447"/>
      <c r="BL926" s="447"/>
      <c r="BM926" s="448"/>
      <c r="BN926" s="448"/>
    </row>
    <row r="927" spans="1:66" ht="11.25" customHeight="1">
      <c r="A927" s="469"/>
      <c r="B927" s="447"/>
      <c r="C927" s="447"/>
      <c r="D927" s="447"/>
      <c r="E927" s="447"/>
      <c r="F927" s="447"/>
      <c r="G927" s="447"/>
      <c r="H927" s="447"/>
      <c r="I927" s="447"/>
      <c r="J927" s="447"/>
      <c r="K927" s="447"/>
      <c r="L927" s="447"/>
      <c r="M927" s="447"/>
      <c r="N927" s="447"/>
      <c r="O927" s="447"/>
      <c r="P927" s="447"/>
      <c r="Q927" s="447"/>
      <c r="R927" s="447"/>
      <c r="S927" s="447"/>
      <c r="T927" s="447"/>
      <c r="U927" s="447"/>
      <c r="V927" s="447"/>
      <c r="W927" s="447"/>
      <c r="X927" s="447"/>
      <c r="Y927" s="447"/>
      <c r="Z927" s="447"/>
      <c r="AA927" s="447"/>
      <c r="AB927" s="447"/>
      <c r="AC927" s="447"/>
      <c r="AD927" s="447"/>
      <c r="AE927" s="447"/>
      <c r="AF927" s="448"/>
      <c r="AG927" s="448"/>
      <c r="AH927" s="448"/>
      <c r="AI927" s="447"/>
      <c r="AJ927" s="447"/>
      <c r="AK927" s="447"/>
      <c r="AL927" s="447"/>
      <c r="AM927" s="447"/>
      <c r="AN927" s="447"/>
      <c r="AO927" s="447"/>
      <c r="AP927" s="447"/>
      <c r="AQ927" s="447"/>
      <c r="AR927" s="447"/>
      <c r="AS927" s="447"/>
      <c r="AT927" s="447"/>
      <c r="AU927" s="447"/>
      <c r="AV927" s="447"/>
      <c r="AW927" s="447"/>
      <c r="AX927" s="447"/>
      <c r="AY927" s="447"/>
      <c r="AZ927" s="447"/>
      <c r="BA927" s="447"/>
      <c r="BB927" s="447"/>
      <c r="BC927" s="447"/>
      <c r="BD927" s="447"/>
      <c r="BE927" s="447"/>
      <c r="BF927" s="447"/>
      <c r="BG927" s="447"/>
      <c r="BH927" s="447"/>
      <c r="BI927" s="447"/>
      <c r="BJ927" s="447"/>
      <c r="BK927" s="447"/>
      <c r="BL927" s="447"/>
      <c r="BM927" s="448"/>
      <c r="BN927" s="448"/>
    </row>
    <row r="928" spans="1:66" ht="11.25" customHeight="1">
      <c r="A928" s="469"/>
      <c r="B928" s="447"/>
      <c r="C928" s="447"/>
      <c r="D928" s="447"/>
      <c r="E928" s="447"/>
      <c r="F928" s="447"/>
      <c r="G928" s="447"/>
      <c r="H928" s="447"/>
      <c r="I928" s="447"/>
      <c r="J928" s="447"/>
      <c r="K928" s="447"/>
      <c r="L928" s="447"/>
      <c r="M928" s="447"/>
      <c r="N928" s="447"/>
      <c r="O928" s="447"/>
      <c r="P928" s="447"/>
      <c r="Q928" s="447"/>
      <c r="R928" s="447"/>
      <c r="S928" s="447"/>
      <c r="T928" s="447"/>
      <c r="U928" s="447"/>
      <c r="V928" s="447"/>
      <c r="W928" s="447"/>
      <c r="X928" s="447"/>
      <c r="Y928" s="447"/>
      <c r="Z928" s="447"/>
      <c r="AA928" s="447"/>
      <c r="AB928" s="447"/>
      <c r="AC928" s="447"/>
      <c r="AD928" s="447"/>
      <c r="AE928" s="447"/>
      <c r="AF928" s="448"/>
      <c r="AG928" s="448"/>
      <c r="AH928" s="448"/>
      <c r="AI928" s="447"/>
      <c r="AJ928" s="447"/>
      <c r="AK928" s="447"/>
      <c r="AL928" s="447"/>
      <c r="AM928" s="447"/>
      <c r="AN928" s="447"/>
      <c r="AO928" s="447"/>
      <c r="AP928" s="447"/>
      <c r="AQ928" s="447"/>
      <c r="AR928" s="447"/>
      <c r="AS928" s="447"/>
      <c r="AT928" s="447"/>
      <c r="AU928" s="447"/>
      <c r="AV928" s="447"/>
      <c r="AW928" s="447"/>
      <c r="AX928" s="447"/>
      <c r="AY928" s="447"/>
      <c r="AZ928" s="447"/>
      <c r="BA928" s="447"/>
      <c r="BB928" s="447"/>
      <c r="BC928" s="447"/>
      <c r="BD928" s="447"/>
      <c r="BE928" s="447"/>
      <c r="BF928" s="447"/>
      <c r="BG928" s="447"/>
      <c r="BH928" s="447"/>
      <c r="BI928" s="447"/>
      <c r="BJ928" s="447"/>
      <c r="BK928" s="447"/>
      <c r="BL928" s="447"/>
      <c r="BM928" s="448"/>
      <c r="BN928" s="448"/>
    </row>
    <row r="929" spans="1:66" ht="11.25" customHeight="1">
      <c r="A929" s="469"/>
      <c r="B929" s="447"/>
      <c r="C929" s="447"/>
      <c r="D929" s="447"/>
      <c r="E929" s="447"/>
      <c r="F929" s="447"/>
      <c r="G929" s="447"/>
      <c r="H929" s="447"/>
      <c r="I929" s="447"/>
      <c r="J929" s="447"/>
      <c r="K929" s="447"/>
      <c r="L929" s="447"/>
      <c r="M929" s="447"/>
      <c r="N929" s="447"/>
      <c r="O929" s="447"/>
      <c r="P929" s="447"/>
      <c r="Q929" s="447"/>
      <c r="R929" s="447"/>
      <c r="S929" s="447"/>
      <c r="T929" s="447"/>
      <c r="U929" s="447"/>
      <c r="V929" s="447"/>
      <c r="W929" s="447"/>
      <c r="X929" s="447"/>
      <c r="Y929" s="447"/>
      <c r="Z929" s="447"/>
      <c r="AA929" s="447"/>
      <c r="AB929" s="447"/>
      <c r="AC929" s="447"/>
      <c r="AD929" s="447"/>
      <c r="AE929" s="447"/>
      <c r="AF929" s="448"/>
      <c r="AG929" s="448"/>
      <c r="AH929" s="448"/>
      <c r="AI929" s="447"/>
      <c r="AJ929" s="447"/>
      <c r="AK929" s="447"/>
      <c r="AL929" s="447"/>
      <c r="AM929" s="447"/>
      <c r="AN929" s="447"/>
      <c r="AO929" s="447"/>
      <c r="AP929" s="447"/>
      <c r="AQ929" s="447"/>
      <c r="AR929" s="447"/>
      <c r="AS929" s="447"/>
      <c r="AT929" s="447"/>
      <c r="AU929" s="447"/>
      <c r="AV929" s="447"/>
      <c r="AW929" s="447"/>
      <c r="AX929" s="447"/>
      <c r="AY929" s="447"/>
      <c r="AZ929" s="447"/>
      <c r="BA929" s="447"/>
      <c r="BB929" s="447"/>
      <c r="BC929" s="447"/>
      <c r="BD929" s="447"/>
      <c r="BE929" s="447"/>
      <c r="BF929" s="447"/>
      <c r="BG929" s="447"/>
      <c r="BH929" s="447"/>
      <c r="BI929" s="447"/>
      <c r="BJ929" s="447"/>
      <c r="BK929" s="447"/>
      <c r="BL929" s="447"/>
      <c r="BM929" s="448"/>
      <c r="BN929" s="448"/>
    </row>
    <row r="930" spans="1:66" ht="11.25" customHeight="1">
      <c r="A930" s="469"/>
      <c r="B930" s="447"/>
      <c r="C930" s="447"/>
      <c r="D930" s="447"/>
      <c r="E930" s="447"/>
      <c r="F930" s="447"/>
      <c r="G930" s="447"/>
      <c r="H930" s="447"/>
      <c r="I930" s="447"/>
      <c r="J930" s="447"/>
      <c r="K930" s="447"/>
      <c r="L930" s="447"/>
      <c r="M930" s="447"/>
      <c r="N930" s="447"/>
      <c r="O930" s="447"/>
      <c r="P930" s="447"/>
      <c r="Q930" s="447"/>
      <c r="R930" s="447"/>
      <c r="S930" s="447"/>
      <c r="T930" s="447"/>
      <c r="U930" s="447"/>
      <c r="V930" s="447"/>
      <c r="W930" s="447"/>
      <c r="X930" s="447"/>
      <c r="Y930" s="447"/>
      <c r="Z930" s="447"/>
      <c r="AA930" s="447"/>
      <c r="AB930" s="447"/>
      <c r="AC930" s="447"/>
      <c r="AD930" s="447"/>
      <c r="AE930" s="447"/>
      <c r="AF930" s="448"/>
      <c r="AG930" s="448"/>
      <c r="AH930" s="448"/>
      <c r="AI930" s="447"/>
      <c r="AJ930" s="447"/>
      <c r="AK930" s="447"/>
      <c r="AL930" s="447"/>
      <c r="AM930" s="447"/>
      <c r="AN930" s="447"/>
      <c r="AO930" s="447"/>
      <c r="AP930" s="447"/>
      <c r="AQ930" s="447"/>
      <c r="AR930" s="447"/>
      <c r="AS930" s="447"/>
      <c r="AT930" s="447"/>
      <c r="AU930" s="447"/>
      <c r="AV930" s="447"/>
      <c r="AW930" s="447"/>
      <c r="AX930" s="447"/>
      <c r="AY930" s="447"/>
      <c r="AZ930" s="447"/>
      <c r="BA930" s="447"/>
      <c r="BB930" s="447"/>
      <c r="BC930" s="447"/>
      <c r="BD930" s="447"/>
      <c r="BE930" s="447"/>
      <c r="BF930" s="447"/>
      <c r="BG930" s="447"/>
      <c r="BH930" s="447"/>
      <c r="BI930" s="447"/>
      <c r="BJ930" s="447"/>
      <c r="BK930" s="447"/>
      <c r="BL930" s="447"/>
      <c r="BM930" s="448"/>
      <c r="BN930" s="448"/>
    </row>
    <row r="931" spans="1:66" ht="11.25" customHeight="1">
      <c r="A931" s="469"/>
      <c r="B931" s="447"/>
      <c r="C931" s="447"/>
      <c r="D931" s="447"/>
      <c r="E931" s="447"/>
      <c r="F931" s="447"/>
      <c r="G931" s="447"/>
      <c r="H931" s="447"/>
      <c r="I931" s="447"/>
      <c r="J931" s="447"/>
      <c r="K931" s="447"/>
      <c r="L931" s="447"/>
      <c r="M931" s="447"/>
      <c r="N931" s="447"/>
      <c r="O931" s="447"/>
      <c r="P931" s="447"/>
      <c r="Q931" s="447"/>
      <c r="R931" s="447"/>
      <c r="S931" s="447"/>
      <c r="T931" s="447"/>
      <c r="U931" s="447"/>
      <c r="V931" s="447"/>
      <c r="W931" s="447"/>
      <c r="X931" s="447"/>
      <c r="Y931" s="447"/>
      <c r="Z931" s="447"/>
      <c r="AA931" s="447"/>
      <c r="AB931" s="447"/>
      <c r="AC931" s="447"/>
      <c r="AD931" s="447"/>
      <c r="AE931" s="447"/>
      <c r="AF931" s="448"/>
      <c r="AG931" s="448"/>
      <c r="AH931" s="448"/>
      <c r="AI931" s="447"/>
      <c r="AJ931" s="447"/>
      <c r="AK931" s="447"/>
      <c r="AL931" s="447"/>
      <c r="AM931" s="447"/>
      <c r="AN931" s="447"/>
      <c r="AO931" s="447"/>
      <c r="AP931" s="447"/>
      <c r="AQ931" s="447"/>
      <c r="AR931" s="447"/>
      <c r="AS931" s="447"/>
      <c r="AT931" s="447"/>
      <c r="AU931" s="447"/>
      <c r="AV931" s="447"/>
      <c r="AW931" s="447"/>
      <c r="AX931" s="447"/>
      <c r="AY931" s="447"/>
      <c r="AZ931" s="447"/>
      <c r="BA931" s="447"/>
      <c r="BB931" s="447"/>
      <c r="BC931" s="447"/>
      <c r="BD931" s="447"/>
      <c r="BE931" s="447"/>
      <c r="BF931" s="447"/>
      <c r="BG931" s="447"/>
      <c r="BH931" s="447"/>
      <c r="BI931" s="447"/>
      <c r="BJ931" s="447"/>
      <c r="BK931" s="447"/>
      <c r="BL931" s="447"/>
      <c r="BM931" s="448"/>
      <c r="BN931" s="448"/>
    </row>
    <row r="932" spans="1:66" ht="11.25" customHeight="1">
      <c r="A932" s="469"/>
      <c r="B932" s="447"/>
      <c r="C932" s="447"/>
      <c r="D932" s="447"/>
      <c r="E932" s="447"/>
      <c r="F932" s="447"/>
      <c r="G932" s="447"/>
      <c r="H932" s="447"/>
      <c r="I932" s="447"/>
      <c r="J932" s="447"/>
      <c r="K932" s="447"/>
      <c r="L932" s="447"/>
      <c r="M932" s="447"/>
      <c r="N932" s="447"/>
      <c r="O932" s="447"/>
      <c r="P932" s="447"/>
      <c r="Q932" s="447"/>
      <c r="R932" s="447"/>
      <c r="S932" s="447"/>
      <c r="T932" s="447"/>
      <c r="U932" s="447"/>
      <c r="V932" s="447"/>
      <c r="W932" s="447"/>
      <c r="X932" s="447"/>
      <c r="Y932" s="447"/>
      <c r="Z932" s="447"/>
      <c r="AA932" s="447"/>
      <c r="AB932" s="447"/>
      <c r="AC932" s="447"/>
      <c r="AD932" s="447"/>
      <c r="AE932" s="447"/>
      <c r="AF932" s="448"/>
      <c r="AG932" s="448"/>
      <c r="AH932" s="448"/>
      <c r="AI932" s="447"/>
      <c r="AJ932" s="447"/>
      <c r="AK932" s="447"/>
      <c r="AL932" s="447"/>
      <c r="AM932" s="447"/>
      <c r="AN932" s="447"/>
      <c r="AO932" s="447"/>
      <c r="AP932" s="447"/>
      <c r="AQ932" s="447"/>
      <c r="AR932" s="447"/>
      <c r="AS932" s="447"/>
      <c r="AT932" s="447"/>
      <c r="AU932" s="447"/>
      <c r="AV932" s="447"/>
      <c r="AW932" s="447"/>
      <c r="AX932" s="447"/>
      <c r="AY932" s="447"/>
      <c r="AZ932" s="447"/>
      <c r="BA932" s="447"/>
      <c r="BB932" s="447"/>
      <c r="BC932" s="447"/>
      <c r="BD932" s="447"/>
      <c r="BE932" s="447"/>
      <c r="BF932" s="447"/>
      <c r="BG932" s="447"/>
      <c r="BH932" s="447"/>
      <c r="BI932" s="447"/>
      <c r="BJ932" s="447"/>
      <c r="BK932" s="447"/>
      <c r="BL932" s="447"/>
      <c r="BM932" s="448"/>
      <c r="BN932" s="448"/>
    </row>
    <row r="933" spans="1:66" ht="11.25" customHeight="1">
      <c r="A933" s="469"/>
      <c r="B933" s="447"/>
      <c r="C933" s="447"/>
      <c r="D933" s="447"/>
      <c r="E933" s="447"/>
      <c r="F933" s="447"/>
      <c r="G933" s="447"/>
      <c r="H933" s="447"/>
      <c r="I933" s="447"/>
      <c r="J933" s="447"/>
      <c r="K933" s="447"/>
      <c r="L933" s="447"/>
      <c r="M933" s="447"/>
      <c r="N933" s="447"/>
      <c r="O933" s="447"/>
      <c r="P933" s="447"/>
      <c r="Q933" s="447"/>
      <c r="R933" s="447"/>
      <c r="S933" s="447"/>
      <c r="T933" s="447"/>
      <c r="U933" s="447"/>
      <c r="V933" s="447"/>
      <c r="W933" s="447"/>
      <c r="X933" s="447"/>
      <c r="Y933" s="447"/>
      <c r="Z933" s="447"/>
      <c r="AA933" s="447"/>
      <c r="AB933" s="447"/>
      <c r="AC933" s="447"/>
      <c r="AD933" s="447"/>
      <c r="AE933" s="447"/>
      <c r="AF933" s="448"/>
      <c r="AG933" s="448"/>
      <c r="AH933" s="448"/>
      <c r="AI933" s="447"/>
      <c r="AJ933" s="447"/>
      <c r="AK933" s="447"/>
      <c r="AL933" s="447"/>
      <c r="AM933" s="447"/>
      <c r="AN933" s="447"/>
      <c r="AO933" s="447"/>
      <c r="AP933" s="447"/>
      <c r="AQ933" s="447"/>
      <c r="AR933" s="447"/>
      <c r="AS933" s="447"/>
      <c r="AT933" s="447"/>
      <c r="AU933" s="447"/>
      <c r="AV933" s="447"/>
      <c r="AW933" s="447"/>
      <c r="AX933" s="447"/>
      <c r="AY933" s="447"/>
      <c r="AZ933" s="447"/>
      <c r="BA933" s="447"/>
      <c r="BB933" s="447"/>
      <c r="BC933" s="447"/>
      <c r="BD933" s="447"/>
      <c r="BE933" s="447"/>
      <c r="BF933" s="447"/>
      <c r="BG933" s="447"/>
      <c r="BH933" s="447"/>
      <c r="BI933" s="447"/>
      <c r="BJ933" s="447"/>
      <c r="BK933" s="447"/>
      <c r="BL933" s="447"/>
      <c r="BM933" s="448"/>
      <c r="BN933" s="448"/>
    </row>
    <row r="934" spans="1:66" ht="11.25" customHeight="1">
      <c r="A934" s="469"/>
      <c r="B934" s="447"/>
      <c r="C934" s="447"/>
      <c r="D934" s="447"/>
      <c r="E934" s="447"/>
      <c r="F934" s="447"/>
      <c r="G934" s="447"/>
      <c r="H934" s="447"/>
      <c r="I934" s="447"/>
      <c r="J934" s="447"/>
      <c r="K934" s="447"/>
      <c r="L934" s="447"/>
      <c r="M934" s="447"/>
      <c r="N934" s="447"/>
      <c r="O934" s="447"/>
      <c r="P934" s="447"/>
      <c r="Q934" s="447"/>
      <c r="R934" s="447"/>
      <c r="S934" s="447"/>
      <c r="T934" s="447"/>
      <c r="U934" s="447"/>
      <c r="V934" s="447"/>
      <c r="W934" s="447"/>
      <c r="X934" s="447"/>
      <c r="Y934" s="447"/>
      <c r="Z934" s="447"/>
      <c r="AA934" s="447"/>
      <c r="AB934" s="447"/>
      <c r="AC934" s="447"/>
      <c r="AD934" s="447"/>
      <c r="AE934" s="447"/>
      <c r="AF934" s="448"/>
      <c r="AG934" s="448"/>
      <c r="AH934" s="448"/>
      <c r="AI934" s="447"/>
      <c r="AJ934" s="447"/>
      <c r="AK934" s="447"/>
      <c r="AL934" s="447"/>
      <c r="AM934" s="447"/>
      <c r="AN934" s="447"/>
      <c r="AO934" s="447"/>
      <c r="AP934" s="447"/>
      <c r="AQ934" s="447"/>
      <c r="AR934" s="447"/>
      <c r="AS934" s="447"/>
      <c r="AT934" s="447"/>
      <c r="AU934" s="447"/>
      <c r="AV934" s="447"/>
      <c r="AW934" s="447"/>
      <c r="AX934" s="447"/>
      <c r="AY934" s="447"/>
      <c r="AZ934" s="447"/>
      <c r="BA934" s="447"/>
      <c r="BB934" s="447"/>
      <c r="BC934" s="447"/>
      <c r="BD934" s="447"/>
      <c r="BE934" s="447"/>
      <c r="BF934" s="447"/>
      <c r="BG934" s="447"/>
      <c r="BH934" s="447"/>
      <c r="BI934" s="447"/>
      <c r="BJ934" s="447"/>
      <c r="BK934" s="447"/>
      <c r="BL934" s="447"/>
      <c r="BM934" s="448"/>
      <c r="BN934" s="448"/>
    </row>
    <row r="935" spans="1:66" ht="11.25" customHeight="1">
      <c r="A935" s="469"/>
      <c r="B935" s="447"/>
      <c r="C935" s="447"/>
      <c r="D935" s="447"/>
      <c r="E935" s="447"/>
      <c r="F935" s="447"/>
      <c r="G935" s="447"/>
      <c r="H935" s="447"/>
      <c r="I935" s="447"/>
      <c r="J935" s="447"/>
      <c r="K935" s="447"/>
      <c r="L935" s="447"/>
      <c r="M935" s="447"/>
      <c r="N935" s="447"/>
      <c r="O935" s="447"/>
      <c r="P935" s="447"/>
      <c r="Q935" s="447"/>
      <c r="R935" s="447"/>
      <c r="S935" s="447"/>
      <c r="T935" s="447"/>
      <c r="U935" s="447"/>
      <c r="V935" s="447"/>
      <c r="W935" s="447"/>
      <c r="X935" s="447"/>
      <c r="Y935" s="447"/>
      <c r="Z935" s="447"/>
      <c r="AA935" s="447"/>
      <c r="AB935" s="447"/>
      <c r="AC935" s="447"/>
      <c r="AD935" s="447"/>
      <c r="AE935" s="447"/>
      <c r="AF935" s="448"/>
      <c r="AG935" s="448"/>
      <c r="AH935" s="448"/>
      <c r="AI935" s="447"/>
      <c r="AJ935" s="447"/>
      <c r="AK935" s="447"/>
      <c r="AL935" s="447"/>
      <c r="AM935" s="447"/>
      <c r="AN935" s="447"/>
      <c r="AO935" s="447"/>
      <c r="AP935" s="447"/>
      <c r="AQ935" s="447"/>
      <c r="AR935" s="447"/>
      <c r="AS935" s="447"/>
      <c r="AT935" s="447"/>
      <c r="AU935" s="447"/>
      <c r="AV935" s="447"/>
      <c r="AW935" s="447"/>
      <c r="AX935" s="447"/>
      <c r="AY935" s="447"/>
      <c r="AZ935" s="447"/>
      <c r="BA935" s="447"/>
      <c r="BB935" s="447"/>
      <c r="BC935" s="447"/>
      <c r="BD935" s="447"/>
      <c r="BE935" s="447"/>
      <c r="BF935" s="447"/>
      <c r="BG935" s="447"/>
      <c r="BH935" s="447"/>
      <c r="BI935" s="447"/>
      <c r="BJ935" s="447"/>
      <c r="BK935" s="447"/>
      <c r="BL935" s="447"/>
      <c r="BM935" s="448"/>
      <c r="BN935" s="448"/>
    </row>
    <row r="936" spans="1:66" ht="11.25" customHeight="1">
      <c r="A936" s="469"/>
      <c r="B936" s="447"/>
      <c r="C936" s="447"/>
      <c r="D936" s="447"/>
      <c r="E936" s="447"/>
      <c r="F936" s="447"/>
      <c r="G936" s="447"/>
      <c r="H936" s="447"/>
      <c r="I936" s="447"/>
      <c r="J936" s="447"/>
      <c r="K936" s="447"/>
      <c r="L936" s="447"/>
      <c r="M936" s="447"/>
      <c r="N936" s="447"/>
      <c r="O936" s="447"/>
      <c r="P936" s="447"/>
      <c r="Q936" s="447"/>
      <c r="R936" s="447"/>
      <c r="S936" s="447"/>
      <c r="T936" s="447"/>
      <c r="U936" s="447"/>
      <c r="V936" s="447"/>
      <c r="W936" s="447"/>
      <c r="X936" s="447"/>
      <c r="Y936" s="447"/>
      <c r="Z936" s="447"/>
      <c r="AA936" s="447"/>
      <c r="AB936" s="447"/>
      <c r="AC936" s="447"/>
      <c r="AD936" s="447"/>
      <c r="AE936" s="447"/>
      <c r="AF936" s="448"/>
      <c r="AG936" s="448"/>
      <c r="AH936" s="448"/>
      <c r="AI936" s="447"/>
      <c r="AJ936" s="447"/>
      <c r="AK936" s="447"/>
      <c r="AL936" s="447"/>
      <c r="AM936" s="447"/>
      <c r="AN936" s="447"/>
      <c r="AO936" s="447"/>
      <c r="AP936" s="447"/>
      <c r="AQ936" s="447"/>
      <c r="AR936" s="447"/>
      <c r="AS936" s="447"/>
      <c r="AT936" s="447"/>
      <c r="AU936" s="447"/>
      <c r="AV936" s="447"/>
      <c r="AW936" s="447"/>
      <c r="AX936" s="447"/>
      <c r="AY936" s="447"/>
      <c r="AZ936" s="447"/>
      <c r="BA936" s="447"/>
      <c r="BB936" s="447"/>
      <c r="BC936" s="447"/>
      <c r="BD936" s="447"/>
      <c r="BE936" s="447"/>
      <c r="BF936" s="447"/>
      <c r="BG936" s="447"/>
      <c r="BH936" s="447"/>
      <c r="BI936" s="447"/>
      <c r="BJ936" s="447"/>
      <c r="BK936" s="447"/>
      <c r="BL936" s="447"/>
      <c r="BM936" s="448"/>
      <c r="BN936" s="448"/>
    </row>
    <row r="937" spans="1:66" ht="11.25" customHeight="1">
      <c r="A937" s="469"/>
      <c r="B937" s="447"/>
      <c r="C937" s="447"/>
      <c r="D937" s="447"/>
      <c r="E937" s="447"/>
      <c r="F937" s="447"/>
      <c r="G937" s="447"/>
      <c r="H937" s="447"/>
      <c r="I937" s="447"/>
      <c r="J937" s="447"/>
      <c r="K937" s="447"/>
      <c r="L937" s="447"/>
      <c r="M937" s="447"/>
      <c r="N937" s="447"/>
      <c r="O937" s="447"/>
      <c r="P937" s="447"/>
      <c r="Q937" s="447"/>
      <c r="R937" s="447"/>
      <c r="S937" s="447"/>
      <c r="T937" s="447"/>
      <c r="U937" s="447"/>
      <c r="V937" s="447"/>
      <c r="W937" s="447"/>
      <c r="X937" s="447"/>
      <c r="Y937" s="447"/>
      <c r="Z937" s="447"/>
      <c r="AA937" s="447"/>
      <c r="AB937" s="447"/>
      <c r="AC937" s="447"/>
      <c r="AD937" s="447"/>
      <c r="AE937" s="447"/>
      <c r="AF937" s="448"/>
      <c r="AG937" s="448"/>
      <c r="AH937" s="448"/>
      <c r="AI937" s="447"/>
      <c r="AJ937" s="447"/>
      <c r="AK937" s="447"/>
      <c r="AL937" s="447"/>
      <c r="AM937" s="447"/>
      <c r="AN937" s="447"/>
      <c r="AO937" s="447"/>
      <c r="AP937" s="447"/>
      <c r="AQ937" s="447"/>
      <c r="AR937" s="447"/>
      <c r="AS937" s="447"/>
      <c r="AT937" s="447"/>
      <c r="AU937" s="447"/>
      <c r="AV937" s="447"/>
      <c r="AW937" s="447"/>
      <c r="AX937" s="447"/>
      <c r="AY937" s="447"/>
      <c r="AZ937" s="447"/>
      <c r="BA937" s="447"/>
      <c r="BB937" s="447"/>
      <c r="BC937" s="447"/>
      <c r="BD937" s="447"/>
      <c r="BE937" s="447"/>
      <c r="BF937" s="447"/>
      <c r="BG937" s="447"/>
      <c r="BH937" s="447"/>
      <c r="BI937" s="447"/>
      <c r="BJ937" s="447"/>
      <c r="BK937" s="447"/>
      <c r="BL937" s="447"/>
      <c r="BM937" s="448"/>
      <c r="BN937" s="448"/>
    </row>
    <row r="938" spans="1:66" ht="11.25" customHeight="1">
      <c r="A938" s="469"/>
      <c r="B938" s="447"/>
      <c r="C938" s="447"/>
      <c r="D938" s="447"/>
      <c r="E938" s="447"/>
      <c r="F938" s="447"/>
      <c r="G938" s="447"/>
      <c r="H938" s="447"/>
      <c r="I938" s="447"/>
      <c r="J938" s="447"/>
      <c r="K938" s="447"/>
      <c r="L938" s="447"/>
      <c r="M938" s="447"/>
      <c r="N938" s="447"/>
      <c r="O938" s="447"/>
      <c r="P938" s="447"/>
      <c r="Q938" s="447"/>
      <c r="R938" s="447"/>
      <c r="S938" s="447"/>
      <c r="T938" s="447"/>
      <c r="U938" s="447"/>
      <c r="V938" s="447"/>
      <c r="W938" s="447"/>
      <c r="X938" s="447"/>
      <c r="Y938" s="447"/>
      <c r="Z938" s="447"/>
      <c r="AA938" s="447"/>
      <c r="AB938" s="447"/>
      <c r="AC938" s="447"/>
      <c r="AD938" s="447"/>
      <c r="AE938" s="447"/>
      <c r="AF938" s="448"/>
      <c r="AG938" s="448"/>
      <c r="AH938" s="448"/>
      <c r="AI938" s="447"/>
      <c r="AJ938" s="447"/>
      <c r="AK938" s="447"/>
      <c r="AL938" s="447"/>
      <c r="AM938" s="447"/>
      <c r="AN938" s="447"/>
      <c r="AO938" s="447"/>
      <c r="AP938" s="447"/>
      <c r="AQ938" s="447"/>
      <c r="AR938" s="447"/>
      <c r="AS938" s="447"/>
      <c r="AT938" s="447"/>
      <c r="AU938" s="447"/>
      <c r="AV938" s="447"/>
      <c r="AW938" s="447"/>
      <c r="AX938" s="447"/>
      <c r="AY938" s="447"/>
      <c r="AZ938" s="447"/>
      <c r="BA938" s="447"/>
      <c r="BB938" s="447"/>
      <c r="BC938" s="447"/>
      <c r="BD938" s="447"/>
      <c r="BE938" s="447"/>
      <c r="BF938" s="447"/>
      <c r="BG938" s="447"/>
      <c r="BH938" s="447"/>
      <c r="BI938" s="447"/>
      <c r="BJ938" s="447"/>
      <c r="BK938" s="447"/>
      <c r="BL938" s="447"/>
      <c r="BM938" s="448"/>
      <c r="BN938" s="448"/>
    </row>
    <row r="939" spans="1:66" ht="11.25" customHeight="1">
      <c r="A939" s="469"/>
      <c r="B939" s="447"/>
      <c r="C939" s="447"/>
      <c r="D939" s="447"/>
      <c r="E939" s="447"/>
      <c r="F939" s="447"/>
      <c r="G939" s="447"/>
      <c r="H939" s="447"/>
      <c r="I939" s="447"/>
      <c r="J939" s="447"/>
      <c r="K939" s="447"/>
      <c r="L939" s="447"/>
      <c r="M939" s="447"/>
      <c r="N939" s="447"/>
      <c r="O939" s="447"/>
      <c r="P939" s="447"/>
      <c r="Q939" s="447"/>
      <c r="R939" s="447"/>
      <c r="S939" s="447"/>
      <c r="T939" s="447"/>
      <c r="U939" s="447"/>
      <c r="V939" s="447"/>
      <c r="W939" s="447"/>
      <c r="X939" s="447"/>
      <c r="Y939" s="447"/>
      <c r="Z939" s="447"/>
      <c r="AA939" s="447"/>
      <c r="AB939" s="447"/>
      <c r="AC939" s="447"/>
      <c r="AD939" s="447"/>
      <c r="AE939" s="447"/>
      <c r="AF939" s="448"/>
      <c r="AG939" s="448"/>
      <c r="AH939" s="448"/>
      <c r="AI939" s="447"/>
      <c r="AJ939" s="447"/>
      <c r="AK939" s="447"/>
      <c r="AL939" s="447"/>
      <c r="AM939" s="447"/>
      <c r="AN939" s="447"/>
      <c r="AO939" s="447"/>
      <c r="AP939" s="447"/>
      <c r="AQ939" s="447"/>
      <c r="AR939" s="447"/>
      <c r="AS939" s="447"/>
      <c r="AT939" s="447"/>
      <c r="AU939" s="447"/>
      <c r="AV939" s="447"/>
      <c r="AW939" s="447"/>
      <c r="AX939" s="447"/>
      <c r="AY939" s="447"/>
      <c r="AZ939" s="447"/>
      <c r="BA939" s="447"/>
      <c r="BB939" s="447"/>
      <c r="BC939" s="447"/>
      <c r="BD939" s="447"/>
      <c r="BE939" s="447"/>
      <c r="BF939" s="447"/>
      <c r="BG939" s="447"/>
      <c r="BH939" s="447"/>
      <c r="BI939" s="447"/>
      <c r="BJ939" s="447"/>
      <c r="BK939" s="447"/>
      <c r="BL939" s="447"/>
      <c r="BM939" s="448"/>
      <c r="BN939" s="448"/>
    </row>
    <row r="940" spans="1:66" ht="11.25" customHeight="1">
      <c r="A940" s="469"/>
      <c r="B940" s="447"/>
      <c r="C940" s="447"/>
      <c r="D940" s="447"/>
      <c r="E940" s="447"/>
      <c r="F940" s="447"/>
      <c r="G940" s="447"/>
      <c r="H940" s="447"/>
      <c r="I940" s="447"/>
      <c r="J940" s="447"/>
      <c r="K940" s="447"/>
      <c r="L940" s="447"/>
      <c r="M940" s="447"/>
      <c r="N940" s="447"/>
      <c r="O940" s="447"/>
      <c r="P940" s="447"/>
      <c r="Q940" s="447"/>
      <c r="R940" s="447"/>
      <c r="S940" s="447"/>
      <c r="T940" s="447"/>
      <c r="U940" s="447"/>
      <c r="V940" s="447"/>
      <c r="W940" s="447"/>
      <c r="X940" s="447"/>
      <c r="Y940" s="447"/>
      <c r="Z940" s="447"/>
      <c r="AA940" s="447"/>
      <c r="AB940" s="447"/>
      <c r="AC940" s="447"/>
      <c r="AD940" s="447"/>
      <c r="AE940" s="447"/>
      <c r="AF940" s="448"/>
      <c r="AG940" s="448"/>
      <c r="AH940" s="448"/>
      <c r="AI940" s="447"/>
      <c r="AJ940" s="447"/>
      <c r="AK940" s="447"/>
      <c r="AL940" s="447"/>
      <c r="AM940" s="447"/>
      <c r="AN940" s="447"/>
      <c r="AO940" s="447"/>
      <c r="AP940" s="447"/>
      <c r="AQ940" s="447"/>
      <c r="AR940" s="447"/>
      <c r="AS940" s="447"/>
      <c r="AT940" s="447"/>
      <c r="AU940" s="447"/>
      <c r="AV940" s="447"/>
      <c r="AW940" s="447"/>
      <c r="AX940" s="447"/>
      <c r="AY940" s="447"/>
      <c r="AZ940" s="447"/>
      <c r="BA940" s="447"/>
      <c r="BB940" s="447"/>
      <c r="BC940" s="447"/>
      <c r="BD940" s="447"/>
      <c r="BE940" s="447"/>
      <c r="BF940" s="447"/>
      <c r="BG940" s="447"/>
      <c r="BH940" s="447"/>
      <c r="BI940" s="447"/>
      <c r="BJ940" s="447"/>
      <c r="BK940" s="447"/>
      <c r="BL940" s="447"/>
      <c r="BM940" s="448"/>
      <c r="BN940" s="448"/>
    </row>
    <row r="941" spans="1:66" ht="11.25" customHeight="1">
      <c r="A941" s="469"/>
      <c r="B941" s="447"/>
      <c r="C941" s="447"/>
      <c r="D941" s="447"/>
      <c r="E941" s="447"/>
      <c r="F941" s="447"/>
      <c r="G941" s="447"/>
      <c r="H941" s="447"/>
      <c r="I941" s="447"/>
      <c r="J941" s="447"/>
      <c r="K941" s="447"/>
      <c r="L941" s="447"/>
      <c r="M941" s="447"/>
      <c r="N941" s="447"/>
      <c r="O941" s="447"/>
      <c r="P941" s="447"/>
      <c r="Q941" s="447"/>
      <c r="R941" s="447"/>
      <c r="S941" s="447"/>
      <c r="T941" s="447"/>
      <c r="U941" s="447"/>
      <c r="V941" s="447"/>
      <c r="W941" s="447"/>
      <c r="X941" s="447"/>
      <c r="Y941" s="447"/>
      <c r="Z941" s="447"/>
      <c r="AA941" s="447"/>
      <c r="AB941" s="447"/>
      <c r="AC941" s="447"/>
      <c r="AD941" s="447"/>
      <c r="AE941" s="447"/>
      <c r="AF941" s="448"/>
      <c r="AG941" s="448"/>
      <c r="AH941" s="448"/>
      <c r="AI941" s="447"/>
      <c r="AJ941" s="447"/>
      <c r="AK941" s="447"/>
      <c r="AL941" s="447"/>
      <c r="AM941" s="447"/>
      <c r="AN941" s="447"/>
      <c r="AO941" s="447"/>
      <c r="AP941" s="447"/>
      <c r="AQ941" s="447"/>
      <c r="AR941" s="447"/>
      <c r="AS941" s="447"/>
      <c r="AT941" s="447"/>
      <c r="AU941" s="447"/>
      <c r="AV941" s="447"/>
      <c r="AW941" s="447"/>
      <c r="AX941" s="447"/>
      <c r="AY941" s="447"/>
      <c r="AZ941" s="447"/>
      <c r="BA941" s="447"/>
      <c r="BB941" s="447"/>
      <c r="BC941" s="447"/>
      <c r="BD941" s="447"/>
      <c r="BE941" s="447"/>
      <c r="BF941" s="447"/>
      <c r="BG941" s="447"/>
      <c r="BH941" s="447"/>
      <c r="BI941" s="447"/>
      <c r="BJ941" s="447"/>
      <c r="BK941" s="447"/>
      <c r="BL941" s="447"/>
      <c r="BM941" s="448"/>
      <c r="BN941" s="448"/>
    </row>
    <row r="942" spans="1:66" ht="11.25" customHeight="1">
      <c r="A942" s="469"/>
      <c r="B942" s="447"/>
      <c r="C942" s="447"/>
      <c r="D942" s="447"/>
      <c r="E942" s="447"/>
      <c r="F942" s="447"/>
      <c r="G942" s="447"/>
      <c r="H942" s="447"/>
      <c r="I942" s="447"/>
      <c r="J942" s="447"/>
      <c r="K942" s="447"/>
      <c r="L942" s="447"/>
      <c r="M942" s="447"/>
      <c r="N942" s="447"/>
      <c r="O942" s="447"/>
      <c r="P942" s="447"/>
      <c r="Q942" s="447"/>
      <c r="R942" s="447"/>
      <c r="S942" s="447"/>
      <c r="T942" s="447"/>
      <c r="U942" s="447"/>
      <c r="V942" s="447"/>
      <c r="W942" s="447"/>
      <c r="X942" s="447"/>
      <c r="Y942" s="447"/>
      <c r="Z942" s="447"/>
      <c r="AA942" s="447"/>
      <c r="AB942" s="447"/>
      <c r="AC942" s="447"/>
      <c r="AD942" s="447"/>
      <c r="AE942" s="447"/>
      <c r="AF942" s="448"/>
      <c r="AG942" s="448"/>
      <c r="AH942" s="448"/>
      <c r="AI942" s="447"/>
      <c r="AJ942" s="447"/>
      <c r="AK942" s="447"/>
      <c r="AL942" s="447"/>
      <c r="AM942" s="447"/>
      <c r="AN942" s="447"/>
      <c r="AO942" s="447"/>
      <c r="AP942" s="447"/>
      <c r="AQ942" s="447"/>
      <c r="AR942" s="447"/>
      <c r="AS942" s="447"/>
      <c r="AT942" s="447"/>
      <c r="AU942" s="447"/>
      <c r="AV942" s="447"/>
      <c r="AW942" s="447"/>
      <c r="AX942" s="447"/>
      <c r="AY942" s="447"/>
      <c r="AZ942" s="447"/>
      <c r="BA942" s="447"/>
      <c r="BB942" s="447"/>
      <c r="BC942" s="447"/>
      <c r="BD942" s="447"/>
      <c r="BE942" s="447"/>
      <c r="BF942" s="447"/>
      <c r="BG942" s="447"/>
      <c r="BH942" s="447"/>
      <c r="BI942" s="447"/>
      <c r="BJ942" s="447"/>
      <c r="BK942" s="447"/>
      <c r="BL942" s="447"/>
      <c r="BM942" s="448"/>
      <c r="BN942" s="448"/>
    </row>
    <row r="943" spans="1:66" ht="11.25" customHeight="1">
      <c r="A943" s="469"/>
      <c r="B943" s="447"/>
      <c r="C943" s="447"/>
      <c r="D943" s="447"/>
      <c r="E943" s="447"/>
      <c r="F943" s="447"/>
      <c r="G943" s="447"/>
      <c r="H943" s="447"/>
      <c r="I943" s="447"/>
      <c r="J943" s="447"/>
      <c r="K943" s="447"/>
      <c r="L943" s="447"/>
      <c r="M943" s="447"/>
      <c r="N943" s="447"/>
      <c r="O943" s="447"/>
      <c r="P943" s="447"/>
      <c r="Q943" s="447"/>
      <c r="R943" s="447"/>
      <c r="S943" s="447"/>
      <c r="T943" s="447"/>
      <c r="U943" s="447"/>
      <c r="V943" s="447"/>
      <c r="W943" s="447"/>
      <c r="X943" s="447"/>
      <c r="Y943" s="447"/>
      <c r="Z943" s="447"/>
      <c r="AA943" s="447"/>
      <c r="AB943" s="447"/>
      <c r="AC943" s="447"/>
      <c r="AD943" s="447"/>
      <c r="AE943" s="447"/>
      <c r="AF943" s="448"/>
      <c r="AG943" s="448"/>
      <c r="AH943" s="448"/>
      <c r="AI943" s="447"/>
      <c r="AJ943" s="447"/>
      <c r="AK943" s="447"/>
      <c r="AL943" s="447"/>
      <c r="AM943" s="447"/>
      <c r="AN943" s="447"/>
      <c r="AO943" s="447"/>
      <c r="AP943" s="447"/>
      <c r="AQ943" s="447"/>
      <c r="AR943" s="447"/>
      <c r="AS943" s="447"/>
      <c r="AT943" s="447"/>
      <c r="AU943" s="447"/>
      <c r="AV943" s="447"/>
      <c r="AW943" s="447"/>
      <c r="AX943" s="447"/>
      <c r="AY943" s="447"/>
      <c r="AZ943" s="447"/>
      <c r="BA943" s="447"/>
      <c r="BB943" s="447"/>
      <c r="BC943" s="447"/>
      <c r="BD943" s="447"/>
      <c r="BE943" s="447"/>
      <c r="BF943" s="447"/>
      <c r="BG943" s="447"/>
      <c r="BH943" s="447"/>
      <c r="BI943" s="447"/>
      <c r="BJ943" s="447"/>
      <c r="BK943" s="447"/>
      <c r="BL943" s="447"/>
      <c r="BM943" s="448"/>
      <c r="BN943" s="448"/>
    </row>
    <row r="944" spans="1:66" ht="11.25" customHeight="1">
      <c r="A944" s="469"/>
      <c r="B944" s="447"/>
      <c r="C944" s="447"/>
      <c r="D944" s="447"/>
      <c r="E944" s="447"/>
      <c r="F944" s="447"/>
      <c r="G944" s="447"/>
      <c r="H944" s="447"/>
      <c r="I944" s="447"/>
      <c r="J944" s="447"/>
      <c r="K944" s="447"/>
      <c r="L944" s="447"/>
      <c r="M944" s="447"/>
      <c r="N944" s="447"/>
      <c r="O944" s="447"/>
      <c r="P944" s="447"/>
      <c r="Q944" s="447"/>
      <c r="R944" s="447"/>
      <c r="S944" s="447"/>
      <c r="T944" s="447"/>
      <c r="U944" s="447"/>
      <c r="V944" s="447"/>
      <c r="W944" s="447"/>
      <c r="X944" s="447"/>
      <c r="Y944" s="447"/>
      <c r="Z944" s="447"/>
      <c r="AA944" s="447"/>
      <c r="AB944" s="447"/>
      <c r="AC944" s="447"/>
      <c r="AD944" s="447"/>
      <c r="AE944" s="447"/>
      <c r="AF944" s="448"/>
      <c r="AG944" s="448"/>
      <c r="AH944" s="448"/>
      <c r="AI944" s="447"/>
      <c r="AJ944" s="447"/>
      <c r="AK944" s="447"/>
      <c r="AL944" s="447"/>
      <c r="AM944" s="447"/>
      <c r="AN944" s="447"/>
      <c r="AO944" s="447"/>
      <c r="AP944" s="447"/>
      <c r="AQ944" s="447"/>
      <c r="AR944" s="447"/>
      <c r="AS944" s="447"/>
      <c r="AT944" s="447"/>
      <c r="AU944" s="447"/>
      <c r="AV944" s="447"/>
      <c r="AW944" s="447"/>
      <c r="AX944" s="447"/>
      <c r="AY944" s="447"/>
      <c r="AZ944" s="447"/>
      <c r="BA944" s="447"/>
      <c r="BB944" s="447"/>
      <c r="BC944" s="447"/>
      <c r="BD944" s="447"/>
      <c r="BE944" s="447"/>
      <c r="BF944" s="447"/>
      <c r="BG944" s="447"/>
      <c r="BH944" s="447"/>
      <c r="BI944" s="447"/>
      <c r="BJ944" s="447"/>
      <c r="BK944" s="447"/>
      <c r="BL944" s="447"/>
      <c r="BM944" s="448"/>
      <c r="BN944" s="448"/>
    </row>
    <row r="945" spans="1:66" ht="11.25" customHeight="1">
      <c r="A945" s="469"/>
      <c r="B945" s="447"/>
      <c r="C945" s="447"/>
      <c r="D945" s="447"/>
      <c r="E945" s="447"/>
      <c r="F945" s="447"/>
      <c r="G945" s="447"/>
      <c r="H945" s="447"/>
      <c r="I945" s="447"/>
      <c r="J945" s="447"/>
      <c r="K945" s="447"/>
      <c r="L945" s="447"/>
      <c r="M945" s="447"/>
      <c r="N945" s="447"/>
      <c r="O945" s="447"/>
      <c r="P945" s="447"/>
      <c r="Q945" s="447"/>
      <c r="R945" s="447"/>
      <c r="S945" s="447"/>
      <c r="T945" s="447"/>
      <c r="U945" s="447"/>
      <c r="V945" s="447"/>
      <c r="W945" s="447"/>
      <c r="X945" s="447"/>
      <c r="Y945" s="447"/>
      <c r="Z945" s="447"/>
      <c r="AA945" s="447"/>
      <c r="AB945" s="447"/>
      <c r="AC945" s="447"/>
      <c r="AD945" s="447"/>
      <c r="AE945" s="447"/>
      <c r="AF945" s="448"/>
      <c r="AG945" s="448"/>
      <c r="AH945" s="448"/>
      <c r="AI945" s="447"/>
      <c r="AJ945" s="447"/>
      <c r="AK945" s="447"/>
      <c r="AL945" s="447"/>
      <c r="AM945" s="447"/>
      <c r="AN945" s="447"/>
      <c r="AO945" s="447"/>
      <c r="AP945" s="447"/>
      <c r="AQ945" s="447"/>
      <c r="AR945" s="447"/>
      <c r="AS945" s="447"/>
      <c r="AT945" s="447"/>
      <c r="AU945" s="447"/>
      <c r="AV945" s="447"/>
      <c r="AW945" s="447"/>
      <c r="AX945" s="447"/>
      <c r="AY945" s="447"/>
      <c r="AZ945" s="447"/>
      <c r="BA945" s="447"/>
      <c r="BB945" s="447"/>
      <c r="BC945" s="447"/>
      <c r="BD945" s="447"/>
      <c r="BE945" s="447"/>
      <c r="BF945" s="447"/>
      <c r="BG945" s="447"/>
      <c r="BH945" s="447"/>
      <c r="BI945" s="447"/>
      <c r="BJ945" s="447"/>
      <c r="BK945" s="447"/>
      <c r="BL945" s="447"/>
      <c r="BM945" s="448"/>
      <c r="BN945" s="448"/>
    </row>
    <row r="946" spans="1:66" ht="11.25" customHeight="1">
      <c r="A946" s="469"/>
      <c r="B946" s="447"/>
      <c r="C946" s="447"/>
      <c r="D946" s="447"/>
      <c r="E946" s="447"/>
      <c r="F946" s="447"/>
      <c r="G946" s="447"/>
      <c r="H946" s="447"/>
      <c r="I946" s="447"/>
      <c r="J946" s="447"/>
      <c r="K946" s="447"/>
      <c r="L946" s="447"/>
      <c r="M946" s="447"/>
      <c r="N946" s="447"/>
      <c r="O946" s="447"/>
      <c r="P946" s="447"/>
      <c r="Q946" s="447"/>
      <c r="R946" s="447"/>
      <c r="S946" s="447"/>
      <c r="T946" s="447"/>
      <c r="U946" s="447"/>
      <c r="V946" s="447"/>
      <c r="W946" s="447"/>
      <c r="X946" s="447"/>
      <c r="Y946" s="447"/>
      <c r="Z946" s="447"/>
      <c r="AA946" s="447"/>
      <c r="AB946" s="447"/>
      <c r="AC946" s="447"/>
      <c r="AD946" s="447"/>
      <c r="AE946" s="447"/>
      <c r="AF946" s="448"/>
      <c r="AG946" s="448"/>
      <c r="AH946" s="448"/>
      <c r="AI946" s="447"/>
      <c r="AJ946" s="447"/>
      <c r="AK946" s="447"/>
      <c r="AL946" s="447"/>
      <c r="AM946" s="447"/>
      <c r="AN946" s="447"/>
      <c r="AO946" s="447"/>
      <c r="AP946" s="447"/>
      <c r="AQ946" s="447"/>
      <c r="AR946" s="447"/>
      <c r="AS946" s="447"/>
      <c r="AT946" s="447"/>
      <c r="AU946" s="447"/>
      <c r="AV946" s="447"/>
      <c r="AW946" s="447"/>
      <c r="AX946" s="447"/>
      <c r="AY946" s="447"/>
      <c r="AZ946" s="447"/>
      <c r="BA946" s="447"/>
      <c r="BB946" s="447"/>
      <c r="BC946" s="447"/>
      <c r="BD946" s="447"/>
      <c r="BE946" s="447"/>
      <c r="BF946" s="447"/>
      <c r="BG946" s="447"/>
      <c r="BH946" s="447"/>
      <c r="BI946" s="447"/>
      <c r="BJ946" s="447"/>
      <c r="BK946" s="447"/>
      <c r="BL946" s="447"/>
      <c r="BM946" s="448"/>
      <c r="BN946" s="448"/>
    </row>
    <row r="947" spans="1:66" ht="11.25" customHeight="1">
      <c r="A947" s="469"/>
      <c r="B947" s="447"/>
      <c r="C947" s="447"/>
      <c r="D947" s="447"/>
      <c r="E947" s="447"/>
      <c r="F947" s="447"/>
      <c r="G947" s="447"/>
      <c r="H947" s="447"/>
      <c r="I947" s="447"/>
      <c r="J947" s="447"/>
      <c r="K947" s="447"/>
      <c r="L947" s="447"/>
      <c r="M947" s="447"/>
      <c r="N947" s="447"/>
      <c r="O947" s="447"/>
      <c r="P947" s="447"/>
      <c r="Q947" s="447"/>
      <c r="R947" s="447"/>
      <c r="S947" s="447"/>
      <c r="T947" s="447"/>
      <c r="U947" s="447"/>
      <c r="V947" s="447"/>
      <c r="W947" s="447"/>
      <c r="X947" s="447"/>
      <c r="Y947" s="447"/>
      <c r="Z947" s="447"/>
      <c r="AA947" s="447"/>
      <c r="AB947" s="447"/>
      <c r="AC947" s="447"/>
      <c r="AD947" s="447"/>
      <c r="AE947" s="447"/>
      <c r="AF947" s="448"/>
      <c r="AG947" s="448"/>
      <c r="AH947" s="448"/>
      <c r="AI947" s="447"/>
      <c r="AJ947" s="447"/>
      <c r="AK947" s="447"/>
      <c r="AL947" s="447"/>
      <c r="AM947" s="447"/>
      <c r="AN947" s="447"/>
      <c r="AO947" s="447"/>
      <c r="AP947" s="447"/>
      <c r="AQ947" s="447"/>
      <c r="AR947" s="447"/>
      <c r="AS947" s="447"/>
      <c r="AT947" s="447"/>
      <c r="AU947" s="447"/>
      <c r="AV947" s="447"/>
      <c r="AW947" s="447"/>
      <c r="AX947" s="447"/>
      <c r="AY947" s="447"/>
      <c r="AZ947" s="447"/>
      <c r="BA947" s="447"/>
      <c r="BB947" s="447"/>
      <c r="BC947" s="447"/>
      <c r="BD947" s="447"/>
      <c r="BE947" s="447"/>
      <c r="BF947" s="447"/>
      <c r="BG947" s="447"/>
      <c r="BH947" s="447"/>
      <c r="BI947" s="447"/>
      <c r="BJ947" s="447"/>
      <c r="BK947" s="447"/>
      <c r="BL947" s="447"/>
      <c r="BM947" s="448"/>
      <c r="BN947" s="448"/>
    </row>
    <row r="948" spans="1:66" ht="11.25" customHeight="1">
      <c r="A948" s="469"/>
      <c r="B948" s="447"/>
      <c r="C948" s="447"/>
      <c r="D948" s="447"/>
      <c r="E948" s="447"/>
      <c r="F948" s="447"/>
      <c r="G948" s="447"/>
      <c r="H948" s="447"/>
      <c r="I948" s="447"/>
      <c r="J948" s="447"/>
      <c r="K948" s="447"/>
      <c r="L948" s="447"/>
      <c r="M948" s="447"/>
      <c r="N948" s="447"/>
      <c r="O948" s="447"/>
      <c r="P948" s="447"/>
      <c r="Q948" s="447"/>
      <c r="R948" s="447"/>
      <c r="S948" s="447"/>
      <c r="T948" s="447"/>
      <c r="U948" s="447"/>
      <c r="V948" s="447"/>
      <c r="W948" s="447"/>
      <c r="X948" s="447"/>
      <c r="Y948" s="447"/>
      <c r="Z948" s="447"/>
      <c r="AA948" s="447"/>
      <c r="AB948" s="447"/>
      <c r="AC948" s="447"/>
      <c r="AD948" s="447"/>
      <c r="AE948" s="447"/>
      <c r="AF948" s="448"/>
      <c r="AG948" s="448"/>
      <c r="AH948" s="448"/>
      <c r="AI948" s="447"/>
      <c r="AJ948" s="447"/>
      <c r="AK948" s="447"/>
      <c r="AL948" s="447"/>
      <c r="AM948" s="447"/>
      <c r="AN948" s="447"/>
      <c r="AO948" s="447"/>
      <c r="AP948" s="447"/>
      <c r="AQ948" s="447"/>
      <c r="AR948" s="447"/>
      <c r="AS948" s="447"/>
      <c r="AT948" s="447"/>
      <c r="AU948" s="447"/>
      <c r="AV948" s="447"/>
      <c r="AW948" s="447"/>
      <c r="AX948" s="447"/>
      <c r="AY948" s="447"/>
      <c r="AZ948" s="447"/>
      <c r="BA948" s="447"/>
      <c r="BB948" s="447"/>
      <c r="BC948" s="447"/>
      <c r="BD948" s="447"/>
      <c r="BE948" s="447"/>
      <c r="BF948" s="447"/>
      <c r="BG948" s="447"/>
      <c r="BH948" s="447"/>
      <c r="BI948" s="447"/>
      <c r="BJ948" s="447"/>
      <c r="BK948" s="447"/>
      <c r="BL948" s="447"/>
      <c r="BM948" s="448"/>
      <c r="BN948" s="448"/>
    </row>
    <row r="949" spans="1:66" ht="11.25" customHeight="1">
      <c r="A949" s="469"/>
      <c r="B949" s="447"/>
      <c r="C949" s="447"/>
      <c r="D949" s="447"/>
      <c r="E949" s="447"/>
      <c r="F949" s="447"/>
      <c r="G949" s="447"/>
      <c r="H949" s="447"/>
      <c r="I949" s="447"/>
      <c r="J949" s="447"/>
      <c r="K949" s="447"/>
      <c r="L949" s="447"/>
      <c r="M949" s="447"/>
      <c r="N949" s="447"/>
      <c r="O949" s="447"/>
      <c r="P949" s="447"/>
      <c r="Q949" s="447"/>
      <c r="R949" s="447"/>
      <c r="S949" s="447"/>
      <c r="T949" s="447"/>
      <c r="U949" s="447"/>
      <c r="V949" s="447"/>
      <c r="W949" s="447"/>
      <c r="X949" s="447"/>
      <c r="Y949" s="447"/>
      <c r="Z949" s="447"/>
      <c r="AA949" s="447"/>
      <c r="AB949" s="447"/>
      <c r="AC949" s="447"/>
      <c r="AD949" s="447"/>
      <c r="AE949" s="447"/>
      <c r="AF949" s="448"/>
      <c r="AG949" s="448"/>
      <c r="AH949" s="448"/>
      <c r="AI949" s="447"/>
      <c r="AJ949" s="447"/>
      <c r="AK949" s="447"/>
      <c r="AL949" s="447"/>
      <c r="AM949" s="447"/>
      <c r="AN949" s="447"/>
      <c r="AO949" s="447"/>
      <c r="AP949" s="447"/>
      <c r="AQ949" s="447"/>
      <c r="AR949" s="447"/>
      <c r="AS949" s="447"/>
      <c r="AT949" s="447"/>
      <c r="AU949" s="447"/>
      <c r="AV949" s="447"/>
      <c r="AW949" s="447"/>
      <c r="AX949" s="447"/>
      <c r="AY949" s="447"/>
      <c r="AZ949" s="447"/>
      <c r="BA949" s="447"/>
      <c r="BB949" s="447"/>
      <c r="BC949" s="447"/>
      <c r="BD949" s="447"/>
      <c r="BE949" s="447"/>
      <c r="BF949" s="447"/>
      <c r="BG949" s="447"/>
      <c r="BH949" s="447"/>
      <c r="BI949" s="447"/>
      <c r="BJ949" s="447"/>
      <c r="BK949" s="447"/>
      <c r="BL949" s="447"/>
      <c r="BM949" s="448"/>
      <c r="BN949" s="448"/>
    </row>
    <row r="950" spans="1:66" ht="11.25" customHeight="1">
      <c r="A950" s="469"/>
      <c r="B950" s="447"/>
      <c r="C950" s="447"/>
      <c r="D950" s="447"/>
      <c r="E950" s="447"/>
      <c r="F950" s="447"/>
      <c r="G950" s="447"/>
      <c r="H950" s="447"/>
      <c r="I950" s="447"/>
      <c r="J950" s="447"/>
      <c r="K950" s="447"/>
      <c r="L950" s="447"/>
      <c r="M950" s="447"/>
      <c r="N950" s="447"/>
      <c r="O950" s="447"/>
      <c r="P950" s="447"/>
      <c r="Q950" s="447"/>
      <c r="R950" s="447"/>
      <c r="S950" s="447"/>
      <c r="T950" s="447"/>
      <c r="U950" s="447"/>
      <c r="V950" s="447"/>
      <c r="W950" s="447"/>
      <c r="X950" s="447"/>
      <c r="Y950" s="447"/>
      <c r="Z950" s="447"/>
      <c r="AA950" s="447"/>
      <c r="AB950" s="447"/>
      <c r="AC950" s="447"/>
      <c r="AD950" s="447"/>
      <c r="AE950" s="447"/>
      <c r="AF950" s="448"/>
      <c r="AG950" s="448"/>
      <c r="AH950" s="448"/>
      <c r="AI950" s="447"/>
      <c r="AJ950" s="447"/>
      <c r="AK950" s="447"/>
      <c r="AL950" s="447"/>
      <c r="AM950" s="447"/>
      <c r="AN950" s="447"/>
      <c r="AO950" s="447"/>
      <c r="AP950" s="447"/>
      <c r="AQ950" s="447"/>
      <c r="AR950" s="447"/>
      <c r="AS950" s="447"/>
      <c r="AT950" s="447"/>
      <c r="AU950" s="447"/>
      <c r="AV950" s="447"/>
      <c r="AW950" s="447"/>
      <c r="AX950" s="447"/>
      <c r="AY950" s="447"/>
      <c r="AZ950" s="447"/>
      <c r="BA950" s="447"/>
      <c r="BB950" s="447"/>
      <c r="BC950" s="447"/>
      <c r="BD950" s="447"/>
      <c r="BE950" s="447"/>
      <c r="BF950" s="447"/>
      <c r="BG950" s="447"/>
      <c r="BH950" s="447"/>
      <c r="BI950" s="447"/>
      <c r="BJ950" s="447"/>
      <c r="BK950" s="447"/>
      <c r="BL950" s="447"/>
      <c r="BM950" s="448"/>
      <c r="BN950" s="448"/>
    </row>
    <row r="951" spans="1:66" ht="11.25" customHeight="1">
      <c r="A951" s="469"/>
      <c r="B951" s="447"/>
      <c r="C951" s="447"/>
      <c r="D951" s="447"/>
      <c r="E951" s="447"/>
      <c r="F951" s="447"/>
      <c r="G951" s="447"/>
      <c r="H951" s="447"/>
      <c r="I951" s="447"/>
      <c r="J951" s="447"/>
      <c r="K951" s="447"/>
      <c r="L951" s="447"/>
      <c r="M951" s="447"/>
      <c r="N951" s="447"/>
      <c r="O951" s="447"/>
      <c r="P951" s="447"/>
      <c r="Q951" s="447"/>
      <c r="R951" s="447"/>
      <c r="S951" s="447"/>
      <c r="T951" s="447"/>
      <c r="U951" s="447"/>
      <c r="V951" s="447"/>
      <c r="W951" s="447"/>
      <c r="X951" s="447"/>
      <c r="Y951" s="447"/>
      <c r="Z951" s="447"/>
      <c r="AA951" s="447"/>
      <c r="AB951" s="447"/>
      <c r="AC951" s="447"/>
      <c r="AD951" s="447"/>
      <c r="AE951" s="447"/>
      <c r="AF951" s="448"/>
      <c r="AG951" s="448"/>
      <c r="AH951" s="448"/>
      <c r="AI951" s="447"/>
      <c r="AJ951" s="447"/>
      <c r="AK951" s="447"/>
      <c r="AL951" s="447"/>
      <c r="AM951" s="447"/>
      <c r="AN951" s="447"/>
      <c r="AO951" s="447"/>
      <c r="AP951" s="447"/>
      <c r="AQ951" s="447"/>
      <c r="AR951" s="447"/>
      <c r="AS951" s="447"/>
      <c r="AT951" s="447"/>
      <c r="AU951" s="447"/>
      <c r="AV951" s="447"/>
      <c r="AW951" s="447"/>
      <c r="AX951" s="447"/>
      <c r="AY951" s="447"/>
      <c r="AZ951" s="447"/>
      <c r="BA951" s="447"/>
      <c r="BB951" s="447"/>
      <c r="BC951" s="447"/>
      <c r="BD951" s="447"/>
      <c r="BE951" s="447"/>
      <c r="BF951" s="447"/>
      <c r="BG951" s="447"/>
      <c r="BH951" s="447"/>
      <c r="BI951" s="447"/>
      <c r="BJ951" s="447"/>
      <c r="BK951" s="447"/>
      <c r="BL951" s="447"/>
      <c r="BM951" s="448"/>
      <c r="BN951" s="448"/>
    </row>
    <row r="952" spans="1:66" ht="11.25" customHeight="1">
      <c r="A952" s="469"/>
      <c r="B952" s="447"/>
      <c r="C952" s="447"/>
      <c r="D952" s="447"/>
      <c r="E952" s="447"/>
      <c r="F952" s="447"/>
      <c r="G952" s="447"/>
      <c r="H952" s="447"/>
      <c r="I952" s="447"/>
      <c r="J952" s="447"/>
      <c r="K952" s="447"/>
      <c r="L952" s="447"/>
      <c r="M952" s="447"/>
      <c r="N952" s="447"/>
      <c r="O952" s="447"/>
      <c r="P952" s="447"/>
      <c r="Q952" s="447"/>
      <c r="R952" s="447"/>
      <c r="S952" s="447"/>
      <c r="T952" s="447"/>
      <c r="U952" s="447"/>
      <c r="V952" s="447"/>
      <c r="W952" s="447"/>
      <c r="X952" s="447"/>
      <c r="Y952" s="447"/>
      <c r="Z952" s="447"/>
      <c r="AA952" s="447"/>
      <c r="AB952" s="447"/>
      <c r="AC952" s="447"/>
      <c r="AD952" s="447"/>
      <c r="AE952" s="447"/>
      <c r="AF952" s="448"/>
      <c r="AG952" s="448"/>
      <c r="AH952" s="448"/>
      <c r="AI952" s="447"/>
      <c r="AJ952" s="447"/>
      <c r="AK952" s="447"/>
      <c r="AL952" s="447"/>
      <c r="AM952" s="447"/>
      <c r="AN952" s="447"/>
      <c r="AO952" s="447"/>
      <c r="AP952" s="447"/>
      <c r="AQ952" s="447"/>
      <c r="AR952" s="447"/>
      <c r="AS952" s="447"/>
      <c r="AT952" s="447"/>
      <c r="AU952" s="447"/>
      <c r="AV952" s="447"/>
      <c r="AW952" s="447"/>
      <c r="AX952" s="447"/>
      <c r="AY952" s="447"/>
      <c r="AZ952" s="447"/>
      <c r="BA952" s="447"/>
      <c r="BB952" s="447"/>
      <c r="BC952" s="447"/>
      <c r="BD952" s="447"/>
      <c r="BE952" s="447"/>
      <c r="BF952" s="447"/>
      <c r="BG952" s="447"/>
      <c r="BH952" s="447"/>
      <c r="BI952" s="447"/>
      <c r="BJ952" s="447"/>
      <c r="BK952" s="447"/>
      <c r="BL952" s="447"/>
      <c r="BM952" s="448"/>
      <c r="BN952" s="448"/>
    </row>
    <row r="953" spans="1:66" ht="11.25" customHeight="1">
      <c r="A953" s="469"/>
      <c r="B953" s="447"/>
      <c r="C953" s="447"/>
      <c r="D953" s="447"/>
      <c r="E953" s="447"/>
      <c r="F953" s="447"/>
      <c r="G953" s="447"/>
      <c r="H953" s="447"/>
      <c r="I953" s="447"/>
      <c r="J953" s="447"/>
      <c r="K953" s="447"/>
      <c r="L953" s="447"/>
      <c r="M953" s="447"/>
      <c r="N953" s="447"/>
      <c r="O953" s="447"/>
      <c r="P953" s="447"/>
      <c r="Q953" s="447"/>
      <c r="R953" s="447"/>
      <c r="S953" s="447"/>
      <c r="T953" s="447"/>
      <c r="U953" s="447"/>
      <c r="V953" s="447"/>
      <c r="W953" s="447"/>
      <c r="X953" s="447"/>
      <c r="Y953" s="447"/>
      <c r="Z953" s="447"/>
      <c r="AA953" s="447"/>
      <c r="AB953" s="447"/>
      <c r="AC953" s="447"/>
      <c r="AD953" s="447"/>
      <c r="AE953" s="447"/>
      <c r="AF953" s="448"/>
      <c r="AG953" s="448"/>
      <c r="AH953" s="448"/>
      <c r="AI953" s="447"/>
      <c r="AJ953" s="447"/>
      <c r="AK953" s="447"/>
      <c r="AL953" s="447"/>
      <c r="AM953" s="447"/>
      <c r="AN953" s="447"/>
      <c r="AO953" s="447"/>
      <c r="AP953" s="447"/>
      <c r="AQ953" s="447"/>
      <c r="AR953" s="447"/>
      <c r="AS953" s="447"/>
      <c r="AT953" s="447"/>
      <c r="AU953" s="447"/>
      <c r="AV953" s="447"/>
      <c r="AW953" s="447"/>
      <c r="AX953" s="447"/>
      <c r="AY953" s="447"/>
      <c r="AZ953" s="447"/>
      <c r="BA953" s="447"/>
      <c r="BB953" s="447"/>
      <c r="BC953" s="447"/>
      <c r="BD953" s="447"/>
      <c r="BE953" s="447"/>
      <c r="BF953" s="447"/>
      <c r="BG953" s="447"/>
      <c r="BH953" s="447"/>
      <c r="BI953" s="447"/>
      <c r="BJ953" s="447"/>
      <c r="BK953" s="447"/>
      <c r="BL953" s="447"/>
      <c r="BM953" s="448"/>
      <c r="BN953" s="448"/>
    </row>
    <row r="954" spans="1:66" ht="11.25" customHeight="1">
      <c r="A954" s="469"/>
      <c r="B954" s="447"/>
      <c r="C954" s="447"/>
      <c r="D954" s="447"/>
      <c r="E954" s="447"/>
      <c r="F954" s="447"/>
      <c r="G954" s="447"/>
      <c r="H954" s="447"/>
      <c r="I954" s="447"/>
      <c r="J954" s="447"/>
      <c r="K954" s="447"/>
      <c r="L954" s="447"/>
      <c r="M954" s="447"/>
      <c r="N954" s="447"/>
      <c r="O954" s="447"/>
      <c r="P954" s="447"/>
      <c r="Q954" s="447"/>
      <c r="R954" s="447"/>
      <c r="S954" s="447"/>
      <c r="T954" s="447"/>
      <c r="U954" s="447"/>
      <c r="V954" s="447"/>
      <c r="W954" s="447"/>
      <c r="X954" s="447"/>
      <c r="Y954" s="447"/>
      <c r="Z954" s="447"/>
      <c r="AA954" s="447"/>
      <c r="AB954" s="447"/>
      <c r="AC954" s="447"/>
      <c r="AD954" s="447"/>
      <c r="AE954" s="447"/>
      <c r="AF954" s="448"/>
      <c r="AG954" s="448"/>
      <c r="AH954" s="448"/>
      <c r="AI954" s="447"/>
      <c r="AJ954" s="447"/>
      <c r="AK954" s="447"/>
      <c r="AL954" s="447"/>
      <c r="AM954" s="447"/>
      <c r="AN954" s="447"/>
      <c r="AO954" s="447"/>
      <c r="AP954" s="447"/>
      <c r="AQ954" s="447"/>
      <c r="AR954" s="447"/>
      <c r="AS954" s="447"/>
      <c r="AT954" s="447"/>
      <c r="AU954" s="447"/>
      <c r="AV954" s="447"/>
      <c r="AW954" s="447"/>
      <c r="AX954" s="447"/>
      <c r="AY954" s="447"/>
      <c r="AZ954" s="447"/>
      <c r="BA954" s="447"/>
      <c r="BB954" s="447"/>
      <c r="BC954" s="447"/>
      <c r="BD954" s="447"/>
      <c r="BE954" s="447"/>
      <c r="BF954" s="447"/>
      <c r="BG954" s="447"/>
      <c r="BH954" s="447"/>
      <c r="BI954" s="447"/>
      <c r="BJ954" s="447"/>
      <c r="BK954" s="447"/>
      <c r="BL954" s="447"/>
      <c r="BM954" s="448"/>
      <c r="BN954" s="448"/>
    </row>
    <row r="955" spans="1:66" ht="11.25" customHeight="1">
      <c r="A955" s="469"/>
      <c r="B955" s="447"/>
      <c r="C955" s="447"/>
      <c r="D955" s="447"/>
      <c r="E955" s="447"/>
      <c r="F955" s="447"/>
      <c r="G955" s="447"/>
      <c r="H955" s="447"/>
      <c r="I955" s="447"/>
      <c r="J955" s="447"/>
      <c r="K955" s="447"/>
      <c r="L955" s="447"/>
      <c r="M955" s="447"/>
      <c r="N955" s="447"/>
      <c r="O955" s="447"/>
      <c r="P955" s="447"/>
      <c r="Q955" s="447"/>
      <c r="R955" s="447"/>
      <c r="S955" s="447"/>
      <c r="T955" s="447"/>
      <c r="U955" s="447"/>
      <c r="V955" s="447"/>
      <c r="W955" s="447"/>
      <c r="X955" s="447"/>
      <c r="Y955" s="447"/>
      <c r="Z955" s="447"/>
      <c r="AA955" s="447"/>
      <c r="AB955" s="447"/>
      <c r="AC955" s="447"/>
      <c r="AD955" s="447"/>
      <c r="AE955" s="447"/>
      <c r="AF955" s="448"/>
      <c r="AG955" s="448"/>
      <c r="AH955" s="448"/>
      <c r="AI955" s="447"/>
      <c r="AJ955" s="447"/>
      <c r="AK955" s="447"/>
      <c r="AL955" s="447"/>
      <c r="AM955" s="447"/>
      <c r="AN955" s="447"/>
      <c r="AO955" s="447"/>
      <c r="AP955" s="447"/>
      <c r="AQ955" s="447"/>
      <c r="AR955" s="447"/>
      <c r="AS955" s="447"/>
      <c r="AT955" s="447"/>
      <c r="AU955" s="447"/>
      <c r="AV955" s="447"/>
      <c r="AW955" s="447"/>
      <c r="AX955" s="447"/>
      <c r="AY955" s="447"/>
      <c r="AZ955" s="447"/>
      <c r="BA955" s="447"/>
      <c r="BB955" s="447"/>
      <c r="BC955" s="447"/>
      <c r="BD955" s="447"/>
      <c r="BE955" s="447"/>
      <c r="BF955" s="447"/>
      <c r="BG955" s="447"/>
      <c r="BH955" s="447"/>
      <c r="BI955" s="447"/>
      <c r="BJ955" s="447"/>
      <c r="BK955" s="447"/>
      <c r="BL955" s="447"/>
      <c r="BM955" s="448"/>
      <c r="BN955" s="448"/>
    </row>
    <row r="956" spans="1:66" ht="11.25" customHeight="1">
      <c r="A956" s="469"/>
      <c r="B956" s="447"/>
      <c r="C956" s="447"/>
      <c r="D956" s="447"/>
      <c r="E956" s="447"/>
      <c r="F956" s="447"/>
      <c r="G956" s="447"/>
      <c r="H956" s="447"/>
      <c r="I956" s="447"/>
      <c r="J956" s="447"/>
      <c r="K956" s="447"/>
      <c r="L956" s="447"/>
      <c r="M956" s="447"/>
      <c r="N956" s="447"/>
      <c r="O956" s="447"/>
      <c r="P956" s="447"/>
      <c r="Q956" s="447"/>
      <c r="R956" s="447"/>
      <c r="S956" s="447"/>
      <c r="T956" s="447"/>
      <c r="U956" s="447"/>
      <c r="V956" s="447"/>
      <c r="W956" s="447"/>
      <c r="X956" s="447"/>
      <c r="Y956" s="447"/>
      <c r="Z956" s="447"/>
      <c r="AA956" s="447"/>
      <c r="AB956" s="447"/>
      <c r="AC956" s="447"/>
      <c r="AD956" s="447"/>
      <c r="AE956" s="447"/>
      <c r="AF956" s="448"/>
      <c r="AG956" s="448"/>
      <c r="AH956" s="448"/>
      <c r="AI956" s="447"/>
      <c r="AJ956" s="447"/>
      <c r="AK956" s="447"/>
      <c r="AL956" s="447"/>
      <c r="AM956" s="447"/>
      <c r="AN956" s="447"/>
      <c r="AO956" s="447"/>
      <c r="AP956" s="447"/>
      <c r="AQ956" s="447"/>
      <c r="AR956" s="447"/>
      <c r="AS956" s="447"/>
      <c r="AT956" s="447"/>
      <c r="AU956" s="447"/>
      <c r="AV956" s="447"/>
      <c r="AW956" s="447"/>
      <c r="AX956" s="447"/>
      <c r="AY956" s="447"/>
      <c r="AZ956" s="447"/>
      <c r="BA956" s="447"/>
      <c r="BB956" s="447"/>
      <c r="BC956" s="447"/>
      <c r="BD956" s="447"/>
      <c r="BE956" s="447"/>
      <c r="BF956" s="447"/>
      <c r="BG956" s="447"/>
      <c r="BH956" s="447"/>
      <c r="BI956" s="447"/>
      <c r="BJ956" s="447"/>
      <c r="BK956" s="447"/>
      <c r="BL956" s="447"/>
      <c r="BM956" s="448"/>
      <c r="BN956" s="448"/>
    </row>
    <row r="957" spans="1:66" ht="11.25" customHeight="1">
      <c r="A957" s="469"/>
      <c r="B957" s="447"/>
      <c r="C957" s="447"/>
      <c r="D957" s="447"/>
      <c r="E957" s="447"/>
      <c r="F957" s="447"/>
      <c r="G957" s="447"/>
      <c r="H957" s="447"/>
      <c r="I957" s="447"/>
      <c r="J957" s="447"/>
      <c r="K957" s="447"/>
      <c r="L957" s="447"/>
      <c r="M957" s="447"/>
      <c r="N957" s="447"/>
      <c r="O957" s="447"/>
      <c r="P957" s="447"/>
      <c r="Q957" s="447"/>
      <c r="R957" s="447"/>
      <c r="S957" s="447"/>
      <c r="T957" s="447"/>
      <c r="U957" s="447"/>
      <c r="V957" s="447"/>
      <c r="W957" s="447"/>
      <c r="X957" s="447"/>
      <c r="Y957" s="447"/>
      <c r="Z957" s="447"/>
      <c r="AA957" s="447"/>
      <c r="AB957" s="447"/>
      <c r="AC957" s="447"/>
      <c r="AD957" s="447"/>
      <c r="AE957" s="447"/>
      <c r="AF957" s="448"/>
      <c r="AG957" s="448"/>
      <c r="AH957" s="448"/>
      <c r="AI957" s="447"/>
      <c r="AJ957" s="447"/>
      <c r="AK957" s="447"/>
      <c r="AL957" s="447"/>
      <c r="AM957" s="447"/>
      <c r="AN957" s="447"/>
      <c r="AO957" s="447"/>
      <c r="AP957" s="447"/>
      <c r="AQ957" s="447"/>
      <c r="AR957" s="447"/>
      <c r="AS957" s="447"/>
      <c r="AT957" s="447"/>
      <c r="AU957" s="447"/>
      <c r="AV957" s="447"/>
      <c r="AW957" s="447"/>
      <c r="AX957" s="447"/>
      <c r="AY957" s="447"/>
      <c r="AZ957" s="447"/>
      <c r="BA957" s="447"/>
      <c r="BB957" s="447"/>
      <c r="BC957" s="447"/>
      <c r="BD957" s="447"/>
      <c r="BE957" s="447"/>
      <c r="BF957" s="447"/>
      <c r="BG957" s="447"/>
      <c r="BH957" s="447"/>
      <c r="BI957" s="447"/>
      <c r="BJ957" s="447"/>
      <c r="BK957" s="447"/>
      <c r="BL957" s="447"/>
      <c r="BM957" s="448"/>
      <c r="BN957" s="448"/>
    </row>
    <row r="958" spans="1:66" ht="11.25" customHeight="1">
      <c r="A958" s="469"/>
      <c r="B958" s="447"/>
      <c r="C958" s="447"/>
      <c r="D958" s="447"/>
      <c r="E958" s="447"/>
      <c r="F958" s="447"/>
      <c r="G958" s="447"/>
      <c r="H958" s="447"/>
      <c r="I958" s="447"/>
      <c r="J958" s="447"/>
      <c r="K958" s="447"/>
      <c r="L958" s="447"/>
      <c r="M958" s="447"/>
      <c r="N958" s="447"/>
      <c r="O958" s="447"/>
      <c r="P958" s="447"/>
      <c r="Q958" s="447"/>
      <c r="R958" s="447"/>
      <c r="S958" s="447"/>
      <c r="T958" s="447"/>
      <c r="U958" s="447"/>
      <c r="V958" s="447"/>
      <c r="W958" s="447"/>
      <c r="X958" s="447"/>
      <c r="Y958" s="447"/>
      <c r="Z958" s="447"/>
      <c r="AA958" s="447"/>
      <c r="AB958" s="447"/>
      <c r="AC958" s="447"/>
      <c r="AD958" s="447"/>
      <c r="AE958" s="447"/>
      <c r="AF958" s="448"/>
      <c r="AG958" s="448"/>
      <c r="AH958" s="448"/>
      <c r="AI958" s="447"/>
      <c r="AJ958" s="447"/>
      <c r="AK958" s="447"/>
      <c r="AL958" s="447"/>
      <c r="AM958" s="447"/>
      <c r="AN958" s="447"/>
      <c r="AO958" s="447"/>
      <c r="AP958" s="447"/>
      <c r="AQ958" s="447"/>
      <c r="AR958" s="447"/>
      <c r="AS958" s="447"/>
      <c r="AT958" s="447"/>
      <c r="AU958" s="447"/>
      <c r="AV958" s="447"/>
      <c r="AW958" s="447"/>
      <c r="AX958" s="447"/>
      <c r="AY958" s="447"/>
      <c r="AZ958" s="447"/>
      <c r="BA958" s="447"/>
      <c r="BB958" s="447"/>
      <c r="BC958" s="447"/>
      <c r="BD958" s="447"/>
      <c r="BE958" s="447"/>
      <c r="BF958" s="447"/>
      <c r="BG958" s="447"/>
      <c r="BH958" s="447"/>
      <c r="BI958" s="447"/>
      <c r="BJ958" s="447"/>
      <c r="BK958" s="447"/>
      <c r="BL958" s="447"/>
      <c r="BM958" s="448"/>
      <c r="BN958" s="448"/>
    </row>
    <row r="959" spans="1:66" ht="11.25" customHeight="1">
      <c r="A959" s="469"/>
      <c r="B959" s="447"/>
      <c r="C959" s="447"/>
      <c r="D959" s="447"/>
      <c r="E959" s="447"/>
      <c r="F959" s="447"/>
      <c r="G959" s="447"/>
      <c r="H959" s="447"/>
      <c r="I959" s="447"/>
      <c r="J959" s="447"/>
      <c r="K959" s="447"/>
      <c r="L959" s="447"/>
      <c r="M959" s="447"/>
      <c r="N959" s="447"/>
      <c r="O959" s="447"/>
      <c r="P959" s="447"/>
      <c r="Q959" s="447"/>
      <c r="R959" s="447"/>
      <c r="S959" s="447"/>
      <c r="T959" s="447"/>
      <c r="U959" s="447"/>
      <c r="V959" s="447"/>
      <c r="W959" s="447"/>
      <c r="X959" s="447"/>
      <c r="Y959" s="447"/>
      <c r="Z959" s="447"/>
      <c r="AA959" s="447"/>
      <c r="AB959" s="447"/>
      <c r="AC959" s="447"/>
      <c r="AD959" s="447"/>
      <c r="AE959" s="447"/>
      <c r="AF959" s="448"/>
      <c r="AG959" s="448"/>
      <c r="AH959" s="448"/>
      <c r="AI959" s="447"/>
      <c r="AJ959" s="447"/>
      <c r="AK959" s="447"/>
      <c r="AL959" s="447"/>
      <c r="AM959" s="447"/>
      <c r="AN959" s="447"/>
      <c r="AO959" s="447"/>
      <c r="AP959" s="447"/>
      <c r="AQ959" s="447"/>
      <c r="AR959" s="447"/>
      <c r="AS959" s="447"/>
      <c r="AT959" s="447"/>
      <c r="AU959" s="447"/>
      <c r="AV959" s="447"/>
      <c r="AW959" s="447"/>
      <c r="AX959" s="447"/>
      <c r="AY959" s="447"/>
      <c r="AZ959" s="447"/>
      <c r="BA959" s="447"/>
      <c r="BB959" s="447"/>
      <c r="BC959" s="447"/>
      <c r="BD959" s="447"/>
      <c r="BE959" s="447"/>
      <c r="BF959" s="447"/>
      <c r="BG959" s="447"/>
      <c r="BH959" s="447"/>
      <c r="BI959" s="447"/>
      <c r="BJ959" s="447"/>
      <c r="BK959" s="447"/>
      <c r="BL959" s="447"/>
      <c r="BM959" s="448"/>
      <c r="BN959" s="448"/>
    </row>
    <row r="960" spans="1:66" ht="11.25" customHeight="1">
      <c r="A960" s="469"/>
      <c r="B960" s="447"/>
      <c r="C960" s="447"/>
      <c r="D960" s="447"/>
      <c r="E960" s="447"/>
      <c r="F960" s="447"/>
      <c r="G960" s="447"/>
      <c r="H960" s="447"/>
      <c r="I960" s="447"/>
      <c r="J960" s="447"/>
      <c r="K960" s="447"/>
      <c r="L960" s="447"/>
      <c r="M960" s="447"/>
      <c r="N960" s="447"/>
      <c r="O960" s="447"/>
      <c r="P960" s="447"/>
      <c r="Q960" s="447"/>
      <c r="R960" s="447"/>
      <c r="S960" s="447"/>
      <c r="T960" s="447"/>
      <c r="U960" s="447"/>
      <c r="V960" s="447"/>
      <c r="W960" s="447"/>
      <c r="X960" s="447"/>
      <c r="Y960" s="447"/>
      <c r="Z960" s="447"/>
      <c r="AA960" s="447"/>
      <c r="AB960" s="447"/>
      <c r="AC960" s="447"/>
      <c r="AD960" s="447"/>
      <c r="AE960" s="447"/>
      <c r="AF960" s="448"/>
      <c r="AG960" s="448"/>
      <c r="AH960" s="448"/>
      <c r="AI960" s="447"/>
      <c r="AJ960" s="447"/>
      <c r="AK960" s="447"/>
      <c r="AL960" s="447"/>
      <c r="AM960" s="447"/>
      <c r="AN960" s="447"/>
      <c r="AO960" s="447"/>
      <c r="AP960" s="447"/>
      <c r="AQ960" s="447"/>
      <c r="AR960" s="447"/>
      <c r="AS960" s="447"/>
      <c r="AT960" s="447"/>
      <c r="AU960" s="447"/>
      <c r="AV960" s="447"/>
      <c r="AW960" s="447"/>
      <c r="AX960" s="447"/>
      <c r="AY960" s="447"/>
      <c r="AZ960" s="447"/>
      <c r="BA960" s="447"/>
      <c r="BB960" s="447"/>
      <c r="BC960" s="447"/>
      <c r="BD960" s="447"/>
      <c r="BE960" s="447"/>
      <c r="BF960" s="447"/>
      <c r="BG960" s="447"/>
      <c r="BH960" s="447"/>
      <c r="BI960" s="447"/>
      <c r="BJ960" s="447"/>
      <c r="BK960" s="447"/>
      <c r="BL960" s="447"/>
      <c r="BM960" s="448"/>
      <c r="BN960" s="448"/>
    </row>
    <row r="961" spans="1:66" ht="11.25" customHeight="1">
      <c r="A961" s="469"/>
      <c r="B961" s="447"/>
      <c r="C961" s="447"/>
      <c r="D961" s="447"/>
      <c r="E961" s="447"/>
      <c r="F961" s="447"/>
      <c r="G961" s="447"/>
      <c r="H961" s="447"/>
      <c r="I961" s="447"/>
      <c r="J961" s="447"/>
      <c r="K961" s="447"/>
      <c r="L961" s="447"/>
      <c r="M961" s="447"/>
      <c r="N961" s="447"/>
      <c r="O961" s="447"/>
      <c r="P961" s="447"/>
      <c r="Q961" s="447"/>
      <c r="R961" s="447"/>
      <c r="S961" s="447"/>
      <c r="T961" s="447"/>
      <c r="U961" s="447"/>
      <c r="V961" s="447"/>
      <c r="W961" s="447"/>
      <c r="X961" s="447"/>
      <c r="Y961" s="447"/>
      <c r="Z961" s="447"/>
      <c r="AA961" s="447"/>
      <c r="AB961" s="447"/>
      <c r="AC961" s="447"/>
      <c r="AD961" s="447"/>
      <c r="AE961" s="447"/>
      <c r="AF961" s="448"/>
      <c r="AG961" s="448"/>
      <c r="AH961" s="448"/>
      <c r="AI961" s="447"/>
      <c r="AJ961" s="447"/>
      <c r="AK961" s="447"/>
      <c r="AL961" s="447"/>
      <c r="AM961" s="447"/>
      <c r="AN961" s="447"/>
      <c r="AO961" s="447"/>
      <c r="AP961" s="447"/>
      <c r="AQ961" s="447"/>
      <c r="AR961" s="447"/>
      <c r="AS961" s="447"/>
      <c r="AT961" s="447"/>
      <c r="AU961" s="447"/>
      <c r="AV961" s="447"/>
      <c r="AW961" s="447"/>
      <c r="AX961" s="447"/>
      <c r="AY961" s="447"/>
      <c r="AZ961" s="447"/>
      <c r="BA961" s="447"/>
      <c r="BB961" s="447"/>
      <c r="BC961" s="447"/>
      <c r="BD961" s="447"/>
      <c r="BE961" s="447"/>
      <c r="BF961" s="447"/>
      <c r="BG961" s="447"/>
      <c r="BH961" s="447"/>
      <c r="BI961" s="447"/>
      <c r="BJ961" s="447"/>
      <c r="BK961" s="447"/>
      <c r="BL961" s="447"/>
      <c r="BM961" s="448"/>
      <c r="BN961" s="448"/>
    </row>
    <row r="962" spans="1:66" ht="11.25" customHeight="1">
      <c r="A962" s="469"/>
      <c r="B962" s="447"/>
      <c r="C962" s="447"/>
      <c r="D962" s="447"/>
      <c r="E962" s="447"/>
      <c r="F962" s="447"/>
      <c r="G962" s="447"/>
      <c r="H962" s="447"/>
      <c r="I962" s="447"/>
      <c r="J962" s="447"/>
      <c r="K962" s="447"/>
      <c r="L962" s="447"/>
      <c r="M962" s="447"/>
      <c r="N962" s="447"/>
      <c r="O962" s="447"/>
      <c r="P962" s="447"/>
      <c r="Q962" s="447"/>
      <c r="R962" s="447"/>
      <c r="S962" s="447"/>
      <c r="T962" s="447"/>
      <c r="U962" s="447"/>
      <c r="V962" s="447"/>
      <c r="W962" s="447"/>
      <c r="X962" s="447"/>
      <c r="Y962" s="447"/>
      <c r="Z962" s="447"/>
      <c r="AA962" s="447"/>
      <c r="AB962" s="447"/>
      <c r="AC962" s="447"/>
      <c r="AD962" s="447"/>
      <c r="AE962" s="447"/>
      <c r="AF962" s="448"/>
      <c r="AG962" s="448"/>
      <c r="AH962" s="448"/>
      <c r="AI962" s="447"/>
      <c r="AJ962" s="447"/>
      <c r="AK962" s="447"/>
      <c r="AL962" s="447"/>
      <c r="AM962" s="447"/>
      <c r="AN962" s="447"/>
      <c r="AO962" s="447"/>
      <c r="AP962" s="447"/>
      <c r="AQ962" s="447"/>
      <c r="AR962" s="447"/>
      <c r="AS962" s="447"/>
      <c r="AT962" s="447"/>
      <c r="AU962" s="447"/>
      <c r="AV962" s="447"/>
      <c r="AW962" s="447"/>
      <c r="AX962" s="447"/>
      <c r="AY962" s="447"/>
      <c r="AZ962" s="447"/>
      <c r="BA962" s="447"/>
      <c r="BB962" s="447"/>
      <c r="BC962" s="447"/>
      <c r="BD962" s="447"/>
      <c r="BE962" s="447"/>
      <c r="BF962" s="447"/>
      <c r="BG962" s="447"/>
      <c r="BH962" s="447"/>
      <c r="BI962" s="447"/>
      <c r="BJ962" s="447"/>
      <c r="BK962" s="447"/>
      <c r="BL962" s="447"/>
      <c r="BM962" s="448"/>
      <c r="BN962" s="448"/>
    </row>
    <row r="963" spans="1:66" ht="11.25" customHeight="1">
      <c r="A963" s="469"/>
      <c r="B963" s="447"/>
      <c r="C963" s="447"/>
      <c r="D963" s="447"/>
      <c r="E963" s="447"/>
      <c r="F963" s="447"/>
      <c r="G963" s="447"/>
      <c r="H963" s="447"/>
      <c r="I963" s="447"/>
      <c r="J963" s="447"/>
      <c r="K963" s="447"/>
      <c r="L963" s="447"/>
      <c r="M963" s="447"/>
      <c r="N963" s="447"/>
      <c r="O963" s="447"/>
      <c r="P963" s="447"/>
      <c r="Q963" s="447"/>
      <c r="R963" s="447"/>
      <c r="S963" s="447"/>
      <c r="T963" s="447"/>
      <c r="U963" s="447"/>
      <c r="V963" s="447"/>
      <c r="W963" s="447"/>
      <c r="X963" s="447"/>
      <c r="Y963" s="447"/>
      <c r="Z963" s="447"/>
      <c r="AA963" s="447"/>
      <c r="AB963" s="447"/>
      <c r="AC963" s="447"/>
      <c r="AD963" s="447"/>
      <c r="AE963" s="447"/>
      <c r="AF963" s="448"/>
      <c r="AG963" s="448"/>
      <c r="AH963" s="448"/>
      <c r="AI963" s="447"/>
      <c r="AJ963" s="447"/>
      <c r="AK963" s="447"/>
      <c r="AL963" s="447"/>
      <c r="AM963" s="447"/>
      <c r="AN963" s="447"/>
      <c r="AO963" s="447"/>
      <c r="AP963" s="447"/>
      <c r="AQ963" s="447"/>
      <c r="AR963" s="447"/>
      <c r="AS963" s="447"/>
      <c r="AT963" s="447"/>
      <c r="AU963" s="447"/>
      <c r="AV963" s="447"/>
      <c r="AW963" s="447"/>
      <c r="AX963" s="447"/>
      <c r="AY963" s="447"/>
      <c r="AZ963" s="447"/>
      <c r="BA963" s="447"/>
      <c r="BB963" s="447"/>
      <c r="BC963" s="447"/>
      <c r="BD963" s="447"/>
      <c r="BE963" s="447"/>
      <c r="BF963" s="447"/>
      <c r="BG963" s="447"/>
      <c r="BH963" s="447"/>
      <c r="BI963" s="447"/>
      <c r="BJ963" s="447"/>
      <c r="BK963" s="447"/>
      <c r="BL963" s="447"/>
      <c r="BM963" s="448"/>
      <c r="BN963" s="448"/>
    </row>
    <row r="964" spans="1:66" ht="11.25" customHeight="1">
      <c r="A964" s="469"/>
      <c r="B964" s="447"/>
      <c r="C964" s="447"/>
      <c r="D964" s="447"/>
      <c r="E964" s="447"/>
      <c r="F964" s="447"/>
      <c r="G964" s="447"/>
      <c r="H964" s="447"/>
      <c r="I964" s="447"/>
      <c r="J964" s="447"/>
      <c r="K964" s="447"/>
      <c r="L964" s="447"/>
      <c r="M964" s="447"/>
      <c r="N964" s="447"/>
      <c r="O964" s="447"/>
      <c r="P964" s="447"/>
      <c r="Q964" s="447"/>
      <c r="R964" s="447"/>
      <c r="S964" s="447"/>
      <c r="T964" s="447"/>
      <c r="U964" s="447"/>
      <c r="V964" s="447"/>
      <c r="W964" s="447"/>
      <c r="X964" s="447"/>
      <c r="Y964" s="447"/>
      <c r="Z964" s="447"/>
      <c r="AA964" s="447"/>
      <c r="AB964" s="447"/>
      <c r="AC964" s="447"/>
      <c r="AD964" s="447"/>
      <c r="AE964" s="447"/>
      <c r="AF964" s="448"/>
      <c r="AG964" s="448"/>
      <c r="AH964" s="448"/>
      <c r="AI964" s="447"/>
      <c r="AJ964" s="447"/>
      <c r="AK964" s="447"/>
      <c r="AL964" s="447"/>
      <c r="AM964" s="447"/>
      <c r="AN964" s="447"/>
      <c r="AO964" s="447"/>
      <c r="AP964" s="447"/>
      <c r="AQ964" s="447"/>
      <c r="AR964" s="447"/>
      <c r="AS964" s="447"/>
      <c r="AT964" s="447"/>
      <c r="AU964" s="447"/>
      <c r="AV964" s="447"/>
      <c r="AW964" s="447"/>
      <c r="AX964" s="447"/>
      <c r="AY964" s="447"/>
      <c r="AZ964" s="447"/>
      <c r="BA964" s="447"/>
      <c r="BB964" s="447"/>
      <c r="BC964" s="447"/>
      <c r="BD964" s="447"/>
      <c r="BE964" s="447"/>
      <c r="BF964" s="447"/>
      <c r="BG964" s="447"/>
      <c r="BH964" s="447"/>
      <c r="BI964" s="447"/>
      <c r="BJ964" s="447"/>
      <c r="BK964" s="447"/>
      <c r="BL964" s="447"/>
      <c r="BM964" s="448"/>
      <c r="BN964" s="448"/>
    </row>
    <row r="965" spans="1:66" ht="11.25" customHeight="1">
      <c r="A965" s="469"/>
      <c r="B965" s="447"/>
      <c r="C965" s="447"/>
      <c r="D965" s="447"/>
      <c r="E965" s="447"/>
      <c r="F965" s="447"/>
      <c r="G965" s="447"/>
      <c r="H965" s="447"/>
      <c r="I965" s="447"/>
      <c r="J965" s="447"/>
      <c r="K965" s="447"/>
      <c r="L965" s="447"/>
      <c r="M965" s="447"/>
      <c r="N965" s="447"/>
      <c r="O965" s="447"/>
      <c r="P965" s="447"/>
      <c r="Q965" s="447"/>
      <c r="R965" s="447"/>
      <c r="S965" s="447"/>
      <c r="T965" s="447"/>
      <c r="U965" s="447"/>
      <c r="V965" s="447"/>
      <c r="W965" s="447"/>
      <c r="X965" s="447"/>
      <c r="Y965" s="447"/>
      <c r="Z965" s="447"/>
      <c r="AA965" s="447"/>
      <c r="AB965" s="447"/>
      <c r="AC965" s="447"/>
      <c r="AD965" s="447"/>
      <c r="AE965" s="447"/>
      <c r="AF965" s="448"/>
      <c r="AG965" s="448"/>
      <c r="AH965" s="448"/>
      <c r="AI965" s="447"/>
      <c r="AJ965" s="447"/>
      <c r="AK965" s="447"/>
      <c r="AL965" s="447"/>
      <c r="AM965" s="447"/>
      <c r="AN965" s="447"/>
      <c r="AO965" s="447"/>
      <c r="AP965" s="447"/>
      <c r="AQ965" s="447"/>
      <c r="AR965" s="447"/>
      <c r="AS965" s="447"/>
      <c r="AT965" s="447"/>
      <c r="AU965" s="447"/>
      <c r="AV965" s="447"/>
      <c r="AW965" s="447"/>
      <c r="AX965" s="447"/>
      <c r="AY965" s="447"/>
      <c r="AZ965" s="447"/>
      <c r="BA965" s="447"/>
      <c r="BB965" s="447"/>
      <c r="BC965" s="447"/>
      <c r="BD965" s="447"/>
      <c r="BE965" s="447"/>
      <c r="BF965" s="447"/>
      <c r="BG965" s="447"/>
      <c r="BH965" s="447"/>
      <c r="BI965" s="447"/>
      <c r="BJ965" s="447"/>
      <c r="BK965" s="447"/>
      <c r="BL965" s="447"/>
      <c r="BM965" s="448"/>
      <c r="BN965" s="448"/>
    </row>
    <row r="966" spans="1:66" ht="11.25" customHeight="1">
      <c r="A966" s="469"/>
      <c r="B966" s="447"/>
      <c r="C966" s="447"/>
      <c r="D966" s="447"/>
      <c r="E966" s="447"/>
      <c r="F966" s="447"/>
      <c r="G966" s="447"/>
      <c r="H966" s="447"/>
      <c r="I966" s="447"/>
      <c r="J966" s="447"/>
      <c r="K966" s="447"/>
      <c r="L966" s="447"/>
      <c r="M966" s="447"/>
      <c r="N966" s="447"/>
      <c r="O966" s="447"/>
      <c r="P966" s="447"/>
      <c r="Q966" s="447"/>
      <c r="R966" s="447"/>
      <c r="S966" s="447"/>
      <c r="T966" s="447"/>
      <c r="U966" s="447"/>
      <c r="V966" s="447"/>
      <c r="W966" s="447"/>
      <c r="X966" s="447"/>
      <c r="Y966" s="447"/>
      <c r="Z966" s="447"/>
      <c r="AA966" s="447"/>
      <c r="AB966" s="447"/>
      <c r="AC966" s="447"/>
      <c r="AD966" s="447"/>
      <c r="AE966" s="447"/>
      <c r="AF966" s="448"/>
      <c r="AG966" s="448"/>
      <c r="AH966" s="448"/>
      <c r="AI966" s="447"/>
      <c r="AJ966" s="447"/>
      <c r="AK966" s="447"/>
      <c r="AL966" s="447"/>
      <c r="AM966" s="447"/>
      <c r="AN966" s="447"/>
      <c r="AO966" s="447"/>
      <c r="AP966" s="447"/>
      <c r="AQ966" s="447"/>
      <c r="AR966" s="447"/>
      <c r="AS966" s="447"/>
      <c r="AT966" s="447"/>
      <c r="AU966" s="447"/>
      <c r="AV966" s="447"/>
      <c r="AW966" s="447"/>
      <c r="AX966" s="447"/>
      <c r="AY966" s="447"/>
      <c r="AZ966" s="447"/>
      <c r="BA966" s="447"/>
      <c r="BB966" s="447"/>
      <c r="BC966" s="447"/>
      <c r="BD966" s="447"/>
      <c r="BE966" s="447"/>
      <c r="BF966" s="447"/>
      <c r="BG966" s="447"/>
      <c r="BH966" s="447"/>
      <c r="BI966" s="447"/>
      <c r="BJ966" s="447"/>
      <c r="BK966" s="447"/>
      <c r="BL966" s="447"/>
      <c r="BM966" s="448"/>
      <c r="BN966" s="448"/>
    </row>
    <row r="967" spans="1:66" ht="11.25" customHeight="1">
      <c r="A967" s="469"/>
      <c r="B967" s="447"/>
      <c r="C967" s="447"/>
      <c r="D967" s="447"/>
      <c r="E967" s="447"/>
      <c r="F967" s="447"/>
      <c r="G967" s="447"/>
      <c r="H967" s="447"/>
      <c r="I967" s="447"/>
      <c r="J967" s="447"/>
      <c r="K967" s="447"/>
      <c r="L967" s="447"/>
      <c r="M967" s="447"/>
      <c r="N967" s="447"/>
      <c r="O967" s="447"/>
      <c r="P967" s="447"/>
      <c r="Q967" s="447"/>
      <c r="R967" s="447"/>
      <c r="S967" s="447"/>
      <c r="T967" s="447"/>
      <c r="U967" s="447"/>
      <c r="V967" s="447"/>
      <c r="W967" s="447"/>
      <c r="X967" s="447"/>
      <c r="Y967" s="447"/>
      <c r="Z967" s="447"/>
      <c r="AA967" s="447"/>
      <c r="AB967" s="447"/>
      <c r="AC967" s="447"/>
      <c r="AD967" s="447"/>
      <c r="AE967" s="447"/>
      <c r="AF967" s="448"/>
      <c r="AG967" s="448"/>
      <c r="AH967" s="448"/>
      <c r="AI967" s="447"/>
      <c r="AJ967" s="447"/>
      <c r="AK967" s="447"/>
      <c r="AL967" s="447"/>
      <c r="AM967" s="447"/>
      <c r="AN967" s="447"/>
      <c r="AO967" s="447"/>
      <c r="AP967" s="447"/>
      <c r="AQ967" s="447"/>
      <c r="AR967" s="447"/>
      <c r="AS967" s="447"/>
      <c r="AT967" s="447"/>
      <c r="AU967" s="447"/>
      <c r="AV967" s="447"/>
      <c r="AW967" s="447"/>
      <c r="AX967" s="447"/>
      <c r="AY967" s="447"/>
      <c r="AZ967" s="447"/>
      <c r="BA967" s="447"/>
      <c r="BB967" s="447"/>
      <c r="BC967" s="447"/>
      <c r="BD967" s="447"/>
      <c r="BE967" s="447"/>
      <c r="BF967" s="447"/>
      <c r="BG967" s="447"/>
      <c r="BH967" s="447"/>
      <c r="BI967" s="447"/>
      <c r="BJ967" s="447"/>
      <c r="BK967" s="447"/>
      <c r="BL967" s="447"/>
      <c r="BM967" s="448"/>
      <c r="BN967" s="448"/>
    </row>
    <row r="968" spans="1:66" ht="11.25" customHeight="1">
      <c r="A968" s="469"/>
      <c r="B968" s="447"/>
      <c r="C968" s="447"/>
      <c r="D968" s="447"/>
      <c r="E968" s="447"/>
      <c r="F968" s="447"/>
      <c r="G968" s="447"/>
      <c r="H968" s="447"/>
      <c r="I968" s="447"/>
      <c r="J968" s="447"/>
      <c r="K968" s="447"/>
      <c r="L968" s="447"/>
      <c r="M968" s="447"/>
      <c r="N968" s="447"/>
      <c r="O968" s="447"/>
      <c r="P968" s="447"/>
      <c r="Q968" s="447"/>
      <c r="R968" s="447"/>
      <c r="S968" s="447"/>
      <c r="T968" s="447"/>
      <c r="U968" s="447"/>
      <c r="V968" s="447"/>
      <c r="W968" s="447"/>
      <c r="X968" s="447"/>
      <c r="Y968" s="447"/>
      <c r="Z968" s="447"/>
      <c r="AA968" s="447"/>
      <c r="AB968" s="447"/>
      <c r="AC968" s="447"/>
      <c r="AD968" s="447"/>
      <c r="AE968" s="447"/>
      <c r="AF968" s="448"/>
      <c r="AG968" s="448"/>
      <c r="AH968" s="448"/>
      <c r="AI968" s="447"/>
      <c r="AJ968" s="447"/>
      <c r="AK968" s="447"/>
      <c r="AL968" s="447"/>
      <c r="AM968" s="447"/>
      <c r="AN968" s="447"/>
      <c r="AO968" s="447"/>
      <c r="AP968" s="447"/>
      <c r="AQ968" s="447"/>
      <c r="AR968" s="447"/>
      <c r="AS968" s="447"/>
      <c r="AT968" s="447"/>
      <c r="AU968" s="447"/>
      <c r="AV968" s="447"/>
      <c r="AW968" s="447"/>
      <c r="AX968" s="447"/>
      <c r="AY968" s="447"/>
      <c r="AZ968" s="447"/>
      <c r="BA968" s="447"/>
      <c r="BB968" s="447"/>
      <c r="BC968" s="447"/>
      <c r="BD968" s="447"/>
      <c r="BE968" s="447"/>
      <c r="BF968" s="447"/>
      <c r="BG968" s="447"/>
      <c r="BH968" s="447"/>
      <c r="BI968" s="447"/>
      <c r="BJ968" s="447"/>
      <c r="BK968" s="447"/>
      <c r="BL968" s="447"/>
      <c r="BM968" s="448"/>
      <c r="BN968" s="448"/>
    </row>
    <row r="969" spans="1:66" ht="11.25" customHeight="1">
      <c r="A969" s="469"/>
      <c r="B969" s="447"/>
      <c r="C969" s="447"/>
      <c r="D969" s="447"/>
      <c r="E969" s="447"/>
      <c r="F969" s="447"/>
      <c r="G969" s="447"/>
      <c r="H969" s="447"/>
      <c r="I969" s="447"/>
      <c r="J969" s="447"/>
      <c r="K969" s="447"/>
      <c r="L969" s="447"/>
      <c r="M969" s="447"/>
      <c r="N969" s="447"/>
      <c r="O969" s="447"/>
      <c r="P969" s="447"/>
      <c r="Q969" s="447"/>
      <c r="R969" s="447"/>
      <c r="S969" s="447"/>
      <c r="T969" s="447"/>
      <c r="U969" s="447"/>
      <c r="V969" s="447"/>
      <c r="W969" s="447"/>
      <c r="X969" s="447"/>
      <c r="Y969" s="447"/>
      <c r="Z969" s="447"/>
      <c r="AA969" s="447"/>
      <c r="AB969" s="447"/>
      <c r="AC969" s="447"/>
      <c r="AD969" s="447"/>
      <c r="AE969" s="447"/>
      <c r="AF969" s="448"/>
      <c r="AG969" s="448"/>
      <c r="AH969" s="448"/>
      <c r="AI969" s="447"/>
      <c r="AJ969" s="447"/>
      <c r="AK969" s="447"/>
      <c r="AL969" s="447"/>
      <c r="AM969" s="447"/>
      <c r="AN969" s="447"/>
      <c r="AO969" s="447"/>
      <c r="AP969" s="447"/>
      <c r="AQ969" s="447"/>
      <c r="AR969" s="447"/>
      <c r="AS969" s="447"/>
      <c r="AT969" s="447"/>
      <c r="AU969" s="447"/>
      <c r="AV969" s="447"/>
      <c r="AW969" s="447"/>
      <c r="AX969" s="447"/>
      <c r="AY969" s="447"/>
      <c r="AZ969" s="447"/>
      <c r="BA969" s="447"/>
      <c r="BB969" s="447"/>
      <c r="BC969" s="447"/>
      <c r="BD969" s="447"/>
      <c r="BE969" s="447"/>
      <c r="BF969" s="447"/>
      <c r="BG969" s="447"/>
      <c r="BH969" s="447"/>
      <c r="BI969" s="447"/>
      <c r="BJ969" s="447"/>
      <c r="BK969" s="447"/>
      <c r="BL969" s="447"/>
      <c r="BM969" s="448"/>
      <c r="BN969" s="448"/>
    </row>
    <row r="970" spans="1:66" ht="11.25" customHeight="1">
      <c r="A970" s="469"/>
      <c r="B970" s="447"/>
      <c r="C970" s="447"/>
      <c r="D970" s="447"/>
      <c r="E970" s="447"/>
      <c r="F970" s="447"/>
      <c r="G970" s="447"/>
      <c r="H970" s="447"/>
      <c r="I970" s="447"/>
      <c r="J970" s="447"/>
      <c r="K970" s="447"/>
      <c r="L970" s="447"/>
      <c r="M970" s="447"/>
      <c r="N970" s="447"/>
      <c r="O970" s="447"/>
      <c r="P970" s="447"/>
      <c r="Q970" s="447"/>
      <c r="R970" s="447"/>
      <c r="S970" s="447"/>
      <c r="T970" s="447"/>
      <c r="U970" s="447"/>
      <c r="V970" s="447"/>
      <c r="W970" s="447"/>
      <c r="X970" s="447"/>
      <c r="Y970" s="447"/>
      <c r="Z970" s="447"/>
      <c r="AA970" s="447"/>
      <c r="AB970" s="447"/>
      <c r="AC970" s="447"/>
      <c r="AD970" s="447"/>
      <c r="AE970" s="447"/>
      <c r="AF970" s="448"/>
      <c r="AG970" s="448"/>
      <c r="AH970" s="448"/>
      <c r="AI970" s="447"/>
      <c r="AJ970" s="447"/>
      <c r="AK970" s="447"/>
      <c r="AL970" s="447"/>
      <c r="AM970" s="447"/>
      <c r="AN970" s="447"/>
      <c r="AO970" s="447"/>
      <c r="AP970" s="447"/>
      <c r="AQ970" s="447"/>
      <c r="AR970" s="447"/>
      <c r="AS970" s="447"/>
      <c r="AT970" s="447"/>
      <c r="AU970" s="447"/>
      <c r="AV970" s="447"/>
      <c r="AW970" s="447"/>
      <c r="AX970" s="447"/>
      <c r="AY970" s="447"/>
      <c r="AZ970" s="447"/>
      <c r="BA970" s="447"/>
      <c r="BB970" s="447"/>
      <c r="BC970" s="447"/>
      <c r="BD970" s="447"/>
      <c r="BE970" s="447"/>
      <c r="BF970" s="447"/>
      <c r="BG970" s="447"/>
      <c r="BH970" s="447"/>
      <c r="BI970" s="447"/>
      <c r="BJ970" s="447"/>
      <c r="BK970" s="447"/>
      <c r="BL970" s="447"/>
      <c r="BM970" s="448"/>
      <c r="BN970" s="448"/>
    </row>
    <row r="971" spans="1:66" ht="11.25" customHeight="1">
      <c r="A971" s="469"/>
      <c r="B971" s="447"/>
      <c r="C971" s="447"/>
      <c r="D971" s="447"/>
      <c r="E971" s="447"/>
      <c r="F971" s="447"/>
      <c r="G971" s="447"/>
      <c r="H971" s="447"/>
      <c r="I971" s="447"/>
      <c r="J971" s="447"/>
      <c r="K971" s="447"/>
      <c r="L971" s="447"/>
      <c r="M971" s="447"/>
      <c r="N971" s="447"/>
      <c r="O971" s="447"/>
      <c r="P971" s="447"/>
      <c r="Q971" s="447"/>
      <c r="R971" s="447"/>
      <c r="S971" s="447"/>
      <c r="T971" s="447"/>
      <c r="U971" s="447"/>
      <c r="V971" s="447"/>
      <c r="W971" s="447"/>
      <c r="X971" s="447"/>
      <c r="Y971" s="447"/>
      <c r="Z971" s="447"/>
      <c r="AA971" s="447"/>
      <c r="AB971" s="447"/>
      <c r="AC971" s="447"/>
      <c r="AD971" s="447"/>
      <c r="AE971" s="447"/>
      <c r="AF971" s="448"/>
      <c r="AG971" s="448"/>
      <c r="AH971" s="448"/>
      <c r="AI971" s="447"/>
      <c r="AJ971" s="447"/>
      <c r="AK971" s="447"/>
      <c r="AL971" s="447"/>
      <c r="AM971" s="447"/>
      <c r="AN971" s="447"/>
      <c r="AO971" s="447"/>
      <c r="AP971" s="447"/>
      <c r="AQ971" s="447"/>
      <c r="AR971" s="447"/>
      <c r="AS971" s="447"/>
      <c r="AT971" s="447"/>
      <c r="AU971" s="447"/>
      <c r="AV971" s="447"/>
      <c r="AW971" s="447"/>
      <c r="AX971" s="447"/>
      <c r="AY971" s="447"/>
      <c r="AZ971" s="447"/>
      <c r="BA971" s="447"/>
      <c r="BB971" s="447"/>
      <c r="BC971" s="447"/>
      <c r="BD971" s="447"/>
      <c r="BE971" s="447"/>
      <c r="BF971" s="447"/>
      <c r="BG971" s="447"/>
      <c r="BH971" s="447"/>
      <c r="BI971" s="447"/>
      <c r="BJ971" s="447"/>
      <c r="BK971" s="447"/>
      <c r="BL971" s="447"/>
      <c r="BM971" s="448"/>
      <c r="BN971" s="448"/>
    </row>
    <row r="972" spans="1:66" ht="11.25" customHeight="1">
      <c r="A972" s="469"/>
      <c r="B972" s="447"/>
      <c r="C972" s="447"/>
      <c r="D972" s="447"/>
      <c r="E972" s="447"/>
      <c r="F972" s="447"/>
      <c r="G972" s="447"/>
      <c r="H972" s="447"/>
      <c r="I972" s="447"/>
      <c r="J972" s="447"/>
      <c r="K972" s="447"/>
      <c r="L972" s="447"/>
      <c r="M972" s="447"/>
      <c r="N972" s="447"/>
      <c r="O972" s="447"/>
      <c r="P972" s="447"/>
      <c r="Q972" s="447"/>
      <c r="R972" s="447"/>
      <c r="S972" s="447"/>
      <c r="T972" s="447"/>
      <c r="U972" s="447"/>
      <c r="V972" s="447"/>
      <c r="W972" s="447"/>
      <c r="X972" s="447"/>
      <c r="Y972" s="447"/>
      <c r="Z972" s="447"/>
      <c r="AA972" s="447"/>
      <c r="AB972" s="447"/>
      <c r="AC972" s="447"/>
      <c r="AD972" s="447"/>
      <c r="AE972" s="447"/>
      <c r="AF972" s="448"/>
      <c r="AG972" s="448"/>
      <c r="AH972" s="448"/>
      <c r="AI972" s="447"/>
      <c r="AJ972" s="447"/>
      <c r="AK972" s="447"/>
      <c r="AL972" s="447"/>
      <c r="AM972" s="447"/>
      <c r="AN972" s="447"/>
      <c r="AO972" s="447"/>
      <c r="AP972" s="447"/>
      <c r="AQ972" s="447"/>
      <c r="AR972" s="447"/>
      <c r="AS972" s="447"/>
      <c r="AT972" s="447"/>
      <c r="AU972" s="447"/>
      <c r="AV972" s="447"/>
      <c r="AW972" s="447"/>
      <c r="AX972" s="447"/>
      <c r="AY972" s="447"/>
      <c r="AZ972" s="447"/>
      <c r="BA972" s="447"/>
      <c r="BB972" s="447"/>
      <c r="BC972" s="447"/>
      <c r="BD972" s="447"/>
      <c r="BE972" s="447"/>
      <c r="BF972" s="447"/>
      <c r="BG972" s="447"/>
      <c r="BH972" s="447"/>
      <c r="BI972" s="447"/>
      <c r="BJ972" s="447"/>
      <c r="BK972" s="447"/>
      <c r="BL972" s="447"/>
      <c r="BM972" s="448"/>
      <c r="BN972" s="448"/>
    </row>
    <row r="973" spans="1:66" ht="11.25" customHeight="1">
      <c r="A973" s="469"/>
      <c r="B973" s="447"/>
      <c r="C973" s="447"/>
      <c r="D973" s="447"/>
      <c r="E973" s="447"/>
      <c r="F973" s="447"/>
      <c r="G973" s="447"/>
      <c r="H973" s="447"/>
      <c r="I973" s="447"/>
      <c r="J973" s="447"/>
      <c r="K973" s="447"/>
      <c r="L973" s="447"/>
      <c r="M973" s="447"/>
      <c r="N973" s="447"/>
      <c r="O973" s="447"/>
      <c r="P973" s="447"/>
      <c r="Q973" s="447"/>
      <c r="R973" s="447"/>
      <c r="S973" s="447"/>
      <c r="T973" s="447"/>
      <c r="U973" s="447"/>
      <c r="V973" s="447"/>
      <c r="W973" s="447"/>
      <c r="X973" s="447"/>
      <c r="Y973" s="447"/>
      <c r="Z973" s="447"/>
      <c r="AA973" s="447"/>
      <c r="AB973" s="447"/>
      <c r="AC973" s="447"/>
      <c r="AD973" s="447"/>
      <c r="AE973" s="447"/>
      <c r="AF973" s="448"/>
      <c r="AG973" s="448"/>
      <c r="AH973" s="448"/>
      <c r="AI973" s="447"/>
      <c r="AJ973" s="447"/>
      <c r="AK973" s="447"/>
      <c r="AL973" s="447"/>
      <c r="AM973" s="447"/>
      <c r="AN973" s="447"/>
      <c r="AO973" s="447"/>
      <c r="AP973" s="447"/>
      <c r="AQ973" s="447"/>
      <c r="AR973" s="447"/>
      <c r="AS973" s="447"/>
      <c r="AT973" s="447"/>
      <c r="AU973" s="447"/>
      <c r="AV973" s="447"/>
      <c r="AW973" s="447"/>
      <c r="AX973" s="447"/>
      <c r="AY973" s="447"/>
      <c r="AZ973" s="447"/>
      <c r="BA973" s="447"/>
      <c r="BB973" s="447"/>
      <c r="BC973" s="447"/>
      <c r="BD973" s="447"/>
      <c r="BE973" s="447"/>
      <c r="BF973" s="447"/>
      <c r="BG973" s="447"/>
      <c r="BH973" s="447"/>
      <c r="BI973" s="447"/>
      <c r="BJ973" s="447"/>
      <c r="BK973" s="447"/>
      <c r="BL973" s="447"/>
      <c r="BM973" s="448"/>
      <c r="BN973" s="448"/>
    </row>
    <row r="974" spans="1:66" ht="11.25" customHeight="1">
      <c r="A974" s="469"/>
      <c r="B974" s="447"/>
      <c r="C974" s="447"/>
      <c r="D974" s="447"/>
      <c r="E974" s="447"/>
      <c r="F974" s="447"/>
      <c r="G974" s="447"/>
      <c r="H974" s="447"/>
      <c r="I974" s="447"/>
      <c r="J974" s="447"/>
      <c r="K974" s="447"/>
      <c r="L974" s="447"/>
      <c r="M974" s="447"/>
      <c r="N974" s="447"/>
      <c r="O974" s="447"/>
      <c r="P974" s="447"/>
      <c r="Q974" s="447"/>
      <c r="R974" s="447"/>
      <c r="S974" s="447"/>
      <c r="T974" s="447"/>
      <c r="U974" s="447"/>
      <c r="V974" s="447"/>
      <c r="W974" s="447"/>
      <c r="X974" s="447"/>
      <c r="Y974" s="447"/>
      <c r="Z974" s="447"/>
      <c r="AA974" s="447"/>
      <c r="AB974" s="447"/>
      <c r="AC974" s="447"/>
      <c r="AD974" s="447"/>
      <c r="AE974" s="447"/>
      <c r="AF974" s="448"/>
      <c r="AG974" s="448"/>
      <c r="AH974" s="448"/>
      <c r="AI974" s="447"/>
      <c r="AJ974" s="447"/>
      <c r="AK974" s="447"/>
      <c r="AL974" s="447"/>
      <c r="AM974" s="447"/>
      <c r="AN974" s="447"/>
      <c r="AO974" s="447"/>
      <c r="AP974" s="447"/>
      <c r="AQ974" s="447"/>
      <c r="AR974" s="447"/>
      <c r="AS974" s="447"/>
      <c r="AT974" s="447"/>
      <c r="AU974" s="447"/>
      <c r="AV974" s="447"/>
      <c r="AW974" s="447"/>
      <c r="AX974" s="447"/>
      <c r="AY974" s="447"/>
      <c r="AZ974" s="447"/>
      <c r="BA974" s="447"/>
      <c r="BB974" s="447"/>
      <c r="BC974" s="447"/>
      <c r="BD974" s="447"/>
      <c r="BE974" s="447"/>
      <c r="BF974" s="447"/>
      <c r="BG974" s="447"/>
      <c r="BH974" s="447"/>
      <c r="BI974" s="447"/>
      <c r="BJ974" s="447"/>
      <c r="BK974" s="447"/>
      <c r="BL974" s="447"/>
      <c r="BM974" s="448"/>
      <c r="BN974" s="448"/>
    </row>
    <row r="975" spans="1:66" ht="11.25" customHeight="1">
      <c r="A975" s="469"/>
      <c r="B975" s="447"/>
      <c r="C975" s="447"/>
      <c r="D975" s="447"/>
      <c r="E975" s="447"/>
      <c r="F975" s="447"/>
      <c r="G975" s="447"/>
      <c r="H975" s="447"/>
      <c r="I975" s="447"/>
      <c r="J975" s="447"/>
      <c r="K975" s="447"/>
      <c r="L975" s="447"/>
      <c r="M975" s="447"/>
      <c r="N975" s="447"/>
      <c r="O975" s="447"/>
      <c r="P975" s="447"/>
      <c r="Q975" s="447"/>
      <c r="R975" s="447"/>
      <c r="S975" s="447"/>
      <c r="T975" s="447"/>
      <c r="U975" s="447"/>
      <c r="V975" s="447"/>
      <c r="W975" s="447"/>
      <c r="X975" s="447"/>
      <c r="Y975" s="447"/>
      <c r="Z975" s="447"/>
      <c r="AA975" s="447"/>
      <c r="AB975" s="447"/>
      <c r="AC975" s="447"/>
      <c r="AD975" s="447"/>
      <c r="AE975" s="447"/>
      <c r="AF975" s="448"/>
      <c r="AG975" s="448"/>
      <c r="AH975" s="448"/>
      <c r="AI975" s="447"/>
      <c r="AJ975" s="447"/>
      <c r="AK975" s="447"/>
      <c r="AL975" s="447"/>
      <c r="AM975" s="447"/>
      <c r="AN975" s="447"/>
      <c r="AO975" s="447"/>
      <c r="AP975" s="447"/>
      <c r="AQ975" s="447"/>
      <c r="AR975" s="447"/>
      <c r="AS975" s="447"/>
      <c r="AT975" s="447"/>
      <c r="AU975" s="447"/>
      <c r="AV975" s="447"/>
      <c r="AW975" s="447"/>
      <c r="AX975" s="447"/>
      <c r="AY975" s="447"/>
      <c r="AZ975" s="447"/>
      <c r="BA975" s="447"/>
      <c r="BB975" s="447"/>
      <c r="BC975" s="447"/>
      <c r="BD975" s="447"/>
      <c r="BE975" s="447"/>
      <c r="BF975" s="447"/>
      <c r="BG975" s="447"/>
      <c r="BH975" s="447"/>
      <c r="BI975" s="447"/>
      <c r="BJ975" s="447"/>
      <c r="BK975" s="447"/>
      <c r="BL975" s="447"/>
      <c r="BM975" s="448"/>
      <c r="BN975" s="448"/>
    </row>
    <row r="976" spans="1:66" ht="11.25" customHeight="1">
      <c r="A976" s="469"/>
      <c r="B976" s="447"/>
      <c r="C976" s="447"/>
      <c r="D976" s="447"/>
      <c r="E976" s="447"/>
      <c r="F976" s="447"/>
      <c r="G976" s="447"/>
      <c r="H976" s="447"/>
      <c r="I976" s="447"/>
      <c r="J976" s="447"/>
      <c r="K976" s="447"/>
      <c r="L976" s="447"/>
      <c r="M976" s="447"/>
      <c r="N976" s="447"/>
      <c r="O976" s="447"/>
      <c r="P976" s="447"/>
      <c r="Q976" s="447"/>
      <c r="R976" s="447"/>
      <c r="S976" s="447"/>
      <c r="T976" s="447"/>
      <c r="U976" s="447"/>
      <c r="V976" s="447"/>
      <c r="W976" s="447"/>
      <c r="X976" s="447"/>
      <c r="Y976" s="447"/>
      <c r="Z976" s="447"/>
      <c r="AA976" s="447"/>
      <c r="AB976" s="447"/>
      <c r="AC976" s="447"/>
      <c r="AD976" s="447"/>
      <c r="AE976" s="447"/>
      <c r="AF976" s="448"/>
      <c r="AG976" s="448"/>
      <c r="AH976" s="448"/>
      <c r="AI976" s="447"/>
      <c r="AJ976" s="447"/>
      <c r="AK976" s="447"/>
      <c r="AL976" s="447"/>
      <c r="AM976" s="447"/>
      <c r="AN976" s="447"/>
      <c r="AO976" s="447"/>
      <c r="AP976" s="447"/>
      <c r="AQ976" s="447"/>
      <c r="AR976" s="447"/>
      <c r="AS976" s="447"/>
      <c r="AT976" s="447"/>
      <c r="AU976" s="447"/>
      <c r="AV976" s="447"/>
      <c r="AW976" s="447"/>
      <c r="AX976" s="447"/>
      <c r="AY976" s="447"/>
      <c r="AZ976" s="447"/>
      <c r="BA976" s="447"/>
      <c r="BB976" s="447"/>
      <c r="BC976" s="447"/>
      <c r="BD976" s="447"/>
      <c r="BE976" s="447"/>
      <c r="BF976" s="447"/>
      <c r="BG976" s="447"/>
      <c r="BH976" s="447"/>
      <c r="BI976" s="447"/>
      <c r="BJ976" s="447"/>
      <c r="BK976" s="447"/>
      <c r="BL976" s="447"/>
      <c r="BM976" s="448"/>
      <c r="BN976" s="448"/>
    </row>
    <row r="977" spans="1:66" ht="11.25" customHeight="1">
      <c r="A977" s="469"/>
      <c r="B977" s="447"/>
      <c r="C977" s="447"/>
      <c r="D977" s="447"/>
      <c r="E977" s="447"/>
      <c r="F977" s="447"/>
      <c r="G977" s="447"/>
      <c r="H977" s="447"/>
      <c r="I977" s="447"/>
      <c r="J977" s="447"/>
      <c r="K977" s="447"/>
      <c r="L977" s="447"/>
      <c r="M977" s="447"/>
      <c r="N977" s="447"/>
      <c r="O977" s="447"/>
      <c r="P977" s="447"/>
      <c r="Q977" s="447"/>
      <c r="R977" s="447"/>
      <c r="S977" s="447"/>
      <c r="T977" s="447"/>
      <c r="U977" s="447"/>
      <c r="V977" s="447"/>
      <c r="W977" s="447"/>
      <c r="X977" s="447"/>
      <c r="Y977" s="447"/>
      <c r="Z977" s="447"/>
      <c r="AA977" s="447"/>
      <c r="AB977" s="447"/>
      <c r="AC977" s="447"/>
      <c r="AD977" s="447"/>
      <c r="AE977" s="447"/>
      <c r="AF977" s="448"/>
      <c r="AG977" s="448"/>
      <c r="AH977" s="448"/>
      <c r="AI977" s="447"/>
      <c r="AJ977" s="447"/>
      <c r="AK977" s="447"/>
      <c r="AL977" s="447"/>
      <c r="AM977" s="447"/>
      <c r="AN977" s="447"/>
      <c r="AO977" s="447"/>
      <c r="AP977" s="447"/>
      <c r="AQ977" s="447"/>
      <c r="AR977" s="447"/>
      <c r="AS977" s="447"/>
      <c r="AT977" s="447"/>
      <c r="AU977" s="447"/>
      <c r="AV977" s="447"/>
      <c r="AW977" s="447"/>
      <c r="AX977" s="447"/>
      <c r="AY977" s="447"/>
      <c r="AZ977" s="447"/>
      <c r="BA977" s="447"/>
      <c r="BB977" s="447"/>
      <c r="BC977" s="447"/>
      <c r="BD977" s="447"/>
      <c r="BE977" s="447"/>
      <c r="BF977" s="447"/>
      <c r="BG977" s="447"/>
      <c r="BH977" s="447"/>
      <c r="BI977" s="447"/>
      <c r="BJ977" s="447"/>
      <c r="BK977" s="447"/>
      <c r="BL977" s="447"/>
      <c r="BM977" s="448"/>
      <c r="BN977" s="448"/>
    </row>
    <row r="978" spans="1:66" ht="11.25" customHeight="1">
      <c r="A978" s="469"/>
      <c r="B978" s="447"/>
      <c r="C978" s="447"/>
      <c r="D978" s="447"/>
      <c r="E978" s="447"/>
      <c r="F978" s="447"/>
      <c r="G978" s="447"/>
      <c r="H978" s="447"/>
      <c r="I978" s="447"/>
      <c r="J978" s="447"/>
      <c r="K978" s="447"/>
      <c r="L978" s="447"/>
      <c r="M978" s="447"/>
      <c r="N978" s="447"/>
      <c r="O978" s="447"/>
      <c r="P978" s="447"/>
      <c r="Q978" s="447"/>
      <c r="R978" s="447"/>
      <c r="S978" s="447"/>
      <c r="T978" s="447"/>
      <c r="U978" s="447"/>
      <c r="V978" s="447"/>
      <c r="W978" s="447"/>
      <c r="X978" s="447"/>
      <c r="Y978" s="447"/>
      <c r="Z978" s="447"/>
      <c r="AA978" s="447"/>
      <c r="AB978" s="447"/>
      <c r="AC978" s="447"/>
      <c r="AD978" s="447"/>
      <c r="AE978" s="447"/>
      <c r="AF978" s="448"/>
      <c r="AG978" s="448"/>
      <c r="AH978" s="448"/>
      <c r="AI978" s="447"/>
      <c r="AJ978" s="447"/>
      <c r="AK978" s="447"/>
      <c r="AL978" s="447"/>
      <c r="AM978" s="447"/>
      <c r="AN978" s="447"/>
      <c r="AO978" s="447"/>
      <c r="AP978" s="447"/>
      <c r="AQ978" s="447"/>
      <c r="AR978" s="447"/>
      <c r="AS978" s="447"/>
      <c r="AT978" s="447"/>
      <c r="AU978" s="447"/>
      <c r="AV978" s="447"/>
      <c r="AW978" s="447"/>
      <c r="AX978" s="447"/>
      <c r="AY978" s="447"/>
      <c r="AZ978" s="447"/>
      <c r="BA978" s="447"/>
      <c r="BB978" s="447"/>
      <c r="BC978" s="447"/>
      <c r="BD978" s="447"/>
      <c r="BE978" s="447"/>
      <c r="BF978" s="447"/>
      <c r="BG978" s="447"/>
      <c r="BH978" s="447"/>
      <c r="BI978" s="447"/>
      <c r="BJ978" s="447"/>
      <c r="BK978" s="447"/>
      <c r="BL978" s="447"/>
      <c r="BM978" s="448"/>
      <c r="BN978" s="448"/>
    </row>
    <row r="979" spans="1:66" ht="11.25" customHeight="1">
      <c r="A979" s="469"/>
      <c r="B979" s="447"/>
      <c r="C979" s="447"/>
      <c r="D979" s="447"/>
      <c r="E979" s="447"/>
      <c r="F979" s="447"/>
      <c r="G979" s="447"/>
      <c r="H979" s="447"/>
      <c r="I979" s="447"/>
      <c r="J979" s="447"/>
      <c r="K979" s="447"/>
      <c r="L979" s="447"/>
      <c r="M979" s="447"/>
      <c r="N979" s="447"/>
      <c r="O979" s="447"/>
      <c r="P979" s="447"/>
      <c r="Q979" s="447"/>
      <c r="R979" s="447"/>
      <c r="S979" s="447"/>
      <c r="T979" s="447"/>
      <c r="U979" s="447"/>
      <c r="V979" s="447"/>
      <c r="W979" s="447"/>
      <c r="X979" s="447"/>
      <c r="Y979" s="447"/>
      <c r="Z979" s="447"/>
      <c r="AA979" s="447"/>
      <c r="AB979" s="447"/>
      <c r="AC979" s="447"/>
      <c r="AD979" s="447"/>
      <c r="AE979" s="447"/>
      <c r="AF979" s="448"/>
      <c r="AG979" s="448"/>
      <c r="AH979" s="448"/>
      <c r="AI979" s="447"/>
      <c r="AJ979" s="447"/>
      <c r="AK979" s="447"/>
      <c r="AL979" s="447"/>
      <c r="AM979" s="447"/>
      <c r="AN979" s="447"/>
      <c r="AO979" s="447"/>
      <c r="AP979" s="447"/>
      <c r="AQ979" s="447"/>
      <c r="AR979" s="447"/>
      <c r="AS979" s="447"/>
      <c r="AT979" s="447"/>
      <c r="AU979" s="447"/>
      <c r="AV979" s="447"/>
      <c r="AW979" s="447"/>
      <c r="AX979" s="447"/>
      <c r="AY979" s="447"/>
      <c r="AZ979" s="447"/>
      <c r="BA979" s="447"/>
      <c r="BB979" s="447"/>
      <c r="BC979" s="447"/>
      <c r="BD979" s="447"/>
      <c r="BE979" s="447"/>
      <c r="BF979" s="447"/>
      <c r="BG979" s="447"/>
      <c r="BH979" s="447"/>
      <c r="BI979" s="447"/>
      <c r="BJ979" s="447"/>
      <c r="BK979" s="447"/>
      <c r="BL979" s="447"/>
      <c r="BM979" s="448"/>
      <c r="BN979" s="448"/>
    </row>
    <row r="980" spans="1:66" ht="11.25" customHeight="1">
      <c r="A980" s="469"/>
      <c r="B980" s="447"/>
      <c r="C980" s="447"/>
      <c r="D980" s="447"/>
      <c r="E980" s="447"/>
      <c r="F980" s="447"/>
      <c r="G980" s="447"/>
      <c r="H980" s="447"/>
      <c r="I980" s="447"/>
      <c r="J980" s="447"/>
      <c r="K980" s="447"/>
      <c r="L980" s="447"/>
      <c r="M980" s="447"/>
      <c r="N980" s="447"/>
      <c r="O980" s="447"/>
      <c r="P980" s="447"/>
      <c r="Q980" s="447"/>
      <c r="R980" s="447"/>
      <c r="S980" s="447"/>
      <c r="T980" s="447"/>
      <c r="U980" s="447"/>
      <c r="V980" s="447"/>
      <c r="W980" s="447"/>
      <c r="X980" s="447"/>
      <c r="Y980" s="447"/>
      <c r="Z980" s="447"/>
      <c r="AA980" s="447"/>
      <c r="AB980" s="447"/>
      <c r="AC980" s="447"/>
      <c r="AD980" s="447"/>
      <c r="AE980" s="447"/>
      <c r="AF980" s="448"/>
      <c r="AG980" s="448"/>
      <c r="AH980" s="448"/>
      <c r="AI980" s="447"/>
      <c r="AJ980" s="447"/>
      <c r="AK980" s="447"/>
      <c r="AL980" s="447"/>
      <c r="AM980" s="447"/>
      <c r="AN980" s="447"/>
      <c r="AO980" s="447"/>
      <c r="AP980" s="447"/>
      <c r="AQ980" s="447"/>
      <c r="AR980" s="447"/>
      <c r="AS980" s="447"/>
      <c r="AT980" s="447"/>
      <c r="AU980" s="447"/>
      <c r="AV980" s="447"/>
      <c r="AW980" s="447"/>
      <c r="AX980" s="447"/>
      <c r="AY980" s="447"/>
      <c r="AZ980" s="447"/>
      <c r="BA980" s="447"/>
      <c r="BB980" s="447"/>
      <c r="BC980" s="447"/>
      <c r="BD980" s="447"/>
      <c r="BE980" s="447"/>
      <c r="BF980" s="447"/>
      <c r="BG980" s="447"/>
      <c r="BH980" s="447"/>
      <c r="BI980" s="447"/>
      <c r="BJ980" s="447"/>
      <c r="BK980" s="447"/>
      <c r="BL980" s="447"/>
      <c r="BM980" s="448"/>
      <c r="BN980" s="448"/>
    </row>
    <row r="981" spans="1:66" ht="11.25" customHeight="1">
      <c r="A981" s="469"/>
      <c r="B981" s="447"/>
      <c r="C981" s="447"/>
      <c r="D981" s="447"/>
      <c r="E981" s="447"/>
      <c r="F981" s="447"/>
      <c r="G981" s="447"/>
      <c r="H981" s="447"/>
      <c r="I981" s="447"/>
      <c r="J981" s="447"/>
      <c r="K981" s="447"/>
      <c r="L981" s="447"/>
      <c r="M981" s="447"/>
      <c r="N981" s="447"/>
      <c r="O981" s="447"/>
      <c r="P981" s="447"/>
      <c r="Q981" s="447"/>
      <c r="R981" s="447"/>
      <c r="S981" s="447"/>
      <c r="T981" s="447"/>
      <c r="U981" s="447"/>
      <c r="V981" s="447"/>
      <c r="W981" s="447"/>
      <c r="X981" s="447"/>
      <c r="Y981" s="447"/>
      <c r="Z981" s="447"/>
      <c r="AA981" s="447"/>
      <c r="AB981" s="447"/>
      <c r="AC981" s="447"/>
      <c r="AD981" s="447"/>
      <c r="AE981" s="447"/>
      <c r="AF981" s="448"/>
      <c r="AG981" s="448"/>
      <c r="AH981" s="448"/>
      <c r="AI981" s="447"/>
      <c r="AJ981" s="447"/>
      <c r="AK981" s="447"/>
      <c r="AL981" s="447"/>
      <c r="AM981" s="447"/>
      <c r="AN981" s="447"/>
      <c r="AO981" s="447"/>
      <c r="AP981" s="447"/>
      <c r="AQ981" s="447"/>
      <c r="AR981" s="447"/>
      <c r="AS981" s="447"/>
      <c r="AT981" s="447"/>
      <c r="AU981" s="447"/>
      <c r="AV981" s="447"/>
      <c r="AW981" s="447"/>
      <c r="AX981" s="447"/>
      <c r="AY981" s="447"/>
      <c r="AZ981" s="447"/>
      <c r="BA981" s="447"/>
      <c r="BB981" s="447"/>
      <c r="BC981" s="447"/>
      <c r="BD981" s="447"/>
      <c r="BE981" s="447"/>
      <c r="BF981" s="447"/>
      <c r="BG981" s="447"/>
      <c r="BH981" s="447"/>
      <c r="BI981" s="447"/>
      <c r="BJ981" s="447"/>
      <c r="BK981" s="447"/>
      <c r="BL981" s="447"/>
      <c r="BM981" s="448"/>
      <c r="BN981" s="448"/>
    </row>
    <row r="982" spans="1:66" ht="11.25" customHeight="1">
      <c r="A982" s="469"/>
      <c r="B982" s="447"/>
      <c r="C982" s="447"/>
      <c r="D982" s="447"/>
      <c r="E982" s="447"/>
      <c r="F982" s="447"/>
      <c r="G982" s="447"/>
      <c r="H982" s="447"/>
      <c r="I982" s="447"/>
      <c r="J982" s="447"/>
      <c r="K982" s="447"/>
      <c r="L982" s="447"/>
      <c r="M982" s="447"/>
      <c r="N982" s="447"/>
      <c r="O982" s="447"/>
      <c r="P982" s="447"/>
      <c r="Q982" s="447"/>
      <c r="R982" s="447"/>
      <c r="S982" s="447"/>
      <c r="T982" s="447"/>
      <c r="U982" s="447"/>
      <c r="V982" s="447"/>
      <c r="W982" s="447"/>
      <c r="X982" s="447"/>
      <c r="Y982" s="447"/>
      <c r="Z982" s="447"/>
      <c r="AA982" s="447"/>
      <c r="AB982" s="447"/>
      <c r="AC982" s="447"/>
      <c r="AD982" s="447"/>
      <c r="AE982" s="447"/>
      <c r="AF982" s="448"/>
      <c r="AG982" s="448"/>
      <c r="AH982" s="448"/>
      <c r="AI982" s="447"/>
      <c r="AJ982" s="447"/>
      <c r="AK982" s="447"/>
      <c r="AL982" s="447"/>
      <c r="AM982" s="447"/>
      <c r="AN982" s="447"/>
      <c r="AO982" s="447"/>
      <c r="AP982" s="447"/>
      <c r="AQ982" s="447"/>
      <c r="AR982" s="447"/>
      <c r="AS982" s="447"/>
      <c r="AT982" s="447"/>
      <c r="AU982" s="447"/>
      <c r="AV982" s="447"/>
      <c r="AW982" s="447"/>
      <c r="AX982" s="447"/>
      <c r="AY982" s="447"/>
      <c r="AZ982" s="447"/>
      <c r="BA982" s="447"/>
      <c r="BB982" s="447"/>
      <c r="BC982" s="447"/>
      <c r="BD982" s="447"/>
      <c r="BE982" s="447"/>
      <c r="BF982" s="447"/>
      <c r="BG982" s="447"/>
      <c r="BH982" s="447"/>
      <c r="BI982" s="447"/>
      <c r="BJ982" s="447"/>
      <c r="BK982" s="447"/>
      <c r="BL982" s="447"/>
      <c r="BM982" s="448"/>
      <c r="BN982" s="448"/>
    </row>
    <row r="983" spans="1:66" ht="11.25" customHeight="1">
      <c r="A983" s="469"/>
      <c r="B983" s="447"/>
      <c r="C983" s="447"/>
      <c r="D983" s="447"/>
      <c r="E983" s="447"/>
      <c r="F983" s="447"/>
      <c r="G983" s="447"/>
      <c r="H983" s="447"/>
      <c r="I983" s="447"/>
      <c r="J983" s="447"/>
      <c r="K983" s="447"/>
      <c r="L983" s="447"/>
      <c r="M983" s="447"/>
      <c r="N983" s="447"/>
      <c r="O983" s="447"/>
      <c r="P983" s="447"/>
      <c r="Q983" s="447"/>
      <c r="R983" s="447"/>
      <c r="S983" s="447"/>
      <c r="T983" s="447"/>
      <c r="U983" s="447"/>
      <c r="V983" s="447"/>
      <c r="W983" s="447"/>
      <c r="X983" s="447"/>
      <c r="Y983" s="447"/>
      <c r="Z983" s="447"/>
      <c r="AA983" s="447"/>
      <c r="AB983" s="447"/>
      <c r="AC983" s="447"/>
      <c r="AD983" s="447"/>
      <c r="AE983" s="447"/>
      <c r="AF983" s="448"/>
      <c r="AG983" s="448"/>
      <c r="AH983" s="448"/>
      <c r="AI983" s="447"/>
      <c r="AJ983" s="447"/>
      <c r="AK983" s="447"/>
      <c r="AL983" s="447"/>
      <c r="AM983" s="447"/>
      <c r="AN983" s="447"/>
      <c r="AO983" s="447"/>
      <c r="AP983" s="447"/>
      <c r="AQ983" s="447"/>
      <c r="AR983" s="447"/>
      <c r="AS983" s="447"/>
      <c r="AT983" s="447"/>
      <c r="AU983" s="447"/>
      <c r="AV983" s="447"/>
      <c r="AW983" s="447"/>
      <c r="AX983" s="447"/>
      <c r="AY983" s="447"/>
      <c r="AZ983" s="447"/>
      <c r="BA983" s="447"/>
      <c r="BB983" s="447"/>
      <c r="BC983" s="447"/>
      <c r="BD983" s="447"/>
      <c r="BE983" s="447"/>
      <c r="BF983" s="447"/>
      <c r="BG983" s="447"/>
      <c r="BH983" s="447"/>
      <c r="BI983" s="447"/>
      <c r="BJ983" s="447"/>
      <c r="BK983" s="447"/>
      <c r="BL983" s="447"/>
      <c r="BM983" s="448"/>
      <c r="BN983" s="448"/>
    </row>
    <row r="984" spans="1:66" ht="11.25" customHeight="1">
      <c r="A984" s="469"/>
      <c r="B984" s="447"/>
      <c r="C984" s="447"/>
      <c r="D984" s="447"/>
      <c r="E984" s="447"/>
      <c r="F984" s="447"/>
      <c r="G984" s="447"/>
      <c r="H984" s="447"/>
      <c r="I984" s="447"/>
      <c r="J984" s="447"/>
      <c r="K984" s="447"/>
      <c r="L984" s="447"/>
      <c r="M984" s="447"/>
      <c r="N984" s="447"/>
      <c r="O984" s="447"/>
      <c r="P984" s="447"/>
      <c r="Q984" s="447"/>
      <c r="R984" s="447"/>
      <c r="S984" s="447"/>
      <c r="T984" s="447"/>
      <c r="U984" s="447"/>
      <c r="V984" s="447"/>
      <c r="W984" s="447"/>
      <c r="X984" s="447"/>
      <c r="Y984" s="447"/>
      <c r="Z984" s="447"/>
      <c r="AA984" s="447"/>
      <c r="AB984" s="447"/>
      <c r="AC984" s="447"/>
      <c r="AD984" s="447"/>
      <c r="AE984" s="447"/>
      <c r="AF984" s="448"/>
      <c r="AG984" s="448"/>
      <c r="AH984" s="448"/>
      <c r="AI984" s="447"/>
      <c r="AJ984" s="447"/>
      <c r="AK984" s="447"/>
      <c r="AL984" s="447"/>
      <c r="AM984" s="447"/>
      <c r="AN984" s="447"/>
      <c r="AO984" s="447"/>
      <c r="AP984" s="447"/>
      <c r="AQ984" s="447"/>
      <c r="AR984" s="447"/>
      <c r="AS984" s="447"/>
      <c r="AT984" s="447"/>
      <c r="AU984" s="447"/>
      <c r="AV984" s="447"/>
      <c r="AW984" s="447"/>
      <c r="AX984" s="447"/>
      <c r="AY984" s="447"/>
      <c r="AZ984" s="447"/>
      <c r="BA984" s="447"/>
      <c r="BB984" s="447"/>
      <c r="BC984" s="447"/>
      <c r="BD984" s="447"/>
      <c r="BE984" s="447"/>
      <c r="BF984" s="447"/>
      <c r="BG984" s="447"/>
      <c r="BH984" s="447"/>
      <c r="BI984" s="447"/>
      <c r="BJ984" s="447"/>
      <c r="BK984" s="447"/>
      <c r="BL984" s="447"/>
      <c r="BM984" s="448"/>
      <c r="BN984" s="448"/>
    </row>
    <row r="985" spans="1:66" ht="11.25" customHeight="1">
      <c r="A985" s="469"/>
      <c r="B985" s="447"/>
      <c r="C985" s="447"/>
      <c r="D985" s="447"/>
      <c r="E985" s="447"/>
      <c r="F985" s="447"/>
      <c r="G985" s="447"/>
      <c r="H985" s="447"/>
      <c r="I985" s="447"/>
      <c r="J985" s="447"/>
      <c r="K985" s="447"/>
      <c r="L985" s="447"/>
      <c r="M985" s="447"/>
      <c r="N985" s="447"/>
      <c r="O985" s="447"/>
      <c r="P985" s="447"/>
      <c r="Q985" s="447"/>
      <c r="R985" s="447"/>
      <c r="S985" s="447"/>
      <c r="T985" s="447"/>
      <c r="U985" s="447"/>
      <c r="V985" s="447"/>
      <c r="W985" s="447"/>
      <c r="X985" s="447"/>
      <c r="Y985" s="447"/>
      <c r="Z985" s="447"/>
      <c r="AA985" s="447"/>
      <c r="AB985" s="447"/>
      <c r="AC985" s="447"/>
      <c r="AD985" s="447"/>
      <c r="AE985" s="447"/>
      <c r="AF985" s="448"/>
      <c r="AG985" s="448"/>
      <c r="AH985" s="448"/>
      <c r="AI985" s="447"/>
      <c r="AJ985" s="447"/>
      <c r="AK985" s="447"/>
      <c r="AL985" s="447"/>
      <c r="AM985" s="447"/>
      <c r="AN985" s="447"/>
      <c r="AO985" s="447"/>
      <c r="AP985" s="447"/>
      <c r="AQ985" s="447"/>
      <c r="AR985" s="447"/>
      <c r="AS985" s="447"/>
      <c r="AT985" s="447"/>
      <c r="AU985" s="447"/>
      <c r="AV985" s="447"/>
      <c r="AW985" s="447"/>
      <c r="AX985" s="447"/>
      <c r="AY985" s="447"/>
      <c r="AZ985" s="447"/>
      <c r="BA985" s="447"/>
      <c r="BB985" s="447"/>
      <c r="BC985" s="447"/>
      <c r="BD985" s="447"/>
      <c r="BE985" s="447"/>
      <c r="BF985" s="447"/>
      <c r="BG985" s="447"/>
      <c r="BH985" s="447"/>
      <c r="BI985" s="447"/>
      <c r="BJ985" s="447"/>
      <c r="BK985" s="447"/>
      <c r="BL985" s="447"/>
      <c r="BM985" s="448"/>
      <c r="BN985" s="448"/>
    </row>
    <row r="986" spans="1:66" ht="11.25" customHeight="1">
      <c r="A986" s="469"/>
      <c r="B986" s="447"/>
      <c r="C986" s="447"/>
      <c r="D986" s="447"/>
      <c r="E986" s="447"/>
      <c r="F986" s="447"/>
      <c r="G986" s="447"/>
      <c r="H986" s="447"/>
      <c r="I986" s="447"/>
      <c r="J986" s="447"/>
      <c r="K986" s="447"/>
      <c r="L986" s="447"/>
      <c r="M986" s="447"/>
      <c r="N986" s="447"/>
      <c r="O986" s="447"/>
      <c r="P986" s="447"/>
      <c r="Q986" s="447"/>
      <c r="R986" s="447"/>
      <c r="S986" s="447"/>
      <c r="T986" s="447"/>
      <c r="U986" s="447"/>
      <c r="V986" s="447"/>
      <c r="W986" s="447"/>
      <c r="X986" s="447"/>
      <c r="Y986" s="447"/>
      <c r="Z986" s="447"/>
      <c r="AA986" s="447"/>
      <c r="AB986" s="447"/>
      <c r="AC986" s="447"/>
      <c r="AD986" s="447"/>
      <c r="AE986" s="447"/>
      <c r="AF986" s="448"/>
      <c r="AG986" s="448"/>
      <c r="AH986" s="448"/>
      <c r="AI986" s="447"/>
      <c r="AJ986" s="447"/>
      <c r="AK986" s="447"/>
      <c r="AL986" s="447"/>
      <c r="AM986" s="447"/>
      <c r="AN986" s="447"/>
      <c r="AO986" s="447"/>
      <c r="AP986" s="447"/>
      <c r="AQ986" s="447"/>
      <c r="AR986" s="447"/>
      <c r="AS986" s="447"/>
      <c r="AT986" s="447"/>
      <c r="AU986" s="447"/>
      <c r="AV986" s="447"/>
      <c r="AW986" s="447"/>
      <c r="AX986" s="447"/>
      <c r="AY986" s="447"/>
      <c r="AZ986" s="447"/>
      <c r="BA986" s="447"/>
      <c r="BB986" s="447"/>
      <c r="BC986" s="447"/>
      <c r="BD986" s="447"/>
      <c r="BE986" s="447"/>
      <c r="BF986" s="447"/>
      <c r="BG986" s="447"/>
      <c r="BH986" s="447"/>
      <c r="BI986" s="447"/>
      <c r="BJ986" s="447"/>
      <c r="BK986" s="447"/>
      <c r="BL986" s="447"/>
      <c r="BM986" s="448"/>
      <c r="BN986" s="448"/>
    </row>
    <row r="987" spans="1:66" ht="11.25" customHeight="1">
      <c r="A987" s="469"/>
      <c r="B987" s="447"/>
      <c r="C987" s="447"/>
      <c r="D987" s="447"/>
      <c r="E987" s="447"/>
      <c r="F987" s="447"/>
      <c r="G987" s="447"/>
      <c r="H987" s="447"/>
      <c r="I987" s="447"/>
      <c r="J987" s="447"/>
      <c r="K987" s="447"/>
      <c r="L987" s="447"/>
      <c r="M987" s="447"/>
      <c r="N987" s="447"/>
      <c r="O987" s="447"/>
      <c r="P987" s="447"/>
      <c r="Q987" s="447"/>
      <c r="R987" s="447"/>
      <c r="S987" s="447"/>
      <c r="T987" s="447"/>
      <c r="U987" s="447"/>
      <c r="V987" s="447"/>
      <c r="W987" s="447"/>
      <c r="X987" s="447"/>
      <c r="Y987" s="447"/>
      <c r="Z987" s="447"/>
      <c r="AA987" s="447"/>
      <c r="AB987" s="447"/>
      <c r="AC987" s="447"/>
      <c r="AD987" s="447"/>
      <c r="AE987" s="447"/>
      <c r="AF987" s="448"/>
      <c r="AG987" s="448"/>
      <c r="AH987" s="448"/>
      <c r="AI987" s="447"/>
      <c r="AJ987" s="447"/>
      <c r="AK987" s="447"/>
      <c r="AL987" s="447"/>
      <c r="AM987" s="447"/>
      <c r="AN987" s="447"/>
      <c r="AO987" s="447"/>
      <c r="AP987" s="447"/>
      <c r="AQ987" s="447"/>
      <c r="AR987" s="447"/>
      <c r="AS987" s="447"/>
      <c r="AT987" s="447"/>
      <c r="AU987" s="447"/>
      <c r="AV987" s="447"/>
      <c r="AW987" s="447"/>
      <c r="AX987" s="447"/>
      <c r="AY987" s="447"/>
      <c r="AZ987" s="447"/>
      <c r="BA987" s="447"/>
      <c r="BB987" s="447"/>
      <c r="BC987" s="447"/>
      <c r="BD987" s="447"/>
      <c r="BE987" s="447"/>
      <c r="BF987" s="447"/>
      <c r="BG987" s="447"/>
      <c r="BH987" s="447"/>
      <c r="BI987" s="447"/>
      <c r="BJ987" s="447"/>
      <c r="BK987" s="447"/>
      <c r="BL987" s="447"/>
      <c r="BM987" s="448"/>
      <c r="BN987" s="448"/>
    </row>
    <row r="988" spans="1:66" ht="11.25" customHeight="1">
      <c r="A988" s="469"/>
      <c r="B988" s="447"/>
      <c r="C988" s="447"/>
      <c r="D988" s="447"/>
      <c r="E988" s="447"/>
      <c r="F988" s="447"/>
      <c r="G988" s="447"/>
      <c r="H988" s="447"/>
      <c r="I988" s="447"/>
      <c r="J988" s="447"/>
      <c r="K988" s="447"/>
      <c r="L988" s="447"/>
      <c r="M988" s="447"/>
      <c r="N988" s="447"/>
      <c r="O988" s="447"/>
      <c r="P988" s="447"/>
      <c r="Q988" s="447"/>
      <c r="R988" s="447"/>
      <c r="S988" s="447"/>
      <c r="T988" s="447"/>
      <c r="U988" s="447"/>
      <c r="V988" s="447"/>
      <c r="W988" s="447"/>
      <c r="X988" s="447"/>
      <c r="Y988" s="447"/>
      <c r="Z988" s="447"/>
      <c r="AA988" s="447"/>
      <c r="AB988" s="447"/>
      <c r="AC988" s="447"/>
      <c r="AD988" s="447"/>
      <c r="AE988" s="447"/>
      <c r="AF988" s="448"/>
      <c r="AG988" s="448"/>
      <c r="AH988" s="448"/>
      <c r="AI988" s="447"/>
      <c r="AJ988" s="447"/>
      <c r="AK988" s="447"/>
      <c r="AL988" s="447"/>
      <c r="AM988" s="447"/>
      <c r="AN988" s="447"/>
      <c r="AO988" s="447"/>
      <c r="AP988" s="447"/>
      <c r="AQ988" s="447"/>
      <c r="AR988" s="447"/>
      <c r="AS988" s="447"/>
      <c r="AT988" s="447"/>
      <c r="AU988" s="447"/>
      <c r="AV988" s="447"/>
      <c r="AW988" s="447"/>
      <c r="AX988" s="447"/>
      <c r="AY988" s="447"/>
      <c r="AZ988" s="447"/>
      <c r="BA988" s="447"/>
      <c r="BB988" s="447"/>
      <c r="BC988" s="447"/>
      <c r="BD988" s="447"/>
      <c r="BE988" s="447"/>
      <c r="BF988" s="447"/>
      <c r="BG988" s="447"/>
      <c r="BH988" s="447"/>
      <c r="BI988" s="447"/>
      <c r="BJ988" s="447"/>
      <c r="BK988" s="447"/>
      <c r="BL988" s="447"/>
      <c r="BM988" s="448"/>
      <c r="BN988" s="448"/>
    </row>
    <row r="989" spans="1:66" ht="11.25" customHeight="1">
      <c r="A989" s="469"/>
      <c r="B989" s="447"/>
      <c r="C989" s="447"/>
      <c r="D989" s="447"/>
      <c r="E989" s="447"/>
      <c r="F989" s="447"/>
      <c r="G989" s="447"/>
      <c r="H989" s="447"/>
      <c r="I989" s="447"/>
      <c r="J989" s="447"/>
      <c r="K989" s="447"/>
      <c r="L989" s="447"/>
      <c r="M989" s="447"/>
      <c r="N989" s="447"/>
      <c r="O989" s="447"/>
      <c r="P989" s="447"/>
      <c r="Q989" s="447"/>
      <c r="R989" s="447"/>
      <c r="S989" s="447"/>
      <c r="T989" s="447"/>
      <c r="U989" s="447"/>
      <c r="V989" s="447"/>
      <c r="W989" s="447"/>
      <c r="X989" s="447"/>
      <c r="Y989" s="447"/>
      <c r="Z989" s="447"/>
      <c r="AA989" s="447"/>
      <c r="AB989" s="447"/>
      <c r="AC989" s="447"/>
      <c r="AD989" s="447"/>
      <c r="AE989" s="447"/>
      <c r="AF989" s="448"/>
      <c r="AG989" s="448"/>
      <c r="AH989" s="448"/>
      <c r="AI989" s="447"/>
      <c r="AJ989" s="447"/>
      <c r="AK989" s="447"/>
      <c r="AL989" s="447"/>
      <c r="AM989" s="447"/>
      <c r="AN989" s="447"/>
      <c r="AO989" s="447"/>
      <c r="AP989" s="447"/>
      <c r="AQ989" s="447"/>
      <c r="AR989" s="447"/>
      <c r="AS989" s="447"/>
      <c r="AT989" s="447"/>
      <c r="AU989" s="447"/>
      <c r="AV989" s="447"/>
      <c r="AW989" s="447"/>
      <c r="AX989" s="447"/>
      <c r="AY989" s="447"/>
      <c r="AZ989" s="447"/>
      <c r="BA989" s="447"/>
      <c r="BB989" s="447"/>
      <c r="BC989" s="447"/>
      <c r="BD989" s="447"/>
      <c r="BE989" s="447"/>
      <c r="BF989" s="447"/>
      <c r="BG989" s="447"/>
      <c r="BH989" s="447"/>
      <c r="BI989" s="447"/>
      <c r="BJ989" s="447"/>
      <c r="BK989" s="447"/>
      <c r="BL989" s="447"/>
      <c r="BM989" s="448"/>
      <c r="BN989" s="448"/>
    </row>
    <row r="990" spans="1:66" ht="11.25" customHeight="1">
      <c r="A990" s="469"/>
      <c r="B990" s="447"/>
      <c r="C990" s="447"/>
      <c r="D990" s="447"/>
      <c r="E990" s="447"/>
      <c r="F990" s="447"/>
      <c r="G990" s="447"/>
      <c r="H990" s="447"/>
      <c r="I990" s="447"/>
      <c r="J990" s="447"/>
      <c r="K990" s="447"/>
      <c r="L990" s="447"/>
      <c r="M990" s="447"/>
      <c r="N990" s="447"/>
      <c r="O990" s="447"/>
      <c r="P990" s="447"/>
      <c r="Q990" s="447"/>
      <c r="R990" s="447"/>
      <c r="S990" s="447"/>
      <c r="T990" s="447"/>
      <c r="U990" s="447"/>
      <c r="V990" s="447"/>
      <c r="W990" s="447"/>
      <c r="X990" s="447"/>
      <c r="Y990" s="447"/>
      <c r="Z990" s="447"/>
      <c r="AA990" s="447"/>
      <c r="AB990" s="447"/>
      <c r="AC990" s="447"/>
      <c r="AD990" s="447"/>
      <c r="AE990" s="447"/>
      <c r="AF990" s="448"/>
      <c r="AG990" s="448"/>
      <c r="AH990" s="448"/>
      <c r="AI990" s="447"/>
      <c r="AJ990" s="447"/>
      <c r="AK990" s="447"/>
      <c r="AL990" s="447"/>
      <c r="AM990" s="447"/>
      <c r="AN990" s="447"/>
      <c r="AO990" s="447"/>
      <c r="AP990" s="447"/>
      <c r="AQ990" s="447"/>
      <c r="AR990" s="447"/>
      <c r="AS990" s="447"/>
      <c r="AT990" s="447"/>
      <c r="AU990" s="447"/>
      <c r="AV990" s="447"/>
      <c r="AW990" s="447"/>
      <c r="AX990" s="447"/>
      <c r="AY990" s="447"/>
      <c r="AZ990" s="447"/>
      <c r="BA990" s="447"/>
      <c r="BB990" s="447"/>
      <c r="BC990" s="447"/>
      <c r="BD990" s="447"/>
      <c r="BE990" s="447"/>
      <c r="BF990" s="447"/>
      <c r="BG990" s="447"/>
      <c r="BH990" s="447"/>
      <c r="BI990" s="447"/>
      <c r="BJ990" s="447"/>
      <c r="BK990" s="447"/>
      <c r="BL990" s="447"/>
      <c r="BM990" s="448"/>
      <c r="BN990" s="448"/>
    </row>
    <row r="991" spans="1:66" ht="11.25" customHeight="1">
      <c r="A991" s="469"/>
      <c r="B991" s="447"/>
      <c r="C991" s="447"/>
      <c r="D991" s="447"/>
      <c r="E991" s="447"/>
      <c r="F991" s="447"/>
      <c r="G991" s="447"/>
      <c r="H991" s="447"/>
      <c r="I991" s="447"/>
      <c r="J991" s="447"/>
      <c r="K991" s="447"/>
      <c r="L991" s="447"/>
      <c r="M991" s="447"/>
      <c r="N991" s="447"/>
      <c r="O991" s="447"/>
      <c r="P991" s="447"/>
      <c r="Q991" s="447"/>
      <c r="R991" s="447"/>
      <c r="S991" s="447"/>
      <c r="T991" s="447"/>
      <c r="U991" s="447"/>
      <c r="V991" s="447"/>
      <c r="W991" s="447"/>
      <c r="X991" s="447"/>
      <c r="Y991" s="447"/>
      <c r="Z991" s="447"/>
      <c r="AA991" s="447"/>
      <c r="AB991" s="447"/>
      <c r="AC991" s="447"/>
      <c r="AD991" s="447"/>
      <c r="AE991" s="447"/>
      <c r="AF991" s="448"/>
      <c r="AG991" s="448"/>
      <c r="AH991" s="448"/>
      <c r="AI991" s="447"/>
      <c r="AJ991" s="447"/>
      <c r="AK991" s="447"/>
      <c r="AL991" s="447"/>
      <c r="AM991" s="447"/>
      <c r="AN991" s="447"/>
      <c r="AO991" s="447"/>
      <c r="AP991" s="447"/>
      <c r="AQ991" s="447"/>
      <c r="AR991" s="447"/>
      <c r="AS991" s="447"/>
      <c r="AT991" s="447"/>
      <c r="AU991" s="447"/>
      <c r="AV991" s="447"/>
      <c r="AW991" s="447"/>
      <c r="AX991" s="447"/>
      <c r="AY991" s="447"/>
      <c r="AZ991" s="447"/>
      <c r="BA991" s="447"/>
      <c r="BB991" s="447"/>
      <c r="BC991" s="447"/>
      <c r="BD991" s="447"/>
      <c r="BE991" s="447"/>
      <c r="BF991" s="447"/>
      <c r="BG991" s="447"/>
      <c r="BH991" s="447"/>
      <c r="BI991" s="447"/>
      <c r="BJ991" s="447"/>
      <c r="BK991" s="447"/>
      <c r="BL991" s="447"/>
      <c r="BM991" s="448"/>
      <c r="BN991" s="448"/>
    </row>
    <row r="992" spans="1:66" ht="11.25" customHeight="1">
      <c r="A992" s="469"/>
      <c r="B992" s="447"/>
      <c r="C992" s="447"/>
      <c r="D992" s="447"/>
      <c r="E992" s="447"/>
      <c r="F992" s="447"/>
      <c r="G992" s="447"/>
      <c r="H992" s="447"/>
      <c r="I992" s="447"/>
      <c r="J992" s="447"/>
      <c r="K992" s="447"/>
      <c r="L992" s="447"/>
      <c r="M992" s="447"/>
      <c r="N992" s="447"/>
      <c r="O992" s="447"/>
      <c r="P992" s="447"/>
      <c r="Q992" s="447"/>
      <c r="R992" s="447"/>
      <c r="S992" s="447"/>
      <c r="T992" s="447"/>
      <c r="U992" s="447"/>
      <c r="V992" s="447"/>
      <c r="W992" s="447"/>
      <c r="X992" s="447"/>
      <c r="Y992" s="447"/>
      <c r="Z992" s="447"/>
      <c r="AA992" s="447"/>
      <c r="AB992" s="447"/>
      <c r="AC992" s="447"/>
      <c r="AD992" s="447"/>
      <c r="AE992" s="447"/>
      <c r="AF992" s="448"/>
      <c r="AG992" s="448"/>
      <c r="AH992" s="448"/>
      <c r="AI992" s="447"/>
      <c r="AJ992" s="447"/>
      <c r="AK992" s="447"/>
      <c r="AL992" s="447"/>
      <c r="AM992" s="447"/>
      <c r="AN992" s="447"/>
      <c r="AO992" s="447"/>
      <c r="AP992" s="447"/>
      <c r="AQ992" s="447"/>
      <c r="AR992" s="447"/>
      <c r="AS992" s="447"/>
      <c r="AT992" s="447"/>
      <c r="AU992" s="447"/>
      <c r="AV992" s="447"/>
      <c r="AW992" s="447"/>
      <c r="AX992" s="447"/>
      <c r="AY992" s="447"/>
      <c r="AZ992" s="447"/>
      <c r="BA992" s="447"/>
      <c r="BB992" s="447"/>
      <c r="BC992" s="447"/>
      <c r="BD992" s="447"/>
      <c r="BE992" s="447"/>
      <c r="BF992" s="447"/>
      <c r="BG992" s="447"/>
      <c r="BH992" s="447"/>
      <c r="BI992" s="447"/>
      <c r="BJ992" s="447"/>
      <c r="BK992" s="447"/>
      <c r="BL992" s="447"/>
      <c r="BM992" s="448"/>
      <c r="BN992" s="448"/>
    </row>
    <row r="993" spans="1:66" ht="11.25" customHeight="1">
      <c r="A993" s="469"/>
      <c r="B993" s="447"/>
      <c r="C993" s="447"/>
      <c r="D993" s="447"/>
      <c r="E993" s="447"/>
      <c r="F993" s="447"/>
      <c r="G993" s="447"/>
      <c r="H993" s="447"/>
      <c r="I993" s="447"/>
      <c r="J993" s="447"/>
      <c r="K993" s="447"/>
      <c r="L993" s="447"/>
      <c r="M993" s="447"/>
      <c r="N993" s="447"/>
      <c r="O993" s="447"/>
      <c r="P993" s="447"/>
      <c r="Q993" s="447"/>
      <c r="R993" s="447"/>
      <c r="S993" s="447"/>
      <c r="T993" s="447"/>
      <c r="U993" s="447"/>
      <c r="V993" s="447"/>
      <c r="W993" s="447"/>
      <c r="X993" s="447"/>
      <c r="Y993" s="447"/>
      <c r="Z993" s="447"/>
      <c r="AA993" s="447"/>
      <c r="AB993" s="447"/>
      <c r="AC993" s="447"/>
      <c r="AD993" s="447"/>
      <c r="AE993" s="447"/>
      <c r="AF993" s="448"/>
      <c r="AG993" s="448"/>
      <c r="AH993" s="448"/>
      <c r="AI993" s="447"/>
      <c r="AJ993" s="447"/>
      <c r="AK993" s="447"/>
      <c r="AL993" s="447"/>
      <c r="AM993" s="447"/>
      <c r="AN993" s="447"/>
      <c r="AO993" s="447"/>
      <c r="AP993" s="447"/>
      <c r="AQ993" s="447"/>
      <c r="AR993" s="447"/>
      <c r="AS993" s="447"/>
      <c r="AT993" s="447"/>
      <c r="AU993" s="447"/>
      <c r="AV993" s="447"/>
      <c r="AW993" s="447"/>
      <c r="AX993" s="447"/>
      <c r="AY993" s="447"/>
      <c r="AZ993" s="447"/>
      <c r="BA993" s="447"/>
      <c r="BB993" s="447"/>
      <c r="BC993" s="447"/>
      <c r="BD993" s="447"/>
      <c r="BE993" s="447"/>
      <c r="BF993" s="447"/>
      <c r="BG993" s="447"/>
      <c r="BH993" s="447"/>
      <c r="BI993" s="447"/>
      <c r="BJ993" s="447"/>
      <c r="BK993" s="447"/>
      <c r="BL993" s="447"/>
      <c r="BM993" s="448"/>
      <c r="BN993" s="448"/>
    </row>
    <row r="994" spans="1:66" ht="11.25" customHeight="1">
      <c r="A994" s="469"/>
      <c r="B994" s="447"/>
      <c r="C994" s="447"/>
      <c r="D994" s="447"/>
      <c r="E994" s="447"/>
      <c r="F994" s="447"/>
      <c r="G994" s="447"/>
      <c r="H994" s="447"/>
      <c r="I994" s="447"/>
      <c r="J994" s="447"/>
      <c r="K994" s="447"/>
      <c r="L994" s="447"/>
      <c r="M994" s="447"/>
      <c r="N994" s="447"/>
      <c r="O994" s="447"/>
      <c r="P994" s="447"/>
      <c r="Q994" s="447"/>
      <c r="R994" s="447"/>
      <c r="S994" s="447"/>
      <c r="T994" s="447"/>
      <c r="U994" s="447"/>
      <c r="V994" s="447"/>
      <c r="W994" s="447"/>
      <c r="X994" s="447"/>
      <c r="Y994" s="447"/>
      <c r="Z994" s="447"/>
      <c r="AA994" s="447"/>
      <c r="AB994" s="447"/>
      <c r="AC994" s="447"/>
      <c r="AD994" s="447"/>
      <c r="AE994" s="447"/>
      <c r="AF994" s="448"/>
      <c r="AG994" s="448"/>
      <c r="AH994" s="448"/>
      <c r="AI994" s="447"/>
      <c r="AJ994" s="447"/>
      <c r="AK994" s="447"/>
      <c r="AL994" s="447"/>
      <c r="AM994" s="447"/>
      <c r="AN994" s="447"/>
      <c r="AO994" s="447"/>
      <c r="AP994" s="447"/>
      <c r="AQ994" s="447"/>
      <c r="AR994" s="447"/>
      <c r="AS994" s="447"/>
      <c r="AT994" s="447"/>
      <c r="AU994" s="447"/>
      <c r="AV994" s="447"/>
      <c r="AW994" s="447"/>
      <c r="AX994" s="447"/>
      <c r="AY994" s="447"/>
      <c r="AZ994" s="447"/>
      <c r="BA994" s="447"/>
      <c r="BB994" s="447"/>
      <c r="BC994" s="447"/>
      <c r="BD994" s="447"/>
      <c r="BE994" s="447"/>
      <c r="BF994" s="447"/>
      <c r="BG994" s="447"/>
      <c r="BH994" s="447"/>
      <c r="BI994" s="447"/>
      <c r="BJ994" s="447"/>
      <c r="BK994" s="447"/>
      <c r="BL994" s="447"/>
      <c r="BM994" s="448"/>
      <c r="BN994" s="448"/>
    </row>
    <row r="995" spans="1:66" ht="11.25" customHeight="1">
      <c r="A995" s="469"/>
      <c r="B995" s="447"/>
      <c r="C995" s="447"/>
      <c r="D995" s="447"/>
      <c r="E995" s="447"/>
      <c r="F995" s="447"/>
      <c r="G995" s="447"/>
      <c r="H995" s="447"/>
      <c r="I995" s="447"/>
      <c r="J995" s="447"/>
      <c r="K995" s="447"/>
      <c r="L995" s="447"/>
      <c r="M995" s="447"/>
      <c r="N995" s="447"/>
      <c r="O995" s="447"/>
      <c r="P995" s="447"/>
      <c r="Q995" s="447"/>
      <c r="R995" s="447"/>
      <c r="S995" s="447"/>
      <c r="T995" s="447"/>
      <c r="U995" s="447"/>
      <c r="V995" s="447"/>
      <c r="W995" s="447"/>
      <c r="X995" s="447"/>
      <c r="Y995" s="447"/>
      <c r="Z995" s="447"/>
      <c r="AA995" s="447"/>
      <c r="AB995" s="447"/>
      <c r="AC995" s="447"/>
      <c r="AD995" s="447"/>
      <c r="AE995" s="447"/>
      <c r="AF995" s="448"/>
      <c r="AG995" s="448"/>
      <c r="AH995" s="448"/>
      <c r="AI995" s="447"/>
      <c r="AJ995" s="447"/>
      <c r="AK995" s="447"/>
      <c r="AL995" s="447"/>
      <c r="AM995" s="447"/>
      <c r="AN995" s="447"/>
      <c r="AO995" s="447"/>
      <c r="AP995" s="447"/>
      <c r="AQ995" s="447"/>
      <c r="AR995" s="447"/>
      <c r="AS995" s="447"/>
      <c r="AT995" s="447"/>
      <c r="AU995" s="447"/>
      <c r="AV995" s="447"/>
      <c r="AW995" s="447"/>
      <c r="AX995" s="447"/>
      <c r="AY995" s="447"/>
      <c r="AZ995" s="447"/>
      <c r="BA995" s="447"/>
      <c r="BB995" s="447"/>
      <c r="BC995" s="447"/>
      <c r="BD995" s="447"/>
      <c r="BE995" s="447"/>
      <c r="BF995" s="447"/>
      <c r="BG995" s="447"/>
      <c r="BH995" s="447"/>
      <c r="BI995" s="447"/>
      <c r="BJ995" s="447"/>
      <c r="BK995" s="447"/>
      <c r="BL995" s="447"/>
      <c r="BM995" s="448"/>
      <c r="BN995" s="448"/>
    </row>
    <row r="996" spans="1:66" ht="11.25" customHeight="1">
      <c r="A996" s="469"/>
      <c r="B996" s="447"/>
      <c r="C996" s="447"/>
      <c r="D996" s="447"/>
      <c r="E996" s="447"/>
      <c r="F996" s="447"/>
      <c r="G996" s="447"/>
      <c r="H996" s="447"/>
      <c r="I996" s="447"/>
      <c r="J996" s="447"/>
      <c r="K996" s="447"/>
      <c r="L996" s="447"/>
      <c r="M996" s="447"/>
      <c r="N996" s="447"/>
      <c r="O996" s="447"/>
      <c r="P996" s="447"/>
      <c r="Q996" s="447"/>
      <c r="R996" s="447"/>
      <c r="S996" s="447"/>
      <c r="T996" s="447"/>
      <c r="U996" s="447"/>
      <c r="V996" s="447"/>
      <c r="W996" s="447"/>
      <c r="X996" s="447"/>
      <c r="Y996" s="447"/>
      <c r="Z996" s="447"/>
      <c r="AA996" s="447"/>
      <c r="AB996" s="447"/>
      <c r="AC996" s="447"/>
      <c r="AD996" s="447"/>
      <c r="AE996" s="447"/>
      <c r="AF996" s="448"/>
      <c r="AG996" s="448"/>
      <c r="AH996" s="448"/>
      <c r="AI996" s="447"/>
      <c r="AJ996" s="447"/>
      <c r="AK996" s="447"/>
      <c r="AL996" s="447"/>
      <c r="AM996" s="447"/>
      <c r="AN996" s="447"/>
      <c r="AO996" s="447"/>
      <c r="AP996" s="447"/>
      <c r="AQ996" s="447"/>
      <c r="AR996" s="447"/>
      <c r="AS996" s="447"/>
      <c r="AT996" s="447"/>
      <c r="AU996" s="447"/>
      <c r="AV996" s="447"/>
      <c r="AW996" s="447"/>
      <c r="AX996" s="447"/>
      <c r="AY996" s="447"/>
      <c r="AZ996" s="447"/>
      <c r="BA996" s="447"/>
      <c r="BB996" s="447"/>
      <c r="BC996" s="447"/>
      <c r="BD996" s="447"/>
      <c r="BE996" s="447"/>
      <c r="BF996" s="447"/>
      <c r="BG996" s="447"/>
      <c r="BH996" s="447"/>
      <c r="BI996" s="447"/>
      <c r="BJ996" s="447"/>
      <c r="BK996" s="447"/>
      <c r="BL996" s="447"/>
      <c r="BM996" s="448"/>
      <c r="BN996" s="448"/>
    </row>
    <row r="997" spans="1:66" ht="11.25" customHeight="1">
      <c r="A997" s="469"/>
      <c r="B997" s="447"/>
      <c r="C997" s="447"/>
      <c r="D997" s="447"/>
      <c r="E997" s="447"/>
      <c r="F997" s="447"/>
      <c r="G997" s="447"/>
      <c r="H997" s="447"/>
      <c r="I997" s="447"/>
      <c r="J997" s="447"/>
      <c r="K997" s="447"/>
      <c r="L997" s="447"/>
      <c r="M997" s="447"/>
      <c r="N997" s="447"/>
      <c r="O997" s="447"/>
      <c r="P997" s="447"/>
      <c r="Q997" s="447"/>
      <c r="R997" s="447"/>
      <c r="S997" s="447"/>
      <c r="T997" s="447"/>
      <c r="U997" s="447"/>
      <c r="V997" s="447"/>
      <c r="W997" s="447"/>
      <c r="X997" s="447"/>
      <c r="Y997" s="447"/>
      <c r="Z997" s="447"/>
      <c r="AA997" s="447"/>
      <c r="AB997" s="447"/>
      <c r="AC997" s="447"/>
      <c r="AD997" s="447"/>
      <c r="AE997" s="447"/>
      <c r="AF997" s="448"/>
      <c r="AG997" s="448"/>
      <c r="AH997" s="448"/>
      <c r="AI997" s="447"/>
      <c r="AJ997" s="447"/>
      <c r="AK997" s="447"/>
      <c r="AL997" s="447"/>
      <c r="AM997" s="447"/>
      <c r="AN997" s="447"/>
      <c r="AO997" s="447"/>
      <c r="AP997" s="447"/>
      <c r="AQ997" s="447"/>
      <c r="AR997" s="447"/>
      <c r="AS997" s="447"/>
      <c r="AT997" s="447"/>
      <c r="AU997" s="447"/>
      <c r="AV997" s="447"/>
      <c r="AW997" s="447"/>
      <c r="AX997" s="447"/>
      <c r="AY997" s="447"/>
      <c r="AZ997" s="447"/>
      <c r="BA997" s="447"/>
      <c r="BB997" s="447"/>
      <c r="BC997" s="447"/>
      <c r="BD997" s="447"/>
      <c r="BE997" s="447"/>
      <c r="BF997" s="447"/>
      <c r="BG997" s="447"/>
      <c r="BH997" s="447"/>
      <c r="BI997" s="447"/>
      <c r="BJ997" s="447"/>
      <c r="BK997" s="447"/>
      <c r="BL997" s="447"/>
      <c r="BM997" s="448"/>
      <c r="BN997" s="448"/>
    </row>
    <row r="998" spans="1:66" ht="11.25" customHeight="1">
      <c r="A998" s="469"/>
      <c r="B998" s="447"/>
      <c r="C998" s="447"/>
      <c r="D998" s="447"/>
      <c r="E998" s="447"/>
      <c r="F998" s="447"/>
      <c r="G998" s="447"/>
      <c r="H998" s="447"/>
      <c r="I998" s="447"/>
      <c r="J998" s="447"/>
      <c r="K998" s="447"/>
      <c r="L998" s="447"/>
      <c r="M998" s="447"/>
      <c r="N998" s="447"/>
      <c r="O998" s="447"/>
      <c r="P998" s="447"/>
      <c r="Q998" s="447"/>
      <c r="R998" s="447"/>
      <c r="S998" s="447"/>
      <c r="T998" s="447"/>
      <c r="U998" s="447"/>
      <c r="V998" s="447"/>
      <c r="W998" s="447"/>
      <c r="X998" s="447"/>
      <c r="Y998" s="447"/>
      <c r="Z998" s="447"/>
      <c r="AA998" s="447"/>
      <c r="AB998" s="447"/>
      <c r="AC998" s="447"/>
      <c r="AD998" s="447"/>
      <c r="AE998" s="447"/>
      <c r="AF998" s="448"/>
      <c r="AG998" s="448"/>
      <c r="AH998" s="448"/>
      <c r="AI998" s="447"/>
      <c r="AJ998" s="447"/>
      <c r="AK998" s="447"/>
      <c r="AL998" s="447"/>
      <c r="AM998" s="447"/>
      <c r="AN998" s="447"/>
      <c r="AO998" s="447"/>
      <c r="AP998" s="447"/>
      <c r="AQ998" s="447"/>
      <c r="AR998" s="447"/>
      <c r="AS998" s="447"/>
      <c r="AT998" s="447"/>
      <c r="AU998" s="447"/>
      <c r="AV998" s="447"/>
      <c r="AW998" s="447"/>
      <c r="AX998" s="447"/>
      <c r="AY998" s="447"/>
      <c r="AZ998" s="447"/>
      <c r="BA998" s="447"/>
      <c r="BB998" s="447"/>
      <c r="BC998" s="447"/>
      <c r="BD998" s="447"/>
      <c r="BE998" s="447"/>
      <c r="BF998" s="447"/>
      <c r="BG998" s="447"/>
      <c r="BH998" s="447"/>
      <c r="BI998" s="447"/>
      <c r="BJ998" s="447"/>
      <c r="BK998" s="447"/>
      <c r="BL998" s="447"/>
      <c r="BM998" s="448"/>
      <c r="BN998" s="448"/>
    </row>
    <row r="999" spans="1:66" ht="11.25" customHeight="1">
      <c r="A999" s="469"/>
      <c r="B999" s="447"/>
      <c r="C999" s="447"/>
      <c r="D999" s="447"/>
      <c r="E999" s="447"/>
      <c r="F999" s="447"/>
      <c r="G999" s="447"/>
      <c r="H999" s="447"/>
      <c r="I999" s="447"/>
      <c r="J999" s="447"/>
      <c r="K999" s="447"/>
      <c r="L999" s="447"/>
      <c r="M999" s="447"/>
      <c r="N999" s="447"/>
      <c r="O999" s="447"/>
      <c r="P999" s="447"/>
      <c r="Q999" s="447"/>
      <c r="R999" s="447"/>
      <c r="S999" s="447"/>
      <c r="T999" s="447"/>
      <c r="U999" s="447"/>
      <c r="V999" s="447"/>
      <c r="W999" s="447"/>
      <c r="X999" s="447"/>
      <c r="Y999" s="447"/>
      <c r="Z999" s="447"/>
      <c r="AA999" s="447"/>
      <c r="AB999" s="447"/>
      <c r="AC999" s="447"/>
      <c r="AD999" s="447"/>
      <c r="AE999" s="447"/>
      <c r="AF999" s="448"/>
      <c r="AG999" s="448"/>
      <c r="AH999" s="448"/>
      <c r="AI999" s="447"/>
      <c r="AJ999" s="447"/>
      <c r="AK999" s="447"/>
      <c r="AL999" s="447"/>
      <c r="AM999" s="447"/>
      <c r="AN999" s="447"/>
      <c r="AO999" s="447"/>
      <c r="AP999" s="447"/>
      <c r="AQ999" s="447"/>
      <c r="AR999" s="447"/>
      <c r="AS999" s="447"/>
      <c r="AT999" s="447"/>
      <c r="AU999" s="447"/>
      <c r="AV999" s="447"/>
      <c r="AW999" s="447"/>
      <c r="AX999" s="447"/>
      <c r="AY999" s="447"/>
      <c r="AZ999" s="447"/>
      <c r="BA999" s="447"/>
      <c r="BB999" s="447"/>
      <c r="BC999" s="447"/>
      <c r="BD999" s="447"/>
      <c r="BE999" s="447"/>
      <c r="BF999" s="447"/>
      <c r="BG999" s="447"/>
      <c r="BH999" s="447"/>
      <c r="BI999" s="447"/>
      <c r="BJ999" s="447"/>
      <c r="BK999" s="447"/>
      <c r="BL999" s="447"/>
      <c r="BM999" s="448"/>
      <c r="BN999" s="448"/>
    </row>
    <row r="1000" spans="1:66" ht="11.25" customHeight="1">
      <c r="A1000" s="469"/>
      <c r="B1000" s="447"/>
      <c r="C1000" s="447"/>
      <c r="D1000" s="447"/>
      <c r="E1000" s="447"/>
      <c r="F1000" s="447"/>
      <c r="G1000" s="447"/>
      <c r="H1000" s="447"/>
      <c r="I1000" s="447"/>
      <c r="J1000" s="447"/>
      <c r="K1000" s="447"/>
      <c r="L1000" s="447"/>
      <c r="M1000" s="447"/>
      <c r="N1000" s="447"/>
      <c r="O1000" s="447"/>
      <c r="P1000" s="447"/>
      <c r="Q1000" s="447"/>
      <c r="R1000" s="447"/>
      <c r="S1000" s="447"/>
      <c r="T1000" s="447"/>
      <c r="U1000" s="447"/>
      <c r="V1000" s="447"/>
      <c r="W1000" s="447"/>
      <c r="X1000" s="447"/>
      <c r="Y1000" s="447"/>
      <c r="Z1000" s="447"/>
      <c r="AA1000" s="447"/>
      <c r="AB1000" s="447"/>
      <c r="AC1000" s="447"/>
      <c r="AD1000" s="447"/>
      <c r="AE1000" s="447"/>
      <c r="AF1000" s="448"/>
      <c r="AG1000" s="448"/>
      <c r="AH1000" s="448"/>
      <c r="AI1000" s="447"/>
      <c r="AJ1000" s="447"/>
      <c r="AK1000" s="447"/>
      <c r="AL1000" s="447"/>
      <c r="AM1000" s="447"/>
      <c r="AN1000" s="447"/>
      <c r="AO1000" s="447"/>
      <c r="AP1000" s="447"/>
      <c r="AQ1000" s="447"/>
      <c r="AR1000" s="447"/>
      <c r="AS1000" s="447"/>
      <c r="AT1000" s="447"/>
      <c r="AU1000" s="447"/>
      <c r="AV1000" s="447"/>
      <c r="AW1000" s="447"/>
      <c r="AX1000" s="447"/>
      <c r="AY1000" s="447"/>
      <c r="AZ1000" s="447"/>
      <c r="BA1000" s="447"/>
      <c r="BB1000" s="447"/>
      <c r="BC1000" s="447"/>
      <c r="BD1000" s="447"/>
      <c r="BE1000" s="447"/>
      <c r="BF1000" s="447"/>
      <c r="BG1000" s="447"/>
      <c r="BH1000" s="447"/>
      <c r="BI1000" s="447"/>
      <c r="BJ1000" s="447"/>
      <c r="BK1000" s="447"/>
      <c r="BL1000" s="447"/>
      <c r="BM1000" s="448"/>
      <c r="BN1000" s="448"/>
    </row>
  </sheetData>
  <mergeCells count="131">
    <mergeCell ref="AI21:BL21"/>
    <mergeCell ref="AI22:BL22"/>
    <mergeCell ref="AI23:BL23"/>
    <mergeCell ref="AI24:BL24"/>
    <mergeCell ref="AI25:BL25"/>
    <mergeCell ref="AI26:BL26"/>
    <mergeCell ref="AI27:BL27"/>
    <mergeCell ref="B27:AE27"/>
    <mergeCell ref="B28:AE28"/>
    <mergeCell ref="B29:AE29"/>
    <mergeCell ref="B30:AE30"/>
    <mergeCell ref="AI30:BL30"/>
    <mergeCell ref="B31:AE31"/>
    <mergeCell ref="B32:AE32"/>
    <mergeCell ref="AI28:BL28"/>
    <mergeCell ref="AI29:BL29"/>
    <mergeCell ref="B1:BN1"/>
    <mergeCell ref="B2:BN2"/>
    <mergeCell ref="B3:BN3"/>
    <mergeCell ref="B4:BN4"/>
    <mergeCell ref="B5:AE5"/>
    <mergeCell ref="AI5:BL5"/>
    <mergeCell ref="AI6:BL6"/>
    <mergeCell ref="B6:AE6"/>
    <mergeCell ref="B7:AE7"/>
    <mergeCell ref="B8:AE8"/>
    <mergeCell ref="B9:AE9"/>
    <mergeCell ref="B10:AE10"/>
    <mergeCell ref="B11:AE11"/>
    <mergeCell ref="B12:AE12"/>
    <mergeCell ref="AI7:BL7"/>
    <mergeCell ref="AI8:BL8"/>
    <mergeCell ref="AI9:BL9"/>
    <mergeCell ref="AI10:BL10"/>
    <mergeCell ref="AI11:BL11"/>
    <mergeCell ref="AI12:BL12"/>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AI59:BL59"/>
    <mergeCell ref="AI60:BL60"/>
    <mergeCell ref="AI40:BL40"/>
    <mergeCell ref="AI41:BL41"/>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31:BL31"/>
    <mergeCell ref="AI32:BL32"/>
    <mergeCell ref="AI61:BL61"/>
    <mergeCell ref="AI62:BL62"/>
    <mergeCell ref="AI63:BL63"/>
    <mergeCell ref="AI64:BL64"/>
    <mergeCell ref="AI65:BL65"/>
    <mergeCell ref="AI66:BL66"/>
    <mergeCell ref="AZ75:BL75"/>
    <mergeCell ref="AW76:BM77"/>
    <mergeCell ref="Q78:AF80"/>
    <mergeCell ref="AW78:BM80"/>
    <mergeCell ref="AI67:BL67"/>
    <mergeCell ref="AI68:BL68"/>
    <mergeCell ref="AI69:BL69"/>
    <mergeCell ref="AI70:BL70"/>
    <mergeCell ref="AI71:BL71"/>
    <mergeCell ref="S75:AE75"/>
    <mergeCell ref="Q76:AF77"/>
    <mergeCell ref="B38:AE38"/>
    <mergeCell ref="B39:AE39"/>
    <mergeCell ref="AI39:BL39"/>
    <mergeCell ref="B40:AE40"/>
    <mergeCell ref="B41:AE41"/>
    <mergeCell ref="B42:AE42"/>
    <mergeCell ref="AI42:BL42"/>
    <mergeCell ref="B43:AE43"/>
    <mergeCell ref="AI43:BL43"/>
    <mergeCell ref="AI38:BL38"/>
    <mergeCell ref="B44:AE44"/>
    <mergeCell ref="AI44:BL44"/>
    <mergeCell ref="AI45:BL45"/>
    <mergeCell ref="B52:AE52"/>
    <mergeCell ref="B53:AE53"/>
    <mergeCell ref="B54:AE54"/>
    <mergeCell ref="B55:AE55"/>
    <mergeCell ref="B56:AE56"/>
    <mergeCell ref="B57:AE57"/>
    <mergeCell ref="AI53:BL53"/>
    <mergeCell ref="AI54:BL54"/>
    <mergeCell ref="AI55:BL55"/>
    <mergeCell ref="AI56:BL56"/>
    <mergeCell ref="AI57:BL57"/>
    <mergeCell ref="B58:AE58"/>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AI58:BL58"/>
  </mergeCells>
  <printOptions horizontalCentered="1"/>
  <pageMargins left="0.39370078740157483" right="0.39370078740157483" top="0.43307086614173229" bottom="0.86614173228346458" header="0" footer="0"/>
  <pageSetup orientation="landscape"/>
  <headerFooter>
    <oddFooter>&amp;REstado de Situación Financiera Detallado-LDF Página &amp;P de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D8D8D8"/>
  </sheetPr>
  <dimension ref="A1:AZ567"/>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9.7109375" customWidth="1"/>
    <col min="2" max="49" width="2.85546875" customWidth="1"/>
    <col min="50" max="51" width="22.85546875" customWidth="1"/>
    <col min="52" max="52" width="0.5703125" customWidth="1"/>
  </cols>
  <sheetData>
    <row r="1" spans="1:52" ht="51" customHeight="1">
      <c r="A1" s="892" t="str">
        <f>"Nombre del Ente Público: "&amp;Validacion!A2</f>
        <v>Nombre del Ente Público: Guadalajara</v>
      </c>
      <c r="B1" s="746"/>
      <c r="C1" s="746"/>
      <c r="D1" s="746"/>
      <c r="E1" s="746"/>
      <c r="F1" s="746"/>
      <c r="G1" s="746"/>
      <c r="H1" s="746"/>
      <c r="I1" s="746"/>
      <c r="J1" s="746"/>
      <c r="K1" s="746"/>
      <c r="L1" s="746"/>
      <c r="M1" s="746"/>
      <c r="N1" s="746"/>
      <c r="O1" s="746"/>
      <c r="P1" s="746"/>
      <c r="Q1" s="746"/>
      <c r="R1" s="746"/>
      <c r="S1" s="746"/>
      <c r="T1" s="746"/>
      <c r="U1" s="746"/>
      <c r="V1" s="746"/>
      <c r="W1" s="746"/>
      <c r="X1" s="746"/>
      <c r="Y1" s="746"/>
      <c r="Z1" s="746"/>
      <c r="AA1" s="746"/>
      <c r="AB1" s="746"/>
      <c r="AC1" s="746"/>
      <c r="AD1" s="746"/>
      <c r="AE1" s="746"/>
      <c r="AF1" s="746"/>
      <c r="AG1" s="746"/>
      <c r="AH1" s="746"/>
      <c r="AI1" s="746"/>
      <c r="AJ1" s="746"/>
      <c r="AK1" s="746"/>
      <c r="AL1" s="746"/>
      <c r="AM1" s="746"/>
      <c r="AN1" s="746"/>
      <c r="AO1" s="746"/>
      <c r="AP1" s="746"/>
      <c r="AQ1" s="746"/>
      <c r="AR1" s="746"/>
      <c r="AS1" s="746"/>
      <c r="AT1" s="746"/>
      <c r="AU1" s="746"/>
      <c r="AV1" s="746"/>
      <c r="AW1" s="746"/>
      <c r="AX1" s="746"/>
      <c r="AY1" s="747"/>
      <c r="AZ1" s="131"/>
    </row>
    <row r="2" spans="1:52" ht="21">
      <c r="A2" s="775" t="s">
        <v>6722</v>
      </c>
      <c r="B2" s="749"/>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c r="AT2" s="749"/>
      <c r="AU2" s="749"/>
      <c r="AV2" s="749"/>
      <c r="AW2" s="749"/>
      <c r="AX2" s="749"/>
      <c r="AY2" s="750"/>
      <c r="AZ2" s="131"/>
    </row>
    <row r="3" spans="1:52" ht="18.75">
      <c r="A3" s="751" t="e">
        <f>#REF!</f>
        <v>#REF!</v>
      </c>
      <c r="B3" s="749"/>
      <c r="C3" s="749"/>
      <c r="D3" s="749"/>
      <c r="E3" s="749"/>
      <c r="F3" s="749"/>
      <c r="G3" s="749"/>
      <c r="H3" s="749"/>
      <c r="I3" s="749"/>
      <c r="J3" s="749"/>
      <c r="K3" s="749"/>
      <c r="L3" s="749"/>
      <c r="M3" s="749"/>
      <c r="N3" s="749"/>
      <c r="O3" s="749"/>
      <c r="P3" s="749"/>
      <c r="Q3" s="749"/>
      <c r="R3" s="749"/>
      <c r="S3" s="749"/>
      <c r="T3" s="749"/>
      <c r="U3" s="749"/>
      <c r="V3" s="749"/>
      <c r="W3" s="749"/>
      <c r="X3" s="749"/>
      <c r="Y3" s="749"/>
      <c r="Z3" s="749"/>
      <c r="AA3" s="749"/>
      <c r="AB3" s="749"/>
      <c r="AC3" s="749"/>
      <c r="AD3" s="749"/>
      <c r="AE3" s="749"/>
      <c r="AF3" s="749"/>
      <c r="AG3" s="749"/>
      <c r="AH3" s="749"/>
      <c r="AI3" s="749"/>
      <c r="AJ3" s="749"/>
      <c r="AK3" s="749"/>
      <c r="AL3" s="749"/>
      <c r="AM3" s="749"/>
      <c r="AN3" s="749"/>
      <c r="AO3" s="749"/>
      <c r="AP3" s="749"/>
      <c r="AQ3" s="749"/>
      <c r="AR3" s="749"/>
      <c r="AS3" s="749"/>
      <c r="AT3" s="749"/>
      <c r="AU3" s="749"/>
      <c r="AV3" s="749"/>
      <c r="AW3" s="749"/>
      <c r="AX3" s="749"/>
      <c r="AY3" s="750"/>
      <c r="AZ3" s="131"/>
    </row>
    <row r="4" spans="1:52" ht="15" customHeight="1">
      <c r="A4" s="776" t="s">
        <v>4378</v>
      </c>
      <c r="B4" s="753"/>
      <c r="C4" s="753"/>
      <c r="D4" s="753"/>
      <c r="E4" s="753"/>
      <c r="F4" s="753"/>
      <c r="G4" s="753"/>
      <c r="H4" s="753"/>
      <c r="I4" s="753"/>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4"/>
      <c r="AZ4" s="131"/>
    </row>
    <row r="5" spans="1:52" ht="21">
      <c r="A5" s="494" t="s">
        <v>6398</v>
      </c>
      <c r="B5" s="893" t="s">
        <v>4379</v>
      </c>
      <c r="C5" s="756"/>
      <c r="D5" s="756"/>
      <c r="E5" s="756"/>
      <c r="F5" s="756"/>
      <c r="G5" s="756"/>
      <c r="H5" s="756"/>
      <c r="I5" s="756"/>
      <c r="J5" s="756"/>
      <c r="K5" s="756"/>
      <c r="L5" s="756"/>
      <c r="M5" s="756"/>
      <c r="N5" s="756"/>
      <c r="O5" s="756"/>
      <c r="P5" s="756"/>
      <c r="Q5" s="756"/>
      <c r="R5" s="756"/>
      <c r="S5" s="756"/>
      <c r="T5" s="756"/>
      <c r="U5" s="756"/>
      <c r="V5" s="756"/>
      <c r="W5" s="756"/>
      <c r="X5" s="756"/>
      <c r="Y5" s="756"/>
      <c r="Z5" s="756"/>
      <c r="AA5" s="756"/>
      <c r="AB5" s="756"/>
      <c r="AC5" s="756"/>
      <c r="AD5" s="756"/>
      <c r="AE5" s="756"/>
      <c r="AF5" s="756"/>
      <c r="AG5" s="756"/>
      <c r="AH5" s="756"/>
      <c r="AI5" s="756"/>
      <c r="AJ5" s="756"/>
      <c r="AK5" s="756"/>
      <c r="AL5" s="756"/>
      <c r="AM5" s="756"/>
      <c r="AN5" s="756"/>
      <c r="AO5" s="756"/>
      <c r="AP5" s="756"/>
      <c r="AQ5" s="756"/>
      <c r="AR5" s="756"/>
      <c r="AS5" s="756"/>
      <c r="AT5" s="756"/>
      <c r="AU5" s="756"/>
      <c r="AV5" s="756"/>
      <c r="AW5" s="733"/>
      <c r="AX5" s="495">
        <f>Validacion!F185</f>
        <v>2025</v>
      </c>
      <c r="AY5" s="496">
        <f>Validacion!F186</f>
        <v>2024</v>
      </c>
      <c r="AZ5" s="461"/>
    </row>
    <row r="6" spans="1:52" ht="18.75">
      <c r="A6" s="497" t="s">
        <v>893</v>
      </c>
      <c r="B6" s="498" t="s">
        <v>894</v>
      </c>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499"/>
      <c r="AJ6" s="499"/>
      <c r="AK6" s="499"/>
      <c r="AL6" s="499"/>
      <c r="AM6" s="499"/>
      <c r="AN6" s="499"/>
      <c r="AO6" s="499"/>
      <c r="AP6" s="499"/>
      <c r="AQ6" s="499"/>
      <c r="AR6" s="499"/>
      <c r="AS6" s="499"/>
      <c r="AT6" s="499"/>
      <c r="AU6" s="499"/>
      <c r="AV6" s="499"/>
      <c r="AW6" s="500"/>
      <c r="AX6" s="501"/>
      <c r="AY6" s="502"/>
      <c r="AZ6" s="131"/>
    </row>
    <row r="7" spans="1:52" ht="15.75">
      <c r="A7" s="503" t="s">
        <v>895</v>
      </c>
      <c r="B7" s="504" t="s">
        <v>896</v>
      </c>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505"/>
      <c r="AX7" s="506">
        <f t="shared" ref="AX7:AY7" si="0">AX8+AX29+AX35+AX40+AX72+AX81+AX102</f>
        <v>3822135093.3300009</v>
      </c>
      <c r="AY7" s="506">
        <f t="shared" si="0"/>
        <v>4747030218.8900003</v>
      </c>
      <c r="AZ7" s="131"/>
    </row>
    <row r="8" spans="1:52">
      <c r="A8" s="503" t="s">
        <v>897</v>
      </c>
      <c r="B8" s="183" t="s">
        <v>898</v>
      </c>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505"/>
      <c r="AX8" s="416">
        <f t="shared" ref="AX8:AY8" si="1">AX9+AX11+AX15+AX16+AX17+AX18+AX19+AX25+AX27</f>
        <v>2722898181.3900003</v>
      </c>
      <c r="AY8" s="416">
        <f t="shared" si="1"/>
        <v>2953999448.3200002</v>
      </c>
      <c r="AZ8" s="131"/>
    </row>
    <row r="9" spans="1:52">
      <c r="A9" s="503">
        <v>41110</v>
      </c>
      <c r="B9" s="183" t="s">
        <v>899</v>
      </c>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505"/>
      <c r="AX9" s="318">
        <f t="shared" ref="AX9:AY9" si="2">SUM(AX10)</f>
        <v>17176896.32</v>
      </c>
      <c r="AY9" s="318">
        <f t="shared" si="2"/>
        <v>39425340.020000003</v>
      </c>
      <c r="AZ9" s="131"/>
    </row>
    <row r="10" spans="1:52">
      <c r="A10" s="353" t="s">
        <v>900</v>
      </c>
      <c r="B10" s="507" t="s">
        <v>6723</v>
      </c>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505"/>
      <c r="AX10" s="134">
        <f>Balanza!H201</f>
        <v>17176896.32</v>
      </c>
      <c r="AY10" s="134">
        <f>Balanza!D201</f>
        <v>39425340.020000003</v>
      </c>
      <c r="AZ10" s="131"/>
    </row>
    <row r="11" spans="1:52">
      <c r="A11" s="503">
        <v>41120</v>
      </c>
      <c r="B11" s="183" t="s">
        <v>902</v>
      </c>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505"/>
      <c r="AX11" s="318">
        <f t="shared" ref="AX11:AY11" si="3">SUM(AX12:AX14)</f>
        <v>2560137458.1500001</v>
      </c>
      <c r="AY11" s="318">
        <f t="shared" si="3"/>
        <v>2727830214.1500001</v>
      </c>
      <c r="AZ11" s="131"/>
    </row>
    <row r="12" spans="1:52">
      <c r="A12" s="353" t="s">
        <v>903</v>
      </c>
      <c r="B12" s="507" t="s">
        <v>6724</v>
      </c>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505"/>
      <c r="AX12" s="134">
        <f>Balanza!H203</f>
        <v>1818939280.23</v>
      </c>
      <c r="AY12" s="134">
        <f>Balanza!D203</f>
        <v>1659973064.21</v>
      </c>
      <c r="AZ12" s="131"/>
    </row>
    <row r="13" spans="1:52">
      <c r="A13" s="353" t="s">
        <v>905</v>
      </c>
      <c r="B13" s="507" t="s">
        <v>6725</v>
      </c>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505"/>
      <c r="AX13" s="134">
        <f>Balanza!H204</f>
        <v>712617409.85000002</v>
      </c>
      <c r="AY13" s="134">
        <f>Balanza!D204</f>
        <v>976297474.08000004</v>
      </c>
      <c r="AZ13" s="131"/>
    </row>
    <row r="14" spans="1:52">
      <c r="A14" s="353" t="s">
        <v>907</v>
      </c>
      <c r="B14" s="507" t="s">
        <v>6726</v>
      </c>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505"/>
      <c r="AX14" s="134">
        <f>Balanza!H205</f>
        <v>28580768.07</v>
      </c>
      <c r="AY14" s="134">
        <f>Balanza!D205</f>
        <v>91559675.859999999</v>
      </c>
      <c r="AZ14" s="131"/>
    </row>
    <row r="15" spans="1:52">
      <c r="A15" s="503" t="s">
        <v>909</v>
      </c>
      <c r="B15" s="183" t="s">
        <v>1997</v>
      </c>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505"/>
      <c r="AX15" s="318">
        <v>0</v>
      </c>
      <c r="AY15" s="318">
        <v>0</v>
      </c>
      <c r="AZ15" s="131"/>
    </row>
    <row r="16" spans="1:52">
      <c r="A16" s="503" t="s">
        <v>911</v>
      </c>
      <c r="B16" s="183" t="s">
        <v>912</v>
      </c>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505"/>
      <c r="AX16" s="318">
        <v>0</v>
      </c>
      <c r="AY16" s="318">
        <v>0</v>
      </c>
      <c r="AZ16" s="131"/>
    </row>
    <row r="17" spans="1:52">
      <c r="A17" s="503" t="s">
        <v>913</v>
      </c>
      <c r="B17" s="183" t="s">
        <v>914</v>
      </c>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505"/>
      <c r="AX17" s="318">
        <v>0</v>
      </c>
      <c r="AY17" s="318">
        <v>0</v>
      </c>
      <c r="AZ17" s="131"/>
    </row>
    <row r="18" spans="1:52">
      <c r="A18" s="503" t="s">
        <v>915</v>
      </c>
      <c r="B18" s="183" t="s">
        <v>916</v>
      </c>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505"/>
      <c r="AX18" s="318">
        <v>0</v>
      </c>
      <c r="AY18" s="318">
        <v>0</v>
      </c>
      <c r="AZ18" s="131"/>
    </row>
    <row r="19" spans="1:52">
      <c r="A19" s="503" t="s">
        <v>917</v>
      </c>
      <c r="B19" s="183" t="s">
        <v>918</v>
      </c>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505"/>
      <c r="AX19" s="318">
        <f t="shared" ref="AX19:AY19" si="4">SUM(AX20:AX24)</f>
        <v>127664432.56</v>
      </c>
      <c r="AY19" s="318">
        <f t="shared" si="4"/>
        <v>164950431.28999999</v>
      </c>
      <c r="AZ19" s="131"/>
    </row>
    <row r="20" spans="1:52">
      <c r="A20" s="353" t="s">
        <v>919</v>
      </c>
      <c r="B20" s="507" t="s">
        <v>6727</v>
      </c>
      <c r="C20" s="184"/>
      <c r="D20" s="184"/>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505"/>
      <c r="AX20" s="134">
        <f>Balanza!H211</f>
        <v>44269028.5</v>
      </c>
      <c r="AY20" s="134">
        <f>Balanza!D211</f>
        <v>50254722.630000003</v>
      </c>
      <c r="AZ20" s="131"/>
    </row>
    <row r="21" spans="1:52" ht="15.75" customHeight="1">
      <c r="A21" s="353" t="s">
        <v>921</v>
      </c>
      <c r="B21" s="507" t="s">
        <v>6728</v>
      </c>
      <c r="C21" s="184"/>
      <c r="D21" s="184"/>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505"/>
      <c r="AX21" s="134">
        <f>Balanza!H212</f>
        <v>297970.61</v>
      </c>
      <c r="AY21" s="134">
        <f>Balanza!D212</f>
        <v>301313.33</v>
      </c>
      <c r="AZ21" s="131"/>
    </row>
    <row r="22" spans="1:52" ht="15.75" customHeight="1">
      <c r="A22" s="353" t="s">
        <v>923</v>
      </c>
      <c r="B22" s="507" t="s">
        <v>6729</v>
      </c>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505"/>
      <c r="AX22" s="134">
        <f>Balanza!H213</f>
        <v>62735101.960000001</v>
      </c>
      <c r="AY22" s="134">
        <f>Balanza!D213</f>
        <v>61177643.659999996</v>
      </c>
      <c r="AZ22" s="131"/>
    </row>
    <row r="23" spans="1:52" ht="15.75" customHeight="1">
      <c r="A23" s="353" t="s">
        <v>925</v>
      </c>
      <c r="B23" s="507" t="s">
        <v>6730</v>
      </c>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505"/>
      <c r="AX23" s="134">
        <f>Balanza!H214</f>
        <v>8046474.04</v>
      </c>
      <c r="AY23" s="134">
        <f>Balanza!D214</f>
        <v>20708546.350000001</v>
      </c>
      <c r="AZ23" s="131"/>
    </row>
    <row r="24" spans="1:52" ht="15.75" customHeight="1">
      <c r="A24" s="353" t="s">
        <v>927</v>
      </c>
      <c r="B24" s="507" t="s">
        <v>6731</v>
      </c>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505"/>
      <c r="AX24" s="134">
        <f>Balanza!H215</f>
        <v>12315857.449999999</v>
      </c>
      <c r="AY24" s="134">
        <f>Balanza!D215</f>
        <v>32508205.32</v>
      </c>
      <c r="AZ24" s="131"/>
    </row>
    <row r="25" spans="1:52" ht="15.75" customHeight="1">
      <c r="A25" s="503" t="s">
        <v>929</v>
      </c>
      <c r="B25" s="183" t="s">
        <v>6732</v>
      </c>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505"/>
      <c r="AX25" s="318">
        <f t="shared" ref="AX25:AY25" si="5">SUM(AX26)</f>
        <v>0</v>
      </c>
      <c r="AY25" s="318">
        <f t="shared" si="5"/>
        <v>0</v>
      </c>
      <c r="AZ25" s="131"/>
    </row>
    <row r="26" spans="1:52" ht="15.75" customHeight="1">
      <c r="A26" s="353" t="s">
        <v>931</v>
      </c>
      <c r="B26" s="507" t="s">
        <v>6732</v>
      </c>
      <c r="C26" s="184"/>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505"/>
      <c r="AX26" s="134">
        <f>Balanza!H217</f>
        <v>0</v>
      </c>
      <c r="AY26" s="134">
        <f>Balanza!D217</f>
        <v>0</v>
      </c>
      <c r="AZ26" s="131"/>
    </row>
    <row r="27" spans="1:52" ht="15.75" customHeight="1">
      <c r="A27" s="503" t="s">
        <v>932</v>
      </c>
      <c r="B27" s="183" t="s">
        <v>6733</v>
      </c>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505"/>
      <c r="AX27" s="318">
        <f t="shared" ref="AX27:AY27" si="6">SUM(AX28)</f>
        <v>17919394.359999999</v>
      </c>
      <c r="AY27" s="318">
        <f t="shared" si="6"/>
        <v>21793462.859999999</v>
      </c>
      <c r="AZ27" s="131"/>
    </row>
    <row r="28" spans="1:52" ht="15.75" customHeight="1">
      <c r="A28" s="353" t="s">
        <v>934</v>
      </c>
      <c r="B28" s="507" t="s">
        <v>6734</v>
      </c>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505"/>
      <c r="AX28" s="134">
        <f>Balanza!H219</f>
        <v>17919394.359999999</v>
      </c>
      <c r="AY28" s="134">
        <f>Balanza!D219</f>
        <v>21793462.859999999</v>
      </c>
      <c r="AZ28" s="131"/>
    </row>
    <row r="29" spans="1:52" ht="15.75" customHeight="1">
      <c r="A29" s="503" t="s">
        <v>935</v>
      </c>
      <c r="B29" s="183" t="s">
        <v>936</v>
      </c>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505"/>
      <c r="AX29" s="416">
        <f t="shared" ref="AX29:AY29" si="7">SUM(AX30:AX34)</f>
        <v>0</v>
      </c>
      <c r="AY29" s="416">
        <f t="shared" si="7"/>
        <v>0</v>
      </c>
      <c r="AZ29" s="131"/>
    </row>
    <row r="30" spans="1:52" ht="15.75" customHeight="1">
      <c r="A30" s="503" t="s">
        <v>937</v>
      </c>
      <c r="B30" s="183" t="s">
        <v>938</v>
      </c>
      <c r="C30" s="183"/>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505"/>
      <c r="AX30" s="318">
        <v>0</v>
      </c>
      <c r="AY30" s="318">
        <v>0</v>
      </c>
      <c r="AZ30" s="131"/>
    </row>
    <row r="31" spans="1:52" ht="15.75" customHeight="1">
      <c r="A31" s="503" t="s">
        <v>939</v>
      </c>
      <c r="B31" s="183" t="s">
        <v>2010</v>
      </c>
      <c r="C31" s="183"/>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505"/>
      <c r="AX31" s="318">
        <v>0</v>
      </c>
      <c r="AY31" s="318">
        <v>0</v>
      </c>
      <c r="AZ31" s="131"/>
    </row>
    <row r="32" spans="1:52" ht="15.75" customHeight="1">
      <c r="A32" s="503" t="s">
        <v>941</v>
      </c>
      <c r="B32" s="183" t="s">
        <v>942</v>
      </c>
      <c r="C32" s="183"/>
      <c r="D32" s="184"/>
      <c r="E32" s="184"/>
      <c r="F32" s="184"/>
      <c r="G32" s="184"/>
      <c r="H32" s="184"/>
      <c r="I32" s="184"/>
      <c r="J32" s="184"/>
      <c r="K32" s="184"/>
      <c r="L32" s="184"/>
      <c r="M32" s="184"/>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505"/>
      <c r="AX32" s="318">
        <v>0</v>
      </c>
      <c r="AY32" s="318">
        <v>0</v>
      </c>
      <c r="AZ32" s="131"/>
    </row>
    <row r="33" spans="1:52" ht="15.75" customHeight="1">
      <c r="A33" s="503" t="s">
        <v>943</v>
      </c>
      <c r="B33" s="183" t="s">
        <v>944</v>
      </c>
      <c r="C33" s="183"/>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505"/>
      <c r="AX33" s="318">
        <v>0</v>
      </c>
      <c r="AY33" s="318">
        <v>0</v>
      </c>
      <c r="AZ33" s="131"/>
    </row>
    <row r="34" spans="1:52" ht="15.75" customHeight="1">
      <c r="A34" s="503" t="s">
        <v>945</v>
      </c>
      <c r="B34" s="183" t="s">
        <v>946</v>
      </c>
      <c r="C34" s="183"/>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505"/>
      <c r="AX34" s="318">
        <v>0</v>
      </c>
      <c r="AY34" s="318">
        <v>0</v>
      </c>
      <c r="AZ34" s="131"/>
    </row>
    <row r="35" spans="1:52" ht="15.75" customHeight="1">
      <c r="A35" s="503" t="s">
        <v>947</v>
      </c>
      <c r="B35" s="183" t="s">
        <v>948</v>
      </c>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505"/>
      <c r="AX35" s="416">
        <f t="shared" ref="AX35:AY35" si="8">AX36+AX38</f>
        <v>0</v>
      </c>
      <c r="AY35" s="416">
        <f t="shared" si="8"/>
        <v>413506.61</v>
      </c>
      <c r="AZ35" s="131"/>
    </row>
    <row r="36" spans="1:52" ht="15.75" customHeight="1">
      <c r="A36" s="503" t="s">
        <v>949</v>
      </c>
      <c r="B36" s="183" t="s">
        <v>952</v>
      </c>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505"/>
      <c r="AX36" s="318">
        <f t="shared" ref="AX36:AY36" si="9">SUM(AX37)</f>
        <v>0</v>
      </c>
      <c r="AY36" s="318">
        <f t="shared" si="9"/>
        <v>0</v>
      </c>
      <c r="AZ36" s="131"/>
    </row>
    <row r="37" spans="1:52" ht="15.75" customHeight="1">
      <c r="A37" s="353" t="s">
        <v>951</v>
      </c>
      <c r="B37" s="507" t="s">
        <v>6735</v>
      </c>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505"/>
      <c r="AX37" s="134">
        <f>Balanza!H228</f>
        <v>0</v>
      </c>
      <c r="AY37" s="134">
        <f>Balanza!D228</f>
        <v>0</v>
      </c>
      <c r="AZ37" s="131"/>
    </row>
    <row r="38" spans="1:52" ht="15.75" customHeight="1">
      <c r="A38" s="503" t="s">
        <v>953</v>
      </c>
      <c r="B38" s="183" t="s">
        <v>6736</v>
      </c>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505"/>
      <c r="AX38" s="318">
        <f t="shared" ref="AX38:AY38" si="10">SUM(AX39)</f>
        <v>0</v>
      </c>
      <c r="AY38" s="318">
        <f t="shared" si="10"/>
        <v>413506.61</v>
      </c>
      <c r="AZ38" s="131"/>
    </row>
    <row r="39" spans="1:52" ht="15.75" customHeight="1">
      <c r="A39" s="353" t="s">
        <v>955</v>
      </c>
      <c r="B39" s="507" t="s">
        <v>6737</v>
      </c>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505"/>
      <c r="AX39" s="134">
        <f>Balanza!H230</f>
        <v>0</v>
      </c>
      <c r="AY39" s="134">
        <f>Balanza!D230</f>
        <v>413506.61</v>
      </c>
      <c r="AZ39" s="131"/>
    </row>
    <row r="40" spans="1:52" ht="15.75" customHeight="1">
      <c r="A40" s="503" t="s">
        <v>956</v>
      </c>
      <c r="B40" s="183" t="s">
        <v>957</v>
      </c>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505"/>
      <c r="AX40" s="416">
        <f t="shared" ref="AX40:AY40" si="11">AX41+AX46+AX47+AX62+AX68+AX70</f>
        <v>860382178.17000008</v>
      </c>
      <c r="AY40" s="416">
        <f t="shared" si="11"/>
        <v>1402723470.5000002</v>
      </c>
      <c r="AZ40" s="131"/>
    </row>
    <row r="41" spans="1:52" ht="15.75" customHeight="1">
      <c r="A41" s="503" t="s">
        <v>958</v>
      </c>
      <c r="B41" s="183" t="s">
        <v>959</v>
      </c>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505"/>
      <c r="AX41" s="318">
        <f t="shared" ref="AX41:AY41" si="12">SUM(AX42:AX45)</f>
        <v>282335221.75999999</v>
      </c>
      <c r="AY41" s="318">
        <f t="shared" si="12"/>
        <v>385540802.83999997</v>
      </c>
      <c r="AZ41" s="131"/>
    </row>
    <row r="42" spans="1:52" ht="15.75" customHeight="1">
      <c r="A42" s="353" t="s">
        <v>960</v>
      </c>
      <c r="B42" s="507" t="s">
        <v>6738</v>
      </c>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505"/>
      <c r="AX42" s="134">
        <f>Balanza!H233</f>
        <v>126391964.70999999</v>
      </c>
      <c r="AY42" s="134">
        <f>Balanza!D233</f>
        <v>179470118.84999999</v>
      </c>
      <c r="AZ42" s="131"/>
    </row>
    <row r="43" spans="1:52" ht="15.75" customHeight="1">
      <c r="A43" s="353" t="s">
        <v>962</v>
      </c>
      <c r="B43" s="507" t="s">
        <v>6739</v>
      </c>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505"/>
      <c r="AX43" s="134">
        <f>Balanza!H234</f>
        <v>25556682.530000001</v>
      </c>
      <c r="AY43" s="134">
        <f>Balanza!D234</f>
        <v>32153312.23</v>
      </c>
      <c r="AZ43" s="131"/>
    </row>
    <row r="44" spans="1:52" ht="15.75" customHeight="1">
      <c r="A44" s="353" t="s">
        <v>964</v>
      </c>
      <c r="B44" s="507" t="s">
        <v>6740</v>
      </c>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505"/>
      <c r="AX44" s="134">
        <f>Balanza!H235</f>
        <v>48881863.719999999</v>
      </c>
      <c r="AY44" s="134">
        <f>Balanza!D235</f>
        <v>57668396.960000001</v>
      </c>
      <c r="AZ44" s="131"/>
    </row>
    <row r="45" spans="1:52" ht="15.75" customHeight="1">
      <c r="A45" s="353" t="s">
        <v>966</v>
      </c>
      <c r="B45" s="507" t="s">
        <v>6741</v>
      </c>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505"/>
      <c r="AX45" s="134">
        <f>Balanza!H236</f>
        <v>81504710.799999997</v>
      </c>
      <c r="AY45" s="134">
        <f>Balanza!D236</f>
        <v>116248974.8</v>
      </c>
      <c r="AZ45" s="131"/>
    </row>
    <row r="46" spans="1:52" ht="15.75" customHeight="1">
      <c r="A46" s="503" t="s">
        <v>968</v>
      </c>
      <c r="B46" s="183" t="s">
        <v>969</v>
      </c>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505"/>
      <c r="AX46" s="318">
        <v>0</v>
      </c>
      <c r="AY46" s="318">
        <v>0</v>
      </c>
      <c r="AZ46" s="131"/>
    </row>
    <row r="47" spans="1:52" ht="15.75" customHeight="1">
      <c r="A47" s="503" t="s">
        <v>970</v>
      </c>
      <c r="B47" s="183" t="s">
        <v>971</v>
      </c>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505"/>
      <c r="AX47" s="318">
        <f t="shared" ref="AX47:AY47" si="13">SUM(AX48:AX61)</f>
        <v>505359160.84000003</v>
      </c>
      <c r="AY47" s="318">
        <f t="shared" si="13"/>
        <v>923782805.09000003</v>
      </c>
      <c r="AZ47" s="131"/>
    </row>
    <row r="48" spans="1:52" ht="15.75" customHeight="1">
      <c r="A48" s="353" t="s">
        <v>972</v>
      </c>
      <c r="B48" s="507" t="s">
        <v>6742</v>
      </c>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505"/>
      <c r="AX48" s="134">
        <f>Balanza!H239</f>
        <v>127682940.92</v>
      </c>
      <c r="AY48" s="134">
        <f>Balanza!D239</f>
        <v>138402320.78999999</v>
      </c>
      <c r="AZ48" s="131"/>
    </row>
    <row r="49" spans="1:52" ht="15.75" customHeight="1">
      <c r="A49" s="353" t="s">
        <v>974</v>
      </c>
      <c r="B49" s="507" t="s">
        <v>6743</v>
      </c>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505"/>
      <c r="AX49" s="134">
        <f>Balanza!H240</f>
        <v>44034393.399999999</v>
      </c>
      <c r="AY49" s="134">
        <f>Balanza!D240</f>
        <v>71045094.469999999</v>
      </c>
      <c r="AZ49" s="131"/>
    </row>
    <row r="50" spans="1:52" ht="15.75" customHeight="1">
      <c r="A50" s="353" t="s">
        <v>976</v>
      </c>
      <c r="B50" s="507" t="s">
        <v>6744</v>
      </c>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505"/>
      <c r="AX50" s="134">
        <f>Balanza!H241</f>
        <v>151918311.94</v>
      </c>
      <c r="AY50" s="134">
        <f>Balanza!D241</f>
        <v>436364477.75999999</v>
      </c>
      <c r="AZ50" s="131"/>
    </row>
    <row r="51" spans="1:52" ht="15.75" customHeight="1">
      <c r="A51" s="353" t="s">
        <v>978</v>
      </c>
      <c r="B51" s="507" t="s">
        <v>6745</v>
      </c>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505"/>
      <c r="AX51" s="134">
        <f>Balanza!H242</f>
        <v>867362.09</v>
      </c>
      <c r="AY51" s="134">
        <f>Balanza!D242</f>
        <v>1023688.12</v>
      </c>
      <c r="AZ51" s="131"/>
    </row>
    <row r="52" spans="1:52" ht="15.75" customHeight="1">
      <c r="A52" s="353" t="s">
        <v>980</v>
      </c>
      <c r="B52" s="507" t="s">
        <v>6746</v>
      </c>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505"/>
      <c r="AX52" s="134">
        <f>Balanza!H243</f>
        <v>2620815.54</v>
      </c>
      <c r="AY52" s="134">
        <f>Balanza!D243</f>
        <v>3785723.87</v>
      </c>
      <c r="AZ52" s="131"/>
    </row>
    <row r="53" spans="1:52" ht="15.75" customHeight="1">
      <c r="A53" s="353" t="s">
        <v>982</v>
      </c>
      <c r="B53" s="507" t="s">
        <v>6747</v>
      </c>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505"/>
      <c r="AX53" s="134">
        <f>Balanza!H244</f>
        <v>56523231.289999999</v>
      </c>
      <c r="AY53" s="134">
        <f>Balanza!D244</f>
        <v>87183818.980000004</v>
      </c>
      <c r="AZ53" s="131"/>
    </row>
    <row r="54" spans="1:52" ht="15.75" customHeight="1">
      <c r="A54" s="353" t="s">
        <v>984</v>
      </c>
      <c r="B54" s="507" t="s">
        <v>6748</v>
      </c>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505"/>
      <c r="AX54" s="134">
        <f>Balanza!H245</f>
        <v>1965355.79</v>
      </c>
      <c r="AY54" s="134">
        <f>Balanza!D245</f>
        <v>5576258.4299999997</v>
      </c>
      <c r="AZ54" s="131"/>
    </row>
    <row r="55" spans="1:52" ht="15.75" customHeight="1">
      <c r="A55" s="353" t="s">
        <v>986</v>
      </c>
      <c r="B55" s="507" t="s">
        <v>6749</v>
      </c>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505"/>
      <c r="AX55" s="134">
        <f>Balanza!H246</f>
        <v>8781098</v>
      </c>
      <c r="AY55" s="134">
        <f>Balanza!D246</f>
        <v>13423253.4</v>
      </c>
      <c r="AZ55" s="131"/>
    </row>
    <row r="56" spans="1:52" ht="15.75" customHeight="1">
      <c r="A56" s="353" t="s">
        <v>988</v>
      </c>
      <c r="B56" s="507" t="s">
        <v>6750</v>
      </c>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505"/>
      <c r="AX56" s="134">
        <f>Balanza!H247</f>
        <v>16857073.100000001</v>
      </c>
      <c r="AY56" s="134">
        <f>Balanza!D247</f>
        <v>16436672.449999999</v>
      </c>
      <c r="AZ56" s="131"/>
    </row>
    <row r="57" spans="1:52" ht="15.75" customHeight="1">
      <c r="A57" s="353" t="s">
        <v>990</v>
      </c>
      <c r="B57" s="507" t="s">
        <v>6751</v>
      </c>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505"/>
      <c r="AX57" s="134">
        <f>Balanza!H248</f>
        <v>0</v>
      </c>
      <c r="AY57" s="134">
        <f>Balanza!D248</f>
        <v>0</v>
      </c>
      <c r="AZ57" s="131"/>
    </row>
    <row r="58" spans="1:52" ht="15.75" customHeight="1">
      <c r="A58" s="353" t="s">
        <v>992</v>
      </c>
      <c r="B58" s="507" t="s">
        <v>6752</v>
      </c>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505"/>
      <c r="AX58" s="134">
        <f>Balanza!H249</f>
        <v>43241557</v>
      </c>
      <c r="AY58" s="134">
        <f>Balanza!D249</f>
        <v>69833293</v>
      </c>
      <c r="AZ58" s="131"/>
    </row>
    <row r="59" spans="1:52" ht="15.75" customHeight="1">
      <c r="A59" s="353" t="s">
        <v>994</v>
      </c>
      <c r="B59" s="507" t="s">
        <v>6753</v>
      </c>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505"/>
      <c r="AX59" s="134">
        <f>Balanza!H250</f>
        <v>9375143</v>
      </c>
      <c r="AY59" s="134">
        <f>Balanza!D250</f>
        <v>15532696.1</v>
      </c>
      <c r="AZ59" s="131"/>
    </row>
    <row r="60" spans="1:52" ht="15.75" customHeight="1">
      <c r="A60" s="353" t="s">
        <v>996</v>
      </c>
      <c r="B60" s="507" t="s">
        <v>6754</v>
      </c>
      <c r="C60" s="184"/>
      <c r="D60" s="184"/>
      <c r="E60" s="184"/>
      <c r="F60" s="184"/>
      <c r="G60" s="184"/>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505"/>
      <c r="AX60" s="134">
        <f>Balanza!H251</f>
        <v>32571348.77</v>
      </c>
      <c r="AY60" s="134">
        <f>Balanza!D251</f>
        <v>51971560.719999999</v>
      </c>
      <c r="AZ60" s="131"/>
    </row>
    <row r="61" spans="1:52" ht="15.75" customHeight="1">
      <c r="A61" s="353" t="s">
        <v>998</v>
      </c>
      <c r="B61" s="507" t="s">
        <v>6755</v>
      </c>
      <c r="C61" s="184"/>
      <c r="D61" s="184"/>
      <c r="E61" s="184"/>
      <c r="F61" s="184"/>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505"/>
      <c r="AX61" s="134">
        <f>Balanza!H252</f>
        <v>8920530</v>
      </c>
      <c r="AY61" s="134">
        <f>Balanza!D252</f>
        <v>13203947</v>
      </c>
      <c r="AZ61" s="131"/>
    </row>
    <row r="62" spans="1:52" ht="15.75" customHeight="1">
      <c r="A62" s="503" t="s">
        <v>1000</v>
      </c>
      <c r="B62" s="183" t="s">
        <v>1001</v>
      </c>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505"/>
      <c r="AX62" s="318">
        <f t="shared" ref="AX62:AY62" si="14">SUM(AX63:AX67)</f>
        <v>28493247.09</v>
      </c>
      <c r="AY62" s="318">
        <f t="shared" si="14"/>
        <v>34357021.890000001</v>
      </c>
      <c r="AZ62" s="131"/>
    </row>
    <row r="63" spans="1:52" ht="15.75" customHeight="1">
      <c r="A63" s="353" t="s">
        <v>1002</v>
      </c>
      <c r="B63" s="507" t="s">
        <v>6727</v>
      </c>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505"/>
      <c r="AX63" s="134">
        <f>Balanza!H254</f>
        <v>7214229.3600000003</v>
      </c>
      <c r="AY63" s="134">
        <f>Balanza!D254</f>
        <v>8071101.4699999997</v>
      </c>
      <c r="AZ63" s="131"/>
    </row>
    <row r="64" spans="1:52" ht="15.75" customHeight="1">
      <c r="A64" s="353" t="s">
        <v>1003</v>
      </c>
      <c r="B64" s="507" t="s">
        <v>6728</v>
      </c>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505"/>
      <c r="AX64" s="134">
        <f>Balanza!H255</f>
        <v>2425256.04</v>
      </c>
      <c r="AY64" s="134">
        <f>Balanza!D255</f>
        <v>3897242.61</v>
      </c>
      <c r="AZ64" s="131"/>
    </row>
    <row r="65" spans="1:52" ht="15.75" customHeight="1">
      <c r="A65" s="353" t="s">
        <v>1004</v>
      </c>
      <c r="B65" s="507" t="s">
        <v>6729</v>
      </c>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505"/>
      <c r="AX65" s="134">
        <f>Balanza!H256</f>
        <v>14965817.310000001</v>
      </c>
      <c r="AY65" s="134">
        <f>Balanza!D256</f>
        <v>14004669.24</v>
      </c>
      <c r="AZ65" s="131"/>
    </row>
    <row r="66" spans="1:52" ht="15.75" customHeight="1">
      <c r="A66" s="353" t="s">
        <v>1005</v>
      </c>
      <c r="B66" s="507" t="s">
        <v>6730</v>
      </c>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505"/>
      <c r="AX66" s="134">
        <f>Balanza!H257</f>
        <v>730226.97</v>
      </c>
      <c r="AY66" s="134">
        <f>Balanza!D257</f>
        <v>3674111.22</v>
      </c>
      <c r="AZ66" s="131"/>
    </row>
    <row r="67" spans="1:52" ht="15.75" customHeight="1">
      <c r="A67" s="353" t="s">
        <v>1006</v>
      </c>
      <c r="B67" s="507" t="s">
        <v>6731</v>
      </c>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505"/>
      <c r="AX67" s="134">
        <f>Balanza!H258</f>
        <v>3157717.41</v>
      </c>
      <c r="AY67" s="134">
        <f>Balanza!D258</f>
        <v>4709897.3499999996</v>
      </c>
      <c r="AZ67" s="131"/>
    </row>
    <row r="68" spans="1:52" ht="15.75" customHeight="1">
      <c r="A68" s="503" t="s">
        <v>1007</v>
      </c>
      <c r="B68" s="183" t="s">
        <v>1008</v>
      </c>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505"/>
      <c r="AX68" s="318">
        <f t="shared" ref="AX68:AY68" si="15">SUM(AX69)</f>
        <v>0</v>
      </c>
      <c r="AY68" s="318">
        <f t="shared" si="15"/>
        <v>0</v>
      </c>
      <c r="AZ68" s="131"/>
    </row>
    <row r="69" spans="1:52" ht="15.75" customHeight="1">
      <c r="A69" s="353" t="s">
        <v>1009</v>
      </c>
      <c r="B69" s="507" t="s">
        <v>6756</v>
      </c>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505"/>
      <c r="AX69" s="134">
        <f>Balanza!H260</f>
        <v>0</v>
      </c>
      <c r="AY69" s="134">
        <f>Balanza!D260</f>
        <v>0</v>
      </c>
      <c r="AZ69" s="131"/>
    </row>
    <row r="70" spans="1:52" ht="15.75" customHeight="1">
      <c r="A70" s="503" t="s">
        <v>1010</v>
      </c>
      <c r="B70" s="183" t="s">
        <v>1011</v>
      </c>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505"/>
      <c r="AX70" s="318">
        <f t="shared" ref="AX70:AY70" si="16">SUM(AX71)</f>
        <v>44194548.479999997</v>
      </c>
      <c r="AY70" s="318">
        <f t="shared" si="16"/>
        <v>59042840.68</v>
      </c>
      <c r="AZ70" s="131"/>
    </row>
    <row r="71" spans="1:52" ht="15.75" customHeight="1">
      <c r="A71" s="353" t="s">
        <v>1012</v>
      </c>
      <c r="B71" s="507" t="s">
        <v>6757</v>
      </c>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505"/>
      <c r="AX71" s="134">
        <f>Balanza!H262</f>
        <v>44194548.479999997</v>
      </c>
      <c r="AY71" s="134">
        <f>Balanza!D262</f>
        <v>59042840.68</v>
      </c>
      <c r="AZ71" s="131"/>
    </row>
    <row r="72" spans="1:52" ht="15.75" customHeight="1">
      <c r="A72" s="503" t="s">
        <v>1013</v>
      </c>
      <c r="B72" s="183" t="s">
        <v>1014</v>
      </c>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505"/>
      <c r="AX72" s="416">
        <f t="shared" ref="AX72:AY72" si="17">AX73+AX76+AX77+AX78+AX80</f>
        <v>133658361.8</v>
      </c>
      <c r="AY72" s="416">
        <f t="shared" si="17"/>
        <v>155535330.52000001</v>
      </c>
      <c r="AZ72" s="131"/>
    </row>
    <row r="73" spans="1:52" ht="15.75" customHeight="1">
      <c r="A73" s="503" t="s">
        <v>1015</v>
      </c>
      <c r="B73" s="183" t="s">
        <v>6758</v>
      </c>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505"/>
      <c r="AX73" s="318">
        <f t="shared" ref="AX73:AY73" si="18">SUM(AX74:AX75)</f>
        <v>133658361.8</v>
      </c>
      <c r="AY73" s="318">
        <f t="shared" si="18"/>
        <v>155535330.52000001</v>
      </c>
      <c r="AZ73" s="131"/>
    </row>
    <row r="74" spans="1:52" ht="15.75" customHeight="1">
      <c r="A74" s="353" t="s">
        <v>1017</v>
      </c>
      <c r="B74" s="507" t="s">
        <v>6759</v>
      </c>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c r="AR74" s="184"/>
      <c r="AS74" s="184"/>
      <c r="AT74" s="184"/>
      <c r="AU74" s="184"/>
      <c r="AV74" s="184"/>
      <c r="AW74" s="505"/>
      <c r="AX74" s="134">
        <f>Balanza!H265</f>
        <v>408286.35</v>
      </c>
      <c r="AY74" s="134">
        <f>Balanza!D265</f>
        <v>337780.3</v>
      </c>
      <c r="AZ74" s="131"/>
    </row>
    <row r="75" spans="1:52" ht="15.75" customHeight="1">
      <c r="A75" s="353" t="s">
        <v>1019</v>
      </c>
      <c r="B75" s="507" t="s">
        <v>6760</v>
      </c>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505"/>
      <c r="AX75" s="134">
        <f>Balanza!H266</f>
        <v>133250075.45</v>
      </c>
      <c r="AY75" s="134">
        <f>Balanza!D266</f>
        <v>155197550.22</v>
      </c>
      <c r="AZ75" s="131"/>
    </row>
    <row r="76" spans="1:52" ht="15.75" customHeight="1">
      <c r="A76" s="503" t="s">
        <v>1021</v>
      </c>
      <c r="B76" s="183" t="s">
        <v>1022</v>
      </c>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505"/>
      <c r="AX76" s="318">
        <v>0</v>
      </c>
      <c r="AY76" s="318">
        <v>0</v>
      </c>
      <c r="AZ76" s="131"/>
    </row>
    <row r="77" spans="1:52" ht="15.75" customHeight="1">
      <c r="A77" s="503" t="s">
        <v>1023</v>
      </c>
      <c r="B77" s="183" t="s">
        <v>1024</v>
      </c>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505"/>
      <c r="AX77" s="318">
        <v>0</v>
      </c>
      <c r="AY77" s="318">
        <v>0</v>
      </c>
      <c r="AZ77" s="131"/>
    </row>
    <row r="78" spans="1:52" ht="15.75" customHeight="1">
      <c r="A78" s="503" t="s">
        <v>1025</v>
      </c>
      <c r="B78" s="183" t="s">
        <v>2034</v>
      </c>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505"/>
      <c r="AX78" s="318">
        <f t="shared" ref="AX78:AY78" si="19">SUM(AX79)</f>
        <v>0</v>
      </c>
      <c r="AY78" s="318">
        <f t="shared" si="19"/>
        <v>0</v>
      </c>
      <c r="AZ78" s="131"/>
    </row>
    <row r="79" spans="1:52" ht="15.75" customHeight="1">
      <c r="A79" s="353" t="s">
        <v>1027</v>
      </c>
      <c r="B79" s="184" t="s">
        <v>6761</v>
      </c>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505"/>
      <c r="AX79" s="134">
        <f>Balanza!H270</f>
        <v>0</v>
      </c>
      <c r="AY79" s="134">
        <f>Balanza!D270</f>
        <v>0</v>
      </c>
      <c r="AZ79" s="131"/>
    </row>
    <row r="80" spans="1:52" ht="15.75" customHeight="1">
      <c r="A80" s="503" t="s">
        <v>1028</v>
      </c>
      <c r="B80" s="183" t="s">
        <v>1029</v>
      </c>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505"/>
      <c r="AX80" s="318">
        <v>0</v>
      </c>
      <c r="AY80" s="318">
        <v>0</v>
      </c>
      <c r="AZ80" s="131"/>
    </row>
    <row r="81" spans="1:52" ht="15.75" customHeight="1">
      <c r="A81" s="503" t="s">
        <v>1030</v>
      </c>
      <c r="B81" s="183" t="s">
        <v>1031</v>
      </c>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505"/>
      <c r="AX81" s="416">
        <f t="shared" ref="AX81:AY81" si="20">AX82+AX83+AX85+AX87+AX89+AX91+AX93+AX94+AX100</f>
        <v>105196371.97000003</v>
      </c>
      <c r="AY81" s="416">
        <f t="shared" si="20"/>
        <v>234358462.94</v>
      </c>
      <c r="AZ81" s="131"/>
    </row>
    <row r="82" spans="1:52" ht="15.75" customHeight="1">
      <c r="A82" s="503" t="s">
        <v>1032</v>
      </c>
      <c r="B82" s="183" t="s">
        <v>1033</v>
      </c>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505"/>
      <c r="AX82" s="318">
        <v>0</v>
      </c>
      <c r="AY82" s="318">
        <v>0</v>
      </c>
      <c r="AZ82" s="131"/>
    </row>
    <row r="83" spans="1:52" ht="15.75" customHeight="1">
      <c r="A83" s="503" t="s">
        <v>1034</v>
      </c>
      <c r="B83" s="183" t="s">
        <v>924</v>
      </c>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505"/>
      <c r="AX83" s="318">
        <f t="shared" ref="AX83:AY83" si="21">SUM(AX84)</f>
        <v>82118965.310000002</v>
      </c>
      <c r="AY83" s="318">
        <f t="shared" si="21"/>
        <v>93771314.120000005</v>
      </c>
      <c r="AZ83" s="131"/>
    </row>
    <row r="84" spans="1:52" ht="15.75" customHeight="1">
      <c r="A84" s="353" t="s">
        <v>1035</v>
      </c>
      <c r="B84" s="184" t="s">
        <v>6729</v>
      </c>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505"/>
      <c r="AX84" s="134">
        <f>Balanza!H275</f>
        <v>82118965.310000002</v>
      </c>
      <c r="AY84" s="134">
        <f>Balanza!D275</f>
        <v>93771314.120000005</v>
      </c>
      <c r="AZ84" s="131"/>
    </row>
    <row r="85" spans="1:52" ht="15.75" customHeight="1">
      <c r="A85" s="503" t="s">
        <v>1036</v>
      </c>
      <c r="B85" s="183" t="s">
        <v>1037</v>
      </c>
      <c r="C85" s="184"/>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505"/>
      <c r="AX85" s="318">
        <f t="shared" ref="AX85:AY85" si="22">SUM(AX86)</f>
        <v>1061542.79</v>
      </c>
      <c r="AY85" s="318">
        <f t="shared" si="22"/>
        <v>2568335.15</v>
      </c>
      <c r="AZ85" s="131"/>
    </row>
    <row r="86" spans="1:52" ht="15.75" customHeight="1">
      <c r="A86" s="353" t="s">
        <v>1038</v>
      </c>
      <c r="B86" s="184" t="s">
        <v>6762</v>
      </c>
      <c r="C86" s="184"/>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505"/>
      <c r="AX86" s="134">
        <f>Balanza!H277</f>
        <v>1061542.79</v>
      </c>
      <c r="AY86" s="134">
        <f>Balanza!D277</f>
        <v>2568335.15</v>
      </c>
      <c r="AZ86" s="131"/>
    </row>
    <row r="87" spans="1:52" ht="15.75" customHeight="1">
      <c r="A87" s="503" t="s">
        <v>1039</v>
      </c>
      <c r="B87" s="183" t="s">
        <v>1040</v>
      </c>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505"/>
      <c r="AX87" s="318">
        <f t="shared" ref="AX87:AY87" si="23">SUM(AX88)</f>
        <v>19035110.850000001</v>
      </c>
      <c r="AY87" s="318">
        <f t="shared" si="23"/>
        <v>4419104.1900000004</v>
      </c>
      <c r="AZ87" s="131"/>
    </row>
    <row r="88" spans="1:52" ht="15.75" customHeight="1">
      <c r="A88" s="353" t="s">
        <v>1041</v>
      </c>
      <c r="B88" s="184" t="s">
        <v>6763</v>
      </c>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505"/>
      <c r="AX88" s="134">
        <f>Balanza!H279</f>
        <v>19035110.850000001</v>
      </c>
      <c r="AY88" s="134">
        <f>Balanza!D279</f>
        <v>4419104.1900000004</v>
      </c>
      <c r="AZ88" s="131"/>
    </row>
    <row r="89" spans="1:52" ht="15.75" customHeight="1">
      <c r="A89" s="503" t="s">
        <v>1042</v>
      </c>
      <c r="B89" s="183" t="s">
        <v>1043</v>
      </c>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505"/>
      <c r="AX89" s="318">
        <f t="shared" ref="AX89:AY89" si="24">SUM(AX90)</f>
        <v>0</v>
      </c>
      <c r="AY89" s="318">
        <f t="shared" si="24"/>
        <v>0</v>
      </c>
      <c r="AZ89" s="131"/>
    </row>
    <row r="90" spans="1:52" ht="15.75" customHeight="1">
      <c r="A90" s="353" t="s">
        <v>1044</v>
      </c>
      <c r="B90" s="184" t="s">
        <v>6764</v>
      </c>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505"/>
      <c r="AX90" s="134">
        <f>Balanza!H281</f>
        <v>0</v>
      </c>
      <c r="AY90" s="134">
        <f>Balanza!D281</f>
        <v>0</v>
      </c>
      <c r="AZ90" s="131"/>
    </row>
    <row r="91" spans="1:52" ht="15.75" customHeight="1">
      <c r="A91" s="503" t="s">
        <v>1045</v>
      </c>
      <c r="B91" s="183" t="s">
        <v>6765</v>
      </c>
      <c r="C91" s="184"/>
      <c r="D91" s="184"/>
      <c r="E91" s="184"/>
      <c r="F91" s="184"/>
      <c r="G91" s="184"/>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4"/>
      <c r="AL91" s="184"/>
      <c r="AM91" s="184"/>
      <c r="AN91" s="184"/>
      <c r="AO91" s="184"/>
      <c r="AP91" s="184"/>
      <c r="AQ91" s="184"/>
      <c r="AR91" s="184"/>
      <c r="AS91" s="184"/>
      <c r="AT91" s="184"/>
      <c r="AU91" s="184"/>
      <c r="AV91" s="184"/>
      <c r="AW91" s="505"/>
      <c r="AX91" s="318">
        <f t="shared" ref="AX91:AY91" si="25">SUM(AX92)</f>
        <v>132</v>
      </c>
      <c r="AY91" s="318">
        <f t="shared" si="25"/>
        <v>0</v>
      </c>
      <c r="AZ91" s="131"/>
    </row>
    <row r="92" spans="1:52" ht="15.75" customHeight="1">
      <c r="A92" s="353" t="s">
        <v>1047</v>
      </c>
      <c r="B92" s="184" t="s">
        <v>6766</v>
      </c>
      <c r="C92" s="184"/>
      <c r="D92" s="184"/>
      <c r="E92" s="184"/>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c r="AV92" s="184"/>
      <c r="AW92" s="505"/>
      <c r="AX92" s="134">
        <f>Balanza!H283</f>
        <v>132</v>
      </c>
      <c r="AY92" s="134">
        <f>Balanza!D283</f>
        <v>0</v>
      </c>
      <c r="AZ92" s="131"/>
    </row>
    <row r="93" spans="1:52" ht="15.75" customHeight="1">
      <c r="A93" s="503" t="s">
        <v>1048</v>
      </c>
      <c r="B93" s="183" t="s">
        <v>1049</v>
      </c>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505"/>
      <c r="AX93" s="318">
        <v>0</v>
      </c>
      <c r="AY93" s="318">
        <v>0</v>
      </c>
      <c r="AZ93" s="131"/>
    </row>
    <row r="94" spans="1:52" ht="15.75" customHeight="1">
      <c r="A94" s="503" t="s">
        <v>1050</v>
      </c>
      <c r="B94" s="183" t="s">
        <v>1051</v>
      </c>
      <c r="C94" s="184"/>
      <c r="D94" s="184"/>
      <c r="E94" s="184"/>
      <c r="F94" s="184"/>
      <c r="G94" s="184"/>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505"/>
      <c r="AX94" s="318">
        <f t="shared" ref="AX94:AY94" si="26">SUM(AX95:AX99)</f>
        <v>326072.40000000002</v>
      </c>
      <c r="AY94" s="318">
        <f t="shared" si="26"/>
        <v>2655359.65</v>
      </c>
      <c r="AZ94" s="131"/>
    </row>
    <row r="95" spans="1:52" ht="15.75" customHeight="1">
      <c r="A95" s="353" t="s">
        <v>1052</v>
      </c>
      <c r="B95" s="184" t="s">
        <v>6727</v>
      </c>
      <c r="C95" s="184"/>
      <c r="D95" s="184"/>
      <c r="E95" s="184"/>
      <c r="F95" s="184"/>
      <c r="G95" s="184"/>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4"/>
      <c r="AL95" s="184"/>
      <c r="AM95" s="184"/>
      <c r="AN95" s="184"/>
      <c r="AO95" s="184"/>
      <c r="AP95" s="184"/>
      <c r="AQ95" s="184"/>
      <c r="AR95" s="184"/>
      <c r="AS95" s="184"/>
      <c r="AT95" s="184"/>
      <c r="AU95" s="184"/>
      <c r="AV95" s="184"/>
      <c r="AW95" s="505"/>
      <c r="AX95" s="134">
        <f>Balanza!H286</f>
        <v>28669.61</v>
      </c>
      <c r="AY95" s="134">
        <f>Balanza!D286</f>
        <v>2655359.65</v>
      </c>
      <c r="AZ95" s="131"/>
    </row>
    <row r="96" spans="1:52" ht="15.75" customHeight="1">
      <c r="A96" s="353" t="s">
        <v>1053</v>
      </c>
      <c r="B96" s="184" t="s">
        <v>6728</v>
      </c>
      <c r="C96" s="184"/>
      <c r="D96" s="184"/>
      <c r="E96" s="184"/>
      <c r="F96" s="184"/>
      <c r="G96" s="184"/>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505"/>
      <c r="AX96" s="134">
        <f>Balanza!H287</f>
        <v>81238.720000000001</v>
      </c>
      <c r="AY96" s="134">
        <f>Balanza!D287</f>
        <v>0</v>
      </c>
      <c r="AZ96" s="131"/>
    </row>
    <row r="97" spans="1:52" ht="15.75" customHeight="1">
      <c r="A97" s="353" t="s">
        <v>1054</v>
      </c>
      <c r="B97" s="184" t="s">
        <v>6729</v>
      </c>
      <c r="C97" s="184"/>
      <c r="D97" s="184"/>
      <c r="E97" s="184"/>
      <c r="F97" s="184"/>
      <c r="G97" s="184"/>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505"/>
      <c r="AX97" s="134">
        <f>Balanza!H288</f>
        <v>0</v>
      </c>
      <c r="AY97" s="134">
        <f>Balanza!D288</f>
        <v>0</v>
      </c>
      <c r="AZ97" s="131"/>
    </row>
    <row r="98" spans="1:52" ht="15.75" customHeight="1">
      <c r="A98" s="353" t="s">
        <v>1055</v>
      </c>
      <c r="B98" s="184" t="s">
        <v>6730</v>
      </c>
      <c r="C98" s="184"/>
      <c r="D98" s="184"/>
      <c r="E98" s="184"/>
      <c r="F98" s="184"/>
      <c r="G98" s="184"/>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505"/>
      <c r="AX98" s="134">
        <f>Balanza!H289</f>
        <v>216164.07</v>
      </c>
      <c r="AY98" s="134">
        <f>Balanza!D289</f>
        <v>0</v>
      </c>
      <c r="AZ98" s="131"/>
    </row>
    <row r="99" spans="1:52" ht="15.75" customHeight="1">
      <c r="A99" s="353" t="s">
        <v>1056</v>
      </c>
      <c r="B99" s="184" t="s">
        <v>6731</v>
      </c>
      <c r="C99" s="184"/>
      <c r="D99" s="184"/>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505"/>
      <c r="AX99" s="134">
        <f>Balanza!H290</f>
        <v>0</v>
      </c>
      <c r="AY99" s="134">
        <f>Balanza!D290</f>
        <v>0</v>
      </c>
      <c r="AZ99" s="131"/>
    </row>
    <row r="100" spans="1:52" ht="15.75" customHeight="1">
      <c r="A100" s="503" t="s">
        <v>1057</v>
      </c>
      <c r="B100" s="183" t="s">
        <v>1058</v>
      </c>
      <c r="C100" s="184"/>
      <c r="D100" s="184"/>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505"/>
      <c r="AX100" s="318">
        <f t="shared" ref="AX100:AY100" si="27">SUM(AX101)</f>
        <v>2654548.62</v>
      </c>
      <c r="AY100" s="318">
        <f t="shared" si="27"/>
        <v>130944349.83</v>
      </c>
      <c r="AZ100" s="131"/>
    </row>
    <row r="101" spans="1:52" ht="15.75" customHeight="1">
      <c r="A101" s="353" t="s">
        <v>1059</v>
      </c>
      <c r="B101" s="184" t="s">
        <v>6767</v>
      </c>
      <c r="C101" s="184"/>
      <c r="D101" s="184"/>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505"/>
      <c r="AX101" s="134">
        <f>Balanza!H292</f>
        <v>2654548.62</v>
      </c>
      <c r="AY101" s="134">
        <f>Balanza!D292</f>
        <v>130944349.83</v>
      </c>
      <c r="AZ101" s="131"/>
    </row>
    <row r="102" spans="1:52" ht="15.75" customHeight="1">
      <c r="A102" s="503" t="s">
        <v>1060</v>
      </c>
      <c r="B102" s="183" t="s">
        <v>1061</v>
      </c>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505"/>
      <c r="AX102" s="416">
        <f t="shared" ref="AX102:AY102" si="28">AX103+AX105+AX106+AX108+AX109+AX110+AX111+AX113</f>
        <v>0</v>
      </c>
      <c r="AY102" s="416">
        <f t="shared" si="28"/>
        <v>0</v>
      </c>
      <c r="AZ102" s="131"/>
    </row>
    <row r="103" spans="1:52" ht="15.75" customHeight="1">
      <c r="A103" s="503" t="s">
        <v>1062</v>
      </c>
      <c r="B103" s="183" t="s">
        <v>1065</v>
      </c>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505"/>
      <c r="AX103" s="318">
        <f t="shared" ref="AX103:AY103" si="29">SUM(AX104)</f>
        <v>0</v>
      </c>
      <c r="AY103" s="318">
        <f t="shared" si="29"/>
        <v>0</v>
      </c>
      <c r="AZ103" s="131"/>
    </row>
    <row r="104" spans="1:52" ht="15.75" customHeight="1">
      <c r="A104" s="353" t="s">
        <v>1064</v>
      </c>
      <c r="B104" s="507" t="s">
        <v>6768</v>
      </c>
      <c r="C104" s="184"/>
      <c r="D104" s="184"/>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505"/>
      <c r="AX104" s="134">
        <f>Balanza!H295</f>
        <v>0</v>
      </c>
      <c r="AY104" s="134">
        <f>Balanza!D295</f>
        <v>0</v>
      </c>
      <c r="AZ104" s="131"/>
    </row>
    <row r="105" spans="1:52" ht="15.75" customHeight="1">
      <c r="A105" s="503" t="s">
        <v>1066</v>
      </c>
      <c r="B105" s="183" t="s">
        <v>1067</v>
      </c>
      <c r="C105" s="184"/>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505"/>
      <c r="AX105" s="318">
        <v>0</v>
      </c>
      <c r="AY105" s="318">
        <v>0</v>
      </c>
      <c r="AZ105" s="131"/>
    </row>
    <row r="106" spans="1:52" ht="15.75" customHeight="1">
      <c r="A106" s="503" t="s">
        <v>1068</v>
      </c>
      <c r="B106" s="183" t="s">
        <v>1069</v>
      </c>
      <c r="C106" s="184"/>
      <c r="D106" s="184"/>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505"/>
      <c r="AX106" s="318">
        <f t="shared" ref="AX106:AY106" si="30">SUM(AX107)</f>
        <v>0</v>
      </c>
      <c r="AY106" s="318">
        <f t="shared" si="30"/>
        <v>0</v>
      </c>
      <c r="AZ106" s="131"/>
    </row>
    <row r="107" spans="1:52" ht="15.75" customHeight="1">
      <c r="A107" s="353" t="s">
        <v>1070</v>
      </c>
      <c r="B107" s="507" t="s">
        <v>6769</v>
      </c>
      <c r="C107" s="184"/>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505"/>
      <c r="AX107" s="134">
        <f>Balanza!H298</f>
        <v>0</v>
      </c>
      <c r="AY107" s="134">
        <f>Balanza!D298</f>
        <v>0</v>
      </c>
      <c r="AZ107" s="131"/>
    </row>
    <row r="108" spans="1:52" ht="15.75" customHeight="1">
      <c r="A108" s="503" t="s">
        <v>1071</v>
      </c>
      <c r="B108" s="183" t="s">
        <v>1072</v>
      </c>
      <c r="C108" s="184"/>
      <c r="D108" s="184"/>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184"/>
      <c r="AR108" s="184"/>
      <c r="AS108" s="184"/>
      <c r="AT108" s="184"/>
      <c r="AU108" s="184"/>
      <c r="AV108" s="184"/>
      <c r="AW108" s="505"/>
      <c r="AX108" s="318">
        <v>0</v>
      </c>
      <c r="AY108" s="318">
        <v>0</v>
      </c>
      <c r="AZ108" s="131"/>
    </row>
    <row r="109" spans="1:52" ht="15.75" customHeight="1">
      <c r="A109" s="503" t="s">
        <v>1073</v>
      </c>
      <c r="B109" s="183" t="s">
        <v>6770</v>
      </c>
      <c r="C109" s="184"/>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184"/>
      <c r="AV109" s="184"/>
      <c r="AW109" s="505"/>
      <c r="AX109" s="318">
        <v>0</v>
      </c>
      <c r="AY109" s="318">
        <v>0</v>
      </c>
      <c r="AZ109" s="131"/>
    </row>
    <row r="110" spans="1:52" ht="15.75" customHeight="1">
      <c r="A110" s="353" t="s">
        <v>1075</v>
      </c>
      <c r="B110" s="183" t="s">
        <v>6771</v>
      </c>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505"/>
      <c r="AX110" s="318">
        <v>0</v>
      </c>
      <c r="AY110" s="318">
        <v>0</v>
      </c>
      <c r="AZ110" s="131"/>
    </row>
    <row r="111" spans="1:52" ht="15.75" customHeight="1">
      <c r="A111" s="503" t="s">
        <v>1077</v>
      </c>
      <c r="B111" s="183" t="s">
        <v>1078</v>
      </c>
      <c r="C111" s="184"/>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505"/>
      <c r="AX111" s="318">
        <f t="shared" ref="AX111:AY111" si="31">SUM(AX112)</f>
        <v>0</v>
      </c>
      <c r="AY111" s="318">
        <f t="shared" si="31"/>
        <v>0</v>
      </c>
      <c r="AZ111" s="131"/>
    </row>
    <row r="112" spans="1:52" ht="15.75" customHeight="1">
      <c r="A112" s="353" t="s">
        <v>1079</v>
      </c>
      <c r="B112" s="507" t="s">
        <v>6772</v>
      </c>
      <c r="C112" s="184"/>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505"/>
      <c r="AX112" s="134">
        <f>Balanza!H303</f>
        <v>0</v>
      </c>
      <c r="AY112" s="134">
        <f>Balanza!D303</f>
        <v>0</v>
      </c>
      <c r="AZ112" s="131"/>
    </row>
    <row r="113" spans="1:52" ht="15.75" customHeight="1">
      <c r="A113" s="503" t="s">
        <v>1080</v>
      </c>
      <c r="B113" s="183" t="s">
        <v>2054</v>
      </c>
      <c r="C113" s="184"/>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505"/>
      <c r="AX113" s="318">
        <v>0</v>
      </c>
      <c r="AY113" s="318">
        <v>0</v>
      </c>
      <c r="AZ113" s="131"/>
    </row>
    <row r="114" spans="1:52" ht="15.75" customHeight="1">
      <c r="A114" s="503">
        <v>41900</v>
      </c>
      <c r="B114" s="183" t="s">
        <v>6773</v>
      </c>
      <c r="C114" s="184"/>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505"/>
      <c r="AX114" s="416">
        <f t="shared" ref="AX114:AY114" si="32">AX115+AX116</f>
        <v>0</v>
      </c>
      <c r="AY114" s="416">
        <f t="shared" si="32"/>
        <v>0</v>
      </c>
      <c r="AZ114" s="508">
        <f>AZ115+AZ117+AZ118+AZ120+AZ121+AZ122+AZ123+AZ125</f>
        <v>0</v>
      </c>
    </row>
    <row r="115" spans="1:52" ht="15.75" customHeight="1">
      <c r="A115" s="503">
        <v>41910</v>
      </c>
      <c r="B115" s="183" t="s">
        <v>6774</v>
      </c>
      <c r="C115" s="184"/>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505"/>
      <c r="AX115" s="318">
        <v>0</v>
      </c>
      <c r="AY115" s="318">
        <v>0</v>
      </c>
      <c r="AZ115" s="131"/>
    </row>
    <row r="116" spans="1:52" ht="15.75" customHeight="1">
      <c r="A116" s="503">
        <v>41920</v>
      </c>
      <c r="B116" s="183" t="s">
        <v>6775</v>
      </c>
      <c r="C116" s="184"/>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184"/>
      <c r="AV116" s="184"/>
      <c r="AW116" s="505"/>
      <c r="AX116" s="318">
        <v>0</v>
      </c>
      <c r="AY116" s="318">
        <v>0</v>
      </c>
      <c r="AZ116" s="131"/>
    </row>
    <row r="117" spans="1:52" ht="15.75" customHeight="1">
      <c r="A117" s="503" t="s">
        <v>1088</v>
      </c>
      <c r="B117" s="509" t="s">
        <v>6776</v>
      </c>
      <c r="C117" s="184"/>
      <c r="D117" s="184"/>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505"/>
      <c r="AX117" s="506">
        <f t="shared" ref="AX117:AY117" si="33">AX118+AX149</f>
        <v>5731145603.0500002</v>
      </c>
      <c r="AY117" s="506">
        <f t="shared" si="33"/>
        <v>6868889914.0100002</v>
      </c>
      <c r="AZ117" s="131"/>
    </row>
    <row r="118" spans="1:52" ht="15.75" customHeight="1">
      <c r="A118" s="503" t="s">
        <v>1090</v>
      </c>
      <c r="B118" s="183" t="s">
        <v>6777</v>
      </c>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505"/>
      <c r="AX118" s="416">
        <f t="shared" ref="AX118:AY118" si="34">AX119+AX132+AX135+AX140+AX146</f>
        <v>5731145603.0500002</v>
      </c>
      <c r="AY118" s="416">
        <f t="shared" si="34"/>
        <v>6868889914.0100002</v>
      </c>
      <c r="AZ118" s="131"/>
    </row>
    <row r="119" spans="1:52" ht="15.75" customHeight="1">
      <c r="A119" s="503" t="s">
        <v>1092</v>
      </c>
      <c r="B119" s="183" t="s">
        <v>1093</v>
      </c>
      <c r="C119" s="184"/>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505"/>
      <c r="AX119" s="318">
        <f t="shared" ref="AX119:AY119" si="35">SUM(AX120:AX131)</f>
        <v>4490333430.3100004</v>
      </c>
      <c r="AY119" s="318">
        <f t="shared" si="35"/>
        <v>5372632223.3599997</v>
      </c>
      <c r="AZ119" s="131"/>
    </row>
    <row r="120" spans="1:52" ht="15.75" customHeight="1">
      <c r="A120" s="353" t="s">
        <v>1094</v>
      </c>
      <c r="B120" s="507" t="s">
        <v>6778</v>
      </c>
      <c r="C120" s="184"/>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505"/>
      <c r="AX120" s="134">
        <f>Balanza!H311</f>
        <v>2160546030.7600002</v>
      </c>
      <c r="AY120" s="134">
        <f>Balanza!D311</f>
        <v>2559035697.3400002</v>
      </c>
      <c r="AZ120" s="131"/>
    </row>
    <row r="121" spans="1:52" ht="15.75" customHeight="1">
      <c r="A121" s="353" t="s">
        <v>1096</v>
      </c>
      <c r="B121" s="507" t="s">
        <v>6779</v>
      </c>
      <c r="C121" s="184"/>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505"/>
      <c r="AX121" s="134">
        <f>Balanza!H312</f>
        <v>372027373.76999998</v>
      </c>
      <c r="AY121" s="134">
        <f>Balanza!D312</f>
        <v>397534759.21999997</v>
      </c>
      <c r="AZ121" s="131"/>
    </row>
    <row r="122" spans="1:52" ht="15.75" customHeight="1">
      <c r="A122" s="353" t="s">
        <v>1098</v>
      </c>
      <c r="B122" s="507" t="s">
        <v>6780</v>
      </c>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505"/>
      <c r="AX122" s="134">
        <f>Balanza!H313</f>
        <v>397231826.33999997</v>
      </c>
      <c r="AY122" s="134">
        <f>Balanza!D313</f>
        <v>507314393.63</v>
      </c>
      <c r="AZ122" s="131"/>
    </row>
    <row r="123" spans="1:52" ht="15.75" customHeight="1">
      <c r="A123" s="353" t="s">
        <v>1100</v>
      </c>
      <c r="B123" s="507" t="s">
        <v>6781</v>
      </c>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505"/>
      <c r="AX123" s="134">
        <f>Balanza!H314</f>
        <v>0</v>
      </c>
      <c r="AY123" s="134">
        <f>Balanza!D314</f>
        <v>0</v>
      </c>
      <c r="AZ123" s="131"/>
    </row>
    <row r="124" spans="1:52" ht="15.75" customHeight="1">
      <c r="A124" s="353" t="s">
        <v>1102</v>
      </c>
      <c r="B124" s="507" t="s">
        <v>6782</v>
      </c>
      <c r="C124" s="184"/>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505"/>
      <c r="AX124" s="134">
        <f>Balanza!H315</f>
        <v>0</v>
      </c>
      <c r="AY124" s="134">
        <f>Balanza!D315</f>
        <v>0</v>
      </c>
      <c r="AZ124" s="131"/>
    </row>
    <row r="125" spans="1:52" ht="15.75" customHeight="1">
      <c r="A125" s="353" t="s">
        <v>1104</v>
      </c>
      <c r="B125" s="507" t="s">
        <v>6783</v>
      </c>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505"/>
      <c r="AX125" s="134">
        <f>Balanza!H316</f>
        <v>48686685.509999998</v>
      </c>
      <c r="AY125" s="134">
        <f>Balanza!D316</f>
        <v>65478878.309999995</v>
      </c>
      <c r="AZ125" s="131"/>
    </row>
    <row r="126" spans="1:52" ht="15.75" customHeight="1">
      <c r="A126" s="353" t="s">
        <v>1106</v>
      </c>
      <c r="B126" s="507" t="s">
        <v>6784</v>
      </c>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505"/>
      <c r="AX126" s="134">
        <f>Balanza!H317</f>
        <v>0</v>
      </c>
      <c r="AY126" s="134">
        <f>Balanza!D317</f>
        <v>0</v>
      </c>
      <c r="AZ126" s="131"/>
    </row>
    <row r="127" spans="1:52" ht="15.75" customHeight="1">
      <c r="A127" s="353" t="s">
        <v>1108</v>
      </c>
      <c r="B127" s="507" t="s">
        <v>6785</v>
      </c>
      <c r="C127" s="184"/>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c r="AV127" s="184"/>
      <c r="AW127" s="505"/>
      <c r="AX127" s="134">
        <f>Balanza!H318</f>
        <v>0</v>
      </c>
      <c r="AY127" s="134">
        <f>Balanza!D318</f>
        <v>0</v>
      </c>
      <c r="AZ127" s="131"/>
    </row>
    <row r="128" spans="1:52" ht="15.75" customHeight="1">
      <c r="A128" s="353" t="s">
        <v>1110</v>
      </c>
      <c r="B128" s="507" t="s">
        <v>6786</v>
      </c>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505"/>
      <c r="AX128" s="134">
        <f>Balanza!H319</f>
        <v>29059235.039999999</v>
      </c>
      <c r="AY128" s="134">
        <f>Balanza!D319</f>
        <v>34969158.119999997</v>
      </c>
      <c r="AZ128" s="131"/>
    </row>
    <row r="129" spans="1:52" ht="15.75" customHeight="1">
      <c r="A129" s="353" t="s">
        <v>1112</v>
      </c>
      <c r="B129" s="507" t="s">
        <v>6787</v>
      </c>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505"/>
      <c r="AX129" s="134">
        <f>Balanza!H320</f>
        <v>564402215.34000003</v>
      </c>
      <c r="AY129" s="134">
        <f>Balanza!D320</f>
        <v>737813881.82000005</v>
      </c>
      <c r="AZ129" s="131"/>
    </row>
    <row r="130" spans="1:52" ht="15.75" customHeight="1">
      <c r="A130" s="353" t="s">
        <v>1114</v>
      </c>
      <c r="B130" s="507" t="s">
        <v>6788</v>
      </c>
      <c r="C130" s="184"/>
      <c r="D130" s="184"/>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505"/>
      <c r="AX130" s="134">
        <f>Balanza!H321</f>
        <v>-311382.44</v>
      </c>
      <c r="AY130" s="134">
        <f>Balanza!D321</f>
        <v>2837393.84</v>
      </c>
      <c r="AZ130" s="131"/>
    </row>
    <row r="131" spans="1:52" ht="15.75" customHeight="1">
      <c r="A131" s="353" t="s">
        <v>1116</v>
      </c>
      <c r="B131" s="507" t="s">
        <v>6789</v>
      </c>
      <c r="C131" s="184"/>
      <c r="D131" s="184"/>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505"/>
      <c r="AX131" s="134">
        <f>Balanza!H322</f>
        <v>918691445.99000001</v>
      </c>
      <c r="AY131" s="134">
        <f>Balanza!D322</f>
        <v>1067648061.08</v>
      </c>
      <c r="AZ131" s="131"/>
    </row>
    <row r="132" spans="1:52" ht="15.75" customHeight="1">
      <c r="A132" s="503" t="s">
        <v>1118</v>
      </c>
      <c r="B132" s="183" t="s">
        <v>6790</v>
      </c>
      <c r="C132" s="184"/>
      <c r="D132" s="184"/>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505"/>
      <c r="AX132" s="318">
        <f t="shared" ref="AX132:AY132" si="36">SUM(AX133:AX134)</f>
        <v>1159798121.1299999</v>
      </c>
      <c r="AY132" s="318">
        <f t="shared" si="36"/>
        <v>1414801497.22</v>
      </c>
      <c r="AZ132" s="131"/>
    </row>
    <row r="133" spans="1:52" ht="15.75" customHeight="1">
      <c r="A133" s="353" t="s">
        <v>1120</v>
      </c>
      <c r="B133" s="507" t="s">
        <v>6791</v>
      </c>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505"/>
      <c r="AX133" s="134">
        <f>Balanza!H324</f>
        <v>119396357.84999999</v>
      </c>
      <c r="AY133" s="134">
        <f>Balanza!D324</f>
        <v>137006040.65000001</v>
      </c>
      <c r="AZ133" s="131"/>
    </row>
    <row r="134" spans="1:52" ht="15.75" customHeight="1">
      <c r="A134" s="353" t="s">
        <v>1122</v>
      </c>
      <c r="B134" s="507" t="s">
        <v>6792</v>
      </c>
      <c r="C134" s="184"/>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505"/>
      <c r="AX134" s="134">
        <f>Balanza!H325</f>
        <v>1040401763.28</v>
      </c>
      <c r="AY134" s="134">
        <f>Balanza!D325</f>
        <v>1277795456.5699999</v>
      </c>
      <c r="AZ134" s="131"/>
    </row>
    <row r="135" spans="1:52" ht="15.75" customHeight="1">
      <c r="A135" s="503" t="s">
        <v>1124</v>
      </c>
      <c r="B135" s="183" t="s">
        <v>1125</v>
      </c>
      <c r="C135" s="184"/>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184"/>
      <c r="AR135" s="184"/>
      <c r="AS135" s="184"/>
      <c r="AT135" s="184"/>
      <c r="AU135" s="184"/>
      <c r="AV135" s="184"/>
      <c r="AW135" s="505"/>
      <c r="AX135" s="318">
        <f t="shared" ref="AX135:AY135" si="37">SUM(AX136:AX139)</f>
        <v>22086600.530000001</v>
      </c>
      <c r="AY135" s="318">
        <f t="shared" si="37"/>
        <v>1420487.71</v>
      </c>
      <c r="AZ135" s="131"/>
    </row>
    <row r="136" spans="1:52" ht="15.75" customHeight="1">
      <c r="A136" s="353" t="s">
        <v>1126</v>
      </c>
      <c r="B136" s="507" t="s">
        <v>6793</v>
      </c>
      <c r="C136" s="184"/>
      <c r="D136" s="184"/>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505"/>
      <c r="AX136" s="134">
        <f>Balanza!H327</f>
        <v>3516.51</v>
      </c>
      <c r="AY136" s="134">
        <f>Balanza!D327</f>
        <v>987667.06</v>
      </c>
      <c r="AZ136" s="131"/>
    </row>
    <row r="137" spans="1:52" ht="15.75" customHeight="1">
      <c r="A137" s="353" t="s">
        <v>1128</v>
      </c>
      <c r="B137" s="507" t="s">
        <v>6794</v>
      </c>
      <c r="C137" s="184"/>
      <c r="D137" s="184"/>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184"/>
      <c r="AR137" s="184"/>
      <c r="AS137" s="184"/>
      <c r="AT137" s="184"/>
      <c r="AU137" s="184"/>
      <c r="AV137" s="184"/>
      <c r="AW137" s="505"/>
      <c r="AX137" s="134">
        <f>Balanza!H328</f>
        <v>5277484.1500000004</v>
      </c>
      <c r="AY137" s="134">
        <f>Balanza!D328</f>
        <v>-4992.33</v>
      </c>
      <c r="AZ137" s="131"/>
    </row>
    <row r="138" spans="1:52" ht="15.75" customHeight="1">
      <c r="A138" s="353" t="s">
        <v>1130</v>
      </c>
      <c r="B138" s="507" t="s">
        <v>6795</v>
      </c>
      <c r="C138" s="184"/>
      <c r="D138" s="184"/>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184"/>
      <c r="AR138" s="184"/>
      <c r="AS138" s="184"/>
      <c r="AT138" s="184"/>
      <c r="AU138" s="184"/>
      <c r="AV138" s="184"/>
      <c r="AW138" s="505"/>
      <c r="AX138" s="134">
        <f>Balanza!H329</f>
        <v>16443650</v>
      </c>
      <c r="AY138" s="134">
        <f>Balanza!D329</f>
        <v>0</v>
      </c>
      <c r="AZ138" s="131"/>
    </row>
    <row r="139" spans="1:52" ht="15.75" customHeight="1">
      <c r="A139" s="353" t="s">
        <v>6796</v>
      </c>
      <c r="B139" s="507" t="s">
        <v>6797</v>
      </c>
      <c r="C139" s="184"/>
      <c r="D139" s="184"/>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184"/>
      <c r="AR139" s="184"/>
      <c r="AS139" s="184"/>
      <c r="AT139" s="184"/>
      <c r="AU139" s="184"/>
      <c r="AV139" s="184"/>
      <c r="AW139" s="505"/>
      <c r="AX139" s="134">
        <f>Balanza!H330+Balanza!H331+Balanza!H332</f>
        <v>361949.87</v>
      </c>
      <c r="AY139" s="134">
        <f>Balanza!D330+Balanza!D331+Balanza!D332</f>
        <v>437812.98</v>
      </c>
      <c r="AZ139" s="131"/>
    </row>
    <row r="140" spans="1:52" ht="15.75" customHeight="1">
      <c r="A140" s="503" t="s">
        <v>1138</v>
      </c>
      <c r="B140" s="183" t="s">
        <v>1139</v>
      </c>
      <c r="C140" s="184"/>
      <c r="D140" s="184"/>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184"/>
      <c r="AR140" s="184"/>
      <c r="AS140" s="184"/>
      <c r="AT140" s="184"/>
      <c r="AU140" s="184"/>
      <c r="AV140" s="184"/>
      <c r="AW140" s="505"/>
      <c r="AX140" s="318">
        <f t="shared" ref="AX140:AY140" si="38">SUM(AX141:AX145)</f>
        <v>58927451.079999998</v>
      </c>
      <c r="AY140" s="318">
        <f t="shared" si="38"/>
        <v>80035705.719999999</v>
      </c>
      <c r="AZ140" s="131"/>
    </row>
    <row r="141" spans="1:52" ht="15.75" customHeight="1">
      <c r="A141" s="353" t="s">
        <v>1140</v>
      </c>
      <c r="B141" s="507" t="s">
        <v>6798</v>
      </c>
      <c r="C141" s="184"/>
      <c r="D141" s="184"/>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184"/>
      <c r="AR141" s="184"/>
      <c r="AS141" s="184"/>
      <c r="AT141" s="184"/>
      <c r="AU141" s="184"/>
      <c r="AV141" s="184"/>
      <c r="AW141" s="505"/>
      <c r="AX141" s="134">
        <f>Balanza!H334</f>
        <v>192.53</v>
      </c>
      <c r="AY141" s="134">
        <f>Balanza!D334</f>
        <v>408.62</v>
      </c>
      <c r="AZ141" s="131"/>
    </row>
    <row r="142" spans="1:52" ht="15.75" customHeight="1">
      <c r="A142" s="353" t="s">
        <v>1142</v>
      </c>
      <c r="B142" s="507" t="s">
        <v>6799</v>
      </c>
      <c r="C142" s="184"/>
      <c r="D142" s="184"/>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505"/>
      <c r="AX142" s="134">
        <f>Balanza!H335</f>
        <v>7208692.0199999996</v>
      </c>
      <c r="AY142" s="134">
        <f>Balanza!D335</f>
        <v>9299997.7200000007</v>
      </c>
      <c r="AZ142" s="131"/>
    </row>
    <row r="143" spans="1:52" ht="15.75" customHeight="1">
      <c r="A143" s="353" t="s">
        <v>1144</v>
      </c>
      <c r="B143" s="507" t="s">
        <v>6800</v>
      </c>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4"/>
      <c r="AV143" s="184"/>
      <c r="AW143" s="505"/>
      <c r="AX143" s="134">
        <f>Balanza!H336</f>
        <v>51718566.530000001</v>
      </c>
      <c r="AY143" s="134">
        <f>Balanza!D336</f>
        <v>70735299.379999995</v>
      </c>
      <c r="AZ143" s="131"/>
    </row>
    <row r="144" spans="1:52" ht="15.75" customHeight="1">
      <c r="A144" s="353" t="s">
        <v>1146</v>
      </c>
      <c r="B144" s="507" t="s">
        <v>6801</v>
      </c>
      <c r="C144" s="184"/>
      <c r="D144" s="184"/>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184"/>
      <c r="AR144" s="184"/>
      <c r="AS144" s="184"/>
      <c r="AT144" s="184"/>
      <c r="AU144" s="184"/>
      <c r="AV144" s="184"/>
      <c r="AW144" s="505"/>
      <c r="AX144" s="134">
        <f>Balanza!H337</f>
        <v>0</v>
      </c>
      <c r="AY144" s="134">
        <f>Balanza!D337</f>
        <v>0</v>
      </c>
      <c r="AZ144" s="131"/>
    </row>
    <row r="145" spans="1:52" ht="15.75" customHeight="1">
      <c r="A145" s="353" t="s">
        <v>1148</v>
      </c>
      <c r="B145" s="507" t="s">
        <v>6802</v>
      </c>
      <c r="C145" s="184"/>
      <c r="D145" s="184"/>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184"/>
      <c r="AR145" s="184"/>
      <c r="AS145" s="184"/>
      <c r="AT145" s="184"/>
      <c r="AU145" s="184"/>
      <c r="AV145" s="184"/>
      <c r="AW145" s="505"/>
      <c r="AX145" s="134">
        <f>Balanza!H338</f>
        <v>0</v>
      </c>
      <c r="AY145" s="134">
        <f>Balanza!D338</f>
        <v>0</v>
      </c>
      <c r="AZ145" s="131"/>
    </row>
    <row r="146" spans="1:52" ht="15.75" customHeight="1">
      <c r="A146" s="503" t="s">
        <v>1150</v>
      </c>
      <c r="B146" s="183" t="s">
        <v>1151</v>
      </c>
      <c r="C146" s="184"/>
      <c r="D146" s="184"/>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184"/>
      <c r="AR146" s="184"/>
      <c r="AS146" s="184"/>
      <c r="AT146" s="184"/>
      <c r="AU146" s="184"/>
      <c r="AV146" s="184"/>
      <c r="AW146" s="505"/>
      <c r="AX146" s="318">
        <f t="shared" ref="AX146:AY146" si="39">SUM(AX147:AX148)</f>
        <v>0</v>
      </c>
      <c r="AY146" s="318">
        <f t="shared" si="39"/>
        <v>0</v>
      </c>
      <c r="AZ146" s="131"/>
    </row>
    <row r="147" spans="1:52" ht="15.75" customHeight="1">
      <c r="A147" s="503" t="s">
        <v>1152</v>
      </c>
      <c r="B147" s="507" t="s">
        <v>6803</v>
      </c>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184"/>
      <c r="AR147" s="184"/>
      <c r="AS147" s="184"/>
      <c r="AT147" s="184"/>
      <c r="AU147" s="184"/>
      <c r="AV147" s="184"/>
      <c r="AW147" s="505"/>
      <c r="AX147" s="134">
        <f>Balanza!H340</f>
        <v>0</v>
      </c>
      <c r="AY147" s="134">
        <f>Balanza!D340</f>
        <v>0</v>
      </c>
      <c r="AZ147" s="131"/>
    </row>
    <row r="148" spans="1:52" ht="15.75" customHeight="1">
      <c r="A148" s="503" t="s">
        <v>1154</v>
      </c>
      <c r="B148" s="507" t="s">
        <v>6804</v>
      </c>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184"/>
      <c r="AR148" s="184"/>
      <c r="AS148" s="184"/>
      <c r="AT148" s="184"/>
      <c r="AU148" s="184"/>
      <c r="AV148" s="184"/>
      <c r="AW148" s="505"/>
      <c r="AX148" s="134">
        <f>Balanza!H341</f>
        <v>0</v>
      </c>
      <c r="AY148" s="134">
        <f>Balanza!D341</f>
        <v>0</v>
      </c>
      <c r="AZ148" s="131"/>
    </row>
    <row r="149" spans="1:52" ht="15.75" customHeight="1">
      <c r="A149" s="503" t="s">
        <v>1156</v>
      </c>
      <c r="B149" s="183" t="s">
        <v>6805</v>
      </c>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184"/>
      <c r="AR149" s="184"/>
      <c r="AS149" s="184"/>
      <c r="AT149" s="184"/>
      <c r="AU149" s="184"/>
      <c r="AV149" s="184"/>
      <c r="AW149" s="505"/>
      <c r="AX149" s="416">
        <f t="shared" ref="AX149:AY149" si="40">AX150+AX152+AX153+AX155+AX156+AX158+AX159</f>
        <v>0</v>
      </c>
      <c r="AY149" s="416">
        <f t="shared" si="40"/>
        <v>0</v>
      </c>
      <c r="AZ149" s="131"/>
    </row>
    <row r="150" spans="1:52" ht="15.75" customHeight="1">
      <c r="A150" s="503" t="s">
        <v>1158</v>
      </c>
      <c r="B150" s="183" t="s">
        <v>1159</v>
      </c>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184"/>
      <c r="AR150" s="184"/>
      <c r="AS150" s="184"/>
      <c r="AT150" s="184"/>
      <c r="AU150" s="184"/>
      <c r="AV150" s="184"/>
      <c r="AW150" s="505"/>
      <c r="AX150" s="318">
        <f t="shared" ref="AX150:AY150" si="41">SUM(AX151)</f>
        <v>0</v>
      </c>
      <c r="AY150" s="318">
        <f t="shared" si="41"/>
        <v>0</v>
      </c>
      <c r="AZ150" s="131"/>
    </row>
    <row r="151" spans="1:52" ht="15.75" customHeight="1">
      <c r="A151" s="353" t="s">
        <v>6806</v>
      </c>
      <c r="B151" s="507" t="s">
        <v>6807</v>
      </c>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184"/>
      <c r="AR151" s="184"/>
      <c r="AS151" s="184"/>
      <c r="AT151" s="184"/>
      <c r="AU151" s="184"/>
      <c r="AV151" s="184"/>
      <c r="AW151" s="505"/>
      <c r="AX151" s="134">
        <f>Balanza!H344+Balanza!H345</f>
        <v>0</v>
      </c>
      <c r="AY151" s="134">
        <f>Balanza!D344+Balanza!D345</f>
        <v>0</v>
      </c>
      <c r="AZ151" s="131"/>
    </row>
    <row r="152" spans="1:52" ht="15.75" customHeight="1">
      <c r="A152" s="503" t="s">
        <v>1164</v>
      </c>
      <c r="B152" s="183" t="s">
        <v>1165</v>
      </c>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c r="AV152" s="184"/>
      <c r="AW152" s="505"/>
      <c r="AX152" s="318">
        <v>0</v>
      </c>
      <c r="AY152" s="318">
        <v>0</v>
      </c>
      <c r="AZ152" s="131"/>
    </row>
    <row r="153" spans="1:52" ht="15.75" customHeight="1">
      <c r="A153" s="503" t="s">
        <v>1166</v>
      </c>
      <c r="B153" s="183" t="s">
        <v>1167</v>
      </c>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184"/>
      <c r="AR153" s="184"/>
      <c r="AS153" s="184"/>
      <c r="AT153" s="184"/>
      <c r="AU153" s="184"/>
      <c r="AV153" s="184"/>
      <c r="AW153" s="505"/>
      <c r="AX153" s="318">
        <f t="shared" ref="AX153:AY153" si="42">SUM(AX154)</f>
        <v>0</v>
      </c>
      <c r="AY153" s="318">
        <f t="shared" si="42"/>
        <v>0</v>
      </c>
      <c r="AZ153" s="131"/>
    </row>
    <row r="154" spans="1:52" ht="15.75" customHeight="1">
      <c r="A154" s="353" t="s">
        <v>6808</v>
      </c>
      <c r="B154" s="507" t="s">
        <v>6809</v>
      </c>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184"/>
      <c r="AR154" s="184"/>
      <c r="AS154" s="184"/>
      <c r="AT154" s="184"/>
      <c r="AU154" s="184"/>
      <c r="AV154" s="184"/>
      <c r="AW154" s="505"/>
      <c r="AX154" s="134">
        <f>Balanza!H348+Balanza!H349</f>
        <v>0</v>
      </c>
      <c r="AY154" s="134">
        <f>Balanza!D348+Balanza!D349</f>
        <v>0</v>
      </c>
      <c r="AZ154" s="131"/>
    </row>
    <row r="155" spans="1:52" ht="15.75" customHeight="1">
      <c r="A155" s="503" t="s">
        <v>1172</v>
      </c>
      <c r="B155" s="183" t="s">
        <v>1173</v>
      </c>
      <c r="C155" s="184"/>
      <c r="D155" s="184"/>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184"/>
      <c r="AR155" s="184"/>
      <c r="AS155" s="184"/>
      <c r="AT155" s="184"/>
      <c r="AU155" s="184"/>
      <c r="AV155" s="184"/>
      <c r="AW155" s="505"/>
      <c r="AX155" s="318">
        <v>0</v>
      </c>
      <c r="AY155" s="318">
        <v>0</v>
      </c>
      <c r="AZ155" s="131"/>
    </row>
    <row r="156" spans="1:52" ht="15.75" customHeight="1">
      <c r="A156" s="503" t="s">
        <v>1174</v>
      </c>
      <c r="B156" s="183" t="s">
        <v>1175</v>
      </c>
      <c r="C156" s="184"/>
      <c r="D156" s="184"/>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184"/>
      <c r="AR156" s="184"/>
      <c r="AS156" s="184"/>
      <c r="AT156" s="184"/>
      <c r="AU156" s="184"/>
      <c r="AV156" s="184"/>
      <c r="AW156" s="505"/>
      <c r="AX156" s="318">
        <f t="shared" ref="AX156:AY156" si="43">SUM(AX157)</f>
        <v>0</v>
      </c>
      <c r="AY156" s="318">
        <f t="shared" si="43"/>
        <v>0</v>
      </c>
      <c r="AZ156" s="131"/>
    </row>
    <row r="157" spans="1:52" ht="15.75" customHeight="1">
      <c r="A157" s="353" t="s">
        <v>1176</v>
      </c>
      <c r="B157" s="507" t="s">
        <v>6810</v>
      </c>
      <c r="C157" s="184"/>
      <c r="D157" s="184"/>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184"/>
      <c r="AR157" s="184"/>
      <c r="AS157" s="184"/>
      <c r="AT157" s="184"/>
      <c r="AU157" s="184"/>
      <c r="AV157" s="184"/>
      <c r="AW157" s="505"/>
      <c r="AX157" s="134">
        <f>Balanza!H352</f>
        <v>0</v>
      </c>
      <c r="AY157" s="134">
        <f>Balanza!D352</f>
        <v>0</v>
      </c>
      <c r="AZ157" s="131"/>
    </row>
    <row r="158" spans="1:52" ht="15.75" customHeight="1">
      <c r="A158" s="503" t="s">
        <v>1177</v>
      </c>
      <c r="B158" s="183" t="s">
        <v>1178</v>
      </c>
      <c r="C158" s="184"/>
      <c r="D158" s="184"/>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184"/>
      <c r="AR158" s="184"/>
      <c r="AS158" s="184"/>
      <c r="AT158" s="184"/>
      <c r="AU158" s="184"/>
      <c r="AV158" s="184"/>
      <c r="AW158" s="505"/>
      <c r="AX158" s="318">
        <v>0</v>
      </c>
      <c r="AY158" s="318">
        <v>0</v>
      </c>
      <c r="AZ158" s="131"/>
    </row>
    <row r="159" spans="1:52" ht="15.75" customHeight="1">
      <c r="A159" s="503" t="s">
        <v>1179</v>
      </c>
      <c r="B159" s="183" t="s">
        <v>1180</v>
      </c>
      <c r="C159" s="184"/>
      <c r="D159" s="184"/>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184"/>
      <c r="AR159" s="184"/>
      <c r="AS159" s="184"/>
      <c r="AT159" s="184"/>
      <c r="AU159" s="184"/>
      <c r="AV159" s="184"/>
      <c r="AW159" s="505"/>
      <c r="AX159" s="318">
        <f t="shared" ref="AX159:AY159" si="44">SUM(AX160)</f>
        <v>0</v>
      </c>
      <c r="AY159" s="318">
        <f t="shared" si="44"/>
        <v>0</v>
      </c>
      <c r="AZ159" s="131"/>
    </row>
    <row r="160" spans="1:52" ht="15.75" customHeight="1">
      <c r="A160" s="353" t="s">
        <v>1181</v>
      </c>
      <c r="B160" s="507" t="s">
        <v>6811</v>
      </c>
      <c r="C160" s="184"/>
      <c r="D160" s="184"/>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c r="AL160" s="184"/>
      <c r="AM160" s="184"/>
      <c r="AN160" s="184"/>
      <c r="AO160" s="184"/>
      <c r="AP160" s="184"/>
      <c r="AQ160" s="184"/>
      <c r="AR160" s="184"/>
      <c r="AS160" s="184"/>
      <c r="AT160" s="184"/>
      <c r="AU160" s="184"/>
      <c r="AV160" s="184"/>
      <c r="AW160" s="505"/>
      <c r="AX160" s="134">
        <f>Balanza!H355</f>
        <v>0</v>
      </c>
      <c r="AY160" s="134">
        <f>Balanza!D355</f>
        <v>0</v>
      </c>
      <c r="AZ160" s="131"/>
    </row>
    <row r="161" spans="1:52" ht="15.75" customHeight="1">
      <c r="A161" s="503" t="s">
        <v>1182</v>
      </c>
      <c r="B161" s="509" t="s">
        <v>6812</v>
      </c>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184"/>
      <c r="AR161" s="184"/>
      <c r="AS161" s="184"/>
      <c r="AT161" s="184"/>
      <c r="AU161" s="184"/>
      <c r="AV161" s="184"/>
      <c r="AW161" s="505"/>
      <c r="AX161" s="506">
        <f t="shared" ref="AX161:AY161" si="45">AX162+AX165+AX171+AX173+AX175</f>
        <v>0</v>
      </c>
      <c r="AY161" s="506">
        <f t="shared" si="45"/>
        <v>0</v>
      </c>
      <c r="AZ161" s="131"/>
    </row>
    <row r="162" spans="1:52" ht="15.75" customHeight="1">
      <c r="A162" s="503" t="s">
        <v>1184</v>
      </c>
      <c r="B162" s="183" t="s">
        <v>1185</v>
      </c>
      <c r="C162" s="184"/>
      <c r="D162" s="184"/>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184"/>
      <c r="AR162" s="184"/>
      <c r="AS162" s="184"/>
      <c r="AT162" s="184"/>
      <c r="AU162" s="184"/>
      <c r="AV162" s="184"/>
      <c r="AW162" s="505"/>
      <c r="AX162" s="416">
        <f t="shared" ref="AX162:AY162" si="46">SUM(AX163:AX164)</f>
        <v>0</v>
      </c>
      <c r="AY162" s="416">
        <f t="shared" si="46"/>
        <v>0</v>
      </c>
      <c r="AZ162" s="131"/>
    </row>
    <row r="163" spans="1:52" ht="15.75" customHeight="1">
      <c r="A163" s="503" t="s">
        <v>1186</v>
      </c>
      <c r="B163" s="183" t="s">
        <v>1187</v>
      </c>
      <c r="C163" s="183"/>
      <c r="D163" s="184"/>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184"/>
      <c r="AR163" s="184"/>
      <c r="AS163" s="184"/>
      <c r="AT163" s="184"/>
      <c r="AU163" s="184"/>
      <c r="AV163" s="184"/>
      <c r="AW163" s="505"/>
      <c r="AX163" s="318">
        <f>Balanza!H359</f>
        <v>0</v>
      </c>
      <c r="AY163" s="318">
        <f>Balanza!D359</f>
        <v>0</v>
      </c>
      <c r="AZ163" s="144"/>
    </row>
    <row r="164" spans="1:52" ht="15.75" customHeight="1">
      <c r="A164" s="503" t="s">
        <v>1189</v>
      </c>
      <c r="B164" s="183" t="s">
        <v>1190</v>
      </c>
      <c r="C164" s="183"/>
      <c r="D164" s="184"/>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184"/>
      <c r="AR164" s="184"/>
      <c r="AS164" s="184"/>
      <c r="AT164" s="184"/>
      <c r="AU164" s="184"/>
      <c r="AV164" s="184"/>
      <c r="AW164" s="505"/>
      <c r="AX164" s="318">
        <f>Balanza!H361</f>
        <v>0</v>
      </c>
      <c r="AY164" s="318">
        <f>Balanza!D361</f>
        <v>0</v>
      </c>
      <c r="AZ164" s="144"/>
    </row>
    <row r="165" spans="1:52" ht="15.75" customHeight="1">
      <c r="A165" s="503" t="s">
        <v>1192</v>
      </c>
      <c r="B165" s="183" t="s">
        <v>1193</v>
      </c>
      <c r="C165" s="184"/>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505"/>
      <c r="AX165" s="416">
        <f t="shared" ref="AX165:AY165" si="47">SUM(AX166:AX170)</f>
        <v>0</v>
      </c>
      <c r="AY165" s="416">
        <f t="shared" si="47"/>
        <v>0</v>
      </c>
      <c r="AZ165" s="144"/>
    </row>
    <row r="166" spans="1:52" ht="15.75" customHeight="1">
      <c r="A166" s="503" t="s">
        <v>1194</v>
      </c>
      <c r="B166" s="183" t="s">
        <v>6813</v>
      </c>
      <c r="C166" s="184"/>
      <c r="D166" s="184"/>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184"/>
      <c r="AR166" s="184"/>
      <c r="AS166" s="184"/>
      <c r="AT166" s="184"/>
      <c r="AU166" s="184"/>
      <c r="AV166" s="184"/>
      <c r="AW166" s="505"/>
      <c r="AX166" s="318">
        <v>0</v>
      </c>
      <c r="AY166" s="318">
        <v>0</v>
      </c>
      <c r="AZ166" s="144"/>
    </row>
    <row r="167" spans="1:52" ht="15.75" customHeight="1">
      <c r="A167" s="503" t="s">
        <v>1196</v>
      </c>
      <c r="B167" s="183" t="s">
        <v>1197</v>
      </c>
      <c r="C167" s="184"/>
      <c r="D167" s="184"/>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184"/>
      <c r="AR167" s="184"/>
      <c r="AS167" s="184"/>
      <c r="AT167" s="184"/>
      <c r="AU167" s="184"/>
      <c r="AV167" s="184"/>
      <c r="AW167" s="505"/>
      <c r="AX167" s="318">
        <v>0</v>
      </c>
      <c r="AY167" s="318">
        <v>0</v>
      </c>
      <c r="AZ167" s="144"/>
    </row>
    <row r="168" spans="1:52" ht="15.75" customHeight="1">
      <c r="A168" s="503" t="s">
        <v>1198</v>
      </c>
      <c r="B168" s="183" t="s">
        <v>1199</v>
      </c>
      <c r="C168" s="184"/>
      <c r="D168" s="184"/>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184"/>
      <c r="AR168" s="184"/>
      <c r="AS168" s="184"/>
      <c r="AT168" s="184"/>
      <c r="AU168" s="184"/>
      <c r="AV168" s="184"/>
      <c r="AW168" s="505"/>
      <c r="AX168" s="318">
        <v>0</v>
      </c>
      <c r="AY168" s="318">
        <v>0</v>
      </c>
      <c r="AZ168" s="144"/>
    </row>
    <row r="169" spans="1:52" ht="15.75" customHeight="1">
      <c r="A169" s="503" t="s">
        <v>1200</v>
      </c>
      <c r="B169" s="183" t="s">
        <v>1201</v>
      </c>
      <c r="C169" s="184"/>
      <c r="D169" s="184"/>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184"/>
      <c r="AR169" s="184"/>
      <c r="AS169" s="184"/>
      <c r="AT169" s="184"/>
      <c r="AU169" s="184"/>
      <c r="AV169" s="184"/>
      <c r="AW169" s="505"/>
      <c r="AX169" s="318">
        <v>0</v>
      </c>
      <c r="AY169" s="318">
        <v>0</v>
      </c>
      <c r="AZ169" s="144"/>
    </row>
    <row r="170" spans="1:52" ht="15.75" customHeight="1">
      <c r="A170" s="503" t="s">
        <v>1202</v>
      </c>
      <c r="B170" s="183" t="s">
        <v>1203</v>
      </c>
      <c r="C170" s="184"/>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184"/>
      <c r="AR170" s="184"/>
      <c r="AS170" s="184"/>
      <c r="AT170" s="184"/>
      <c r="AU170" s="184"/>
      <c r="AV170" s="184"/>
      <c r="AW170" s="505"/>
      <c r="AX170" s="318">
        <v>0</v>
      </c>
      <c r="AY170" s="318">
        <v>0</v>
      </c>
      <c r="AZ170" s="144"/>
    </row>
    <row r="171" spans="1:52" ht="15.75" customHeight="1">
      <c r="A171" s="503" t="s">
        <v>1204</v>
      </c>
      <c r="B171" s="183" t="s">
        <v>1205</v>
      </c>
      <c r="C171" s="184"/>
      <c r="D171" s="184"/>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184"/>
      <c r="AR171" s="184"/>
      <c r="AS171" s="184"/>
      <c r="AT171" s="184"/>
      <c r="AU171" s="184"/>
      <c r="AV171" s="184"/>
      <c r="AW171" s="505"/>
      <c r="AX171" s="416">
        <f t="shared" ref="AX171:AY171" si="48">SUM(AX172)</f>
        <v>0</v>
      </c>
      <c r="AY171" s="416">
        <f t="shared" si="48"/>
        <v>0</v>
      </c>
      <c r="AZ171" s="144"/>
    </row>
    <row r="172" spans="1:52" ht="15.75" customHeight="1">
      <c r="A172" s="503" t="s">
        <v>1206</v>
      </c>
      <c r="B172" s="183" t="s">
        <v>6814</v>
      </c>
      <c r="C172" s="184"/>
      <c r="D172" s="184"/>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184"/>
      <c r="AR172" s="184"/>
      <c r="AS172" s="184"/>
      <c r="AT172" s="184"/>
      <c r="AU172" s="184"/>
      <c r="AV172" s="184"/>
      <c r="AW172" s="505"/>
      <c r="AX172" s="318">
        <f>Balanza!H370</f>
        <v>0</v>
      </c>
      <c r="AY172" s="318">
        <f>Balanza!D370</f>
        <v>0</v>
      </c>
      <c r="AZ172" s="144"/>
    </row>
    <row r="173" spans="1:52" ht="15.75" customHeight="1">
      <c r="A173" s="503" t="s">
        <v>1209</v>
      </c>
      <c r="B173" s="183" t="s">
        <v>1210</v>
      </c>
      <c r="C173" s="184"/>
      <c r="D173" s="184"/>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184"/>
      <c r="AR173" s="184"/>
      <c r="AS173" s="184"/>
      <c r="AT173" s="184"/>
      <c r="AU173" s="184"/>
      <c r="AV173" s="184"/>
      <c r="AW173" s="505"/>
      <c r="AX173" s="416">
        <f t="shared" ref="AX173:AY173" si="49">AX174</f>
        <v>0</v>
      </c>
      <c r="AY173" s="416">
        <f t="shared" si="49"/>
        <v>0</v>
      </c>
      <c r="AZ173" s="144"/>
    </row>
    <row r="174" spans="1:52" ht="15.75" customHeight="1">
      <c r="A174" s="503" t="s">
        <v>1211</v>
      </c>
      <c r="B174" s="183" t="s">
        <v>1212</v>
      </c>
      <c r="C174" s="184"/>
      <c r="D174" s="184"/>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184"/>
      <c r="AR174" s="184"/>
      <c r="AS174" s="184"/>
      <c r="AT174" s="184"/>
      <c r="AU174" s="184"/>
      <c r="AV174" s="184"/>
      <c r="AW174" s="505"/>
      <c r="AX174" s="318">
        <f>Balanza!H373</f>
        <v>0</v>
      </c>
      <c r="AY174" s="318">
        <f>Balanza!D373</f>
        <v>0</v>
      </c>
      <c r="AZ174" s="144"/>
    </row>
    <row r="175" spans="1:52" ht="15.75" customHeight="1">
      <c r="A175" s="503" t="s">
        <v>1214</v>
      </c>
      <c r="B175" s="183" t="s">
        <v>1215</v>
      </c>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505"/>
      <c r="AX175" s="416">
        <f t="shared" ref="AX175:AY175" si="50">SUM(AX176:AX183)</f>
        <v>0</v>
      </c>
      <c r="AY175" s="416">
        <f t="shared" si="50"/>
        <v>0</v>
      </c>
      <c r="AZ175" s="144"/>
    </row>
    <row r="176" spans="1:52" ht="15.75" customHeight="1">
      <c r="A176" s="503" t="s">
        <v>1216</v>
      </c>
      <c r="B176" s="183" t="s">
        <v>1217</v>
      </c>
      <c r="C176" s="184"/>
      <c r="D176" s="184"/>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184"/>
      <c r="AV176" s="184"/>
      <c r="AW176" s="505"/>
      <c r="AX176" s="318">
        <v>0</v>
      </c>
      <c r="AY176" s="318">
        <v>0</v>
      </c>
      <c r="AZ176" s="144"/>
    </row>
    <row r="177" spans="1:52" ht="15.75" customHeight="1">
      <c r="A177" s="503" t="s">
        <v>1218</v>
      </c>
      <c r="B177" s="183" t="s">
        <v>6815</v>
      </c>
      <c r="C177" s="184"/>
      <c r="D177" s="184"/>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184"/>
      <c r="AR177" s="184"/>
      <c r="AS177" s="184"/>
      <c r="AT177" s="184"/>
      <c r="AU177" s="184"/>
      <c r="AV177" s="184"/>
      <c r="AW177" s="505"/>
      <c r="AX177" s="318">
        <f>Balanza!H377</f>
        <v>0</v>
      </c>
      <c r="AY177" s="318">
        <f>Balanza!D377</f>
        <v>0</v>
      </c>
      <c r="AZ177" s="144"/>
    </row>
    <row r="178" spans="1:52" ht="15.75" customHeight="1">
      <c r="A178" s="503" t="s">
        <v>1221</v>
      </c>
      <c r="B178" s="183" t="s">
        <v>1222</v>
      </c>
      <c r="C178" s="184"/>
      <c r="D178" s="184"/>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184"/>
      <c r="AR178" s="184"/>
      <c r="AS178" s="184"/>
      <c r="AT178" s="184"/>
      <c r="AU178" s="184"/>
      <c r="AV178" s="184"/>
      <c r="AW178" s="505"/>
      <c r="AX178" s="318">
        <f>Balanza!H379</f>
        <v>0</v>
      </c>
      <c r="AY178" s="318">
        <f>Balanza!D379</f>
        <v>0</v>
      </c>
      <c r="AZ178" s="144"/>
    </row>
    <row r="179" spans="1:52" ht="15.75" customHeight="1">
      <c r="A179" s="503" t="s">
        <v>1224</v>
      </c>
      <c r="B179" s="183" t="s">
        <v>1225</v>
      </c>
      <c r="C179" s="184"/>
      <c r="D179" s="184"/>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184"/>
      <c r="AR179" s="184"/>
      <c r="AS179" s="184"/>
      <c r="AT179" s="184"/>
      <c r="AU179" s="184"/>
      <c r="AV179" s="184"/>
      <c r="AW179" s="505"/>
      <c r="AX179" s="318">
        <f>Balanza!H381</f>
        <v>0</v>
      </c>
      <c r="AY179" s="318">
        <f>Balanza!D381</f>
        <v>0</v>
      </c>
      <c r="AZ179" s="144"/>
    </row>
    <row r="180" spans="1:52" ht="15.75" customHeight="1">
      <c r="A180" s="503" t="s">
        <v>1227</v>
      </c>
      <c r="B180" s="183" t="s">
        <v>1228</v>
      </c>
      <c r="C180" s="184"/>
      <c r="D180" s="184"/>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505"/>
      <c r="AX180" s="318">
        <f>Balanza!H383</f>
        <v>0</v>
      </c>
      <c r="AY180" s="318">
        <f>Balanza!D383</f>
        <v>0</v>
      </c>
      <c r="AZ180" s="144"/>
    </row>
    <row r="181" spans="1:52" ht="15.75" customHeight="1">
      <c r="A181" s="503" t="s">
        <v>1230</v>
      </c>
      <c r="B181" s="183" t="s">
        <v>1231</v>
      </c>
      <c r="C181" s="184"/>
      <c r="D181" s="184"/>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184"/>
      <c r="AR181" s="184"/>
      <c r="AS181" s="184"/>
      <c r="AT181" s="184"/>
      <c r="AU181" s="184"/>
      <c r="AV181" s="184"/>
      <c r="AW181" s="505"/>
      <c r="AX181" s="318">
        <f>Balanza!H385</f>
        <v>0</v>
      </c>
      <c r="AY181" s="318">
        <f>Balanza!D385</f>
        <v>0</v>
      </c>
      <c r="AZ181" s="144"/>
    </row>
    <row r="182" spans="1:52" ht="15.75" customHeight="1">
      <c r="A182" s="503" t="s">
        <v>1233</v>
      </c>
      <c r="B182" s="183" t="s">
        <v>1234</v>
      </c>
      <c r="C182" s="184"/>
      <c r="D182" s="184"/>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505"/>
      <c r="AX182" s="318">
        <f>Balanza!H387</f>
        <v>0</v>
      </c>
      <c r="AY182" s="318">
        <f>Balanza!D387</f>
        <v>0</v>
      </c>
      <c r="AZ182" s="144"/>
    </row>
    <row r="183" spans="1:52" ht="15.75" customHeight="1">
      <c r="A183" s="503" t="s">
        <v>1236</v>
      </c>
      <c r="B183" s="183" t="s">
        <v>1237</v>
      </c>
      <c r="C183" s="184"/>
      <c r="D183" s="184"/>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184"/>
      <c r="AR183" s="184"/>
      <c r="AS183" s="184"/>
      <c r="AT183" s="184"/>
      <c r="AU183" s="184"/>
      <c r="AV183" s="184"/>
      <c r="AW183" s="505"/>
      <c r="AX183" s="510">
        <f>Balanza!H389</f>
        <v>0</v>
      </c>
      <c r="AY183" s="510">
        <f>Balanza!D389</f>
        <v>0</v>
      </c>
      <c r="AZ183" s="144"/>
    </row>
    <row r="184" spans="1:52" ht="15.75" customHeight="1">
      <c r="A184" s="353"/>
      <c r="B184" s="894" t="s">
        <v>6816</v>
      </c>
      <c r="C184" s="794"/>
      <c r="D184" s="794"/>
      <c r="E184" s="794"/>
      <c r="F184" s="794"/>
      <c r="G184" s="794"/>
      <c r="H184" s="794"/>
      <c r="I184" s="794"/>
      <c r="J184" s="794"/>
      <c r="K184" s="794"/>
      <c r="L184" s="794"/>
      <c r="M184" s="794"/>
      <c r="N184" s="794"/>
      <c r="O184" s="794"/>
      <c r="P184" s="794"/>
      <c r="Q184" s="794"/>
      <c r="R184" s="794"/>
      <c r="S184" s="794"/>
      <c r="T184" s="794"/>
      <c r="U184" s="794"/>
      <c r="V184" s="794"/>
      <c r="W184" s="794"/>
      <c r="X184" s="794"/>
      <c r="Y184" s="794"/>
      <c r="Z184" s="794"/>
      <c r="AA184" s="794"/>
      <c r="AB184" s="794"/>
      <c r="AC184" s="794"/>
      <c r="AD184" s="794"/>
      <c r="AE184" s="794"/>
      <c r="AF184" s="794"/>
      <c r="AG184" s="794"/>
      <c r="AH184" s="794"/>
      <c r="AI184" s="794"/>
      <c r="AJ184" s="794"/>
      <c r="AK184" s="794"/>
      <c r="AL184" s="794"/>
      <c r="AM184" s="794"/>
      <c r="AN184" s="794"/>
      <c r="AO184" s="794"/>
      <c r="AP184" s="794"/>
      <c r="AQ184" s="794"/>
      <c r="AR184" s="794"/>
      <c r="AS184" s="794"/>
      <c r="AT184" s="794"/>
      <c r="AU184" s="794"/>
      <c r="AV184" s="794"/>
      <c r="AW184" s="796"/>
      <c r="AX184" s="421">
        <f t="shared" ref="AX184:AY184" si="51">AX7+AX117+AX161</f>
        <v>9553280696.3800011</v>
      </c>
      <c r="AY184" s="421">
        <f t="shared" si="51"/>
        <v>11615920132.900002</v>
      </c>
      <c r="AZ184" s="131"/>
    </row>
    <row r="185" spans="1:52" ht="15.75" customHeight="1">
      <c r="A185" s="503" t="s">
        <v>1239</v>
      </c>
      <c r="B185" s="511" t="s">
        <v>1240</v>
      </c>
      <c r="C185" s="184"/>
      <c r="D185" s="184"/>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184"/>
      <c r="AR185" s="184"/>
      <c r="AS185" s="184"/>
      <c r="AT185" s="184"/>
      <c r="AU185" s="184"/>
      <c r="AV185" s="184"/>
      <c r="AW185" s="505"/>
      <c r="AX185" s="512"/>
      <c r="AY185" s="134"/>
      <c r="AZ185" s="131"/>
    </row>
    <row r="186" spans="1:52" ht="15.75" customHeight="1">
      <c r="A186" s="503" t="s">
        <v>1241</v>
      </c>
      <c r="B186" s="509" t="s">
        <v>6817</v>
      </c>
      <c r="C186" s="184"/>
      <c r="D186" s="184"/>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184"/>
      <c r="AR186" s="184"/>
      <c r="AS186" s="184"/>
      <c r="AT186" s="184"/>
      <c r="AU186" s="184"/>
      <c r="AV186" s="184"/>
      <c r="AW186" s="505"/>
      <c r="AX186" s="506">
        <f t="shared" ref="AX186:AY186" si="52">AX187+AX222+AX287</f>
        <v>4392813370.1999998</v>
      </c>
      <c r="AY186" s="506">
        <f t="shared" si="52"/>
        <v>8058102873.3800001</v>
      </c>
      <c r="AZ186" s="131"/>
    </row>
    <row r="187" spans="1:52" ht="15.75" customHeight="1">
      <c r="A187" s="503" t="s">
        <v>1243</v>
      </c>
      <c r="B187" s="183" t="s">
        <v>1244</v>
      </c>
      <c r="C187" s="184"/>
      <c r="D187" s="184"/>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c r="AV187" s="184"/>
      <c r="AW187" s="505"/>
      <c r="AX187" s="416">
        <f t="shared" ref="AX187:AY187" si="53">AX188+AX193+AX198+AX207+AX212+AX219</f>
        <v>3091536424.6700001</v>
      </c>
      <c r="AY187" s="416">
        <f t="shared" si="53"/>
        <v>5040341198.4499998</v>
      </c>
      <c r="AZ187" s="131"/>
    </row>
    <row r="188" spans="1:52" ht="15.75" customHeight="1">
      <c r="A188" s="503" t="s">
        <v>1245</v>
      </c>
      <c r="B188" s="183" t="s">
        <v>1246</v>
      </c>
      <c r="C188" s="184"/>
      <c r="D188" s="184"/>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c r="AV188" s="184"/>
      <c r="AW188" s="505"/>
      <c r="AX188" s="318">
        <f t="shared" ref="AX188:AY188" si="54">SUM(AX189:AX192)</f>
        <v>1765586363.9400001</v>
      </c>
      <c r="AY188" s="318">
        <f t="shared" si="54"/>
        <v>2649219399.0899997</v>
      </c>
      <c r="AZ188" s="131"/>
    </row>
    <row r="189" spans="1:52" ht="15.75" customHeight="1">
      <c r="A189" s="353" t="s">
        <v>1247</v>
      </c>
      <c r="B189" s="507" t="s">
        <v>6818</v>
      </c>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c r="AV189" s="184"/>
      <c r="AW189" s="505"/>
      <c r="AX189" s="134">
        <f>Balanza!G394</f>
        <v>13611641.92</v>
      </c>
      <c r="AY189" s="134">
        <f>Balanza!C394</f>
        <v>19994905.350000001</v>
      </c>
      <c r="AZ189" s="131"/>
    </row>
    <row r="190" spans="1:52" ht="15.75" customHeight="1">
      <c r="A190" s="353" t="s">
        <v>1249</v>
      </c>
      <c r="B190" s="507" t="s">
        <v>6819</v>
      </c>
      <c r="C190" s="184"/>
      <c r="D190" s="184"/>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184"/>
      <c r="AR190" s="184"/>
      <c r="AS190" s="184"/>
      <c r="AT190" s="184"/>
      <c r="AU190" s="184"/>
      <c r="AV190" s="184"/>
      <c r="AW190" s="505"/>
      <c r="AX190" s="134">
        <f>Balanza!G395</f>
        <v>0</v>
      </c>
      <c r="AY190" s="134">
        <f>Balanza!C395</f>
        <v>0</v>
      </c>
      <c r="AZ190" s="131"/>
    </row>
    <row r="191" spans="1:52" ht="15.75" customHeight="1">
      <c r="A191" s="353" t="s">
        <v>1251</v>
      </c>
      <c r="B191" s="507" t="s">
        <v>6820</v>
      </c>
      <c r="C191" s="184"/>
      <c r="D191" s="184"/>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184"/>
      <c r="AR191" s="184"/>
      <c r="AS191" s="184"/>
      <c r="AT191" s="184"/>
      <c r="AU191" s="184"/>
      <c r="AV191" s="184"/>
      <c r="AW191" s="505"/>
      <c r="AX191" s="134">
        <f>Balanza!G396</f>
        <v>1751974722.02</v>
      </c>
      <c r="AY191" s="134">
        <f>Balanza!C396</f>
        <v>2629224493.7399998</v>
      </c>
      <c r="AZ191" s="131"/>
    </row>
    <row r="192" spans="1:52" ht="15.75" customHeight="1">
      <c r="A192" s="353" t="s">
        <v>1253</v>
      </c>
      <c r="B192" s="507" t="s">
        <v>6821</v>
      </c>
      <c r="C192" s="184"/>
      <c r="D192" s="184"/>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184"/>
      <c r="AR192" s="184"/>
      <c r="AS192" s="184"/>
      <c r="AT192" s="184"/>
      <c r="AU192" s="184"/>
      <c r="AV192" s="184"/>
      <c r="AW192" s="505"/>
      <c r="AX192" s="134">
        <f>Balanza!G397</f>
        <v>0</v>
      </c>
      <c r="AY192" s="134">
        <f>Balanza!C397</f>
        <v>0</v>
      </c>
      <c r="AZ192" s="131"/>
    </row>
    <row r="193" spans="1:52" ht="15.75" customHeight="1">
      <c r="A193" s="503" t="s">
        <v>1255</v>
      </c>
      <c r="B193" s="183" t="s">
        <v>1256</v>
      </c>
      <c r="C193" s="184"/>
      <c r="D193" s="184"/>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184"/>
      <c r="AR193" s="184"/>
      <c r="AS193" s="184"/>
      <c r="AT193" s="184"/>
      <c r="AU193" s="184"/>
      <c r="AV193" s="184"/>
      <c r="AW193" s="505"/>
      <c r="AX193" s="318">
        <f t="shared" ref="AX193:AY193" si="55">SUM(AX194:AX197)</f>
        <v>241241127.39999998</v>
      </c>
      <c r="AY193" s="318">
        <f t="shared" si="55"/>
        <v>359095055.75999999</v>
      </c>
      <c r="AZ193" s="131"/>
    </row>
    <row r="194" spans="1:52" ht="15.75" customHeight="1">
      <c r="A194" s="353" t="s">
        <v>1257</v>
      </c>
      <c r="B194" s="507" t="s">
        <v>6822</v>
      </c>
      <c r="C194" s="184"/>
      <c r="D194" s="184"/>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184"/>
      <c r="AR194" s="184"/>
      <c r="AS194" s="184"/>
      <c r="AT194" s="184"/>
      <c r="AU194" s="184"/>
      <c r="AV194" s="184"/>
      <c r="AW194" s="505"/>
      <c r="AX194" s="134">
        <f>Balanza!G399</f>
        <v>40027129.920000002</v>
      </c>
      <c r="AY194" s="134">
        <f>Balanza!C399</f>
        <v>28711615.699999999</v>
      </c>
      <c r="AZ194" s="131"/>
    </row>
    <row r="195" spans="1:52" ht="15.75" customHeight="1">
      <c r="A195" s="353" t="s">
        <v>1259</v>
      </c>
      <c r="B195" s="507" t="s">
        <v>6823</v>
      </c>
      <c r="C195" s="184"/>
      <c r="D195" s="184"/>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184"/>
      <c r="AR195" s="184"/>
      <c r="AS195" s="184"/>
      <c r="AT195" s="184"/>
      <c r="AU195" s="184"/>
      <c r="AV195" s="184"/>
      <c r="AW195" s="505"/>
      <c r="AX195" s="134">
        <f>Balanza!G400</f>
        <v>201213997.47999999</v>
      </c>
      <c r="AY195" s="134">
        <f>Balanza!C400</f>
        <v>330383440.06</v>
      </c>
      <c r="AZ195" s="131"/>
    </row>
    <row r="196" spans="1:52" ht="15.75" customHeight="1">
      <c r="A196" s="353" t="s">
        <v>1261</v>
      </c>
      <c r="B196" s="507" t="s">
        <v>6824</v>
      </c>
      <c r="C196" s="184"/>
      <c r="D196" s="184"/>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184"/>
      <c r="AR196" s="184"/>
      <c r="AS196" s="184"/>
      <c r="AT196" s="184"/>
      <c r="AU196" s="184"/>
      <c r="AV196" s="184"/>
      <c r="AW196" s="505"/>
      <c r="AX196" s="134">
        <f>Balanza!G401</f>
        <v>0</v>
      </c>
      <c r="AY196" s="134">
        <f>Balanza!C401</f>
        <v>0</v>
      </c>
      <c r="AZ196" s="131"/>
    </row>
    <row r="197" spans="1:52" ht="15.75" customHeight="1">
      <c r="A197" s="353" t="s">
        <v>1263</v>
      </c>
      <c r="B197" s="507" t="s">
        <v>6825</v>
      </c>
      <c r="C197" s="184"/>
      <c r="D197" s="184"/>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184"/>
      <c r="AR197" s="184"/>
      <c r="AS197" s="184"/>
      <c r="AT197" s="184"/>
      <c r="AU197" s="184"/>
      <c r="AV197" s="184"/>
      <c r="AW197" s="505"/>
      <c r="AX197" s="134">
        <f>Balanza!G402</f>
        <v>0</v>
      </c>
      <c r="AY197" s="134">
        <f>Balanza!C402</f>
        <v>0</v>
      </c>
      <c r="AZ197" s="131"/>
    </row>
    <row r="198" spans="1:52" ht="15.75" customHeight="1">
      <c r="A198" s="503" t="s">
        <v>1265</v>
      </c>
      <c r="B198" s="183" t="s">
        <v>1266</v>
      </c>
      <c r="C198" s="184"/>
      <c r="D198" s="184"/>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184"/>
      <c r="AR198" s="184"/>
      <c r="AS198" s="184"/>
      <c r="AT198" s="184"/>
      <c r="AU198" s="184"/>
      <c r="AV198" s="184"/>
      <c r="AW198" s="505"/>
      <c r="AX198" s="318">
        <f t="shared" ref="AX198:AY198" si="56">SUM(AX199:AX206)</f>
        <v>120893437.39</v>
      </c>
      <c r="AY198" s="318">
        <f t="shared" si="56"/>
        <v>577413230.17999995</v>
      </c>
      <c r="AZ198" s="131"/>
    </row>
    <row r="199" spans="1:52" ht="15.75" customHeight="1">
      <c r="A199" s="353" t="s">
        <v>1267</v>
      </c>
      <c r="B199" s="507" t="s">
        <v>6826</v>
      </c>
      <c r="C199" s="184"/>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184"/>
      <c r="AR199" s="184"/>
      <c r="AS199" s="184"/>
      <c r="AT199" s="184"/>
      <c r="AU199" s="184"/>
      <c r="AV199" s="184"/>
      <c r="AW199" s="505"/>
      <c r="AX199" s="134">
        <f>Balanza!G404</f>
        <v>83757224.980000004</v>
      </c>
      <c r="AY199" s="134">
        <f>Balanza!C404</f>
        <v>114741013.03</v>
      </c>
      <c r="AZ199" s="131"/>
    </row>
    <row r="200" spans="1:52" ht="15.75" customHeight="1">
      <c r="A200" s="353" t="s">
        <v>1269</v>
      </c>
      <c r="B200" s="507" t="s">
        <v>6827</v>
      </c>
      <c r="C200" s="184"/>
      <c r="D200" s="184"/>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184"/>
      <c r="AR200" s="184"/>
      <c r="AS200" s="184"/>
      <c r="AT200" s="184"/>
      <c r="AU200" s="184"/>
      <c r="AV200" s="184"/>
      <c r="AW200" s="505"/>
      <c r="AX200" s="134">
        <f>Balanza!G405</f>
        <v>22609827.469999999</v>
      </c>
      <c r="AY200" s="134">
        <f>Balanza!C405</f>
        <v>440333975.02999997</v>
      </c>
      <c r="AZ200" s="131"/>
    </row>
    <row r="201" spans="1:52" ht="15.75" customHeight="1">
      <c r="A201" s="353" t="s">
        <v>1271</v>
      </c>
      <c r="B201" s="507" t="s">
        <v>6828</v>
      </c>
      <c r="C201" s="184"/>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184"/>
      <c r="AR201" s="184"/>
      <c r="AS201" s="184"/>
      <c r="AT201" s="184"/>
      <c r="AU201" s="184"/>
      <c r="AV201" s="184"/>
      <c r="AW201" s="505"/>
      <c r="AX201" s="134">
        <f>Balanza!G406</f>
        <v>14526384.939999999</v>
      </c>
      <c r="AY201" s="134">
        <f>Balanza!C406</f>
        <v>22338242.120000001</v>
      </c>
      <c r="AZ201" s="131"/>
    </row>
    <row r="202" spans="1:52" ht="15.75" customHeight="1">
      <c r="A202" s="353" t="s">
        <v>1273</v>
      </c>
      <c r="B202" s="507" t="s">
        <v>6829</v>
      </c>
      <c r="C202" s="184"/>
      <c r="D202" s="184"/>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184"/>
      <c r="AR202" s="184"/>
      <c r="AS202" s="184"/>
      <c r="AT202" s="184"/>
      <c r="AU202" s="184"/>
      <c r="AV202" s="184"/>
      <c r="AW202" s="505"/>
      <c r="AX202" s="134">
        <f>Balanza!G407</f>
        <v>0</v>
      </c>
      <c r="AY202" s="134">
        <f>Balanza!C407</f>
        <v>0</v>
      </c>
      <c r="AZ202" s="131"/>
    </row>
    <row r="203" spans="1:52" ht="15.75" customHeight="1">
      <c r="A203" s="353" t="s">
        <v>1275</v>
      </c>
      <c r="B203" s="507" t="s">
        <v>6830</v>
      </c>
      <c r="C203" s="184"/>
      <c r="D203" s="184"/>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184"/>
      <c r="AR203" s="184"/>
      <c r="AS203" s="184"/>
      <c r="AT203" s="184"/>
      <c r="AU203" s="184"/>
      <c r="AV203" s="184"/>
      <c r="AW203" s="505"/>
      <c r="AX203" s="134">
        <f>Balanza!G408</f>
        <v>0</v>
      </c>
      <c r="AY203" s="134">
        <f>Balanza!C408</f>
        <v>0</v>
      </c>
      <c r="AZ203" s="131"/>
    </row>
    <row r="204" spans="1:52" ht="15.75" customHeight="1">
      <c r="A204" s="353" t="s">
        <v>1277</v>
      </c>
      <c r="B204" s="507" t="s">
        <v>6831</v>
      </c>
      <c r="C204" s="184"/>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184"/>
      <c r="AR204" s="184"/>
      <c r="AS204" s="184"/>
      <c r="AT204" s="184"/>
      <c r="AU204" s="184"/>
      <c r="AV204" s="184"/>
      <c r="AW204" s="505"/>
      <c r="AX204" s="134">
        <f>Balanza!G409</f>
        <v>0</v>
      </c>
      <c r="AY204" s="134">
        <f>Balanza!C409</f>
        <v>0</v>
      </c>
      <c r="AZ204" s="131"/>
    </row>
    <row r="205" spans="1:52" ht="15.75" customHeight="1">
      <c r="A205" s="353" t="s">
        <v>1279</v>
      </c>
      <c r="B205" s="507" t="s">
        <v>6832</v>
      </c>
      <c r="C205" s="184"/>
      <c r="D205" s="184"/>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184"/>
      <c r="AR205" s="184"/>
      <c r="AS205" s="184"/>
      <c r="AT205" s="184"/>
      <c r="AU205" s="184"/>
      <c r="AV205" s="184"/>
      <c r="AW205" s="505"/>
      <c r="AX205" s="134">
        <f>Balanza!G410</f>
        <v>0</v>
      </c>
      <c r="AY205" s="134">
        <f>Balanza!C410</f>
        <v>0</v>
      </c>
      <c r="AZ205" s="131"/>
    </row>
    <row r="206" spans="1:52" ht="15.75" customHeight="1">
      <c r="A206" s="353" t="s">
        <v>1281</v>
      </c>
      <c r="B206" s="507" t="s">
        <v>6833</v>
      </c>
      <c r="C206" s="184"/>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184"/>
      <c r="AR206" s="184"/>
      <c r="AS206" s="184"/>
      <c r="AT206" s="184"/>
      <c r="AU206" s="184"/>
      <c r="AV206" s="184"/>
      <c r="AW206" s="505"/>
      <c r="AX206" s="134">
        <f>Balanza!G411</f>
        <v>0</v>
      </c>
      <c r="AY206" s="134">
        <f>Balanza!C411</f>
        <v>0</v>
      </c>
      <c r="AZ206" s="131"/>
    </row>
    <row r="207" spans="1:52" ht="15.75" customHeight="1">
      <c r="A207" s="503" t="s">
        <v>1283</v>
      </c>
      <c r="B207" s="183" t="s">
        <v>1284</v>
      </c>
      <c r="C207" s="184"/>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505"/>
      <c r="AX207" s="318">
        <f t="shared" ref="AX207:AY207" si="57">SUM(AX208:AX211)</f>
        <v>588156963.23000002</v>
      </c>
      <c r="AY207" s="318">
        <f t="shared" si="57"/>
        <v>959084072.02999997</v>
      </c>
      <c r="AZ207" s="131"/>
    </row>
    <row r="208" spans="1:52" ht="15.75" customHeight="1">
      <c r="A208" s="353" t="s">
        <v>1285</v>
      </c>
      <c r="B208" s="507" t="s">
        <v>6834</v>
      </c>
      <c r="C208" s="184"/>
      <c r="D208" s="184"/>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c r="AK208" s="184"/>
      <c r="AL208" s="184"/>
      <c r="AM208" s="184"/>
      <c r="AN208" s="184"/>
      <c r="AO208" s="184"/>
      <c r="AP208" s="184"/>
      <c r="AQ208" s="184"/>
      <c r="AR208" s="184"/>
      <c r="AS208" s="184"/>
      <c r="AT208" s="184"/>
      <c r="AU208" s="184"/>
      <c r="AV208" s="184"/>
      <c r="AW208" s="505"/>
      <c r="AX208" s="134">
        <f>Balanza!G413</f>
        <v>432320887.56</v>
      </c>
      <c r="AY208" s="134">
        <f>Balanza!C413</f>
        <v>681757186.63</v>
      </c>
      <c r="AZ208" s="131"/>
    </row>
    <row r="209" spans="1:52" ht="15.75" customHeight="1">
      <c r="A209" s="353" t="s">
        <v>1287</v>
      </c>
      <c r="B209" s="507" t="s">
        <v>6835</v>
      </c>
      <c r="C209" s="184"/>
      <c r="D209" s="184"/>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184"/>
      <c r="AR209" s="184"/>
      <c r="AS209" s="184"/>
      <c r="AT209" s="184"/>
      <c r="AU209" s="184"/>
      <c r="AV209" s="184"/>
      <c r="AW209" s="505"/>
      <c r="AX209" s="134">
        <f>Balanza!G414</f>
        <v>55333934.390000001</v>
      </c>
      <c r="AY209" s="134">
        <f>Balanza!C414</f>
        <v>89527543.760000005</v>
      </c>
      <c r="AZ209" s="131"/>
    </row>
    <row r="210" spans="1:52" ht="15.75" customHeight="1">
      <c r="A210" s="353" t="s">
        <v>1289</v>
      </c>
      <c r="B210" s="507" t="s">
        <v>6836</v>
      </c>
      <c r="C210" s="184"/>
      <c r="D210" s="184"/>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184"/>
      <c r="AR210" s="184"/>
      <c r="AS210" s="184"/>
      <c r="AT210" s="184"/>
      <c r="AU210" s="184"/>
      <c r="AV210" s="184"/>
      <c r="AW210" s="505"/>
      <c r="AX210" s="134">
        <f>Balanza!G415</f>
        <v>39108910.549999997</v>
      </c>
      <c r="AY210" s="134">
        <f>Balanza!C415</f>
        <v>56799810.899999999</v>
      </c>
      <c r="AZ210" s="131"/>
    </row>
    <row r="211" spans="1:52" ht="15.75" customHeight="1">
      <c r="A211" s="353" t="s">
        <v>1291</v>
      </c>
      <c r="B211" s="507" t="s">
        <v>6837</v>
      </c>
      <c r="C211" s="184"/>
      <c r="D211" s="184"/>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184"/>
      <c r="AR211" s="184"/>
      <c r="AS211" s="184"/>
      <c r="AT211" s="184"/>
      <c r="AU211" s="184"/>
      <c r="AV211" s="184"/>
      <c r="AW211" s="505"/>
      <c r="AX211" s="134">
        <f>Balanza!G416</f>
        <v>61393230.729999997</v>
      </c>
      <c r="AY211" s="134">
        <f>Balanza!C416</f>
        <v>130999530.73999999</v>
      </c>
      <c r="AZ211" s="131"/>
    </row>
    <row r="212" spans="1:52" ht="15.75" customHeight="1">
      <c r="A212" s="503" t="s">
        <v>1293</v>
      </c>
      <c r="B212" s="183" t="s">
        <v>1294</v>
      </c>
      <c r="C212" s="184"/>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184"/>
      <c r="AR212" s="184"/>
      <c r="AS212" s="184"/>
      <c r="AT212" s="184"/>
      <c r="AU212" s="184"/>
      <c r="AV212" s="184"/>
      <c r="AW212" s="505"/>
      <c r="AX212" s="318">
        <f t="shared" ref="AX212:AY212" si="58">SUM(AX213:AX218)</f>
        <v>375658532.70999998</v>
      </c>
      <c r="AY212" s="318">
        <f t="shared" si="58"/>
        <v>495529441.38999999</v>
      </c>
      <c r="AZ212" s="131"/>
    </row>
    <row r="213" spans="1:52" ht="15.75" customHeight="1">
      <c r="A213" s="353" t="s">
        <v>1295</v>
      </c>
      <c r="B213" s="507" t="s">
        <v>6838</v>
      </c>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505"/>
      <c r="AX213" s="134">
        <f>Balanza!G418</f>
        <v>0</v>
      </c>
      <c r="AY213" s="134">
        <f>Balanza!C418</f>
        <v>0</v>
      </c>
      <c r="AZ213" s="131"/>
    </row>
    <row r="214" spans="1:52" ht="15.75" customHeight="1">
      <c r="A214" s="353" t="s">
        <v>1297</v>
      </c>
      <c r="B214" s="507" t="s">
        <v>6762</v>
      </c>
      <c r="C214" s="184"/>
      <c r="D214" s="184"/>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184"/>
      <c r="AR214" s="184"/>
      <c r="AS214" s="184"/>
      <c r="AT214" s="184"/>
      <c r="AU214" s="184"/>
      <c r="AV214" s="184"/>
      <c r="AW214" s="505"/>
      <c r="AX214" s="134">
        <f>Balanza!G419</f>
        <v>1380000</v>
      </c>
      <c r="AY214" s="134">
        <f>Balanza!C419</f>
        <v>381609.69</v>
      </c>
      <c r="AZ214" s="131"/>
    </row>
    <row r="215" spans="1:52" ht="15.75" customHeight="1">
      <c r="A215" s="353" t="s">
        <v>1298</v>
      </c>
      <c r="B215" s="507" t="s">
        <v>6839</v>
      </c>
      <c r="C215" s="184"/>
      <c r="D215" s="184"/>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184"/>
      <c r="AR215" s="184"/>
      <c r="AS215" s="184"/>
      <c r="AT215" s="184"/>
      <c r="AU215" s="184"/>
      <c r="AV215" s="184"/>
      <c r="AW215" s="505"/>
      <c r="AX215" s="134">
        <f>Balanza!G420</f>
        <v>0</v>
      </c>
      <c r="AY215" s="134">
        <f>Balanza!C420</f>
        <v>0</v>
      </c>
      <c r="AZ215" s="131"/>
    </row>
    <row r="216" spans="1:52" ht="15.75" customHeight="1">
      <c r="A216" s="353" t="s">
        <v>1300</v>
      </c>
      <c r="B216" s="507" t="s">
        <v>6840</v>
      </c>
      <c r="C216" s="184"/>
      <c r="D216" s="184"/>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184"/>
      <c r="AR216" s="184"/>
      <c r="AS216" s="184"/>
      <c r="AT216" s="184"/>
      <c r="AU216" s="184"/>
      <c r="AV216" s="184"/>
      <c r="AW216" s="505"/>
      <c r="AX216" s="134">
        <f>Balanza!G421</f>
        <v>24282650.300000001</v>
      </c>
      <c r="AY216" s="134">
        <f>Balanza!C421</f>
        <v>42943952.079999998</v>
      </c>
      <c r="AZ216" s="131"/>
    </row>
    <row r="217" spans="1:52" ht="15.75" customHeight="1">
      <c r="A217" s="353" t="s">
        <v>1302</v>
      </c>
      <c r="B217" s="507" t="s">
        <v>6841</v>
      </c>
      <c r="C217" s="184"/>
      <c r="D217" s="184"/>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184"/>
      <c r="AR217" s="184"/>
      <c r="AS217" s="184"/>
      <c r="AT217" s="184"/>
      <c r="AU217" s="184"/>
      <c r="AV217" s="184"/>
      <c r="AW217" s="505"/>
      <c r="AX217" s="134">
        <f>Balanza!G422</f>
        <v>180483.34</v>
      </c>
      <c r="AY217" s="134">
        <f>Balanza!C422</f>
        <v>273783.34000000003</v>
      </c>
      <c r="AZ217" s="131"/>
    </row>
    <row r="218" spans="1:52" ht="15.75" customHeight="1">
      <c r="A218" s="353" t="s">
        <v>1304</v>
      </c>
      <c r="B218" s="507" t="s">
        <v>6842</v>
      </c>
      <c r="C218" s="184"/>
      <c r="D218" s="184"/>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184"/>
      <c r="AR218" s="184"/>
      <c r="AS218" s="184"/>
      <c r="AT218" s="184"/>
      <c r="AU218" s="184"/>
      <c r="AV218" s="184"/>
      <c r="AW218" s="505"/>
      <c r="AX218" s="134">
        <f>Balanza!G423</f>
        <v>349815399.06999999</v>
      </c>
      <c r="AY218" s="134">
        <f>Balanza!C423</f>
        <v>451930096.27999997</v>
      </c>
      <c r="AZ218" s="131"/>
    </row>
    <row r="219" spans="1:52" ht="15.75" customHeight="1">
      <c r="A219" s="503" t="s">
        <v>1305</v>
      </c>
      <c r="B219" s="183" t="s">
        <v>1306</v>
      </c>
      <c r="C219" s="184"/>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4"/>
      <c r="AL219" s="184"/>
      <c r="AM219" s="184"/>
      <c r="AN219" s="184"/>
      <c r="AO219" s="184"/>
      <c r="AP219" s="184"/>
      <c r="AQ219" s="184"/>
      <c r="AR219" s="184"/>
      <c r="AS219" s="184"/>
      <c r="AT219" s="184"/>
      <c r="AU219" s="184"/>
      <c r="AV219" s="184"/>
      <c r="AW219" s="505"/>
      <c r="AX219" s="318">
        <f t="shared" ref="AX219:AY219" si="59">SUM(AX220:AX221)</f>
        <v>0</v>
      </c>
      <c r="AY219" s="318">
        <f t="shared" si="59"/>
        <v>0</v>
      </c>
      <c r="AZ219" s="131"/>
    </row>
    <row r="220" spans="1:52" ht="15.75" customHeight="1">
      <c r="A220" s="353" t="s">
        <v>1307</v>
      </c>
      <c r="B220" s="507" t="s">
        <v>6843</v>
      </c>
      <c r="C220" s="184"/>
      <c r="D220" s="184"/>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4"/>
      <c r="AL220" s="184"/>
      <c r="AM220" s="184"/>
      <c r="AN220" s="184"/>
      <c r="AO220" s="184"/>
      <c r="AP220" s="184"/>
      <c r="AQ220" s="184"/>
      <c r="AR220" s="184"/>
      <c r="AS220" s="184"/>
      <c r="AT220" s="184"/>
      <c r="AU220" s="184"/>
      <c r="AV220" s="184"/>
      <c r="AW220" s="505"/>
      <c r="AX220" s="134">
        <f>Balanza!G425</f>
        <v>0</v>
      </c>
      <c r="AY220" s="134">
        <f>Balanza!C425</f>
        <v>0</v>
      </c>
      <c r="AZ220" s="131"/>
    </row>
    <row r="221" spans="1:52" ht="15.75" customHeight="1">
      <c r="A221" s="353" t="s">
        <v>1309</v>
      </c>
      <c r="B221" s="507" t="s">
        <v>6844</v>
      </c>
      <c r="C221" s="184"/>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184"/>
      <c r="AR221" s="184"/>
      <c r="AS221" s="184"/>
      <c r="AT221" s="184"/>
      <c r="AU221" s="184"/>
      <c r="AV221" s="184"/>
      <c r="AW221" s="505"/>
      <c r="AX221" s="134">
        <f>Balanza!G426</f>
        <v>0</v>
      </c>
      <c r="AY221" s="134">
        <f>Balanza!C426</f>
        <v>0</v>
      </c>
      <c r="AZ221" s="131"/>
    </row>
    <row r="222" spans="1:52" ht="15.75" customHeight="1">
      <c r="A222" s="503" t="s">
        <v>1311</v>
      </c>
      <c r="B222" s="183" t="s">
        <v>1312</v>
      </c>
      <c r="C222" s="184"/>
      <c r="D222" s="184"/>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184"/>
      <c r="AR222" s="184"/>
      <c r="AS222" s="184"/>
      <c r="AT222" s="184"/>
      <c r="AU222" s="184"/>
      <c r="AV222" s="184"/>
      <c r="AW222" s="505"/>
      <c r="AX222" s="416">
        <f t="shared" ref="AX222:AY222" si="60">AX223+AX232+AX236+AX246+AX256+AX264+AX267+AX273+AX277</f>
        <v>193415611.82999998</v>
      </c>
      <c r="AY222" s="416">
        <f t="shared" si="60"/>
        <v>509437798.33999997</v>
      </c>
      <c r="AZ222" s="131"/>
    </row>
    <row r="223" spans="1:52" ht="15.75" customHeight="1">
      <c r="A223" s="503" t="s">
        <v>1313</v>
      </c>
      <c r="B223" s="183" t="s">
        <v>1314</v>
      </c>
      <c r="C223" s="184"/>
      <c r="D223" s="184"/>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184"/>
      <c r="AR223" s="184"/>
      <c r="AS223" s="184"/>
      <c r="AT223" s="184"/>
      <c r="AU223" s="184"/>
      <c r="AV223" s="184"/>
      <c r="AW223" s="505"/>
      <c r="AX223" s="318">
        <f t="shared" ref="AX223:AY223" si="61">SUM(AX224:AX231)</f>
        <v>22446917.890000001</v>
      </c>
      <c r="AY223" s="318">
        <f t="shared" si="61"/>
        <v>65853993.380000003</v>
      </c>
      <c r="AZ223" s="131"/>
    </row>
    <row r="224" spans="1:52" ht="15.75" customHeight="1">
      <c r="A224" s="353" t="s">
        <v>1315</v>
      </c>
      <c r="B224" s="507" t="s">
        <v>6845</v>
      </c>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505"/>
      <c r="AX224" s="134">
        <f>Balanza!G429</f>
        <v>95250.32</v>
      </c>
      <c r="AY224" s="134">
        <f>Balanza!C429</f>
        <v>11876422.82</v>
      </c>
      <c r="AZ224" s="131"/>
    </row>
    <row r="225" spans="1:52" ht="15.75" customHeight="1">
      <c r="A225" s="353" t="s">
        <v>1317</v>
      </c>
      <c r="B225" s="507" t="s">
        <v>6846</v>
      </c>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184"/>
      <c r="AR225" s="184"/>
      <c r="AS225" s="184"/>
      <c r="AT225" s="184"/>
      <c r="AU225" s="184"/>
      <c r="AV225" s="184"/>
      <c r="AW225" s="505"/>
      <c r="AX225" s="134">
        <f>Balanza!G430</f>
        <v>4302</v>
      </c>
      <c r="AY225" s="134">
        <f>Balanza!C430</f>
        <v>2852.64</v>
      </c>
      <c r="AZ225" s="131"/>
    </row>
    <row r="226" spans="1:52" ht="15.75" customHeight="1">
      <c r="A226" s="353" t="s">
        <v>1319</v>
      </c>
      <c r="B226" s="507" t="s">
        <v>6847</v>
      </c>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184"/>
      <c r="AR226" s="184"/>
      <c r="AS226" s="184"/>
      <c r="AT226" s="184"/>
      <c r="AU226" s="184"/>
      <c r="AV226" s="184"/>
      <c r="AW226" s="505"/>
      <c r="AX226" s="134">
        <f>Balanza!G431</f>
        <v>0</v>
      </c>
      <c r="AY226" s="134">
        <f>Balanza!C431</f>
        <v>0</v>
      </c>
      <c r="AZ226" s="131"/>
    </row>
    <row r="227" spans="1:52" ht="15.75" customHeight="1">
      <c r="A227" s="353" t="s">
        <v>1321</v>
      </c>
      <c r="B227" s="507" t="s">
        <v>6848</v>
      </c>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184"/>
      <c r="AR227" s="184"/>
      <c r="AS227" s="184"/>
      <c r="AT227" s="184"/>
      <c r="AU227" s="184"/>
      <c r="AV227" s="184"/>
      <c r="AW227" s="505"/>
      <c r="AX227" s="134">
        <f>Balanza!G432</f>
        <v>51971.18</v>
      </c>
      <c r="AY227" s="134">
        <f>Balanza!C432</f>
        <v>3092078.05</v>
      </c>
      <c r="AZ227" s="131"/>
    </row>
    <row r="228" spans="1:52" ht="15.75" customHeight="1">
      <c r="A228" s="353" t="s">
        <v>1323</v>
      </c>
      <c r="B228" s="507" t="s">
        <v>6849</v>
      </c>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184"/>
      <c r="AR228" s="184"/>
      <c r="AS228" s="184"/>
      <c r="AT228" s="184"/>
      <c r="AU228" s="184"/>
      <c r="AV228" s="184"/>
      <c r="AW228" s="505"/>
      <c r="AX228" s="134">
        <f>Balanza!G433</f>
        <v>63215.199999999997</v>
      </c>
      <c r="AY228" s="134">
        <f>Balanza!C433</f>
        <v>310449.83</v>
      </c>
      <c r="AZ228" s="131"/>
    </row>
    <row r="229" spans="1:52" ht="15.75" customHeight="1">
      <c r="A229" s="353" t="s">
        <v>1325</v>
      </c>
      <c r="B229" s="507" t="s">
        <v>6850</v>
      </c>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184"/>
      <c r="AR229" s="184"/>
      <c r="AS229" s="184"/>
      <c r="AT229" s="184"/>
      <c r="AU229" s="184"/>
      <c r="AV229" s="184"/>
      <c r="AW229" s="505"/>
      <c r="AX229" s="134">
        <f>Balanza!G434</f>
        <v>11051080.99</v>
      </c>
      <c r="AY229" s="134">
        <f>Balanza!C434</f>
        <v>34538683.810000002</v>
      </c>
      <c r="AZ229" s="131"/>
    </row>
    <row r="230" spans="1:52" ht="15.75" customHeight="1">
      <c r="A230" s="353" t="s">
        <v>1327</v>
      </c>
      <c r="B230" s="507" t="s">
        <v>6851</v>
      </c>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184"/>
      <c r="AR230" s="184"/>
      <c r="AS230" s="184"/>
      <c r="AT230" s="184"/>
      <c r="AU230" s="184"/>
      <c r="AV230" s="184"/>
      <c r="AW230" s="505"/>
      <c r="AX230" s="134">
        <f>Balanza!G435</f>
        <v>14469.06</v>
      </c>
      <c r="AY230" s="134">
        <f>Balanza!C435</f>
        <v>506094.23</v>
      </c>
      <c r="AZ230" s="131"/>
    </row>
    <row r="231" spans="1:52" ht="15.75" customHeight="1">
      <c r="A231" s="353" t="s">
        <v>1329</v>
      </c>
      <c r="B231" s="507" t="s">
        <v>6852</v>
      </c>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184"/>
      <c r="AR231" s="184"/>
      <c r="AS231" s="184"/>
      <c r="AT231" s="184"/>
      <c r="AU231" s="184"/>
      <c r="AV231" s="184"/>
      <c r="AW231" s="505"/>
      <c r="AX231" s="134">
        <f>Balanza!G436</f>
        <v>11166629.140000001</v>
      </c>
      <c r="AY231" s="134">
        <f>Balanza!C436</f>
        <v>15527412</v>
      </c>
      <c r="AZ231" s="131"/>
    </row>
    <row r="232" spans="1:52" ht="15.75" customHeight="1">
      <c r="A232" s="503" t="s">
        <v>1331</v>
      </c>
      <c r="B232" s="183" t="s">
        <v>1332</v>
      </c>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184"/>
      <c r="AR232" s="184"/>
      <c r="AS232" s="184"/>
      <c r="AT232" s="184"/>
      <c r="AU232" s="184"/>
      <c r="AV232" s="184"/>
      <c r="AW232" s="505"/>
      <c r="AX232" s="318">
        <f t="shared" ref="AX232:AY232" si="62">SUM(AX233:AX235)</f>
        <v>7004563.5499999998</v>
      </c>
      <c r="AY232" s="318">
        <f t="shared" si="62"/>
        <v>17563497.029999997</v>
      </c>
      <c r="AZ232" s="131"/>
    </row>
    <row r="233" spans="1:52" ht="15.75" customHeight="1">
      <c r="A233" s="353" t="s">
        <v>1333</v>
      </c>
      <c r="B233" s="507" t="s">
        <v>6853</v>
      </c>
      <c r="C233" s="184"/>
      <c r="D233" s="184"/>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184"/>
      <c r="AR233" s="184"/>
      <c r="AS233" s="184"/>
      <c r="AT233" s="184"/>
      <c r="AU233" s="184"/>
      <c r="AV233" s="184"/>
      <c r="AW233" s="505"/>
      <c r="AX233" s="134">
        <f>Balanza!G438</f>
        <v>6706010.7199999997</v>
      </c>
      <c r="AY233" s="134">
        <f>Balanza!C438</f>
        <v>13503412.289999999</v>
      </c>
      <c r="AZ233" s="131"/>
    </row>
    <row r="234" spans="1:52" ht="15.75" customHeight="1">
      <c r="A234" s="353" t="s">
        <v>1335</v>
      </c>
      <c r="B234" s="507" t="s">
        <v>6854</v>
      </c>
      <c r="C234" s="184"/>
      <c r="D234" s="184"/>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184"/>
      <c r="AR234" s="184"/>
      <c r="AS234" s="184"/>
      <c r="AT234" s="184"/>
      <c r="AU234" s="184"/>
      <c r="AV234" s="184"/>
      <c r="AW234" s="505"/>
      <c r="AX234" s="134">
        <f>Balanza!G439</f>
        <v>259240</v>
      </c>
      <c r="AY234" s="134">
        <f>Balanza!C439</f>
        <v>3819507.5</v>
      </c>
      <c r="AZ234" s="131"/>
    </row>
    <row r="235" spans="1:52" ht="15.75" customHeight="1">
      <c r="A235" s="353" t="s">
        <v>1337</v>
      </c>
      <c r="B235" s="507" t="s">
        <v>6855</v>
      </c>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c r="AV235" s="184"/>
      <c r="AW235" s="505"/>
      <c r="AX235" s="134">
        <f>Balanza!G440</f>
        <v>39312.83</v>
      </c>
      <c r="AY235" s="134">
        <f>Balanza!C440</f>
        <v>240577.24</v>
      </c>
      <c r="AZ235" s="131"/>
    </row>
    <row r="236" spans="1:52" ht="15.75" customHeight="1">
      <c r="A236" s="503" t="s">
        <v>1339</v>
      </c>
      <c r="B236" s="183" t="s">
        <v>1340</v>
      </c>
      <c r="C236" s="184"/>
      <c r="D236" s="184"/>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184"/>
      <c r="AR236" s="184"/>
      <c r="AS236" s="184"/>
      <c r="AT236" s="184"/>
      <c r="AU236" s="184"/>
      <c r="AV236" s="184"/>
      <c r="AW236" s="505"/>
      <c r="AX236" s="318">
        <f t="shared" ref="AX236:AY236" si="63">SUM(AX237:AX245)</f>
        <v>0</v>
      </c>
      <c r="AY236" s="318">
        <f t="shared" si="63"/>
        <v>0</v>
      </c>
      <c r="AZ236" s="131"/>
    </row>
    <row r="237" spans="1:52" ht="15.75" customHeight="1">
      <c r="A237" s="353" t="s">
        <v>1341</v>
      </c>
      <c r="B237" s="507" t="s">
        <v>6856</v>
      </c>
      <c r="C237" s="184"/>
      <c r="D237" s="184"/>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184"/>
      <c r="AR237" s="184"/>
      <c r="AS237" s="184"/>
      <c r="AT237" s="184"/>
      <c r="AU237" s="184"/>
      <c r="AV237" s="184"/>
      <c r="AW237" s="505"/>
      <c r="AX237" s="134">
        <f>Balanza!G442</f>
        <v>0</v>
      </c>
      <c r="AY237" s="134">
        <f>Balanza!C442</f>
        <v>0</v>
      </c>
      <c r="AZ237" s="131"/>
    </row>
    <row r="238" spans="1:52" ht="15.75" customHeight="1">
      <c r="A238" s="353" t="s">
        <v>1343</v>
      </c>
      <c r="B238" s="507" t="s">
        <v>6857</v>
      </c>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184"/>
      <c r="AR238" s="184"/>
      <c r="AS238" s="184"/>
      <c r="AT238" s="184"/>
      <c r="AU238" s="184"/>
      <c r="AV238" s="184"/>
      <c r="AW238" s="505"/>
      <c r="AX238" s="134">
        <f>Balanza!G443</f>
        <v>0</v>
      </c>
      <c r="AY238" s="134">
        <f>Balanza!C443</f>
        <v>0</v>
      </c>
      <c r="AZ238" s="131"/>
    </row>
    <row r="239" spans="1:52" ht="15.75" customHeight="1">
      <c r="A239" s="353" t="s">
        <v>1345</v>
      </c>
      <c r="B239" s="507" t="s">
        <v>6858</v>
      </c>
      <c r="C239" s="184"/>
      <c r="D239" s="184"/>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4"/>
      <c r="AL239" s="184"/>
      <c r="AM239" s="184"/>
      <c r="AN239" s="184"/>
      <c r="AO239" s="184"/>
      <c r="AP239" s="184"/>
      <c r="AQ239" s="184"/>
      <c r="AR239" s="184"/>
      <c r="AS239" s="184"/>
      <c r="AT239" s="184"/>
      <c r="AU239" s="184"/>
      <c r="AV239" s="184"/>
      <c r="AW239" s="505"/>
      <c r="AX239" s="134">
        <f>Balanza!G444</f>
        <v>0</v>
      </c>
      <c r="AY239" s="134">
        <f>Balanza!C444</f>
        <v>0</v>
      </c>
      <c r="AZ239" s="131"/>
    </row>
    <row r="240" spans="1:52" ht="15.75" customHeight="1">
      <c r="A240" s="353" t="s">
        <v>1347</v>
      </c>
      <c r="B240" s="507" t="s">
        <v>6859</v>
      </c>
      <c r="C240" s="184"/>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184"/>
      <c r="AR240" s="184"/>
      <c r="AS240" s="184"/>
      <c r="AT240" s="184"/>
      <c r="AU240" s="184"/>
      <c r="AV240" s="184"/>
      <c r="AW240" s="505"/>
      <c r="AX240" s="134">
        <f>Balanza!G445</f>
        <v>0</v>
      </c>
      <c r="AY240" s="134">
        <f>Balanza!C445</f>
        <v>0</v>
      </c>
      <c r="AZ240" s="131"/>
    </row>
    <row r="241" spans="1:52" ht="15.75" customHeight="1">
      <c r="A241" s="353" t="s">
        <v>1349</v>
      </c>
      <c r="B241" s="507" t="s">
        <v>6860</v>
      </c>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184"/>
      <c r="AR241" s="184"/>
      <c r="AS241" s="184"/>
      <c r="AT241" s="184"/>
      <c r="AU241" s="184"/>
      <c r="AV241" s="184"/>
      <c r="AW241" s="505"/>
      <c r="AX241" s="134">
        <f>Balanza!G446</f>
        <v>0</v>
      </c>
      <c r="AY241" s="134">
        <f>Balanza!C446</f>
        <v>0</v>
      </c>
      <c r="AZ241" s="131"/>
    </row>
    <row r="242" spans="1:52" ht="15.75" customHeight="1">
      <c r="A242" s="353" t="s">
        <v>1351</v>
      </c>
      <c r="B242" s="507" t="s">
        <v>6861</v>
      </c>
      <c r="C242" s="184"/>
      <c r="D242" s="184"/>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R242" s="184"/>
      <c r="AS242" s="184"/>
      <c r="AT242" s="184"/>
      <c r="AU242" s="184"/>
      <c r="AV242" s="184"/>
      <c r="AW242" s="505"/>
      <c r="AX242" s="134">
        <f>Balanza!G447</f>
        <v>0</v>
      </c>
      <c r="AY242" s="134">
        <f>Balanza!C447</f>
        <v>0</v>
      </c>
      <c r="AZ242" s="131"/>
    </row>
    <row r="243" spans="1:52" ht="15.75" customHeight="1">
      <c r="A243" s="353" t="s">
        <v>1353</v>
      </c>
      <c r="B243" s="507" t="s">
        <v>6862</v>
      </c>
      <c r="C243" s="184"/>
      <c r="D243" s="184"/>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505"/>
      <c r="AX243" s="134">
        <f>Balanza!G448</f>
        <v>0</v>
      </c>
      <c r="AY243" s="134">
        <f>Balanza!C448</f>
        <v>0</v>
      </c>
      <c r="AZ243" s="131"/>
    </row>
    <row r="244" spans="1:52" ht="15.75" customHeight="1">
      <c r="A244" s="353" t="s">
        <v>1355</v>
      </c>
      <c r="B244" s="507" t="s">
        <v>6863</v>
      </c>
      <c r="C244" s="184"/>
      <c r="D244" s="184"/>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184"/>
      <c r="AR244" s="184"/>
      <c r="AS244" s="184"/>
      <c r="AT244" s="184"/>
      <c r="AU244" s="184"/>
      <c r="AV244" s="184"/>
      <c r="AW244" s="505"/>
      <c r="AX244" s="134">
        <f>Balanza!G449</f>
        <v>0</v>
      </c>
      <c r="AY244" s="134">
        <f>Balanza!C449</f>
        <v>0</v>
      </c>
      <c r="AZ244" s="131"/>
    </row>
    <row r="245" spans="1:52" ht="15.75" customHeight="1">
      <c r="A245" s="353" t="s">
        <v>1357</v>
      </c>
      <c r="B245" s="507" t="s">
        <v>6864</v>
      </c>
      <c r="C245" s="184"/>
      <c r="D245" s="184"/>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184"/>
      <c r="AR245" s="184"/>
      <c r="AS245" s="184"/>
      <c r="AT245" s="184"/>
      <c r="AU245" s="184"/>
      <c r="AV245" s="184"/>
      <c r="AW245" s="505"/>
      <c r="AX245" s="134">
        <f>Balanza!G450</f>
        <v>0</v>
      </c>
      <c r="AY245" s="134">
        <f>Balanza!C450</f>
        <v>0</v>
      </c>
      <c r="AZ245" s="131"/>
    </row>
    <row r="246" spans="1:52" ht="15.75" customHeight="1">
      <c r="A246" s="503" t="s">
        <v>1359</v>
      </c>
      <c r="B246" s="183" t="s">
        <v>1360</v>
      </c>
      <c r="C246" s="184"/>
      <c r="D246" s="184"/>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4"/>
      <c r="AL246" s="184"/>
      <c r="AM246" s="184"/>
      <c r="AN246" s="184"/>
      <c r="AO246" s="184"/>
      <c r="AP246" s="184"/>
      <c r="AQ246" s="184"/>
      <c r="AR246" s="184"/>
      <c r="AS246" s="184"/>
      <c r="AT246" s="184"/>
      <c r="AU246" s="184"/>
      <c r="AV246" s="184"/>
      <c r="AW246" s="505"/>
      <c r="AX246" s="318">
        <f t="shared" ref="AX246:AY246" si="64">SUM(AX247:AX255)</f>
        <v>2117731.4</v>
      </c>
      <c r="AY246" s="318">
        <f t="shared" si="64"/>
        <v>61902837.460000001</v>
      </c>
      <c r="AZ246" s="131"/>
    </row>
    <row r="247" spans="1:52" ht="15.75" customHeight="1">
      <c r="A247" s="353" t="s">
        <v>1361</v>
      </c>
      <c r="B247" s="507" t="s">
        <v>6865</v>
      </c>
      <c r="C247" s="184"/>
      <c r="D247" s="184"/>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505"/>
      <c r="AX247" s="134">
        <f>Balanza!G452</f>
        <v>4081.61</v>
      </c>
      <c r="AY247" s="134">
        <f>Balanza!C452</f>
        <v>793056.09</v>
      </c>
      <c r="AZ247" s="131"/>
    </row>
    <row r="248" spans="1:52" ht="15.75" customHeight="1">
      <c r="A248" s="353" t="s">
        <v>1363</v>
      </c>
      <c r="B248" s="507" t="s">
        <v>6866</v>
      </c>
      <c r="C248" s="184"/>
      <c r="D248" s="184"/>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505"/>
      <c r="AX248" s="134">
        <f>Balanza!G453</f>
        <v>13610</v>
      </c>
      <c r="AY248" s="134">
        <f>Balanza!C453</f>
        <v>482981.46</v>
      </c>
      <c r="AZ248" s="131"/>
    </row>
    <row r="249" spans="1:52" ht="15.75" customHeight="1">
      <c r="A249" s="353" t="s">
        <v>1365</v>
      </c>
      <c r="B249" s="507" t="s">
        <v>6867</v>
      </c>
      <c r="C249" s="184"/>
      <c r="D249" s="184"/>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c r="AV249" s="184"/>
      <c r="AW249" s="505"/>
      <c r="AX249" s="134">
        <f>Balanza!G454</f>
        <v>4268.8</v>
      </c>
      <c r="AY249" s="134">
        <f>Balanza!C454</f>
        <v>116348.64</v>
      </c>
      <c r="AZ249" s="131"/>
    </row>
    <row r="250" spans="1:52" ht="15.75" customHeight="1">
      <c r="A250" s="353" t="s">
        <v>1367</v>
      </c>
      <c r="B250" s="507" t="s">
        <v>6868</v>
      </c>
      <c r="C250" s="184"/>
      <c r="D250" s="184"/>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4"/>
      <c r="AL250" s="184"/>
      <c r="AM250" s="184"/>
      <c r="AN250" s="184"/>
      <c r="AO250" s="184"/>
      <c r="AP250" s="184"/>
      <c r="AQ250" s="184"/>
      <c r="AR250" s="184"/>
      <c r="AS250" s="184"/>
      <c r="AT250" s="184"/>
      <c r="AU250" s="184"/>
      <c r="AV250" s="184"/>
      <c r="AW250" s="505"/>
      <c r="AX250" s="134">
        <f>Balanza!G455</f>
        <v>3272.1</v>
      </c>
      <c r="AY250" s="134">
        <f>Balanza!C455</f>
        <v>73768.53</v>
      </c>
      <c r="AZ250" s="131"/>
    </row>
    <row r="251" spans="1:52" ht="15.75" customHeight="1">
      <c r="A251" s="353" t="s">
        <v>1369</v>
      </c>
      <c r="B251" s="507" t="s">
        <v>6869</v>
      </c>
      <c r="C251" s="184"/>
      <c r="D251" s="184"/>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4"/>
      <c r="AN251" s="184"/>
      <c r="AO251" s="184"/>
      <c r="AP251" s="184"/>
      <c r="AQ251" s="184"/>
      <c r="AR251" s="184"/>
      <c r="AS251" s="184"/>
      <c r="AT251" s="184"/>
      <c r="AU251" s="184"/>
      <c r="AV251" s="184"/>
      <c r="AW251" s="505"/>
      <c r="AX251" s="134">
        <f>Balanza!G456</f>
        <v>313.58</v>
      </c>
      <c r="AY251" s="134">
        <f>Balanza!C456</f>
        <v>117660.78</v>
      </c>
      <c r="AZ251" s="131"/>
    </row>
    <row r="252" spans="1:52" ht="15.75" customHeight="1">
      <c r="A252" s="353" t="s">
        <v>1371</v>
      </c>
      <c r="B252" s="507" t="s">
        <v>6870</v>
      </c>
      <c r="C252" s="184"/>
      <c r="D252" s="184"/>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4"/>
      <c r="AL252" s="184"/>
      <c r="AM252" s="184"/>
      <c r="AN252" s="184"/>
      <c r="AO252" s="184"/>
      <c r="AP252" s="184"/>
      <c r="AQ252" s="184"/>
      <c r="AR252" s="184"/>
      <c r="AS252" s="184"/>
      <c r="AT252" s="184"/>
      <c r="AU252" s="184"/>
      <c r="AV252" s="184"/>
      <c r="AW252" s="505"/>
      <c r="AX252" s="134">
        <f>Balanza!G457</f>
        <v>225131.57</v>
      </c>
      <c r="AY252" s="134">
        <f>Balanza!C457</f>
        <v>8654837.6899999995</v>
      </c>
      <c r="AZ252" s="131"/>
    </row>
    <row r="253" spans="1:52" ht="15.75" customHeight="1">
      <c r="A253" s="353" t="s">
        <v>1373</v>
      </c>
      <c r="B253" s="507" t="s">
        <v>6871</v>
      </c>
      <c r="C253" s="184"/>
      <c r="D253" s="184"/>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505"/>
      <c r="AX253" s="134">
        <f>Balanza!G458</f>
        <v>35200.51</v>
      </c>
      <c r="AY253" s="134">
        <f>Balanza!C458</f>
        <v>1929273.16</v>
      </c>
      <c r="AZ253" s="131"/>
    </row>
    <row r="254" spans="1:52" ht="15.75" customHeight="1">
      <c r="A254" s="353" t="s">
        <v>1375</v>
      </c>
      <c r="B254" s="507" t="s">
        <v>6872</v>
      </c>
      <c r="C254" s="184"/>
      <c r="D254" s="184"/>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4"/>
      <c r="AL254" s="184"/>
      <c r="AM254" s="184"/>
      <c r="AN254" s="184"/>
      <c r="AO254" s="184"/>
      <c r="AP254" s="184"/>
      <c r="AQ254" s="184"/>
      <c r="AR254" s="184"/>
      <c r="AS254" s="184"/>
      <c r="AT254" s="184"/>
      <c r="AU254" s="184"/>
      <c r="AV254" s="184"/>
      <c r="AW254" s="505"/>
      <c r="AX254" s="134">
        <f>Balanza!G459</f>
        <v>64337.17</v>
      </c>
      <c r="AY254" s="134">
        <f>Balanza!C459</f>
        <v>6984.55</v>
      </c>
      <c r="AZ254" s="131"/>
    </row>
    <row r="255" spans="1:52" ht="15.75" customHeight="1">
      <c r="A255" s="353" t="s">
        <v>1377</v>
      </c>
      <c r="B255" s="507" t="s">
        <v>6873</v>
      </c>
      <c r="C255" s="184"/>
      <c r="D255" s="184"/>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184"/>
      <c r="AR255" s="184"/>
      <c r="AS255" s="184"/>
      <c r="AT255" s="184"/>
      <c r="AU255" s="184"/>
      <c r="AV255" s="184"/>
      <c r="AW255" s="505"/>
      <c r="AX255" s="134">
        <f>Balanza!G460</f>
        <v>1767516.06</v>
      </c>
      <c r="AY255" s="134">
        <f>Balanza!C460</f>
        <v>49727926.560000002</v>
      </c>
      <c r="AZ255" s="131"/>
    </row>
    <row r="256" spans="1:52" ht="15.75" customHeight="1">
      <c r="A256" s="503" t="s">
        <v>1379</v>
      </c>
      <c r="B256" s="183" t="s">
        <v>1380</v>
      </c>
      <c r="C256" s="184"/>
      <c r="D256" s="184"/>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184"/>
      <c r="AR256" s="184"/>
      <c r="AS256" s="184"/>
      <c r="AT256" s="184"/>
      <c r="AU256" s="184"/>
      <c r="AV256" s="184"/>
      <c r="AW256" s="505"/>
      <c r="AX256" s="318">
        <f t="shared" ref="AX256:AY256" si="65">SUM(AX257:AX263)</f>
        <v>7448080.4199999999</v>
      </c>
      <c r="AY256" s="318">
        <f t="shared" si="65"/>
        <v>48632132.900000006</v>
      </c>
      <c r="AZ256" s="131"/>
    </row>
    <row r="257" spans="1:52" ht="15.75" customHeight="1">
      <c r="A257" s="353" t="s">
        <v>1381</v>
      </c>
      <c r="B257" s="507" t="s">
        <v>6874</v>
      </c>
      <c r="C257" s="184"/>
      <c r="D257" s="184"/>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505"/>
      <c r="AX257" s="134">
        <f>Balanza!G462</f>
        <v>427.58</v>
      </c>
      <c r="AY257" s="134">
        <f>Balanza!C462</f>
        <v>120383.51</v>
      </c>
      <c r="AZ257" s="131"/>
    </row>
    <row r="258" spans="1:52" ht="15.75" customHeight="1">
      <c r="A258" s="353" t="s">
        <v>1383</v>
      </c>
      <c r="B258" s="507" t="s">
        <v>6875</v>
      </c>
      <c r="C258" s="184"/>
      <c r="D258" s="184"/>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184"/>
      <c r="AR258" s="184"/>
      <c r="AS258" s="184"/>
      <c r="AT258" s="184"/>
      <c r="AU258" s="184"/>
      <c r="AV258" s="184"/>
      <c r="AW258" s="505"/>
      <c r="AX258" s="134">
        <f>Balanza!G463</f>
        <v>0</v>
      </c>
      <c r="AY258" s="134">
        <f>Balanza!C463</f>
        <v>583438.78</v>
      </c>
      <c r="AZ258" s="131"/>
    </row>
    <row r="259" spans="1:52" ht="15.75" customHeight="1">
      <c r="A259" s="353" t="s">
        <v>1385</v>
      </c>
      <c r="B259" s="507" t="s">
        <v>6876</v>
      </c>
      <c r="C259" s="184"/>
      <c r="D259" s="184"/>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184"/>
      <c r="AR259" s="184"/>
      <c r="AS259" s="184"/>
      <c r="AT259" s="184"/>
      <c r="AU259" s="184"/>
      <c r="AV259" s="184"/>
      <c r="AW259" s="505"/>
      <c r="AX259" s="134">
        <f>Balanza!G464</f>
        <v>7159827.9199999999</v>
      </c>
      <c r="AY259" s="134">
        <f>Balanza!C464</f>
        <v>24615445.100000001</v>
      </c>
      <c r="AZ259" s="131"/>
    </row>
    <row r="260" spans="1:52" ht="15.75" customHeight="1">
      <c r="A260" s="353" t="s">
        <v>1387</v>
      </c>
      <c r="B260" s="507" t="s">
        <v>6877</v>
      </c>
      <c r="C260" s="184"/>
      <c r="D260" s="184"/>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184"/>
      <c r="AR260" s="184"/>
      <c r="AS260" s="184"/>
      <c r="AT260" s="184"/>
      <c r="AU260" s="184"/>
      <c r="AV260" s="184"/>
      <c r="AW260" s="505"/>
      <c r="AX260" s="134">
        <f>Balanza!G465</f>
        <v>160561.25</v>
      </c>
      <c r="AY260" s="134">
        <f>Balanza!C465</f>
        <v>21232948.120000001</v>
      </c>
      <c r="AZ260" s="131"/>
    </row>
    <row r="261" spans="1:52" ht="15.75" customHeight="1">
      <c r="A261" s="353" t="s">
        <v>1389</v>
      </c>
      <c r="B261" s="507" t="s">
        <v>6878</v>
      </c>
      <c r="C261" s="184"/>
      <c r="D261" s="184"/>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184"/>
      <c r="AR261" s="184"/>
      <c r="AS261" s="184"/>
      <c r="AT261" s="184"/>
      <c r="AU261" s="184"/>
      <c r="AV261" s="184"/>
      <c r="AW261" s="505"/>
      <c r="AX261" s="134">
        <f>Balanza!G466</f>
        <v>0</v>
      </c>
      <c r="AY261" s="134">
        <f>Balanza!C466</f>
        <v>125885.75</v>
      </c>
      <c r="AZ261" s="131"/>
    </row>
    <row r="262" spans="1:52" ht="15.75" customHeight="1">
      <c r="A262" s="353" t="s">
        <v>1391</v>
      </c>
      <c r="B262" s="507" t="s">
        <v>6879</v>
      </c>
      <c r="C262" s="184"/>
      <c r="D262" s="184"/>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4"/>
      <c r="AL262" s="184"/>
      <c r="AM262" s="184"/>
      <c r="AN262" s="184"/>
      <c r="AO262" s="184"/>
      <c r="AP262" s="184"/>
      <c r="AQ262" s="184"/>
      <c r="AR262" s="184"/>
      <c r="AS262" s="184"/>
      <c r="AT262" s="184"/>
      <c r="AU262" s="184"/>
      <c r="AV262" s="184"/>
      <c r="AW262" s="505"/>
      <c r="AX262" s="134">
        <f>Balanza!G467</f>
        <v>79.11</v>
      </c>
      <c r="AY262" s="134">
        <f>Balanza!C467</f>
        <v>1910089.68</v>
      </c>
      <c r="AZ262" s="131"/>
    </row>
    <row r="263" spans="1:52" ht="15.75" customHeight="1">
      <c r="A263" s="353" t="s">
        <v>1393</v>
      </c>
      <c r="B263" s="507" t="s">
        <v>6880</v>
      </c>
      <c r="C263" s="184"/>
      <c r="D263" s="184"/>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184"/>
      <c r="AR263" s="184"/>
      <c r="AS263" s="184"/>
      <c r="AT263" s="184"/>
      <c r="AU263" s="184"/>
      <c r="AV263" s="184"/>
      <c r="AW263" s="505"/>
      <c r="AX263" s="134">
        <f>Balanza!G468</f>
        <v>127184.56</v>
      </c>
      <c r="AY263" s="134">
        <f>Balanza!C468</f>
        <v>43941.96</v>
      </c>
      <c r="AZ263" s="131"/>
    </row>
    <row r="264" spans="1:52" ht="15.75" customHeight="1">
      <c r="A264" s="503" t="s">
        <v>1395</v>
      </c>
      <c r="B264" s="183" t="s">
        <v>1396</v>
      </c>
      <c r="C264" s="184"/>
      <c r="D264" s="184"/>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184"/>
      <c r="AR264" s="184"/>
      <c r="AS264" s="184"/>
      <c r="AT264" s="184"/>
      <c r="AU264" s="184"/>
      <c r="AV264" s="184"/>
      <c r="AW264" s="505"/>
      <c r="AX264" s="318">
        <f t="shared" ref="AX264:AY264" si="66">SUM(AX265:AX266)</f>
        <v>150174627.97999999</v>
      </c>
      <c r="AY264" s="318">
        <f t="shared" si="66"/>
        <v>222253408.75999999</v>
      </c>
      <c r="AZ264" s="131"/>
    </row>
    <row r="265" spans="1:52" ht="15.75" customHeight="1">
      <c r="A265" s="353" t="s">
        <v>1397</v>
      </c>
      <c r="B265" s="507" t="s">
        <v>6881</v>
      </c>
      <c r="C265" s="184"/>
      <c r="D265" s="184"/>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505"/>
      <c r="AX265" s="134">
        <f>Balanza!G470</f>
        <v>150174627.97999999</v>
      </c>
      <c r="AY265" s="134">
        <f>Balanza!C470</f>
        <v>222253408.75999999</v>
      </c>
      <c r="AZ265" s="131"/>
    </row>
    <row r="266" spans="1:52" ht="15.75" customHeight="1">
      <c r="A266" s="353" t="s">
        <v>1398</v>
      </c>
      <c r="B266" s="507" t="s">
        <v>6882</v>
      </c>
      <c r="C266" s="184"/>
      <c r="D266" s="184"/>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184"/>
      <c r="AR266" s="184"/>
      <c r="AS266" s="184"/>
      <c r="AT266" s="184"/>
      <c r="AU266" s="184"/>
      <c r="AV266" s="184"/>
      <c r="AW266" s="505"/>
      <c r="AX266" s="134">
        <f>Balanza!G471</f>
        <v>0</v>
      </c>
      <c r="AY266" s="134">
        <f>Balanza!C471</f>
        <v>0</v>
      </c>
      <c r="AZ266" s="131"/>
    </row>
    <row r="267" spans="1:52" ht="15.75" customHeight="1">
      <c r="A267" s="503" t="s">
        <v>1400</v>
      </c>
      <c r="B267" s="183" t="s">
        <v>1401</v>
      </c>
      <c r="C267" s="184"/>
      <c r="D267" s="184"/>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184"/>
      <c r="AR267" s="184"/>
      <c r="AS267" s="184"/>
      <c r="AT267" s="184"/>
      <c r="AU267" s="184"/>
      <c r="AV267" s="184"/>
      <c r="AW267" s="505"/>
      <c r="AX267" s="318">
        <f t="shared" ref="AX267:AY267" si="67">SUM(AX268:AX272)</f>
        <v>192509.18</v>
      </c>
      <c r="AY267" s="318">
        <f t="shared" si="67"/>
        <v>76942239.810000002</v>
      </c>
      <c r="AZ267" s="131"/>
    </row>
    <row r="268" spans="1:52" ht="15.75" customHeight="1">
      <c r="A268" s="353" t="s">
        <v>1402</v>
      </c>
      <c r="B268" s="507" t="s">
        <v>6883</v>
      </c>
      <c r="C268" s="184"/>
      <c r="D268" s="184"/>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184"/>
      <c r="AR268" s="184"/>
      <c r="AS268" s="184"/>
      <c r="AT268" s="184"/>
      <c r="AU268" s="184"/>
      <c r="AV268" s="184"/>
      <c r="AW268" s="505"/>
      <c r="AX268" s="134">
        <f>Balanza!G473</f>
        <v>165041.19</v>
      </c>
      <c r="AY268" s="134">
        <f>Balanza!C473</f>
        <v>56256816.090000004</v>
      </c>
      <c r="AZ268" s="131"/>
    </row>
    <row r="269" spans="1:52" ht="15.75" customHeight="1">
      <c r="A269" s="353" t="s">
        <v>1404</v>
      </c>
      <c r="B269" s="507" t="s">
        <v>6884</v>
      </c>
      <c r="C269" s="184"/>
      <c r="D269" s="184"/>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505"/>
      <c r="AX269" s="134">
        <f>Balanza!G474</f>
        <v>0</v>
      </c>
      <c r="AY269" s="134">
        <f>Balanza!C474</f>
        <v>19833041.890000001</v>
      </c>
      <c r="AZ269" s="131"/>
    </row>
    <row r="270" spans="1:52" ht="15.75" customHeight="1">
      <c r="A270" s="353" t="s">
        <v>1406</v>
      </c>
      <c r="B270" s="507" t="s">
        <v>6885</v>
      </c>
      <c r="C270" s="184"/>
      <c r="D270" s="184"/>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505"/>
      <c r="AX270" s="134">
        <f>Balanza!G475</f>
        <v>0</v>
      </c>
      <c r="AY270" s="134">
        <f>Balanza!C475</f>
        <v>207611.06</v>
      </c>
      <c r="AZ270" s="131"/>
    </row>
    <row r="271" spans="1:52" ht="15.75" customHeight="1">
      <c r="A271" s="353" t="s">
        <v>1408</v>
      </c>
      <c r="B271" s="507" t="s">
        <v>6886</v>
      </c>
      <c r="C271" s="184"/>
      <c r="D271" s="184"/>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505"/>
      <c r="AX271" s="134">
        <f>Balanza!G476</f>
        <v>866.78</v>
      </c>
      <c r="AY271" s="134">
        <f>Balanza!C476</f>
        <v>1194.99</v>
      </c>
      <c r="AZ271" s="131"/>
    </row>
    <row r="272" spans="1:52" ht="15.75" customHeight="1">
      <c r="A272" s="353" t="s">
        <v>1410</v>
      </c>
      <c r="B272" s="507" t="s">
        <v>6887</v>
      </c>
      <c r="C272" s="184"/>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505"/>
      <c r="AX272" s="134">
        <f>Balanza!G477</f>
        <v>26601.21</v>
      </c>
      <c r="AY272" s="134">
        <f>Balanza!C477</f>
        <v>643575.78</v>
      </c>
      <c r="AZ272" s="131"/>
    </row>
    <row r="273" spans="1:52" ht="15.75" customHeight="1">
      <c r="A273" s="503" t="s">
        <v>1412</v>
      </c>
      <c r="B273" s="183" t="s">
        <v>1413</v>
      </c>
      <c r="C273" s="184"/>
      <c r="D273" s="184"/>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505"/>
      <c r="AX273" s="318">
        <f t="shared" ref="AX273:AY273" si="68">SUM(AX274:AX276)</f>
        <v>3759858.22</v>
      </c>
      <c r="AY273" s="318">
        <f t="shared" si="68"/>
        <v>0</v>
      </c>
      <c r="AZ273" s="131"/>
    </row>
    <row r="274" spans="1:52" ht="15.75" customHeight="1">
      <c r="A274" s="353" t="s">
        <v>1414</v>
      </c>
      <c r="B274" s="507" t="s">
        <v>6888</v>
      </c>
      <c r="C274" s="184"/>
      <c r="D274" s="184"/>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505"/>
      <c r="AX274" s="134">
        <f>Balanza!G479</f>
        <v>0</v>
      </c>
      <c r="AY274" s="134">
        <f>Balanza!C479</f>
        <v>0</v>
      </c>
      <c r="AZ274" s="131"/>
    </row>
    <row r="275" spans="1:52" ht="15.75" customHeight="1">
      <c r="A275" s="353" t="s">
        <v>1416</v>
      </c>
      <c r="B275" s="507" t="s">
        <v>6889</v>
      </c>
      <c r="C275" s="184"/>
      <c r="D275" s="184"/>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505"/>
      <c r="AX275" s="134">
        <f>Balanza!G480</f>
        <v>3759858.22</v>
      </c>
      <c r="AY275" s="134">
        <f>Balanza!C480</f>
        <v>0</v>
      </c>
      <c r="AZ275" s="131"/>
    </row>
    <row r="276" spans="1:52" ht="15.75" customHeight="1">
      <c r="A276" s="353" t="s">
        <v>1418</v>
      </c>
      <c r="B276" s="507" t="s">
        <v>6890</v>
      </c>
      <c r="C276" s="184"/>
      <c r="D276" s="184"/>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505"/>
      <c r="AX276" s="134">
        <f>Balanza!G481</f>
        <v>0</v>
      </c>
      <c r="AY276" s="134">
        <f>Balanza!C481</f>
        <v>0</v>
      </c>
      <c r="AZ276" s="131"/>
    </row>
    <row r="277" spans="1:52" ht="15.75" customHeight="1">
      <c r="A277" s="503" t="s">
        <v>1420</v>
      </c>
      <c r="B277" s="183" t="s">
        <v>1421</v>
      </c>
      <c r="C277" s="184"/>
      <c r="D277" s="184"/>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505"/>
      <c r="AX277" s="318">
        <f t="shared" ref="AX277:AY277" si="69">SUM(AX278:AX286)</f>
        <v>271323.19</v>
      </c>
      <c r="AY277" s="318">
        <f t="shared" si="69"/>
        <v>16289689</v>
      </c>
      <c r="AZ277" s="131"/>
    </row>
    <row r="278" spans="1:52" ht="15.75" customHeight="1">
      <c r="A278" s="353" t="s">
        <v>1422</v>
      </c>
      <c r="B278" s="507" t="s">
        <v>6891</v>
      </c>
      <c r="C278" s="184"/>
      <c r="D278" s="184"/>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505"/>
      <c r="AX278" s="134">
        <f>Balanza!G483</f>
        <v>72084.44</v>
      </c>
      <c r="AY278" s="134">
        <f>Balanza!C483</f>
        <v>2462260.5099999998</v>
      </c>
      <c r="AZ278" s="131"/>
    </row>
    <row r="279" spans="1:52" ht="15.75" customHeight="1">
      <c r="A279" s="353" t="s">
        <v>1424</v>
      </c>
      <c r="B279" s="507" t="s">
        <v>6892</v>
      </c>
      <c r="C279" s="184"/>
      <c r="D279" s="184"/>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505"/>
      <c r="AX279" s="134">
        <f>Balanza!G484</f>
        <v>29889.16</v>
      </c>
      <c r="AY279" s="134">
        <f>Balanza!C484</f>
        <v>574310.57999999996</v>
      </c>
      <c r="AZ279" s="131"/>
    </row>
    <row r="280" spans="1:52" ht="15.75" customHeight="1">
      <c r="A280" s="353" t="s">
        <v>1426</v>
      </c>
      <c r="B280" s="507" t="s">
        <v>6893</v>
      </c>
      <c r="C280" s="184"/>
      <c r="D280" s="184"/>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505"/>
      <c r="AX280" s="134">
        <f>Balanza!G485</f>
        <v>2460</v>
      </c>
      <c r="AY280" s="134">
        <f>Balanza!C485</f>
        <v>430934.8</v>
      </c>
      <c r="AZ280" s="131"/>
    </row>
    <row r="281" spans="1:52" ht="15.75" customHeight="1">
      <c r="A281" s="353" t="s">
        <v>1428</v>
      </c>
      <c r="B281" s="507" t="s">
        <v>6894</v>
      </c>
      <c r="C281" s="184"/>
      <c r="D281" s="184"/>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505"/>
      <c r="AX281" s="134">
        <f>Balanza!G486</f>
        <v>61267.08</v>
      </c>
      <c r="AY281" s="134">
        <f>Balanza!C486</f>
        <v>1549419.2</v>
      </c>
      <c r="AZ281" s="131"/>
    </row>
    <row r="282" spans="1:52" ht="15.75" customHeight="1">
      <c r="A282" s="353" t="s">
        <v>1430</v>
      </c>
      <c r="B282" s="507" t="s">
        <v>6895</v>
      </c>
      <c r="C282" s="184"/>
      <c r="D282" s="184"/>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505"/>
      <c r="AX282" s="134">
        <f>Balanza!G487</f>
        <v>32549.49</v>
      </c>
      <c r="AY282" s="134">
        <f>Balanza!C487</f>
        <v>777768</v>
      </c>
      <c r="AZ282" s="131"/>
    </row>
    <row r="283" spans="1:52" ht="15.75" customHeight="1">
      <c r="A283" s="353" t="s">
        <v>1432</v>
      </c>
      <c r="B283" s="507" t="s">
        <v>6896</v>
      </c>
      <c r="C283" s="184"/>
      <c r="D283" s="184"/>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505"/>
      <c r="AX283" s="134">
        <f>Balanza!G488</f>
        <v>862.5</v>
      </c>
      <c r="AY283" s="134">
        <f>Balanza!C488</f>
        <v>8572017.0999999996</v>
      </c>
      <c r="AZ283" s="131"/>
    </row>
    <row r="284" spans="1:52" ht="15.75" customHeight="1">
      <c r="A284" s="353" t="s">
        <v>1434</v>
      </c>
      <c r="B284" s="507" t="s">
        <v>6897</v>
      </c>
      <c r="C284" s="184"/>
      <c r="D284" s="184"/>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505"/>
      <c r="AX284" s="134">
        <f>Balanza!G489</f>
        <v>0</v>
      </c>
      <c r="AY284" s="134">
        <f>Balanza!C489</f>
        <v>0</v>
      </c>
      <c r="AZ284" s="131"/>
    </row>
    <row r="285" spans="1:52" ht="15.75" customHeight="1">
      <c r="A285" s="353" t="s">
        <v>1436</v>
      </c>
      <c r="B285" s="507" t="s">
        <v>6898</v>
      </c>
      <c r="C285" s="184"/>
      <c r="D285" s="184"/>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505"/>
      <c r="AX285" s="134">
        <f>Balanza!G490</f>
        <v>71713.52</v>
      </c>
      <c r="AY285" s="134">
        <f>Balanza!C490</f>
        <v>1840324.5</v>
      </c>
      <c r="AZ285" s="131"/>
    </row>
    <row r="286" spans="1:52" ht="15.75" customHeight="1">
      <c r="A286" s="353" t="s">
        <v>1438</v>
      </c>
      <c r="B286" s="507" t="s">
        <v>6899</v>
      </c>
      <c r="C286" s="184"/>
      <c r="D286" s="184"/>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184"/>
      <c r="AR286" s="184"/>
      <c r="AS286" s="184"/>
      <c r="AT286" s="184"/>
      <c r="AU286" s="184"/>
      <c r="AV286" s="184"/>
      <c r="AW286" s="505"/>
      <c r="AX286" s="134">
        <f>Balanza!G491</f>
        <v>497</v>
      </c>
      <c r="AY286" s="134">
        <f>Balanza!C491</f>
        <v>82654.31</v>
      </c>
      <c r="AZ286" s="131"/>
    </row>
    <row r="287" spans="1:52" ht="15.75" customHeight="1">
      <c r="A287" s="503" t="s">
        <v>1440</v>
      </c>
      <c r="B287" s="183" t="s">
        <v>1441</v>
      </c>
      <c r="C287" s="184"/>
      <c r="D287" s="184"/>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505"/>
      <c r="AX287" s="416">
        <f t="shared" ref="AX287:AY287" si="70">AX288+AX298+AX308+AX318+AX328+AX338+AX346+AX356+AX362</f>
        <v>1107861333.7</v>
      </c>
      <c r="AY287" s="416">
        <f t="shared" si="70"/>
        <v>2508323876.5900002</v>
      </c>
      <c r="AZ287" s="131"/>
    </row>
    <row r="288" spans="1:52" ht="15.75" customHeight="1">
      <c r="A288" s="503" t="s">
        <v>1442</v>
      </c>
      <c r="B288" s="183" t="s">
        <v>1443</v>
      </c>
      <c r="C288" s="184"/>
      <c r="D288" s="184"/>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505"/>
      <c r="AX288" s="318">
        <f t="shared" ref="AX288:AY288" si="71">SUM(AX289:AX297)</f>
        <v>145631017.90000004</v>
      </c>
      <c r="AY288" s="318">
        <f t="shared" si="71"/>
        <v>244628958.96000001</v>
      </c>
      <c r="AZ288" s="131"/>
    </row>
    <row r="289" spans="1:52" ht="15.75" customHeight="1">
      <c r="A289" s="353" t="s">
        <v>1444</v>
      </c>
      <c r="B289" s="507" t="s">
        <v>6900</v>
      </c>
      <c r="C289" s="184"/>
      <c r="D289" s="184"/>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505"/>
      <c r="AX289" s="134">
        <f>Balanza!G494</f>
        <v>140324059.86000001</v>
      </c>
      <c r="AY289" s="134">
        <f>Balanza!C494</f>
        <v>214696857.71000001</v>
      </c>
      <c r="AZ289" s="131"/>
    </row>
    <row r="290" spans="1:52" ht="15.75" customHeight="1">
      <c r="A290" s="353" t="s">
        <v>1446</v>
      </c>
      <c r="B290" s="507" t="s">
        <v>6901</v>
      </c>
      <c r="C290" s="184"/>
      <c r="D290" s="184"/>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505"/>
      <c r="AX290" s="134">
        <f>Balanza!G495</f>
        <v>1531137.36</v>
      </c>
      <c r="AY290" s="134">
        <f>Balanza!C495</f>
        <v>2787186.01</v>
      </c>
      <c r="AZ290" s="131"/>
    </row>
    <row r="291" spans="1:52" ht="15.75" customHeight="1">
      <c r="A291" s="353" t="s">
        <v>1448</v>
      </c>
      <c r="B291" s="507" t="s">
        <v>6902</v>
      </c>
      <c r="C291" s="184"/>
      <c r="D291" s="184"/>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505"/>
      <c r="AX291" s="134">
        <f>Balanza!G496</f>
        <v>47092</v>
      </c>
      <c r="AY291" s="134">
        <f>Balanza!C496</f>
        <v>254894.41</v>
      </c>
      <c r="AZ291" s="131"/>
    </row>
    <row r="292" spans="1:52" ht="15.75" customHeight="1">
      <c r="A292" s="353" t="s">
        <v>1450</v>
      </c>
      <c r="B292" s="507" t="s">
        <v>6903</v>
      </c>
      <c r="C292" s="184"/>
      <c r="D292" s="184"/>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184"/>
      <c r="AR292" s="184"/>
      <c r="AS292" s="184"/>
      <c r="AT292" s="184"/>
      <c r="AU292" s="184"/>
      <c r="AV292" s="184"/>
      <c r="AW292" s="505"/>
      <c r="AX292" s="134">
        <f>Balanza!G497</f>
        <v>0</v>
      </c>
      <c r="AY292" s="134">
        <f>Balanza!C497</f>
        <v>3105531.96</v>
      </c>
      <c r="AZ292" s="131"/>
    </row>
    <row r="293" spans="1:52" ht="15.75" customHeight="1">
      <c r="A293" s="353" t="s">
        <v>1452</v>
      </c>
      <c r="B293" s="507" t="s">
        <v>6904</v>
      </c>
      <c r="C293" s="184"/>
      <c r="D293" s="184"/>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505"/>
      <c r="AX293" s="134">
        <f>Balanza!G498</f>
        <v>0</v>
      </c>
      <c r="AY293" s="134">
        <f>Balanza!C498</f>
        <v>0</v>
      </c>
      <c r="AZ293" s="131"/>
    </row>
    <row r="294" spans="1:52" ht="15.75" customHeight="1">
      <c r="A294" s="353" t="s">
        <v>1454</v>
      </c>
      <c r="B294" s="507" t="s">
        <v>6905</v>
      </c>
      <c r="C294" s="184"/>
      <c r="D294" s="184"/>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505"/>
      <c r="AX294" s="134">
        <f>Balanza!G499</f>
        <v>0</v>
      </c>
      <c r="AY294" s="134">
        <f>Balanza!C499</f>
        <v>7672111.6900000004</v>
      </c>
      <c r="AZ294" s="131"/>
    </row>
    <row r="295" spans="1:52" ht="15.75" customHeight="1">
      <c r="A295" s="353" t="s">
        <v>1456</v>
      </c>
      <c r="B295" s="507" t="s">
        <v>6906</v>
      </c>
      <c r="C295" s="184"/>
      <c r="D295" s="184"/>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c r="AV295" s="184"/>
      <c r="AW295" s="505"/>
      <c r="AX295" s="134">
        <f>Balanza!G500</f>
        <v>3713400.05</v>
      </c>
      <c r="AY295" s="134">
        <f>Balanza!C500</f>
        <v>16079646.24</v>
      </c>
      <c r="AZ295" s="131"/>
    </row>
    <row r="296" spans="1:52" ht="15.75" customHeight="1">
      <c r="A296" s="353" t="s">
        <v>1458</v>
      </c>
      <c r="B296" s="507" t="s">
        <v>6907</v>
      </c>
      <c r="C296" s="184"/>
      <c r="D296" s="184"/>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4"/>
      <c r="AU296" s="184"/>
      <c r="AV296" s="184"/>
      <c r="AW296" s="505"/>
      <c r="AX296" s="134">
        <f>Balanza!G501</f>
        <v>15328.63</v>
      </c>
      <c r="AY296" s="134">
        <f>Balanza!C501</f>
        <v>32730.94</v>
      </c>
      <c r="AZ296" s="131"/>
    </row>
    <row r="297" spans="1:52" ht="15.75" customHeight="1">
      <c r="A297" s="353" t="s">
        <v>1460</v>
      </c>
      <c r="B297" s="507" t="s">
        <v>6908</v>
      </c>
      <c r="C297" s="184"/>
      <c r="D297" s="184"/>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184"/>
      <c r="AR297" s="184"/>
      <c r="AS297" s="184"/>
      <c r="AT297" s="184"/>
      <c r="AU297" s="184"/>
      <c r="AV297" s="184"/>
      <c r="AW297" s="505"/>
      <c r="AX297" s="134">
        <f>Balanza!G502</f>
        <v>0</v>
      </c>
      <c r="AY297" s="134">
        <f>Balanza!C502</f>
        <v>0</v>
      </c>
      <c r="AZ297" s="131"/>
    </row>
    <row r="298" spans="1:52" ht="15.75" customHeight="1">
      <c r="A298" s="503" t="s">
        <v>1462</v>
      </c>
      <c r="B298" s="183" t="s">
        <v>1463</v>
      </c>
      <c r="C298" s="184"/>
      <c r="D298" s="184"/>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184"/>
      <c r="AR298" s="184"/>
      <c r="AS298" s="184"/>
      <c r="AT298" s="184"/>
      <c r="AU298" s="184"/>
      <c r="AV298" s="184"/>
      <c r="AW298" s="505"/>
      <c r="AX298" s="318">
        <f t="shared" ref="AX298:AY298" si="72">SUM(AX299:AX307)</f>
        <v>33554367.159999996</v>
      </c>
      <c r="AY298" s="318">
        <f t="shared" si="72"/>
        <v>321391621.02999997</v>
      </c>
      <c r="AZ298" s="131"/>
    </row>
    <row r="299" spans="1:52" ht="15.75" customHeight="1">
      <c r="A299" s="353" t="s">
        <v>1464</v>
      </c>
      <c r="B299" s="507" t="s">
        <v>6909</v>
      </c>
      <c r="C299" s="184"/>
      <c r="D299" s="184"/>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184"/>
      <c r="AR299" s="184"/>
      <c r="AS299" s="184"/>
      <c r="AT299" s="184"/>
      <c r="AU299" s="184"/>
      <c r="AV299" s="184"/>
      <c r="AW299" s="505"/>
      <c r="AX299" s="134">
        <f>Balanza!G504</f>
        <v>0</v>
      </c>
      <c r="AY299" s="134">
        <f>Balanza!C504</f>
        <v>0</v>
      </c>
      <c r="AZ299" s="131"/>
    </row>
    <row r="300" spans="1:52" ht="15.75" customHeight="1">
      <c r="A300" s="353" t="s">
        <v>1466</v>
      </c>
      <c r="B300" s="507" t="s">
        <v>6910</v>
      </c>
      <c r="C300" s="184"/>
      <c r="D300" s="184"/>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184"/>
      <c r="AR300" s="184"/>
      <c r="AS300" s="184"/>
      <c r="AT300" s="184"/>
      <c r="AU300" s="184"/>
      <c r="AV300" s="184"/>
      <c r="AW300" s="505"/>
      <c r="AX300" s="134">
        <f>Balanza!G505</f>
        <v>9264943.1999999993</v>
      </c>
      <c r="AY300" s="134">
        <f>Balanza!C505</f>
        <v>14939343.98</v>
      </c>
      <c r="AZ300" s="131"/>
    </row>
    <row r="301" spans="1:52" ht="15.75" customHeight="1">
      <c r="A301" s="353" t="s">
        <v>1468</v>
      </c>
      <c r="B301" s="507" t="s">
        <v>6911</v>
      </c>
      <c r="C301" s="184"/>
      <c r="D301" s="184"/>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184"/>
      <c r="AR301" s="184"/>
      <c r="AS301" s="184"/>
      <c r="AT301" s="184"/>
      <c r="AU301" s="184"/>
      <c r="AV301" s="184"/>
      <c r="AW301" s="505"/>
      <c r="AX301" s="134">
        <f>Balanza!G506</f>
        <v>5623774.2199999997</v>
      </c>
      <c r="AY301" s="134">
        <f>Balanza!C506</f>
        <v>12663761.67</v>
      </c>
      <c r="AZ301" s="131"/>
    </row>
    <row r="302" spans="1:52" ht="15.75" customHeight="1">
      <c r="A302" s="353" t="s">
        <v>1470</v>
      </c>
      <c r="B302" s="507" t="s">
        <v>6912</v>
      </c>
      <c r="C302" s="184"/>
      <c r="D302" s="184"/>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184"/>
      <c r="AR302" s="184"/>
      <c r="AS302" s="184"/>
      <c r="AT302" s="184"/>
      <c r="AU302" s="184"/>
      <c r="AV302" s="184"/>
      <c r="AW302" s="505"/>
      <c r="AX302" s="134">
        <f>Balanza!G507</f>
        <v>0</v>
      </c>
      <c r="AY302" s="134">
        <f>Balanza!C507</f>
        <v>0</v>
      </c>
      <c r="AZ302" s="131"/>
    </row>
    <row r="303" spans="1:52" ht="15.75" customHeight="1">
      <c r="A303" s="353" t="s">
        <v>1472</v>
      </c>
      <c r="B303" s="507" t="s">
        <v>6913</v>
      </c>
      <c r="C303" s="184"/>
      <c r="D303" s="184"/>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184"/>
      <c r="AR303" s="184"/>
      <c r="AS303" s="184"/>
      <c r="AT303" s="184"/>
      <c r="AU303" s="184"/>
      <c r="AV303" s="184"/>
      <c r="AW303" s="505"/>
      <c r="AX303" s="134">
        <f>Balanza!G508</f>
        <v>0</v>
      </c>
      <c r="AY303" s="134">
        <f>Balanza!C508</f>
        <v>223116708.53999999</v>
      </c>
      <c r="AZ303" s="131"/>
    </row>
    <row r="304" spans="1:52" ht="15.75" customHeight="1">
      <c r="A304" s="353" t="s">
        <v>1474</v>
      </c>
      <c r="B304" s="507" t="s">
        <v>6914</v>
      </c>
      <c r="C304" s="184"/>
      <c r="D304" s="184"/>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184"/>
      <c r="AR304" s="184"/>
      <c r="AS304" s="184"/>
      <c r="AT304" s="184"/>
      <c r="AU304" s="184"/>
      <c r="AV304" s="184"/>
      <c r="AW304" s="505"/>
      <c r="AX304" s="134">
        <f>Balanza!G509</f>
        <v>17971969.739999998</v>
      </c>
      <c r="AY304" s="134">
        <f>Balanza!C509</f>
        <v>68315396.760000005</v>
      </c>
      <c r="AZ304" s="131"/>
    </row>
    <row r="305" spans="1:52" ht="15.75" customHeight="1">
      <c r="A305" s="353" t="s">
        <v>1476</v>
      </c>
      <c r="B305" s="507" t="s">
        <v>6915</v>
      </c>
      <c r="C305" s="184"/>
      <c r="D305" s="184"/>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184"/>
      <c r="AR305" s="184"/>
      <c r="AS305" s="184"/>
      <c r="AT305" s="184"/>
      <c r="AU305" s="184"/>
      <c r="AV305" s="184"/>
      <c r="AW305" s="505"/>
      <c r="AX305" s="134">
        <f>Balanza!G510</f>
        <v>0</v>
      </c>
      <c r="AY305" s="134">
        <f>Balanza!C510</f>
        <v>0</v>
      </c>
      <c r="AZ305" s="131"/>
    </row>
    <row r="306" spans="1:52" ht="15.75" customHeight="1">
      <c r="A306" s="353" t="s">
        <v>1478</v>
      </c>
      <c r="B306" s="507" t="s">
        <v>6916</v>
      </c>
      <c r="C306" s="184"/>
      <c r="D306" s="184"/>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184"/>
      <c r="AR306" s="184"/>
      <c r="AS306" s="184"/>
      <c r="AT306" s="184"/>
      <c r="AU306" s="184"/>
      <c r="AV306" s="184"/>
      <c r="AW306" s="505"/>
      <c r="AX306" s="134">
        <f>Balanza!G511</f>
        <v>0</v>
      </c>
      <c r="AY306" s="134">
        <f>Balanza!C511</f>
        <v>0</v>
      </c>
      <c r="AZ306" s="131"/>
    </row>
    <row r="307" spans="1:52" ht="15.75" customHeight="1">
      <c r="A307" s="353" t="s">
        <v>1480</v>
      </c>
      <c r="B307" s="507" t="s">
        <v>6917</v>
      </c>
      <c r="C307" s="184"/>
      <c r="D307" s="184"/>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184"/>
      <c r="AR307" s="184"/>
      <c r="AS307" s="184"/>
      <c r="AT307" s="184"/>
      <c r="AU307" s="184"/>
      <c r="AV307" s="184"/>
      <c r="AW307" s="505"/>
      <c r="AX307" s="134">
        <f>Balanza!G512</f>
        <v>693680</v>
      </c>
      <c r="AY307" s="134">
        <f>Balanza!C512</f>
        <v>2356410.08</v>
      </c>
      <c r="AZ307" s="131"/>
    </row>
    <row r="308" spans="1:52" ht="15.75" customHeight="1">
      <c r="A308" s="503" t="s">
        <v>1482</v>
      </c>
      <c r="B308" s="183" t="s">
        <v>1483</v>
      </c>
      <c r="C308" s="184"/>
      <c r="D308" s="184"/>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184"/>
      <c r="AR308" s="184"/>
      <c r="AS308" s="184"/>
      <c r="AT308" s="184"/>
      <c r="AU308" s="184"/>
      <c r="AV308" s="184"/>
      <c r="AW308" s="505"/>
      <c r="AX308" s="318">
        <f t="shared" ref="AX308:AY308" si="73">SUM(AX309:AX317)</f>
        <v>19041529.039999999</v>
      </c>
      <c r="AY308" s="318">
        <f t="shared" si="73"/>
        <v>191962616.60999998</v>
      </c>
      <c r="AZ308" s="131"/>
    </row>
    <row r="309" spans="1:52" ht="15.75" customHeight="1">
      <c r="A309" s="353" t="s">
        <v>1484</v>
      </c>
      <c r="B309" s="507" t="s">
        <v>6918</v>
      </c>
      <c r="C309" s="184"/>
      <c r="D309" s="184"/>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184"/>
      <c r="AR309" s="184"/>
      <c r="AS309" s="184"/>
      <c r="AT309" s="184"/>
      <c r="AU309" s="184"/>
      <c r="AV309" s="184"/>
      <c r="AW309" s="505"/>
      <c r="AX309" s="134">
        <f>Balanza!G514</f>
        <v>1061666.69</v>
      </c>
      <c r="AY309" s="134">
        <f>Balanza!C514</f>
        <v>96147695.090000004</v>
      </c>
      <c r="AZ309" s="131"/>
    </row>
    <row r="310" spans="1:52" ht="15.75" customHeight="1">
      <c r="A310" s="353" t="s">
        <v>1486</v>
      </c>
      <c r="B310" s="507" t="s">
        <v>6919</v>
      </c>
      <c r="C310" s="184"/>
      <c r="D310" s="184"/>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184"/>
      <c r="AR310" s="184"/>
      <c r="AS310" s="184"/>
      <c r="AT310" s="184"/>
      <c r="AU310" s="184"/>
      <c r="AV310" s="184"/>
      <c r="AW310" s="505"/>
      <c r="AX310" s="134">
        <f>Balanza!G515</f>
        <v>0</v>
      </c>
      <c r="AY310" s="134">
        <f>Balanza!C515</f>
        <v>19457277.210000001</v>
      </c>
      <c r="AZ310" s="131"/>
    </row>
    <row r="311" spans="1:52" ht="15.75" customHeight="1">
      <c r="A311" s="353" t="s">
        <v>1488</v>
      </c>
      <c r="B311" s="507" t="s">
        <v>6920</v>
      </c>
      <c r="C311" s="184"/>
      <c r="D311" s="184"/>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184"/>
      <c r="AR311" s="184"/>
      <c r="AS311" s="184"/>
      <c r="AT311" s="184"/>
      <c r="AU311" s="184"/>
      <c r="AV311" s="184"/>
      <c r="AW311" s="505"/>
      <c r="AX311" s="134">
        <f>Balanza!G516</f>
        <v>3599480</v>
      </c>
      <c r="AY311" s="134">
        <f>Balanza!C516</f>
        <v>46451238.600000001</v>
      </c>
      <c r="AZ311" s="131"/>
    </row>
    <row r="312" spans="1:52" ht="15.75" customHeight="1">
      <c r="A312" s="353" t="s">
        <v>1490</v>
      </c>
      <c r="B312" s="507" t="s">
        <v>6921</v>
      </c>
      <c r="C312" s="184"/>
      <c r="D312" s="184"/>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184"/>
      <c r="AR312" s="184"/>
      <c r="AS312" s="184"/>
      <c r="AT312" s="184"/>
      <c r="AU312" s="184"/>
      <c r="AV312" s="184"/>
      <c r="AW312" s="505"/>
      <c r="AX312" s="134">
        <f>Balanza!G517</f>
        <v>45650</v>
      </c>
      <c r="AY312" s="134">
        <f>Balanza!C517</f>
        <v>4278270.67</v>
      </c>
      <c r="AZ312" s="131"/>
    </row>
    <row r="313" spans="1:52" ht="15.75" customHeight="1">
      <c r="A313" s="353" t="s">
        <v>1492</v>
      </c>
      <c r="B313" s="507" t="s">
        <v>6922</v>
      </c>
      <c r="C313" s="184"/>
      <c r="D313" s="184"/>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184"/>
      <c r="AR313" s="184"/>
      <c r="AS313" s="184"/>
      <c r="AT313" s="184"/>
      <c r="AU313" s="184"/>
      <c r="AV313" s="184"/>
      <c r="AW313" s="505"/>
      <c r="AX313" s="134">
        <f>Balanza!G518</f>
        <v>0</v>
      </c>
      <c r="AY313" s="134">
        <f>Balanza!C518</f>
        <v>1719199.99</v>
      </c>
      <c r="AZ313" s="131"/>
    </row>
    <row r="314" spans="1:52" ht="15.75" customHeight="1">
      <c r="A314" s="353" t="s">
        <v>1494</v>
      </c>
      <c r="B314" s="507" t="s">
        <v>6923</v>
      </c>
      <c r="C314" s="184"/>
      <c r="D314" s="184"/>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184"/>
      <c r="AR314" s="184"/>
      <c r="AS314" s="184"/>
      <c r="AT314" s="184"/>
      <c r="AU314" s="184"/>
      <c r="AV314" s="184"/>
      <c r="AW314" s="505"/>
      <c r="AX314" s="134">
        <f>Balanza!G519</f>
        <v>2649270.9500000002</v>
      </c>
      <c r="AY314" s="134">
        <f>Balanza!C519</f>
        <v>6252244.29</v>
      </c>
      <c r="AZ314" s="131"/>
    </row>
    <row r="315" spans="1:52" ht="15.75" customHeight="1">
      <c r="A315" s="353" t="s">
        <v>1496</v>
      </c>
      <c r="B315" s="507" t="s">
        <v>6924</v>
      </c>
      <c r="C315" s="184"/>
      <c r="D315" s="184"/>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184"/>
      <c r="AR315" s="184"/>
      <c r="AS315" s="184"/>
      <c r="AT315" s="184"/>
      <c r="AU315" s="184"/>
      <c r="AV315" s="184"/>
      <c r="AW315" s="505"/>
      <c r="AX315" s="134">
        <f>Balanza!G520</f>
        <v>0</v>
      </c>
      <c r="AY315" s="134">
        <f>Balanza!C520</f>
        <v>0</v>
      </c>
      <c r="AZ315" s="131"/>
    </row>
    <row r="316" spans="1:52" ht="15.75" customHeight="1">
      <c r="A316" s="353" t="s">
        <v>1498</v>
      </c>
      <c r="B316" s="507" t="s">
        <v>6925</v>
      </c>
      <c r="C316" s="184"/>
      <c r="D316" s="184"/>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184"/>
      <c r="AR316" s="184"/>
      <c r="AS316" s="184"/>
      <c r="AT316" s="184"/>
      <c r="AU316" s="184"/>
      <c r="AV316" s="184"/>
      <c r="AW316" s="505"/>
      <c r="AX316" s="134">
        <f>Balanza!G521</f>
        <v>1869610.28</v>
      </c>
      <c r="AY316" s="134">
        <f>Balanza!C521</f>
        <v>356556.91</v>
      </c>
      <c r="AZ316" s="131"/>
    </row>
    <row r="317" spans="1:52" ht="15.75" customHeight="1">
      <c r="A317" s="353" t="s">
        <v>1500</v>
      </c>
      <c r="B317" s="507" t="s">
        <v>6926</v>
      </c>
      <c r="C317" s="184"/>
      <c r="D317" s="184"/>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184"/>
      <c r="AR317" s="184"/>
      <c r="AS317" s="184"/>
      <c r="AT317" s="184"/>
      <c r="AU317" s="184"/>
      <c r="AV317" s="184"/>
      <c r="AW317" s="505"/>
      <c r="AX317" s="134">
        <f>Balanza!G522</f>
        <v>9815851.1199999992</v>
      </c>
      <c r="AY317" s="134">
        <f>Balanza!C522</f>
        <v>17300133.850000001</v>
      </c>
      <c r="AZ317" s="131"/>
    </row>
    <row r="318" spans="1:52" ht="15.75" customHeight="1">
      <c r="A318" s="503" t="s">
        <v>1502</v>
      </c>
      <c r="B318" s="183" t="s">
        <v>1503</v>
      </c>
      <c r="C318" s="184"/>
      <c r="D318" s="184"/>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184"/>
      <c r="AR318" s="184"/>
      <c r="AS318" s="184"/>
      <c r="AT318" s="184"/>
      <c r="AU318" s="184"/>
      <c r="AV318" s="184"/>
      <c r="AW318" s="505"/>
      <c r="AX318" s="318">
        <f t="shared" ref="AX318:AY318" si="74">SUM(AX319:AX327)</f>
        <v>169256888.12</v>
      </c>
      <c r="AY318" s="318">
        <f t="shared" si="74"/>
        <v>228635492.06</v>
      </c>
      <c r="AZ318" s="131"/>
    </row>
    <row r="319" spans="1:52" ht="15.75" customHeight="1">
      <c r="A319" s="353" t="s">
        <v>1504</v>
      </c>
      <c r="B319" s="507" t="s">
        <v>6927</v>
      </c>
      <c r="C319" s="184"/>
      <c r="D319" s="184"/>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184"/>
      <c r="AR319" s="184"/>
      <c r="AS319" s="184"/>
      <c r="AT319" s="184"/>
      <c r="AU319" s="184"/>
      <c r="AV319" s="184"/>
      <c r="AW319" s="505"/>
      <c r="AX319" s="134">
        <f>Balanza!G524</f>
        <v>31325558.379999999</v>
      </c>
      <c r="AY319" s="134">
        <f>Balanza!C524</f>
        <v>30235891.149999999</v>
      </c>
      <c r="AZ319" s="131"/>
    </row>
    <row r="320" spans="1:52" ht="15.75" customHeight="1">
      <c r="A320" s="353" t="s">
        <v>1506</v>
      </c>
      <c r="B320" s="507" t="s">
        <v>6928</v>
      </c>
      <c r="C320" s="184"/>
      <c r="D320" s="184"/>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184"/>
      <c r="AR320" s="184"/>
      <c r="AS320" s="184"/>
      <c r="AT320" s="184"/>
      <c r="AU320" s="184"/>
      <c r="AV320" s="184"/>
      <c r="AW320" s="505"/>
      <c r="AX320" s="134">
        <f>Balanza!G525</f>
        <v>15055963.609999999</v>
      </c>
      <c r="AY320" s="134">
        <f>Balanza!C525</f>
        <v>70361314.510000005</v>
      </c>
      <c r="AZ320" s="131"/>
    </row>
    <row r="321" spans="1:52" ht="15.75" customHeight="1">
      <c r="A321" s="353" t="s">
        <v>1508</v>
      </c>
      <c r="B321" s="507" t="s">
        <v>6929</v>
      </c>
      <c r="C321" s="184"/>
      <c r="D321" s="184"/>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184"/>
      <c r="AR321" s="184"/>
      <c r="AS321" s="184"/>
      <c r="AT321" s="184"/>
      <c r="AU321" s="184"/>
      <c r="AV321" s="184"/>
      <c r="AW321" s="505"/>
      <c r="AX321" s="134">
        <f>Balanza!G526</f>
        <v>3648462.42</v>
      </c>
      <c r="AY321" s="134">
        <f>Balanza!C526</f>
        <v>5583431.2000000002</v>
      </c>
      <c r="AZ321" s="131"/>
    </row>
    <row r="322" spans="1:52" ht="15.75" customHeight="1">
      <c r="A322" s="353" t="s">
        <v>1510</v>
      </c>
      <c r="B322" s="507" t="s">
        <v>6930</v>
      </c>
      <c r="C322" s="184"/>
      <c r="D322" s="184"/>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184"/>
      <c r="AR322" s="184"/>
      <c r="AS322" s="184"/>
      <c r="AT322" s="184"/>
      <c r="AU322" s="184"/>
      <c r="AV322" s="184"/>
      <c r="AW322" s="505"/>
      <c r="AX322" s="134">
        <f>Balanza!G527</f>
        <v>45000</v>
      </c>
      <c r="AY322" s="134">
        <f>Balanza!C527</f>
        <v>413595.46</v>
      </c>
      <c r="AZ322" s="131"/>
    </row>
    <row r="323" spans="1:52" ht="15.75" customHeight="1">
      <c r="A323" s="353" t="s">
        <v>1512</v>
      </c>
      <c r="B323" s="507" t="s">
        <v>6931</v>
      </c>
      <c r="C323" s="184"/>
      <c r="D323" s="184"/>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184"/>
      <c r="AR323" s="184"/>
      <c r="AS323" s="184"/>
      <c r="AT323" s="184"/>
      <c r="AU323" s="184"/>
      <c r="AV323" s="184"/>
      <c r="AW323" s="505"/>
      <c r="AX323" s="134">
        <f>Balanza!G528</f>
        <v>106016077.70999999</v>
      </c>
      <c r="AY323" s="134">
        <f>Balanza!C528</f>
        <v>109022579.73999999</v>
      </c>
      <c r="AZ323" s="131"/>
    </row>
    <row r="324" spans="1:52" ht="15.75" customHeight="1">
      <c r="A324" s="353" t="s">
        <v>1514</v>
      </c>
      <c r="B324" s="507" t="s">
        <v>6932</v>
      </c>
      <c r="C324" s="184"/>
      <c r="D324" s="184"/>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184"/>
      <c r="AR324" s="184"/>
      <c r="AS324" s="184"/>
      <c r="AT324" s="184"/>
      <c r="AU324" s="184"/>
      <c r="AV324" s="184"/>
      <c r="AW324" s="505"/>
      <c r="AX324" s="134">
        <f>Balanza!G529</f>
        <v>13148716</v>
      </c>
      <c r="AY324" s="134">
        <f>Balanza!C529</f>
        <v>10788000</v>
      </c>
      <c r="AZ324" s="131"/>
    </row>
    <row r="325" spans="1:52" ht="15.75" customHeight="1">
      <c r="A325" s="353" t="s">
        <v>1516</v>
      </c>
      <c r="B325" s="507" t="s">
        <v>6933</v>
      </c>
      <c r="C325" s="184"/>
      <c r="D325" s="184"/>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184"/>
      <c r="AR325" s="184"/>
      <c r="AS325" s="184"/>
      <c r="AT325" s="184"/>
      <c r="AU325" s="184"/>
      <c r="AV325" s="184"/>
      <c r="AW325" s="505"/>
      <c r="AX325" s="134">
        <f>Balanza!G530</f>
        <v>17110</v>
      </c>
      <c r="AY325" s="134">
        <f>Balanza!C530</f>
        <v>2230680</v>
      </c>
      <c r="AZ325" s="131"/>
    </row>
    <row r="326" spans="1:52" ht="15.75" customHeight="1">
      <c r="A326" s="353" t="s">
        <v>1518</v>
      </c>
      <c r="B326" s="507" t="s">
        <v>6934</v>
      </c>
      <c r="C326" s="184"/>
      <c r="D326" s="184"/>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184"/>
      <c r="AR326" s="184"/>
      <c r="AS326" s="184"/>
      <c r="AT326" s="184"/>
      <c r="AU326" s="184"/>
      <c r="AV326" s="184"/>
      <c r="AW326" s="505"/>
      <c r="AX326" s="134">
        <f>Balanza!G531</f>
        <v>0</v>
      </c>
      <c r="AY326" s="134">
        <f>Balanza!C531</f>
        <v>0</v>
      </c>
      <c r="AZ326" s="131"/>
    </row>
    <row r="327" spans="1:52" ht="15.75" customHeight="1">
      <c r="A327" s="353" t="s">
        <v>1520</v>
      </c>
      <c r="B327" s="507" t="s">
        <v>6935</v>
      </c>
      <c r="C327" s="184"/>
      <c r="D327" s="184"/>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184"/>
      <c r="AR327" s="184"/>
      <c r="AS327" s="184"/>
      <c r="AT327" s="184"/>
      <c r="AU327" s="184"/>
      <c r="AV327" s="184"/>
      <c r="AW327" s="505"/>
      <c r="AX327" s="134">
        <f>Balanza!G532</f>
        <v>0</v>
      </c>
      <c r="AY327" s="134">
        <f>Balanza!C532</f>
        <v>0</v>
      </c>
      <c r="AZ327" s="131"/>
    </row>
    <row r="328" spans="1:52" ht="15.75" customHeight="1">
      <c r="A328" s="503" t="s">
        <v>1522</v>
      </c>
      <c r="B328" s="183" t="s">
        <v>1523</v>
      </c>
      <c r="C328" s="184"/>
      <c r="D328" s="184"/>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184"/>
      <c r="AR328" s="184"/>
      <c r="AS328" s="184"/>
      <c r="AT328" s="184"/>
      <c r="AU328" s="184"/>
      <c r="AV328" s="184"/>
      <c r="AW328" s="505"/>
      <c r="AX328" s="318">
        <f t="shared" ref="AX328:AY328" si="75">SUM(AX329:AX337)</f>
        <v>305883659.84000003</v>
      </c>
      <c r="AY328" s="318">
        <f t="shared" si="75"/>
        <v>845962941.02999997</v>
      </c>
      <c r="AZ328" s="131"/>
    </row>
    <row r="329" spans="1:52" ht="15.75" customHeight="1">
      <c r="A329" s="353" t="s">
        <v>1524</v>
      </c>
      <c r="B329" s="507" t="s">
        <v>6936</v>
      </c>
      <c r="C329" s="184"/>
      <c r="D329" s="184"/>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184"/>
      <c r="AR329" s="184"/>
      <c r="AS329" s="184"/>
      <c r="AT329" s="184"/>
      <c r="AU329" s="184"/>
      <c r="AV329" s="184"/>
      <c r="AW329" s="505"/>
      <c r="AX329" s="134">
        <f>Balanza!G534</f>
        <v>9121398.5299999993</v>
      </c>
      <c r="AY329" s="134">
        <f>Balanza!C534</f>
        <v>92169569.819999993</v>
      </c>
      <c r="AZ329" s="131"/>
    </row>
    <row r="330" spans="1:52" ht="15.75" customHeight="1">
      <c r="A330" s="353" t="s">
        <v>1526</v>
      </c>
      <c r="B330" s="507" t="s">
        <v>6937</v>
      </c>
      <c r="C330" s="184"/>
      <c r="D330" s="184"/>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184"/>
      <c r="AR330" s="184"/>
      <c r="AS330" s="184"/>
      <c r="AT330" s="184"/>
      <c r="AU330" s="184"/>
      <c r="AV330" s="184"/>
      <c r="AW330" s="505"/>
      <c r="AX330" s="134">
        <f>Balanza!G535</f>
        <v>167397.16</v>
      </c>
      <c r="AY330" s="134">
        <f>Balanza!C535</f>
        <v>4390961.22</v>
      </c>
      <c r="AZ330" s="131"/>
    </row>
    <row r="331" spans="1:52" ht="15.75" customHeight="1">
      <c r="A331" s="353" t="s">
        <v>1528</v>
      </c>
      <c r="B331" s="507" t="s">
        <v>6938</v>
      </c>
      <c r="C331" s="184"/>
      <c r="D331" s="184"/>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184"/>
      <c r="AR331" s="184"/>
      <c r="AS331" s="184"/>
      <c r="AT331" s="184"/>
      <c r="AU331" s="184"/>
      <c r="AV331" s="184"/>
      <c r="AW331" s="505"/>
      <c r="AX331" s="134">
        <f>Balanza!G536</f>
        <v>18993057.43</v>
      </c>
      <c r="AY331" s="134">
        <f>Balanza!C536</f>
        <v>49392696.630000003</v>
      </c>
      <c r="AZ331" s="131"/>
    </row>
    <row r="332" spans="1:52" ht="15.75" customHeight="1">
      <c r="A332" s="353" t="s">
        <v>1530</v>
      </c>
      <c r="B332" s="507" t="s">
        <v>6939</v>
      </c>
      <c r="C332" s="184"/>
      <c r="D332" s="184"/>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184"/>
      <c r="AR332" s="184"/>
      <c r="AS332" s="184"/>
      <c r="AT332" s="184"/>
      <c r="AU332" s="184"/>
      <c r="AV332" s="184"/>
      <c r="AW332" s="505"/>
      <c r="AX332" s="134">
        <f>Balanza!G537</f>
        <v>0</v>
      </c>
      <c r="AY332" s="134">
        <f>Balanza!C537</f>
        <v>469846.4</v>
      </c>
      <c r="AZ332" s="131"/>
    </row>
    <row r="333" spans="1:52" ht="15.75" customHeight="1">
      <c r="A333" s="353" t="s">
        <v>1532</v>
      </c>
      <c r="B333" s="507" t="s">
        <v>6940</v>
      </c>
      <c r="C333" s="184"/>
      <c r="D333" s="184"/>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184"/>
      <c r="AR333" s="184"/>
      <c r="AS333" s="184"/>
      <c r="AT333" s="184"/>
      <c r="AU333" s="184"/>
      <c r="AV333" s="184"/>
      <c r="AW333" s="505"/>
      <c r="AX333" s="134">
        <f>Balanza!G538</f>
        <v>123824.2</v>
      </c>
      <c r="AY333" s="134">
        <f>Balanza!C538</f>
        <v>41794800.920000002</v>
      </c>
      <c r="AZ333" s="131"/>
    </row>
    <row r="334" spans="1:52" ht="15.75" customHeight="1">
      <c r="A334" s="353" t="s">
        <v>1534</v>
      </c>
      <c r="B334" s="507" t="s">
        <v>6941</v>
      </c>
      <c r="C334" s="184"/>
      <c r="D334" s="184"/>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184"/>
      <c r="AR334" s="184"/>
      <c r="AS334" s="184"/>
      <c r="AT334" s="184"/>
      <c r="AU334" s="184"/>
      <c r="AV334" s="184"/>
      <c r="AW334" s="505"/>
      <c r="AX334" s="134">
        <f>Balanza!G539</f>
        <v>0</v>
      </c>
      <c r="AY334" s="134">
        <f>Balanza!C539</f>
        <v>14651312.52</v>
      </c>
      <c r="AZ334" s="131"/>
    </row>
    <row r="335" spans="1:52" ht="15.75" customHeight="1">
      <c r="A335" s="353" t="s">
        <v>1536</v>
      </c>
      <c r="B335" s="507" t="s">
        <v>6942</v>
      </c>
      <c r="C335" s="184"/>
      <c r="D335" s="184"/>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184"/>
      <c r="AR335" s="184"/>
      <c r="AS335" s="184"/>
      <c r="AT335" s="184"/>
      <c r="AU335" s="184"/>
      <c r="AV335" s="184"/>
      <c r="AW335" s="505"/>
      <c r="AX335" s="134">
        <f>Balanza!G540</f>
        <v>15384577.359999999</v>
      </c>
      <c r="AY335" s="134">
        <f>Balanza!C540</f>
        <v>60519039.810000002</v>
      </c>
      <c r="AZ335" s="131"/>
    </row>
    <row r="336" spans="1:52" ht="15.75" customHeight="1">
      <c r="A336" s="353" t="s">
        <v>1538</v>
      </c>
      <c r="B336" s="507" t="s">
        <v>6943</v>
      </c>
      <c r="C336" s="184"/>
      <c r="D336" s="184"/>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184"/>
      <c r="AR336" s="184"/>
      <c r="AS336" s="184"/>
      <c r="AT336" s="184"/>
      <c r="AU336" s="184"/>
      <c r="AV336" s="184"/>
      <c r="AW336" s="505"/>
      <c r="AX336" s="134">
        <f>Balanza!G541</f>
        <v>234656201.87</v>
      </c>
      <c r="AY336" s="134">
        <f>Balanza!C541</f>
        <v>507837591.04000002</v>
      </c>
      <c r="AZ336" s="131"/>
    </row>
    <row r="337" spans="1:52" ht="15.75" customHeight="1">
      <c r="A337" s="353" t="s">
        <v>1540</v>
      </c>
      <c r="B337" s="507" t="s">
        <v>6944</v>
      </c>
      <c r="C337" s="184"/>
      <c r="D337" s="184"/>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184"/>
      <c r="AR337" s="184"/>
      <c r="AS337" s="184"/>
      <c r="AT337" s="184"/>
      <c r="AU337" s="184"/>
      <c r="AV337" s="184"/>
      <c r="AW337" s="505"/>
      <c r="AX337" s="134">
        <f>Balanza!G542</f>
        <v>27437203.289999999</v>
      </c>
      <c r="AY337" s="134">
        <f>Balanza!C542</f>
        <v>74737122.670000002</v>
      </c>
      <c r="AZ337" s="131"/>
    </row>
    <row r="338" spans="1:52" ht="15.75" customHeight="1">
      <c r="A338" s="503" t="s">
        <v>1542</v>
      </c>
      <c r="B338" s="183" t="s">
        <v>1543</v>
      </c>
      <c r="C338" s="184"/>
      <c r="D338" s="184"/>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184"/>
      <c r="AR338" s="184"/>
      <c r="AS338" s="184"/>
      <c r="AT338" s="184"/>
      <c r="AU338" s="184"/>
      <c r="AV338" s="184"/>
      <c r="AW338" s="505"/>
      <c r="AX338" s="318">
        <f t="shared" ref="AX338:AY338" si="76">SUM(AX339:AX345)</f>
        <v>22099558.970000003</v>
      </c>
      <c r="AY338" s="318">
        <f t="shared" si="76"/>
        <v>39687681</v>
      </c>
      <c r="AZ338" s="131"/>
    </row>
    <row r="339" spans="1:52" ht="15.75" customHeight="1">
      <c r="A339" s="353" t="s">
        <v>1544</v>
      </c>
      <c r="B339" s="507" t="s">
        <v>6945</v>
      </c>
      <c r="C339" s="184"/>
      <c r="D339" s="184"/>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184"/>
      <c r="AR339" s="184"/>
      <c r="AS339" s="184"/>
      <c r="AT339" s="184"/>
      <c r="AU339" s="184"/>
      <c r="AV339" s="184"/>
      <c r="AW339" s="505"/>
      <c r="AX339" s="134">
        <f>Balanza!G544</f>
        <v>12778292.279999999</v>
      </c>
      <c r="AY339" s="134">
        <f>Balanza!C544</f>
        <v>25426142.16</v>
      </c>
      <c r="AZ339" s="131"/>
    </row>
    <row r="340" spans="1:52" ht="15.75" customHeight="1">
      <c r="A340" s="353" t="s">
        <v>1546</v>
      </c>
      <c r="B340" s="507" t="s">
        <v>6946</v>
      </c>
      <c r="C340" s="184"/>
      <c r="D340" s="184"/>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184"/>
      <c r="AR340" s="184"/>
      <c r="AS340" s="184"/>
      <c r="AT340" s="184"/>
      <c r="AU340" s="184"/>
      <c r="AV340" s="184"/>
      <c r="AW340" s="505"/>
      <c r="AX340" s="134">
        <f>Balanza!G545</f>
        <v>0</v>
      </c>
      <c r="AY340" s="134">
        <f>Balanza!C545</f>
        <v>0</v>
      </c>
      <c r="AZ340" s="131"/>
    </row>
    <row r="341" spans="1:52" ht="15.75" customHeight="1">
      <c r="A341" s="353" t="s">
        <v>1548</v>
      </c>
      <c r="B341" s="507" t="s">
        <v>6947</v>
      </c>
      <c r="C341" s="184"/>
      <c r="D341" s="184"/>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184"/>
      <c r="AR341" s="184"/>
      <c r="AS341" s="184"/>
      <c r="AT341" s="184"/>
      <c r="AU341" s="184"/>
      <c r="AV341" s="184"/>
      <c r="AW341" s="505"/>
      <c r="AX341" s="134">
        <f>Balanza!G546</f>
        <v>432100</v>
      </c>
      <c r="AY341" s="134">
        <f>Balanza!C546</f>
        <v>4749999.93</v>
      </c>
      <c r="AZ341" s="131"/>
    </row>
    <row r="342" spans="1:52" ht="15.75" customHeight="1">
      <c r="A342" s="353" t="s">
        <v>1550</v>
      </c>
      <c r="B342" s="507" t="s">
        <v>6948</v>
      </c>
      <c r="C342" s="184"/>
      <c r="D342" s="184"/>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184"/>
      <c r="AR342" s="184"/>
      <c r="AS342" s="184"/>
      <c r="AT342" s="184"/>
      <c r="AU342" s="184"/>
      <c r="AV342" s="184"/>
      <c r="AW342" s="505"/>
      <c r="AX342" s="134">
        <f>Balanza!G547</f>
        <v>0</v>
      </c>
      <c r="AY342" s="134">
        <f>Balanza!C547</f>
        <v>0</v>
      </c>
      <c r="AZ342" s="131"/>
    </row>
    <row r="343" spans="1:52" ht="15.75" customHeight="1">
      <c r="A343" s="353" t="s">
        <v>1552</v>
      </c>
      <c r="B343" s="507" t="s">
        <v>6949</v>
      </c>
      <c r="C343" s="184"/>
      <c r="D343" s="184"/>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184"/>
      <c r="AR343" s="184"/>
      <c r="AS343" s="184"/>
      <c r="AT343" s="184"/>
      <c r="AU343" s="184"/>
      <c r="AV343" s="184"/>
      <c r="AW343" s="505"/>
      <c r="AX343" s="134">
        <f>Balanza!G548</f>
        <v>2260000.0099999998</v>
      </c>
      <c r="AY343" s="134">
        <f>Balanza!C548</f>
        <v>4754664</v>
      </c>
      <c r="AZ343" s="131"/>
    </row>
    <row r="344" spans="1:52" ht="15.75" customHeight="1">
      <c r="A344" s="353" t="s">
        <v>1554</v>
      </c>
      <c r="B344" s="507" t="s">
        <v>6950</v>
      </c>
      <c r="C344" s="184"/>
      <c r="D344" s="184"/>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184"/>
      <c r="AR344" s="184"/>
      <c r="AS344" s="184"/>
      <c r="AT344" s="184"/>
      <c r="AU344" s="184"/>
      <c r="AV344" s="184"/>
      <c r="AW344" s="505"/>
      <c r="AX344" s="134">
        <f>Balanza!G549</f>
        <v>6179999.9900000002</v>
      </c>
      <c r="AY344" s="134">
        <f>Balanza!C549</f>
        <v>4200000</v>
      </c>
      <c r="AZ344" s="131"/>
    </row>
    <row r="345" spans="1:52" ht="15.75" customHeight="1">
      <c r="A345" s="353" t="s">
        <v>1556</v>
      </c>
      <c r="B345" s="507" t="s">
        <v>6951</v>
      </c>
      <c r="C345" s="184"/>
      <c r="D345" s="184"/>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184"/>
      <c r="AR345" s="184"/>
      <c r="AS345" s="184"/>
      <c r="AT345" s="184"/>
      <c r="AU345" s="184"/>
      <c r="AV345" s="184"/>
      <c r="AW345" s="505"/>
      <c r="AX345" s="134">
        <f>Balanza!G550</f>
        <v>449166.69</v>
      </c>
      <c r="AY345" s="134">
        <f>Balanza!C550</f>
        <v>556874.91</v>
      </c>
      <c r="AZ345" s="131"/>
    </row>
    <row r="346" spans="1:52" ht="15.75" customHeight="1">
      <c r="A346" s="503" t="s">
        <v>1558</v>
      </c>
      <c r="B346" s="183" t="s">
        <v>1559</v>
      </c>
      <c r="C346" s="184"/>
      <c r="D346" s="184"/>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184"/>
      <c r="AR346" s="184"/>
      <c r="AS346" s="184"/>
      <c r="AT346" s="184"/>
      <c r="AU346" s="184"/>
      <c r="AV346" s="184"/>
      <c r="AW346" s="505"/>
      <c r="AX346" s="318">
        <f t="shared" ref="AX346:AY346" si="77">SUM(AX347:AX355)</f>
        <v>634500.86999999988</v>
      </c>
      <c r="AY346" s="318">
        <f t="shared" si="77"/>
        <v>1775872.66</v>
      </c>
      <c r="AZ346" s="131"/>
    </row>
    <row r="347" spans="1:52" ht="15.75" customHeight="1">
      <c r="A347" s="353" t="s">
        <v>1560</v>
      </c>
      <c r="B347" s="507" t="s">
        <v>6952</v>
      </c>
      <c r="C347" s="184"/>
      <c r="D347" s="184"/>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184"/>
      <c r="AR347" s="184"/>
      <c r="AS347" s="184"/>
      <c r="AT347" s="184"/>
      <c r="AU347" s="184"/>
      <c r="AV347" s="184"/>
      <c r="AW347" s="505"/>
      <c r="AX347" s="134">
        <f>Balanza!G552</f>
        <v>176918.61</v>
      </c>
      <c r="AY347" s="134">
        <f>Balanza!C552</f>
        <v>498221.51</v>
      </c>
      <c r="AZ347" s="131"/>
    </row>
    <row r="348" spans="1:52" ht="15.75" customHeight="1">
      <c r="A348" s="353" t="s">
        <v>1562</v>
      </c>
      <c r="B348" s="507" t="s">
        <v>6953</v>
      </c>
      <c r="C348" s="184"/>
      <c r="D348" s="184"/>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184"/>
      <c r="AR348" s="184"/>
      <c r="AS348" s="184"/>
      <c r="AT348" s="184"/>
      <c r="AU348" s="184"/>
      <c r="AV348" s="184"/>
      <c r="AW348" s="505"/>
      <c r="AX348" s="134">
        <f>Balanza!G553</f>
        <v>15957.86</v>
      </c>
      <c r="AY348" s="134">
        <f>Balanza!C553</f>
        <v>71341.25</v>
      </c>
      <c r="AZ348" s="131"/>
    </row>
    <row r="349" spans="1:52" ht="15.75" customHeight="1">
      <c r="A349" s="353" t="s">
        <v>1564</v>
      </c>
      <c r="B349" s="507" t="s">
        <v>6954</v>
      </c>
      <c r="C349" s="184"/>
      <c r="D349" s="184"/>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184"/>
      <c r="AR349" s="184"/>
      <c r="AS349" s="184"/>
      <c r="AT349" s="184"/>
      <c r="AU349" s="184"/>
      <c r="AV349" s="184"/>
      <c r="AW349" s="505"/>
      <c r="AX349" s="134">
        <f>Balanza!G554</f>
        <v>0</v>
      </c>
      <c r="AY349" s="134">
        <f>Balanza!C554</f>
        <v>0</v>
      </c>
      <c r="AZ349" s="131"/>
    </row>
    <row r="350" spans="1:52" ht="15.75" customHeight="1">
      <c r="A350" s="353" t="s">
        <v>1566</v>
      </c>
      <c r="B350" s="507" t="s">
        <v>6955</v>
      </c>
      <c r="C350" s="184"/>
      <c r="D350" s="184"/>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184"/>
      <c r="AR350" s="184"/>
      <c r="AS350" s="184"/>
      <c r="AT350" s="184"/>
      <c r="AU350" s="184"/>
      <c r="AV350" s="184"/>
      <c r="AW350" s="505"/>
      <c r="AX350" s="134">
        <f>Balanza!G555</f>
        <v>0</v>
      </c>
      <c r="AY350" s="134">
        <f>Balanza!C555</f>
        <v>0</v>
      </c>
      <c r="AZ350" s="131"/>
    </row>
    <row r="351" spans="1:52" ht="15.75" customHeight="1">
      <c r="A351" s="353" t="s">
        <v>1568</v>
      </c>
      <c r="B351" s="507" t="s">
        <v>6956</v>
      </c>
      <c r="C351" s="184"/>
      <c r="D351" s="184"/>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505"/>
      <c r="AX351" s="134">
        <f>Balanza!G556</f>
        <v>39148.79</v>
      </c>
      <c r="AY351" s="134">
        <f>Balanza!C556</f>
        <v>132126.48000000001</v>
      </c>
      <c r="AZ351" s="131"/>
    </row>
    <row r="352" spans="1:52" ht="15.75" customHeight="1">
      <c r="A352" s="353" t="s">
        <v>1570</v>
      </c>
      <c r="B352" s="507" t="s">
        <v>6957</v>
      </c>
      <c r="C352" s="184"/>
      <c r="D352" s="184"/>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184"/>
      <c r="AQ352" s="184"/>
      <c r="AR352" s="184"/>
      <c r="AS352" s="184"/>
      <c r="AT352" s="184"/>
      <c r="AU352" s="184"/>
      <c r="AV352" s="184"/>
      <c r="AW352" s="505"/>
      <c r="AX352" s="134">
        <f>Balanza!G557</f>
        <v>42143.51</v>
      </c>
      <c r="AY352" s="134">
        <f>Balanza!C557</f>
        <v>416921.96</v>
      </c>
      <c r="AZ352" s="131"/>
    </row>
    <row r="353" spans="1:52" ht="15.75" customHeight="1">
      <c r="A353" s="353" t="s">
        <v>1572</v>
      </c>
      <c r="B353" s="507" t="s">
        <v>6958</v>
      </c>
      <c r="C353" s="184"/>
      <c r="D353" s="184"/>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184"/>
      <c r="AR353" s="184"/>
      <c r="AS353" s="184"/>
      <c r="AT353" s="184"/>
      <c r="AU353" s="184"/>
      <c r="AV353" s="184"/>
      <c r="AW353" s="505"/>
      <c r="AX353" s="134">
        <f>Balanza!G558</f>
        <v>0</v>
      </c>
      <c r="AY353" s="134">
        <f>Balanza!C558</f>
        <v>0</v>
      </c>
      <c r="AZ353" s="131"/>
    </row>
    <row r="354" spans="1:52" ht="15.75" customHeight="1">
      <c r="A354" s="353" t="s">
        <v>1574</v>
      </c>
      <c r="B354" s="507" t="s">
        <v>6959</v>
      </c>
      <c r="C354" s="184"/>
      <c r="D354" s="184"/>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184"/>
      <c r="AR354" s="184"/>
      <c r="AS354" s="184"/>
      <c r="AT354" s="184"/>
      <c r="AU354" s="184"/>
      <c r="AV354" s="184"/>
      <c r="AW354" s="505"/>
      <c r="AX354" s="134">
        <f>Balanza!G559</f>
        <v>0</v>
      </c>
      <c r="AY354" s="134">
        <f>Balanza!C559</f>
        <v>0</v>
      </c>
      <c r="AZ354" s="131"/>
    </row>
    <row r="355" spans="1:52" ht="15.75" customHeight="1">
      <c r="A355" s="353" t="s">
        <v>1576</v>
      </c>
      <c r="B355" s="507" t="s">
        <v>6960</v>
      </c>
      <c r="C355" s="184"/>
      <c r="D355" s="184"/>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184"/>
      <c r="AK355" s="184"/>
      <c r="AL355" s="184"/>
      <c r="AM355" s="184"/>
      <c r="AN355" s="184"/>
      <c r="AO355" s="184"/>
      <c r="AP355" s="184"/>
      <c r="AQ355" s="184"/>
      <c r="AR355" s="184"/>
      <c r="AS355" s="184"/>
      <c r="AT355" s="184"/>
      <c r="AU355" s="184"/>
      <c r="AV355" s="184"/>
      <c r="AW355" s="505"/>
      <c r="AX355" s="134">
        <f>Balanza!G560</f>
        <v>360332.1</v>
      </c>
      <c r="AY355" s="134">
        <f>Balanza!C560</f>
        <v>657261.46</v>
      </c>
      <c r="AZ355" s="131"/>
    </row>
    <row r="356" spans="1:52" ht="15.75" customHeight="1">
      <c r="A356" s="503" t="s">
        <v>1578</v>
      </c>
      <c r="B356" s="183" t="s">
        <v>1579</v>
      </c>
      <c r="C356" s="184"/>
      <c r="D356" s="184"/>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184"/>
      <c r="AK356" s="184"/>
      <c r="AL356" s="184"/>
      <c r="AM356" s="184"/>
      <c r="AN356" s="184"/>
      <c r="AO356" s="184"/>
      <c r="AP356" s="184"/>
      <c r="AQ356" s="184"/>
      <c r="AR356" s="184"/>
      <c r="AS356" s="184"/>
      <c r="AT356" s="184"/>
      <c r="AU356" s="184"/>
      <c r="AV356" s="184"/>
      <c r="AW356" s="505"/>
      <c r="AX356" s="318">
        <f t="shared" ref="AX356:AY356" si="78">SUM(AX357:AX361)</f>
        <v>8508386.6699999999</v>
      </c>
      <c r="AY356" s="318">
        <f t="shared" si="78"/>
        <v>32342883.27</v>
      </c>
      <c r="AZ356" s="131"/>
    </row>
    <row r="357" spans="1:52" ht="15.75" customHeight="1">
      <c r="A357" s="353" t="s">
        <v>1580</v>
      </c>
      <c r="B357" s="507" t="s">
        <v>6961</v>
      </c>
      <c r="C357" s="184"/>
      <c r="D357" s="184"/>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184"/>
      <c r="AK357" s="184"/>
      <c r="AL357" s="184"/>
      <c r="AM357" s="184"/>
      <c r="AN357" s="184"/>
      <c r="AO357" s="184"/>
      <c r="AP357" s="184"/>
      <c r="AQ357" s="184"/>
      <c r="AR357" s="184"/>
      <c r="AS357" s="184"/>
      <c r="AT357" s="184"/>
      <c r="AU357" s="184"/>
      <c r="AV357" s="184"/>
      <c r="AW357" s="505"/>
      <c r="AX357" s="134">
        <f>Balanza!G562</f>
        <v>0</v>
      </c>
      <c r="AY357" s="134">
        <f>Balanza!C562</f>
        <v>0</v>
      </c>
      <c r="AZ357" s="131"/>
    </row>
    <row r="358" spans="1:52" ht="15.75" customHeight="1">
      <c r="A358" s="353" t="s">
        <v>1582</v>
      </c>
      <c r="B358" s="507" t="s">
        <v>6962</v>
      </c>
      <c r="C358" s="184"/>
      <c r="D358" s="184"/>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184"/>
      <c r="AR358" s="184"/>
      <c r="AS358" s="184"/>
      <c r="AT358" s="184"/>
      <c r="AU358" s="184"/>
      <c r="AV358" s="184"/>
      <c r="AW358" s="505"/>
      <c r="AX358" s="134">
        <f>Balanza!G563</f>
        <v>8176088.4299999997</v>
      </c>
      <c r="AY358" s="134">
        <f>Balanza!C563</f>
        <v>29144459.27</v>
      </c>
      <c r="AZ358" s="131"/>
    </row>
    <row r="359" spans="1:52" ht="15.75" customHeight="1">
      <c r="A359" s="353" t="s">
        <v>1584</v>
      </c>
      <c r="B359" s="507" t="s">
        <v>6963</v>
      </c>
      <c r="C359" s="184"/>
      <c r="D359" s="184"/>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184"/>
      <c r="AR359" s="184"/>
      <c r="AS359" s="184"/>
      <c r="AT359" s="184"/>
      <c r="AU359" s="184"/>
      <c r="AV359" s="184"/>
      <c r="AW359" s="505"/>
      <c r="AX359" s="134">
        <f>Balanza!G564</f>
        <v>312636.24</v>
      </c>
      <c r="AY359" s="134">
        <f>Balanza!C564</f>
        <v>406174</v>
      </c>
      <c r="AZ359" s="131"/>
    </row>
    <row r="360" spans="1:52" ht="15.75" customHeight="1">
      <c r="A360" s="353" t="s">
        <v>1586</v>
      </c>
      <c r="B360" s="507" t="s">
        <v>6964</v>
      </c>
      <c r="C360" s="184"/>
      <c r="D360" s="184"/>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184"/>
      <c r="AR360" s="184"/>
      <c r="AS360" s="184"/>
      <c r="AT360" s="184"/>
      <c r="AU360" s="184"/>
      <c r="AV360" s="184"/>
      <c r="AW360" s="505"/>
      <c r="AX360" s="134">
        <f>Balanza!G565</f>
        <v>0</v>
      </c>
      <c r="AY360" s="134">
        <f>Balanza!C565</f>
        <v>2786090</v>
      </c>
      <c r="AZ360" s="131"/>
    </row>
    <row r="361" spans="1:52" ht="15.75" customHeight="1">
      <c r="A361" s="353" t="s">
        <v>1588</v>
      </c>
      <c r="B361" s="507" t="s">
        <v>6965</v>
      </c>
      <c r="C361" s="184"/>
      <c r="D361" s="184"/>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184"/>
      <c r="AR361" s="184"/>
      <c r="AS361" s="184"/>
      <c r="AT361" s="184"/>
      <c r="AU361" s="184"/>
      <c r="AV361" s="184"/>
      <c r="AW361" s="505"/>
      <c r="AX361" s="134">
        <f>Balanza!G566</f>
        <v>19662</v>
      </c>
      <c r="AY361" s="134">
        <f>Balanza!C566</f>
        <v>6160</v>
      </c>
      <c r="AZ361" s="131"/>
    </row>
    <row r="362" spans="1:52" ht="15.75" customHeight="1">
      <c r="A362" s="503" t="s">
        <v>1590</v>
      </c>
      <c r="B362" s="183" t="s">
        <v>1591</v>
      </c>
      <c r="C362" s="184"/>
      <c r="D362" s="184"/>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184"/>
      <c r="AR362" s="184"/>
      <c r="AS362" s="184"/>
      <c r="AT362" s="184"/>
      <c r="AU362" s="184"/>
      <c r="AV362" s="184"/>
      <c r="AW362" s="505"/>
      <c r="AX362" s="318">
        <f t="shared" ref="AX362:AY362" si="79">SUM(AX363:AX371)</f>
        <v>403251425.13</v>
      </c>
      <c r="AY362" s="318">
        <f t="shared" si="79"/>
        <v>601935809.97000003</v>
      </c>
      <c r="AZ362" s="131"/>
    </row>
    <row r="363" spans="1:52" ht="15.75" customHeight="1">
      <c r="A363" s="353" t="s">
        <v>1592</v>
      </c>
      <c r="B363" s="507" t="s">
        <v>6966</v>
      </c>
      <c r="C363" s="184"/>
      <c r="D363" s="184"/>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184"/>
      <c r="AR363" s="184"/>
      <c r="AS363" s="184"/>
      <c r="AT363" s="184"/>
      <c r="AU363" s="184"/>
      <c r="AV363" s="184"/>
      <c r="AW363" s="505"/>
      <c r="AX363" s="134">
        <f>Balanza!G568</f>
        <v>0</v>
      </c>
      <c r="AY363" s="134">
        <f>Balanza!C568</f>
        <v>0</v>
      </c>
      <c r="AZ363" s="131"/>
    </row>
    <row r="364" spans="1:52" ht="15.75" customHeight="1">
      <c r="A364" s="353" t="s">
        <v>1594</v>
      </c>
      <c r="B364" s="507" t="s">
        <v>6967</v>
      </c>
      <c r="C364" s="184"/>
      <c r="D364" s="184"/>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184"/>
      <c r="AR364" s="184"/>
      <c r="AS364" s="184"/>
      <c r="AT364" s="184"/>
      <c r="AU364" s="184"/>
      <c r="AV364" s="184"/>
      <c r="AW364" s="505"/>
      <c r="AX364" s="134">
        <f>Balanza!G569</f>
        <v>3366225.9199999999</v>
      </c>
      <c r="AY364" s="134">
        <f>Balanza!C569</f>
        <v>3753886</v>
      </c>
      <c r="AZ364" s="131"/>
    </row>
    <row r="365" spans="1:52" ht="15.75" customHeight="1">
      <c r="A365" s="353" t="s">
        <v>1596</v>
      </c>
      <c r="B365" s="507" t="s">
        <v>6968</v>
      </c>
      <c r="C365" s="184"/>
      <c r="D365" s="184"/>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184"/>
      <c r="AR365" s="184"/>
      <c r="AS365" s="184"/>
      <c r="AT365" s="184"/>
      <c r="AU365" s="184"/>
      <c r="AV365" s="184"/>
      <c r="AW365" s="505"/>
      <c r="AX365" s="134">
        <f>Balanza!G570</f>
        <v>0</v>
      </c>
      <c r="AY365" s="134">
        <f>Balanza!C570</f>
        <v>0</v>
      </c>
      <c r="AZ365" s="131"/>
    </row>
    <row r="366" spans="1:52" ht="15.75" customHeight="1">
      <c r="A366" s="353" t="s">
        <v>1598</v>
      </c>
      <c r="B366" s="507" t="s">
        <v>6969</v>
      </c>
      <c r="C366" s="184"/>
      <c r="D366" s="184"/>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184"/>
      <c r="AR366" s="184"/>
      <c r="AS366" s="184"/>
      <c r="AT366" s="184"/>
      <c r="AU366" s="184"/>
      <c r="AV366" s="184"/>
      <c r="AW366" s="505"/>
      <c r="AX366" s="134">
        <f>Balanza!G571</f>
        <v>119233289.2</v>
      </c>
      <c r="AY366" s="134">
        <f>Balanza!C571</f>
        <v>93918726.760000005</v>
      </c>
      <c r="AZ366" s="131"/>
    </row>
    <row r="367" spans="1:52" ht="15.75" customHeight="1">
      <c r="A367" s="353" t="s">
        <v>1600</v>
      </c>
      <c r="B367" s="507" t="s">
        <v>6970</v>
      </c>
      <c r="C367" s="184"/>
      <c r="D367" s="184"/>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184"/>
      <c r="AR367" s="184"/>
      <c r="AS367" s="184"/>
      <c r="AT367" s="184"/>
      <c r="AU367" s="184"/>
      <c r="AV367" s="184"/>
      <c r="AW367" s="505"/>
      <c r="AX367" s="134">
        <f>Balanza!G572</f>
        <v>4595980.38</v>
      </c>
      <c r="AY367" s="134">
        <f>Balanza!C572</f>
        <v>10016144.92</v>
      </c>
      <c r="AZ367" s="131"/>
    </row>
    <row r="368" spans="1:52" ht="15.75" customHeight="1">
      <c r="A368" s="353" t="s">
        <v>1602</v>
      </c>
      <c r="B368" s="507" t="s">
        <v>6971</v>
      </c>
      <c r="C368" s="184"/>
      <c r="D368" s="184"/>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184"/>
      <c r="AQ368" s="184"/>
      <c r="AR368" s="184"/>
      <c r="AS368" s="184"/>
      <c r="AT368" s="184"/>
      <c r="AU368" s="184"/>
      <c r="AV368" s="184"/>
      <c r="AW368" s="505"/>
      <c r="AX368" s="134">
        <f>Balanza!G573</f>
        <v>0</v>
      </c>
      <c r="AY368" s="134">
        <f>Balanza!C573</f>
        <v>0</v>
      </c>
      <c r="AZ368" s="131"/>
    </row>
    <row r="369" spans="1:52" ht="15.75" customHeight="1">
      <c r="A369" s="353" t="s">
        <v>1604</v>
      </c>
      <c r="B369" s="507" t="s">
        <v>6972</v>
      </c>
      <c r="C369" s="184"/>
      <c r="D369" s="184"/>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184"/>
      <c r="AQ369" s="184"/>
      <c r="AR369" s="184"/>
      <c r="AS369" s="184"/>
      <c r="AT369" s="184"/>
      <c r="AU369" s="184"/>
      <c r="AV369" s="184"/>
      <c r="AW369" s="505"/>
      <c r="AX369" s="134">
        <f>Balanza!G574</f>
        <v>0</v>
      </c>
      <c r="AY369" s="134">
        <f>Balanza!C574</f>
        <v>0</v>
      </c>
      <c r="AZ369" s="131"/>
    </row>
    <row r="370" spans="1:52" ht="15.75" customHeight="1">
      <c r="A370" s="353" t="s">
        <v>1606</v>
      </c>
      <c r="B370" s="507" t="s">
        <v>6973</v>
      </c>
      <c r="C370" s="184"/>
      <c r="D370" s="184"/>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184"/>
      <c r="AR370" s="184"/>
      <c r="AS370" s="184"/>
      <c r="AT370" s="184"/>
      <c r="AU370" s="184"/>
      <c r="AV370" s="184"/>
      <c r="AW370" s="505"/>
      <c r="AX370" s="134">
        <f>Balanza!G575</f>
        <v>942619.75</v>
      </c>
      <c r="AY370" s="134">
        <f>Balanza!C575</f>
        <v>99185376.560000002</v>
      </c>
      <c r="AZ370" s="131"/>
    </row>
    <row r="371" spans="1:52" ht="15.75" customHeight="1">
      <c r="A371" s="353" t="s">
        <v>1608</v>
      </c>
      <c r="B371" s="507" t="s">
        <v>6974</v>
      </c>
      <c r="C371" s="184"/>
      <c r="D371" s="184"/>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184"/>
      <c r="AR371" s="184"/>
      <c r="AS371" s="184"/>
      <c r="AT371" s="184"/>
      <c r="AU371" s="184"/>
      <c r="AV371" s="184"/>
      <c r="AW371" s="505"/>
      <c r="AX371" s="134">
        <f>Balanza!G576</f>
        <v>275113309.88</v>
      </c>
      <c r="AY371" s="134">
        <f>Balanza!C576</f>
        <v>395061675.73000002</v>
      </c>
      <c r="AZ371" s="131"/>
    </row>
    <row r="372" spans="1:52" ht="15.75" customHeight="1">
      <c r="A372" s="503" t="s">
        <v>1609</v>
      </c>
      <c r="B372" s="509" t="s">
        <v>6975</v>
      </c>
      <c r="C372" s="184"/>
      <c r="D372" s="184"/>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184"/>
      <c r="AQ372" s="184"/>
      <c r="AR372" s="184"/>
      <c r="AS372" s="184"/>
      <c r="AT372" s="184"/>
      <c r="AU372" s="184"/>
      <c r="AV372" s="184"/>
      <c r="AW372" s="505"/>
      <c r="AX372" s="506">
        <f t="shared" ref="AX372:AY372" si="80">AX373+AX385+AX391+AX403+AX416+AX423+AX433+AX436+AX447</f>
        <v>897239155.44000006</v>
      </c>
      <c r="AY372" s="506">
        <f t="shared" si="80"/>
        <v>1294997565.05</v>
      </c>
      <c r="AZ372" s="131"/>
    </row>
    <row r="373" spans="1:52" ht="15.75" customHeight="1">
      <c r="A373" s="503" t="s">
        <v>1611</v>
      </c>
      <c r="B373" s="183" t="s">
        <v>1612</v>
      </c>
      <c r="C373" s="184"/>
      <c r="D373" s="184"/>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184"/>
      <c r="AQ373" s="184"/>
      <c r="AR373" s="184"/>
      <c r="AS373" s="184"/>
      <c r="AT373" s="184"/>
      <c r="AU373" s="184"/>
      <c r="AV373" s="184"/>
      <c r="AW373" s="505"/>
      <c r="AX373" s="416">
        <f t="shared" ref="AX373:AY373" si="81">AX374+AX384</f>
        <v>0</v>
      </c>
      <c r="AY373" s="416">
        <f t="shared" si="81"/>
        <v>0</v>
      </c>
      <c r="AZ373" s="131"/>
    </row>
    <row r="374" spans="1:52" ht="15.75" customHeight="1">
      <c r="A374" s="503" t="s">
        <v>1613</v>
      </c>
      <c r="B374" s="183" t="s">
        <v>1614</v>
      </c>
      <c r="C374" s="184"/>
      <c r="D374" s="184"/>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184"/>
      <c r="AR374" s="184"/>
      <c r="AS374" s="184"/>
      <c r="AT374" s="184"/>
      <c r="AU374" s="184"/>
      <c r="AV374" s="184"/>
      <c r="AW374" s="505"/>
      <c r="AX374" s="318">
        <f t="shared" ref="AX374:AY374" si="82">SUM(AX375:AX383)</f>
        <v>0</v>
      </c>
      <c r="AY374" s="318">
        <f t="shared" si="82"/>
        <v>0</v>
      </c>
      <c r="AZ374" s="131"/>
    </row>
    <row r="375" spans="1:52" ht="15.75" customHeight="1">
      <c r="A375" s="353" t="s">
        <v>1615</v>
      </c>
      <c r="B375" s="507" t="s">
        <v>6976</v>
      </c>
      <c r="C375" s="184"/>
      <c r="D375" s="184"/>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184"/>
      <c r="AR375" s="184"/>
      <c r="AS375" s="184"/>
      <c r="AT375" s="184"/>
      <c r="AU375" s="184"/>
      <c r="AV375" s="184"/>
      <c r="AW375" s="505"/>
      <c r="AX375" s="134">
        <f>Balanza!G580</f>
        <v>0</v>
      </c>
      <c r="AY375" s="134">
        <f>Balanza!C580</f>
        <v>0</v>
      </c>
      <c r="AZ375" s="131"/>
    </row>
    <row r="376" spans="1:52" ht="15.75" customHeight="1">
      <c r="A376" s="353" t="s">
        <v>1617</v>
      </c>
      <c r="B376" s="507" t="s">
        <v>6977</v>
      </c>
      <c r="C376" s="184"/>
      <c r="D376" s="184"/>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184"/>
      <c r="AR376" s="184"/>
      <c r="AS376" s="184"/>
      <c r="AT376" s="184"/>
      <c r="AU376" s="184"/>
      <c r="AV376" s="184"/>
      <c r="AW376" s="505"/>
      <c r="AX376" s="134">
        <f>Balanza!G581</f>
        <v>0</v>
      </c>
      <c r="AY376" s="134">
        <f>Balanza!C581</f>
        <v>0</v>
      </c>
      <c r="AZ376" s="131"/>
    </row>
    <row r="377" spans="1:52" ht="15.75" customHeight="1">
      <c r="A377" s="353" t="s">
        <v>1619</v>
      </c>
      <c r="B377" s="507" t="s">
        <v>6978</v>
      </c>
      <c r="C377" s="184"/>
      <c r="D377" s="184"/>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184"/>
      <c r="AR377" s="184"/>
      <c r="AS377" s="184"/>
      <c r="AT377" s="184"/>
      <c r="AU377" s="184"/>
      <c r="AV377" s="184"/>
      <c r="AW377" s="505"/>
      <c r="AX377" s="134">
        <f>Balanza!G582</f>
        <v>0</v>
      </c>
      <c r="AY377" s="134">
        <f>Balanza!C582</f>
        <v>0</v>
      </c>
      <c r="AZ377" s="131"/>
    </row>
    <row r="378" spans="1:52" ht="15.75" customHeight="1">
      <c r="A378" s="353" t="s">
        <v>1621</v>
      </c>
      <c r="B378" s="507" t="s">
        <v>6979</v>
      </c>
      <c r="C378" s="184"/>
      <c r="D378" s="184"/>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184"/>
      <c r="AQ378" s="184"/>
      <c r="AR378" s="184"/>
      <c r="AS378" s="184"/>
      <c r="AT378" s="184"/>
      <c r="AU378" s="184"/>
      <c r="AV378" s="184"/>
      <c r="AW378" s="505"/>
      <c r="AX378" s="134">
        <f>Balanza!G583</f>
        <v>0</v>
      </c>
      <c r="AY378" s="134">
        <f>Balanza!C583</f>
        <v>0</v>
      </c>
      <c r="AZ378" s="131"/>
    </row>
    <row r="379" spans="1:52" ht="15.75" customHeight="1">
      <c r="A379" s="353" t="s">
        <v>1623</v>
      </c>
      <c r="B379" s="507" t="s">
        <v>6980</v>
      </c>
      <c r="C379" s="184"/>
      <c r="D379" s="184"/>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184"/>
      <c r="AQ379" s="184"/>
      <c r="AR379" s="184"/>
      <c r="AS379" s="184"/>
      <c r="AT379" s="184"/>
      <c r="AU379" s="184"/>
      <c r="AV379" s="184"/>
      <c r="AW379" s="505"/>
      <c r="AX379" s="134">
        <f>Balanza!G584</f>
        <v>0</v>
      </c>
      <c r="AY379" s="134">
        <f>Balanza!C584</f>
        <v>0</v>
      </c>
      <c r="AZ379" s="131"/>
    </row>
    <row r="380" spans="1:52" ht="15.75" customHeight="1">
      <c r="A380" s="353" t="s">
        <v>1625</v>
      </c>
      <c r="B380" s="507" t="s">
        <v>6981</v>
      </c>
      <c r="C380" s="184"/>
      <c r="D380" s="184"/>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184"/>
      <c r="AQ380" s="184"/>
      <c r="AR380" s="184"/>
      <c r="AS380" s="184"/>
      <c r="AT380" s="184"/>
      <c r="AU380" s="184"/>
      <c r="AV380" s="184"/>
      <c r="AW380" s="505"/>
      <c r="AX380" s="134">
        <f>Balanza!G585</f>
        <v>0</v>
      </c>
      <c r="AY380" s="134">
        <f>Balanza!C585</f>
        <v>0</v>
      </c>
      <c r="AZ380" s="131"/>
    </row>
    <row r="381" spans="1:52" ht="15.75" customHeight="1">
      <c r="A381" s="353" t="s">
        <v>1627</v>
      </c>
      <c r="B381" s="507" t="s">
        <v>6982</v>
      </c>
      <c r="C381" s="184"/>
      <c r="D381" s="184"/>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184"/>
      <c r="AR381" s="184"/>
      <c r="AS381" s="184"/>
      <c r="AT381" s="184"/>
      <c r="AU381" s="184"/>
      <c r="AV381" s="184"/>
      <c r="AW381" s="505"/>
      <c r="AX381" s="134">
        <f>Balanza!G586</f>
        <v>0</v>
      </c>
      <c r="AY381" s="134">
        <f>Balanza!C586</f>
        <v>0</v>
      </c>
      <c r="AZ381" s="131"/>
    </row>
    <row r="382" spans="1:52" ht="15.75" customHeight="1">
      <c r="A382" s="353" t="s">
        <v>1629</v>
      </c>
      <c r="B382" s="507" t="s">
        <v>6983</v>
      </c>
      <c r="C382" s="184"/>
      <c r="D382" s="184"/>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184"/>
      <c r="AR382" s="184"/>
      <c r="AS382" s="184"/>
      <c r="AT382" s="184"/>
      <c r="AU382" s="184"/>
      <c r="AV382" s="184"/>
      <c r="AW382" s="505"/>
      <c r="AX382" s="134">
        <f>Balanza!G587</f>
        <v>0</v>
      </c>
      <c r="AY382" s="134">
        <f>Balanza!C587</f>
        <v>0</v>
      </c>
      <c r="AZ382" s="131"/>
    </row>
    <row r="383" spans="1:52" ht="15.75" customHeight="1">
      <c r="A383" s="353" t="s">
        <v>1631</v>
      </c>
      <c r="B383" s="507" t="s">
        <v>6984</v>
      </c>
      <c r="C383" s="184"/>
      <c r="D383" s="184"/>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184"/>
      <c r="AR383" s="184"/>
      <c r="AS383" s="184"/>
      <c r="AT383" s="184"/>
      <c r="AU383" s="184"/>
      <c r="AV383" s="184"/>
      <c r="AW383" s="505"/>
      <c r="AX383" s="134">
        <f>Balanza!G588</f>
        <v>0</v>
      </c>
      <c r="AY383" s="134">
        <f>Balanza!C588</f>
        <v>0</v>
      </c>
      <c r="AZ383" s="131"/>
    </row>
    <row r="384" spans="1:52" ht="15.75" customHeight="1">
      <c r="A384" s="503" t="s">
        <v>1633</v>
      </c>
      <c r="B384" s="183" t="s">
        <v>1634</v>
      </c>
      <c r="C384" s="184"/>
      <c r="D384" s="184"/>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184"/>
      <c r="AR384" s="184"/>
      <c r="AS384" s="184"/>
      <c r="AT384" s="184"/>
      <c r="AU384" s="184"/>
      <c r="AV384" s="184"/>
      <c r="AW384" s="505"/>
      <c r="AX384" s="318">
        <f>Balanza!G589</f>
        <v>0</v>
      </c>
      <c r="AY384" s="318">
        <f>Balanza!C589</f>
        <v>0</v>
      </c>
      <c r="AZ384" s="131"/>
    </row>
    <row r="385" spans="1:52" ht="15.75" customHeight="1">
      <c r="A385" s="503" t="s">
        <v>1635</v>
      </c>
      <c r="B385" s="183" t="s">
        <v>6985</v>
      </c>
      <c r="C385" s="184"/>
      <c r="D385" s="184"/>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184"/>
      <c r="AQ385" s="184"/>
      <c r="AR385" s="184"/>
      <c r="AS385" s="184"/>
      <c r="AT385" s="184"/>
      <c r="AU385" s="184"/>
      <c r="AV385" s="184"/>
      <c r="AW385" s="505"/>
      <c r="AX385" s="416">
        <f t="shared" ref="AX385:AY385" si="83">AX386+AX390</f>
        <v>617777968.36000001</v>
      </c>
      <c r="AY385" s="416">
        <f t="shared" si="83"/>
        <v>834323906.45000005</v>
      </c>
      <c r="AZ385" s="131"/>
    </row>
    <row r="386" spans="1:52" ht="15.75" customHeight="1">
      <c r="A386" s="503">
        <v>52210</v>
      </c>
      <c r="B386" s="183" t="s">
        <v>1637</v>
      </c>
      <c r="C386" s="184"/>
      <c r="D386" s="184"/>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184"/>
      <c r="AR386" s="184"/>
      <c r="AS386" s="184"/>
      <c r="AT386" s="184"/>
      <c r="AU386" s="184"/>
      <c r="AV386" s="184"/>
      <c r="AW386" s="505"/>
      <c r="AX386" s="318">
        <f t="shared" ref="AX386:AY386" si="84">SUM(AX387:AX389)</f>
        <v>617777968.36000001</v>
      </c>
      <c r="AY386" s="318">
        <f t="shared" si="84"/>
        <v>834323906.45000005</v>
      </c>
      <c r="AZ386" s="131"/>
    </row>
    <row r="387" spans="1:52" ht="15.75" customHeight="1">
      <c r="A387" s="353" t="s">
        <v>1638</v>
      </c>
      <c r="B387" s="507" t="s">
        <v>6986</v>
      </c>
      <c r="C387" s="184"/>
      <c r="D387" s="184"/>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184"/>
      <c r="AR387" s="184"/>
      <c r="AS387" s="184"/>
      <c r="AT387" s="184"/>
      <c r="AU387" s="184"/>
      <c r="AV387" s="184"/>
      <c r="AW387" s="505"/>
      <c r="AX387" s="134">
        <f>Balanza!G592</f>
        <v>617777968.36000001</v>
      </c>
      <c r="AY387" s="134">
        <f>Balanza!C592</f>
        <v>834323906.45000005</v>
      </c>
      <c r="AZ387" s="131"/>
    </row>
    <row r="388" spans="1:52" ht="15.75" customHeight="1">
      <c r="A388" s="353" t="s">
        <v>1640</v>
      </c>
      <c r="B388" s="507" t="s">
        <v>6987</v>
      </c>
      <c r="C388" s="184"/>
      <c r="D388" s="184"/>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184"/>
      <c r="AQ388" s="184"/>
      <c r="AR388" s="184"/>
      <c r="AS388" s="184"/>
      <c r="AT388" s="184"/>
      <c r="AU388" s="184"/>
      <c r="AV388" s="184"/>
      <c r="AW388" s="505"/>
      <c r="AX388" s="134">
        <f>Balanza!G593</f>
        <v>0</v>
      </c>
      <c r="AY388" s="134">
        <f>Balanza!C593</f>
        <v>0</v>
      </c>
      <c r="AZ388" s="131"/>
    </row>
    <row r="389" spans="1:52" ht="15.75" customHeight="1">
      <c r="A389" s="353" t="s">
        <v>1642</v>
      </c>
      <c r="B389" s="507" t="s">
        <v>6988</v>
      </c>
      <c r="C389" s="184"/>
      <c r="D389" s="184"/>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184"/>
      <c r="AR389" s="184"/>
      <c r="AS389" s="184"/>
      <c r="AT389" s="184"/>
      <c r="AU389" s="184"/>
      <c r="AV389" s="184"/>
      <c r="AW389" s="505"/>
      <c r="AX389" s="134">
        <f>Balanza!G594</f>
        <v>0</v>
      </c>
      <c r="AY389" s="134">
        <f>Balanza!C594</f>
        <v>0</v>
      </c>
      <c r="AZ389" s="131"/>
    </row>
    <row r="390" spans="1:52" ht="15.75" customHeight="1">
      <c r="A390" s="503" t="s">
        <v>6989</v>
      </c>
      <c r="B390" s="183" t="s">
        <v>1644</v>
      </c>
      <c r="C390" s="184"/>
      <c r="D390" s="184"/>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184"/>
      <c r="AR390" s="184"/>
      <c r="AS390" s="184"/>
      <c r="AT390" s="184"/>
      <c r="AU390" s="184"/>
      <c r="AV390" s="184"/>
      <c r="AW390" s="505"/>
      <c r="AX390" s="318">
        <f>Balanza!G595</f>
        <v>0</v>
      </c>
      <c r="AY390" s="318">
        <f>Balanza!C595</f>
        <v>0</v>
      </c>
      <c r="AZ390" s="131"/>
    </row>
    <row r="391" spans="1:52" ht="15.75" customHeight="1">
      <c r="A391" s="503" t="s">
        <v>1649</v>
      </c>
      <c r="B391" s="183" t="s">
        <v>1650</v>
      </c>
      <c r="C391" s="184"/>
      <c r="D391" s="184"/>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184"/>
      <c r="AQ391" s="184"/>
      <c r="AR391" s="184"/>
      <c r="AS391" s="184"/>
      <c r="AT391" s="184"/>
      <c r="AU391" s="184"/>
      <c r="AV391" s="184"/>
      <c r="AW391" s="505"/>
      <c r="AX391" s="416">
        <f t="shared" ref="AX391:AY391" si="85">AX392+AX401</f>
        <v>46970000</v>
      </c>
      <c r="AY391" s="416">
        <f t="shared" si="85"/>
        <v>64433385.399999999</v>
      </c>
      <c r="AZ391" s="131"/>
    </row>
    <row r="392" spans="1:52" ht="15.75" customHeight="1">
      <c r="A392" s="503" t="s">
        <v>1651</v>
      </c>
      <c r="B392" s="183" t="s">
        <v>1652</v>
      </c>
      <c r="C392" s="184"/>
      <c r="D392" s="184"/>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184"/>
      <c r="AR392" s="184"/>
      <c r="AS392" s="184"/>
      <c r="AT392" s="184"/>
      <c r="AU392" s="184"/>
      <c r="AV392" s="184"/>
      <c r="AW392" s="505"/>
      <c r="AX392" s="318">
        <f t="shared" ref="AX392:AY392" si="86">SUM(AX393:AX400)</f>
        <v>46970000</v>
      </c>
      <c r="AY392" s="318">
        <f t="shared" si="86"/>
        <v>64433385.399999999</v>
      </c>
      <c r="AZ392" s="131"/>
    </row>
    <row r="393" spans="1:52" ht="15.75" customHeight="1">
      <c r="A393" s="353" t="s">
        <v>1653</v>
      </c>
      <c r="B393" s="507" t="s">
        <v>6990</v>
      </c>
      <c r="C393" s="184"/>
      <c r="D393" s="184"/>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184"/>
      <c r="AR393" s="184"/>
      <c r="AS393" s="184"/>
      <c r="AT393" s="184"/>
      <c r="AU393" s="184"/>
      <c r="AV393" s="184"/>
      <c r="AW393" s="505"/>
      <c r="AX393" s="134">
        <f>Balanza!G600</f>
        <v>0</v>
      </c>
      <c r="AY393" s="134">
        <f>Balanza!C600</f>
        <v>0</v>
      </c>
      <c r="AZ393" s="131"/>
    </row>
    <row r="394" spans="1:52" ht="15.75" customHeight="1">
      <c r="A394" s="353" t="s">
        <v>1655</v>
      </c>
      <c r="B394" s="507" t="s">
        <v>6991</v>
      </c>
      <c r="C394" s="184"/>
      <c r="D394" s="184"/>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184"/>
      <c r="AQ394" s="184"/>
      <c r="AR394" s="184"/>
      <c r="AS394" s="184"/>
      <c r="AT394" s="184"/>
      <c r="AU394" s="184"/>
      <c r="AV394" s="184"/>
      <c r="AW394" s="505"/>
      <c r="AX394" s="134">
        <f>Balanza!G601</f>
        <v>0</v>
      </c>
      <c r="AY394" s="134">
        <f>Balanza!C601</f>
        <v>0</v>
      </c>
      <c r="AZ394" s="131"/>
    </row>
    <row r="395" spans="1:52" ht="15.75" customHeight="1">
      <c r="A395" s="353" t="s">
        <v>1657</v>
      </c>
      <c r="B395" s="507" t="s">
        <v>6992</v>
      </c>
      <c r="C395" s="184"/>
      <c r="D395" s="184"/>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184"/>
      <c r="AR395" s="184"/>
      <c r="AS395" s="184"/>
      <c r="AT395" s="184"/>
      <c r="AU395" s="184"/>
      <c r="AV395" s="184"/>
      <c r="AW395" s="505"/>
      <c r="AX395" s="134">
        <f>Balanza!G602</f>
        <v>0</v>
      </c>
      <c r="AY395" s="134">
        <f>Balanza!C602</f>
        <v>0</v>
      </c>
      <c r="AZ395" s="131"/>
    </row>
    <row r="396" spans="1:52" ht="15.75" customHeight="1">
      <c r="A396" s="353" t="s">
        <v>1659</v>
      </c>
      <c r="B396" s="507" t="s">
        <v>6993</v>
      </c>
      <c r="C396" s="184"/>
      <c r="D396" s="184"/>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184"/>
      <c r="AR396" s="184"/>
      <c r="AS396" s="184"/>
      <c r="AT396" s="184"/>
      <c r="AU396" s="184"/>
      <c r="AV396" s="184"/>
      <c r="AW396" s="505"/>
      <c r="AX396" s="134">
        <f>Balanza!G603</f>
        <v>0</v>
      </c>
      <c r="AY396" s="134">
        <f>Balanza!C603</f>
        <v>0</v>
      </c>
      <c r="AZ396" s="131"/>
    </row>
    <row r="397" spans="1:52" ht="15.75" customHeight="1">
      <c r="A397" s="353" t="s">
        <v>1661</v>
      </c>
      <c r="B397" s="507" t="s">
        <v>6994</v>
      </c>
      <c r="C397" s="184"/>
      <c r="D397" s="184"/>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184"/>
      <c r="AQ397" s="184"/>
      <c r="AR397" s="184"/>
      <c r="AS397" s="184"/>
      <c r="AT397" s="184"/>
      <c r="AU397" s="184"/>
      <c r="AV397" s="184"/>
      <c r="AW397" s="505"/>
      <c r="AX397" s="134">
        <f>Balanza!G604</f>
        <v>0</v>
      </c>
      <c r="AY397" s="134">
        <f>Balanza!C604</f>
        <v>0</v>
      </c>
      <c r="AZ397" s="131"/>
    </row>
    <row r="398" spans="1:52" ht="15.75" customHeight="1">
      <c r="A398" s="353" t="s">
        <v>1663</v>
      </c>
      <c r="B398" s="507" t="s">
        <v>6995</v>
      </c>
      <c r="C398" s="184"/>
      <c r="D398" s="184"/>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184"/>
      <c r="AR398" s="184"/>
      <c r="AS398" s="184"/>
      <c r="AT398" s="184"/>
      <c r="AU398" s="184"/>
      <c r="AV398" s="184"/>
      <c r="AW398" s="505"/>
      <c r="AX398" s="134">
        <f>Balanza!G605</f>
        <v>0</v>
      </c>
      <c r="AY398" s="134">
        <f>Balanza!C605</f>
        <v>0</v>
      </c>
      <c r="AZ398" s="131"/>
    </row>
    <row r="399" spans="1:52" ht="15.75" customHeight="1">
      <c r="A399" s="353" t="s">
        <v>1665</v>
      </c>
      <c r="B399" s="507" t="s">
        <v>6996</v>
      </c>
      <c r="C399" s="184"/>
      <c r="D399" s="184"/>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184"/>
      <c r="AR399" s="184"/>
      <c r="AS399" s="184"/>
      <c r="AT399" s="184"/>
      <c r="AU399" s="184"/>
      <c r="AV399" s="184"/>
      <c r="AW399" s="505"/>
      <c r="AX399" s="134">
        <f>Balanza!G606</f>
        <v>0</v>
      </c>
      <c r="AY399" s="134">
        <f>Balanza!C606</f>
        <v>0</v>
      </c>
      <c r="AZ399" s="131"/>
    </row>
    <row r="400" spans="1:52" ht="15.75" customHeight="1">
      <c r="A400" s="353" t="s">
        <v>1667</v>
      </c>
      <c r="B400" s="507" t="s">
        <v>6997</v>
      </c>
      <c r="C400" s="184"/>
      <c r="D400" s="184"/>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184"/>
      <c r="AQ400" s="184"/>
      <c r="AR400" s="184"/>
      <c r="AS400" s="184"/>
      <c r="AT400" s="184"/>
      <c r="AU400" s="184"/>
      <c r="AV400" s="184"/>
      <c r="AW400" s="505"/>
      <c r="AX400" s="134">
        <f>Balanza!G607</f>
        <v>46970000</v>
      </c>
      <c r="AY400" s="134">
        <f>Balanza!C607</f>
        <v>64433385.399999999</v>
      </c>
      <c r="AZ400" s="131"/>
    </row>
    <row r="401" spans="1:52" ht="15.75" customHeight="1">
      <c r="A401" s="503" t="s">
        <v>1669</v>
      </c>
      <c r="B401" s="183" t="s">
        <v>6998</v>
      </c>
      <c r="C401" s="184"/>
      <c r="D401" s="184"/>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184"/>
      <c r="AR401" s="184"/>
      <c r="AS401" s="184"/>
      <c r="AT401" s="184"/>
      <c r="AU401" s="184"/>
      <c r="AV401" s="184"/>
      <c r="AW401" s="505"/>
      <c r="AX401" s="318">
        <f t="shared" ref="AX401:AY401" si="87">SUM(AX402)</f>
        <v>0</v>
      </c>
      <c r="AY401" s="318">
        <f t="shared" si="87"/>
        <v>0</v>
      </c>
      <c r="AZ401" s="131"/>
    </row>
    <row r="402" spans="1:52" ht="15.75" customHeight="1">
      <c r="A402" s="353" t="s">
        <v>1671</v>
      </c>
      <c r="B402" s="507" t="s">
        <v>6999</v>
      </c>
      <c r="C402" s="184"/>
      <c r="D402" s="184"/>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184"/>
      <c r="AR402" s="184"/>
      <c r="AS402" s="184"/>
      <c r="AT402" s="184"/>
      <c r="AU402" s="184"/>
      <c r="AV402" s="184"/>
      <c r="AW402" s="505"/>
      <c r="AX402" s="134">
        <f>Balanza!G609</f>
        <v>0</v>
      </c>
      <c r="AY402" s="134">
        <f>Balanza!C609</f>
        <v>0</v>
      </c>
      <c r="AZ402" s="131"/>
    </row>
    <row r="403" spans="1:52" ht="15.75" customHeight="1">
      <c r="A403" s="503" t="s">
        <v>1673</v>
      </c>
      <c r="B403" s="183" t="s">
        <v>1674</v>
      </c>
      <c r="C403" s="184"/>
      <c r="D403" s="184"/>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184"/>
      <c r="AQ403" s="184"/>
      <c r="AR403" s="184"/>
      <c r="AS403" s="184"/>
      <c r="AT403" s="184"/>
      <c r="AU403" s="184"/>
      <c r="AV403" s="184"/>
      <c r="AW403" s="505"/>
      <c r="AX403" s="416">
        <f t="shared" ref="AX403:AY403" si="88">AX404+AX406+AX408+AX414</f>
        <v>88240674.239999995</v>
      </c>
      <c r="AY403" s="416">
        <f t="shared" si="88"/>
        <v>213227634.19</v>
      </c>
      <c r="AZ403" s="131"/>
    </row>
    <row r="404" spans="1:52" ht="15.75" customHeight="1">
      <c r="A404" s="503" t="s">
        <v>1675</v>
      </c>
      <c r="B404" s="183" t="s">
        <v>1676</v>
      </c>
      <c r="C404" s="184"/>
      <c r="D404" s="184"/>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184"/>
      <c r="AR404" s="184"/>
      <c r="AS404" s="184"/>
      <c r="AT404" s="184"/>
      <c r="AU404" s="184"/>
      <c r="AV404" s="184"/>
      <c r="AW404" s="505"/>
      <c r="AX404" s="318">
        <f t="shared" ref="AX404:AY404" si="89">SUM(AX405)</f>
        <v>84273174.239999995</v>
      </c>
      <c r="AY404" s="318">
        <f t="shared" si="89"/>
        <v>187927264.87</v>
      </c>
      <c r="AZ404" s="131"/>
    </row>
    <row r="405" spans="1:52" ht="15.75" customHeight="1">
      <c r="A405" s="353" t="s">
        <v>1677</v>
      </c>
      <c r="B405" s="507" t="s">
        <v>7000</v>
      </c>
      <c r="C405" s="184"/>
      <c r="D405" s="184"/>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184"/>
      <c r="AR405" s="184"/>
      <c r="AS405" s="184"/>
      <c r="AT405" s="184"/>
      <c r="AU405" s="184"/>
      <c r="AV405" s="184"/>
      <c r="AW405" s="505"/>
      <c r="AX405" s="134">
        <f>Balanza!G612</f>
        <v>84273174.239999995</v>
      </c>
      <c r="AY405" s="134">
        <f>Balanza!C612</f>
        <v>187927264.87</v>
      </c>
      <c r="AZ405" s="131"/>
    </row>
    <row r="406" spans="1:52" ht="15.75" customHeight="1">
      <c r="A406" s="503" t="s">
        <v>1679</v>
      </c>
      <c r="B406" s="183" t="s">
        <v>7001</v>
      </c>
      <c r="C406" s="184"/>
      <c r="D406" s="184"/>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184"/>
      <c r="AQ406" s="184"/>
      <c r="AR406" s="184"/>
      <c r="AS406" s="184"/>
      <c r="AT406" s="184"/>
      <c r="AU406" s="184"/>
      <c r="AV406" s="184"/>
      <c r="AW406" s="505"/>
      <c r="AX406" s="318">
        <f t="shared" ref="AX406:AY406" si="90">SUM(AX407)</f>
        <v>3547500</v>
      </c>
      <c r="AY406" s="318">
        <f t="shared" si="90"/>
        <v>12528750</v>
      </c>
      <c r="AZ406" s="131"/>
    </row>
    <row r="407" spans="1:52" ht="15.75" customHeight="1">
      <c r="A407" s="353" t="s">
        <v>1681</v>
      </c>
      <c r="B407" s="507" t="s">
        <v>1682</v>
      </c>
      <c r="C407" s="184"/>
      <c r="D407" s="184"/>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184"/>
      <c r="AR407" s="184"/>
      <c r="AS407" s="184"/>
      <c r="AT407" s="184"/>
      <c r="AU407" s="184"/>
      <c r="AV407" s="184"/>
      <c r="AW407" s="505"/>
      <c r="AX407" s="134">
        <f>Balanza!G614</f>
        <v>3547500</v>
      </c>
      <c r="AY407" s="134">
        <f>Balanza!C614</f>
        <v>12528750</v>
      </c>
      <c r="AZ407" s="131"/>
    </row>
    <row r="408" spans="1:52" ht="15.75" customHeight="1">
      <c r="A408" s="503" t="s">
        <v>1683</v>
      </c>
      <c r="B408" s="183" t="s">
        <v>1684</v>
      </c>
      <c r="C408" s="184"/>
      <c r="D408" s="184"/>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184"/>
      <c r="AR408" s="184"/>
      <c r="AS408" s="184"/>
      <c r="AT408" s="184"/>
      <c r="AU408" s="184"/>
      <c r="AV408" s="184"/>
      <c r="AW408" s="505"/>
      <c r="AX408" s="318">
        <f t="shared" ref="AX408:AY408" si="91">SUM(AX409:AX413)</f>
        <v>420000</v>
      </c>
      <c r="AY408" s="318">
        <f t="shared" si="91"/>
        <v>12771619.32</v>
      </c>
      <c r="AZ408" s="131"/>
    </row>
    <row r="409" spans="1:52" ht="15.75" customHeight="1">
      <c r="A409" s="353" t="s">
        <v>1685</v>
      </c>
      <c r="B409" s="507" t="s">
        <v>7002</v>
      </c>
      <c r="C409" s="184"/>
      <c r="D409" s="184"/>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184"/>
      <c r="AQ409" s="184"/>
      <c r="AR409" s="184"/>
      <c r="AS409" s="184"/>
      <c r="AT409" s="184"/>
      <c r="AU409" s="184"/>
      <c r="AV409" s="184"/>
      <c r="AW409" s="505"/>
      <c r="AX409" s="134">
        <f>Balanza!G616</f>
        <v>0</v>
      </c>
      <c r="AY409" s="134">
        <f>Balanza!C616</f>
        <v>6902594</v>
      </c>
      <c r="AZ409" s="131"/>
    </row>
    <row r="410" spans="1:52" ht="15.75" customHeight="1">
      <c r="A410" s="353" t="s">
        <v>1687</v>
      </c>
      <c r="B410" s="507" t="s">
        <v>7003</v>
      </c>
      <c r="C410" s="184"/>
      <c r="D410" s="184"/>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184"/>
      <c r="AR410" s="184"/>
      <c r="AS410" s="184"/>
      <c r="AT410" s="184"/>
      <c r="AU410" s="184"/>
      <c r="AV410" s="184"/>
      <c r="AW410" s="505"/>
      <c r="AX410" s="134">
        <f>Balanza!G617</f>
        <v>0</v>
      </c>
      <c r="AY410" s="134">
        <f>Balanza!C617</f>
        <v>0</v>
      </c>
      <c r="AZ410" s="131"/>
    </row>
    <row r="411" spans="1:52" ht="15.75" customHeight="1">
      <c r="A411" s="353" t="s">
        <v>1689</v>
      </c>
      <c r="B411" s="507" t="s">
        <v>7004</v>
      </c>
      <c r="C411" s="184"/>
      <c r="D411" s="184"/>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184"/>
      <c r="AR411" s="184"/>
      <c r="AS411" s="184"/>
      <c r="AT411" s="184"/>
      <c r="AU411" s="184"/>
      <c r="AV411" s="184"/>
      <c r="AW411" s="505"/>
      <c r="AX411" s="134">
        <f>Balanza!G618</f>
        <v>420000</v>
      </c>
      <c r="AY411" s="134">
        <f>Balanza!C618</f>
        <v>5869025.3200000003</v>
      </c>
      <c r="AZ411" s="131"/>
    </row>
    <row r="412" spans="1:52" ht="15.75" customHeight="1">
      <c r="A412" s="353" t="s">
        <v>1691</v>
      </c>
      <c r="B412" s="507" t="s">
        <v>7005</v>
      </c>
      <c r="C412" s="184"/>
      <c r="D412" s="184"/>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184"/>
      <c r="AR412" s="184"/>
      <c r="AS412" s="184"/>
      <c r="AT412" s="184"/>
      <c r="AU412" s="184"/>
      <c r="AV412" s="184"/>
      <c r="AW412" s="505"/>
      <c r="AX412" s="134">
        <f>Balanza!G619</f>
        <v>0</v>
      </c>
      <c r="AY412" s="134">
        <f>Balanza!C619</f>
        <v>0</v>
      </c>
      <c r="AZ412" s="131"/>
    </row>
    <row r="413" spans="1:52" ht="15.75" customHeight="1">
      <c r="A413" s="353" t="s">
        <v>1693</v>
      </c>
      <c r="B413" s="507" t="s">
        <v>7006</v>
      </c>
      <c r="C413" s="184"/>
      <c r="D413" s="184"/>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184"/>
      <c r="AR413" s="184"/>
      <c r="AS413" s="184"/>
      <c r="AT413" s="184"/>
      <c r="AU413" s="184"/>
      <c r="AV413" s="184"/>
      <c r="AW413" s="505"/>
      <c r="AX413" s="134">
        <f>Balanza!G620</f>
        <v>0</v>
      </c>
      <c r="AY413" s="134">
        <f>Balanza!C620</f>
        <v>0</v>
      </c>
      <c r="AZ413" s="131"/>
    </row>
    <row r="414" spans="1:52" ht="15.75" customHeight="1">
      <c r="A414" s="503" t="s">
        <v>1695</v>
      </c>
      <c r="B414" s="183" t="s">
        <v>1696</v>
      </c>
      <c r="C414" s="184"/>
      <c r="D414" s="184"/>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184"/>
      <c r="AP414" s="184"/>
      <c r="AQ414" s="184"/>
      <c r="AR414" s="184"/>
      <c r="AS414" s="184"/>
      <c r="AT414" s="184"/>
      <c r="AU414" s="184"/>
      <c r="AV414" s="184"/>
      <c r="AW414" s="505"/>
      <c r="AX414" s="318">
        <f t="shared" ref="AX414:AY414" si="92">SUM(AX415)</f>
        <v>0</v>
      </c>
      <c r="AY414" s="318">
        <f t="shared" si="92"/>
        <v>0</v>
      </c>
      <c r="AZ414" s="131"/>
    </row>
    <row r="415" spans="1:52" ht="15.75" customHeight="1">
      <c r="A415" s="353" t="s">
        <v>1697</v>
      </c>
      <c r="B415" s="507" t="s">
        <v>7007</v>
      </c>
      <c r="C415" s="184"/>
      <c r="D415" s="184"/>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184"/>
      <c r="AR415" s="184"/>
      <c r="AS415" s="184"/>
      <c r="AT415" s="184"/>
      <c r="AU415" s="184"/>
      <c r="AV415" s="184"/>
      <c r="AW415" s="505"/>
      <c r="AX415" s="134">
        <f>Balanza!G622</f>
        <v>0</v>
      </c>
      <c r="AY415" s="134">
        <f>Balanza!C622</f>
        <v>0</v>
      </c>
      <c r="AZ415" s="131"/>
    </row>
    <row r="416" spans="1:52" ht="15.75" customHeight="1">
      <c r="A416" s="503" t="s">
        <v>1699</v>
      </c>
      <c r="B416" s="183" t="s">
        <v>1700</v>
      </c>
      <c r="C416" s="184"/>
      <c r="D416" s="184"/>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184"/>
      <c r="AR416" s="184"/>
      <c r="AS416" s="184"/>
      <c r="AT416" s="184"/>
      <c r="AU416" s="184"/>
      <c r="AV416" s="184"/>
      <c r="AW416" s="505"/>
      <c r="AX416" s="416">
        <f t="shared" ref="AX416:AY416" si="93">AX417+AX419+AX421</f>
        <v>0</v>
      </c>
      <c r="AY416" s="416">
        <f t="shared" si="93"/>
        <v>0</v>
      </c>
      <c r="AZ416" s="131"/>
    </row>
    <row r="417" spans="1:52" ht="15.75" customHeight="1">
      <c r="A417" s="503" t="s">
        <v>1701</v>
      </c>
      <c r="B417" s="183" t="s">
        <v>1702</v>
      </c>
      <c r="C417" s="184"/>
      <c r="D417" s="184"/>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184"/>
      <c r="AQ417" s="184"/>
      <c r="AR417" s="184"/>
      <c r="AS417" s="184"/>
      <c r="AT417" s="184"/>
      <c r="AU417" s="184"/>
      <c r="AV417" s="184"/>
      <c r="AW417" s="505"/>
      <c r="AX417" s="318">
        <f t="shared" ref="AX417:AY417" si="94">SUM(AX418)</f>
        <v>0</v>
      </c>
      <c r="AY417" s="318">
        <f t="shared" si="94"/>
        <v>0</v>
      </c>
      <c r="AZ417" s="131"/>
    </row>
    <row r="418" spans="1:52" ht="15.75" customHeight="1">
      <c r="A418" s="353" t="s">
        <v>1703</v>
      </c>
      <c r="B418" s="507" t="s">
        <v>7008</v>
      </c>
      <c r="C418" s="184"/>
      <c r="D418" s="184"/>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184"/>
      <c r="AQ418" s="184"/>
      <c r="AR418" s="184"/>
      <c r="AS418" s="184"/>
      <c r="AT418" s="184"/>
      <c r="AU418" s="184"/>
      <c r="AV418" s="184"/>
      <c r="AW418" s="505"/>
      <c r="AX418" s="134">
        <f>Balanza!G625</f>
        <v>0</v>
      </c>
      <c r="AY418" s="134">
        <f>Balanza!C625</f>
        <v>0</v>
      </c>
      <c r="AZ418" s="131"/>
    </row>
    <row r="419" spans="1:52" ht="15.75" customHeight="1">
      <c r="A419" s="503" t="s">
        <v>1704</v>
      </c>
      <c r="B419" s="183" t="s">
        <v>1705</v>
      </c>
      <c r="C419" s="184"/>
      <c r="D419" s="184"/>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184"/>
      <c r="AR419" s="184"/>
      <c r="AS419" s="184"/>
      <c r="AT419" s="184"/>
      <c r="AU419" s="184"/>
      <c r="AV419" s="184"/>
      <c r="AW419" s="505"/>
      <c r="AX419" s="318">
        <f t="shared" ref="AX419:AY419" si="95">SUM(AX420)</f>
        <v>0</v>
      </c>
      <c r="AY419" s="318">
        <f t="shared" si="95"/>
        <v>0</v>
      </c>
      <c r="AZ419" s="131"/>
    </row>
    <row r="420" spans="1:52" ht="15.75" customHeight="1">
      <c r="A420" s="353" t="s">
        <v>1706</v>
      </c>
      <c r="B420" s="507" t="s">
        <v>7009</v>
      </c>
      <c r="C420" s="184"/>
      <c r="D420" s="184"/>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184"/>
      <c r="AR420" s="184"/>
      <c r="AS420" s="184"/>
      <c r="AT420" s="184"/>
      <c r="AU420" s="184"/>
      <c r="AV420" s="184"/>
      <c r="AW420" s="505"/>
      <c r="AX420" s="134">
        <f>Balanza!G627</f>
        <v>0</v>
      </c>
      <c r="AY420" s="134">
        <f>Balanza!C627</f>
        <v>0</v>
      </c>
      <c r="AZ420" s="131"/>
    </row>
    <row r="421" spans="1:52" ht="15.75" customHeight="1">
      <c r="A421" s="503" t="s">
        <v>1707</v>
      </c>
      <c r="B421" s="183" t="s">
        <v>1708</v>
      </c>
      <c r="C421" s="184"/>
      <c r="D421" s="184"/>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c r="AA421" s="184"/>
      <c r="AB421" s="184"/>
      <c r="AC421" s="184"/>
      <c r="AD421" s="184"/>
      <c r="AE421" s="184"/>
      <c r="AF421" s="184"/>
      <c r="AG421" s="184"/>
      <c r="AH421" s="184"/>
      <c r="AI421" s="184"/>
      <c r="AJ421" s="184"/>
      <c r="AK421" s="184"/>
      <c r="AL421" s="184"/>
      <c r="AM421" s="184"/>
      <c r="AN421" s="184"/>
      <c r="AO421" s="184"/>
      <c r="AP421" s="184"/>
      <c r="AQ421" s="184"/>
      <c r="AR421" s="184"/>
      <c r="AS421" s="184"/>
      <c r="AT421" s="184"/>
      <c r="AU421" s="184"/>
      <c r="AV421" s="184"/>
      <c r="AW421" s="505"/>
      <c r="AX421" s="318">
        <f t="shared" ref="AX421:AY421" si="96">SUM(AX422)</f>
        <v>0</v>
      </c>
      <c r="AY421" s="318">
        <f t="shared" si="96"/>
        <v>0</v>
      </c>
      <c r="AZ421" s="131"/>
    </row>
    <row r="422" spans="1:52" ht="15.75" customHeight="1">
      <c r="A422" s="353" t="s">
        <v>1709</v>
      </c>
      <c r="B422" s="507" t="s">
        <v>7010</v>
      </c>
      <c r="C422" s="184"/>
      <c r="D422" s="184"/>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c r="AA422" s="184"/>
      <c r="AB422" s="184"/>
      <c r="AC422" s="184"/>
      <c r="AD422" s="184"/>
      <c r="AE422" s="184"/>
      <c r="AF422" s="184"/>
      <c r="AG422" s="184"/>
      <c r="AH422" s="184"/>
      <c r="AI422" s="184"/>
      <c r="AJ422" s="184"/>
      <c r="AK422" s="184"/>
      <c r="AL422" s="184"/>
      <c r="AM422" s="184"/>
      <c r="AN422" s="184"/>
      <c r="AO422" s="184"/>
      <c r="AP422" s="184"/>
      <c r="AQ422" s="184"/>
      <c r="AR422" s="184"/>
      <c r="AS422" s="184"/>
      <c r="AT422" s="184"/>
      <c r="AU422" s="184"/>
      <c r="AV422" s="184"/>
      <c r="AW422" s="505"/>
      <c r="AX422" s="134">
        <f>Balanza!G629</f>
        <v>0</v>
      </c>
      <c r="AY422" s="134">
        <f>Balanza!C629</f>
        <v>0</v>
      </c>
      <c r="AZ422" s="131"/>
    </row>
    <row r="423" spans="1:52" ht="15.75" customHeight="1">
      <c r="A423" s="503" t="s">
        <v>1710</v>
      </c>
      <c r="B423" s="183" t="s">
        <v>1711</v>
      </c>
      <c r="C423" s="184"/>
      <c r="D423" s="184"/>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184"/>
      <c r="AR423" s="184"/>
      <c r="AS423" s="184"/>
      <c r="AT423" s="184"/>
      <c r="AU423" s="184"/>
      <c r="AV423" s="184"/>
      <c r="AW423" s="505"/>
      <c r="AX423" s="416">
        <f t="shared" ref="AX423:AY423" si="97">AX424+AX428</f>
        <v>144250512.84</v>
      </c>
      <c r="AY423" s="416">
        <f t="shared" si="97"/>
        <v>183012639.00999999</v>
      </c>
      <c r="AZ423" s="131"/>
    </row>
    <row r="424" spans="1:52" ht="15.75" customHeight="1">
      <c r="A424" s="503" t="s">
        <v>1712</v>
      </c>
      <c r="B424" s="183" t="s">
        <v>1713</v>
      </c>
      <c r="C424" s="184"/>
      <c r="D424" s="184"/>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c r="AA424" s="184"/>
      <c r="AB424" s="184"/>
      <c r="AC424" s="184"/>
      <c r="AD424" s="184"/>
      <c r="AE424" s="184"/>
      <c r="AF424" s="184"/>
      <c r="AG424" s="184"/>
      <c r="AH424" s="184"/>
      <c r="AI424" s="184"/>
      <c r="AJ424" s="184"/>
      <c r="AK424" s="184"/>
      <c r="AL424" s="184"/>
      <c r="AM424" s="184"/>
      <c r="AN424" s="184"/>
      <c r="AO424" s="184"/>
      <c r="AP424" s="184"/>
      <c r="AQ424" s="184"/>
      <c r="AR424" s="184"/>
      <c r="AS424" s="184"/>
      <c r="AT424" s="184"/>
      <c r="AU424" s="184"/>
      <c r="AV424" s="184"/>
      <c r="AW424" s="505"/>
      <c r="AX424" s="318">
        <f t="shared" ref="AX424:AY424" si="98">SUM(AX425:AX427)</f>
        <v>0</v>
      </c>
      <c r="AY424" s="318">
        <f t="shared" si="98"/>
        <v>0</v>
      </c>
      <c r="AZ424" s="131"/>
    </row>
    <row r="425" spans="1:52" ht="15.75" customHeight="1">
      <c r="A425" s="353" t="s">
        <v>1714</v>
      </c>
      <c r="B425" s="507" t="s">
        <v>7011</v>
      </c>
      <c r="C425" s="184"/>
      <c r="D425" s="184"/>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c r="AA425" s="184"/>
      <c r="AB425" s="184"/>
      <c r="AC425" s="184"/>
      <c r="AD425" s="184"/>
      <c r="AE425" s="184"/>
      <c r="AF425" s="184"/>
      <c r="AG425" s="184"/>
      <c r="AH425" s="184"/>
      <c r="AI425" s="184"/>
      <c r="AJ425" s="184"/>
      <c r="AK425" s="184"/>
      <c r="AL425" s="184"/>
      <c r="AM425" s="184"/>
      <c r="AN425" s="184"/>
      <c r="AO425" s="184"/>
      <c r="AP425" s="184"/>
      <c r="AQ425" s="184"/>
      <c r="AR425" s="184"/>
      <c r="AS425" s="184"/>
      <c r="AT425" s="184"/>
      <c r="AU425" s="184"/>
      <c r="AV425" s="184"/>
      <c r="AW425" s="505"/>
      <c r="AX425" s="134">
        <f>Balanza!G632</f>
        <v>0</v>
      </c>
      <c r="AY425" s="134">
        <f>Balanza!C632</f>
        <v>0</v>
      </c>
      <c r="AZ425" s="131"/>
    </row>
    <row r="426" spans="1:52" ht="15.75" customHeight="1">
      <c r="A426" s="353" t="s">
        <v>1716</v>
      </c>
      <c r="B426" s="507" t="s">
        <v>7012</v>
      </c>
      <c r="C426" s="184"/>
      <c r="D426" s="184"/>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c r="AA426" s="184"/>
      <c r="AB426" s="184"/>
      <c r="AC426" s="184"/>
      <c r="AD426" s="184"/>
      <c r="AE426" s="184"/>
      <c r="AF426" s="184"/>
      <c r="AG426" s="184"/>
      <c r="AH426" s="184"/>
      <c r="AI426" s="184"/>
      <c r="AJ426" s="184"/>
      <c r="AK426" s="184"/>
      <c r="AL426" s="184"/>
      <c r="AM426" s="184"/>
      <c r="AN426" s="184"/>
      <c r="AO426" s="184"/>
      <c r="AP426" s="184"/>
      <c r="AQ426" s="184"/>
      <c r="AR426" s="184"/>
      <c r="AS426" s="184"/>
      <c r="AT426" s="184"/>
      <c r="AU426" s="184"/>
      <c r="AV426" s="184"/>
      <c r="AW426" s="505"/>
      <c r="AX426" s="134">
        <f>Balanza!G633</f>
        <v>0</v>
      </c>
      <c r="AY426" s="134">
        <f>Balanza!C633</f>
        <v>0</v>
      </c>
      <c r="AZ426" s="131"/>
    </row>
    <row r="427" spans="1:52" ht="15.75" customHeight="1">
      <c r="A427" s="353" t="s">
        <v>1718</v>
      </c>
      <c r="B427" s="507" t="s">
        <v>7013</v>
      </c>
      <c r="C427" s="184"/>
      <c r="D427" s="184"/>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c r="AA427" s="184"/>
      <c r="AB427" s="184"/>
      <c r="AC427" s="184"/>
      <c r="AD427" s="184"/>
      <c r="AE427" s="184"/>
      <c r="AF427" s="184"/>
      <c r="AG427" s="184"/>
      <c r="AH427" s="184"/>
      <c r="AI427" s="184"/>
      <c r="AJ427" s="184"/>
      <c r="AK427" s="184"/>
      <c r="AL427" s="184"/>
      <c r="AM427" s="184"/>
      <c r="AN427" s="184"/>
      <c r="AO427" s="184"/>
      <c r="AP427" s="184"/>
      <c r="AQ427" s="184"/>
      <c r="AR427" s="184"/>
      <c r="AS427" s="184"/>
      <c r="AT427" s="184"/>
      <c r="AU427" s="184"/>
      <c r="AV427" s="184"/>
      <c r="AW427" s="505"/>
      <c r="AX427" s="134">
        <f>Balanza!G634</f>
        <v>0</v>
      </c>
      <c r="AY427" s="134">
        <f>Balanza!C634</f>
        <v>0</v>
      </c>
      <c r="AZ427" s="131"/>
    </row>
    <row r="428" spans="1:52" ht="15.75" customHeight="1">
      <c r="A428" s="503" t="s">
        <v>1720</v>
      </c>
      <c r="B428" s="183" t="s">
        <v>1721</v>
      </c>
      <c r="C428" s="184"/>
      <c r="D428" s="184"/>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c r="AA428" s="184"/>
      <c r="AB428" s="184"/>
      <c r="AC428" s="184"/>
      <c r="AD428" s="184"/>
      <c r="AE428" s="184"/>
      <c r="AF428" s="184"/>
      <c r="AG428" s="184"/>
      <c r="AH428" s="184"/>
      <c r="AI428" s="184"/>
      <c r="AJ428" s="184"/>
      <c r="AK428" s="184"/>
      <c r="AL428" s="184"/>
      <c r="AM428" s="184"/>
      <c r="AN428" s="184"/>
      <c r="AO428" s="184"/>
      <c r="AP428" s="184"/>
      <c r="AQ428" s="184"/>
      <c r="AR428" s="184"/>
      <c r="AS428" s="184"/>
      <c r="AT428" s="184"/>
      <c r="AU428" s="184"/>
      <c r="AV428" s="184"/>
      <c r="AW428" s="505"/>
      <c r="AX428" s="318">
        <f t="shared" ref="AX428:AY428" si="99">SUM(AX429:AX432)</f>
        <v>144250512.84</v>
      </c>
      <c r="AY428" s="318">
        <f t="shared" si="99"/>
        <v>183012639.00999999</v>
      </c>
      <c r="AZ428" s="131"/>
    </row>
    <row r="429" spans="1:52" ht="15.75" customHeight="1">
      <c r="A429" s="353" t="s">
        <v>1722</v>
      </c>
      <c r="B429" s="507" t="s">
        <v>7014</v>
      </c>
      <c r="C429" s="184"/>
      <c r="D429" s="184"/>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c r="AA429" s="184"/>
      <c r="AB429" s="184"/>
      <c r="AC429" s="184"/>
      <c r="AD429" s="184"/>
      <c r="AE429" s="184"/>
      <c r="AF429" s="184"/>
      <c r="AG429" s="184"/>
      <c r="AH429" s="184"/>
      <c r="AI429" s="184"/>
      <c r="AJ429" s="184"/>
      <c r="AK429" s="184"/>
      <c r="AL429" s="184"/>
      <c r="AM429" s="184"/>
      <c r="AN429" s="184"/>
      <c r="AO429" s="184"/>
      <c r="AP429" s="184"/>
      <c r="AQ429" s="184"/>
      <c r="AR429" s="184"/>
      <c r="AS429" s="184"/>
      <c r="AT429" s="184"/>
      <c r="AU429" s="184"/>
      <c r="AV429" s="184"/>
      <c r="AW429" s="505"/>
      <c r="AX429" s="134">
        <f>Balanza!G636</f>
        <v>0</v>
      </c>
      <c r="AY429" s="134">
        <f>Balanza!C636</f>
        <v>0</v>
      </c>
      <c r="AZ429" s="131"/>
    </row>
    <row r="430" spans="1:52" ht="15.75" customHeight="1">
      <c r="A430" s="353" t="s">
        <v>1724</v>
      </c>
      <c r="B430" s="507" t="s">
        <v>7015</v>
      </c>
      <c r="C430" s="184"/>
      <c r="D430" s="184"/>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c r="AA430" s="184"/>
      <c r="AB430" s="184"/>
      <c r="AC430" s="184"/>
      <c r="AD430" s="184"/>
      <c r="AE430" s="184"/>
      <c r="AF430" s="184"/>
      <c r="AG430" s="184"/>
      <c r="AH430" s="184"/>
      <c r="AI430" s="184"/>
      <c r="AJ430" s="184"/>
      <c r="AK430" s="184"/>
      <c r="AL430" s="184"/>
      <c r="AM430" s="184"/>
      <c r="AN430" s="184"/>
      <c r="AO430" s="184"/>
      <c r="AP430" s="184"/>
      <c r="AQ430" s="184"/>
      <c r="AR430" s="184"/>
      <c r="AS430" s="184"/>
      <c r="AT430" s="184"/>
      <c r="AU430" s="184"/>
      <c r="AV430" s="184"/>
      <c r="AW430" s="505"/>
      <c r="AX430" s="134">
        <f>Balanza!G637</f>
        <v>0</v>
      </c>
      <c r="AY430" s="134">
        <f>Balanza!C637</f>
        <v>0</v>
      </c>
      <c r="AZ430" s="131"/>
    </row>
    <row r="431" spans="1:52" ht="15.75" customHeight="1">
      <c r="A431" s="353" t="s">
        <v>1726</v>
      </c>
      <c r="B431" s="507" t="s">
        <v>7016</v>
      </c>
      <c r="C431" s="184"/>
      <c r="D431" s="184"/>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c r="AA431" s="184"/>
      <c r="AB431" s="184"/>
      <c r="AC431" s="184"/>
      <c r="AD431" s="184"/>
      <c r="AE431" s="184"/>
      <c r="AF431" s="184"/>
      <c r="AG431" s="184"/>
      <c r="AH431" s="184"/>
      <c r="AI431" s="184"/>
      <c r="AJ431" s="184"/>
      <c r="AK431" s="184"/>
      <c r="AL431" s="184"/>
      <c r="AM431" s="184"/>
      <c r="AN431" s="184"/>
      <c r="AO431" s="184"/>
      <c r="AP431" s="184"/>
      <c r="AQ431" s="184"/>
      <c r="AR431" s="184"/>
      <c r="AS431" s="184"/>
      <c r="AT431" s="184"/>
      <c r="AU431" s="184"/>
      <c r="AV431" s="184"/>
      <c r="AW431" s="505"/>
      <c r="AX431" s="134">
        <f>Balanza!G638</f>
        <v>0</v>
      </c>
      <c r="AY431" s="134">
        <f>Balanza!C638</f>
        <v>0</v>
      </c>
      <c r="AZ431" s="131"/>
    </row>
    <row r="432" spans="1:52" ht="15.75" customHeight="1">
      <c r="A432" s="353" t="s">
        <v>1728</v>
      </c>
      <c r="B432" s="507" t="s">
        <v>7017</v>
      </c>
      <c r="C432" s="184"/>
      <c r="D432" s="184"/>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c r="AA432" s="184"/>
      <c r="AB432" s="184"/>
      <c r="AC432" s="184"/>
      <c r="AD432" s="184"/>
      <c r="AE432" s="184"/>
      <c r="AF432" s="184"/>
      <c r="AG432" s="184"/>
      <c r="AH432" s="184"/>
      <c r="AI432" s="184"/>
      <c r="AJ432" s="184"/>
      <c r="AK432" s="184"/>
      <c r="AL432" s="184"/>
      <c r="AM432" s="184"/>
      <c r="AN432" s="184"/>
      <c r="AO432" s="184"/>
      <c r="AP432" s="184"/>
      <c r="AQ432" s="184"/>
      <c r="AR432" s="184"/>
      <c r="AS432" s="184"/>
      <c r="AT432" s="184"/>
      <c r="AU432" s="184"/>
      <c r="AV432" s="184"/>
      <c r="AW432" s="505"/>
      <c r="AX432" s="134">
        <f>Balanza!G639</f>
        <v>144250512.84</v>
      </c>
      <c r="AY432" s="134">
        <f>Balanza!C639</f>
        <v>183012639.00999999</v>
      </c>
      <c r="AZ432" s="131"/>
    </row>
    <row r="433" spans="1:52" ht="15.75" customHeight="1">
      <c r="A433" s="503" t="s">
        <v>1730</v>
      </c>
      <c r="B433" s="183" t="s">
        <v>1731</v>
      </c>
      <c r="C433" s="184"/>
      <c r="D433" s="184"/>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c r="AA433" s="184"/>
      <c r="AB433" s="184"/>
      <c r="AC433" s="184"/>
      <c r="AD433" s="184"/>
      <c r="AE433" s="184"/>
      <c r="AF433" s="184"/>
      <c r="AG433" s="184"/>
      <c r="AH433" s="184"/>
      <c r="AI433" s="184"/>
      <c r="AJ433" s="184"/>
      <c r="AK433" s="184"/>
      <c r="AL433" s="184"/>
      <c r="AM433" s="184"/>
      <c r="AN433" s="184"/>
      <c r="AO433" s="184"/>
      <c r="AP433" s="184"/>
      <c r="AQ433" s="184"/>
      <c r="AR433" s="184"/>
      <c r="AS433" s="184"/>
      <c r="AT433" s="184"/>
      <c r="AU433" s="184"/>
      <c r="AV433" s="184"/>
      <c r="AW433" s="505"/>
      <c r="AX433" s="416">
        <f t="shared" ref="AX433:AY433" si="100">SUM(AX434)</f>
        <v>0</v>
      </c>
      <c r="AY433" s="416">
        <f t="shared" si="100"/>
        <v>0</v>
      </c>
      <c r="AZ433" s="131"/>
    </row>
    <row r="434" spans="1:52" ht="15.75" customHeight="1">
      <c r="A434" s="503" t="s">
        <v>1732</v>
      </c>
      <c r="B434" s="183" t="s">
        <v>1733</v>
      </c>
      <c r="C434" s="184"/>
      <c r="D434" s="184"/>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c r="AA434" s="184"/>
      <c r="AB434" s="184"/>
      <c r="AC434" s="184"/>
      <c r="AD434" s="184"/>
      <c r="AE434" s="184"/>
      <c r="AF434" s="184"/>
      <c r="AG434" s="184"/>
      <c r="AH434" s="184"/>
      <c r="AI434" s="184"/>
      <c r="AJ434" s="184"/>
      <c r="AK434" s="184"/>
      <c r="AL434" s="184"/>
      <c r="AM434" s="184"/>
      <c r="AN434" s="184"/>
      <c r="AO434" s="184"/>
      <c r="AP434" s="184"/>
      <c r="AQ434" s="184"/>
      <c r="AR434" s="184"/>
      <c r="AS434" s="184"/>
      <c r="AT434" s="184"/>
      <c r="AU434" s="184"/>
      <c r="AV434" s="184"/>
      <c r="AW434" s="505"/>
      <c r="AX434" s="318">
        <f t="shared" ref="AX434:AY434" si="101">SUM(AX435)</f>
        <v>0</v>
      </c>
      <c r="AY434" s="318">
        <f t="shared" si="101"/>
        <v>0</v>
      </c>
      <c r="AZ434" s="131"/>
    </row>
    <row r="435" spans="1:52" ht="15.75" customHeight="1">
      <c r="A435" s="353" t="s">
        <v>1734</v>
      </c>
      <c r="B435" s="507" t="s">
        <v>7018</v>
      </c>
      <c r="C435" s="184"/>
      <c r="D435" s="184"/>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c r="AA435" s="184"/>
      <c r="AB435" s="184"/>
      <c r="AC435" s="184"/>
      <c r="AD435" s="184"/>
      <c r="AE435" s="184"/>
      <c r="AF435" s="184"/>
      <c r="AG435" s="184"/>
      <c r="AH435" s="184"/>
      <c r="AI435" s="184"/>
      <c r="AJ435" s="184"/>
      <c r="AK435" s="184"/>
      <c r="AL435" s="184"/>
      <c r="AM435" s="184"/>
      <c r="AN435" s="184"/>
      <c r="AO435" s="184"/>
      <c r="AP435" s="184"/>
      <c r="AQ435" s="184"/>
      <c r="AR435" s="184"/>
      <c r="AS435" s="184"/>
      <c r="AT435" s="184"/>
      <c r="AU435" s="184"/>
      <c r="AV435" s="184"/>
      <c r="AW435" s="505"/>
      <c r="AX435" s="134">
        <f>Balanza!G642</f>
        <v>0</v>
      </c>
      <c r="AY435" s="134">
        <f>Balanza!C642</f>
        <v>0</v>
      </c>
      <c r="AZ435" s="131"/>
    </row>
    <row r="436" spans="1:52" ht="15.75" customHeight="1">
      <c r="A436" s="503" t="s">
        <v>1736</v>
      </c>
      <c r="B436" s="183" t="s">
        <v>1737</v>
      </c>
      <c r="C436" s="184"/>
      <c r="D436" s="184"/>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c r="AA436" s="184"/>
      <c r="AB436" s="184"/>
      <c r="AC436" s="184"/>
      <c r="AD436" s="184"/>
      <c r="AE436" s="184"/>
      <c r="AF436" s="184"/>
      <c r="AG436" s="184"/>
      <c r="AH436" s="184"/>
      <c r="AI436" s="184"/>
      <c r="AJ436" s="184"/>
      <c r="AK436" s="184"/>
      <c r="AL436" s="184"/>
      <c r="AM436" s="184"/>
      <c r="AN436" s="184"/>
      <c r="AO436" s="184"/>
      <c r="AP436" s="184"/>
      <c r="AQ436" s="184"/>
      <c r="AR436" s="184"/>
      <c r="AS436" s="184"/>
      <c r="AT436" s="184"/>
      <c r="AU436" s="184"/>
      <c r="AV436" s="184"/>
      <c r="AW436" s="505"/>
      <c r="AX436" s="416">
        <f t="shared" ref="AX436:AY436" si="102">AX437+AX439+AX441+AX443+AX445</f>
        <v>0</v>
      </c>
      <c r="AY436" s="416">
        <f t="shared" si="102"/>
        <v>0</v>
      </c>
      <c r="AZ436" s="131"/>
    </row>
    <row r="437" spans="1:52" ht="15.75" customHeight="1">
      <c r="A437" s="503" t="s">
        <v>1738</v>
      </c>
      <c r="B437" s="183" t="s">
        <v>1739</v>
      </c>
      <c r="C437" s="184"/>
      <c r="D437" s="184"/>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c r="AA437" s="184"/>
      <c r="AB437" s="184"/>
      <c r="AC437" s="184"/>
      <c r="AD437" s="184"/>
      <c r="AE437" s="184"/>
      <c r="AF437" s="184"/>
      <c r="AG437" s="184"/>
      <c r="AH437" s="184"/>
      <c r="AI437" s="184"/>
      <c r="AJ437" s="184"/>
      <c r="AK437" s="184"/>
      <c r="AL437" s="184"/>
      <c r="AM437" s="184"/>
      <c r="AN437" s="184"/>
      <c r="AO437" s="184"/>
      <c r="AP437" s="184"/>
      <c r="AQ437" s="184"/>
      <c r="AR437" s="184"/>
      <c r="AS437" s="184"/>
      <c r="AT437" s="184"/>
      <c r="AU437" s="184"/>
      <c r="AV437" s="184"/>
      <c r="AW437" s="505"/>
      <c r="AX437" s="318">
        <f t="shared" ref="AX437:AY437" si="103">SUM(AX438)</f>
        <v>0</v>
      </c>
      <c r="AY437" s="318">
        <f t="shared" si="103"/>
        <v>0</v>
      </c>
      <c r="AZ437" s="131"/>
    </row>
    <row r="438" spans="1:52" ht="15.75" customHeight="1">
      <c r="A438" s="353" t="s">
        <v>1740</v>
      </c>
      <c r="B438" s="507" t="s">
        <v>7019</v>
      </c>
      <c r="C438" s="184"/>
      <c r="D438" s="184"/>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c r="AA438" s="184"/>
      <c r="AB438" s="184"/>
      <c r="AC438" s="184"/>
      <c r="AD438" s="184"/>
      <c r="AE438" s="184"/>
      <c r="AF438" s="184"/>
      <c r="AG438" s="184"/>
      <c r="AH438" s="184"/>
      <c r="AI438" s="184"/>
      <c r="AJ438" s="184"/>
      <c r="AK438" s="184"/>
      <c r="AL438" s="184"/>
      <c r="AM438" s="184"/>
      <c r="AN438" s="184"/>
      <c r="AO438" s="184"/>
      <c r="AP438" s="184"/>
      <c r="AQ438" s="184"/>
      <c r="AR438" s="184"/>
      <c r="AS438" s="184"/>
      <c r="AT438" s="184"/>
      <c r="AU438" s="184"/>
      <c r="AV438" s="184"/>
      <c r="AW438" s="505"/>
      <c r="AX438" s="134">
        <f>Balanza!G645</f>
        <v>0</v>
      </c>
      <c r="AY438" s="134">
        <f>Balanza!C645</f>
        <v>0</v>
      </c>
      <c r="AZ438" s="131"/>
    </row>
    <row r="439" spans="1:52" ht="15.75" customHeight="1">
      <c r="A439" s="503" t="s">
        <v>1741</v>
      </c>
      <c r="B439" s="183" t="s">
        <v>1742</v>
      </c>
      <c r="C439" s="184"/>
      <c r="D439" s="184"/>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c r="AA439" s="184"/>
      <c r="AB439" s="184"/>
      <c r="AC439" s="184"/>
      <c r="AD439" s="184"/>
      <c r="AE439" s="184"/>
      <c r="AF439" s="184"/>
      <c r="AG439" s="184"/>
      <c r="AH439" s="184"/>
      <c r="AI439" s="184"/>
      <c r="AJ439" s="184"/>
      <c r="AK439" s="184"/>
      <c r="AL439" s="184"/>
      <c r="AM439" s="184"/>
      <c r="AN439" s="184"/>
      <c r="AO439" s="184"/>
      <c r="AP439" s="184"/>
      <c r="AQ439" s="184"/>
      <c r="AR439" s="184"/>
      <c r="AS439" s="184"/>
      <c r="AT439" s="184"/>
      <c r="AU439" s="184"/>
      <c r="AV439" s="184"/>
      <c r="AW439" s="505"/>
      <c r="AX439" s="318">
        <f t="shared" ref="AX439:AY439" si="104">SUM(AX440)</f>
        <v>0</v>
      </c>
      <c r="AY439" s="318">
        <f t="shared" si="104"/>
        <v>0</v>
      </c>
      <c r="AZ439" s="131"/>
    </row>
    <row r="440" spans="1:52" ht="15.75" customHeight="1">
      <c r="A440" s="353" t="s">
        <v>1743</v>
      </c>
      <c r="B440" s="507" t="s">
        <v>7020</v>
      </c>
      <c r="C440" s="184"/>
      <c r="D440" s="184"/>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c r="AA440" s="184"/>
      <c r="AB440" s="184"/>
      <c r="AC440" s="184"/>
      <c r="AD440" s="184"/>
      <c r="AE440" s="184"/>
      <c r="AF440" s="184"/>
      <c r="AG440" s="184"/>
      <c r="AH440" s="184"/>
      <c r="AI440" s="184"/>
      <c r="AJ440" s="184"/>
      <c r="AK440" s="184"/>
      <c r="AL440" s="184"/>
      <c r="AM440" s="184"/>
      <c r="AN440" s="184"/>
      <c r="AO440" s="184"/>
      <c r="AP440" s="184"/>
      <c r="AQ440" s="184"/>
      <c r="AR440" s="184"/>
      <c r="AS440" s="184"/>
      <c r="AT440" s="184"/>
      <c r="AU440" s="184"/>
      <c r="AV440" s="184"/>
      <c r="AW440" s="505"/>
      <c r="AX440" s="134">
        <f>Balanza!G647</f>
        <v>0</v>
      </c>
      <c r="AY440" s="134">
        <f>Balanza!C647</f>
        <v>0</v>
      </c>
      <c r="AZ440" s="131"/>
    </row>
    <row r="441" spans="1:52" ht="15.75" customHeight="1">
      <c r="A441" s="503" t="s">
        <v>1745</v>
      </c>
      <c r="B441" s="183" t="s">
        <v>7021</v>
      </c>
      <c r="C441" s="184"/>
      <c r="D441" s="184"/>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c r="AA441" s="184"/>
      <c r="AB441" s="184"/>
      <c r="AC441" s="184"/>
      <c r="AD441" s="184"/>
      <c r="AE441" s="184"/>
      <c r="AF441" s="184"/>
      <c r="AG441" s="184"/>
      <c r="AH441" s="184"/>
      <c r="AI441" s="184"/>
      <c r="AJ441" s="184"/>
      <c r="AK441" s="184"/>
      <c r="AL441" s="184"/>
      <c r="AM441" s="184"/>
      <c r="AN441" s="184"/>
      <c r="AO441" s="184"/>
      <c r="AP441" s="184"/>
      <c r="AQ441" s="184"/>
      <c r="AR441" s="184"/>
      <c r="AS441" s="184"/>
      <c r="AT441" s="184"/>
      <c r="AU441" s="184"/>
      <c r="AV441" s="184"/>
      <c r="AW441" s="505"/>
      <c r="AX441" s="318">
        <f t="shared" ref="AX441:AY441" si="105">SUM(AX442)</f>
        <v>0</v>
      </c>
      <c r="AY441" s="318">
        <f t="shared" si="105"/>
        <v>0</v>
      </c>
      <c r="AZ441" s="131"/>
    </row>
    <row r="442" spans="1:52" ht="15.75" customHeight="1">
      <c r="A442" s="353" t="s">
        <v>1747</v>
      </c>
      <c r="B442" s="507" t="s">
        <v>7022</v>
      </c>
      <c r="C442" s="184"/>
      <c r="D442" s="184"/>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c r="AA442" s="184"/>
      <c r="AB442" s="184"/>
      <c r="AC442" s="184"/>
      <c r="AD442" s="184"/>
      <c r="AE442" s="184"/>
      <c r="AF442" s="184"/>
      <c r="AG442" s="184"/>
      <c r="AH442" s="184"/>
      <c r="AI442" s="184"/>
      <c r="AJ442" s="184"/>
      <c r="AK442" s="184"/>
      <c r="AL442" s="184"/>
      <c r="AM442" s="184"/>
      <c r="AN442" s="184"/>
      <c r="AO442" s="184"/>
      <c r="AP442" s="184"/>
      <c r="AQ442" s="184"/>
      <c r="AR442" s="184"/>
      <c r="AS442" s="184"/>
      <c r="AT442" s="184"/>
      <c r="AU442" s="184"/>
      <c r="AV442" s="184"/>
      <c r="AW442" s="505"/>
      <c r="AX442" s="134">
        <f>Balanza!G649</f>
        <v>0</v>
      </c>
      <c r="AY442" s="134">
        <f>Balanza!C649</f>
        <v>0</v>
      </c>
      <c r="AZ442" s="131"/>
    </row>
    <row r="443" spans="1:52" ht="15.75" customHeight="1">
      <c r="A443" s="503" t="s">
        <v>1749</v>
      </c>
      <c r="B443" s="183" t="s">
        <v>7023</v>
      </c>
      <c r="C443" s="184"/>
      <c r="D443" s="184"/>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c r="AA443" s="184"/>
      <c r="AB443" s="184"/>
      <c r="AC443" s="184"/>
      <c r="AD443" s="184"/>
      <c r="AE443" s="184"/>
      <c r="AF443" s="184"/>
      <c r="AG443" s="184"/>
      <c r="AH443" s="184"/>
      <c r="AI443" s="184"/>
      <c r="AJ443" s="184"/>
      <c r="AK443" s="184"/>
      <c r="AL443" s="184"/>
      <c r="AM443" s="184"/>
      <c r="AN443" s="184"/>
      <c r="AO443" s="184"/>
      <c r="AP443" s="184"/>
      <c r="AQ443" s="184"/>
      <c r="AR443" s="184"/>
      <c r="AS443" s="184"/>
      <c r="AT443" s="184"/>
      <c r="AU443" s="184"/>
      <c r="AV443" s="184"/>
      <c r="AW443" s="505"/>
      <c r="AX443" s="318">
        <f t="shared" ref="AX443:AY443" si="106">SUM(AX444)</f>
        <v>0</v>
      </c>
      <c r="AY443" s="318">
        <f t="shared" si="106"/>
        <v>0</v>
      </c>
      <c r="AZ443" s="131"/>
    </row>
    <row r="444" spans="1:52" ht="15.75" customHeight="1">
      <c r="A444" s="353" t="s">
        <v>1751</v>
      </c>
      <c r="B444" s="507" t="s">
        <v>7024</v>
      </c>
      <c r="C444" s="184"/>
      <c r="D444" s="184"/>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c r="AA444" s="184"/>
      <c r="AB444" s="184"/>
      <c r="AC444" s="184"/>
      <c r="AD444" s="184"/>
      <c r="AE444" s="184"/>
      <c r="AF444" s="184"/>
      <c r="AG444" s="184"/>
      <c r="AH444" s="184"/>
      <c r="AI444" s="184"/>
      <c r="AJ444" s="184"/>
      <c r="AK444" s="184"/>
      <c r="AL444" s="184"/>
      <c r="AM444" s="184"/>
      <c r="AN444" s="184"/>
      <c r="AO444" s="184"/>
      <c r="AP444" s="184"/>
      <c r="AQ444" s="184"/>
      <c r="AR444" s="184"/>
      <c r="AS444" s="184"/>
      <c r="AT444" s="184"/>
      <c r="AU444" s="184"/>
      <c r="AV444" s="184"/>
      <c r="AW444" s="505"/>
      <c r="AX444" s="134">
        <f>Balanza!G651</f>
        <v>0</v>
      </c>
      <c r="AY444" s="134">
        <f>Balanza!C651</f>
        <v>0</v>
      </c>
      <c r="AZ444" s="131"/>
    </row>
    <row r="445" spans="1:52" ht="15.75" customHeight="1">
      <c r="A445" s="503" t="s">
        <v>1753</v>
      </c>
      <c r="B445" s="183" t="s">
        <v>7025</v>
      </c>
      <c r="C445" s="184"/>
      <c r="D445" s="184"/>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c r="AA445" s="184"/>
      <c r="AB445" s="184"/>
      <c r="AC445" s="184"/>
      <c r="AD445" s="184"/>
      <c r="AE445" s="184"/>
      <c r="AF445" s="184"/>
      <c r="AG445" s="184"/>
      <c r="AH445" s="184"/>
      <c r="AI445" s="184"/>
      <c r="AJ445" s="184"/>
      <c r="AK445" s="184"/>
      <c r="AL445" s="184"/>
      <c r="AM445" s="184"/>
      <c r="AN445" s="184"/>
      <c r="AO445" s="184"/>
      <c r="AP445" s="184"/>
      <c r="AQ445" s="184"/>
      <c r="AR445" s="184"/>
      <c r="AS445" s="184"/>
      <c r="AT445" s="184"/>
      <c r="AU445" s="184"/>
      <c r="AV445" s="184"/>
      <c r="AW445" s="505"/>
      <c r="AX445" s="318">
        <f t="shared" ref="AX445:AY445" si="107">SUM(AX446)</f>
        <v>0</v>
      </c>
      <c r="AY445" s="318">
        <f t="shared" si="107"/>
        <v>0</v>
      </c>
      <c r="AZ445" s="131"/>
    </row>
    <row r="446" spans="1:52" ht="15.75" customHeight="1">
      <c r="A446" s="353" t="s">
        <v>1755</v>
      </c>
      <c r="B446" s="507" t="s">
        <v>7026</v>
      </c>
      <c r="C446" s="184"/>
      <c r="D446" s="184"/>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c r="AA446" s="184"/>
      <c r="AB446" s="184"/>
      <c r="AC446" s="184"/>
      <c r="AD446" s="184"/>
      <c r="AE446" s="184"/>
      <c r="AF446" s="184"/>
      <c r="AG446" s="184"/>
      <c r="AH446" s="184"/>
      <c r="AI446" s="184"/>
      <c r="AJ446" s="184"/>
      <c r="AK446" s="184"/>
      <c r="AL446" s="184"/>
      <c r="AM446" s="184"/>
      <c r="AN446" s="184"/>
      <c r="AO446" s="184"/>
      <c r="AP446" s="184"/>
      <c r="AQ446" s="184"/>
      <c r="AR446" s="184"/>
      <c r="AS446" s="184"/>
      <c r="AT446" s="184"/>
      <c r="AU446" s="184"/>
      <c r="AV446" s="184"/>
      <c r="AW446" s="505"/>
      <c r="AX446" s="134">
        <f>Balanza!G653</f>
        <v>0</v>
      </c>
      <c r="AY446" s="134">
        <f>Balanza!C653</f>
        <v>0</v>
      </c>
      <c r="AZ446" s="131"/>
    </row>
    <row r="447" spans="1:52" ht="15.75" customHeight="1">
      <c r="A447" s="503" t="s">
        <v>1756</v>
      </c>
      <c r="B447" s="183" t="s">
        <v>1757</v>
      </c>
      <c r="C447" s="184"/>
      <c r="D447" s="184"/>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c r="AA447" s="184"/>
      <c r="AB447" s="184"/>
      <c r="AC447" s="184"/>
      <c r="AD447" s="184"/>
      <c r="AE447" s="184"/>
      <c r="AF447" s="184"/>
      <c r="AG447" s="184"/>
      <c r="AH447" s="184"/>
      <c r="AI447" s="184"/>
      <c r="AJ447" s="184"/>
      <c r="AK447" s="184"/>
      <c r="AL447" s="184"/>
      <c r="AM447" s="184"/>
      <c r="AN447" s="184"/>
      <c r="AO447" s="184"/>
      <c r="AP447" s="184"/>
      <c r="AQ447" s="184"/>
      <c r="AR447" s="184"/>
      <c r="AS447" s="184"/>
      <c r="AT447" s="184"/>
      <c r="AU447" s="184"/>
      <c r="AV447" s="184"/>
      <c r="AW447" s="505"/>
      <c r="AX447" s="416">
        <f t="shared" ref="AX447:AY447" si="108">AX448+AX451</f>
        <v>0</v>
      </c>
      <c r="AY447" s="416">
        <f t="shared" si="108"/>
        <v>0</v>
      </c>
      <c r="AZ447" s="131"/>
    </row>
    <row r="448" spans="1:52" ht="15.75" customHeight="1">
      <c r="A448" s="503" t="s">
        <v>1758</v>
      </c>
      <c r="B448" s="183" t="s">
        <v>1759</v>
      </c>
      <c r="C448" s="184"/>
      <c r="D448" s="184"/>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c r="AA448" s="184"/>
      <c r="AB448" s="184"/>
      <c r="AC448" s="184"/>
      <c r="AD448" s="184"/>
      <c r="AE448" s="184"/>
      <c r="AF448" s="184"/>
      <c r="AG448" s="184"/>
      <c r="AH448" s="184"/>
      <c r="AI448" s="184"/>
      <c r="AJ448" s="184"/>
      <c r="AK448" s="184"/>
      <c r="AL448" s="184"/>
      <c r="AM448" s="184"/>
      <c r="AN448" s="184"/>
      <c r="AO448" s="184"/>
      <c r="AP448" s="184"/>
      <c r="AQ448" s="184"/>
      <c r="AR448" s="184"/>
      <c r="AS448" s="184"/>
      <c r="AT448" s="184"/>
      <c r="AU448" s="184"/>
      <c r="AV448" s="184"/>
      <c r="AW448" s="505"/>
      <c r="AX448" s="318">
        <f t="shared" ref="AX448:AY448" si="109">SUM(AX449:AX450)</f>
        <v>0</v>
      </c>
      <c r="AY448" s="318">
        <f t="shared" si="109"/>
        <v>0</v>
      </c>
      <c r="AZ448" s="131"/>
    </row>
    <row r="449" spans="1:52" ht="15.75" customHeight="1">
      <c r="A449" s="353" t="s">
        <v>1760</v>
      </c>
      <c r="B449" s="507" t="s">
        <v>1761</v>
      </c>
      <c r="C449" s="184"/>
      <c r="D449" s="184"/>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c r="AA449" s="184"/>
      <c r="AB449" s="184"/>
      <c r="AC449" s="184"/>
      <c r="AD449" s="184"/>
      <c r="AE449" s="184"/>
      <c r="AF449" s="184"/>
      <c r="AG449" s="184"/>
      <c r="AH449" s="184"/>
      <c r="AI449" s="184"/>
      <c r="AJ449" s="184"/>
      <c r="AK449" s="184"/>
      <c r="AL449" s="184"/>
      <c r="AM449" s="184"/>
      <c r="AN449" s="184"/>
      <c r="AO449" s="184"/>
      <c r="AP449" s="184"/>
      <c r="AQ449" s="184"/>
      <c r="AR449" s="184"/>
      <c r="AS449" s="184"/>
      <c r="AT449" s="184"/>
      <c r="AU449" s="184"/>
      <c r="AV449" s="184"/>
      <c r="AW449" s="505"/>
      <c r="AX449" s="134">
        <f>Balanza!G656</f>
        <v>0</v>
      </c>
      <c r="AY449" s="134">
        <f>Balanza!C656</f>
        <v>0</v>
      </c>
      <c r="AZ449" s="131"/>
    </row>
    <row r="450" spans="1:52" ht="15.75" customHeight="1">
      <c r="A450" s="353" t="s">
        <v>1762</v>
      </c>
      <c r="B450" s="507" t="s">
        <v>1763</v>
      </c>
      <c r="C450" s="184"/>
      <c r="D450" s="184"/>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c r="AA450" s="184"/>
      <c r="AB450" s="184"/>
      <c r="AC450" s="184"/>
      <c r="AD450" s="184"/>
      <c r="AE450" s="184"/>
      <c r="AF450" s="184"/>
      <c r="AG450" s="184"/>
      <c r="AH450" s="184"/>
      <c r="AI450" s="184"/>
      <c r="AJ450" s="184"/>
      <c r="AK450" s="184"/>
      <c r="AL450" s="184"/>
      <c r="AM450" s="184"/>
      <c r="AN450" s="184"/>
      <c r="AO450" s="184"/>
      <c r="AP450" s="184"/>
      <c r="AQ450" s="184"/>
      <c r="AR450" s="184"/>
      <c r="AS450" s="184"/>
      <c r="AT450" s="184"/>
      <c r="AU450" s="184"/>
      <c r="AV450" s="184"/>
      <c r="AW450" s="505"/>
      <c r="AX450" s="134">
        <f>Balanza!G657</f>
        <v>0</v>
      </c>
      <c r="AY450" s="134">
        <f>Balanza!C657</f>
        <v>0</v>
      </c>
      <c r="AZ450" s="131"/>
    </row>
    <row r="451" spans="1:52" ht="15.75" customHeight="1">
      <c r="A451" s="503" t="s">
        <v>1764</v>
      </c>
      <c r="B451" s="183" t="s">
        <v>1765</v>
      </c>
      <c r="C451" s="184"/>
      <c r="D451" s="184"/>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c r="AA451" s="184"/>
      <c r="AB451" s="184"/>
      <c r="AC451" s="184"/>
      <c r="AD451" s="184"/>
      <c r="AE451" s="184"/>
      <c r="AF451" s="184"/>
      <c r="AG451" s="184"/>
      <c r="AH451" s="184"/>
      <c r="AI451" s="184"/>
      <c r="AJ451" s="184"/>
      <c r="AK451" s="184"/>
      <c r="AL451" s="184"/>
      <c r="AM451" s="184"/>
      <c r="AN451" s="184"/>
      <c r="AO451" s="184"/>
      <c r="AP451" s="184"/>
      <c r="AQ451" s="184"/>
      <c r="AR451" s="184"/>
      <c r="AS451" s="184"/>
      <c r="AT451" s="184"/>
      <c r="AU451" s="184"/>
      <c r="AV451" s="184"/>
      <c r="AW451" s="505"/>
      <c r="AX451" s="318">
        <f t="shared" ref="AX451:AY451" si="110">SUM(AX452)</f>
        <v>0</v>
      </c>
      <c r="AY451" s="318">
        <f t="shared" si="110"/>
        <v>0</v>
      </c>
      <c r="AZ451" s="131"/>
    </row>
    <row r="452" spans="1:52" ht="15.75" customHeight="1">
      <c r="A452" s="353" t="s">
        <v>1766</v>
      </c>
      <c r="B452" s="507" t="s">
        <v>7027</v>
      </c>
      <c r="C452" s="184"/>
      <c r="D452" s="184"/>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c r="AA452" s="184"/>
      <c r="AB452" s="184"/>
      <c r="AC452" s="184"/>
      <c r="AD452" s="184"/>
      <c r="AE452" s="184"/>
      <c r="AF452" s="184"/>
      <c r="AG452" s="184"/>
      <c r="AH452" s="184"/>
      <c r="AI452" s="184"/>
      <c r="AJ452" s="184"/>
      <c r="AK452" s="184"/>
      <c r="AL452" s="184"/>
      <c r="AM452" s="184"/>
      <c r="AN452" s="184"/>
      <c r="AO452" s="184"/>
      <c r="AP452" s="184"/>
      <c r="AQ452" s="184"/>
      <c r="AR452" s="184"/>
      <c r="AS452" s="184"/>
      <c r="AT452" s="184"/>
      <c r="AU452" s="184"/>
      <c r="AV452" s="184"/>
      <c r="AW452" s="505"/>
      <c r="AX452" s="134">
        <f>Balanza!G659</f>
        <v>0</v>
      </c>
      <c r="AY452" s="134">
        <f>Balanza!C659</f>
        <v>0</v>
      </c>
      <c r="AZ452" s="131"/>
    </row>
    <row r="453" spans="1:52" ht="15.75" customHeight="1">
      <c r="A453" s="503" t="s">
        <v>1768</v>
      </c>
      <c r="B453" s="509" t="s">
        <v>7028</v>
      </c>
      <c r="C453" s="184"/>
      <c r="D453" s="184"/>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c r="AA453" s="184"/>
      <c r="AB453" s="184"/>
      <c r="AC453" s="184"/>
      <c r="AD453" s="184"/>
      <c r="AE453" s="184"/>
      <c r="AF453" s="184"/>
      <c r="AG453" s="184"/>
      <c r="AH453" s="184"/>
      <c r="AI453" s="184"/>
      <c r="AJ453" s="184"/>
      <c r="AK453" s="184"/>
      <c r="AL453" s="184"/>
      <c r="AM453" s="184"/>
      <c r="AN453" s="184"/>
      <c r="AO453" s="184"/>
      <c r="AP453" s="184"/>
      <c r="AQ453" s="184"/>
      <c r="AR453" s="184"/>
      <c r="AS453" s="184"/>
      <c r="AT453" s="184"/>
      <c r="AU453" s="184"/>
      <c r="AV453" s="184"/>
      <c r="AW453" s="505"/>
      <c r="AX453" s="506">
        <f t="shared" ref="AX453:AY453" si="111">AX454+AX463+AX471</f>
        <v>0</v>
      </c>
      <c r="AY453" s="506">
        <f t="shared" si="111"/>
        <v>0</v>
      </c>
      <c r="AZ453" s="131"/>
    </row>
    <row r="454" spans="1:52" ht="15.75" customHeight="1">
      <c r="A454" s="503" t="s">
        <v>1770</v>
      </c>
      <c r="B454" s="183" t="s">
        <v>1771</v>
      </c>
      <c r="C454" s="184"/>
      <c r="D454" s="184"/>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c r="AA454" s="184"/>
      <c r="AB454" s="184"/>
      <c r="AC454" s="184"/>
      <c r="AD454" s="184"/>
      <c r="AE454" s="184"/>
      <c r="AF454" s="184"/>
      <c r="AG454" s="184"/>
      <c r="AH454" s="184"/>
      <c r="AI454" s="184"/>
      <c r="AJ454" s="184"/>
      <c r="AK454" s="184"/>
      <c r="AL454" s="184"/>
      <c r="AM454" s="184"/>
      <c r="AN454" s="184"/>
      <c r="AO454" s="184"/>
      <c r="AP454" s="184"/>
      <c r="AQ454" s="184"/>
      <c r="AR454" s="184"/>
      <c r="AS454" s="184"/>
      <c r="AT454" s="184"/>
      <c r="AU454" s="184"/>
      <c r="AV454" s="184"/>
      <c r="AW454" s="505"/>
      <c r="AX454" s="416">
        <f t="shared" ref="AX454:AY454" si="112">AX455+AX459</f>
        <v>0</v>
      </c>
      <c r="AY454" s="416">
        <f t="shared" si="112"/>
        <v>0</v>
      </c>
      <c r="AZ454" s="131"/>
    </row>
    <row r="455" spans="1:52" ht="15.75" customHeight="1">
      <c r="A455" s="503" t="s">
        <v>1772</v>
      </c>
      <c r="B455" s="183" t="s">
        <v>1773</v>
      </c>
      <c r="C455" s="184"/>
      <c r="D455" s="184"/>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c r="AA455" s="184"/>
      <c r="AB455" s="184"/>
      <c r="AC455" s="184"/>
      <c r="AD455" s="184"/>
      <c r="AE455" s="184"/>
      <c r="AF455" s="184"/>
      <c r="AG455" s="184"/>
      <c r="AH455" s="184"/>
      <c r="AI455" s="184"/>
      <c r="AJ455" s="184"/>
      <c r="AK455" s="184"/>
      <c r="AL455" s="184"/>
      <c r="AM455" s="184"/>
      <c r="AN455" s="184"/>
      <c r="AO455" s="184"/>
      <c r="AP455" s="184"/>
      <c r="AQ455" s="184"/>
      <c r="AR455" s="184"/>
      <c r="AS455" s="184"/>
      <c r="AT455" s="184"/>
      <c r="AU455" s="184"/>
      <c r="AV455" s="184"/>
      <c r="AW455" s="505"/>
      <c r="AX455" s="318">
        <f t="shared" ref="AX455:AY455" si="113">SUM(AX456:AX458)</f>
        <v>0</v>
      </c>
      <c r="AY455" s="318">
        <f t="shared" si="113"/>
        <v>0</v>
      </c>
      <c r="AZ455" s="131"/>
    </row>
    <row r="456" spans="1:52" ht="15.75" customHeight="1">
      <c r="A456" s="353" t="s">
        <v>1774</v>
      </c>
      <c r="B456" s="507" t="s">
        <v>7029</v>
      </c>
      <c r="C456" s="184"/>
      <c r="D456" s="184"/>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c r="AA456" s="184"/>
      <c r="AB456" s="184"/>
      <c r="AC456" s="184"/>
      <c r="AD456" s="184"/>
      <c r="AE456" s="184"/>
      <c r="AF456" s="184"/>
      <c r="AG456" s="184"/>
      <c r="AH456" s="184"/>
      <c r="AI456" s="184"/>
      <c r="AJ456" s="184"/>
      <c r="AK456" s="184"/>
      <c r="AL456" s="184"/>
      <c r="AM456" s="184"/>
      <c r="AN456" s="184"/>
      <c r="AO456" s="184"/>
      <c r="AP456" s="184"/>
      <c r="AQ456" s="184"/>
      <c r="AR456" s="184"/>
      <c r="AS456" s="184"/>
      <c r="AT456" s="184"/>
      <c r="AU456" s="184"/>
      <c r="AV456" s="184"/>
      <c r="AW456" s="505"/>
      <c r="AX456" s="134">
        <f>Balanza!G663</f>
        <v>0</v>
      </c>
      <c r="AY456" s="134">
        <f>Balanza!C663</f>
        <v>0</v>
      </c>
      <c r="AZ456" s="131"/>
    </row>
    <row r="457" spans="1:52" ht="15.75" customHeight="1">
      <c r="A457" s="353" t="s">
        <v>1776</v>
      </c>
      <c r="B457" s="507" t="s">
        <v>7030</v>
      </c>
      <c r="C457" s="184"/>
      <c r="D457" s="184"/>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c r="AA457" s="184"/>
      <c r="AB457" s="184"/>
      <c r="AC457" s="184"/>
      <c r="AD457" s="184"/>
      <c r="AE457" s="184"/>
      <c r="AF457" s="184"/>
      <c r="AG457" s="184"/>
      <c r="AH457" s="184"/>
      <c r="AI457" s="184"/>
      <c r="AJ457" s="184"/>
      <c r="AK457" s="184"/>
      <c r="AL457" s="184"/>
      <c r="AM457" s="184"/>
      <c r="AN457" s="184"/>
      <c r="AO457" s="184"/>
      <c r="AP457" s="184"/>
      <c r="AQ457" s="184"/>
      <c r="AR457" s="184"/>
      <c r="AS457" s="184"/>
      <c r="AT457" s="184"/>
      <c r="AU457" s="184"/>
      <c r="AV457" s="184"/>
      <c r="AW457" s="505"/>
      <c r="AX457" s="134">
        <f>Balanza!G664</f>
        <v>0</v>
      </c>
      <c r="AY457" s="134">
        <f>Balanza!C664</f>
        <v>0</v>
      </c>
      <c r="AZ457" s="131"/>
    </row>
    <row r="458" spans="1:52" ht="15.75" customHeight="1">
      <c r="A458" s="353" t="s">
        <v>1778</v>
      </c>
      <c r="B458" s="507" t="s">
        <v>7031</v>
      </c>
      <c r="C458" s="184"/>
      <c r="D458" s="184"/>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c r="AA458" s="184"/>
      <c r="AB458" s="184"/>
      <c r="AC458" s="184"/>
      <c r="AD458" s="184"/>
      <c r="AE458" s="184"/>
      <c r="AF458" s="184"/>
      <c r="AG458" s="184"/>
      <c r="AH458" s="184"/>
      <c r="AI458" s="184"/>
      <c r="AJ458" s="184"/>
      <c r="AK458" s="184"/>
      <c r="AL458" s="184"/>
      <c r="AM458" s="184"/>
      <c r="AN458" s="184"/>
      <c r="AO458" s="184"/>
      <c r="AP458" s="184"/>
      <c r="AQ458" s="184"/>
      <c r="AR458" s="184"/>
      <c r="AS458" s="184"/>
      <c r="AT458" s="184"/>
      <c r="AU458" s="184"/>
      <c r="AV458" s="184"/>
      <c r="AW458" s="505"/>
      <c r="AX458" s="134">
        <f>Balanza!G665</f>
        <v>0</v>
      </c>
      <c r="AY458" s="134">
        <f>Balanza!C665</f>
        <v>0</v>
      </c>
      <c r="AZ458" s="131"/>
    </row>
    <row r="459" spans="1:52" ht="15.75" customHeight="1">
      <c r="A459" s="503" t="s">
        <v>1780</v>
      </c>
      <c r="B459" s="183" t="s">
        <v>1781</v>
      </c>
      <c r="C459" s="184"/>
      <c r="D459" s="184"/>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c r="AA459" s="184"/>
      <c r="AB459" s="184"/>
      <c r="AC459" s="184"/>
      <c r="AD459" s="184"/>
      <c r="AE459" s="184"/>
      <c r="AF459" s="184"/>
      <c r="AG459" s="184"/>
      <c r="AH459" s="184"/>
      <c r="AI459" s="184"/>
      <c r="AJ459" s="184"/>
      <c r="AK459" s="184"/>
      <c r="AL459" s="184"/>
      <c r="AM459" s="184"/>
      <c r="AN459" s="184"/>
      <c r="AO459" s="184"/>
      <c r="AP459" s="184"/>
      <c r="AQ459" s="184"/>
      <c r="AR459" s="184"/>
      <c r="AS459" s="184"/>
      <c r="AT459" s="184"/>
      <c r="AU459" s="184"/>
      <c r="AV459" s="184"/>
      <c r="AW459" s="505"/>
      <c r="AX459" s="318">
        <f t="shared" ref="AX459:AY459" si="114">SUM(AX460:AX462)</f>
        <v>0</v>
      </c>
      <c r="AY459" s="318">
        <f t="shared" si="114"/>
        <v>0</v>
      </c>
      <c r="AZ459" s="131"/>
    </row>
    <row r="460" spans="1:52" ht="15.75" customHeight="1">
      <c r="A460" s="353" t="s">
        <v>1782</v>
      </c>
      <c r="B460" s="507" t="s">
        <v>7032</v>
      </c>
      <c r="C460" s="184"/>
      <c r="D460" s="184"/>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c r="AA460" s="184"/>
      <c r="AB460" s="184"/>
      <c r="AC460" s="184"/>
      <c r="AD460" s="184"/>
      <c r="AE460" s="184"/>
      <c r="AF460" s="184"/>
      <c r="AG460" s="184"/>
      <c r="AH460" s="184"/>
      <c r="AI460" s="184"/>
      <c r="AJ460" s="184"/>
      <c r="AK460" s="184"/>
      <c r="AL460" s="184"/>
      <c r="AM460" s="184"/>
      <c r="AN460" s="184"/>
      <c r="AO460" s="184"/>
      <c r="AP460" s="184"/>
      <c r="AQ460" s="184"/>
      <c r="AR460" s="184"/>
      <c r="AS460" s="184"/>
      <c r="AT460" s="184"/>
      <c r="AU460" s="184"/>
      <c r="AV460" s="184"/>
      <c r="AW460" s="505"/>
      <c r="AX460" s="134">
        <f>Balanza!G667</f>
        <v>0</v>
      </c>
      <c r="AY460" s="134">
        <f>Balanza!C667</f>
        <v>0</v>
      </c>
      <c r="AZ460" s="131"/>
    </row>
    <row r="461" spans="1:52" ht="15.75" customHeight="1">
      <c r="A461" s="353" t="s">
        <v>1783</v>
      </c>
      <c r="B461" s="507" t="s">
        <v>7033</v>
      </c>
      <c r="C461" s="184"/>
      <c r="D461" s="184"/>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c r="AA461" s="184"/>
      <c r="AB461" s="184"/>
      <c r="AC461" s="184"/>
      <c r="AD461" s="184"/>
      <c r="AE461" s="184"/>
      <c r="AF461" s="184"/>
      <c r="AG461" s="184"/>
      <c r="AH461" s="184"/>
      <c r="AI461" s="184"/>
      <c r="AJ461" s="184"/>
      <c r="AK461" s="184"/>
      <c r="AL461" s="184"/>
      <c r="AM461" s="184"/>
      <c r="AN461" s="184"/>
      <c r="AO461" s="184"/>
      <c r="AP461" s="184"/>
      <c r="AQ461" s="184"/>
      <c r="AR461" s="184"/>
      <c r="AS461" s="184"/>
      <c r="AT461" s="184"/>
      <c r="AU461" s="184"/>
      <c r="AV461" s="184"/>
      <c r="AW461" s="505"/>
      <c r="AX461" s="134">
        <f>Balanza!G668</f>
        <v>0</v>
      </c>
      <c r="AY461" s="134">
        <f>Balanza!C668</f>
        <v>0</v>
      </c>
      <c r="AZ461" s="131"/>
    </row>
    <row r="462" spans="1:52" ht="15.75" customHeight="1">
      <c r="A462" s="353" t="s">
        <v>1785</v>
      </c>
      <c r="B462" s="507" t="s">
        <v>7034</v>
      </c>
      <c r="C462" s="184"/>
      <c r="D462" s="184"/>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c r="AA462" s="184"/>
      <c r="AB462" s="184"/>
      <c r="AC462" s="184"/>
      <c r="AD462" s="184"/>
      <c r="AE462" s="184"/>
      <c r="AF462" s="184"/>
      <c r="AG462" s="184"/>
      <c r="AH462" s="184"/>
      <c r="AI462" s="184"/>
      <c r="AJ462" s="184"/>
      <c r="AK462" s="184"/>
      <c r="AL462" s="184"/>
      <c r="AM462" s="184"/>
      <c r="AN462" s="184"/>
      <c r="AO462" s="184"/>
      <c r="AP462" s="184"/>
      <c r="AQ462" s="184"/>
      <c r="AR462" s="184"/>
      <c r="AS462" s="184"/>
      <c r="AT462" s="184"/>
      <c r="AU462" s="184"/>
      <c r="AV462" s="184"/>
      <c r="AW462" s="505"/>
      <c r="AX462" s="134">
        <f>Balanza!G669</f>
        <v>0</v>
      </c>
      <c r="AY462" s="134">
        <f>Balanza!C669</f>
        <v>0</v>
      </c>
      <c r="AZ462" s="131"/>
    </row>
    <row r="463" spans="1:52" ht="15.75" customHeight="1">
      <c r="A463" s="503" t="s">
        <v>1787</v>
      </c>
      <c r="B463" s="183" t="s">
        <v>851</v>
      </c>
      <c r="C463" s="184"/>
      <c r="D463" s="184"/>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c r="AA463" s="184"/>
      <c r="AB463" s="184"/>
      <c r="AC463" s="184"/>
      <c r="AD463" s="184"/>
      <c r="AE463" s="184"/>
      <c r="AF463" s="184"/>
      <c r="AG463" s="184"/>
      <c r="AH463" s="184"/>
      <c r="AI463" s="184"/>
      <c r="AJ463" s="184"/>
      <c r="AK463" s="184"/>
      <c r="AL463" s="184"/>
      <c r="AM463" s="184"/>
      <c r="AN463" s="184"/>
      <c r="AO463" s="184"/>
      <c r="AP463" s="184"/>
      <c r="AQ463" s="184"/>
      <c r="AR463" s="184"/>
      <c r="AS463" s="184"/>
      <c r="AT463" s="184"/>
      <c r="AU463" s="184"/>
      <c r="AV463" s="184"/>
      <c r="AW463" s="505"/>
      <c r="AX463" s="416">
        <f t="shared" ref="AX463:AY463" si="115">AX464+AX469</f>
        <v>0</v>
      </c>
      <c r="AY463" s="416">
        <f t="shared" si="115"/>
        <v>0</v>
      </c>
      <c r="AZ463" s="131"/>
    </row>
    <row r="464" spans="1:52" ht="15.75" customHeight="1">
      <c r="A464" s="503" t="s">
        <v>1788</v>
      </c>
      <c r="B464" s="183" t="s">
        <v>1789</v>
      </c>
      <c r="C464" s="184"/>
      <c r="D464" s="184"/>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84"/>
      <c r="AE464" s="184"/>
      <c r="AF464" s="184"/>
      <c r="AG464" s="184"/>
      <c r="AH464" s="184"/>
      <c r="AI464" s="184"/>
      <c r="AJ464" s="184"/>
      <c r="AK464" s="184"/>
      <c r="AL464" s="184"/>
      <c r="AM464" s="184"/>
      <c r="AN464" s="184"/>
      <c r="AO464" s="184"/>
      <c r="AP464" s="184"/>
      <c r="AQ464" s="184"/>
      <c r="AR464" s="184"/>
      <c r="AS464" s="184"/>
      <c r="AT464" s="184"/>
      <c r="AU464" s="184"/>
      <c r="AV464" s="184"/>
      <c r="AW464" s="505"/>
      <c r="AX464" s="318">
        <v>0</v>
      </c>
      <c r="AY464" s="318">
        <v>0</v>
      </c>
      <c r="AZ464" s="131"/>
    </row>
    <row r="465" spans="1:52" ht="15.75" customHeight="1">
      <c r="A465" s="353" t="s">
        <v>1790</v>
      </c>
      <c r="B465" s="507" t="s">
        <v>7035</v>
      </c>
      <c r="C465" s="184"/>
      <c r="D465" s="184"/>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c r="AA465" s="184"/>
      <c r="AB465" s="184"/>
      <c r="AC465" s="184"/>
      <c r="AD465" s="184"/>
      <c r="AE465" s="184"/>
      <c r="AF465" s="184"/>
      <c r="AG465" s="184"/>
      <c r="AH465" s="184"/>
      <c r="AI465" s="184"/>
      <c r="AJ465" s="184"/>
      <c r="AK465" s="184"/>
      <c r="AL465" s="184"/>
      <c r="AM465" s="184"/>
      <c r="AN465" s="184"/>
      <c r="AO465" s="184"/>
      <c r="AP465" s="184"/>
      <c r="AQ465" s="184"/>
      <c r="AR465" s="184"/>
      <c r="AS465" s="184"/>
      <c r="AT465" s="184"/>
      <c r="AU465" s="184"/>
      <c r="AV465" s="184"/>
      <c r="AW465" s="505"/>
      <c r="AX465" s="134">
        <f>Balanza!G672</f>
        <v>0</v>
      </c>
      <c r="AY465" s="134">
        <f>Balanza!C672</f>
        <v>0</v>
      </c>
      <c r="AZ465" s="131"/>
    </row>
    <row r="466" spans="1:52" ht="15.75" customHeight="1">
      <c r="A466" s="353" t="s">
        <v>1792</v>
      </c>
      <c r="B466" s="507" t="s">
        <v>7036</v>
      </c>
      <c r="C466" s="184"/>
      <c r="D466" s="184"/>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c r="AA466" s="184"/>
      <c r="AB466" s="184"/>
      <c r="AC466" s="184"/>
      <c r="AD466" s="184"/>
      <c r="AE466" s="184"/>
      <c r="AF466" s="184"/>
      <c r="AG466" s="184"/>
      <c r="AH466" s="184"/>
      <c r="AI466" s="184"/>
      <c r="AJ466" s="184"/>
      <c r="AK466" s="184"/>
      <c r="AL466" s="184"/>
      <c r="AM466" s="184"/>
      <c r="AN466" s="184"/>
      <c r="AO466" s="184"/>
      <c r="AP466" s="184"/>
      <c r="AQ466" s="184"/>
      <c r="AR466" s="184"/>
      <c r="AS466" s="184"/>
      <c r="AT466" s="184"/>
      <c r="AU466" s="184"/>
      <c r="AV466" s="184"/>
      <c r="AW466" s="505"/>
      <c r="AX466" s="134">
        <f>Balanza!G673</f>
        <v>0</v>
      </c>
      <c r="AY466" s="134">
        <f>Balanza!C673</f>
        <v>0</v>
      </c>
      <c r="AZ466" s="131"/>
    </row>
    <row r="467" spans="1:52" ht="15.75" customHeight="1">
      <c r="A467" s="353" t="s">
        <v>1794</v>
      </c>
      <c r="B467" s="507" t="s">
        <v>7037</v>
      </c>
      <c r="C467" s="184"/>
      <c r="D467" s="184"/>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c r="AA467" s="184"/>
      <c r="AB467" s="184"/>
      <c r="AC467" s="184"/>
      <c r="AD467" s="184"/>
      <c r="AE467" s="184"/>
      <c r="AF467" s="184"/>
      <c r="AG467" s="184"/>
      <c r="AH467" s="184"/>
      <c r="AI467" s="184"/>
      <c r="AJ467" s="184"/>
      <c r="AK467" s="184"/>
      <c r="AL467" s="184"/>
      <c r="AM467" s="184"/>
      <c r="AN467" s="184"/>
      <c r="AO467" s="184"/>
      <c r="AP467" s="184"/>
      <c r="AQ467" s="184"/>
      <c r="AR467" s="184"/>
      <c r="AS467" s="184"/>
      <c r="AT467" s="184"/>
      <c r="AU467" s="184"/>
      <c r="AV467" s="184"/>
      <c r="AW467" s="505"/>
      <c r="AX467" s="134">
        <f>Balanza!G674</f>
        <v>0</v>
      </c>
      <c r="AY467" s="134">
        <f>Balanza!C674</f>
        <v>0</v>
      </c>
      <c r="AZ467" s="131"/>
    </row>
    <row r="468" spans="1:52" ht="15.75" customHeight="1">
      <c r="A468" s="353" t="s">
        <v>1796</v>
      </c>
      <c r="B468" s="507" t="s">
        <v>7038</v>
      </c>
      <c r="C468" s="184"/>
      <c r="D468" s="184"/>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c r="AA468" s="184"/>
      <c r="AB468" s="184"/>
      <c r="AC468" s="184"/>
      <c r="AD468" s="184"/>
      <c r="AE468" s="184"/>
      <c r="AF468" s="184"/>
      <c r="AG468" s="184"/>
      <c r="AH468" s="184"/>
      <c r="AI468" s="184"/>
      <c r="AJ468" s="184"/>
      <c r="AK468" s="184"/>
      <c r="AL468" s="184"/>
      <c r="AM468" s="184"/>
      <c r="AN468" s="184"/>
      <c r="AO468" s="184"/>
      <c r="AP468" s="184"/>
      <c r="AQ468" s="184"/>
      <c r="AR468" s="184"/>
      <c r="AS468" s="184"/>
      <c r="AT468" s="184"/>
      <c r="AU468" s="184"/>
      <c r="AV468" s="184"/>
      <c r="AW468" s="505"/>
      <c r="AX468" s="134">
        <f>Balanza!G675</f>
        <v>0</v>
      </c>
      <c r="AY468" s="134">
        <f>Balanza!C675</f>
        <v>0</v>
      </c>
      <c r="AZ468" s="131"/>
    </row>
    <row r="469" spans="1:52" ht="15.75" customHeight="1">
      <c r="A469" s="503" t="s">
        <v>1798</v>
      </c>
      <c r="B469" s="183" t="s">
        <v>1799</v>
      </c>
      <c r="C469" s="184"/>
      <c r="D469" s="184"/>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c r="AA469" s="184"/>
      <c r="AB469" s="184"/>
      <c r="AC469" s="184"/>
      <c r="AD469" s="184"/>
      <c r="AE469" s="184"/>
      <c r="AF469" s="184"/>
      <c r="AG469" s="184"/>
      <c r="AH469" s="184"/>
      <c r="AI469" s="184"/>
      <c r="AJ469" s="184"/>
      <c r="AK469" s="184"/>
      <c r="AL469" s="184"/>
      <c r="AM469" s="184"/>
      <c r="AN469" s="184"/>
      <c r="AO469" s="184"/>
      <c r="AP469" s="184"/>
      <c r="AQ469" s="184"/>
      <c r="AR469" s="184"/>
      <c r="AS469" s="184"/>
      <c r="AT469" s="184"/>
      <c r="AU469" s="184"/>
      <c r="AV469" s="184"/>
      <c r="AW469" s="505"/>
      <c r="AX469" s="318">
        <f t="shared" ref="AX469:AY469" si="116">SUM(AX470)</f>
        <v>0</v>
      </c>
      <c r="AY469" s="318">
        <f t="shared" si="116"/>
        <v>0</v>
      </c>
      <c r="AZ469" s="131"/>
    </row>
    <row r="470" spans="1:52" ht="15.75" customHeight="1">
      <c r="A470" s="353" t="s">
        <v>1800</v>
      </c>
      <c r="B470" s="507" t="s">
        <v>7039</v>
      </c>
      <c r="C470" s="184"/>
      <c r="D470" s="184"/>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c r="AA470" s="184"/>
      <c r="AB470" s="184"/>
      <c r="AC470" s="184"/>
      <c r="AD470" s="184"/>
      <c r="AE470" s="184"/>
      <c r="AF470" s="184"/>
      <c r="AG470" s="184"/>
      <c r="AH470" s="184"/>
      <c r="AI470" s="184"/>
      <c r="AJ470" s="184"/>
      <c r="AK470" s="184"/>
      <c r="AL470" s="184"/>
      <c r="AM470" s="184"/>
      <c r="AN470" s="184"/>
      <c r="AO470" s="184"/>
      <c r="AP470" s="184"/>
      <c r="AQ470" s="184"/>
      <c r="AR470" s="184"/>
      <c r="AS470" s="184"/>
      <c r="AT470" s="184"/>
      <c r="AU470" s="184"/>
      <c r="AV470" s="184"/>
      <c r="AW470" s="505"/>
      <c r="AX470" s="134">
        <f>Balanza!G677</f>
        <v>0</v>
      </c>
      <c r="AY470" s="134">
        <f>Balanza!C677</f>
        <v>0</v>
      </c>
      <c r="AZ470" s="131"/>
    </row>
    <row r="471" spans="1:52" ht="15.75" customHeight="1">
      <c r="A471" s="503" t="s">
        <v>1801</v>
      </c>
      <c r="B471" s="183" t="s">
        <v>1802</v>
      </c>
      <c r="C471" s="184"/>
      <c r="D471" s="184"/>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c r="AA471" s="184"/>
      <c r="AB471" s="184"/>
      <c r="AC471" s="184"/>
      <c r="AD471" s="184"/>
      <c r="AE471" s="184"/>
      <c r="AF471" s="184"/>
      <c r="AG471" s="184"/>
      <c r="AH471" s="184"/>
      <c r="AI471" s="184"/>
      <c r="AJ471" s="184"/>
      <c r="AK471" s="184"/>
      <c r="AL471" s="184"/>
      <c r="AM471" s="184"/>
      <c r="AN471" s="184"/>
      <c r="AO471" s="184"/>
      <c r="AP471" s="184"/>
      <c r="AQ471" s="184"/>
      <c r="AR471" s="184"/>
      <c r="AS471" s="184"/>
      <c r="AT471" s="184"/>
      <c r="AU471" s="184"/>
      <c r="AV471" s="184"/>
      <c r="AW471" s="505"/>
      <c r="AX471" s="416">
        <f t="shared" ref="AX471:AY471" si="117">AX472+AX474</f>
        <v>0</v>
      </c>
      <c r="AY471" s="416">
        <f t="shared" si="117"/>
        <v>0</v>
      </c>
      <c r="AZ471" s="131"/>
    </row>
    <row r="472" spans="1:52" ht="15.75" customHeight="1">
      <c r="A472" s="503" t="s">
        <v>1803</v>
      </c>
      <c r="B472" s="183" t="s">
        <v>1804</v>
      </c>
      <c r="C472" s="184"/>
      <c r="D472" s="184"/>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84"/>
      <c r="AE472" s="184"/>
      <c r="AF472" s="184"/>
      <c r="AG472" s="184"/>
      <c r="AH472" s="184"/>
      <c r="AI472" s="184"/>
      <c r="AJ472" s="184"/>
      <c r="AK472" s="184"/>
      <c r="AL472" s="184"/>
      <c r="AM472" s="184"/>
      <c r="AN472" s="184"/>
      <c r="AO472" s="184"/>
      <c r="AP472" s="184"/>
      <c r="AQ472" s="184"/>
      <c r="AR472" s="184"/>
      <c r="AS472" s="184"/>
      <c r="AT472" s="184"/>
      <c r="AU472" s="184"/>
      <c r="AV472" s="184"/>
      <c r="AW472" s="505"/>
      <c r="AX472" s="318">
        <f t="shared" ref="AX472:AY472" si="118">SUM(AX473)</f>
        <v>0</v>
      </c>
      <c r="AY472" s="318">
        <f t="shared" si="118"/>
        <v>0</v>
      </c>
      <c r="AZ472" s="131"/>
    </row>
    <row r="473" spans="1:52" ht="15.75" customHeight="1">
      <c r="A473" s="353" t="s">
        <v>1805</v>
      </c>
      <c r="B473" s="507" t="s">
        <v>7040</v>
      </c>
      <c r="C473" s="184"/>
      <c r="D473" s="184"/>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c r="AA473" s="184"/>
      <c r="AB473" s="184"/>
      <c r="AC473" s="184"/>
      <c r="AD473" s="184"/>
      <c r="AE473" s="184"/>
      <c r="AF473" s="184"/>
      <c r="AG473" s="184"/>
      <c r="AH473" s="184"/>
      <c r="AI473" s="184"/>
      <c r="AJ473" s="184"/>
      <c r="AK473" s="184"/>
      <c r="AL473" s="184"/>
      <c r="AM473" s="184"/>
      <c r="AN473" s="184"/>
      <c r="AO473" s="184"/>
      <c r="AP473" s="184"/>
      <c r="AQ473" s="184"/>
      <c r="AR473" s="184"/>
      <c r="AS473" s="184"/>
      <c r="AT473" s="184"/>
      <c r="AU473" s="184"/>
      <c r="AV473" s="184"/>
      <c r="AW473" s="505"/>
      <c r="AX473" s="134">
        <f>Balanza!G680</f>
        <v>0</v>
      </c>
      <c r="AY473" s="134">
        <f>Balanza!C680</f>
        <v>0</v>
      </c>
      <c r="AZ473" s="131"/>
    </row>
    <row r="474" spans="1:52" ht="15.75" customHeight="1">
      <c r="A474" s="503" t="s">
        <v>1806</v>
      </c>
      <c r="B474" s="183" t="s">
        <v>1807</v>
      </c>
      <c r="C474" s="184"/>
      <c r="D474" s="184"/>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c r="AA474" s="184"/>
      <c r="AB474" s="184"/>
      <c r="AC474" s="184"/>
      <c r="AD474" s="184"/>
      <c r="AE474" s="184"/>
      <c r="AF474" s="184"/>
      <c r="AG474" s="184"/>
      <c r="AH474" s="184"/>
      <c r="AI474" s="184"/>
      <c r="AJ474" s="184"/>
      <c r="AK474" s="184"/>
      <c r="AL474" s="184"/>
      <c r="AM474" s="184"/>
      <c r="AN474" s="184"/>
      <c r="AO474" s="184"/>
      <c r="AP474" s="184"/>
      <c r="AQ474" s="184"/>
      <c r="AR474" s="184"/>
      <c r="AS474" s="184"/>
      <c r="AT474" s="184"/>
      <c r="AU474" s="184"/>
      <c r="AV474" s="184"/>
      <c r="AW474" s="505"/>
      <c r="AX474" s="318">
        <f t="shared" ref="AX474:AY474" si="119">SUM(AX475:AX476)</f>
        <v>0</v>
      </c>
      <c r="AY474" s="318">
        <f t="shared" si="119"/>
        <v>0</v>
      </c>
      <c r="AZ474" s="131"/>
    </row>
    <row r="475" spans="1:52" ht="15.75" customHeight="1">
      <c r="A475" s="353" t="s">
        <v>1808</v>
      </c>
      <c r="B475" s="507" t="s">
        <v>7041</v>
      </c>
      <c r="C475" s="184"/>
      <c r="D475" s="184"/>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c r="AA475" s="184"/>
      <c r="AB475" s="184"/>
      <c r="AC475" s="184"/>
      <c r="AD475" s="184"/>
      <c r="AE475" s="184"/>
      <c r="AF475" s="184"/>
      <c r="AG475" s="184"/>
      <c r="AH475" s="184"/>
      <c r="AI475" s="184"/>
      <c r="AJ475" s="184"/>
      <c r="AK475" s="184"/>
      <c r="AL475" s="184"/>
      <c r="AM475" s="184"/>
      <c r="AN475" s="184"/>
      <c r="AO475" s="184"/>
      <c r="AP475" s="184"/>
      <c r="AQ475" s="184"/>
      <c r="AR475" s="184"/>
      <c r="AS475" s="184"/>
      <c r="AT475" s="184"/>
      <c r="AU475" s="184"/>
      <c r="AV475" s="184"/>
      <c r="AW475" s="505"/>
      <c r="AX475" s="134">
        <f>Balanza!G682</f>
        <v>0</v>
      </c>
      <c r="AY475" s="134">
        <f>Balanza!C682</f>
        <v>0</v>
      </c>
      <c r="AZ475" s="131"/>
    </row>
    <row r="476" spans="1:52" ht="15.75" customHeight="1">
      <c r="A476" s="353" t="s">
        <v>1810</v>
      </c>
      <c r="B476" s="507" t="s">
        <v>7042</v>
      </c>
      <c r="C476" s="184"/>
      <c r="D476" s="184"/>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c r="AA476" s="184"/>
      <c r="AB476" s="184"/>
      <c r="AC476" s="184"/>
      <c r="AD476" s="184"/>
      <c r="AE476" s="184"/>
      <c r="AF476" s="184"/>
      <c r="AG476" s="184"/>
      <c r="AH476" s="184"/>
      <c r="AI476" s="184"/>
      <c r="AJ476" s="184"/>
      <c r="AK476" s="184"/>
      <c r="AL476" s="184"/>
      <c r="AM476" s="184"/>
      <c r="AN476" s="184"/>
      <c r="AO476" s="184"/>
      <c r="AP476" s="184"/>
      <c r="AQ476" s="184"/>
      <c r="AR476" s="184"/>
      <c r="AS476" s="184"/>
      <c r="AT476" s="184"/>
      <c r="AU476" s="184"/>
      <c r="AV476" s="184"/>
      <c r="AW476" s="505"/>
      <c r="AX476" s="134">
        <f>Balanza!G683</f>
        <v>0</v>
      </c>
      <c r="AY476" s="134">
        <f>Balanza!C683</f>
        <v>0</v>
      </c>
      <c r="AZ476" s="131"/>
    </row>
    <row r="477" spans="1:52" ht="15.75" customHeight="1">
      <c r="A477" s="503" t="s">
        <v>1812</v>
      </c>
      <c r="B477" s="509" t="s">
        <v>7043</v>
      </c>
      <c r="C477" s="184"/>
      <c r="D477" s="184"/>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c r="AA477" s="184"/>
      <c r="AB477" s="184"/>
      <c r="AC477" s="184"/>
      <c r="AD477" s="184"/>
      <c r="AE477" s="184"/>
      <c r="AF477" s="184"/>
      <c r="AG477" s="184"/>
      <c r="AH477" s="184"/>
      <c r="AI477" s="184"/>
      <c r="AJ477" s="184"/>
      <c r="AK477" s="184"/>
      <c r="AL477" s="184"/>
      <c r="AM477" s="184"/>
      <c r="AN477" s="184"/>
      <c r="AO477" s="184"/>
      <c r="AP477" s="184"/>
      <c r="AQ477" s="184"/>
      <c r="AR477" s="184"/>
      <c r="AS477" s="184"/>
      <c r="AT477" s="184"/>
      <c r="AU477" s="184"/>
      <c r="AV477" s="184"/>
      <c r="AW477" s="505"/>
      <c r="AX477" s="506">
        <f t="shared" ref="AX477:AY477" si="120">AX478+AX489+AX494+AX499+AX502</f>
        <v>83809213.810000002</v>
      </c>
      <c r="AY477" s="506">
        <f t="shared" si="120"/>
        <v>133623372.30999999</v>
      </c>
      <c r="AZ477" s="131"/>
    </row>
    <row r="478" spans="1:52" ht="15.75" customHeight="1">
      <c r="A478" s="503" t="s">
        <v>1814</v>
      </c>
      <c r="B478" s="183" t="s">
        <v>1815</v>
      </c>
      <c r="C478" s="184"/>
      <c r="D478" s="184"/>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c r="AA478" s="184"/>
      <c r="AB478" s="184"/>
      <c r="AC478" s="184"/>
      <c r="AD478" s="184"/>
      <c r="AE478" s="184"/>
      <c r="AF478" s="184"/>
      <c r="AG478" s="184"/>
      <c r="AH478" s="184"/>
      <c r="AI478" s="184"/>
      <c r="AJ478" s="184"/>
      <c r="AK478" s="184"/>
      <c r="AL478" s="184"/>
      <c r="AM478" s="184"/>
      <c r="AN478" s="184"/>
      <c r="AO478" s="184"/>
      <c r="AP478" s="184"/>
      <c r="AQ478" s="184"/>
      <c r="AR478" s="184"/>
      <c r="AS478" s="184"/>
      <c r="AT478" s="184"/>
      <c r="AU478" s="184"/>
      <c r="AV478" s="184"/>
      <c r="AW478" s="505"/>
      <c r="AX478" s="416">
        <f t="shared" ref="AX478:AY478" si="121">AX479+AX483</f>
        <v>82876596.930000007</v>
      </c>
      <c r="AY478" s="416">
        <f t="shared" si="121"/>
        <v>131356360.81999999</v>
      </c>
      <c r="AZ478" s="131"/>
    </row>
    <row r="479" spans="1:52" ht="15.75" customHeight="1">
      <c r="A479" s="503" t="s">
        <v>1816</v>
      </c>
      <c r="B479" s="183" t="s">
        <v>1817</v>
      </c>
      <c r="C479" s="184"/>
      <c r="D479" s="184"/>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c r="AA479" s="184"/>
      <c r="AB479" s="184"/>
      <c r="AC479" s="184"/>
      <c r="AD479" s="184"/>
      <c r="AE479" s="184"/>
      <c r="AF479" s="184"/>
      <c r="AG479" s="184"/>
      <c r="AH479" s="184"/>
      <c r="AI479" s="184"/>
      <c r="AJ479" s="184"/>
      <c r="AK479" s="184"/>
      <c r="AL479" s="184"/>
      <c r="AM479" s="184"/>
      <c r="AN479" s="184"/>
      <c r="AO479" s="184"/>
      <c r="AP479" s="184"/>
      <c r="AQ479" s="184"/>
      <c r="AR479" s="184"/>
      <c r="AS479" s="184"/>
      <c r="AT479" s="184"/>
      <c r="AU479" s="184"/>
      <c r="AV479" s="184"/>
      <c r="AW479" s="505"/>
      <c r="AX479" s="318">
        <f t="shared" ref="AX479:AY479" si="122">SUM(AX480:AX482)</f>
        <v>82876596.930000007</v>
      </c>
      <c r="AY479" s="318">
        <f t="shared" si="122"/>
        <v>131356360.81999999</v>
      </c>
      <c r="AZ479" s="131"/>
    </row>
    <row r="480" spans="1:52" ht="15.75" customHeight="1">
      <c r="A480" s="353" t="s">
        <v>1818</v>
      </c>
      <c r="B480" s="507" t="s">
        <v>7044</v>
      </c>
      <c r="C480" s="184"/>
      <c r="D480" s="184"/>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c r="AA480" s="184"/>
      <c r="AB480" s="184"/>
      <c r="AC480" s="184"/>
      <c r="AD480" s="184"/>
      <c r="AE480" s="184"/>
      <c r="AF480" s="184"/>
      <c r="AG480" s="184"/>
      <c r="AH480" s="184"/>
      <c r="AI480" s="184"/>
      <c r="AJ480" s="184"/>
      <c r="AK480" s="184"/>
      <c r="AL480" s="184"/>
      <c r="AM480" s="184"/>
      <c r="AN480" s="184"/>
      <c r="AO480" s="184"/>
      <c r="AP480" s="184"/>
      <c r="AQ480" s="184"/>
      <c r="AR480" s="184"/>
      <c r="AS480" s="184"/>
      <c r="AT480" s="184"/>
      <c r="AU480" s="184"/>
      <c r="AV480" s="184"/>
      <c r="AW480" s="505"/>
      <c r="AX480" s="134">
        <f>Balanza!G687</f>
        <v>82876596.930000007</v>
      </c>
      <c r="AY480" s="134">
        <f>Balanza!C687</f>
        <v>131356360.81999999</v>
      </c>
      <c r="AZ480" s="131"/>
    </row>
    <row r="481" spans="1:52" ht="15.75" customHeight="1">
      <c r="A481" s="353" t="s">
        <v>1820</v>
      </c>
      <c r="B481" s="507" t="s">
        <v>7045</v>
      </c>
      <c r="C481" s="184"/>
      <c r="D481" s="184"/>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c r="AA481" s="184"/>
      <c r="AB481" s="184"/>
      <c r="AC481" s="184"/>
      <c r="AD481" s="184"/>
      <c r="AE481" s="184"/>
      <c r="AF481" s="184"/>
      <c r="AG481" s="184"/>
      <c r="AH481" s="184"/>
      <c r="AI481" s="184"/>
      <c r="AJ481" s="184"/>
      <c r="AK481" s="184"/>
      <c r="AL481" s="184"/>
      <c r="AM481" s="184"/>
      <c r="AN481" s="184"/>
      <c r="AO481" s="184"/>
      <c r="AP481" s="184"/>
      <c r="AQ481" s="184"/>
      <c r="AR481" s="184"/>
      <c r="AS481" s="184"/>
      <c r="AT481" s="184"/>
      <c r="AU481" s="184"/>
      <c r="AV481" s="184"/>
      <c r="AW481" s="505"/>
      <c r="AX481" s="134">
        <f>Balanza!G688</f>
        <v>0</v>
      </c>
      <c r="AY481" s="134">
        <f>Balanza!C688</f>
        <v>0</v>
      </c>
      <c r="AZ481" s="131"/>
    </row>
    <row r="482" spans="1:52" ht="15.75" customHeight="1">
      <c r="A482" s="353" t="s">
        <v>1822</v>
      </c>
      <c r="B482" s="507" t="s">
        <v>7046</v>
      </c>
      <c r="C482" s="184"/>
      <c r="D482" s="184"/>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c r="AA482" s="184"/>
      <c r="AB482" s="184"/>
      <c r="AC482" s="184"/>
      <c r="AD482" s="184"/>
      <c r="AE482" s="184"/>
      <c r="AF482" s="184"/>
      <c r="AG482" s="184"/>
      <c r="AH482" s="184"/>
      <c r="AI482" s="184"/>
      <c r="AJ482" s="184"/>
      <c r="AK482" s="184"/>
      <c r="AL482" s="184"/>
      <c r="AM482" s="184"/>
      <c r="AN482" s="184"/>
      <c r="AO482" s="184"/>
      <c r="AP482" s="184"/>
      <c r="AQ482" s="184"/>
      <c r="AR482" s="184"/>
      <c r="AS482" s="184"/>
      <c r="AT482" s="184"/>
      <c r="AU482" s="184"/>
      <c r="AV482" s="184"/>
      <c r="AW482" s="505"/>
      <c r="AX482" s="134">
        <f>Balanza!G689</f>
        <v>0</v>
      </c>
      <c r="AY482" s="134">
        <f>Balanza!C689</f>
        <v>0</v>
      </c>
      <c r="AZ482" s="131"/>
    </row>
    <row r="483" spans="1:52" ht="15.75" customHeight="1">
      <c r="A483" s="503" t="s">
        <v>1824</v>
      </c>
      <c r="B483" s="183" t="s">
        <v>1825</v>
      </c>
      <c r="C483" s="184"/>
      <c r="D483" s="184"/>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c r="AA483" s="184"/>
      <c r="AB483" s="184"/>
      <c r="AC483" s="184"/>
      <c r="AD483" s="184"/>
      <c r="AE483" s="184"/>
      <c r="AF483" s="184"/>
      <c r="AG483" s="184"/>
      <c r="AH483" s="184"/>
      <c r="AI483" s="184"/>
      <c r="AJ483" s="184"/>
      <c r="AK483" s="184"/>
      <c r="AL483" s="184"/>
      <c r="AM483" s="184"/>
      <c r="AN483" s="184"/>
      <c r="AO483" s="184"/>
      <c r="AP483" s="184"/>
      <c r="AQ483" s="184"/>
      <c r="AR483" s="184"/>
      <c r="AS483" s="184"/>
      <c r="AT483" s="184"/>
      <c r="AU483" s="184"/>
      <c r="AV483" s="184"/>
      <c r="AW483" s="505"/>
      <c r="AX483" s="318">
        <f t="shared" ref="AX483:AY483" si="123">SUM(AX484:AX488)</f>
        <v>0</v>
      </c>
      <c r="AY483" s="318">
        <f t="shared" si="123"/>
        <v>0</v>
      </c>
      <c r="AZ483" s="131"/>
    </row>
    <row r="484" spans="1:52" ht="15.75" customHeight="1">
      <c r="A484" s="353" t="s">
        <v>1826</v>
      </c>
      <c r="B484" s="507" t="s">
        <v>7047</v>
      </c>
      <c r="C484" s="184"/>
      <c r="D484" s="184"/>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c r="AA484" s="184"/>
      <c r="AB484" s="184"/>
      <c r="AC484" s="184"/>
      <c r="AD484" s="184"/>
      <c r="AE484" s="184"/>
      <c r="AF484" s="184"/>
      <c r="AG484" s="184"/>
      <c r="AH484" s="184"/>
      <c r="AI484" s="184"/>
      <c r="AJ484" s="184"/>
      <c r="AK484" s="184"/>
      <c r="AL484" s="184"/>
      <c r="AM484" s="184"/>
      <c r="AN484" s="184"/>
      <c r="AO484" s="184"/>
      <c r="AP484" s="184"/>
      <c r="AQ484" s="184"/>
      <c r="AR484" s="184"/>
      <c r="AS484" s="184"/>
      <c r="AT484" s="184"/>
      <c r="AU484" s="184"/>
      <c r="AV484" s="184"/>
      <c r="AW484" s="505"/>
      <c r="AX484" s="134">
        <f>Balanza!G691</f>
        <v>0</v>
      </c>
      <c r="AY484" s="134">
        <f>Balanza!C691</f>
        <v>0</v>
      </c>
      <c r="AZ484" s="131"/>
    </row>
    <row r="485" spans="1:52" ht="15.75" customHeight="1">
      <c r="A485" s="353" t="s">
        <v>1828</v>
      </c>
      <c r="B485" s="507" t="s">
        <v>7048</v>
      </c>
      <c r="C485" s="184"/>
      <c r="D485" s="184"/>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c r="AA485" s="184"/>
      <c r="AB485" s="184"/>
      <c r="AC485" s="184"/>
      <c r="AD485" s="184"/>
      <c r="AE485" s="184"/>
      <c r="AF485" s="184"/>
      <c r="AG485" s="184"/>
      <c r="AH485" s="184"/>
      <c r="AI485" s="184"/>
      <c r="AJ485" s="184"/>
      <c r="AK485" s="184"/>
      <c r="AL485" s="184"/>
      <c r="AM485" s="184"/>
      <c r="AN485" s="184"/>
      <c r="AO485" s="184"/>
      <c r="AP485" s="184"/>
      <c r="AQ485" s="184"/>
      <c r="AR485" s="184"/>
      <c r="AS485" s="184"/>
      <c r="AT485" s="184"/>
      <c r="AU485" s="184"/>
      <c r="AV485" s="184"/>
      <c r="AW485" s="505"/>
      <c r="AX485" s="134">
        <f>Balanza!G692</f>
        <v>0</v>
      </c>
      <c r="AY485" s="134">
        <f>Balanza!C692</f>
        <v>0</v>
      </c>
      <c r="AZ485" s="131"/>
    </row>
    <row r="486" spans="1:52" ht="15.75" customHeight="1">
      <c r="A486" s="353" t="s">
        <v>1830</v>
      </c>
      <c r="B486" s="507" t="s">
        <v>7049</v>
      </c>
      <c r="C486" s="184"/>
      <c r="D486" s="184"/>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c r="AA486" s="184"/>
      <c r="AB486" s="184"/>
      <c r="AC486" s="184"/>
      <c r="AD486" s="184"/>
      <c r="AE486" s="184"/>
      <c r="AF486" s="184"/>
      <c r="AG486" s="184"/>
      <c r="AH486" s="184"/>
      <c r="AI486" s="184"/>
      <c r="AJ486" s="184"/>
      <c r="AK486" s="184"/>
      <c r="AL486" s="184"/>
      <c r="AM486" s="184"/>
      <c r="AN486" s="184"/>
      <c r="AO486" s="184"/>
      <c r="AP486" s="184"/>
      <c r="AQ486" s="184"/>
      <c r="AR486" s="184"/>
      <c r="AS486" s="184"/>
      <c r="AT486" s="184"/>
      <c r="AU486" s="184"/>
      <c r="AV486" s="184"/>
      <c r="AW486" s="505"/>
      <c r="AX486" s="134">
        <f>Balanza!G693</f>
        <v>0</v>
      </c>
      <c r="AY486" s="134">
        <f>Balanza!C693</f>
        <v>0</v>
      </c>
      <c r="AZ486" s="131"/>
    </row>
    <row r="487" spans="1:52" ht="15.75" customHeight="1">
      <c r="A487" s="353" t="s">
        <v>1832</v>
      </c>
      <c r="B487" s="507" t="s">
        <v>7050</v>
      </c>
      <c r="C487" s="184"/>
      <c r="D487" s="184"/>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c r="AA487" s="184"/>
      <c r="AB487" s="184"/>
      <c r="AC487" s="184"/>
      <c r="AD487" s="184"/>
      <c r="AE487" s="184"/>
      <c r="AF487" s="184"/>
      <c r="AG487" s="184"/>
      <c r="AH487" s="184"/>
      <c r="AI487" s="184"/>
      <c r="AJ487" s="184"/>
      <c r="AK487" s="184"/>
      <c r="AL487" s="184"/>
      <c r="AM487" s="184"/>
      <c r="AN487" s="184"/>
      <c r="AO487" s="184"/>
      <c r="AP487" s="184"/>
      <c r="AQ487" s="184"/>
      <c r="AR487" s="184"/>
      <c r="AS487" s="184"/>
      <c r="AT487" s="184"/>
      <c r="AU487" s="184"/>
      <c r="AV487" s="184"/>
      <c r="AW487" s="505"/>
      <c r="AX487" s="134">
        <f>Balanza!G694</f>
        <v>0</v>
      </c>
      <c r="AY487" s="134">
        <f>Balanza!C694</f>
        <v>0</v>
      </c>
      <c r="AZ487" s="131"/>
    </row>
    <row r="488" spans="1:52" ht="15.75" customHeight="1">
      <c r="A488" s="353" t="s">
        <v>1834</v>
      </c>
      <c r="B488" s="507" t="s">
        <v>7051</v>
      </c>
      <c r="C488" s="184"/>
      <c r="D488" s="184"/>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c r="AA488" s="184"/>
      <c r="AB488" s="184"/>
      <c r="AC488" s="184"/>
      <c r="AD488" s="184"/>
      <c r="AE488" s="184"/>
      <c r="AF488" s="184"/>
      <c r="AG488" s="184"/>
      <c r="AH488" s="184"/>
      <c r="AI488" s="184"/>
      <c r="AJ488" s="184"/>
      <c r="AK488" s="184"/>
      <c r="AL488" s="184"/>
      <c r="AM488" s="184"/>
      <c r="AN488" s="184"/>
      <c r="AO488" s="184"/>
      <c r="AP488" s="184"/>
      <c r="AQ488" s="184"/>
      <c r="AR488" s="184"/>
      <c r="AS488" s="184"/>
      <c r="AT488" s="184"/>
      <c r="AU488" s="184"/>
      <c r="AV488" s="184"/>
      <c r="AW488" s="505"/>
      <c r="AX488" s="134">
        <f>Balanza!G695</f>
        <v>0</v>
      </c>
      <c r="AY488" s="134">
        <f>Balanza!C695</f>
        <v>0</v>
      </c>
      <c r="AZ488" s="131"/>
    </row>
    <row r="489" spans="1:52" ht="15.75" customHeight="1">
      <c r="A489" s="503" t="s">
        <v>1836</v>
      </c>
      <c r="B489" s="183" t="s">
        <v>1837</v>
      </c>
      <c r="C489" s="184"/>
      <c r="D489" s="184"/>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c r="AA489" s="184"/>
      <c r="AB489" s="184"/>
      <c r="AC489" s="184"/>
      <c r="AD489" s="184"/>
      <c r="AE489" s="184"/>
      <c r="AF489" s="184"/>
      <c r="AG489" s="184"/>
      <c r="AH489" s="184"/>
      <c r="AI489" s="184"/>
      <c r="AJ489" s="184"/>
      <c r="AK489" s="184"/>
      <c r="AL489" s="184"/>
      <c r="AM489" s="184"/>
      <c r="AN489" s="184"/>
      <c r="AO489" s="184"/>
      <c r="AP489" s="184"/>
      <c r="AQ489" s="184"/>
      <c r="AR489" s="184"/>
      <c r="AS489" s="184"/>
      <c r="AT489" s="184"/>
      <c r="AU489" s="184"/>
      <c r="AV489" s="184"/>
      <c r="AW489" s="505"/>
      <c r="AX489" s="416">
        <f t="shared" ref="AX489:AY489" si="124">AX490+AX492</f>
        <v>0</v>
      </c>
      <c r="AY489" s="416">
        <f t="shared" si="124"/>
        <v>0</v>
      </c>
      <c r="AZ489" s="131"/>
    </row>
    <row r="490" spans="1:52" ht="15.75" customHeight="1">
      <c r="A490" s="503" t="s">
        <v>1838</v>
      </c>
      <c r="B490" s="183" t="s">
        <v>1839</v>
      </c>
      <c r="C490" s="184"/>
      <c r="D490" s="184"/>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c r="AA490" s="184"/>
      <c r="AB490" s="184"/>
      <c r="AC490" s="184"/>
      <c r="AD490" s="184"/>
      <c r="AE490" s="184"/>
      <c r="AF490" s="184"/>
      <c r="AG490" s="184"/>
      <c r="AH490" s="184"/>
      <c r="AI490" s="184"/>
      <c r="AJ490" s="184"/>
      <c r="AK490" s="184"/>
      <c r="AL490" s="184"/>
      <c r="AM490" s="184"/>
      <c r="AN490" s="184"/>
      <c r="AO490" s="184"/>
      <c r="AP490" s="184"/>
      <c r="AQ490" s="184"/>
      <c r="AR490" s="184"/>
      <c r="AS490" s="184"/>
      <c r="AT490" s="184"/>
      <c r="AU490" s="184"/>
      <c r="AV490" s="184"/>
      <c r="AW490" s="505"/>
      <c r="AX490" s="318">
        <f t="shared" ref="AX490:AY490" si="125">SUM(AX491)</f>
        <v>0</v>
      </c>
      <c r="AY490" s="318">
        <f t="shared" si="125"/>
        <v>0</v>
      </c>
      <c r="AZ490" s="131"/>
    </row>
    <row r="491" spans="1:52" ht="15.75" customHeight="1">
      <c r="A491" s="353" t="s">
        <v>1840</v>
      </c>
      <c r="B491" s="507" t="s">
        <v>7052</v>
      </c>
      <c r="C491" s="184"/>
      <c r="D491" s="184"/>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c r="AA491" s="184"/>
      <c r="AB491" s="184"/>
      <c r="AC491" s="184"/>
      <c r="AD491" s="184"/>
      <c r="AE491" s="184"/>
      <c r="AF491" s="184"/>
      <c r="AG491" s="184"/>
      <c r="AH491" s="184"/>
      <c r="AI491" s="184"/>
      <c r="AJ491" s="184"/>
      <c r="AK491" s="184"/>
      <c r="AL491" s="184"/>
      <c r="AM491" s="184"/>
      <c r="AN491" s="184"/>
      <c r="AO491" s="184"/>
      <c r="AP491" s="184"/>
      <c r="AQ491" s="184"/>
      <c r="AR491" s="184"/>
      <c r="AS491" s="184"/>
      <c r="AT491" s="184"/>
      <c r="AU491" s="184"/>
      <c r="AV491" s="184"/>
      <c r="AW491" s="505"/>
      <c r="AX491" s="134">
        <f>Balanza!G698</f>
        <v>0</v>
      </c>
      <c r="AY491" s="134">
        <f>Balanza!C698</f>
        <v>0</v>
      </c>
      <c r="AZ491" s="131"/>
    </row>
    <row r="492" spans="1:52" ht="15.75" customHeight="1">
      <c r="A492" s="503" t="s">
        <v>1841</v>
      </c>
      <c r="B492" s="183" t="s">
        <v>1842</v>
      </c>
      <c r="C492" s="184"/>
      <c r="D492" s="184"/>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c r="AA492" s="184"/>
      <c r="AB492" s="184"/>
      <c r="AC492" s="184"/>
      <c r="AD492" s="184"/>
      <c r="AE492" s="184"/>
      <c r="AF492" s="184"/>
      <c r="AG492" s="184"/>
      <c r="AH492" s="184"/>
      <c r="AI492" s="184"/>
      <c r="AJ492" s="184"/>
      <c r="AK492" s="184"/>
      <c r="AL492" s="184"/>
      <c r="AM492" s="184"/>
      <c r="AN492" s="184"/>
      <c r="AO492" s="184"/>
      <c r="AP492" s="184"/>
      <c r="AQ492" s="184"/>
      <c r="AR492" s="184"/>
      <c r="AS492" s="184"/>
      <c r="AT492" s="184"/>
      <c r="AU492" s="184"/>
      <c r="AV492" s="184"/>
      <c r="AW492" s="505"/>
      <c r="AX492" s="318">
        <f t="shared" ref="AX492:AY492" si="126">SUM(AX493)</f>
        <v>0</v>
      </c>
      <c r="AY492" s="318">
        <f t="shared" si="126"/>
        <v>0</v>
      </c>
      <c r="AZ492" s="131"/>
    </row>
    <row r="493" spans="1:52" ht="15.75" customHeight="1">
      <c r="A493" s="353" t="s">
        <v>1843</v>
      </c>
      <c r="B493" s="507" t="s">
        <v>7053</v>
      </c>
      <c r="C493" s="184"/>
      <c r="D493" s="184"/>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c r="AA493" s="184"/>
      <c r="AB493" s="184"/>
      <c r="AC493" s="184"/>
      <c r="AD493" s="184"/>
      <c r="AE493" s="184"/>
      <c r="AF493" s="184"/>
      <c r="AG493" s="184"/>
      <c r="AH493" s="184"/>
      <c r="AI493" s="184"/>
      <c r="AJ493" s="184"/>
      <c r="AK493" s="184"/>
      <c r="AL493" s="184"/>
      <c r="AM493" s="184"/>
      <c r="AN493" s="184"/>
      <c r="AO493" s="184"/>
      <c r="AP493" s="184"/>
      <c r="AQ493" s="184"/>
      <c r="AR493" s="184"/>
      <c r="AS493" s="184"/>
      <c r="AT493" s="184"/>
      <c r="AU493" s="184"/>
      <c r="AV493" s="184"/>
      <c r="AW493" s="505"/>
      <c r="AX493" s="134">
        <f>Balanza!G700</f>
        <v>0</v>
      </c>
      <c r="AY493" s="134">
        <f>Balanza!C700</f>
        <v>0</v>
      </c>
      <c r="AZ493" s="131"/>
    </row>
    <row r="494" spans="1:52" ht="15.75" customHeight="1">
      <c r="A494" s="503" t="s">
        <v>1844</v>
      </c>
      <c r="B494" s="183" t="s">
        <v>1845</v>
      </c>
      <c r="C494" s="184"/>
      <c r="D494" s="184"/>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c r="AA494" s="184"/>
      <c r="AB494" s="184"/>
      <c r="AC494" s="184"/>
      <c r="AD494" s="184"/>
      <c r="AE494" s="184"/>
      <c r="AF494" s="184"/>
      <c r="AG494" s="184"/>
      <c r="AH494" s="184"/>
      <c r="AI494" s="184"/>
      <c r="AJ494" s="184"/>
      <c r="AK494" s="184"/>
      <c r="AL494" s="184"/>
      <c r="AM494" s="184"/>
      <c r="AN494" s="184"/>
      <c r="AO494" s="184"/>
      <c r="AP494" s="184"/>
      <c r="AQ494" s="184"/>
      <c r="AR494" s="184"/>
      <c r="AS494" s="184"/>
      <c r="AT494" s="184"/>
      <c r="AU494" s="184"/>
      <c r="AV494" s="184"/>
      <c r="AW494" s="505"/>
      <c r="AX494" s="416">
        <f t="shared" ref="AX494:AY494" si="127">AX495+AX497</f>
        <v>932616.88</v>
      </c>
      <c r="AY494" s="416">
        <f t="shared" si="127"/>
        <v>2267011.4900000002</v>
      </c>
      <c r="AZ494" s="131"/>
    </row>
    <row r="495" spans="1:52" ht="15.75" customHeight="1">
      <c r="A495" s="503" t="s">
        <v>1846</v>
      </c>
      <c r="B495" s="183" t="s">
        <v>1847</v>
      </c>
      <c r="C495" s="184"/>
      <c r="D495" s="184"/>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c r="AA495" s="184"/>
      <c r="AB495" s="184"/>
      <c r="AC495" s="184"/>
      <c r="AD495" s="184"/>
      <c r="AE495" s="184"/>
      <c r="AF495" s="184"/>
      <c r="AG495" s="184"/>
      <c r="AH495" s="184"/>
      <c r="AI495" s="184"/>
      <c r="AJ495" s="184"/>
      <c r="AK495" s="184"/>
      <c r="AL495" s="184"/>
      <c r="AM495" s="184"/>
      <c r="AN495" s="184"/>
      <c r="AO495" s="184"/>
      <c r="AP495" s="184"/>
      <c r="AQ495" s="184"/>
      <c r="AR495" s="184"/>
      <c r="AS495" s="184"/>
      <c r="AT495" s="184"/>
      <c r="AU495" s="184"/>
      <c r="AV495" s="184"/>
      <c r="AW495" s="505"/>
      <c r="AX495" s="318">
        <f t="shared" ref="AX495:AY495" si="128">SUM(AX496)</f>
        <v>932616.88</v>
      </c>
      <c r="AY495" s="318">
        <f t="shared" si="128"/>
        <v>2267011.4900000002</v>
      </c>
      <c r="AZ495" s="131"/>
    </row>
    <row r="496" spans="1:52" ht="15.75" customHeight="1">
      <c r="A496" s="353" t="s">
        <v>1848</v>
      </c>
      <c r="B496" s="507" t="s">
        <v>7054</v>
      </c>
      <c r="C496" s="184"/>
      <c r="D496" s="184"/>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c r="AA496" s="184"/>
      <c r="AB496" s="184"/>
      <c r="AC496" s="184"/>
      <c r="AD496" s="184"/>
      <c r="AE496" s="184"/>
      <c r="AF496" s="184"/>
      <c r="AG496" s="184"/>
      <c r="AH496" s="184"/>
      <c r="AI496" s="184"/>
      <c r="AJ496" s="184"/>
      <c r="AK496" s="184"/>
      <c r="AL496" s="184"/>
      <c r="AM496" s="184"/>
      <c r="AN496" s="184"/>
      <c r="AO496" s="184"/>
      <c r="AP496" s="184"/>
      <c r="AQ496" s="184"/>
      <c r="AR496" s="184"/>
      <c r="AS496" s="184"/>
      <c r="AT496" s="184"/>
      <c r="AU496" s="184"/>
      <c r="AV496" s="184"/>
      <c r="AW496" s="505"/>
      <c r="AX496" s="134">
        <f>Balanza!G703</f>
        <v>932616.88</v>
      </c>
      <c r="AY496" s="134">
        <f>Balanza!C703</f>
        <v>2267011.4900000002</v>
      </c>
      <c r="AZ496" s="131"/>
    </row>
    <row r="497" spans="1:52" ht="15.75" customHeight="1">
      <c r="A497" s="503" t="s">
        <v>1849</v>
      </c>
      <c r="B497" s="183" t="s">
        <v>1850</v>
      </c>
      <c r="C497" s="184"/>
      <c r="D497" s="184"/>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c r="AA497" s="184"/>
      <c r="AB497" s="184"/>
      <c r="AC497" s="184"/>
      <c r="AD497" s="184"/>
      <c r="AE497" s="184"/>
      <c r="AF497" s="184"/>
      <c r="AG497" s="184"/>
      <c r="AH497" s="184"/>
      <c r="AI497" s="184"/>
      <c r="AJ497" s="184"/>
      <c r="AK497" s="184"/>
      <c r="AL497" s="184"/>
      <c r="AM497" s="184"/>
      <c r="AN497" s="184"/>
      <c r="AO497" s="184"/>
      <c r="AP497" s="184"/>
      <c r="AQ497" s="184"/>
      <c r="AR497" s="184"/>
      <c r="AS497" s="184"/>
      <c r="AT497" s="184"/>
      <c r="AU497" s="184"/>
      <c r="AV497" s="184"/>
      <c r="AW497" s="505"/>
      <c r="AX497" s="318">
        <f t="shared" ref="AX497:AY497" si="129">SUM(AX498)</f>
        <v>0</v>
      </c>
      <c r="AY497" s="318">
        <f t="shared" si="129"/>
        <v>0</v>
      </c>
      <c r="AZ497" s="131"/>
    </row>
    <row r="498" spans="1:52" ht="15.75" customHeight="1">
      <c r="A498" s="353" t="s">
        <v>1851</v>
      </c>
      <c r="B498" s="507" t="s">
        <v>7055</v>
      </c>
      <c r="C498" s="184"/>
      <c r="D498" s="184"/>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c r="AA498" s="184"/>
      <c r="AB498" s="184"/>
      <c r="AC498" s="184"/>
      <c r="AD498" s="184"/>
      <c r="AE498" s="184"/>
      <c r="AF498" s="184"/>
      <c r="AG498" s="184"/>
      <c r="AH498" s="184"/>
      <c r="AI498" s="184"/>
      <c r="AJ498" s="184"/>
      <c r="AK498" s="184"/>
      <c r="AL498" s="184"/>
      <c r="AM498" s="184"/>
      <c r="AN498" s="184"/>
      <c r="AO498" s="184"/>
      <c r="AP498" s="184"/>
      <c r="AQ498" s="184"/>
      <c r="AR498" s="184"/>
      <c r="AS498" s="184"/>
      <c r="AT498" s="184"/>
      <c r="AU498" s="184"/>
      <c r="AV498" s="184"/>
      <c r="AW498" s="505"/>
      <c r="AX498" s="134">
        <f>Balanza!G705</f>
        <v>0</v>
      </c>
      <c r="AY498" s="134">
        <f>Balanza!C705</f>
        <v>0</v>
      </c>
      <c r="AZ498" s="131"/>
    </row>
    <row r="499" spans="1:52" ht="15.75" customHeight="1">
      <c r="A499" s="503" t="s">
        <v>1853</v>
      </c>
      <c r="B499" s="183" t="s">
        <v>1854</v>
      </c>
      <c r="C499" s="184"/>
      <c r="D499" s="184"/>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c r="AA499" s="184"/>
      <c r="AB499" s="184"/>
      <c r="AC499" s="184"/>
      <c r="AD499" s="184"/>
      <c r="AE499" s="184"/>
      <c r="AF499" s="184"/>
      <c r="AG499" s="184"/>
      <c r="AH499" s="184"/>
      <c r="AI499" s="184"/>
      <c r="AJ499" s="184"/>
      <c r="AK499" s="184"/>
      <c r="AL499" s="184"/>
      <c r="AM499" s="184"/>
      <c r="AN499" s="184"/>
      <c r="AO499" s="184"/>
      <c r="AP499" s="184"/>
      <c r="AQ499" s="184"/>
      <c r="AR499" s="184"/>
      <c r="AS499" s="184"/>
      <c r="AT499" s="184"/>
      <c r="AU499" s="184"/>
      <c r="AV499" s="184"/>
      <c r="AW499" s="505"/>
      <c r="AX499" s="416">
        <f t="shared" ref="AX499:AY499" si="130">AX500</f>
        <v>0</v>
      </c>
      <c r="AY499" s="416">
        <f t="shared" si="130"/>
        <v>0</v>
      </c>
      <c r="AZ499" s="131"/>
    </row>
    <row r="500" spans="1:52" ht="15.75" customHeight="1">
      <c r="A500" s="503" t="s">
        <v>1855</v>
      </c>
      <c r="B500" s="183" t="s">
        <v>1856</v>
      </c>
      <c r="C500" s="184"/>
      <c r="D500" s="184"/>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c r="AA500" s="184"/>
      <c r="AB500" s="184"/>
      <c r="AC500" s="184"/>
      <c r="AD500" s="184"/>
      <c r="AE500" s="184"/>
      <c r="AF500" s="184"/>
      <c r="AG500" s="184"/>
      <c r="AH500" s="184"/>
      <c r="AI500" s="184"/>
      <c r="AJ500" s="184"/>
      <c r="AK500" s="184"/>
      <c r="AL500" s="184"/>
      <c r="AM500" s="184"/>
      <c r="AN500" s="184"/>
      <c r="AO500" s="184"/>
      <c r="AP500" s="184"/>
      <c r="AQ500" s="184"/>
      <c r="AR500" s="184"/>
      <c r="AS500" s="184"/>
      <c r="AT500" s="184"/>
      <c r="AU500" s="184"/>
      <c r="AV500" s="184"/>
      <c r="AW500" s="505"/>
      <c r="AX500" s="318">
        <f t="shared" ref="AX500:AY500" si="131">SUM(AX501)</f>
        <v>0</v>
      </c>
      <c r="AY500" s="318">
        <f t="shared" si="131"/>
        <v>0</v>
      </c>
      <c r="AZ500" s="131"/>
    </row>
    <row r="501" spans="1:52" ht="15.75" customHeight="1">
      <c r="A501" s="353" t="s">
        <v>1857</v>
      </c>
      <c r="B501" s="507" t="s">
        <v>7056</v>
      </c>
      <c r="C501" s="184"/>
      <c r="D501" s="184"/>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c r="AA501" s="184"/>
      <c r="AB501" s="184"/>
      <c r="AC501" s="184"/>
      <c r="AD501" s="184"/>
      <c r="AE501" s="184"/>
      <c r="AF501" s="184"/>
      <c r="AG501" s="184"/>
      <c r="AH501" s="184"/>
      <c r="AI501" s="184"/>
      <c r="AJ501" s="184"/>
      <c r="AK501" s="184"/>
      <c r="AL501" s="184"/>
      <c r="AM501" s="184"/>
      <c r="AN501" s="184"/>
      <c r="AO501" s="184"/>
      <c r="AP501" s="184"/>
      <c r="AQ501" s="184"/>
      <c r="AR501" s="184"/>
      <c r="AS501" s="184"/>
      <c r="AT501" s="184"/>
      <c r="AU501" s="184"/>
      <c r="AV501" s="184"/>
      <c r="AW501" s="505"/>
      <c r="AX501" s="134">
        <f>Balanza!G708</f>
        <v>0</v>
      </c>
      <c r="AY501" s="134">
        <f>Balanza!C708</f>
        <v>0</v>
      </c>
      <c r="AZ501" s="131"/>
    </row>
    <row r="502" spans="1:52" ht="15.75" customHeight="1">
      <c r="A502" s="503" t="s">
        <v>1859</v>
      </c>
      <c r="B502" s="183" t="s">
        <v>1860</v>
      </c>
      <c r="C502" s="184"/>
      <c r="D502" s="184"/>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c r="AA502" s="184"/>
      <c r="AB502" s="184"/>
      <c r="AC502" s="184"/>
      <c r="AD502" s="184"/>
      <c r="AE502" s="184"/>
      <c r="AF502" s="184"/>
      <c r="AG502" s="184"/>
      <c r="AH502" s="184"/>
      <c r="AI502" s="184"/>
      <c r="AJ502" s="184"/>
      <c r="AK502" s="184"/>
      <c r="AL502" s="184"/>
      <c r="AM502" s="184"/>
      <c r="AN502" s="184"/>
      <c r="AO502" s="184"/>
      <c r="AP502" s="184"/>
      <c r="AQ502" s="184"/>
      <c r="AR502" s="184"/>
      <c r="AS502" s="184"/>
      <c r="AT502" s="184"/>
      <c r="AU502" s="184"/>
      <c r="AV502" s="184"/>
      <c r="AW502" s="505"/>
      <c r="AX502" s="416">
        <f t="shared" ref="AX502:AY502" si="132">AX503+AX505</f>
        <v>0</v>
      </c>
      <c r="AY502" s="416">
        <f t="shared" si="132"/>
        <v>0</v>
      </c>
      <c r="AZ502" s="131"/>
    </row>
    <row r="503" spans="1:52" ht="15.75" customHeight="1">
      <c r="A503" s="503" t="s">
        <v>1861</v>
      </c>
      <c r="B503" s="183" t="s">
        <v>1862</v>
      </c>
      <c r="C503" s="184"/>
      <c r="D503" s="184"/>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c r="AA503" s="184"/>
      <c r="AB503" s="184"/>
      <c r="AC503" s="184"/>
      <c r="AD503" s="184"/>
      <c r="AE503" s="184"/>
      <c r="AF503" s="184"/>
      <c r="AG503" s="184"/>
      <c r="AH503" s="184"/>
      <c r="AI503" s="184"/>
      <c r="AJ503" s="184"/>
      <c r="AK503" s="184"/>
      <c r="AL503" s="184"/>
      <c r="AM503" s="184"/>
      <c r="AN503" s="184"/>
      <c r="AO503" s="184"/>
      <c r="AP503" s="184"/>
      <c r="AQ503" s="184"/>
      <c r="AR503" s="184"/>
      <c r="AS503" s="184"/>
      <c r="AT503" s="184"/>
      <c r="AU503" s="184"/>
      <c r="AV503" s="184"/>
      <c r="AW503" s="505"/>
      <c r="AX503" s="318">
        <f t="shared" ref="AX503:AY503" si="133">SUM(AX504)</f>
        <v>0</v>
      </c>
      <c r="AY503" s="318">
        <f t="shared" si="133"/>
        <v>0</v>
      </c>
      <c r="AZ503" s="131"/>
    </row>
    <row r="504" spans="1:52" ht="15.75" customHeight="1">
      <c r="A504" s="353" t="s">
        <v>1863</v>
      </c>
      <c r="B504" s="507" t="s">
        <v>7057</v>
      </c>
      <c r="C504" s="184"/>
      <c r="D504" s="184"/>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c r="AA504" s="184"/>
      <c r="AB504" s="184"/>
      <c r="AC504" s="184"/>
      <c r="AD504" s="184"/>
      <c r="AE504" s="184"/>
      <c r="AF504" s="184"/>
      <c r="AG504" s="184"/>
      <c r="AH504" s="184"/>
      <c r="AI504" s="184"/>
      <c r="AJ504" s="184"/>
      <c r="AK504" s="184"/>
      <c r="AL504" s="184"/>
      <c r="AM504" s="184"/>
      <c r="AN504" s="184"/>
      <c r="AO504" s="184"/>
      <c r="AP504" s="184"/>
      <c r="AQ504" s="184"/>
      <c r="AR504" s="184"/>
      <c r="AS504" s="184"/>
      <c r="AT504" s="184"/>
      <c r="AU504" s="184"/>
      <c r="AV504" s="184"/>
      <c r="AW504" s="505"/>
      <c r="AX504" s="134">
        <f>Balanza!G711</f>
        <v>0</v>
      </c>
      <c r="AY504" s="134">
        <f>Balanza!C711</f>
        <v>0</v>
      </c>
      <c r="AZ504" s="131"/>
    </row>
    <row r="505" spans="1:52" ht="15.75" customHeight="1">
      <c r="A505" s="503" t="s">
        <v>1865</v>
      </c>
      <c r="B505" s="183" t="s">
        <v>1866</v>
      </c>
      <c r="C505" s="184"/>
      <c r="D505" s="184"/>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c r="AA505" s="184"/>
      <c r="AB505" s="184"/>
      <c r="AC505" s="184"/>
      <c r="AD505" s="184"/>
      <c r="AE505" s="184"/>
      <c r="AF505" s="184"/>
      <c r="AG505" s="184"/>
      <c r="AH505" s="184"/>
      <c r="AI505" s="184"/>
      <c r="AJ505" s="184"/>
      <c r="AK505" s="184"/>
      <c r="AL505" s="184"/>
      <c r="AM505" s="184"/>
      <c r="AN505" s="184"/>
      <c r="AO505" s="184"/>
      <c r="AP505" s="184"/>
      <c r="AQ505" s="184"/>
      <c r="AR505" s="184"/>
      <c r="AS505" s="184"/>
      <c r="AT505" s="184"/>
      <c r="AU505" s="184"/>
      <c r="AV505" s="184"/>
      <c r="AW505" s="505"/>
      <c r="AX505" s="318">
        <f t="shared" ref="AX505:AY505" si="134">SUM(AX506)</f>
        <v>0</v>
      </c>
      <c r="AY505" s="318">
        <f t="shared" si="134"/>
        <v>0</v>
      </c>
      <c r="AZ505" s="131"/>
    </row>
    <row r="506" spans="1:52" ht="15.75" customHeight="1">
      <c r="A506" s="353" t="s">
        <v>1867</v>
      </c>
      <c r="B506" s="507" t="s">
        <v>7058</v>
      </c>
      <c r="C506" s="184"/>
      <c r="D506" s="184"/>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c r="AA506" s="184"/>
      <c r="AB506" s="184"/>
      <c r="AC506" s="184"/>
      <c r="AD506" s="184"/>
      <c r="AE506" s="184"/>
      <c r="AF506" s="184"/>
      <c r="AG506" s="184"/>
      <c r="AH506" s="184"/>
      <c r="AI506" s="184"/>
      <c r="AJ506" s="184"/>
      <c r="AK506" s="184"/>
      <c r="AL506" s="184"/>
      <c r="AM506" s="184"/>
      <c r="AN506" s="184"/>
      <c r="AO506" s="184"/>
      <c r="AP506" s="184"/>
      <c r="AQ506" s="184"/>
      <c r="AR506" s="184"/>
      <c r="AS506" s="184"/>
      <c r="AT506" s="184"/>
      <c r="AU506" s="184"/>
      <c r="AV506" s="184"/>
      <c r="AW506" s="505"/>
      <c r="AX506" s="134">
        <f>Balanza!G713</f>
        <v>0</v>
      </c>
      <c r="AY506" s="134">
        <f>Balanza!C713</f>
        <v>0</v>
      </c>
      <c r="AZ506" s="131"/>
    </row>
    <row r="507" spans="1:52" ht="15.75" customHeight="1">
      <c r="A507" s="503" t="s">
        <v>1869</v>
      </c>
      <c r="B507" s="509" t="s">
        <v>7059</v>
      </c>
      <c r="C507" s="184"/>
      <c r="D507" s="184"/>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c r="AA507" s="184"/>
      <c r="AB507" s="184"/>
      <c r="AC507" s="184"/>
      <c r="AD507" s="184"/>
      <c r="AE507" s="184"/>
      <c r="AF507" s="184"/>
      <c r="AG507" s="184"/>
      <c r="AH507" s="184"/>
      <c r="AI507" s="184"/>
      <c r="AJ507" s="184"/>
      <c r="AK507" s="184"/>
      <c r="AL507" s="184"/>
      <c r="AM507" s="184"/>
      <c r="AN507" s="184"/>
      <c r="AO507" s="184"/>
      <c r="AP507" s="184"/>
      <c r="AQ507" s="184"/>
      <c r="AR507" s="184"/>
      <c r="AS507" s="184"/>
      <c r="AT507" s="184"/>
      <c r="AU507" s="184"/>
      <c r="AV507" s="184"/>
      <c r="AW507" s="505"/>
      <c r="AX507" s="506">
        <f t="shared" ref="AX507:AY507" si="135">AX508+AX517+AX520+AX526</f>
        <v>3949.96</v>
      </c>
      <c r="AY507" s="506">
        <f t="shared" si="135"/>
        <v>8046358.9199999999</v>
      </c>
      <c r="AZ507" s="131"/>
    </row>
    <row r="508" spans="1:52" ht="15.75" customHeight="1">
      <c r="A508" s="503" t="s">
        <v>1871</v>
      </c>
      <c r="B508" s="183" t="s">
        <v>1872</v>
      </c>
      <c r="C508" s="184"/>
      <c r="D508" s="184"/>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c r="AA508" s="184"/>
      <c r="AB508" s="184"/>
      <c r="AC508" s="184"/>
      <c r="AD508" s="184"/>
      <c r="AE508" s="184"/>
      <c r="AF508" s="184"/>
      <c r="AG508" s="184"/>
      <c r="AH508" s="184"/>
      <c r="AI508" s="184"/>
      <c r="AJ508" s="184"/>
      <c r="AK508" s="184"/>
      <c r="AL508" s="184"/>
      <c r="AM508" s="184"/>
      <c r="AN508" s="184"/>
      <c r="AO508" s="184"/>
      <c r="AP508" s="184"/>
      <c r="AQ508" s="184"/>
      <c r="AR508" s="184"/>
      <c r="AS508" s="184"/>
      <c r="AT508" s="184"/>
      <c r="AU508" s="184"/>
      <c r="AV508" s="184"/>
      <c r="AW508" s="505"/>
      <c r="AX508" s="416">
        <f t="shared" ref="AX508:AY508" si="136">SUM(AX509:AX516)</f>
        <v>0</v>
      </c>
      <c r="AY508" s="416">
        <f t="shared" si="136"/>
        <v>1833836.38</v>
      </c>
      <c r="AZ508" s="131"/>
    </row>
    <row r="509" spans="1:52" ht="15.75" customHeight="1">
      <c r="A509" s="503" t="s">
        <v>1873</v>
      </c>
      <c r="B509" s="183" t="s">
        <v>1874</v>
      </c>
      <c r="C509" s="184"/>
      <c r="D509" s="184"/>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c r="AA509" s="184"/>
      <c r="AB509" s="184"/>
      <c r="AC509" s="184"/>
      <c r="AD509" s="184"/>
      <c r="AE509" s="184"/>
      <c r="AF509" s="184"/>
      <c r="AG509" s="184"/>
      <c r="AH509" s="184"/>
      <c r="AI509" s="184"/>
      <c r="AJ509" s="184"/>
      <c r="AK509" s="184"/>
      <c r="AL509" s="184"/>
      <c r="AM509" s="184"/>
      <c r="AN509" s="184"/>
      <c r="AO509" s="184"/>
      <c r="AP509" s="184"/>
      <c r="AQ509" s="184"/>
      <c r="AR509" s="184"/>
      <c r="AS509" s="184"/>
      <c r="AT509" s="184"/>
      <c r="AU509" s="184"/>
      <c r="AV509" s="184"/>
      <c r="AW509" s="505"/>
      <c r="AX509" s="318">
        <f>Balanza!G716</f>
        <v>0</v>
      </c>
      <c r="AY509" s="318">
        <f>Balanza!C716</f>
        <v>0</v>
      </c>
      <c r="AZ509" s="131"/>
    </row>
    <row r="510" spans="1:52" ht="15.75" customHeight="1">
      <c r="A510" s="503" t="s">
        <v>1875</v>
      </c>
      <c r="B510" s="183" t="s">
        <v>1876</v>
      </c>
      <c r="C510" s="184"/>
      <c r="D510" s="184"/>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c r="AA510" s="184"/>
      <c r="AB510" s="184"/>
      <c r="AC510" s="184"/>
      <c r="AD510" s="184"/>
      <c r="AE510" s="184"/>
      <c r="AF510" s="184"/>
      <c r="AG510" s="184"/>
      <c r="AH510" s="184"/>
      <c r="AI510" s="184"/>
      <c r="AJ510" s="184"/>
      <c r="AK510" s="184"/>
      <c r="AL510" s="184"/>
      <c r="AM510" s="184"/>
      <c r="AN510" s="184"/>
      <c r="AO510" s="184"/>
      <c r="AP510" s="184"/>
      <c r="AQ510" s="184"/>
      <c r="AR510" s="184"/>
      <c r="AS510" s="184"/>
      <c r="AT510" s="184"/>
      <c r="AU510" s="184"/>
      <c r="AV510" s="184"/>
      <c r="AW510" s="505"/>
      <c r="AX510" s="318">
        <f>Balanza!G717</f>
        <v>0</v>
      </c>
      <c r="AY510" s="318">
        <f>Balanza!C717</f>
        <v>0</v>
      </c>
      <c r="AZ510" s="131"/>
    </row>
    <row r="511" spans="1:52" ht="15.75" customHeight="1">
      <c r="A511" s="503" t="s">
        <v>1877</v>
      </c>
      <c r="B511" s="183" t="s">
        <v>1878</v>
      </c>
      <c r="C511" s="184"/>
      <c r="D511" s="184"/>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c r="AA511" s="184"/>
      <c r="AB511" s="184"/>
      <c r="AC511" s="184"/>
      <c r="AD511" s="184"/>
      <c r="AE511" s="184"/>
      <c r="AF511" s="184"/>
      <c r="AG511" s="184"/>
      <c r="AH511" s="184"/>
      <c r="AI511" s="184"/>
      <c r="AJ511" s="184"/>
      <c r="AK511" s="184"/>
      <c r="AL511" s="184"/>
      <c r="AM511" s="184"/>
      <c r="AN511" s="184"/>
      <c r="AO511" s="184"/>
      <c r="AP511" s="184"/>
      <c r="AQ511" s="184"/>
      <c r="AR511" s="184"/>
      <c r="AS511" s="184"/>
      <c r="AT511" s="184"/>
      <c r="AU511" s="184"/>
      <c r="AV511" s="184"/>
      <c r="AW511" s="505"/>
      <c r="AX511" s="318">
        <f>Balanza!G718</f>
        <v>0</v>
      </c>
      <c r="AY511" s="318">
        <f>Balanza!C718</f>
        <v>0</v>
      </c>
      <c r="AZ511" s="131"/>
    </row>
    <row r="512" spans="1:52" ht="15.75" customHeight="1">
      <c r="A512" s="503" t="s">
        <v>1879</v>
      </c>
      <c r="B512" s="183" t="s">
        <v>1880</v>
      </c>
      <c r="C512" s="184"/>
      <c r="D512" s="184"/>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c r="AA512" s="184"/>
      <c r="AB512" s="184"/>
      <c r="AC512" s="184"/>
      <c r="AD512" s="184"/>
      <c r="AE512" s="184"/>
      <c r="AF512" s="184"/>
      <c r="AG512" s="184"/>
      <c r="AH512" s="184"/>
      <c r="AI512" s="184"/>
      <c r="AJ512" s="184"/>
      <c r="AK512" s="184"/>
      <c r="AL512" s="184"/>
      <c r="AM512" s="184"/>
      <c r="AN512" s="184"/>
      <c r="AO512" s="184"/>
      <c r="AP512" s="184"/>
      <c r="AQ512" s="184"/>
      <c r="AR512" s="184"/>
      <c r="AS512" s="184"/>
      <c r="AT512" s="184"/>
      <c r="AU512" s="184"/>
      <c r="AV512" s="184"/>
      <c r="AW512" s="505"/>
      <c r="AX512" s="318">
        <f>Balanza!G719</f>
        <v>0</v>
      </c>
      <c r="AY512" s="318">
        <f>Balanza!C719</f>
        <v>0</v>
      </c>
      <c r="AZ512" s="131"/>
    </row>
    <row r="513" spans="1:52" ht="15.75" customHeight="1">
      <c r="A513" s="503" t="s">
        <v>1881</v>
      </c>
      <c r="B513" s="183" t="s">
        <v>1882</v>
      </c>
      <c r="C513" s="184"/>
      <c r="D513" s="184"/>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c r="AA513" s="184"/>
      <c r="AB513" s="184"/>
      <c r="AC513" s="184"/>
      <c r="AD513" s="184"/>
      <c r="AE513" s="184"/>
      <c r="AF513" s="184"/>
      <c r="AG513" s="184"/>
      <c r="AH513" s="184"/>
      <c r="AI513" s="184"/>
      <c r="AJ513" s="184"/>
      <c r="AK513" s="184"/>
      <c r="AL513" s="184"/>
      <c r="AM513" s="184"/>
      <c r="AN513" s="184"/>
      <c r="AO513" s="184"/>
      <c r="AP513" s="184"/>
      <c r="AQ513" s="184"/>
      <c r="AR513" s="184"/>
      <c r="AS513" s="184"/>
      <c r="AT513" s="184"/>
      <c r="AU513" s="184"/>
      <c r="AV513" s="184"/>
      <c r="AW513" s="505"/>
      <c r="AX513" s="318">
        <f>Balanza!G720</f>
        <v>0</v>
      </c>
      <c r="AY513" s="318">
        <f>Balanza!C720</f>
        <v>0</v>
      </c>
      <c r="AZ513" s="131"/>
    </row>
    <row r="514" spans="1:52" ht="15.75" customHeight="1">
      <c r="A514" s="503" t="s">
        <v>1883</v>
      </c>
      <c r="B514" s="183" t="s">
        <v>1884</v>
      </c>
      <c r="C514" s="184"/>
      <c r="D514" s="184"/>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c r="AA514" s="184"/>
      <c r="AB514" s="184"/>
      <c r="AC514" s="184"/>
      <c r="AD514" s="184"/>
      <c r="AE514" s="184"/>
      <c r="AF514" s="184"/>
      <c r="AG514" s="184"/>
      <c r="AH514" s="184"/>
      <c r="AI514" s="184"/>
      <c r="AJ514" s="184"/>
      <c r="AK514" s="184"/>
      <c r="AL514" s="184"/>
      <c r="AM514" s="184"/>
      <c r="AN514" s="184"/>
      <c r="AO514" s="184"/>
      <c r="AP514" s="184"/>
      <c r="AQ514" s="184"/>
      <c r="AR514" s="184"/>
      <c r="AS514" s="184"/>
      <c r="AT514" s="184"/>
      <c r="AU514" s="184"/>
      <c r="AV514" s="184"/>
      <c r="AW514" s="505"/>
      <c r="AX514" s="318">
        <f>Balanza!G721</f>
        <v>0</v>
      </c>
      <c r="AY514" s="318">
        <f>Balanza!C721</f>
        <v>0</v>
      </c>
      <c r="AZ514" s="131"/>
    </row>
    <row r="515" spans="1:52" ht="15.75" customHeight="1">
      <c r="A515" s="503" t="s">
        <v>1885</v>
      </c>
      <c r="B515" s="183" t="s">
        <v>1886</v>
      </c>
      <c r="C515" s="184"/>
      <c r="D515" s="184"/>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c r="AA515" s="184"/>
      <c r="AB515" s="184"/>
      <c r="AC515" s="184"/>
      <c r="AD515" s="184"/>
      <c r="AE515" s="184"/>
      <c r="AF515" s="184"/>
      <c r="AG515" s="184"/>
      <c r="AH515" s="184"/>
      <c r="AI515" s="184"/>
      <c r="AJ515" s="184"/>
      <c r="AK515" s="184"/>
      <c r="AL515" s="184"/>
      <c r="AM515" s="184"/>
      <c r="AN515" s="184"/>
      <c r="AO515" s="184"/>
      <c r="AP515" s="184"/>
      <c r="AQ515" s="184"/>
      <c r="AR515" s="184"/>
      <c r="AS515" s="184"/>
      <c r="AT515" s="184"/>
      <c r="AU515" s="184"/>
      <c r="AV515" s="184"/>
      <c r="AW515" s="505"/>
      <c r="AX515" s="318">
        <f>Balanza!G722</f>
        <v>0</v>
      </c>
      <c r="AY515" s="318">
        <f>Balanza!C722</f>
        <v>0</v>
      </c>
      <c r="AZ515" s="131"/>
    </row>
    <row r="516" spans="1:52" ht="15.75" customHeight="1">
      <c r="A516" s="503" t="s">
        <v>1887</v>
      </c>
      <c r="B516" s="183" t="s">
        <v>1888</v>
      </c>
      <c r="C516" s="184"/>
      <c r="D516" s="184"/>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c r="AA516" s="184"/>
      <c r="AB516" s="184"/>
      <c r="AC516" s="184"/>
      <c r="AD516" s="184"/>
      <c r="AE516" s="184"/>
      <c r="AF516" s="184"/>
      <c r="AG516" s="184"/>
      <c r="AH516" s="184"/>
      <c r="AI516" s="184"/>
      <c r="AJ516" s="184"/>
      <c r="AK516" s="184"/>
      <c r="AL516" s="184"/>
      <c r="AM516" s="184"/>
      <c r="AN516" s="184"/>
      <c r="AO516" s="184"/>
      <c r="AP516" s="184"/>
      <c r="AQ516" s="184"/>
      <c r="AR516" s="184"/>
      <c r="AS516" s="184"/>
      <c r="AT516" s="184"/>
      <c r="AU516" s="184"/>
      <c r="AV516" s="184"/>
      <c r="AW516" s="505"/>
      <c r="AX516" s="318">
        <f>Balanza!G723</f>
        <v>0</v>
      </c>
      <c r="AY516" s="318">
        <f>Balanza!C723</f>
        <v>1833836.38</v>
      </c>
      <c r="AZ516" s="131"/>
    </row>
    <row r="517" spans="1:52" ht="15.75" customHeight="1">
      <c r="A517" s="503" t="s">
        <v>1889</v>
      </c>
      <c r="B517" s="183" t="s">
        <v>1890</v>
      </c>
      <c r="C517" s="184"/>
      <c r="D517" s="184"/>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c r="AA517" s="184"/>
      <c r="AB517" s="184"/>
      <c r="AC517" s="184"/>
      <c r="AD517" s="184"/>
      <c r="AE517" s="184"/>
      <c r="AF517" s="184"/>
      <c r="AG517" s="184"/>
      <c r="AH517" s="184"/>
      <c r="AI517" s="184"/>
      <c r="AJ517" s="184"/>
      <c r="AK517" s="184"/>
      <c r="AL517" s="184"/>
      <c r="AM517" s="184"/>
      <c r="AN517" s="184"/>
      <c r="AO517" s="184"/>
      <c r="AP517" s="184"/>
      <c r="AQ517" s="184"/>
      <c r="AR517" s="184"/>
      <c r="AS517" s="184"/>
      <c r="AT517" s="184"/>
      <c r="AU517" s="184"/>
      <c r="AV517" s="184"/>
      <c r="AW517" s="505"/>
      <c r="AX517" s="416">
        <f t="shared" ref="AX517:AY517" si="137">SUM(AX518:AX519)</f>
        <v>0</v>
      </c>
      <c r="AY517" s="416">
        <f t="shared" si="137"/>
        <v>0</v>
      </c>
      <c r="AZ517" s="131"/>
    </row>
    <row r="518" spans="1:52" ht="15.75" customHeight="1">
      <c r="A518" s="503" t="s">
        <v>1891</v>
      </c>
      <c r="B518" s="183" t="s">
        <v>1892</v>
      </c>
      <c r="C518" s="184"/>
      <c r="D518" s="184"/>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c r="AA518" s="184"/>
      <c r="AB518" s="184"/>
      <c r="AC518" s="184"/>
      <c r="AD518" s="184"/>
      <c r="AE518" s="184"/>
      <c r="AF518" s="184"/>
      <c r="AG518" s="184"/>
      <c r="AH518" s="184"/>
      <c r="AI518" s="184"/>
      <c r="AJ518" s="184"/>
      <c r="AK518" s="184"/>
      <c r="AL518" s="184"/>
      <c r="AM518" s="184"/>
      <c r="AN518" s="184"/>
      <c r="AO518" s="184"/>
      <c r="AP518" s="184"/>
      <c r="AQ518" s="184"/>
      <c r="AR518" s="184"/>
      <c r="AS518" s="184"/>
      <c r="AT518" s="184"/>
      <c r="AU518" s="184"/>
      <c r="AV518" s="184"/>
      <c r="AW518" s="505"/>
      <c r="AX518" s="318">
        <f>Balanza!G725</f>
        <v>0</v>
      </c>
      <c r="AY518" s="318">
        <f>Balanza!C725</f>
        <v>0</v>
      </c>
      <c r="AZ518" s="131"/>
    </row>
    <row r="519" spans="1:52" ht="15.75" customHeight="1">
      <c r="A519" s="503" t="s">
        <v>1893</v>
      </c>
      <c r="B519" s="183" t="s">
        <v>1894</v>
      </c>
      <c r="C519" s="184"/>
      <c r="D519" s="184"/>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c r="AA519" s="184"/>
      <c r="AB519" s="184"/>
      <c r="AC519" s="184"/>
      <c r="AD519" s="184"/>
      <c r="AE519" s="184"/>
      <c r="AF519" s="184"/>
      <c r="AG519" s="184"/>
      <c r="AH519" s="184"/>
      <c r="AI519" s="184"/>
      <c r="AJ519" s="184"/>
      <c r="AK519" s="184"/>
      <c r="AL519" s="184"/>
      <c r="AM519" s="184"/>
      <c r="AN519" s="184"/>
      <c r="AO519" s="184"/>
      <c r="AP519" s="184"/>
      <c r="AQ519" s="184"/>
      <c r="AR519" s="184"/>
      <c r="AS519" s="184"/>
      <c r="AT519" s="184"/>
      <c r="AU519" s="184"/>
      <c r="AV519" s="184"/>
      <c r="AW519" s="505"/>
      <c r="AX519" s="318">
        <f>Balanza!G726</f>
        <v>0</v>
      </c>
      <c r="AY519" s="318">
        <f>Balanza!C726</f>
        <v>0</v>
      </c>
      <c r="AZ519" s="131"/>
    </row>
    <row r="520" spans="1:52" ht="15.75" customHeight="1">
      <c r="A520" s="503" t="s">
        <v>1895</v>
      </c>
      <c r="B520" s="183" t="s">
        <v>1896</v>
      </c>
      <c r="C520" s="184"/>
      <c r="D520" s="184"/>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c r="AA520" s="184"/>
      <c r="AB520" s="184"/>
      <c r="AC520" s="184"/>
      <c r="AD520" s="184"/>
      <c r="AE520" s="184"/>
      <c r="AF520" s="184"/>
      <c r="AG520" s="184"/>
      <c r="AH520" s="184"/>
      <c r="AI520" s="184"/>
      <c r="AJ520" s="184"/>
      <c r="AK520" s="184"/>
      <c r="AL520" s="184"/>
      <c r="AM520" s="184"/>
      <c r="AN520" s="184"/>
      <c r="AO520" s="184"/>
      <c r="AP520" s="184"/>
      <c r="AQ520" s="184"/>
      <c r="AR520" s="184"/>
      <c r="AS520" s="184"/>
      <c r="AT520" s="184"/>
      <c r="AU520" s="184"/>
      <c r="AV520" s="184"/>
      <c r="AW520" s="505"/>
      <c r="AX520" s="416">
        <f t="shared" ref="AX520:AY520" si="138">SUM(AX521:AX525)</f>
        <v>0</v>
      </c>
      <c r="AY520" s="416">
        <f t="shared" si="138"/>
        <v>0</v>
      </c>
      <c r="AZ520" s="131"/>
    </row>
    <row r="521" spans="1:52" ht="15.75" customHeight="1">
      <c r="A521" s="503" t="s">
        <v>1897</v>
      </c>
      <c r="B521" s="183" t="s">
        <v>1898</v>
      </c>
      <c r="C521" s="184"/>
      <c r="D521" s="184"/>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c r="AA521" s="184"/>
      <c r="AB521" s="184"/>
      <c r="AC521" s="184"/>
      <c r="AD521" s="184"/>
      <c r="AE521" s="184"/>
      <c r="AF521" s="184"/>
      <c r="AG521" s="184"/>
      <c r="AH521" s="184"/>
      <c r="AI521" s="184"/>
      <c r="AJ521" s="184"/>
      <c r="AK521" s="184"/>
      <c r="AL521" s="184"/>
      <c r="AM521" s="184"/>
      <c r="AN521" s="184"/>
      <c r="AO521" s="184"/>
      <c r="AP521" s="184"/>
      <c r="AQ521" s="184"/>
      <c r="AR521" s="184"/>
      <c r="AS521" s="184"/>
      <c r="AT521" s="184"/>
      <c r="AU521" s="184"/>
      <c r="AV521" s="184"/>
      <c r="AW521" s="505"/>
      <c r="AX521" s="318">
        <f>Balanza!G728</f>
        <v>0</v>
      </c>
      <c r="AY521" s="318">
        <f>Balanza!C728</f>
        <v>0</v>
      </c>
      <c r="AZ521" s="131"/>
    </row>
    <row r="522" spans="1:52" ht="15.75" customHeight="1">
      <c r="A522" s="503" t="s">
        <v>1899</v>
      </c>
      <c r="B522" s="183" t="s">
        <v>1900</v>
      </c>
      <c r="C522" s="184"/>
      <c r="D522" s="184"/>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c r="AA522" s="184"/>
      <c r="AB522" s="184"/>
      <c r="AC522" s="184"/>
      <c r="AD522" s="184"/>
      <c r="AE522" s="184"/>
      <c r="AF522" s="184"/>
      <c r="AG522" s="184"/>
      <c r="AH522" s="184"/>
      <c r="AI522" s="184"/>
      <c r="AJ522" s="184"/>
      <c r="AK522" s="184"/>
      <c r="AL522" s="184"/>
      <c r="AM522" s="184"/>
      <c r="AN522" s="184"/>
      <c r="AO522" s="184"/>
      <c r="AP522" s="184"/>
      <c r="AQ522" s="184"/>
      <c r="AR522" s="184"/>
      <c r="AS522" s="184"/>
      <c r="AT522" s="184"/>
      <c r="AU522" s="184"/>
      <c r="AV522" s="184"/>
      <c r="AW522" s="505"/>
      <c r="AX522" s="318">
        <f>Balanza!G729</f>
        <v>0</v>
      </c>
      <c r="AY522" s="318">
        <f>Balanza!C729</f>
        <v>0</v>
      </c>
      <c r="AZ522" s="131"/>
    </row>
    <row r="523" spans="1:52" ht="15.75" customHeight="1">
      <c r="A523" s="503" t="s">
        <v>1901</v>
      </c>
      <c r="B523" s="183" t="s">
        <v>1902</v>
      </c>
      <c r="C523" s="184"/>
      <c r="D523" s="184"/>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c r="AA523" s="184"/>
      <c r="AB523" s="184"/>
      <c r="AC523" s="184"/>
      <c r="AD523" s="184"/>
      <c r="AE523" s="184"/>
      <c r="AF523" s="184"/>
      <c r="AG523" s="184"/>
      <c r="AH523" s="184"/>
      <c r="AI523" s="184"/>
      <c r="AJ523" s="184"/>
      <c r="AK523" s="184"/>
      <c r="AL523" s="184"/>
      <c r="AM523" s="184"/>
      <c r="AN523" s="184"/>
      <c r="AO523" s="184"/>
      <c r="AP523" s="184"/>
      <c r="AQ523" s="184"/>
      <c r="AR523" s="184"/>
      <c r="AS523" s="184"/>
      <c r="AT523" s="184"/>
      <c r="AU523" s="184"/>
      <c r="AV523" s="184"/>
      <c r="AW523" s="505"/>
      <c r="AX523" s="318">
        <f>Balanza!G730</f>
        <v>0</v>
      </c>
      <c r="AY523" s="318">
        <f>Balanza!C730</f>
        <v>0</v>
      </c>
      <c r="AZ523" s="131"/>
    </row>
    <row r="524" spans="1:52" ht="15.75" customHeight="1">
      <c r="A524" s="503" t="s">
        <v>1903</v>
      </c>
      <c r="B524" s="183" t="s">
        <v>1904</v>
      </c>
      <c r="C524" s="184"/>
      <c r="D524" s="184"/>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c r="AA524" s="184"/>
      <c r="AB524" s="184"/>
      <c r="AC524" s="184"/>
      <c r="AD524" s="184"/>
      <c r="AE524" s="184"/>
      <c r="AF524" s="184"/>
      <c r="AG524" s="184"/>
      <c r="AH524" s="184"/>
      <c r="AI524" s="184"/>
      <c r="AJ524" s="184"/>
      <c r="AK524" s="184"/>
      <c r="AL524" s="184"/>
      <c r="AM524" s="184"/>
      <c r="AN524" s="184"/>
      <c r="AO524" s="184"/>
      <c r="AP524" s="184"/>
      <c r="AQ524" s="184"/>
      <c r="AR524" s="184"/>
      <c r="AS524" s="184"/>
      <c r="AT524" s="184"/>
      <c r="AU524" s="184"/>
      <c r="AV524" s="184"/>
      <c r="AW524" s="505"/>
      <c r="AX524" s="318">
        <f>Balanza!G731</f>
        <v>0</v>
      </c>
      <c r="AY524" s="318">
        <f>Balanza!C731</f>
        <v>0</v>
      </c>
      <c r="AZ524" s="131"/>
    </row>
    <row r="525" spans="1:52" ht="15.75" customHeight="1">
      <c r="A525" s="503" t="s">
        <v>1905</v>
      </c>
      <c r="B525" s="183" t="s">
        <v>1906</v>
      </c>
      <c r="C525" s="184"/>
      <c r="D525" s="184"/>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c r="AA525" s="184"/>
      <c r="AB525" s="184"/>
      <c r="AC525" s="184"/>
      <c r="AD525" s="184"/>
      <c r="AE525" s="184"/>
      <c r="AF525" s="184"/>
      <c r="AG525" s="184"/>
      <c r="AH525" s="184"/>
      <c r="AI525" s="184"/>
      <c r="AJ525" s="184"/>
      <c r="AK525" s="184"/>
      <c r="AL525" s="184"/>
      <c r="AM525" s="184"/>
      <c r="AN525" s="184"/>
      <c r="AO525" s="184"/>
      <c r="AP525" s="184"/>
      <c r="AQ525" s="184"/>
      <c r="AR525" s="184"/>
      <c r="AS525" s="184"/>
      <c r="AT525" s="184"/>
      <c r="AU525" s="184"/>
      <c r="AV525" s="184"/>
      <c r="AW525" s="505"/>
      <c r="AX525" s="318">
        <f>Balanza!G732</f>
        <v>0</v>
      </c>
      <c r="AY525" s="318">
        <f>Balanza!C732</f>
        <v>0</v>
      </c>
      <c r="AZ525" s="131"/>
    </row>
    <row r="526" spans="1:52" ht="15.75" customHeight="1">
      <c r="A526" s="503" t="s">
        <v>1914</v>
      </c>
      <c r="B526" s="183" t="s">
        <v>1915</v>
      </c>
      <c r="C526" s="184"/>
      <c r="D526" s="184"/>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c r="AA526" s="184"/>
      <c r="AB526" s="184"/>
      <c r="AC526" s="184"/>
      <c r="AD526" s="184"/>
      <c r="AE526" s="184"/>
      <c r="AF526" s="184"/>
      <c r="AG526" s="184"/>
      <c r="AH526" s="184"/>
      <c r="AI526" s="184"/>
      <c r="AJ526" s="184"/>
      <c r="AK526" s="184"/>
      <c r="AL526" s="184"/>
      <c r="AM526" s="184"/>
      <c r="AN526" s="184"/>
      <c r="AO526" s="184"/>
      <c r="AP526" s="184"/>
      <c r="AQ526" s="184"/>
      <c r="AR526" s="184"/>
      <c r="AS526" s="184"/>
      <c r="AT526" s="184"/>
      <c r="AU526" s="184"/>
      <c r="AV526" s="184"/>
      <c r="AW526" s="505"/>
      <c r="AX526" s="416">
        <f t="shared" ref="AX526:AY526" si="139">SUM(AX527:AX535)</f>
        <v>3949.96</v>
      </c>
      <c r="AY526" s="416">
        <f t="shared" si="139"/>
        <v>6212522.54</v>
      </c>
      <c r="AZ526" s="131"/>
    </row>
    <row r="527" spans="1:52" ht="15.75" customHeight="1">
      <c r="A527" s="503" t="s">
        <v>1916</v>
      </c>
      <c r="B527" s="183" t="s">
        <v>1917</v>
      </c>
      <c r="C527" s="184"/>
      <c r="D527" s="184"/>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c r="AA527" s="184"/>
      <c r="AB527" s="184"/>
      <c r="AC527" s="184"/>
      <c r="AD527" s="184"/>
      <c r="AE527" s="184"/>
      <c r="AF527" s="184"/>
      <c r="AG527" s="184"/>
      <c r="AH527" s="184"/>
      <c r="AI527" s="184"/>
      <c r="AJ527" s="184"/>
      <c r="AK527" s="184"/>
      <c r="AL527" s="184"/>
      <c r="AM527" s="184"/>
      <c r="AN527" s="184"/>
      <c r="AO527" s="184"/>
      <c r="AP527" s="184"/>
      <c r="AQ527" s="184"/>
      <c r="AR527" s="184"/>
      <c r="AS527" s="184"/>
      <c r="AT527" s="184"/>
      <c r="AU527" s="184"/>
      <c r="AV527" s="184"/>
      <c r="AW527" s="505"/>
      <c r="AX527" s="318">
        <f>Balanza!G738</f>
        <v>0</v>
      </c>
      <c r="AY527" s="318">
        <f>Balanza!C738</f>
        <v>0</v>
      </c>
      <c r="AZ527" s="131"/>
    </row>
    <row r="528" spans="1:52" ht="15.75" customHeight="1">
      <c r="A528" s="503" t="s">
        <v>1918</v>
      </c>
      <c r="B528" s="183" t="s">
        <v>1919</v>
      </c>
      <c r="C528" s="184"/>
      <c r="D528" s="184"/>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c r="AA528" s="184"/>
      <c r="AB528" s="184"/>
      <c r="AC528" s="184"/>
      <c r="AD528" s="184"/>
      <c r="AE528" s="184"/>
      <c r="AF528" s="184"/>
      <c r="AG528" s="184"/>
      <c r="AH528" s="184"/>
      <c r="AI528" s="184"/>
      <c r="AJ528" s="184"/>
      <c r="AK528" s="184"/>
      <c r="AL528" s="184"/>
      <c r="AM528" s="184"/>
      <c r="AN528" s="184"/>
      <c r="AO528" s="184"/>
      <c r="AP528" s="184"/>
      <c r="AQ528" s="184"/>
      <c r="AR528" s="184"/>
      <c r="AS528" s="184"/>
      <c r="AT528" s="184"/>
      <c r="AU528" s="184"/>
      <c r="AV528" s="184"/>
      <c r="AW528" s="505"/>
      <c r="AX528" s="318">
        <f>Balanza!G739</f>
        <v>0</v>
      </c>
      <c r="AY528" s="318">
        <f>Balanza!C739</f>
        <v>0</v>
      </c>
      <c r="AZ528" s="131"/>
    </row>
    <row r="529" spans="1:52" ht="15.75" customHeight="1">
      <c r="A529" s="503" t="s">
        <v>1920</v>
      </c>
      <c r="B529" s="183" t="s">
        <v>1921</v>
      </c>
      <c r="C529" s="184"/>
      <c r="D529" s="184"/>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c r="AA529" s="184"/>
      <c r="AB529" s="184"/>
      <c r="AC529" s="184"/>
      <c r="AD529" s="184"/>
      <c r="AE529" s="184"/>
      <c r="AF529" s="184"/>
      <c r="AG529" s="184"/>
      <c r="AH529" s="184"/>
      <c r="AI529" s="184"/>
      <c r="AJ529" s="184"/>
      <c r="AK529" s="184"/>
      <c r="AL529" s="184"/>
      <c r="AM529" s="184"/>
      <c r="AN529" s="184"/>
      <c r="AO529" s="184"/>
      <c r="AP529" s="184"/>
      <c r="AQ529" s="184"/>
      <c r="AR529" s="184"/>
      <c r="AS529" s="184"/>
      <c r="AT529" s="184"/>
      <c r="AU529" s="184"/>
      <c r="AV529" s="184"/>
      <c r="AW529" s="505"/>
      <c r="AX529" s="318">
        <f>Balanza!G740</f>
        <v>0</v>
      </c>
      <c r="AY529" s="318">
        <f>Balanza!C740</f>
        <v>0</v>
      </c>
      <c r="AZ529" s="131"/>
    </row>
    <row r="530" spans="1:52" ht="15.75" customHeight="1">
      <c r="A530" s="503" t="s">
        <v>1922</v>
      </c>
      <c r="B530" s="183" t="s">
        <v>1923</v>
      </c>
      <c r="C530" s="184"/>
      <c r="D530" s="184"/>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c r="AA530" s="184"/>
      <c r="AB530" s="184"/>
      <c r="AC530" s="184"/>
      <c r="AD530" s="184"/>
      <c r="AE530" s="184"/>
      <c r="AF530" s="184"/>
      <c r="AG530" s="184"/>
      <c r="AH530" s="184"/>
      <c r="AI530" s="184"/>
      <c r="AJ530" s="184"/>
      <c r="AK530" s="184"/>
      <c r="AL530" s="184"/>
      <c r="AM530" s="184"/>
      <c r="AN530" s="184"/>
      <c r="AO530" s="184"/>
      <c r="AP530" s="184"/>
      <c r="AQ530" s="184"/>
      <c r="AR530" s="184"/>
      <c r="AS530" s="184"/>
      <c r="AT530" s="184"/>
      <c r="AU530" s="184"/>
      <c r="AV530" s="184"/>
      <c r="AW530" s="505"/>
      <c r="AX530" s="318">
        <f>Balanza!G741</f>
        <v>0</v>
      </c>
      <c r="AY530" s="318">
        <f>Balanza!C741</f>
        <v>0</v>
      </c>
      <c r="AZ530" s="131"/>
    </row>
    <row r="531" spans="1:52" ht="15.75" customHeight="1">
      <c r="A531" s="503" t="s">
        <v>1924</v>
      </c>
      <c r="B531" s="183" t="s">
        <v>1925</v>
      </c>
      <c r="C531" s="184"/>
      <c r="D531" s="184"/>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c r="AA531" s="184"/>
      <c r="AB531" s="184"/>
      <c r="AC531" s="184"/>
      <c r="AD531" s="184"/>
      <c r="AE531" s="184"/>
      <c r="AF531" s="184"/>
      <c r="AG531" s="184"/>
      <c r="AH531" s="184"/>
      <c r="AI531" s="184"/>
      <c r="AJ531" s="184"/>
      <c r="AK531" s="184"/>
      <c r="AL531" s="184"/>
      <c r="AM531" s="184"/>
      <c r="AN531" s="184"/>
      <c r="AO531" s="184"/>
      <c r="AP531" s="184"/>
      <c r="AQ531" s="184"/>
      <c r="AR531" s="184"/>
      <c r="AS531" s="184"/>
      <c r="AT531" s="184"/>
      <c r="AU531" s="184"/>
      <c r="AV531" s="184"/>
      <c r="AW531" s="505"/>
      <c r="AX531" s="318">
        <f>Balanza!G742</f>
        <v>0</v>
      </c>
      <c r="AY531" s="318">
        <f>Balanza!C742</f>
        <v>0</v>
      </c>
      <c r="AZ531" s="131"/>
    </row>
    <row r="532" spans="1:52" ht="15.75" customHeight="1">
      <c r="A532" s="503" t="s">
        <v>1926</v>
      </c>
      <c r="B532" s="183" t="s">
        <v>1228</v>
      </c>
      <c r="C532" s="184"/>
      <c r="D532" s="184"/>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c r="AA532" s="184"/>
      <c r="AB532" s="184"/>
      <c r="AC532" s="184"/>
      <c r="AD532" s="184"/>
      <c r="AE532" s="184"/>
      <c r="AF532" s="184"/>
      <c r="AG532" s="184"/>
      <c r="AH532" s="184"/>
      <c r="AI532" s="184"/>
      <c r="AJ532" s="184"/>
      <c r="AK532" s="184"/>
      <c r="AL532" s="184"/>
      <c r="AM532" s="184"/>
      <c r="AN532" s="184"/>
      <c r="AO532" s="184"/>
      <c r="AP532" s="184"/>
      <c r="AQ532" s="184"/>
      <c r="AR532" s="184"/>
      <c r="AS532" s="184"/>
      <c r="AT532" s="184"/>
      <c r="AU532" s="184"/>
      <c r="AV532" s="184"/>
      <c r="AW532" s="505"/>
      <c r="AX532" s="318">
        <f>Balanza!G743</f>
        <v>0</v>
      </c>
      <c r="AY532" s="318">
        <f>Balanza!C743</f>
        <v>0</v>
      </c>
      <c r="AZ532" s="131"/>
    </row>
    <row r="533" spans="1:52" ht="15.75" customHeight="1">
      <c r="A533" s="503" t="s">
        <v>1927</v>
      </c>
      <c r="B533" s="183" t="s">
        <v>1928</v>
      </c>
      <c r="C533" s="184"/>
      <c r="D533" s="184"/>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c r="AA533" s="184"/>
      <c r="AB533" s="184"/>
      <c r="AC533" s="184"/>
      <c r="AD533" s="184"/>
      <c r="AE533" s="184"/>
      <c r="AF533" s="184"/>
      <c r="AG533" s="184"/>
      <c r="AH533" s="184"/>
      <c r="AI533" s="184"/>
      <c r="AJ533" s="184"/>
      <c r="AK533" s="184"/>
      <c r="AL533" s="184"/>
      <c r="AM533" s="184"/>
      <c r="AN533" s="184"/>
      <c r="AO533" s="184"/>
      <c r="AP533" s="184"/>
      <c r="AQ533" s="184"/>
      <c r="AR533" s="184"/>
      <c r="AS533" s="184"/>
      <c r="AT533" s="184"/>
      <c r="AU533" s="184"/>
      <c r="AV533" s="184"/>
      <c r="AW533" s="505"/>
      <c r="AX533" s="318">
        <f>Balanza!G744</f>
        <v>0</v>
      </c>
      <c r="AY533" s="318">
        <f>Balanza!C744</f>
        <v>0</v>
      </c>
      <c r="AZ533" s="131"/>
    </row>
    <row r="534" spans="1:52" ht="15.75" customHeight="1">
      <c r="A534" s="503" t="s">
        <v>1929</v>
      </c>
      <c r="B534" s="183" t="s">
        <v>1930</v>
      </c>
      <c r="C534" s="184"/>
      <c r="D534" s="184"/>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c r="AA534" s="184"/>
      <c r="AB534" s="184"/>
      <c r="AC534" s="184"/>
      <c r="AD534" s="184"/>
      <c r="AE534" s="184"/>
      <c r="AF534" s="184"/>
      <c r="AG534" s="184"/>
      <c r="AH534" s="184"/>
      <c r="AI534" s="184"/>
      <c r="AJ534" s="184"/>
      <c r="AK534" s="184"/>
      <c r="AL534" s="184"/>
      <c r="AM534" s="184"/>
      <c r="AN534" s="184"/>
      <c r="AO534" s="184"/>
      <c r="AP534" s="184"/>
      <c r="AQ534" s="184"/>
      <c r="AR534" s="184"/>
      <c r="AS534" s="184"/>
      <c r="AT534" s="184"/>
      <c r="AU534" s="184"/>
      <c r="AV534" s="184"/>
      <c r="AW534" s="505"/>
      <c r="AX534" s="318">
        <f>Balanza!G745</f>
        <v>0</v>
      </c>
      <c r="AY534" s="318">
        <f>Balanza!C745</f>
        <v>0</v>
      </c>
      <c r="AZ534" s="131"/>
    </row>
    <row r="535" spans="1:52" ht="15.75" customHeight="1">
      <c r="A535" s="503" t="s">
        <v>1931</v>
      </c>
      <c r="B535" s="183" t="s">
        <v>1932</v>
      </c>
      <c r="C535" s="184"/>
      <c r="D535" s="184"/>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c r="AA535" s="184"/>
      <c r="AB535" s="184"/>
      <c r="AC535" s="184"/>
      <c r="AD535" s="184"/>
      <c r="AE535" s="184"/>
      <c r="AF535" s="184"/>
      <c r="AG535" s="184"/>
      <c r="AH535" s="184"/>
      <c r="AI535" s="184"/>
      <c r="AJ535" s="184"/>
      <c r="AK535" s="184"/>
      <c r="AL535" s="184"/>
      <c r="AM535" s="184"/>
      <c r="AN535" s="184"/>
      <c r="AO535" s="184"/>
      <c r="AP535" s="184"/>
      <c r="AQ535" s="184"/>
      <c r="AR535" s="184"/>
      <c r="AS535" s="184"/>
      <c r="AT535" s="184"/>
      <c r="AU535" s="184"/>
      <c r="AV535" s="184"/>
      <c r="AW535" s="505"/>
      <c r="AX535" s="318">
        <f>Balanza!G746</f>
        <v>3949.96</v>
      </c>
      <c r="AY535" s="318">
        <f>Balanza!C746</f>
        <v>6212522.54</v>
      </c>
      <c r="AZ535" s="131"/>
    </row>
    <row r="536" spans="1:52" ht="15.75" customHeight="1">
      <c r="A536" s="503" t="s">
        <v>1933</v>
      </c>
      <c r="B536" s="509" t="s">
        <v>7060</v>
      </c>
      <c r="C536" s="184"/>
      <c r="D536" s="184"/>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c r="AA536" s="184"/>
      <c r="AB536" s="184"/>
      <c r="AC536" s="184"/>
      <c r="AD536" s="184"/>
      <c r="AE536" s="184"/>
      <c r="AF536" s="184"/>
      <c r="AG536" s="184"/>
      <c r="AH536" s="184"/>
      <c r="AI536" s="184"/>
      <c r="AJ536" s="184"/>
      <c r="AK536" s="184"/>
      <c r="AL536" s="184"/>
      <c r="AM536" s="184"/>
      <c r="AN536" s="184"/>
      <c r="AO536" s="184"/>
      <c r="AP536" s="184"/>
      <c r="AQ536" s="184"/>
      <c r="AR536" s="184"/>
      <c r="AS536" s="184"/>
      <c r="AT536" s="184"/>
      <c r="AU536" s="184"/>
      <c r="AV536" s="184"/>
      <c r="AW536" s="505"/>
      <c r="AX536" s="506">
        <f t="shared" ref="AX536:AY536" si="140">AX537</f>
        <v>0</v>
      </c>
      <c r="AY536" s="506">
        <f t="shared" si="140"/>
        <v>0</v>
      </c>
      <c r="AZ536" s="131"/>
    </row>
    <row r="537" spans="1:52" ht="15.75" customHeight="1">
      <c r="A537" s="503" t="s">
        <v>1935</v>
      </c>
      <c r="B537" s="183" t="s">
        <v>1936</v>
      </c>
      <c r="C537" s="184"/>
      <c r="D537" s="184"/>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c r="AA537" s="184"/>
      <c r="AB537" s="184"/>
      <c r="AC537" s="184"/>
      <c r="AD537" s="184"/>
      <c r="AE537" s="184"/>
      <c r="AF537" s="184"/>
      <c r="AG537" s="184"/>
      <c r="AH537" s="184"/>
      <c r="AI537" s="184"/>
      <c r="AJ537" s="184"/>
      <c r="AK537" s="184"/>
      <c r="AL537" s="184"/>
      <c r="AM537" s="184"/>
      <c r="AN537" s="184"/>
      <c r="AO537" s="184"/>
      <c r="AP537" s="184"/>
      <c r="AQ537" s="184"/>
      <c r="AR537" s="184"/>
      <c r="AS537" s="184"/>
      <c r="AT537" s="184"/>
      <c r="AU537" s="184"/>
      <c r="AV537" s="184"/>
      <c r="AW537" s="505"/>
      <c r="AX537" s="416">
        <f t="shared" ref="AX537:AY537" si="141">SUM(AX538)</f>
        <v>0</v>
      </c>
      <c r="AY537" s="416">
        <f t="shared" si="141"/>
        <v>0</v>
      </c>
      <c r="AZ537" s="131"/>
    </row>
    <row r="538" spans="1:52" ht="15.75" customHeight="1">
      <c r="A538" s="513" t="s">
        <v>1937</v>
      </c>
      <c r="B538" s="514" t="s">
        <v>1938</v>
      </c>
      <c r="C538" s="185"/>
      <c r="D538" s="185"/>
      <c r="E538" s="185"/>
      <c r="F538" s="185"/>
      <c r="G538" s="185"/>
      <c r="H538" s="185"/>
      <c r="I538" s="185"/>
      <c r="J538" s="185"/>
      <c r="K538" s="185"/>
      <c r="L538" s="185"/>
      <c r="M538" s="185"/>
      <c r="N538" s="185"/>
      <c r="O538" s="185"/>
      <c r="P538" s="185"/>
      <c r="Q538" s="185"/>
      <c r="R538" s="185"/>
      <c r="S538" s="185"/>
      <c r="T538" s="185"/>
      <c r="U538" s="185"/>
      <c r="V538" s="185"/>
      <c r="W538" s="185"/>
      <c r="X538" s="185"/>
      <c r="Y538" s="185"/>
      <c r="Z538" s="185"/>
      <c r="AA538" s="185"/>
      <c r="AB538" s="185"/>
      <c r="AC538" s="185"/>
      <c r="AD538" s="185"/>
      <c r="AE538" s="185"/>
      <c r="AF538" s="185"/>
      <c r="AG538" s="185"/>
      <c r="AH538" s="185"/>
      <c r="AI538" s="185"/>
      <c r="AJ538" s="185"/>
      <c r="AK538" s="185"/>
      <c r="AL538" s="185"/>
      <c r="AM538" s="185"/>
      <c r="AN538" s="185"/>
      <c r="AO538" s="185"/>
      <c r="AP538" s="185"/>
      <c r="AQ538" s="185"/>
      <c r="AR538" s="185"/>
      <c r="AS538" s="185"/>
      <c r="AT538" s="185"/>
      <c r="AU538" s="185"/>
      <c r="AV538" s="185"/>
      <c r="AW538" s="515"/>
      <c r="AX538" s="510">
        <f>Balanza!G749</f>
        <v>0</v>
      </c>
      <c r="AY538" s="510">
        <f>Balanza!C749</f>
        <v>0</v>
      </c>
      <c r="AZ538" s="131"/>
    </row>
    <row r="539" spans="1:52" ht="16.5" customHeight="1">
      <c r="A539" s="516"/>
      <c r="B539" s="895" t="s">
        <v>7061</v>
      </c>
      <c r="C539" s="896"/>
      <c r="D539" s="896"/>
      <c r="E539" s="896"/>
      <c r="F539" s="896"/>
      <c r="G539" s="896"/>
      <c r="H539" s="896"/>
      <c r="I539" s="896"/>
      <c r="J539" s="896"/>
      <c r="K539" s="896"/>
      <c r="L539" s="896"/>
      <c r="M539" s="896"/>
      <c r="N539" s="896"/>
      <c r="O539" s="896"/>
      <c r="P539" s="896"/>
      <c r="Q539" s="896"/>
      <c r="R539" s="896"/>
      <c r="S539" s="896"/>
      <c r="T539" s="896"/>
      <c r="U539" s="896"/>
      <c r="V539" s="896"/>
      <c r="W539" s="896"/>
      <c r="X539" s="896"/>
      <c r="Y539" s="896"/>
      <c r="Z539" s="896"/>
      <c r="AA539" s="896"/>
      <c r="AB539" s="896"/>
      <c r="AC539" s="896"/>
      <c r="AD539" s="896"/>
      <c r="AE539" s="896"/>
      <c r="AF539" s="896"/>
      <c r="AG539" s="896"/>
      <c r="AH539" s="896"/>
      <c r="AI539" s="896"/>
      <c r="AJ539" s="896"/>
      <c r="AK539" s="896"/>
      <c r="AL539" s="896"/>
      <c r="AM539" s="896"/>
      <c r="AN539" s="896"/>
      <c r="AO539" s="896"/>
      <c r="AP539" s="896"/>
      <c r="AQ539" s="896"/>
      <c r="AR539" s="896"/>
      <c r="AS539" s="896"/>
      <c r="AT539" s="896"/>
      <c r="AU539" s="896"/>
      <c r="AV539" s="896"/>
      <c r="AW539" s="897"/>
      <c r="AX539" s="425">
        <f t="shared" ref="AX539:AY539" si="142">AX186+AX372+AX453+AX477+AX507+AX536</f>
        <v>5373865689.4099998</v>
      </c>
      <c r="AY539" s="425">
        <f t="shared" si="142"/>
        <v>9494770169.6599998</v>
      </c>
      <c r="AZ539" s="131"/>
    </row>
    <row r="540" spans="1:52" ht="16.5" customHeight="1">
      <c r="A540" s="191"/>
      <c r="B540" s="898" t="s">
        <v>7062</v>
      </c>
      <c r="C540" s="793"/>
      <c r="D540" s="793"/>
      <c r="E540" s="793"/>
      <c r="F540" s="793"/>
      <c r="G540" s="793"/>
      <c r="H540" s="793"/>
      <c r="I540" s="793"/>
      <c r="J540" s="793"/>
      <c r="K540" s="793"/>
      <c r="L540" s="793"/>
      <c r="M540" s="793"/>
      <c r="N540" s="793"/>
      <c r="O540" s="793"/>
      <c r="P540" s="793"/>
      <c r="Q540" s="793"/>
      <c r="R540" s="793"/>
      <c r="S540" s="793"/>
      <c r="T540" s="793"/>
      <c r="U540" s="793"/>
      <c r="V540" s="793"/>
      <c r="W540" s="793"/>
      <c r="X540" s="793"/>
      <c r="Y540" s="793"/>
      <c r="Z540" s="793"/>
      <c r="AA540" s="793"/>
      <c r="AB540" s="793"/>
      <c r="AC540" s="793"/>
      <c r="AD540" s="793"/>
      <c r="AE540" s="793"/>
      <c r="AF540" s="793"/>
      <c r="AG540" s="793"/>
      <c r="AH540" s="793"/>
      <c r="AI540" s="793"/>
      <c r="AJ540" s="793"/>
      <c r="AK540" s="793"/>
      <c r="AL540" s="793"/>
      <c r="AM540" s="793"/>
      <c r="AN540" s="793"/>
      <c r="AO540" s="793"/>
      <c r="AP540" s="793"/>
      <c r="AQ540" s="793"/>
      <c r="AR540" s="793"/>
      <c r="AS540" s="793"/>
      <c r="AT540" s="793"/>
      <c r="AU540" s="793"/>
      <c r="AV540" s="793"/>
      <c r="AW540" s="780"/>
      <c r="AX540" s="442">
        <f t="shared" ref="AX540:AY540" si="143">AX184-AX539</f>
        <v>4179415006.9700012</v>
      </c>
      <c r="AY540" s="442">
        <f t="shared" si="143"/>
        <v>2121149963.2400017</v>
      </c>
      <c r="AZ540" s="131"/>
    </row>
    <row r="541" spans="1:52" ht="15.75" customHeight="1">
      <c r="A541" s="131"/>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c r="AY541" s="517"/>
      <c r="AZ541" s="131"/>
    </row>
    <row r="542" spans="1:52" ht="15.75" customHeight="1">
      <c r="A542" s="131"/>
      <c r="B542" s="308" t="s">
        <v>4422</v>
      </c>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c r="AJ542" s="178"/>
      <c r="AK542" s="178"/>
      <c r="AL542" s="178"/>
      <c r="AM542" s="178"/>
      <c r="AN542" s="178"/>
      <c r="AO542" s="178"/>
      <c r="AP542" s="178"/>
      <c r="AQ542" s="178"/>
      <c r="AR542" s="178"/>
      <c r="AS542" s="178"/>
      <c r="AT542" s="178"/>
      <c r="AU542" s="178"/>
      <c r="AV542" s="178"/>
      <c r="AW542" s="178"/>
      <c r="AX542" s="178"/>
      <c r="AY542" s="517"/>
      <c r="AZ542" s="131"/>
    </row>
    <row r="543" spans="1:52" ht="15.75" customHeight="1">
      <c r="A543" s="131"/>
      <c r="B543" s="131"/>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517"/>
      <c r="AZ543" s="131"/>
    </row>
    <row r="544" spans="1:52" ht="15.75" customHeight="1">
      <c r="A544" s="131"/>
      <c r="B544" s="131"/>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517"/>
      <c r="AZ544" s="131"/>
    </row>
    <row r="545" spans="1:52" ht="8.25" customHeight="1">
      <c r="A545" s="131"/>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517"/>
      <c r="AZ545" s="131"/>
    </row>
    <row r="546" spans="1:52" ht="15.75" customHeight="1">
      <c r="A546" s="131"/>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517"/>
      <c r="AZ546" s="131"/>
    </row>
    <row r="547" spans="1:52" ht="15.75" customHeight="1">
      <c r="A547" s="131"/>
      <c r="B547" s="131"/>
      <c r="C547" s="131"/>
      <c r="D547" s="131"/>
      <c r="E547" s="131"/>
      <c r="F547" s="131"/>
      <c r="G547" s="131"/>
      <c r="H547" s="131"/>
      <c r="I547" s="131"/>
      <c r="J547" s="131"/>
      <c r="K547" s="131"/>
      <c r="L547" s="131"/>
      <c r="M547" s="131"/>
      <c r="N547" s="131"/>
      <c r="O547" s="131"/>
      <c r="P547" s="899"/>
      <c r="Q547" s="793"/>
      <c r="R547" s="793"/>
      <c r="S547" s="793"/>
      <c r="T547" s="793"/>
      <c r="U547" s="793"/>
      <c r="V547" s="793"/>
      <c r="W547" s="793"/>
      <c r="X547" s="793"/>
      <c r="Y547" s="793"/>
      <c r="Z547" s="793"/>
      <c r="AA547" s="793"/>
      <c r="AB547" s="793"/>
      <c r="AC547" s="793"/>
      <c r="AD547" s="793"/>
      <c r="AE547" s="793"/>
      <c r="AF547" s="793"/>
      <c r="AG547" s="131"/>
      <c r="AH547" s="131"/>
      <c r="AI547" s="131"/>
      <c r="AJ547" s="131"/>
      <c r="AK547" s="131"/>
      <c r="AL547" s="131"/>
      <c r="AM547" s="131"/>
      <c r="AN547" s="131"/>
      <c r="AO547" s="131"/>
      <c r="AP547" s="131"/>
      <c r="AQ547" s="131"/>
      <c r="AR547" s="131"/>
      <c r="AS547" s="131"/>
      <c r="AT547" s="178"/>
      <c r="AU547" s="178"/>
      <c r="AV547" s="899" t="s">
        <v>1947</v>
      </c>
      <c r="AW547" s="793"/>
      <c r="AX547" s="793"/>
      <c r="AY547" s="793"/>
      <c r="AZ547" s="131"/>
    </row>
    <row r="548" spans="1:52" ht="15.75" customHeight="1">
      <c r="A548" s="131"/>
      <c r="B548" s="131"/>
      <c r="C548" s="131"/>
      <c r="D548" s="131"/>
      <c r="E548" s="131"/>
      <c r="F548" s="131"/>
      <c r="G548" s="131"/>
      <c r="H548" s="131"/>
      <c r="I548" s="131"/>
      <c r="J548" s="131"/>
      <c r="K548" s="131"/>
      <c r="L548" s="131"/>
      <c r="M548" s="131"/>
      <c r="N548" s="131"/>
      <c r="O548" s="131"/>
      <c r="P548" s="786" t="str">
        <f>Validacion!A7</f>
        <v>Vero</v>
      </c>
      <c r="Q548" s="787"/>
      <c r="R548" s="787"/>
      <c r="S548" s="787"/>
      <c r="T548" s="787"/>
      <c r="U548" s="787"/>
      <c r="V548" s="787"/>
      <c r="W548" s="787"/>
      <c r="X548" s="787"/>
      <c r="Y548" s="787"/>
      <c r="Z548" s="787"/>
      <c r="AA548" s="787"/>
      <c r="AB548" s="787"/>
      <c r="AC548" s="787"/>
      <c r="AD548" s="787"/>
      <c r="AE548" s="787"/>
      <c r="AF548" s="787"/>
      <c r="AG548" s="131"/>
      <c r="AH548" s="131"/>
      <c r="AI548" s="131"/>
      <c r="AJ548" s="131"/>
      <c r="AK548" s="131"/>
      <c r="AL548" s="131"/>
      <c r="AM548" s="131"/>
      <c r="AN548" s="131"/>
      <c r="AO548" s="131"/>
      <c r="AP548" s="131"/>
      <c r="AQ548" s="131"/>
      <c r="AR548" s="131"/>
      <c r="AS548" s="131"/>
      <c r="AT548" s="178"/>
      <c r="AU548" s="178"/>
      <c r="AV548" s="786" t="str">
        <f>Validacion!A9</f>
        <v>Irlanda</v>
      </c>
      <c r="AW548" s="787"/>
      <c r="AX548" s="787"/>
      <c r="AY548" s="787"/>
      <c r="AZ548" s="131"/>
    </row>
    <row r="549" spans="1:52" ht="15.75" customHeight="1">
      <c r="A549" s="131"/>
      <c r="B549" s="131"/>
      <c r="C549" s="131"/>
      <c r="D549" s="131"/>
      <c r="E549" s="131"/>
      <c r="F549" s="131"/>
      <c r="G549" s="131"/>
      <c r="H549" s="131"/>
      <c r="I549" s="131"/>
      <c r="J549" s="131"/>
      <c r="K549" s="131"/>
      <c r="L549" s="131"/>
      <c r="M549" s="131"/>
      <c r="N549" s="131"/>
      <c r="O549" s="131"/>
      <c r="P549" s="725"/>
      <c r="Q549" s="725"/>
      <c r="R549" s="725"/>
      <c r="S549" s="725"/>
      <c r="T549" s="725"/>
      <c r="U549" s="725"/>
      <c r="V549" s="725"/>
      <c r="W549" s="725"/>
      <c r="X549" s="725"/>
      <c r="Y549" s="725"/>
      <c r="Z549" s="725"/>
      <c r="AA549" s="725"/>
      <c r="AB549" s="725"/>
      <c r="AC549" s="725"/>
      <c r="AD549" s="725"/>
      <c r="AE549" s="725"/>
      <c r="AF549" s="725"/>
      <c r="AG549" s="131"/>
      <c r="AH549" s="131"/>
      <c r="AI549" s="131"/>
      <c r="AJ549" s="131"/>
      <c r="AK549" s="131"/>
      <c r="AL549" s="131"/>
      <c r="AM549" s="131"/>
      <c r="AN549" s="131"/>
      <c r="AO549" s="131"/>
      <c r="AP549" s="131"/>
      <c r="AQ549" s="131"/>
      <c r="AR549" s="131"/>
      <c r="AS549" s="131"/>
      <c r="AT549" s="178"/>
      <c r="AU549" s="178"/>
      <c r="AV549" s="725"/>
      <c r="AW549" s="725"/>
      <c r="AX549" s="725"/>
      <c r="AY549" s="725"/>
      <c r="AZ549" s="131"/>
    </row>
    <row r="550" spans="1:52" ht="15.75" customHeight="1">
      <c r="A550" s="131"/>
      <c r="B550" s="519"/>
      <c r="C550" s="279"/>
      <c r="D550" s="279"/>
      <c r="E550" s="279"/>
      <c r="F550" s="279"/>
      <c r="G550" s="279"/>
      <c r="H550" s="279"/>
      <c r="I550" s="279"/>
      <c r="J550" s="279"/>
      <c r="K550" s="279"/>
      <c r="L550" s="279"/>
      <c r="M550" s="279"/>
      <c r="N550" s="279"/>
      <c r="O550" s="279"/>
      <c r="P550" s="816" t="s">
        <v>6601</v>
      </c>
      <c r="Q550" s="725"/>
      <c r="R550" s="725"/>
      <c r="S550" s="725"/>
      <c r="T550" s="725"/>
      <c r="U550" s="725"/>
      <c r="V550" s="725"/>
      <c r="W550" s="725"/>
      <c r="X550" s="725"/>
      <c r="Y550" s="725"/>
      <c r="Z550" s="725"/>
      <c r="AA550" s="725"/>
      <c r="AB550" s="725"/>
      <c r="AC550" s="725"/>
      <c r="AD550" s="725"/>
      <c r="AE550" s="725"/>
      <c r="AF550" s="725"/>
      <c r="AG550" s="279"/>
      <c r="AH550" s="279"/>
      <c r="AI550" s="279"/>
      <c r="AJ550" s="279"/>
      <c r="AK550" s="279"/>
      <c r="AL550" s="279"/>
      <c r="AM550" s="279"/>
      <c r="AN550" s="279"/>
      <c r="AO550" s="279"/>
      <c r="AP550" s="279"/>
      <c r="AQ550" s="279"/>
      <c r="AR550" s="279"/>
      <c r="AS550" s="279"/>
      <c r="AT550" s="178"/>
      <c r="AU550" s="178"/>
      <c r="AV550" s="816" t="s">
        <v>7063</v>
      </c>
      <c r="AW550" s="725"/>
      <c r="AX550" s="725"/>
      <c r="AY550" s="725"/>
      <c r="AZ550" s="131"/>
    </row>
    <row r="551" spans="1:52" ht="15" customHeight="1">
      <c r="A551" s="131"/>
      <c r="B551" s="178"/>
      <c r="C551" s="178"/>
      <c r="D551" s="210"/>
      <c r="E551" s="178"/>
      <c r="F551" s="178"/>
      <c r="G551" s="178"/>
      <c r="H551" s="178"/>
      <c r="I551" s="178"/>
      <c r="J551" s="178"/>
      <c r="K551" s="178"/>
      <c r="L551" s="178"/>
      <c r="M551" s="178"/>
      <c r="N551" s="178"/>
      <c r="O551" s="178"/>
      <c r="P551" s="725"/>
      <c r="Q551" s="725"/>
      <c r="R551" s="725"/>
      <c r="S551" s="725"/>
      <c r="T551" s="725"/>
      <c r="U551" s="725"/>
      <c r="V551" s="725"/>
      <c r="W551" s="725"/>
      <c r="X551" s="725"/>
      <c r="Y551" s="725"/>
      <c r="Z551" s="725"/>
      <c r="AA551" s="725"/>
      <c r="AB551" s="725"/>
      <c r="AC551" s="725"/>
      <c r="AD551" s="725"/>
      <c r="AE551" s="725"/>
      <c r="AF551" s="725"/>
      <c r="AG551" s="178"/>
      <c r="AH551" s="178"/>
      <c r="AI551" s="178"/>
      <c r="AJ551" s="178"/>
      <c r="AK551" s="178"/>
      <c r="AL551" s="178"/>
      <c r="AM551" s="178"/>
      <c r="AN551" s="178"/>
      <c r="AO551" s="178"/>
      <c r="AP551" s="178"/>
      <c r="AQ551" s="178"/>
      <c r="AR551" s="178"/>
      <c r="AS551" s="210"/>
      <c r="AT551" s="178"/>
      <c r="AU551" s="178"/>
      <c r="AV551" s="725"/>
      <c r="AW551" s="725"/>
      <c r="AX551" s="725"/>
      <c r="AY551" s="725"/>
      <c r="AZ551" s="131"/>
    </row>
    <row r="552" spans="1:52" ht="15.75" customHeight="1">
      <c r="A552" s="131"/>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c r="AJ552" s="178"/>
      <c r="AK552" s="178"/>
      <c r="AL552" s="178"/>
      <c r="AM552" s="178"/>
      <c r="AN552" s="178"/>
      <c r="AO552" s="178"/>
      <c r="AP552" s="178"/>
      <c r="AQ552" s="178"/>
      <c r="AR552" s="178"/>
      <c r="AS552" s="178"/>
      <c r="AT552" s="178"/>
      <c r="AU552" s="178"/>
      <c r="AV552" s="178"/>
      <c r="AW552" s="178"/>
      <c r="AX552" s="178"/>
      <c r="AY552" s="517"/>
      <c r="AZ552" s="131"/>
    </row>
    <row r="553" spans="1:52" ht="15.75" customHeight="1">
      <c r="A553" s="131"/>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c r="AJ553" s="178"/>
      <c r="AK553" s="178"/>
      <c r="AL553" s="178"/>
      <c r="AM553" s="178"/>
      <c r="AN553" s="178"/>
      <c r="AO553" s="178"/>
      <c r="AP553" s="178"/>
      <c r="AQ553" s="178"/>
      <c r="AR553" s="178"/>
      <c r="AS553" s="178"/>
      <c r="AT553" s="178"/>
      <c r="AU553" s="178"/>
      <c r="AV553" s="178"/>
      <c r="AW553" s="178"/>
      <c r="AX553" s="178"/>
      <c r="AY553" s="517"/>
      <c r="AZ553" s="131"/>
    </row>
    <row r="554" spans="1:52" ht="15.75" customHeight="1">
      <c r="A554" s="131"/>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c r="AJ554" s="178"/>
      <c r="AK554" s="178"/>
      <c r="AL554" s="178"/>
      <c r="AM554" s="178"/>
      <c r="AN554" s="178"/>
      <c r="AO554" s="178"/>
      <c r="AP554" s="178"/>
      <c r="AQ554" s="178"/>
      <c r="AR554" s="178"/>
      <c r="AS554" s="178"/>
      <c r="AT554" s="178"/>
      <c r="AU554" s="178"/>
      <c r="AV554" s="178"/>
      <c r="AW554" s="178"/>
      <c r="AX554" s="178"/>
      <c r="AY554" s="517"/>
      <c r="AZ554" s="131"/>
    </row>
    <row r="555" spans="1:52" ht="15.75" customHeight="1">
      <c r="A555" s="131"/>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c r="AJ555" s="178"/>
      <c r="AK555" s="178"/>
      <c r="AL555" s="178"/>
      <c r="AM555" s="178"/>
      <c r="AN555" s="178"/>
      <c r="AO555" s="178"/>
      <c r="AP555" s="178"/>
      <c r="AQ555" s="178"/>
      <c r="AR555" s="178"/>
      <c r="AS555" s="178"/>
      <c r="AT555" s="178"/>
      <c r="AU555" s="178"/>
      <c r="AV555" s="178"/>
      <c r="AW555" s="178"/>
      <c r="AX555" s="178"/>
      <c r="AY555" s="517"/>
      <c r="AZ555" s="131"/>
    </row>
    <row r="556" spans="1:52" ht="15.75" customHeight="1">
      <c r="A556" s="131"/>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c r="AJ556" s="178"/>
      <c r="AK556" s="178"/>
      <c r="AL556" s="178"/>
      <c r="AM556" s="178"/>
      <c r="AN556" s="178"/>
      <c r="AO556" s="178"/>
      <c r="AP556" s="178"/>
      <c r="AQ556" s="178"/>
      <c r="AR556" s="178"/>
      <c r="AS556" s="178"/>
      <c r="AT556" s="178"/>
      <c r="AU556" s="178"/>
      <c r="AV556" s="178"/>
      <c r="AW556" s="178"/>
      <c r="AX556" s="178"/>
      <c r="AY556" s="517"/>
      <c r="AZ556" s="131"/>
    </row>
    <row r="557" spans="1:52" ht="15.75" customHeight="1">
      <c r="A557" s="131"/>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178"/>
      <c r="AL557" s="178"/>
      <c r="AM557" s="178"/>
      <c r="AN557" s="178"/>
      <c r="AO557" s="178"/>
      <c r="AP557" s="178"/>
      <c r="AQ557" s="178"/>
      <c r="AR557" s="178"/>
      <c r="AS557" s="178"/>
      <c r="AT557" s="178"/>
      <c r="AU557" s="178"/>
      <c r="AV557" s="178"/>
      <c r="AW557" s="178"/>
      <c r="AX557" s="178"/>
      <c r="AY557" s="517"/>
      <c r="AZ557" s="131"/>
    </row>
    <row r="558" spans="1:52" ht="15.75" customHeight="1">
      <c r="A558" s="131"/>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c r="AJ558" s="178"/>
      <c r="AK558" s="178"/>
      <c r="AL558" s="178"/>
      <c r="AM558" s="178"/>
      <c r="AN558" s="178"/>
      <c r="AO558" s="178"/>
      <c r="AP558" s="178"/>
      <c r="AQ558" s="178"/>
      <c r="AR558" s="178"/>
      <c r="AS558" s="178"/>
      <c r="AT558" s="178"/>
      <c r="AU558" s="178"/>
      <c r="AV558" s="178"/>
      <c r="AW558" s="178"/>
      <c r="AX558" s="178"/>
      <c r="AY558" s="517"/>
      <c r="AZ558" s="131"/>
    </row>
    <row r="559" spans="1:52" ht="15.75" customHeight="1">
      <c r="A559" s="131"/>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c r="AJ559" s="178"/>
      <c r="AK559" s="178"/>
      <c r="AL559" s="178"/>
      <c r="AM559" s="178"/>
      <c r="AN559" s="178"/>
      <c r="AO559" s="178"/>
      <c r="AP559" s="178"/>
      <c r="AQ559" s="178"/>
      <c r="AR559" s="178"/>
      <c r="AS559" s="178"/>
      <c r="AT559" s="178"/>
      <c r="AU559" s="178"/>
      <c r="AV559" s="178"/>
      <c r="AW559" s="178"/>
      <c r="AX559" s="178"/>
      <c r="AY559" s="517"/>
      <c r="AZ559" s="131"/>
    </row>
    <row r="560" spans="1:52" ht="15.75" customHeight="1">
      <c r="A560" s="131"/>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c r="AJ560" s="178"/>
      <c r="AK560" s="178"/>
      <c r="AL560" s="178"/>
      <c r="AM560" s="178"/>
      <c r="AN560" s="178"/>
      <c r="AO560" s="178"/>
      <c r="AP560" s="178"/>
      <c r="AQ560" s="178"/>
      <c r="AR560" s="178"/>
      <c r="AS560" s="178"/>
      <c r="AT560" s="178"/>
      <c r="AU560" s="178"/>
      <c r="AV560" s="178"/>
      <c r="AW560" s="178"/>
      <c r="AX560" s="178"/>
      <c r="AY560" s="517"/>
      <c r="AZ560" s="131"/>
    </row>
    <row r="561" spans="1:52" ht="15.75" customHeight="1">
      <c r="A561" s="131"/>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c r="AJ561" s="178"/>
      <c r="AK561" s="178"/>
      <c r="AL561" s="178"/>
      <c r="AM561" s="178"/>
      <c r="AN561" s="178"/>
      <c r="AO561" s="178"/>
      <c r="AP561" s="178"/>
      <c r="AQ561" s="178"/>
      <c r="AR561" s="178"/>
      <c r="AS561" s="178"/>
      <c r="AT561" s="178"/>
      <c r="AU561" s="178"/>
      <c r="AV561" s="178"/>
      <c r="AW561" s="178"/>
      <c r="AX561" s="178"/>
      <c r="AY561" s="517"/>
      <c r="AZ561" s="131"/>
    </row>
    <row r="562" spans="1:52" ht="15.75" customHeight="1">
      <c r="A562" s="131"/>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517"/>
      <c r="AZ562" s="131"/>
    </row>
    <row r="563" spans="1:52" ht="15.75" customHeight="1">
      <c r="A563" s="131"/>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c r="AJ563" s="178"/>
      <c r="AK563" s="178"/>
      <c r="AL563" s="178"/>
      <c r="AM563" s="178"/>
      <c r="AN563" s="178"/>
      <c r="AO563" s="178"/>
      <c r="AP563" s="178"/>
      <c r="AQ563" s="178"/>
      <c r="AR563" s="178"/>
      <c r="AS563" s="178"/>
      <c r="AT563" s="178"/>
      <c r="AU563" s="178"/>
      <c r="AV563" s="178"/>
      <c r="AW563" s="178"/>
      <c r="AX563" s="178"/>
      <c r="AY563" s="517"/>
      <c r="AZ563" s="131"/>
    </row>
    <row r="564" spans="1:52" ht="15.75" customHeight="1">
      <c r="A564" s="131"/>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c r="AJ564" s="178"/>
      <c r="AK564" s="178"/>
      <c r="AL564" s="178"/>
      <c r="AM564" s="178"/>
      <c r="AN564" s="178"/>
      <c r="AO564" s="178"/>
      <c r="AP564" s="178"/>
      <c r="AQ564" s="178"/>
      <c r="AR564" s="178"/>
      <c r="AS564" s="178"/>
      <c r="AT564" s="178"/>
      <c r="AU564" s="178"/>
      <c r="AV564" s="178"/>
      <c r="AW564" s="178"/>
      <c r="AX564" s="178"/>
      <c r="AY564" s="517"/>
      <c r="AZ564" s="131"/>
    </row>
    <row r="565" spans="1:52" ht="15.75" customHeight="1">
      <c r="A565" s="131"/>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c r="AJ565" s="178"/>
      <c r="AK565" s="178"/>
      <c r="AL565" s="178"/>
      <c r="AM565" s="178"/>
      <c r="AN565" s="178"/>
      <c r="AO565" s="178"/>
      <c r="AP565" s="178"/>
      <c r="AQ565" s="178"/>
      <c r="AR565" s="178"/>
      <c r="AS565" s="178"/>
      <c r="AT565" s="178"/>
      <c r="AU565" s="178"/>
      <c r="AV565" s="178"/>
      <c r="AW565" s="178"/>
      <c r="AX565" s="178"/>
      <c r="AY565" s="517"/>
      <c r="AZ565" s="131"/>
    </row>
    <row r="566" spans="1:52" ht="15.75" customHeight="1">
      <c r="A566" s="131"/>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c r="AJ566" s="178"/>
      <c r="AK566" s="178"/>
      <c r="AL566" s="178"/>
      <c r="AM566" s="178"/>
      <c r="AN566" s="178"/>
      <c r="AO566" s="178"/>
      <c r="AP566" s="178"/>
      <c r="AQ566" s="178"/>
      <c r="AR566" s="178"/>
      <c r="AS566" s="178"/>
      <c r="AT566" s="178"/>
      <c r="AU566" s="178"/>
      <c r="AV566" s="178"/>
      <c r="AW566" s="178"/>
      <c r="AX566" s="178"/>
      <c r="AY566" s="517"/>
      <c r="AZ566" s="131"/>
    </row>
    <row r="567" spans="1:52" ht="15.75" customHeight="1">
      <c r="A567" s="131"/>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c r="AJ567" s="178"/>
      <c r="AK567" s="178"/>
      <c r="AL567" s="178"/>
      <c r="AM567" s="178"/>
      <c r="AN567" s="178"/>
      <c r="AO567" s="178"/>
      <c r="AP567" s="178"/>
      <c r="AQ567" s="178"/>
      <c r="AR567" s="178"/>
      <c r="AS567" s="178"/>
      <c r="AT567" s="178"/>
      <c r="AU567" s="178"/>
      <c r="AV567" s="178"/>
      <c r="AW567" s="178"/>
      <c r="AX567" s="178"/>
      <c r="AY567" s="517"/>
      <c r="AZ567" s="131"/>
    </row>
  </sheetData>
  <mergeCells count="14">
    <mergeCell ref="P550:AF551"/>
    <mergeCell ref="AV550:AY551"/>
    <mergeCell ref="A1:AY1"/>
    <mergeCell ref="A2:AY2"/>
    <mergeCell ref="A3:AY3"/>
    <mergeCell ref="A4:AY4"/>
    <mergeCell ref="B5:AW5"/>
    <mergeCell ref="B184:AW184"/>
    <mergeCell ref="B539:AW539"/>
    <mergeCell ref="B540:AW540"/>
    <mergeCell ref="P547:AF547"/>
    <mergeCell ref="AV547:AY547"/>
    <mergeCell ref="P548:AF549"/>
    <mergeCell ref="AV548:AY549"/>
  </mergeCells>
  <printOptions horizontalCentered="1"/>
  <pageMargins left="0.59055118110236227" right="0.59055118110236227" top="0.59055118110236227" bottom="0.59055118110236227" header="0" footer="0"/>
  <pageSetup orientation="portrait"/>
  <headerFooter>
    <oddFooter>&amp;REstado Analítico de Actividades Página &amp;P de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D8D8D8"/>
  </sheetPr>
  <dimension ref="A1:AZ1000"/>
  <sheetViews>
    <sheetView showGridLines="0" tabSelected="1" workbookViewId="0">
      <pane ySplit="5" topLeftCell="A6" activePane="bottomLeft" state="frozen"/>
      <selection pane="bottomLeft" activeCell="A4" sqref="A4:AY4"/>
    </sheetView>
  </sheetViews>
  <sheetFormatPr baseColWidth="10" defaultColWidth="14.42578125" defaultRowHeight="15" customHeight="1"/>
  <cols>
    <col min="1" max="49" width="2.85546875" customWidth="1"/>
    <col min="50" max="51" width="22.85546875" customWidth="1"/>
    <col min="52" max="52" width="0.5703125" customWidth="1"/>
  </cols>
  <sheetData>
    <row r="1" spans="1:52" ht="53.25" customHeight="1">
      <c r="A1" s="745" t="s">
        <v>4445</v>
      </c>
      <c r="B1" s="746"/>
      <c r="C1" s="746"/>
      <c r="D1" s="746"/>
      <c r="E1" s="746"/>
      <c r="F1" s="746"/>
      <c r="G1" s="746"/>
      <c r="H1" s="746"/>
      <c r="I1" s="746"/>
      <c r="J1" s="746"/>
      <c r="K1" s="746"/>
      <c r="L1" s="746"/>
      <c r="M1" s="746"/>
      <c r="N1" s="746"/>
      <c r="O1" s="746"/>
      <c r="P1" s="746"/>
      <c r="Q1" s="746"/>
      <c r="R1" s="746"/>
      <c r="S1" s="746"/>
      <c r="T1" s="746"/>
      <c r="U1" s="746"/>
      <c r="V1" s="746"/>
      <c r="W1" s="746"/>
      <c r="X1" s="746"/>
      <c r="Y1" s="746"/>
      <c r="Z1" s="746"/>
      <c r="AA1" s="746"/>
      <c r="AB1" s="746"/>
      <c r="AC1" s="746"/>
      <c r="AD1" s="746"/>
      <c r="AE1" s="746"/>
      <c r="AF1" s="746"/>
      <c r="AG1" s="746"/>
      <c r="AH1" s="746"/>
      <c r="AI1" s="746"/>
      <c r="AJ1" s="746"/>
      <c r="AK1" s="746"/>
      <c r="AL1" s="746"/>
      <c r="AM1" s="746"/>
      <c r="AN1" s="746"/>
      <c r="AO1" s="746"/>
      <c r="AP1" s="746"/>
      <c r="AQ1" s="746"/>
      <c r="AR1" s="746"/>
      <c r="AS1" s="746"/>
      <c r="AT1" s="746"/>
      <c r="AU1" s="746"/>
      <c r="AV1" s="746"/>
      <c r="AW1" s="746"/>
      <c r="AX1" s="746"/>
      <c r="AY1" s="747"/>
      <c r="AZ1" s="131"/>
    </row>
    <row r="2" spans="1:52" ht="21">
      <c r="A2" s="775" t="s">
        <v>7064</v>
      </c>
      <c r="B2" s="749"/>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I2" s="749"/>
      <c r="AJ2" s="749"/>
      <c r="AK2" s="749"/>
      <c r="AL2" s="749"/>
      <c r="AM2" s="749"/>
      <c r="AN2" s="749"/>
      <c r="AO2" s="749"/>
      <c r="AP2" s="749"/>
      <c r="AQ2" s="749"/>
      <c r="AR2" s="749"/>
      <c r="AS2" s="749"/>
      <c r="AT2" s="749"/>
      <c r="AU2" s="749"/>
      <c r="AV2" s="749"/>
      <c r="AW2" s="749"/>
      <c r="AX2" s="749"/>
      <c r="AY2" s="750"/>
      <c r="AZ2" s="131"/>
    </row>
    <row r="3" spans="1:52" ht="18.75">
      <c r="A3" s="751" t="s">
        <v>4446</v>
      </c>
      <c r="B3" s="749"/>
      <c r="C3" s="749"/>
      <c r="D3" s="749"/>
      <c r="E3" s="749"/>
      <c r="F3" s="749"/>
      <c r="G3" s="749"/>
      <c r="H3" s="749"/>
      <c r="I3" s="749"/>
      <c r="J3" s="749"/>
      <c r="K3" s="749"/>
      <c r="L3" s="749"/>
      <c r="M3" s="749"/>
      <c r="N3" s="749"/>
      <c r="O3" s="749"/>
      <c r="P3" s="749"/>
      <c r="Q3" s="749"/>
      <c r="R3" s="749"/>
      <c r="S3" s="749"/>
      <c r="T3" s="749"/>
      <c r="U3" s="749"/>
      <c r="V3" s="749"/>
      <c r="W3" s="749"/>
      <c r="X3" s="749"/>
      <c r="Y3" s="749"/>
      <c r="Z3" s="749"/>
      <c r="AA3" s="749"/>
      <c r="AB3" s="749"/>
      <c r="AC3" s="749"/>
      <c r="AD3" s="749"/>
      <c r="AE3" s="749"/>
      <c r="AF3" s="749"/>
      <c r="AG3" s="749"/>
      <c r="AH3" s="749"/>
      <c r="AI3" s="749"/>
      <c r="AJ3" s="749"/>
      <c r="AK3" s="749"/>
      <c r="AL3" s="749"/>
      <c r="AM3" s="749"/>
      <c r="AN3" s="749"/>
      <c r="AO3" s="749"/>
      <c r="AP3" s="749"/>
      <c r="AQ3" s="749"/>
      <c r="AR3" s="749"/>
      <c r="AS3" s="749"/>
      <c r="AT3" s="749"/>
      <c r="AU3" s="749"/>
      <c r="AV3" s="749"/>
      <c r="AW3" s="749"/>
      <c r="AX3" s="749"/>
      <c r="AY3" s="750"/>
      <c r="AZ3" s="131"/>
    </row>
    <row r="4" spans="1:52" ht="15" customHeight="1">
      <c r="A4" s="776" t="s">
        <v>4378</v>
      </c>
      <c r="B4" s="753"/>
      <c r="C4" s="753"/>
      <c r="D4" s="753"/>
      <c r="E4" s="753"/>
      <c r="F4" s="753"/>
      <c r="G4" s="753"/>
      <c r="H4" s="753"/>
      <c r="I4" s="753"/>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4"/>
      <c r="AZ4" s="131"/>
    </row>
    <row r="5" spans="1:52" ht="21">
      <c r="A5" s="460"/>
      <c r="B5" s="893" t="s">
        <v>4379</v>
      </c>
      <c r="C5" s="756"/>
      <c r="D5" s="756"/>
      <c r="E5" s="756"/>
      <c r="F5" s="756"/>
      <c r="G5" s="756"/>
      <c r="H5" s="756"/>
      <c r="I5" s="756"/>
      <c r="J5" s="756"/>
      <c r="K5" s="756"/>
      <c r="L5" s="756"/>
      <c r="M5" s="756"/>
      <c r="N5" s="756"/>
      <c r="O5" s="756"/>
      <c r="P5" s="756"/>
      <c r="Q5" s="756"/>
      <c r="R5" s="756"/>
      <c r="S5" s="756"/>
      <c r="T5" s="756"/>
      <c r="U5" s="756"/>
      <c r="V5" s="756"/>
      <c r="W5" s="756"/>
      <c r="X5" s="756"/>
      <c r="Y5" s="756"/>
      <c r="Z5" s="756"/>
      <c r="AA5" s="756"/>
      <c r="AB5" s="756"/>
      <c r="AC5" s="756"/>
      <c r="AD5" s="756"/>
      <c r="AE5" s="756"/>
      <c r="AF5" s="756"/>
      <c r="AG5" s="756"/>
      <c r="AH5" s="756"/>
      <c r="AI5" s="756"/>
      <c r="AJ5" s="756"/>
      <c r="AK5" s="756"/>
      <c r="AL5" s="756"/>
      <c r="AM5" s="756"/>
      <c r="AN5" s="756"/>
      <c r="AO5" s="756"/>
      <c r="AP5" s="756"/>
      <c r="AQ5" s="756"/>
      <c r="AR5" s="756"/>
      <c r="AS5" s="756"/>
      <c r="AT5" s="756"/>
      <c r="AU5" s="756"/>
      <c r="AV5" s="756"/>
      <c r="AW5" s="733"/>
      <c r="AX5" s="495">
        <f>Validacion!F185</f>
        <v>2025</v>
      </c>
      <c r="AY5" s="495">
        <f>Validacion!F186</f>
        <v>2024</v>
      </c>
      <c r="AZ5" s="461"/>
    </row>
    <row r="6" spans="1:52" ht="15.75">
      <c r="A6" s="520"/>
      <c r="B6" s="521" t="s">
        <v>894</v>
      </c>
      <c r="C6" s="522"/>
      <c r="D6" s="522"/>
      <c r="E6" s="522"/>
      <c r="F6" s="522"/>
      <c r="G6" s="522"/>
      <c r="H6" s="522"/>
      <c r="I6" s="522"/>
      <c r="J6" s="522"/>
      <c r="K6" s="522"/>
      <c r="L6" s="522"/>
      <c r="M6" s="522"/>
      <c r="N6" s="522"/>
      <c r="O6" s="522"/>
      <c r="P6" s="522"/>
      <c r="Q6" s="522"/>
      <c r="R6" s="522"/>
      <c r="S6" s="522"/>
      <c r="T6" s="522"/>
      <c r="U6" s="522"/>
      <c r="V6" s="522"/>
      <c r="W6" s="522"/>
      <c r="X6" s="522"/>
      <c r="Y6" s="522"/>
      <c r="Z6" s="522"/>
      <c r="AA6" s="522"/>
      <c r="AB6" s="522"/>
      <c r="AC6" s="522"/>
      <c r="AD6" s="522"/>
      <c r="AE6" s="522"/>
      <c r="AF6" s="522"/>
      <c r="AG6" s="522"/>
      <c r="AH6" s="522"/>
      <c r="AI6" s="522"/>
      <c r="AJ6" s="522"/>
      <c r="AK6" s="522"/>
      <c r="AL6" s="522"/>
      <c r="AM6" s="522"/>
      <c r="AN6" s="522"/>
      <c r="AO6" s="522"/>
      <c r="AP6" s="522"/>
      <c r="AQ6" s="522"/>
      <c r="AR6" s="522"/>
      <c r="AS6" s="522"/>
      <c r="AT6" s="522"/>
      <c r="AU6" s="522"/>
      <c r="AV6" s="522"/>
      <c r="AW6" s="523"/>
      <c r="AX6" s="524"/>
      <c r="AY6" s="525"/>
      <c r="AZ6" s="131"/>
    </row>
    <row r="7" spans="1:52" ht="15.75">
      <c r="A7" s="526"/>
      <c r="B7" s="527" t="s">
        <v>7065</v>
      </c>
      <c r="C7" s="528"/>
      <c r="D7" s="528"/>
      <c r="E7" s="528"/>
      <c r="F7" s="528"/>
      <c r="G7" s="528"/>
      <c r="H7" s="528"/>
      <c r="I7" s="528"/>
      <c r="J7" s="528"/>
      <c r="K7" s="528"/>
      <c r="L7" s="528"/>
      <c r="M7" s="528"/>
      <c r="N7" s="528"/>
      <c r="O7" s="528"/>
      <c r="P7" s="528"/>
      <c r="Q7" s="528"/>
      <c r="R7" s="528"/>
      <c r="S7" s="528"/>
      <c r="T7" s="528"/>
      <c r="U7" s="528"/>
      <c r="V7" s="528"/>
      <c r="W7" s="528"/>
      <c r="X7" s="528"/>
      <c r="Y7" s="528"/>
      <c r="Z7" s="528"/>
      <c r="AA7" s="528"/>
      <c r="AB7" s="528"/>
      <c r="AC7" s="528"/>
      <c r="AD7" s="528"/>
      <c r="AE7" s="528"/>
      <c r="AF7" s="528"/>
      <c r="AG7" s="528"/>
      <c r="AH7" s="528"/>
      <c r="AI7" s="528"/>
      <c r="AJ7" s="528"/>
      <c r="AK7" s="528"/>
      <c r="AL7" s="528"/>
      <c r="AM7" s="528"/>
      <c r="AN7" s="528"/>
      <c r="AO7" s="528"/>
      <c r="AP7" s="528"/>
      <c r="AQ7" s="528"/>
      <c r="AR7" s="528"/>
      <c r="AS7" s="528"/>
      <c r="AT7" s="528"/>
      <c r="AU7" s="528"/>
      <c r="AV7" s="528"/>
      <c r="AW7" s="529"/>
      <c r="AX7" s="463">
        <f t="shared" ref="AX7:AY7" si="0">AX8+AX9+AX10+AX11+AX12+AX13+AX14</f>
        <v>3822135093.3300009</v>
      </c>
      <c r="AY7" s="463">
        <f t="shared" si="0"/>
        <v>4747030218.8900003</v>
      </c>
      <c r="AZ7" s="131"/>
    </row>
    <row r="8" spans="1:52" ht="15.75">
      <c r="A8" s="526"/>
      <c r="B8" s="530" t="s">
        <v>7066</v>
      </c>
      <c r="C8" s="528"/>
      <c r="D8" s="528"/>
      <c r="E8" s="528"/>
      <c r="F8" s="528"/>
      <c r="G8" s="528"/>
      <c r="H8" s="528"/>
      <c r="I8" s="528"/>
      <c r="J8" s="528"/>
      <c r="K8" s="528"/>
      <c r="L8" s="528"/>
      <c r="M8" s="528"/>
      <c r="N8" s="528"/>
      <c r="O8" s="528"/>
      <c r="P8" s="528"/>
      <c r="Q8" s="528"/>
      <c r="R8" s="528"/>
      <c r="S8" s="528"/>
      <c r="T8" s="528"/>
      <c r="U8" s="528"/>
      <c r="V8" s="528"/>
      <c r="W8" s="528"/>
      <c r="X8" s="528"/>
      <c r="Y8" s="528"/>
      <c r="Z8" s="528"/>
      <c r="AA8" s="528"/>
      <c r="AB8" s="528"/>
      <c r="AC8" s="528"/>
      <c r="AD8" s="528"/>
      <c r="AE8" s="528"/>
      <c r="AF8" s="528"/>
      <c r="AG8" s="528"/>
      <c r="AH8" s="528"/>
      <c r="AI8" s="528"/>
      <c r="AJ8" s="528"/>
      <c r="AK8" s="528"/>
      <c r="AL8" s="528"/>
      <c r="AM8" s="528"/>
      <c r="AN8" s="528"/>
      <c r="AO8" s="528"/>
      <c r="AP8" s="528"/>
      <c r="AQ8" s="528"/>
      <c r="AR8" s="528"/>
      <c r="AS8" s="528"/>
      <c r="AT8" s="528"/>
      <c r="AU8" s="528"/>
      <c r="AV8" s="528"/>
      <c r="AW8" s="529"/>
      <c r="AX8" s="462">
        <f>Balanza!H199</f>
        <v>2722898181.3900003</v>
      </c>
      <c r="AY8" s="462">
        <f>Balanza!D199</f>
        <v>2953999448.3200002</v>
      </c>
      <c r="AZ8" s="131"/>
    </row>
    <row r="9" spans="1:52" ht="15.75">
      <c r="A9" s="526"/>
      <c r="B9" s="530" t="s">
        <v>7067</v>
      </c>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8"/>
      <c r="AD9" s="528"/>
      <c r="AE9" s="528"/>
      <c r="AF9" s="528"/>
      <c r="AG9" s="528"/>
      <c r="AH9" s="528"/>
      <c r="AI9" s="528"/>
      <c r="AJ9" s="528"/>
      <c r="AK9" s="528"/>
      <c r="AL9" s="528"/>
      <c r="AM9" s="528"/>
      <c r="AN9" s="528"/>
      <c r="AO9" s="528"/>
      <c r="AP9" s="528"/>
      <c r="AQ9" s="528"/>
      <c r="AR9" s="528"/>
      <c r="AS9" s="528"/>
      <c r="AT9" s="528"/>
      <c r="AU9" s="528"/>
      <c r="AV9" s="528"/>
      <c r="AW9" s="529"/>
      <c r="AX9" s="462">
        <f>Balanza!H220</f>
        <v>0</v>
      </c>
      <c r="AY9" s="462">
        <f>Balanza!D220</f>
        <v>0</v>
      </c>
      <c r="AZ9" s="131"/>
    </row>
    <row r="10" spans="1:52" ht="15.75">
      <c r="A10" s="526"/>
      <c r="B10" s="530" t="s">
        <v>7068</v>
      </c>
      <c r="C10" s="528"/>
      <c r="D10" s="528"/>
      <c r="E10" s="528"/>
      <c r="F10" s="528"/>
      <c r="G10" s="528"/>
      <c r="H10" s="528"/>
      <c r="I10" s="528"/>
      <c r="J10" s="528"/>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9"/>
      <c r="AX10" s="462">
        <f>Balanza!H226</f>
        <v>0</v>
      </c>
      <c r="AY10" s="462">
        <f>Balanza!D226</f>
        <v>413506.61</v>
      </c>
      <c r="AZ10" s="131"/>
    </row>
    <row r="11" spans="1:52" ht="15.75">
      <c r="A11" s="526"/>
      <c r="B11" s="530" t="s">
        <v>7069</v>
      </c>
      <c r="C11" s="528"/>
      <c r="D11" s="528"/>
      <c r="E11" s="528"/>
      <c r="F11" s="528"/>
      <c r="G11" s="528"/>
      <c r="H11" s="528"/>
      <c r="I11" s="528"/>
      <c r="J11" s="528"/>
      <c r="K11" s="528"/>
      <c r="L11" s="528"/>
      <c r="M11" s="528"/>
      <c r="N11" s="528"/>
      <c r="O11" s="528"/>
      <c r="P11" s="528"/>
      <c r="Q11" s="528"/>
      <c r="R11" s="528"/>
      <c r="S11" s="528"/>
      <c r="T11" s="528"/>
      <c r="U11" s="528"/>
      <c r="V11" s="528"/>
      <c r="W11" s="528"/>
      <c r="X11" s="528"/>
      <c r="Y11" s="528"/>
      <c r="Z11" s="528"/>
      <c r="AA11" s="528"/>
      <c r="AB11" s="528"/>
      <c r="AC11" s="528"/>
      <c r="AD11" s="528"/>
      <c r="AE11" s="528"/>
      <c r="AF11" s="528"/>
      <c r="AG11" s="528"/>
      <c r="AH11" s="528"/>
      <c r="AI11" s="528"/>
      <c r="AJ11" s="528"/>
      <c r="AK11" s="528"/>
      <c r="AL11" s="528"/>
      <c r="AM11" s="528"/>
      <c r="AN11" s="528"/>
      <c r="AO11" s="528"/>
      <c r="AP11" s="528"/>
      <c r="AQ11" s="528"/>
      <c r="AR11" s="528"/>
      <c r="AS11" s="528"/>
      <c r="AT11" s="528"/>
      <c r="AU11" s="528"/>
      <c r="AV11" s="528"/>
      <c r="AW11" s="529"/>
      <c r="AX11" s="462">
        <f>Balanza!H231</f>
        <v>860382178.17000008</v>
      </c>
      <c r="AY11" s="462">
        <f>Balanza!D231</f>
        <v>1402723470.5000002</v>
      </c>
      <c r="AZ11" s="131"/>
    </row>
    <row r="12" spans="1:52" ht="15.75">
      <c r="A12" s="526"/>
      <c r="B12" s="530" t="s">
        <v>7070</v>
      </c>
      <c r="C12" s="528"/>
      <c r="D12" s="528"/>
      <c r="E12" s="528"/>
      <c r="F12" s="528"/>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9"/>
      <c r="AX12" s="462">
        <f>Balanza!H263</f>
        <v>133658361.8</v>
      </c>
      <c r="AY12" s="462">
        <f>Balanza!D263</f>
        <v>155535330.52000001</v>
      </c>
      <c r="AZ12" s="131"/>
    </row>
    <row r="13" spans="1:52" ht="15.75">
      <c r="A13" s="526"/>
      <c r="B13" s="530" t="s">
        <v>7071</v>
      </c>
      <c r="C13" s="528"/>
      <c r="D13" s="528"/>
      <c r="E13" s="528"/>
      <c r="F13" s="528"/>
      <c r="G13" s="528"/>
      <c r="H13" s="528"/>
      <c r="I13" s="528"/>
      <c r="J13" s="528"/>
      <c r="K13" s="528"/>
      <c r="L13" s="528"/>
      <c r="M13" s="528"/>
      <c r="N13" s="528"/>
      <c r="O13" s="528"/>
      <c r="P13" s="528"/>
      <c r="Q13" s="528"/>
      <c r="R13" s="528"/>
      <c r="S13" s="528"/>
      <c r="T13" s="528"/>
      <c r="U13" s="528"/>
      <c r="V13" s="528"/>
      <c r="W13" s="528"/>
      <c r="X13" s="528"/>
      <c r="Y13" s="528"/>
      <c r="Z13" s="528"/>
      <c r="AA13" s="528"/>
      <c r="AB13" s="528"/>
      <c r="AC13" s="528"/>
      <c r="AD13" s="528"/>
      <c r="AE13" s="528"/>
      <c r="AF13" s="528"/>
      <c r="AG13" s="528"/>
      <c r="AH13" s="528"/>
      <c r="AI13" s="528"/>
      <c r="AJ13" s="528"/>
      <c r="AK13" s="528"/>
      <c r="AL13" s="528"/>
      <c r="AM13" s="528"/>
      <c r="AN13" s="528"/>
      <c r="AO13" s="528"/>
      <c r="AP13" s="528"/>
      <c r="AQ13" s="528"/>
      <c r="AR13" s="528"/>
      <c r="AS13" s="528"/>
      <c r="AT13" s="528"/>
      <c r="AU13" s="528"/>
      <c r="AV13" s="528"/>
      <c r="AW13" s="529"/>
      <c r="AX13" s="462">
        <f>Balanza!H272</f>
        <v>105196371.97000003</v>
      </c>
      <c r="AY13" s="462">
        <f>Balanza!D272</f>
        <v>234358462.94000003</v>
      </c>
      <c r="AZ13" s="131"/>
    </row>
    <row r="14" spans="1:52" ht="15.75">
      <c r="A14" s="526"/>
      <c r="B14" s="530" t="s">
        <v>7072</v>
      </c>
      <c r="C14" s="528"/>
      <c r="D14" s="528"/>
      <c r="E14" s="528"/>
      <c r="F14" s="528"/>
      <c r="G14" s="528"/>
      <c r="H14" s="528"/>
      <c r="I14" s="528"/>
      <c r="J14" s="528"/>
      <c r="K14" s="528"/>
      <c r="L14" s="528"/>
      <c r="M14" s="528"/>
      <c r="N14" s="528"/>
      <c r="O14" s="528"/>
      <c r="P14" s="528"/>
      <c r="Q14" s="528"/>
      <c r="R14" s="528"/>
      <c r="S14" s="528"/>
      <c r="T14" s="528"/>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28"/>
      <c r="AR14" s="528"/>
      <c r="AS14" s="528"/>
      <c r="AT14" s="528"/>
      <c r="AU14" s="528"/>
      <c r="AV14" s="528"/>
      <c r="AW14" s="529"/>
      <c r="AX14" s="462">
        <f>Balanza!H293</f>
        <v>0</v>
      </c>
      <c r="AY14" s="462">
        <f>Balanza!D293</f>
        <v>0</v>
      </c>
      <c r="AZ14" s="131"/>
    </row>
    <row r="15" spans="1:52" ht="35.25" customHeight="1">
      <c r="A15" s="526"/>
      <c r="B15" s="900" t="s">
        <v>7073</v>
      </c>
      <c r="C15" s="736"/>
      <c r="D15" s="736"/>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c r="AT15" s="736"/>
      <c r="AU15" s="736"/>
      <c r="AV15" s="736"/>
      <c r="AW15" s="737"/>
      <c r="AX15" s="463">
        <f t="shared" ref="AX15:AY15" si="1">AX16+AX17</f>
        <v>5731145603.0500002</v>
      </c>
      <c r="AY15" s="463">
        <f t="shared" si="1"/>
        <v>6868889914.0100002</v>
      </c>
      <c r="AZ15" s="131"/>
    </row>
    <row r="16" spans="1:52" ht="15.75">
      <c r="A16" s="526"/>
      <c r="B16" s="531" t="s">
        <v>7074</v>
      </c>
      <c r="C16" s="528"/>
      <c r="D16" s="528"/>
      <c r="E16" s="528"/>
      <c r="F16" s="528"/>
      <c r="G16" s="528"/>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9"/>
      <c r="AX16" s="462">
        <f>Balanza!H309</f>
        <v>5731145603.0500002</v>
      </c>
      <c r="AY16" s="462">
        <f>Balanza!D309</f>
        <v>6868889914.0100002</v>
      </c>
      <c r="AZ16" s="131"/>
    </row>
    <row r="17" spans="1:52" ht="15.75">
      <c r="A17" s="526"/>
      <c r="B17" s="531" t="s">
        <v>7075</v>
      </c>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8"/>
      <c r="AD17" s="528"/>
      <c r="AE17" s="528"/>
      <c r="AF17" s="528"/>
      <c r="AG17" s="528"/>
      <c r="AH17" s="528"/>
      <c r="AI17" s="528"/>
      <c r="AJ17" s="528"/>
      <c r="AK17" s="528"/>
      <c r="AL17" s="528"/>
      <c r="AM17" s="528"/>
      <c r="AN17" s="528"/>
      <c r="AO17" s="528"/>
      <c r="AP17" s="528"/>
      <c r="AQ17" s="528"/>
      <c r="AR17" s="528"/>
      <c r="AS17" s="528"/>
      <c r="AT17" s="528"/>
      <c r="AU17" s="528"/>
      <c r="AV17" s="528"/>
      <c r="AW17" s="529"/>
      <c r="AX17" s="462">
        <f>Balanza!H342</f>
        <v>0</v>
      </c>
      <c r="AY17" s="462">
        <f>Balanza!D342</f>
        <v>0</v>
      </c>
      <c r="AZ17" s="131"/>
    </row>
    <row r="18" spans="1:52" ht="15.75">
      <c r="A18" s="526"/>
      <c r="B18" s="532" t="s">
        <v>7076</v>
      </c>
      <c r="C18" s="528"/>
      <c r="D18" s="528"/>
      <c r="E18" s="528"/>
      <c r="F18" s="528"/>
      <c r="G18" s="528"/>
      <c r="H18" s="528"/>
      <c r="I18" s="528"/>
      <c r="J18" s="528"/>
      <c r="K18" s="528"/>
      <c r="L18" s="528"/>
      <c r="M18" s="528"/>
      <c r="N18" s="528"/>
      <c r="O18" s="528"/>
      <c r="P18" s="528"/>
      <c r="Q18" s="528"/>
      <c r="R18" s="528"/>
      <c r="S18" s="528"/>
      <c r="T18" s="528"/>
      <c r="U18" s="528"/>
      <c r="V18" s="528"/>
      <c r="W18" s="528"/>
      <c r="X18" s="528"/>
      <c r="Y18" s="528"/>
      <c r="Z18" s="528"/>
      <c r="AA18" s="528"/>
      <c r="AB18" s="528"/>
      <c r="AC18" s="528"/>
      <c r="AD18" s="528"/>
      <c r="AE18" s="528"/>
      <c r="AF18" s="528"/>
      <c r="AG18" s="528"/>
      <c r="AH18" s="528"/>
      <c r="AI18" s="528"/>
      <c r="AJ18" s="528"/>
      <c r="AK18" s="528"/>
      <c r="AL18" s="528"/>
      <c r="AM18" s="528"/>
      <c r="AN18" s="528"/>
      <c r="AO18" s="528"/>
      <c r="AP18" s="528"/>
      <c r="AQ18" s="528"/>
      <c r="AR18" s="528"/>
      <c r="AS18" s="528"/>
      <c r="AT18" s="528"/>
      <c r="AU18" s="528"/>
      <c r="AV18" s="528"/>
      <c r="AW18" s="529"/>
      <c r="AX18" s="463">
        <f t="shared" ref="AX18:AY18" si="2">AX19+AX20+AX21+AX22+AX23</f>
        <v>0</v>
      </c>
      <c r="AY18" s="463">
        <f t="shared" si="2"/>
        <v>0</v>
      </c>
      <c r="AZ18" s="131"/>
    </row>
    <row r="19" spans="1:52" ht="15.75">
      <c r="A19" s="526"/>
      <c r="B19" s="531" t="s">
        <v>7077</v>
      </c>
      <c r="C19" s="528"/>
      <c r="D19" s="528"/>
      <c r="E19" s="528"/>
      <c r="F19" s="528"/>
      <c r="G19" s="528"/>
      <c r="H19" s="528"/>
      <c r="I19" s="528"/>
      <c r="J19" s="528"/>
      <c r="K19" s="528"/>
      <c r="L19" s="528"/>
      <c r="M19" s="528"/>
      <c r="N19" s="528"/>
      <c r="O19" s="528"/>
      <c r="P19" s="528"/>
      <c r="Q19" s="528"/>
      <c r="R19" s="528"/>
      <c r="S19" s="528"/>
      <c r="T19" s="528"/>
      <c r="U19" s="528"/>
      <c r="V19" s="528"/>
      <c r="W19" s="528"/>
      <c r="X19" s="528"/>
      <c r="Y19" s="528"/>
      <c r="Z19" s="528"/>
      <c r="AA19" s="528"/>
      <c r="AB19" s="528"/>
      <c r="AC19" s="528"/>
      <c r="AD19" s="528"/>
      <c r="AE19" s="528"/>
      <c r="AF19" s="528"/>
      <c r="AG19" s="528"/>
      <c r="AH19" s="528"/>
      <c r="AI19" s="528"/>
      <c r="AJ19" s="528"/>
      <c r="AK19" s="528"/>
      <c r="AL19" s="528"/>
      <c r="AM19" s="528"/>
      <c r="AN19" s="528"/>
      <c r="AO19" s="528"/>
      <c r="AP19" s="528"/>
      <c r="AQ19" s="528"/>
      <c r="AR19" s="528"/>
      <c r="AS19" s="528"/>
      <c r="AT19" s="528"/>
      <c r="AU19" s="528"/>
      <c r="AV19" s="528"/>
      <c r="AW19" s="529"/>
      <c r="AX19" s="462">
        <f>Balanza!H357</f>
        <v>0</v>
      </c>
      <c r="AY19" s="462">
        <f>Balanza!D357</f>
        <v>0</v>
      </c>
      <c r="AZ19" s="131"/>
    </row>
    <row r="20" spans="1:52" ht="15.75">
      <c r="A20" s="526"/>
      <c r="B20" s="531" t="s">
        <v>7078</v>
      </c>
      <c r="C20" s="528"/>
      <c r="D20" s="528"/>
      <c r="E20" s="528"/>
      <c r="F20" s="528"/>
      <c r="G20" s="528"/>
      <c r="H20" s="528"/>
      <c r="I20" s="528"/>
      <c r="J20" s="528"/>
      <c r="K20" s="528"/>
      <c r="L20" s="528"/>
      <c r="M20" s="528"/>
      <c r="N20" s="528"/>
      <c r="O20" s="528"/>
      <c r="P20" s="528"/>
      <c r="Q20" s="528"/>
      <c r="R20" s="528"/>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9"/>
      <c r="AX20" s="462">
        <f>Balanza!H362</f>
        <v>0</v>
      </c>
      <c r="AY20" s="462">
        <f>Balanza!D362</f>
        <v>0</v>
      </c>
      <c r="AZ20" s="144"/>
    </row>
    <row r="21" spans="1:52" ht="15.75" customHeight="1">
      <c r="A21" s="526"/>
      <c r="B21" s="531" t="s">
        <v>7079</v>
      </c>
      <c r="C21" s="528"/>
      <c r="D21" s="528"/>
      <c r="E21" s="528"/>
      <c r="F21" s="528"/>
      <c r="G21" s="528"/>
      <c r="H21" s="528"/>
      <c r="I21" s="528"/>
      <c r="J21" s="528"/>
      <c r="K21" s="528"/>
      <c r="L21" s="528"/>
      <c r="M21" s="528"/>
      <c r="N21" s="528"/>
      <c r="O21" s="528"/>
      <c r="P21" s="528"/>
      <c r="Q21" s="528"/>
      <c r="R21" s="528"/>
      <c r="S21" s="528"/>
      <c r="T21" s="528"/>
      <c r="U21" s="528"/>
      <c r="V21" s="528"/>
      <c r="W21" s="528"/>
      <c r="X21" s="528"/>
      <c r="Y21" s="528"/>
      <c r="Z21" s="528"/>
      <c r="AA21" s="528"/>
      <c r="AB21" s="528"/>
      <c r="AC21" s="528"/>
      <c r="AD21" s="528"/>
      <c r="AE21" s="528"/>
      <c r="AF21" s="528"/>
      <c r="AG21" s="528"/>
      <c r="AH21" s="528"/>
      <c r="AI21" s="528"/>
      <c r="AJ21" s="528"/>
      <c r="AK21" s="528"/>
      <c r="AL21" s="528"/>
      <c r="AM21" s="528"/>
      <c r="AN21" s="528"/>
      <c r="AO21" s="528"/>
      <c r="AP21" s="528"/>
      <c r="AQ21" s="528"/>
      <c r="AR21" s="528"/>
      <c r="AS21" s="528"/>
      <c r="AT21" s="528"/>
      <c r="AU21" s="528"/>
      <c r="AV21" s="528"/>
      <c r="AW21" s="529"/>
      <c r="AX21" s="462">
        <f>Balanza!H368</f>
        <v>0</v>
      </c>
      <c r="AY21" s="462">
        <f>Balanza!D368</f>
        <v>0</v>
      </c>
      <c r="AZ21" s="144"/>
    </row>
    <row r="22" spans="1:52" ht="15.75" customHeight="1">
      <c r="A22" s="526"/>
      <c r="B22" s="531" t="s">
        <v>7080</v>
      </c>
      <c r="C22" s="528"/>
      <c r="D22" s="528"/>
      <c r="E22" s="528"/>
      <c r="F22" s="528"/>
      <c r="G22" s="528"/>
      <c r="H22" s="528"/>
      <c r="I22" s="528"/>
      <c r="J22" s="528"/>
      <c r="K22" s="528"/>
      <c r="L22" s="528"/>
      <c r="M22" s="528"/>
      <c r="N22" s="528"/>
      <c r="O22" s="528"/>
      <c r="P22" s="528"/>
      <c r="Q22" s="528"/>
      <c r="R22" s="528"/>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528"/>
      <c r="AW22" s="529"/>
      <c r="AX22" s="462">
        <f>Balanza!H371</f>
        <v>0</v>
      </c>
      <c r="AY22" s="462">
        <f>Balanza!D371</f>
        <v>0</v>
      </c>
      <c r="AZ22" s="144"/>
    </row>
    <row r="23" spans="1:52" ht="15.75" customHeight="1">
      <c r="A23" s="526"/>
      <c r="B23" s="531" t="s">
        <v>7081</v>
      </c>
      <c r="C23" s="528"/>
      <c r="D23" s="528"/>
      <c r="E23" s="528"/>
      <c r="F23" s="528"/>
      <c r="G23" s="528"/>
      <c r="H23" s="528"/>
      <c r="I23" s="528"/>
      <c r="J23" s="528"/>
      <c r="K23" s="528"/>
      <c r="L23" s="528"/>
      <c r="M23" s="528"/>
      <c r="N23" s="528"/>
      <c r="O23" s="528"/>
      <c r="P23" s="528"/>
      <c r="Q23" s="528"/>
      <c r="R23" s="528"/>
      <c r="S23" s="528"/>
      <c r="T23" s="528"/>
      <c r="U23" s="528"/>
      <c r="V23" s="528"/>
      <c r="W23" s="528"/>
      <c r="X23" s="528"/>
      <c r="Y23" s="528"/>
      <c r="Z23" s="528"/>
      <c r="AA23" s="528"/>
      <c r="AB23" s="528"/>
      <c r="AC23" s="528"/>
      <c r="AD23" s="528"/>
      <c r="AE23" s="528"/>
      <c r="AF23" s="528"/>
      <c r="AG23" s="528"/>
      <c r="AH23" s="528"/>
      <c r="AI23" s="528"/>
      <c r="AJ23" s="528"/>
      <c r="AK23" s="528"/>
      <c r="AL23" s="528"/>
      <c r="AM23" s="528"/>
      <c r="AN23" s="528"/>
      <c r="AO23" s="528"/>
      <c r="AP23" s="528"/>
      <c r="AQ23" s="528"/>
      <c r="AR23" s="528"/>
      <c r="AS23" s="528"/>
      <c r="AT23" s="528"/>
      <c r="AU23" s="528"/>
      <c r="AV23" s="528"/>
      <c r="AW23" s="529"/>
      <c r="AX23" s="462">
        <f>Balanza!H374</f>
        <v>0</v>
      </c>
      <c r="AY23" s="462">
        <f>Balanza!D374</f>
        <v>0</v>
      </c>
      <c r="AZ23" s="144"/>
    </row>
    <row r="24" spans="1:52" ht="15.75" customHeight="1">
      <c r="A24" s="533"/>
      <c r="B24" s="901" t="s">
        <v>7082</v>
      </c>
      <c r="C24" s="736"/>
      <c r="D24" s="736"/>
      <c r="E24" s="736"/>
      <c r="F24" s="736"/>
      <c r="G24" s="736"/>
      <c r="H24" s="736"/>
      <c r="I24" s="736"/>
      <c r="J24" s="736"/>
      <c r="K24" s="736"/>
      <c r="L24" s="736"/>
      <c r="M24" s="736"/>
      <c r="N24" s="736"/>
      <c r="O24" s="736"/>
      <c r="P24" s="736"/>
      <c r="Q24" s="736"/>
      <c r="R24" s="736"/>
      <c r="S24" s="736"/>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c r="AT24" s="736"/>
      <c r="AU24" s="736"/>
      <c r="AV24" s="736"/>
      <c r="AW24" s="737"/>
      <c r="AX24" s="463">
        <f t="shared" ref="AX24:AY24" si="3">AX7+AX15+AX18</f>
        <v>9553280696.3800011</v>
      </c>
      <c r="AY24" s="463">
        <f t="shared" si="3"/>
        <v>11615920132.900002</v>
      </c>
      <c r="AZ24" s="131"/>
    </row>
    <row r="25" spans="1:52" ht="15.75" customHeight="1">
      <c r="A25" s="526"/>
      <c r="B25" s="532" t="s">
        <v>1240</v>
      </c>
      <c r="C25" s="528"/>
      <c r="D25" s="528"/>
      <c r="E25" s="528"/>
      <c r="F25" s="528"/>
      <c r="G25" s="528"/>
      <c r="H25" s="528"/>
      <c r="I25" s="528"/>
      <c r="J25" s="528"/>
      <c r="K25" s="528"/>
      <c r="L25" s="528"/>
      <c r="M25" s="528"/>
      <c r="N25" s="528"/>
      <c r="O25" s="528"/>
      <c r="P25" s="528"/>
      <c r="Q25" s="528"/>
      <c r="R25" s="528"/>
      <c r="S25" s="528"/>
      <c r="T25" s="528"/>
      <c r="U25" s="528"/>
      <c r="V25" s="528"/>
      <c r="W25" s="528"/>
      <c r="X25" s="528"/>
      <c r="Y25" s="528"/>
      <c r="Z25" s="528"/>
      <c r="AA25" s="528"/>
      <c r="AB25" s="528"/>
      <c r="AC25" s="528"/>
      <c r="AD25" s="528"/>
      <c r="AE25" s="528"/>
      <c r="AF25" s="528"/>
      <c r="AG25" s="528"/>
      <c r="AH25" s="528"/>
      <c r="AI25" s="528"/>
      <c r="AJ25" s="528"/>
      <c r="AK25" s="528"/>
      <c r="AL25" s="528"/>
      <c r="AM25" s="528"/>
      <c r="AN25" s="528"/>
      <c r="AO25" s="528"/>
      <c r="AP25" s="528"/>
      <c r="AQ25" s="528"/>
      <c r="AR25" s="528"/>
      <c r="AS25" s="528"/>
      <c r="AT25" s="528"/>
      <c r="AU25" s="528"/>
      <c r="AV25" s="528"/>
      <c r="AW25" s="529"/>
      <c r="AX25" s="534"/>
      <c r="AY25" s="462"/>
      <c r="AZ25" s="131"/>
    </row>
    <row r="26" spans="1:52" ht="15.75" customHeight="1">
      <c r="A26" s="526"/>
      <c r="B26" s="532" t="s">
        <v>7083</v>
      </c>
      <c r="C26" s="528"/>
      <c r="D26" s="528"/>
      <c r="E26" s="528"/>
      <c r="F26" s="528"/>
      <c r="G26" s="528"/>
      <c r="H26" s="528"/>
      <c r="I26" s="528"/>
      <c r="J26" s="528"/>
      <c r="K26" s="528"/>
      <c r="L26" s="528"/>
      <c r="M26" s="528"/>
      <c r="N26" s="528"/>
      <c r="O26" s="528"/>
      <c r="P26" s="528"/>
      <c r="Q26" s="528"/>
      <c r="R26" s="528"/>
      <c r="S26" s="528"/>
      <c r="T26" s="528"/>
      <c r="U26" s="528"/>
      <c r="V26" s="528"/>
      <c r="W26" s="528"/>
      <c r="X26" s="528"/>
      <c r="Y26" s="528"/>
      <c r="Z26" s="528"/>
      <c r="AA26" s="528"/>
      <c r="AB26" s="528"/>
      <c r="AC26" s="528"/>
      <c r="AD26" s="528"/>
      <c r="AE26" s="528"/>
      <c r="AF26" s="528"/>
      <c r="AG26" s="528"/>
      <c r="AH26" s="528"/>
      <c r="AI26" s="528"/>
      <c r="AJ26" s="528"/>
      <c r="AK26" s="528"/>
      <c r="AL26" s="528"/>
      <c r="AM26" s="528"/>
      <c r="AN26" s="528"/>
      <c r="AO26" s="528"/>
      <c r="AP26" s="528"/>
      <c r="AQ26" s="528"/>
      <c r="AR26" s="528"/>
      <c r="AS26" s="528"/>
      <c r="AT26" s="528"/>
      <c r="AU26" s="528"/>
      <c r="AV26" s="528"/>
      <c r="AW26" s="529"/>
      <c r="AX26" s="463">
        <f t="shared" ref="AX26:AY26" si="4">AX27+AX28+AX29</f>
        <v>4392813370.1999998</v>
      </c>
      <c r="AY26" s="463">
        <f t="shared" si="4"/>
        <v>8058102873.3800001</v>
      </c>
      <c r="AZ26" s="131"/>
    </row>
    <row r="27" spans="1:52" ht="15.75" customHeight="1">
      <c r="A27" s="526"/>
      <c r="B27" s="531" t="s">
        <v>7084</v>
      </c>
      <c r="C27" s="528"/>
      <c r="D27" s="528"/>
      <c r="E27" s="528"/>
      <c r="F27" s="528"/>
      <c r="G27" s="528"/>
      <c r="H27" s="528"/>
      <c r="I27" s="528"/>
      <c r="J27" s="528"/>
      <c r="K27" s="528"/>
      <c r="L27" s="528"/>
      <c r="M27" s="528"/>
      <c r="N27" s="528"/>
      <c r="O27" s="528"/>
      <c r="P27" s="528"/>
      <c r="Q27" s="528"/>
      <c r="R27" s="528"/>
      <c r="S27" s="528"/>
      <c r="T27" s="528"/>
      <c r="U27" s="528"/>
      <c r="V27" s="528"/>
      <c r="W27" s="528"/>
      <c r="X27" s="528"/>
      <c r="Y27" s="528"/>
      <c r="Z27" s="528"/>
      <c r="AA27" s="528"/>
      <c r="AB27" s="528"/>
      <c r="AC27" s="528"/>
      <c r="AD27" s="528"/>
      <c r="AE27" s="528"/>
      <c r="AF27" s="528"/>
      <c r="AG27" s="528"/>
      <c r="AH27" s="528"/>
      <c r="AI27" s="528"/>
      <c r="AJ27" s="528"/>
      <c r="AK27" s="528"/>
      <c r="AL27" s="528"/>
      <c r="AM27" s="528"/>
      <c r="AN27" s="528"/>
      <c r="AO27" s="528"/>
      <c r="AP27" s="528"/>
      <c r="AQ27" s="528"/>
      <c r="AR27" s="528"/>
      <c r="AS27" s="528"/>
      <c r="AT27" s="528"/>
      <c r="AU27" s="528"/>
      <c r="AV27" s="528"/>
      <c r="AW27" s="529"/>
      <c r="AX27" s="462">
        <f>Balanza!G392</f>
        <v>3091536424.6700001</v>
      </c>
      <c r="AY27" s="462">
        <f>Balanza!C392</f>
        <v>5040341198.4499998</v>
      </c>
      <c r="AZ27" s="131"/>
    </row>
    <row r="28" spans="1:52" ht="15.75" customHeight="1">
      <c r="A28" s="526"/>
      <c r="B28" s="531" t="s">
        <v>7085</v>
      </c>
      <c r="C28" s="528"/>
      <c r="D28" s="528"/>
      <c r="E28" s="528"/>
      <c r="F28" s="528"/>
      <c r="G28" s="528"/>
      <c r="H28" s="528"/>
      <c r="I28" s="528"/>
      <c r="J28" s="528"/>
      <c r="K28" s="528"/>
      <c r="L28" s="528"/>
      <c r="M28" s="528"/>
      <c r="N28" s="528"/>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9"/>
      <c r="AX28" s="462">
        <f>Balanza!G427</f>
        <v>193415611.82999998</v>
      </c>
      <c r="AY28" s="462">
        <f>Balanza!C427</f>
        <v>509437798.33999997</v>
      </c>
      <c r="AZ28" s="131"/>
    </row>
    <row r="29" spans="1:52" ht="15.75" customHeight="1">
      <c r="A29" s="526"/>
      <c r="B29" s="531" t="s">
        <v>7086</v>
      </c>
      <c r="C29" s="528"/>
      <c r="D29" s="528"/>
      <c r="E29" s="528"/>
      <c r="F29" s="528"/>
      <c r="G29" s="528"/>
      <c r="H29" s="528"/>
      <c r="I29" s="528"/>
      <c r="J29" s="528"/>
      <c r="K29" s="528"/>
      <c r="L29" s="528"/>
      <c r="M29" s="528"/>
      <c r="N29" s="528"/>
      <c r="O29" s="528"/>
      <c r="P29" s="528"/>
      <c r="Q29" s="528"/>
      <c r="R29" s="528"/>
      <c r="S29" s="528"/>
      <c r="T29" s="528"/>
      <c r="U29" s="528"/>
      <c r="V29" s="528"/>
      <c r="W29" s="528"/>
      <c r="X29" s="528"/>
      <c r="Y29" s="528"/>
      <c r="Z29" s="528"/>
      <c r="AA29" s="528"/>
      <c r="AB29" s="528"/>
      <c r="AC29" s="528"/>
      <c r="AD29" s="528"/>
      <c r="AE29" s="528"/>
      <c r="AF29" s="528"/>
      <c r="AG29" s="528"/>
      <c r="AH29" s="528"/>
      <c r="AI29" s="528"/>
      <c r="AJ29" s="528"/>
      <c r="AK29" s="528"/>
      <c r="AL29" s="528"/>
      <c r="AM29" s="528"/>
      <c r="AN29" s="528"/>
      <c r="AO29" s="528"/>
      <c r="AP29" s="528"/>
      <c r="AQ29" s="528"/>
      <c r="AR29" s="528"/>
      <c r="AS29" s="528"/>
      <c r="AT29" s="528"/>
      <c r="AU29" s="528"/>
      <c r="AV29" s="528"/>
      <c r="AW29" s="529"/>
      <c r="AX29" s="462">
        <f>Balanza!G492</f>
        <v>1107861333.6999998</v>
      </c>
      <c r="AY29" s="462">
        <f>Balanza!C492</f>
        <v>2508323876.5900002</v>
      </c>
      <c r="AZ29" s="131"/>
    </row>
    <row r="30" spans="1:52" ht="15.75" customHeight="1">
      <c r="A30" s="526"/>
      <c r="B30" s="532" t="s">
        <v>7087</v>
      </c>
      <c r="C30" s="528"/>
      <c r="D30" s="528"/>
      <c r="E30" s="528"/>
      <c r="F30" s="528"/>
      <c r="G30" s="528"/>
      <c r="H30" s="528"/>
      <c r="I30" s="528"/>
      <c r="J30" s="528"/>
      <c r="K30" s="528"/>
      <c r="L30" s="528"/>
      <c r="M30" s="528"/>
      <c r="N30" s="528"/>
      <c r="O30" s="528"/>
      <c r="P30" s="528"/>
      <c r="Q30" s="528"/>
      <c r="R30" s="528"/>
      <c r="S30" s="528"/>
      <c r="T30" s="528"/>
      <c r="U30" s="528"/>
      <c r="V30" s="528"/>
      <c r="W30" s="528"/>
      <c r="X30" s="528"/>
      <c r="Y30" s="528"/>
      <c r="Z30" s="528"/>
      <c r="AA30" s="528"/>
      <c r="AB30" s="528"/>
      <c r="AC30" s="528"/>
      <c r="AD30" s="528"/>
      <c r="AE30" s="528"/>
      <c r="AF30" s="528"/>
      <c r="AG30" s="528"/>
      <c r="AH30" s="528"/>
      <c r="AI30" s="528"/>
      <c r="AJ30" s="528"/>
      <c r="AK30" s="528"/>
      <c r="AL30" s="528"/>
      <c r="AM30" s="528"/>
      <c r="AN30" s="528"/>
      <c r="AO30" s="528"/>
      <c r="AP30" s="528"/>
      <c r="AQ30" s="528"/>
      <c r="AR30" s="528"/>
      <c r="AS30" s="528"/>
      <c r="AT30" s="528"/>
      <c r="AU30" s="528"/>
      <c r="AV30" s="528"/>
      <c r="AW30" s="529"/>
      <c r="AX30" s="463">
        <f t="shared" ref="AX30:AY30" si="5">AX31+AX32+AX33+AX34+AX35+AX36+AX37+AX38+AX39</f>
        <v>897239155.44000006</v>
      </c>
      <c r="AY30" s="463">
        <f t="shared" si="5"/>
        <v>1294997565.05</v>
      </c>
      <c r="AZ30" s="131"/>
    </row>
    <row r="31" spans="1:52" ht="15.75" customHeight="1">
      <c r="A31" s="526"/>
      <c r="B31" s="531" t="s">
        <v>7088</v>
      </c>
      <c r="C31" s="528"/>
      <c r="D31" s="528"/>
      <c r="E31" s="528"/>
      <c r="F31" s="528"/>
      <c r="G31" s="528"/>
      <c r="H31" s="528"/>
      <c r="I31" s="528"/>
      <c r="J31" s="528"/>
      <c r="K31" s="528"/>
      <c r="L31" s="528"/>
      <c r="M31" s="528"/>
      <c r="N31" s="528"/>
      <c r="O31" s="528"/>
      <c r="P31" s="528"/>
      <c r="Q31" s="528"/>
      <c r="R31" s="528"/>
      <c r="S31" s="528"/>
      <c r="T31" s="528"/>
      <c r="U31" s="528"/>
      <c r="V31" s="528"/>
      <c r="W31" s="528"/>
      <c r="X31" s="528"/>
      <c r="Y31" s="528"/>
      <c r="Z31" s="528"/>
      <c r="AA31" s="528"/>
      <c r="AB31" s="528"/>
      <c r="AC31" s="528"/>
      <c r="AD31" s="528"/>
      <c r="AE31" s="528"/>
      <c r="AF31" s="528"/>
      <c r="AG31" s="528"/>
      <c r="AH31" s="528"/>
      <c r="AI31" s="528"/>
      <c r="AJ31" s="528"/>
      <c r="AK31" s="528"/>
      <c r="AL31" s="528"/>
      <c r="AM31" s="528"/>
      <c r="AN31" s="528"/>
      <c r="AO31" s="528"/>
      <c r="AP31" s="528"/>
      <c r="AQ31" s="528"/>
      <c r="AR31" s="528"/>
      <c r="AS31" s="528"/>
      <c r="AT31" s="528"/>
      <c r="AU31" s="528"/>
      <c r="AV31" s="528"/>
      <c r="AW31" s="529"/>
      <c r="AX31" s="462">
        <f>Balanza!G578</f>
        <v>0</v>
      </c>
      <c r="AY31" s="462">
        <f>Balanza!C578</f>
        <v>0</v>
      </c>
      <c r="AZ31" s="131"/>
    </row>
    <row r="32" spans="1:52" ht="15.75" customHeight="1">
      <c r="A32" s="526"/>
      <c r="B32" s="531" t="s">
        <v>7089</v>
      </c>
      <c r="C32" s="528"/>
      <c r="D32" s="528"/>
      <c r="E32" s="528"/>
      <c r="F32" s="528"/>
      <c r="G32" s="528"/>
      <c r="H32" s="528"/>
      <c r="I32" s="528"/>
      <c r="J32" s="528"/>
      <c r="K32" s="528"/>
      <c r="L32" s="528"/>
      <c r="M32" s="528"/>
      <c r="N32" s="528"/>
      <c r="O32" s="528"/>
      <c r="P32" s="528"/>
      <c r="Q32" s="528"/>
      <c r="R32" s="528"/>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8"/>
      <c r="AW32" s="529"/>
      <c r="AX32" s="462">
        <f>Balanza!G590</f>
        <v>617777968.36000001</v>
      </c>
      <c r="AY32" s="462">
        <f>Balanza!C590</f>
        <v>834323906.45000005</v>
      </c>
      <c r="AZ32" s="131"/>
    </row>
    <row r="33" spans="1:52" ht="15.75" customHeight="1">
      <c r="A33" s="526"/>
      <c r="B33" s="531" t="s">
        <v>7090</v>
      </c>
      <c r="C33" s="528"/>
      <c r="D33" s="528"/>
      <c r="E33" s="528"/>
      <c r="F33" s="528"/>
      <c r="G33" s="528"/>
      <c r="H33" s="528"/>
      <c r="I33" s="528"/>
      <c r="J33" s="528"/>
      <c r="K33" s="528"/>
      <c r="L33" s="528"/>
      <c r="M33" s="528"/>
      <c r="N33" s="528"/>
      <c r="O33" s="528"/>
      <c r="P33" s="528"/>
      <c r="Q33" s="528"/>
      <c r="R33" s="528"/>
      <c r="S33" s="528"/>
      <c r="T33" s="528"/>
      <c r="U33" s="528"/>
      <c r="V33" s="528"/>
      <c r="W33" s="528"/>
      <c r="X33" s="528"/>
      <c r="Y33" s="528"/>
      <c r="Z33" s="528"/>
      <c r="AA33" s="528"/>
      <c r="AB33" s="528"/>
      <c r="AC33" s="528"/>
      <c r="AD33" s="528"/>
      <c r="AE33" s="528"/>
      <c r="AF33" s="528"/>
      <c r="AG33" s="528"/>
      <c r="AH33" s="528"/>
      <c r="AI33" s="528"/>
      <c r="AJ33" s="528"/>
      <c r="AK33" s="528"/>
      <c r="AL33" s="528"/>
      <c r="AM33" s="528"/>
      <c r="AN33" s="528"/>
      <c r="AO33" s="528"/>
      <c r="AP33" s="528"/>
      <c r="AQ33" s="528"/>
      <c r="AR33" s="528"/>
      <c r="AS33" s="528"/>
      <c r="AT33" s="528"/>
      <c r="AU33" s="528"/>
      <c r="AV33" s="528"/>
      <c r="AW33" s="529"/>
      <c r="AX33" s="462">
        <f>Balanza!G598</f>
        <v>46970000</v>
      </c>
      <c r="AY33" s="462">
        <f>Balanza!C598</f>
        <v>64433385.399999999</v>
      </c>
      <c r="AZ33" s="131"/>
    </row>
    <row r="34" spans="1:52" ht="15.75" customHeight="1">
      <c r="A34" s="526"/>
      <c r="B34" s="531" t="s">
        <v>7091</v>
      </c>
      <c r="C34" s="528"/>
      <c r="D34" s="528"/>
      <c r="E34" s="528"/>
      <c r="F34" s="528"/>
      <c r="G34" s="528"/>
      <c r="H34" s="528"/>
      <c r="I34" s="528"/>
      <c r="J34" s="528"/>
      <c r="K34" s="528"/>
      <c r="L34" s="528"/>
      <c r="M34" s="528"/>
      <c r="N34" s="528"/>
      <c r="O34" s="528"/>
      <c r="P34" s="528"/>
      <c r="Q34" s="528"/>
      <c r="R34" s="528"/>
      <c r="S34" s="528"/>
      <c r="T34" s="528"/>
      <c r="U34" s="528"/>
      <c r="V34" s="528"/>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c r="AS34" s="528"/>
      <c r="AT34" s="528"/>
      <c r="AU34" s="528"/>
      <c r="AV34" s="528"/>
      <c r="AW34" s="529"/>
      <c r="AX34" s="462">
        <f>Balanza!G610</f>
        <v>88240674.239999995</v>
      </c>
      <c r="AY34" s="462">
        <f>Balanza!C610</f>
        <v>213227634.19</v>
      </c>
      <c r="AZ34" s="131"/>
    </row>
    <row r="35" spans="1:52" ht="15.75" customHeight="1">
      <c r="A35" s="526"/>
      <c r="B35" s="531" t="s">
        <v>7092</v>
      </c>
      <c r="C35" s="528"/>
      <c r="D35" s="528"/>
      <c r="E35" s="528"/>
      <c r="F35" s="528"/>
      <c r="G35" s="528"/>
      <c r="H35" s="528"/>
      <c r="I35" s="528"/>
      <c r="J35" s="528"/>
      <c r="K35" s="528"/>
      <c r="L35" s="52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28"/>
      <c r="AK35" s="528"/>
      <c r="AL35" s="528"/>
      <c r="AM35" s="528"/>
      <c r="AN35" s="528"/>
      <c r="AO35" s="528"/>
      <c r="AP35" s="528"/>
      <c r="AQ35" s="528"/>
      <c r="AR35" s="528"/>
      <c r="AS35" s="528"/>
      <c r="AT35" s="528"/>
      <c r="AU35" s="528"/>
      <c r="AV35" s="528"/>
      <c r="AW35" s="529"/>
      <c r="AX35" s="462">
        <f>Balanza!G623</f>
        <v>0</v>
      </c>
      <c r="AY35" s="462">
        <f>Balanza!C623</f>
        <v>0</v>
      </c>
      <c r="AZ35" s="131"/>
    </row>
    <row r="36" spans="1:52" ht="15.75" customHeight="1">
      <c r="A36" s="526"/>
      <c r="B36" s="531" t="s">
        <v>7093</v>
      </c>
      <c r="C36" s="528"/>
      <c r="D36" s="528"/>
      <c r="E36" s="528"/>
      <c r="F36" s="528"/>
      <c r="G36" s="528"/>
      <c r="H36" s="528"/>
      <c r="I36" s="528"/>
      <c r="J36" s="528"/>
      <c r="K36" s="528"/>
      <c r="L36" s="528"/>
      <c r="M36" s="528"/>
      <c r="N36" s="528"/>
      <c r="O36" s="528"/>
      <c r="P36" s="528"/>
      <c r="Q36" s="528"/>
      <c r="R36" s="528"/>
      <c r="S36" s="528"/>
      <c r="T36" s="528"/>
      <c r="U36" s="528"/>
      <c r="V36" s="528"/>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c r="AS36" s="528"/>
      <c r="AT36" s="528"/>
      <c r="AU36" s="528"/>
      <c r="AV36" s="528"/>
      <c r="AW36" s="529"/>
      <c r="AX36" s="462">
        <f>Balanza!G630</f>
        <v>144250512.84</v>
      </c>
      <c r="AY36" s="462">
        <f>Balanza!C630</f>
        <v>183012639.00999999</v>
      </c>
      <c r="AZ36" s="131"/>
    </row>
    <row r="37" spans="1:52" ht="15.75" customHeight="1">
      <c r="A37" s="526"/>
      <c r="B37" s="531" t="s">
        <v>7094</v>
      </c>
      <c r="C37" s="528"/>
      <c r="D37" s="528"/>
      <c r="E37" s="528"/>
      <c r="F37" s="528"/>
      <c r="G37" s="528"/>
      <c r="H37" s="528"/>
      <c r="I37" s="528"/>
      <c r="J37" s="528"/>
      <c r="K37" s="528"/>
      <c r="L37" s="528"/>
      <c r="M37" s="528"/>
      <c r="N37" s="528"/>
      <c r="O37" s="528"/>
      <c r="P37" s="528"/>
      <c r="Q37" s="528"/>
      <c r="R37" s="528"/>
      <c r="S37" s="528"/>
      <c r="T37" s="528"/>
      <c r="U37" s="528"/>
      <c r="V37" s="528"/>
      <c r="W37" s="528"/>
      <c r="X37" s="528"/>
      <c r="Y37" s="528"/>
      <c r="Z37" s="528"/>
      <c r="AA37" s="528"/>
      <c r="AB37" s="528"/>
      <c r="AC37" s="528"/>
      <c r="AD37" s="528"/>
      <c r="AE37" s="528"/>
      <c r="AF37" s="528"/>
      <c r="AG37" s="528"/>
      <c r="AH37" s="528"/>
      <c r="AI37" s="528"/>
      <c r="AJ37" s="528"/>
      <c r="AK37" s="528"/>
      <c r="AL37" s="528"/>
      <c r="AM37" s="528"/>
      <c r="AN37" s="528"/>
      <c r="AO37" s="528"/>
      <c r="AP37" s="528"/>
      <c r="AQ37" s="528"/>
      <c r="AR37" s="528"/>
      <c r="AS37" s="528"/>
      <c r="AT37" s="528"/>
      <c r="AU37" s="528"/>
      <c r="AV37" s="528"/>
      <c r="AW37" s="529"/>
      <c r="AX37" s="462">
        <f>Balanza!G640</f>
        <v>0</v>
      </c>
      <c r="AY37" s="462">
        <f>Balanza!C640</f>
        <v>0</v>
      </c>
      <c r="AZ37" s="131"/>
    </row>
    <row r="38" spans="1:52" ht="15.75" customHeight="1">
      <c r="A38" s="526"/>
      <c r="B38" s="531" t="s">
        <v>7095</v>
      </c>
      <c r="C38" s="528"/>
      <c r="D38" s="528"/>
      <c r="E38" s="528"/>
      <c r="F38" s="528"/>
      <c r="G38" s="528"/>
      <c r="H38" s="528"/>
      <c r="I38" s="528"/>
      <c r="J38" s="528"/>
      <c r="K38" s="528"/>
      <c r="L38" s="528"/>
      <c r="M38" s="528"/>
      <c r="N38" s="528"/>
      <c r="O38" s="528"/>
      <c r="P38" s="528"/>
      <c r="Q38" s="528"/>
      <c r="R38" s="528"/>
      <c r="S38" s="528"/>
      <c r="T38" s="528"/>
      <c r="U38" s="528"/>
      <c r="V38" s="528"/>
      <c r="W38" s="528"/>
      <c r="X38" s="528"/>
      <c r="Y38" s="528"/>
      <c r="Z38" s="528"/>
      <c r="AA38" s="528"/>
      <c r="AB38" s="528"/>
      <c r="AC38" s="528"/>
      <c r="AD38" s="528"/>
      <c r="AE38" s="528"/>
      <c r="AF38" s="528"/>
      <c r="AG38" s="528"/>
      <c r="AH38" s="528"/>
      <c r="AI38" s="528"/>
      <c r="AJ38" s="528"/>
      <c r="AK38" s="528"/>
      <c r="AL38" s="528"/>
      <c r="AM38" s="528"/>
      <c r="AN38" s="528"/>
      <c r="AO38" s="528"/>
      <c r="AP38" s="528"/>
      <c r="AQ38" s="528"/>
      <c r="AR38" s="528"/>
      <c r="AS38" s="528"/>
      <c r="AT38" s="528"/>
      <c r="AU38" s="528"/>
      <c r="AV38" s="528"/>
      <c r="AW38" s="529"/>
      <c r="AX38" s="462">
        <f>Balanza!G643</f>
        <v>0</v>
      </c>
      <c r="AY38" s="462">
        <f>Balanza!C643</f>
        <v>0</v>
      </c>
      <c r="AZ38" s="131"/>
    </row>
    <row r="39" spans="1:52" ht="15.75" customHeight="1">
      <c r="A39" s="526"/>
      <c r="B39" s="531" t="s">
        <v>7096</v>
      </c>
      <c r="C39" s="528"/>
      <c r="D39" s="528"/>
      <c r="E39" s="528"/>
      <c r="F39" s="528"/>
      <c r="G39" s="528"/>
      <c r="H39" s="528"/>
      <c r="I39" s="528"/>
      <c r="J39" s="528"/>
      <c r="K39" s="528"/>
      <c r="L39" s="528"/>
      <c r="M39" s="528"/>
      <c r="N39" s="528"/>
      <c r="O39" s="528"/>
      <c r="P39" s="528"/>
      <c r="Q39" s="528"/>
      <c r="R39" s="528"/>
      <c r="S39" s="528"/>
      <c r="T39" s="528"/>
      <c r="U39" s="528"/>
      <c r="V39" s="528"/>
      <c r="W39" s="528"/>
      <c r="X39" s="528"/>
      <c r="Y39" s="528"/>
      <c r="Z39" s="528"/>
      <c r="AA39" s="528"/>
      <c r="AB39" s="528"/>
      <c r="AC39" s="528"/>
      <c r="AD39" s="528"/>
      <c r="AE39" s="528"/>
      <c r="AF39" s="528"/>
      <c r="AG39" s="528"/>
      <c r="AH39" s="528"/>
      <c r="AI39" s="528"/>
      <c r="AJ39" s="528"/>
      <c r="AK39" s="528"/>
      <c r="AL39" s="528"/>
      <c r="AM39" s="528"/>
      <c r="AN39" s="528"/>
      <c r="AO39" s="528"/>
      <c r="AP39" s="528"/>
      <c r="AQ39" s="528"/>
      <c r="AR39" s="528"/>
      <c r="AS39" s="528"/>
      <c r="AT39" s="528"/>
      <c r="AU39" s="528"/>
      <c r="AV39" s="528"/>
      <c r="AW39" s="529"/>
      <c r="AX39" s="462">
        <f>Balanza!G654</f>
        <v>0</v>
      </c>
      <c r="AY39" s="462">
        <f>Balanza!C654</f>
        <v>0</v>
      </c>
      <c r="AZ39" s="131"/>
    </row>
    <row r="40" spans="1:52" ht="15.75" customHeight="1">
      <c r="A40" s="526"/>
      <c r="B40" s="532" t="s">
        <v>7097</v>
      </c>
      <c r="C40" s="528"/>
      <c r="D40" s="528"/>
      <c r="E40" s="528"/>
      <c r="F40" s="528"/>
      <c r="G40" s="528"/>
      <c r="H40" s="528"/>
      <c r="I40" s="528"/>
      <c r="J40" s="528"/>
      <c r="K40" s="528"/>
      <c r="L40" s="528"/>
      <c r="M40" s="528"/>
      <c r="N40" s="528"/>
      <c r="O40" s="528"/>
      <c r="P40" s="528"/>
      <c r="Q40" s="528"/>
      <c r="R40" s="528"/>
      <c r="S40" s="528"/>
      <c r="T40" s="528"/>
      <c r="U40" s="528"/>
      <c r="V40" s="528"/>
      <c r="W40" s="528"/>
      <c r="X40" s="528"/>
      <c r="Y40" s="528"/>
      <c r="Z40" s="528"/>
      <c r="AA40" s="528"/>
      <c r="AB40" s="528"/>
      <c r="AC40" s="528"/>
      <c r="AD40" s="528"/>
      <c r="AE40" s="528"/>
      <c r="AF40" s="528"/>
      <c r="AG40" s="528"/>
      <c r="AH40" s="528"/>
      <c r="AI40" s="528"/>
      <c r="AJ40" s="528"/>
      <c r="AK40" s="528"/>
      <c r="AL40" s="528"/>
      <c r="AM40" s="528"/>
      <c r="AN40" s="528"/>
      <c r="AO40" s="528"/>
      <c r="AP40" s="528"/>
      <c r="AQ40" s="528"/>
      <c r="AR40" s="528"/>
      <c r="AS40" s="528"/>
      <c r="AT40" s="528"/>
      <c r="AU40" s="528"/>
      <c r="AV40" s="528"/>
      <c r="AW40" s="529"/>
      <c r="AX40" s="463">
        <f t="shared" ref="AX40:AY40" si="6">AX41+AX42+AX43</f>
        <v>0</v>
      </c>
      <c r="AY40" s="463">
        <f t="shared" si="6"/>
        <v>0</v>
      </c>
      <c r="AZ40" s="131"/>
    </row>
    <row r="41" spans="1:52" ht="15.75" customHeight="1">
      <c r="A41" s="526"/>
      <c r="B41" s="531" t="s">
        <v>7098</v>
      </c>
      <c r="C41" s="528"/>
      <c r="D41" s="528"/>
      <c r="E41" s="528"/>
      <c r="F41" s="528"/>
      <c r="G41" s="528"/>
      <c r="H41" s="528"/>
      <c r="I41" s="528"/>
      <c r="J41" s="528"/>
      <c r="K41" s="528"/>
      <c r="L41" s="528"/>
      <c r="M41" s="528"/>
      <c r="N41" s="528"/>
      <c r="O41" s="528"/>
      <c r="P41" s="528"/>
      <c r="Q41" s="528"/>
      <c r="R41" s="528"/>
      <c r="S41" s="528"/>
      <c r="T41" s="528"/>
      <c r="U41" s="528"/>
      <c r="V41" s="528"/>
      <c r="W41" s="528"/>
      <c r="X41" s="528"/>
      <c r="Y41" s="528"/>
      <c r="Z41" s="528"/>
      <c r="AA41" s="528"/>
      <c r="AB41" s="528"/>
      <c r="AC41" s="528"/>
      <c r="AD41" s="528"/>
      <c r="AE41" s="528"/>
      <c r="AF41" s="528"/>
      <c r="AG41" s="528"/>
      <c r="AH41" s="528"/>
      <c r="AI41" s="528"/>
      <c r="AJ41" s="528"/>
      <c r="AK41" s="528"/>
      <c r="AL41" s="528"/>
      <c r="AM41" s="528"/>
      <c r="AN41" s="528"/>
      <c r="AO41" s="528"/>
      <c r="AP41" s="528"/>
      <c r="AQ41" s="528"/>
      <c r="AR41" s="528"/>
      <c r="AS41" s="528"/>
      <c r="AT41" s="528"/>
      <c r="AU41" s="528"/>
      <c r="AV41" s="528"/>
      <c r="AW41" s="529"/>
      <c r="AX41" s="462">
        <f>Balanza!G661</f>
        <v>0</v>
      </c>
      <c r="AY41" s="462">
        <f>Balanza!C661</f>
        <v>0</v>
      </c>
      <c r="AZ41" s="131"/>
    </row>
    <row r="42" spans="1:52" ht="15.75" customHeight="1">
      <c r="A42" s="526"/>
      <c r="B42" s="531" t="s">
        <v>6553</v>
      </c>
      <c r="C42" s="528"/>
      <c r="D42" s="528"/>
      <c r="E42" s="528"/>
      <c r="F42" s="528"/>
      <c r="G42" s="528"/>
      <c r="H42" s="528"/>
      <c r="I42" s="528"/>
      <c r="J42" s="528"/>
      <c r="K42" s="528"/>
      <c r="L42" s="528"/>
      <c r="M42" s="528"/>
      <c r="N42" s="528"/>
      <c r="O42" s="528"/>
      <c r="P42" s="528"/>
      <c r="Q42" s="528"/>
      <c r="R42" s="528"/>
      <c r="S42" s="528"/>
      <c r="T42" s="528"/>
      <c r="U42" s="528"/>
      <c r="V42" s="528"/>
      <c r="W42" s="528"/>
      <c r="X42" s="528"/>
      <c r="Y42" s="528"/>
      <c r="Z42" s="528"/>
      <c r="AA42" s="528"/>
      <c r="AB42" s="528"/>
      <c r="AC42" s="528"/>
      <c r="AD42" s="528"/>
      <c r="AE42" s="528"/>
      <c r="AF42" s="528"/>
      <c r="AG42" s="528"/>
      <c r="AH42" s="528"/>
      <c r="AI42" s="528"/>
      <c r="AJ42" s="528"/>
      <c r="AK42" s="528"/>
      <c r="AL42" s="528"/>
      <c r="AM42" s="528"/>
      <c r="AN42" s="528"/>
      <c r="AO42" s="528"/>
      <c r="AP42" s="528"/>
      <c r="AQ42" s="528"/>
      <c r="AR42" s="528"/>
      <c r="AS42" s="528"/>
      <c r="AT42" s="528"/>
      <c r="AU42" s="528"/>
      <c r="AV42" s="528"/>
      <c r="AW42" s="529"/>
      <c r="AX42" s="462">
        <f>Balanza!G670</f>
        <v>0</v>
      </c>
      <c r="AY42" s="462">
        <f>Balanza!C670</f>
        <v>0</v>
      </c>
      <c r="AZ42" s="131"/>
    </row>
    <row r="43" spans="1:52" ht="15.75" customHeight="1">
      <c r="A43" s="526"/>
      <c r="B43" s="531" t="s">
        <v>7099</v>
      </c>
      <c r="C43" s="528"/>
      <c r="D43" s="528"/>
      <c r="E43" s="528"/>
      <c r="F43" s="528"/>
      <c r="G43" s="528"/>
      <c r="H43" s="528"/>
      <c r="I43" s="528"/>
      <c r="J43" s="528"/>
      <c r="K43" s="528"/>
      <c r="L43" s="528"/>
      <c r="M43" s="528"/>
      <c r="N43" s="528"/>
      <c r="O43" s="528"/>
      <c r="P43" s="528"/>
      <c r="Q43" s="528"/>
      <c r="R43" s="528"/>
      <c r="S43" s="528"/>
      <c r="T43" s="528"/>
      <c r="U43" s="528"/>
      <c r="V43" s="528"/>
      <c r="W43" s="528"/>
      <c r="X43" s="528"/>
      <c r="Y43" s="528"/>
      <c r="Z43" s="528"/>
      <c r="AA43" s="528"/>
      <c r="AB43" s="528"/>
      <c r="AC43" s="528"/>
      <c r="AD43" s="528"/>
      <c r="AE43" s="528"/>
      <c r="AF43" s="528"/>
      <c r="AG43" s="528"/>
      <c r="AH43" s="528"/>
      <c r="AI43" s="528"/>
      <c r="AJ43" s="528"/>
      <c r="AK43" s="528"/>
      <c r="AL43" s="528"/>
      <c r="AM43" s="528"/>
      <c r="AN43" s="528"/>
      <c r="AO43" s="528"/>
      <c r="AP43" s="528"/>
      <c r="AQ43" s="528"/>
      <c r="AR43" s="528"/>
      <c r="AS43" s="528"/>
      <c r="AT43" s="528"/>
      <c r="AU43" s="528"/>
      <c r="AV43" s="528"/>
      <c r="AW43" s="529"/>
      <c r="AX43" s="462">
        <f>Balanza!G678</f>
        <v>0</v>
      </c>
      <c r="AY43" s="462">
        <f>Balanza!C678</f>
        <v>0</v>
      </c>
      <c r="AZ43" s="131"/>
    </row>
    <row r="44" spans="1:52" ht="15.75" customHeight="1">
      <c r="A44" s="526"/>
      <c r="B44" s="532" t="s">
        <v>7100</v>
      </c>
      <c r="C44" s="528"/>
      <c r="D44" s="528"/>
      <c r="E44" s="528"/>
      <c r="F44" s="528"/>
      <c r="G44" s="528"/>
      <c r="H44" s="528"/>
      <c r="I44" s="528"/>
      <c r="J44" s="528"/>
      <c r="K44" s="528"/>
      <c r="L44" s="528"/>
      <c r="M44" s="528"/>
      <c r="N44" s="528"/>
      <c r="O44" s="528"/>
      <c r="P44" s="528"/>
      <c r="Q44" s="528"/>
      <c r="R44" s="528"/>
      <c r="S44" s="528"/>
      <c r="T44" s="528"/>
      <c r="U44" s="528"/>
      <c r="V44" s="528"/>
      <c r="W44" s="528"/>
      <c r="X44" s="528"/>
      <c r="Y44" s="528"/>
      <c r="Z44" s="528"/>
      <c r="AA44" s="528"/>
      <c r="AB44" s="528"/>
      <c r="AC44" s="528"/>
      <c r="AD44" s="528"/>
      <c r="AE44" s="528"/>
      <c r="AF44" s="528"/>
      <c r="AG44" s="528"/>
      <c r="AH44" s="528"/>
      <c r="AI44" s="528"/>
      <c r="AJ44" s="528"/>
      <c r="AK44" s="528"/>
      <c r="AL44" s="528"/>
      <c r="AM44" s="528"/>
      <c r="AN44" s="528"/>
      <c r="AO44" s="528"/>
      <c r="AP44" s="528"/>
      <c r="AQ44" s="528"/>
      <c r="AR44" s="528"/>
      <c r="AS44" s="528"/>
      <c r="AT44" s="528"/>
      <c r="AU44" s="528"/>
      <c r="AV44" s="528"/>
      <c r="AW44" s="529"/>
      <c r="AX44" s="463">
        <f t="shared" ref="AX44:AY44" si="7">AX45+AX46+AX47+AX48+AX49</f>
        <v>83809213.810000002</v>
      </c>
      <c r="AY44" s="463">
        <f t="shared" si="7"/>
        <v>133623372.30999999</v>
      </c>
      <c r="AZ44" s="131"/>
    </row>
    <row r="45" spans="1:52" ht="15.75" customHeight="1">
      <c r="A45" s="526"/>
      <c r="B45" s="531" t="s">
        <v>7101</v>
      </c>
      <c r="C45" s="528"/>
      <c r="D45" s="528"/>
      <c r="E45" s="528"/>
      <c r="F45" s="528"/>
      <c r="G45" s="528"/>
      <c r="H45" s="528"/>
      <c r="I45" s="528"/>
      <c r="J45" s="528"/>
      <c r="K45" s="528"/>
      <c r="L45" s="528"/>
      <c r="M45" s="528"/>
      <c r="N45" s="528"/>
      <c r="O45" s="528"/>
      <c r="P45" s="528"/>
      <c r="Q45" s="528"/>
      <c r="R45" s="528"/>
      <c r="S45" s="528"/>
      <c r="T45" s="528"/>
      <c r="U45" s="528"/>
      <c r="V45" s="528"/>
      <c r="W45" s="528"/>
      <c r="X45" s="528"/>
      <c r="Y45" s="528"/>
      <c r="Z45" s="528"/>
      <c r="AA45" s="528"/>
      <c r="AB45" s="528"/>
      <c r="AC45" s="528"/>
      <c r="AD45" s="528"/>
      <c r="AE45" s="528"/>
      <c r="AF45" s="528"/>
      <c r="AG45" s="528"/>
      <c r="AH45" s="528"/>
      <c r="AI45" s="528"/>
      <c r="AJ45" s="528"/>
      <c r="AK45" s="528"/>
      <c r="AL45" s="528"/>
      <c r="AM45" s="528"/>
      <c r="AN45" s="528"/>
      <c r="AO45" s="528"/>
      <c r="AP45" s="528"/>
      <c r="AQ45" s="528"/>
      <c r="AR45" s="528"/>
      <c r="AS45" s="528"/>
      <c r="AT45" s="528"/>
      <c r="AU45" s="528"/>
      <c r="AV45" s="528"/>
      <c r="AW45" s="529"/>
      <c r="AX45" s="462">
        <f>Balanza!G685</f>
        <v>82876596.930000007</v>
      </c>
      <c r="AY45" s="462">
        <f>Balanza!C685</f>
        <v>131356360.81999999</v>
      </c>
      <c r="AZ45" s="131"/>
    </row>
    <row r="46" spans="1:52" ht="15.75" customHeight="1">
      <c r="A46" s="526"/>
      <c r="B46" s="531" t="s">
        <v>7102</v>
      </c>
      <c r="C46" s="528"/>
      <c r="D46" s="528"/>
      <c r="E46" s="528"/>
      <c r="F46" s="528"/>
      <c r="G46" s="528"/>
      <c r="H46" s="528"/>
      <c r="I46" s="528"/>
      <c r="J46" s="528"/>
      <c r="K46" s="528"/>
      <c r="L46" s="528"/>
      <c r="M46" s="528"/>
      <c r="N46" s="528"/>
      <c r="O46" s="528"/>
      <c r="P46" s="528"/>
      <c r="Q46" s="528"/>
      <c r="R46" s="528"/>
      <c r="S46" s="528"/>
      <c r="T46" s="528"/>
      <c r="U46" s="528"/>
      <c r="V46" s="528"/>
      <c r="W46" s="528"/>
      <c r="X46" s="528"/>
      <c r="Y46" s="528"/>
      <c r="Z46" s="528"/>
      <c r="AA46" s="528"/>
      <c r="AB46" s="528"/>
      <c r="AC46" s="528"/>
      <c r="AD46" s="528"/>
      <c r="AE46" s="528"/>
      <c r="AF46" s="528"/>
      <c r="AG46" s="528"/>
      <c r="AH46" s="528"/>
      <c r="AI46" s="528"/>
      <c r="AJ46" s="528"/>
      <c r="AK46" s="528"/>
      <c r="AL46" s="528"/>
      <c r="AM46" s="528"/>
      <c r="AN46" s="528"/>
      <c r="AO46" s="528"/>
      <c r="AP46" s="528"/>
      <c r="AQ46" s="528"/>
      <c r="AR46" s="528"/>
      <c r="AS46" s="528"/>
      <c r="AT46" s="528"/>
      <c r="AU46" s="528"/>
      <c r="AV46" s="528"/>
      <c r="AW46" s="529"/>
      <c r="AX46" s="462">
        <f>Balanza!G696</f>
        <v>0</v>
      </c>
      <c r="AY46" s="462">
        <f>Balanza!C696</f>
        <v>0</v>
      </c>
      <c r="AZ46" s="131"/>
    </row>
    <row r="47" spans="1:52" ht="15.75" customHeight="1">
      <c r="A47" s="526"/>
      <c r="B47" s="531" t="s">
        <v>7103</v>
      </c>
      <c r="C47" s="528"/>
      <c r="D47" s="528"/>
      <c r="E47" s="528"/>
      <c r="F47" s="528"/>
      <c r="G47" s="528"/>
      <c r="H47" s="528"/>
      <c r="I47" s="528"/>
      <c r="J47" s="528"/>
      <c r="K47" s="528"/>
      <c r="L47" s="528"/>
      <c r="M47" s="528"/>
      <c r="N47" s="528"/>
      <c r="O47" s="528"/>
      <c r="P47" s="528"/>
      <c r="Q47" s="528"/>
      <c r="R47" s="528"/>
      <c r="S47" s="528"/>
      <c r="T47" s="528"/>
      <c r="U47" s="528"/>
      <c r="V47" s="528"/>
      <c r="W47" s="528"/>
      <c r="X47" s="528"/>
      <c r="Y47" s="528"/>
      <c r="Z47" s="528"/>
      <c r="AA47" s="528"/>
      <c r="AB47" s="528"/>
      <c r="AC47" s="528"/>
      <c r="AD47" s="528"/>
      <c r="AE47" s="528"/>
      <c r="AF47" s="528"/>
      <c r="AG47" s="528"/>
      <c r="AH47" s="528"/>
      <c r="AI47" s="528"/>
      <c r="AJ47" s="528"/>
      <c r="AK47" s="528"/>
      <c r="AL47" s="528"/>
      <c r="AM47" s="528"/>
      <c r="AN47" s="528"/>
      <c r="AO47" s="528"/>
      <c r="AP47" s="528"/>
      <c r="AQ47" s="528"/>
      <c r="AR47" s="528"/>
      <c r="AS47" s="528"/>
      <c r="AT47" s="528"/>
      <c r="AU47" s="528"/>
      <c r="AV47" s="528"/>
      <c r="AW47" s="529"/>
      <c r="AX47" s="462">
        <f>Balanza!G701</f>
        <v>932616.88</v>
      </c>
      <c r="AY47" s="462">
        <f>Balanza!C701</f>
        <v>2267011.4900000002</v>
      </c>
      <c r="AZ47" s="131"/>
    </row>
    <row r="48" spans="1:52" ht="15.75" customHeight="1">
      <c r="A48" s="526"/>
      <c r="B48" s="531" t="s">
        <v>7104</v>
      </c>
      <c r="C48" s="528"/>
      <c r="D48" s="528"/>
      <c r="E48" s="528"/>
      <c r="F48" s="528"/>
      <c r="G48" s="528"/>
      <c r="H48" s="528"/>
      <c r="I48" s="528"/>
      <c r="J48" s="528"/>
      <c r="K48" s="528"/>
      <c r="L48" s="528"/>
      <c r="M48" s="528"/>
      <c r="N48" s="528"/>
      <c r="O48" s="528"/>
      <c r="P48" s="528"/>
      <c r="Q48" s="528"/>
      <c r="R48" s="528"/>
      <c r="S48" s="528"/>
      <c r="T48" s="528"/>
      <c r="U48" s="528"/>
      <c r="V48" s="528"/>
      <c r="W48" s="528"/>
      <c r="X48" s="528"/>
      <c r="Y48" s="528"/>
      <c r="Z48" s="528"/>
      <c r="AA48" s="528"/>
      <c r="AB48" s="528"/>
      <c r="AC48" s="528"/>
      <c r="AD48" s="528"/>
      <c r="AE48" s="528"/>
      <c r="AF48" s="528"/>
      <c r="AG48" s="528"/>
      <c r="AH48" s="528"/>
      <c r="AI48" s="528"/>
      <c r="AJ48" s="528"/>
      <c r="AK48" s="528"/>
      <c r="AL48" s="528"/>
      <c r="AM48" s="528"/>
      <c r="AN48" s="528"/>
      <c r="AO48" s="528"/>
      <c r="AP48" s="528"/>
      <c r="AQ48" s="528"/>
      <c r="AR48" s="528"/>
      <c r="AS48" s="528"/>
      <c r="AT48" s="528"/>
      <c r="AU48" s="528"/>
      <c r="AV48" s="528"/>
      <c r="AW48" s="529"/>
      <c r="AX48" s="462">
        <f>Balanza!G706</f>
        <v>0</v>
      </c>
      <c r="AY48" s="462">
        <f>Balanza!C706</f>
        <v>0</v>
      </c>
      <c r="AZ48" s="131"/>
    </row>
    <row r="49" spans="1:52" ht="15.75" customHeight="1">
      <c r="A49" s="526"/>
      <c r="B49" s="531" t="s">
        <v>7105</v>
      </c>
      <c r="C49" s="528"/>
      <c r="D49" s="528"/>
      <c r="E49" s="528"/>
      <c r="F49" s="528"/>
      <c r="G49" s="528"/>
      <c r="H49" s="528"/>
      <c r="I49" s="528"/>
      <c r="J49" s="528"/>
      <c r="K49" s="528"/>
      <c r="L49" s="528"/>
      <c r="M49" s="528"/>
      <c r="N49" s="528"/>
      <c r="O49" s="528"/>
      <c r="P49" s="528"/>
      <c r="Q49" s="528"/>
      <c r="R49" s="528"/>
      <c r="S49" s="528"/>
      <c r="T49" s="528"/>
      <c r="U49" s="528"/>
      <c r="V49" s="528"/>
      <c r="W49" s="528"/>
      <c r="X49" s="528"/>
      <c r="Y49" s="528"/>
      <c r="Z49" s="528"/>
      <c r="AA49" s="528"/>
      <c r="AB49" s="528"/>
      <c r="AC49" s="528"/>
      <c r="AD49" s="528"/>
      <c r="AE49" s="528"/>
      <c r="AF49" s="528"/>
      <c r="AG49" s="528"/>
      <c r="AH49" s="528"/>
      <c r="AI49" s="528"/>
      <c r="AJ49" s="528"/>
      <c r="AK49" s="528"/>
      <c r="AL49" s="528"/>
      <c r="AM49" s="528"/>
      <c r="AN49" s="528"/>
      <c r="AO49" s="528"/>
      <c r="AP49" s="528"/>
      <c r="AQ49" s="528"/>
      <c r="AR49" s="528"/>
      <c r="AS49" s="528"/>
      <c r="AT49" s="528"/>
      <c r="AU49" s="528"/>
      <c r="AV49" s="528"/>
      <c r="AW49" s="529"/>
      <c r="AX49" s="462">
        <f>Balanza!G709</f>
        <v>0</v>
      </c>
      <c r="AY49" s="462">
        <f>Balanza!C709</f>
        <v>0</v>
      </c>
      <c r="AZ49" s="131"/>
    </row>
    <row r="50" spans="1:52" ht="15.75" customHeight="1">
      <c r="A50" s="526"/>
      <c r="B50" s="532" t="s">
        <v>7106</v>
      </c>
      <c r="C50" s="528"/>
      <c r="D50" s="528"/>
      <c r="E50" s="528"/>
      <c r="F50" s="528"/>
      <c r="G50" s="528"/>
      <c r="H50" s="528"/>
      <c r="I50" s="528"/>
      <c r="J50" s="528"/>
      <c r="K50" s="528"/>
      <c r="L50" s="528"/>
      <c r="M50" s="528"/>
      <c r="N50" s="528"/>
      <c r="O50" s="528"/>
      <c r="P50" s="528"/>
      <c r="Q50" s="528"/>
      <c r="R50" s="528"/>
      <c r="S50" s="528"/>
      <c r="T50" s="528"/>
      <c r="U50" s="528"/>
      <c r="V50" s="528"/>
      <c r="W50" s="528"/>
      <c r="X50" s="528"/>
      <c r="Y50" s="528"/>
      <c r="Z50" s="528"/>
      <c r="AA50" s="528"/>
      <c r="AB50" s="528"/>
      <c r="AC50" s="528"/>
      <c r="AD50" s="528"/>
      <c r="AE50" s="528"/>
      <c r="AF50" s="528"/>
      <c r="AG50" s="528"/>
      <c r="AH50" s="528"/>
      <c r="AI50" s="528"/>
      <c r="AJ50" s="528"/>
      <c r="AK50" s="528"/>
      <c r="AL50" s="528"/>
      <c r="AM50" s="528"/>
      <c r="AN50" s="528"/>
      <c r="AO50" s="528"/>
      <c r="AP50" s="528"/>
      <c r="AQ50" s="528"/>
      <c r="AR50" s="528"/>
      <c r="AS50" s="528"/>
      <c r="AT50" s="528"/>
      <c r="AU50" s="528"/>
      <c r="AV50" s="528"/>
      <c r="AW50" s="529"/>
      <c r="AX50" s="463">
        <f t="shared" ref="AX50:AY50" si="8">AX51+AX52+AX53+AX54</f>
        <v>3949.96</v>
      </c>
      <c r="AY50" s="463">
        <f t="shared" si="8"/>
        <v>8046358.9199999999</v>
      </c>
      <c r="AZ50" s="131"/>
    </row>
    <row r="51" spans="1:52" ht="15.75" customHeight="1">
      <c r="A51" s="526"/>
      <c r="B51" s="531" t="s">
        <v>7107</v>
      </c>
      <c r="C51" s="528"/>
      <c r="D51" s="528"/>
      <c r="E51" s="528"/>
      <c r="F51" s="528"/>
      <c r="G51" s="528"/>
      <c r="H51" s="528"/>
      <c r="I51" s="528"/>
      <c r="J51" s="528"/>
      <c r="K51" s="528"/>
      <c r="L51" s="528"/>
      <c r="M51" s="528"/>
      <c r="N51" s="528"/>
      <c r="O51" s="528"/>
      <c r="P51" s="528"/>
      <c r="Q51" s="528"/>
      <c r="R51" s="528"/>
      <c r="S51" s="528"/>
      <c r="T51" s="528"/>
      <c r="U51" s="528"/>
      <c r="V51" s="528"/>
      <c r="W51" s="528"/>
      <c r="X51" s="528"/>
      <c r="Y51" s="528"/>
      <c r="Z51" s="528"/>
      <c r="AA51" s="528"/>
      <c r="AB51" s="528"/>
      <c r="AC51" s="528"/>
      <c r="AD51" s="528"/>
      <c r="AE51" s="528"/>
      <c r="AF51" s="528"/>
      <c r="AG51" s="528"/>
      <c r="AH51" s="528"/>
      <c r="AI51" s="528"/>
      <c r="AJ51" s="528"/>
      <c r="AK51" s="528"/>
      <c r="AL51" s="528"/>
      <c r="AM51" s="528"/>
      <c r="AN51" s="528"/>
      <c r="AO51" s="528"/>
      <c r="AP51" s="528"/>
      <c r="AQ51" s="528"/>
      <c r="AR51" s="528"/>
      <c r="AS51" s="528"/>
      <c r="AT51" s="528"/>
      <c r="AU51" s="528"/>
      <c r="AV51" s="528"/>
      <c r="AW51" s="529"/>
      <c r="AX51" s="462">
        <f>Balanza!G715</f>
        <v>0</v>
      </c>
      <c r="AY51" s="462">
        <f>Balanza!C715</f>
        <v>1833836.38</v>
      </c>
      <c r="AZ51" s="131"/>
    </row>
    <row r="52" spans="1:52" ht="15.75" customHeight="1">
      <c r="A52" s="526"/>
      <c r="B52" s="531" t="s">
        <v>7108</v>
      </c>
      <c r="C52" s="528"/>
      <c r="D52" s="528"/>
      <c r="E52" s="528"/>
      <c r="F52" s="528"/>
      <c r="G52" s="528"/>
      <c r="H52" s="528"/>
      <c r="I52" s="528"/>
      <c r="J52" s="528"/>
      <c r="K52" s="528"/>
      <c r="L52" s="528"/>
      <c r="M52" s="528"/>
      <c r="N52" s="528"/>
      <c r="O52" s="528"/>
      <c r="P52" s="528"/>
      <c r="Q52" s="528"/>
      <c r="R52" s="528"/>
      <c r="S52" s="528"/>
      <c r="T52" s="528"/>
      <c r="U52" s="528"/>
      <c r="V52" s="528"/>
      <c r="W52" s="528"/>
      <c r="X52" s="528"/>
      <c r="Y52" s="528"/>
      <c r="Z52" s="528"/>
      <c r="AA52" s="528"/>
      <c r="AB52" s="528"/>
      <c r="AC52" s="528"/>
      <c r="AD52" s="528"/>
      <c r="AE52" s="528"/>
      <c r="AF52" s="528"/>
      <c r="AG52" s="528"/>
      <c r="AH52" s="528"/>
      <c r="AI52" s="528"/>
      <c r="AJ52" s="528"/>
      <c r="AK52" s="528"/>
      <c r="AL52" s="528"/>
      <c r="AM52" s="528"/>
      <c r="AN52" s="528"/>
      <c r="AO52" s="528"/>
      <c r="AP52" s="528"/>
      <c r="AQ52" s="528"/>
      <c r="AR52" s="528"/>
      <c r="AS52" s="528"/>
      <c r="AT52" s="528"/>
      <c r="AU52" s="528"/>
      <c r="AV52" s="528"/>
      <c r="AW52" s="529"/>
      <c r="AX52" s="462">
        <f>Balanza!G724</f>
        <v>0</v>
      </c>
      <c r="AY52" s="462">
        <f>Balanza!C724</f>
        <v>0</v>
      </c>
      <c r="AZ52" s="131"/>
    </row>
    <row r="53" spans="1:52" ht="15.75" customHeight="1">
      <c r="A53" s="526"/>
      <c r="B53" s="531" t="s">
        <v>7109</v>
      </c>
      <c r="C53" s="528"/>
      <c r="D53" s="528"/>
      <c r="E53" s="528"/>
      <c r="F53" s="528"/>
      <c r="G53" s="528"/>
      <c r="H53" s="528"/>
      <c r="I53" s="528"/>
      <c r="J53" s="528"/>
      <c r="K53" s="528"/>
      <c r="L53" s="528"/>
      <c r="M53" s="528"/>
      <c r="N53" s="528"/>
      <c r="O53" s="528"/>
      <c r="P53" s="528"/>
      <c r="Q53" s="528"/>
      <c r="R53" s="528"/>
      <c r="S53" s="528"/>
      <c r="T53" s="528"/>
      <c r="U53" s="528"/>
      <c r="V53" s="528"/>
      <c r="W53" s="528"/>
      <c r="X53" s="528"/>
      <c r="Y53" s="528"/>
      <c r="Z53" s="528"/>
      <c r="AA53" s="528"/>
      <c r="AB53" s="528"/>
      <c r="AC53" s="528"/>
      <c r="AD53" s="528"/>
      <c r="AE53" s="528"/>
      <c r="AF53" s="528"/>
      <c r="AG53" s="528"/>
      <c r="AH53" s="528"/>
      <c r="AI53" s="528"/>
      <c r="AJ53" s="528"/>
      <c r="AK53" s="528"/>
      <c r="AL53" s="528"/>
      <c r="AM53" s="528"/>
      <c r="AN53" s="528"/>
      <c r="AO53" s="528"/>
      <c r="AP53" s="528"/>
      <c r="AQ53" s="528"/>
      <c r="AR53" s="528"/>
      <c r="AS53" s="528"/>
      <c r="AT53" s="528"/>
      <c r="AU53" s="528"/>
      <c r="AV53" s="528"/>
      <c r="AW53" s="529"/>
      <c r="AX53" s="462">
        <f>Balanza!G727</f>
        <v>0</v>
      </c>
      <c r="AY53" s="462">
        <f>Balanza!C727</f>
        <v>0</v>
      </c>
      <c r="AZ53" s="131"/>
    </row>
    <row r="54" spans="1:52" ht="15.75" customHeight="1">
      <c r="A54" s="526"/>
      <c r="B54" s="531" t="s">
        <v>7110</v>
      </c>
      <c r="C54" s="528"/>
      <c r="D54" s="528"/>
      <c r="E54" s="528"/>
      <c r="F54" s="528"/>
      <c r="G54" s="528"/>
      <c r="H54" s="528"/>
      <c r="I54" s="528"/>
      <c r="J54" s="528"/>
      <c r="K54" s="528"/>
      <c r="L54" s="528"/>
      <c r="M54" s="528"/>
      <c r="N54" s="528"/>
      <c r="O54" s="528"/>
      <c r="P54" s="528"/>
      <c r="Q54" s="528"/>
      <c r="R54" s="528"/>
      <c r="S54" s="528"/>
      <c r="T54" s="528"/>
      <c r="U54" s="528"/>
      <c r="V54" s="528"/>
      <c r="W54" s="528"/>
      <c r="X54" s="528"/>
      <c r="Y54" s="528"/>
      <c r="Z54" s="528"/>
      <c r="AA54" s="528"/>
      <c r="AB54" s="528"/>
      <c r="AC54" s="528"/>
      <c r="AD54" s="528"/>
      <c r="AE54" s="528"/>
      <c r="AF54" s="528"/>
      <c r="AG54" s="528"/>
      <c r="AH54" s="528"/>
      <c r="AI54" s="528"/>
      <c r="AJ54" s="528"/>
      <c r="AK54" s="528"/>
      <c r="AL54" s="528"/>
      <c r="AM54" s="528"/>
      <c r="AN54" s="528"/>
      <c r="AO54" s="528"/>
      <c r="AP54" s="528"/>
      <c r="AQ54" s="528"/>
      <c r="AR54" s="528"/>
      <c r="AS54" s="528"/>
      <c r="AT54" s="528"/>
      <c r="AU54" s="528"/>
      <c r="AV54" s="528"/>
      <c r="AW54" s="529"/>
      <c r="AX54" s="462">
        <f>Balanza!G737</f>
        <v>3949.96</v>
      </c>
      <c r="AY54" s="462">
        <f>Balanza!C737</f>
        <v>6212522.54</v>
      </c>
      <c r="AZ54" s="131"/>
    </row>
    <row r="55" spans="1:52" ht="15.75" customHeight="1">
      <c r="A55" s="526"/>
      <c r="B55" s="532" t="s">
        <v>7111</v>
      </c>
      <c r="C55" s="528"/>
      <c r="D55" s="528"/>
      <c r="E55" s="528"/>
      <c r="F55" s="528"/>
      <c r="G55" s="528"/>
      <c r="H55" s="528"/>
      <c r="I55" s="528"/>
      <c r="J55" s="528"/>
      <c r="K55" s="528"/>
      <c r="L55" s="528"/>
      <c r="M55" s="528"/>
      <c r="N55" s="528"/>
      <c r="O55" s="528"/>
      <c r="P55" s="528"/>
      <c r="Q55" s="528"/>
      <c r="R55" s="528"/>
      <c r="S55" s="528"/>
      <c r="T55" s="528"/>
      <c r="U55" s="528"/>
      <c r="V55" s="528"/>
      <c r="W55" s="528"/>
      <c r="X55" s="528"/>
      <c r="Y55" s="528"/>
      <c r="Z55" s="528"/>
      <c r="AA55" s="528"/>
      <c r="AB55" s="528"/>
      <c r="AC55" s="528"/>
      <c r="AD55" s="528"/>
      <c r="AE55" s="528"/>
      <c r="AF55" s="528"/>
      <c r="AG55" s="528"/>
      <c r="AH55" s="528"/>
      <c r="AI55" s="528"/>
      <c r="AJ55" s="528"/>
      <c r="AK55" s="528"/>
      <c r="AL55" s="528"/>
      <c r="AM55" s="528"/>
      <c r="AN55" s="528"/>
      <c r="AO55" s="528"/>
      <c r="AP55" s="528"/>
      <c r="AQ55" s="528"/>
      <c r="AR55" s="528"/>
      <c r="AS55" s="528"/>
      <c r="AT55" s="528"/>
      <c r="AU55" s="528"/>
      <c r="AV55" s="528"/>
      <c r="AW55" s="529"/>
      <c r="AX55" s="463">
        <f t="shared" ref="AX55:AY55" si="9">AX56</f>
        <v>0</v>
      </c>
      <c r="AY55" s="463">
        <f t="shared" si="9"/>
        <v>0</v>
      </c>
      <c r="AZ55" s="131"/>
    </row>
    <row r="56" spans="1:52" ht="15.75" customHeight="1">
      <c r="A56" s="526"/>
      <c r="B56" s="531" t="s">
        <v>7112</v>
      </c>
      <c r="C56" s="528"/>
      <c r="D56" s="528"/>
      <c r="E56" s="528"/>
      <c r="F56" s="528"/>
      <c r="G56" s="528"/>
      <c r="H56" s="528"/>
      <c r="I56" s="528"/>
      <c r="J56" s="528"/>
      <c r="K56" s="528"/>
      <c r="L56" s="528"/>
      <c r="M56" s="528"/>
      <c r="N56" s="528"/>
      <c r="O56" s="528"/>
      <c r="P56" s="528"/>
      <c r="Q56" s="528"/>
      <c r="R56" s="528"/>
      <c r="S56" s="528"/>
      <c r="T56" s="528"/>
      <c r="U56" s="528"/>
      <c r="V56" s="528"/>
      <c r="W56" s="528"/>
      <c r="X56" s="528"/>
      <c r="Y56" s="528"/>
      <c r="Z56" s="528"/>
      <c r="AA56" s="528"/>
      <c r="AB56" s="528"/>
      <c r="AC56" s="528"/>
      <c r="AD56" s="528"/>
      <c r="AE56" s="528"/>
      <c r="AF56" s="528"/>
      <c r="AG56" s="528"/>
      <c r="AH56" s="528"/>
      <c r="AI56" s="528"/>
      <c r="AJ56" s="528"/>
      <c r="AK56" s="528"/>
      <c r="AL56" s="528"/>
      <c r="AM56" s="528"/>
      <c r="AN56" s="528"/>
      <c r="AO56" s="528"/>
      <c r="AP56" s="528"/>
      <c r="AQ56" s="528"/>
      <c r="AR56" s="528"/>
      <c r="AS56" s="528"/>
      <c r="AT56" s="528"/>
      <c r="AU56" s="528"/>
      <c r="AV56" s="528"/>
      <c r="AW56" s="529"/>
      <c r="AX56" s="462">
        <f>Balanza!G748</f>
        <v>0</v>
      </c>
      <c r="AY56" s="462">
        <f>Balanza!C748</f>
        <v>0</v>
      </c>
      <c r="AZ56" s="131"/>
    </row>
    <row r="57" spans="1:52" ht="16.5" customHeight="1">
      <c r="A57" s="119"/>
      <c r="B57" s="901" t="s">
        <v>7113</v>
      </c>
      <c r="C57" s="736"/>
      <c r="D57" s="736"/>
      <c r="E57" s="736"/>
      <c r="F57" s="736"/>
      <c r="G57" s="736"/>
      <c r="H57" s="736"/>
      <c r="I57" s="736"/>
      <c r="J57" s="736"/>
      <c r="K57" s="736"/>
      <c r="L57" s="736"/>
      <c r="M57" s="736"/>
      <c r="N57" s="736"/>
      <c r="O57" s="736"/>
      <c r="P57" s="736"/>
      <c r="Q57" s="736"/>
      <c r="R57" s="736"/>
      <c r="S57" s="736"/>
      <c r="T57" s="736"/>
      <c r="U57" s="736"/>
      <c r="V57" s="736"/>
      <c r="W57" s="736"/>
      <c r="X57" s="736"/>
      <c r="Y57" s="736"/>
      <c r="Z57" s="736"/>
      <c r="AA57" s="736"/>
      <c r="AB57" s="736"/>
      <c r="AC57" s="736"/>
      <c r="AD57" s="736"/>
      <c r="AE57" s="736"/>
      <c r="AF57" s="736"/>
      <c r="AG57" s="736"/>
      <c r="AH57" s="736"/>
      <c r="AI57" s="736"/>
      <c r="AJ57" s="736"/>
      <c r="AK57" s="736"/>
      <c r="AL57" s="736"/>
      <c r="AM57" s="736"/>
      <c r="AN57" s="736"/>
      <c r="AO57" s="736"/>
      <c r="AP57" s="736"/>
      <c r="AQ57" s="736"/>
      <c r="AR57" s="736"/>
      <c r="AS57" s="736"/>
      <c r="AT57" s="736"/>
      <c r="AU57" s="736"/>
      <c r="AV57" s="736"/>
      <c r="AW57" s="737"/>
      <c r="AX57" s="463">
        <f t="shared" ref="AX57:AY57" si="10">AX26+AX30+AX40+AX44+AX50+AX55</f>
        <v>5373865689.4099998</v>
      </c>
      <c r="AY57" s="463">
        <f t="shared" si="10"/>
        <v>9494770169.6599998</v>
      </c>
      <c r="AZ57" s="131"/>
    </row>
    <row r="58" spans="1:52" ht="16.5" customHeight="1">
      <c r="A58" s="535"/>
      <c r="B58" s="903" t="s">
        <v>7114</v>
      </c>
      <c r="C58" s="764"/>
      <c r="D58" s="764"/>
      <c r="E58" s="764"/>
      <c r="F58" s="764"/>
      <c r="G58" s="764"/>
      <c r="H58" s="764"/>
      <c r="I58" s="764"/>
      <c r="J58" s="764"/>
      <c r="K58" s="764"/>
      <c r="L58" s="764"/>
      <c r="M58" s="764"/>
      <c r="N58" s="764"/>
      <c r="O58" s="764"/>
      <c r="P58" s="764"/>
      <c r="Q58" s="764"/>
      <c r="R58" s="764"/>
      <c r="S58" s="764"/>
      <c r="T58" s="764"/>
      <c r="U58" s="764"/>
      <c r="V58" s="764"/>
      <c r="W58" s="764"/>
      <c r="X58" s="764"/>
      <c r="Y58" s="764"/>
      <c r="Z58" s="764"/>
      <c r="AA58" s="764"/>
      <c r="AB58" s="764"/>
      <c r="AC58" s="764"/>
      <c r="AD58" s="764"/>
      <c r="AE58" s="764"/>
      <c r="AF58" s="764"/>
      <c r="AG58" s="764"/>
      <c r="AH58" s="764"/>
      <c r="AI58" s="764"/>
      <c r="AJ58" s="764"/>
      <c r="AK58" s="764"/>
      <c r="AL58" s="764"/>
      <c r="AM58" s="764"/>
      <c r="AN58" s="764"/>
      <c r="AO58" s="764"/>
      <c r="AP58" s="764"/>
      <c r="AQ58" s="764"/>
      <c r="AR58" s="764"/>
      <c r="AS58" s="764"/>
      <c r="AT58" s="764"/>
      <c r="AU58" s="764"/>
      <c r="AV58" s="764"/>
      <c r="AW58" s="765"/>
      <c r="AX58" s="464">
        <f t="shared" ref="AX58:AY58" si="11">AX24-AX57</f>
        <v>4179415006.9700012</v>
      </c>
      <c r="AY58" s="464">
        <f t="shared" si="11"/>
        <v>2121149963.2400017</v>
      </c>
      <c r="AZ58" s="131"/>
    </row>
    <row r="59" spans="1:52" ht="15.75" customHeight="1">
      <c r="A59" s="131"/>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517"/>
      <c r="AZ59" s="131"/>
    </row>
    <row r="60" spans="1:52" ht="15.75" customHeight="1">
      <c r="A60" s="131"/>
      <c r="B60" s="308" t="s">
        <v>4422</v>
      </c>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517"/>
      <c r="AZ60" s="131"/>
    </row>
    <row r="61" spans="1:52" ht="15.75" customHeight="1">
      <c r="A61" s="131"/>
      <c r="B61" s="131"/>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517"/>
      <c r="AZ61" s="131"/>
    </row>
    <row r="62" spans="1:52" ht="15.75" customHeight="1">
      <c r="A62" s="131"/>
      <c r="B62" s="131"/>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517"/>
      <c r="AZ62" s="131"/>
    </row>
    <row r="63" spans="1:52" ht="15.75" customHeight="1">
      <c r="A63" s="131"/>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517"/>
      <c r="AZ63" s="131"/>
    </row>
    <row r="64" spans="1:52" ht="15.75" customHeight="1">
      <c r="A64" s="131"/>
      <c r="B64" s="131"/>
      <c r="C64" s="131"/>
      <c r="D64" s="131"/>
      <c r="E64" s="131"/>
      <c r="F64" s="131"/>
      <c r="G64" s="131"/>
      <c r="H64" s="131"/>
      <c r="I64" s="131"/>
      <c r="J64" s="131"/>
      <c r="K64" s="131"/>
      <c r="L64" s="131"/>
      <c r="M64" s="131"/>
      <c r="N64" s="131"/>
      <c r="O64" s="131"/>
      <c r="P64" s="899"/>
      <c r="Q64" s="793"/>
      <c r="R64" s="793"/>
      <c r="S64" s="793"/>
      <c r="T64" s="793"/>
      <c r="U64" s="793"/>
      <c r="V64" s="793"/>
      <c r="W64" s="793"/>
      <c r="X64" s="793"/>
      <c r="Y64" s="793"/>
      <c r="Z64" s="793"/>
      <c r="AA64" s="793"/>
      <c r="AB64" s="793"/>
      <c r="AC64" s="793"/>
      <c r="AD64" s="793"/>
      <c r="AE64" s="793"/>
      <c r="AF64" s="793"/>
      <c r="AG64" s="131"/>
      <c r="AH64" s="131"/>
      <c r="AI64" s="131"/>
      <c r="AJ64" s="131"/>
      <c r="AK64" s="131"/>
      <c r="AL64" s="131"/>
      <c r="AM64" s="131"/>
      <c r="AN64" s="131"/>
      <c r="AO64" s="131"/>
      <c r="AP64" s="131"/>
      <c r="AQ64" s="131"/>
      <c r="AR64" s="131"/>
      <c r="AS64" s="131"/>
      <c r="AT64" s="178"/>
      <c r="AU64" s="178"/>
      <c r="AV64" s="899" t="s">
        <v>1947</v>
      </c>
      <c r="AW64" s="793"/>
      <c r="AX64" s="793"/>
      <c r="AY64" s="793"/>
      <c r="AZ64" s="131"/>
    </row>
    <row r="65" spans="1:52" ht="15.75" customHeight="1">
      <c r="A65" s="131"/>
      <c r="B65" s="131"/>
      <c r="C65" s="131"/>
      <c r="D65" s="131"/>
      <c r="E65" s="131"/>
      <c r="F65" s="131"/>
      <c r="G65" s="131"/>
      <c r="H65" s="131"/>
      <c r="I65" s="131"/>
      <c r="J65" s="131"/>
      <c r="K65" s="131"/>
      <c r="L65" s="131"/>
      <c r="M65" s="131"/>
      <c r="N65" s="131"/>
      <c r="O65" s="131"/>
      <c r="P65" s="786" t="s">
        <v>4448</v>
      </c>
      <c r="Q65" s="787"/>
      <c r="R65" s="787"/>
      <c r="S65" s="787"/>
      <c r="T65" s="787"/>
      <c r="U65" s="787"/>
      <c r="V65" s="787"/>
      <c r="W65" s="787"/>
      <c r="X65" s="787"/>
      <c r="Y65" s="787"/>
      <c r="Z65" s="787"/>
      <c r="AA65" s="787"/>
      <c r="AB65" s="787"/>
      <c r="AC65" s="787"/>
      <c r="AD65" s="787"/>
      <c r="AE65" s="787"/>
      <c r="AF65" s="787"/>
      <c r="AG65" s="131"/>
      <c r="AH65" s="131"/>
      <c r="AI65" s="131"/>
      <c r="AJ65" s="131"/>
      <c r="AK65" s="131"/>
      <c r="AL65" s="131"/>
      <c r="AM65" s="131"/>
      <c r="AN65" s="131"/>
      <c r="AO65" s="131"/>
      <c r="AP65" s="131"/>
      <c r="AQ65" s="131"/>
      <c r="AR65" s="131"/>
      <c r="AS65" s="131"/>
      <c r="AT65" s="178"/>
      <c r="AU65" s="178"/>
      <c r="AV65" s="786" t="s">
        <v>4449</v>
      </c>
      <c r="AW65" s="787"/>
      <c r="AX65" s="787"/>
      <c r="AY65" s="787"/>
      <c r="AZ65" s="131"/>
    </row>
    <row r="66" spans="1:52" ht="15.75" customHeight="1">
      <c r="A66" s="131"/>
      <c r="B66" s="131"/>
      <c r="C66" s="131"/>
      <c r="D66" s="131"/>
      <c r="E66" s="131"/>
      <c r="F66" s="131"/>
      <c r="G66" s="131"/>
      <c r="H66" s="131"/>
      <c r="I66" s="131"/>
      <c r="J66" s="131"/>
      <c r="K66" s="131"/>
      <c r="L66" s="131"/>
      <c r="M66" s="131"/>
      <c r="N66" s="131"/>
      <c r="O66" s="131"/>
      <c r="P66" s="725"/>
      <c r="Q66" s="725"/>
      <c r="R66" s="725"/>
      <c r="S66" s="725"/>
      <c r="T66" s="725"/>
      <c r="U66" s="725"/>
      <c r="V66" s="725"/>
      <c r="W66" s="725"/>
      <c r="X66" s="725"/>
      <c r="Y66" s="725"/>
      <c r="Z66" s="725"/>
      <c r="AA66" s="725"/>
      <c r="AB66" s="725"/>
      <c r="AC66" s="725"/>
      <c r="AD66" s="725"/>
      <c r="AE66" s="725"/>
      <c r="AF66" s="725"/>
      <c r="AG66" s="131"/>
      <c r="AH66" s="131"/>
      <c r="AI66" s="131"/>
      <c r="AJ66" s="131"/>
      <c r="AK66" s="131"/>
      <c r="AL66" s="131"/>
      <c r="AM66" s="131"/>
      <c r="AN66" s="131"/>
      <c r="AO66" s="131"/>
      <c r="AP66" s="131"/>
      <c r="AQ66" s="131"/>
      <c r="AR66" s="131"/>
      <c r="AS66" s="131"/>
      <c r="AT66" s="178"/>
      <c r="AU66" s="178"/>
      <c r="AV66" s="725"/>
      <c r="AW66" s="725"/>
      <c r="AX66" s="725"/>
      <c r="AY66" s="725"/>
      <c r="AZ66" s="131"/>
    </row>
    <row r="67" spans="1:52" ht="15.75" customHeight="1">
      <c r="A67" s="131"/>
      <c r="B67" s="519"/>
      <c r="C67" s="279"/>
      <c r="D67" s="279"/>
      <c r="E67" s="279"/>
      <c r="F67" s="279"/>
      <c r="G67" s="279"/>
      <c r="H67" s="279"/>
      <c r="I67" s="279"/>
      <c r="J67" s="279"/>
      <c r="K67" s="279"/>
      <c r="L67" s="279"/>
      <c r="M67" s="279"/>
      <c r="N67" s="279"/>
      <c r="O67" s="279"/>
      <c r="P67" s="816" t="s">
        <v>4450</v>
      </c>
      <c r="Q67" s="725"/>
      <c r="R67" s="725"/>
      <c r="S67" s="725"/>
      <c r="T67" s="725"/>
      <c r="U67" s="725"/>
      <c r="V67" s="725"/>
      <c r="W67" s="725"/>
      <c r="X67" s="725"/>
      <c r="Y67" s="725"/>
      <c r="Z67" s="725"/>
      <c r="AA67" s="725"/>
      <c r="AB67" s="725"/>
      <c r="AC67" s="725"/>
      <c r="AD67" s="725"/>
      <c r="AE67" s="725"/>
      <c r="AF67" s="725"/>
      <c r="AG67" s="279"/>
      <c r="AH67" s="279"/>
      <c r="AI67" s="279"/>
      <c r="AJ67" s="279"/>
      <c r="AK67" s="279"/>
      <c r="AL67" s="279"/>
      <c r="AM67" s="279"/>
      <c r="AN67" s="279"/>
      <c r="AO67" s="279"/>
      <c r="AP67" s="279"/>
      <c r="AQ67" s="279"/>
      <c r="AR67" s="279"/>
      <c r="AS67" s="279"/>
      <c r="AT67" s="178"/>
      <c r="AU67" s="178"/>
      <c r="AV67" s="816" t="s">
        <v>4451</v>
      </c>
      <c r="AW67" s="725"/>
      <c r="AX67" s="725"/>
      <c r="AY67" s="725"/>
      <c r="AZ67" s="131"/>
    </row>
    <row r="68" spans="1:52" ht="15" customHeight="1">
      <c r="A68" s="131"/>
      <c r="B68" s="178"/>
      <c r="C68" s="178"/>
      <c r="D68" s="210"/>
      <c r="E68" s="178"/>
      <c r="F68" s="178"/>
      <c r="G68" s="178"/>
      <c r="H68" s="178"/>
      <c r="I68" s="178"/>
      <c r="J68" s="178"/>
      <c r="K68" s="178"/>
      <c r="L68" s="178"/>
      <c r="M68" s="178"/>
      <c r="N68" s="178"/>
      <c r="O68" s="178"/>
      <c r="P68" s="725"/>
      <c r="Q68" s="725"/>
      <c r="R68" s="725"/>
      <c r="S68" s="725"/>
      <c r="T68" s="725"/>
      <c r="U68" s="725"/>
      <c r="V68" s="725"/>
      <c r="W68" s="725"/>
      <c r="X68" s="725"/>
      <c r="Y68" s="725"/>
      <c r="Z68" s="725"/>
      <c r="AA68" s="725"/>
      <c r="AB68" s="725"/>
      <c r="AC68" s="725"/>
      <c r="AD68" s="725"/>
      <c r="AE68" s="725"/>
      <c r="AF68" s="725"/>
      <c r="AG68" s="178"/>
      <c r="AH68" s="178"/>
      <c r="AI68" s="178"/>
      <c r="AJ68" s="178"/>
      <c r="AK68" s="178"/>
      <c r="AL68" s="178"/>
      <c r="AM68" s="178"/>
      <c r="AN68" s="178"/>
      <c r="AO68" s="178"/>
      <c r="AP68" s="178"/>
      <c r="AQ68" s="178"/>
      <c r="AR68" s="178"/>
      <c r="AS68" s="210"/>
      <c r="AT68" s="178"/>
      <c r="AU68" s="178"/>
      <c r="AV68" s="725"/>
      <c r="AW68" s="725"/>
      <c r="AX68" s="725"/>
      <c r="AY68" s="725"/>
      <c r="AZ68" s="131"/>
    </row>
    <row r="69" spans="1:52" ht="15" customHeight="1">
      <c r="A69" s="131"/>
      <c r="B69" s="178"/>
      <c r="C69" s="178"/>
      <c r="D69" s="210"/>
      <c r="E69" s="178"/>
      <c r="F69" s="178"/>
      <c r="G69" s="178"/>
      <c r="H69" s="178"/>
      <c r="I69" s="178"/>
      <c r="J69" s="178"/>
      <c r="K69" s="178"/>
      <c r="L69" s="178"/>
      <c r="M69" s="178"/>
      <c r="N69" s="178"/>
      <c r="O69" s="178"/>
      <c r="P69" s="251"/>
      <c r="Q69" s="251"/>
      <c r="R69" s="251"/>
      <c r="S69" s="251"/>
      <c r="T69" s="251"/>
      <c r="U69" s="251"/>
      <c r="V69" s="251"/>
      <c r="W69" s="251"/>
      <c r="X69" s="251"/>
      <c r="Y69" s="251"/>
      <c r="Z69" s="251"/>
      <c r="AA69" s="251"/>
      <c r="AB69" s="251"/>
      <c r="AC69" s="251"/>
      <c r="AD69" s="251"/>
      <c r="AE69" s="251"/>
      <c r="AF69" s="251"/>
      <c r="AG69" s="178"/>
      <c r="AH69" s="178"/>
      <c r="AI69" s="178"/>
      <c r="AJ69" s="178"/>
      <c r="AK69" s="178"/>
      <c r="AL69" s="178"/>
      <c r="AM69" s="178"/>
      <c r="AN69" s="178"/>
      <c r="AO69" s="178"/>
      <c r="AP69" s="178"/>
      <c r="AQ69" s="178"/>
      <c r="AR69" s="178"/>
      <c r="AS69" s="210"/>
      <c r="AT69" s="178"/>
      <c r="AU69" s="178"/>
      <c r="AV69" s="251"/>
      <c r="AW69" s="251"/>
      <c r="AX69" s="251"/>
      <c r="AY69" s="251"/>
      <c r="AZ69" s="131"/>
    </row>
    <row r="70" spans="1:52" ht="15" customHeight="1">
      <c r="A70" s="131"/>
      <c r="B70" s="178"/>
      <c r="C70" s="178"/>
      <c r="D70" s="210"/>
      <c r="E70" s="178"/>
      <c r="F70" s="178"/>
      <c r="G70" s="178"/>
      <c r="H70" s="178"/>
      <c r="I70" s="178"/>
      <c r="J70" s="178"/>
      <c r="K70" s="178"/>
      <c r="L70" s="178"/>
      <c r="M70" s="178"/>
      <c r="N70" s="178"/>
      <c r="O70" s="178"/>
      <c r="P70" s="251"/>
      <c r="Q70" s="251"/>
      <c r="R70" s="251"/>
      <c r="S70" s="251"/>
      <c r="T70" s="251"/>
      <c r="U70" s="251"/>
      <c r="V70" s="251"/>
      <c r="W70" s="902" t="s">
        <v>4452</v>
      </c>
      <c r="X70" s="725"/>
      <c r="Y70" s="725"/>
      <c r="Z70" s="725"/>
      <c r="AA70" s="725"/>
      <c r="AB70" s="725"/>
      <c r="AC70" s="725"/>
      <c r="AD70" s="725"/>
      <c r="AE70" s="725"/>
      <c r="AF70" s="725"/>
      <c r="AG70" s="725"/>
      <c r="AH70" s="725"/>
      <c r="AI70" s="725"/>
      <c r="AJ70" s="725"/>
      <c r="AK70" s="725"/>
      <c r="AL70" s="725"/>
      <c r="AM70" s="725"/>
      <c r="AN70" s="725"/>
      <c r="AO70" s="725"/>
      <c r="AP70" s="725"/>
      <c r="AQ70" s="178"/>
      <c r="AR70" s="178"/>
      <c r="AS70" s="210"/>
      <c r="AT70" s="178"/>
      <c r="AU70" s="178"/>
      <c r="AV70" s="251"/>
      <c r="AW70" s="251"/>
      <c r="AX70" s="251"/>
      <c r="AY70" s="251"/>
      <c r="AZ70" s="131"/>
    </row>
    <row r="71" spans="1:52" ht="15" customHeight="1">
      <c r="A71" s="131"/>
      <c r="B71" s="178"/>
      <c r="C71" s="178"/>
      <c r="D71" s="210"/>
      <c r="E71" s="178"/>
      <c r="F71" s="178"/>
      <c r="G71" s="178"/>
      <c r="H71" s="178"/>
      <c r="I71" s="178"/>
      <c r="J71" s="178"/>
      <c r="K71" s="178"/>
      <c r="L71" s="178"/>
      <c r="M71" s="178"/>
      <c r="N71" s="178"/>
      <c r="O71" s="178"/>
      <c r="P71" s="251"/>
      <c r="Q71" s="251"/>
      <c r="R71" s="251"/>
      <c r="S71" s="251"/>
      <c r="T71" s="251"/>
      <c r="U71" s="251"/>
      <c r="V71" s="251"/>
      <c r="W71" s="725"/>
      <c r="X71" s="725"/>
      <c r="Y71" s="725"/>
      <c r="Z71" s="725"/>
      <c r="AA71" s="725"/>
      <c r="AB71" s="725"/>
      <c r="AC71" s="725"/>
      <c r="AD71" s="725"/>
      <c r="AE71" s="725"/>
      <c r="AF71" s="725"/>
      <c r="AG71" s="725"/>
      <c r="AH71" s="725"/>
      <c r="AI71" s="725"/>
      <c r="AJ71" s="725"/>
      <c r="AK71" s="725"/>
      <c r="AL71" s="725"/>
      <c r="AM71" s="725"/>
      <c r="AN71" s="725"/>
      <c r="AO71" s="725"/>
      <c r="AP71" s="725"/>
      <c r="AQ71" s="178"/>
      <c r="AR71" s="178"/>
      <c r="AS71" s="210"/>
      <c r="AT71" s="178"/>
      <c r="AU71" s="178"/>
      <c r="AV71" s="251"/>
      <c r="AW71" s="251"/>
      <c r="AX71" s="251"/>
      <c r="AY71" s="251"/>
      <c r="AZ71" s="131"/>
    </row>
    <row r="72" spans="1:52" ht="15" customHeight="1">
      <c r="A72" s="131"/>
      <c r="B72" s="178"/>
      <c r="C72" s="178"/>
      <c r="D72" s="210"/>
      <c r="E72" s="178"/>
      <c r="F72" s="178"/>
      <c r="G72" s="178"/>
      <c r="H72" s="178"/>
      <c r="I72" s="178"/>
      <c r="J72" s="178"/>
      <c r="K72" s="178"/>
      <c r="L72" s="178"/>
      <c r="M72" s="178"/>
      <c r="N72" s="178"/>
      <c r="O72" s="178"/>
      <c r="P72" s="251"/>
      <c r="Q72" s="251"/>
      <c r="R72" s="251"/>
      <c r="S72" s="251"/>
      <c r="T72" s="251"/>
      <c r="U72" s="251"/>
      <c r="V72" s="251"/>
      <c r="W72" s="725"/>
      <c r="X72" s="725"/>
      <c r="Y72" s="725"/>
      <c r="Z72" s="725"/>
      <c r="AA72" s="725"/>
      <c r="AB72" s="725"/>
      <c r="AC72" s="725"/>
      <c r="AD72" s="725"/>
      <c r="AE72" s="725"/>
      <c r="AF72" s="725"/>
      <c r="AG72" s="725"/>
      <c r="AH72" s="725"/>
      <c r="AI72" s="725"/>
      <c r="AJ72" s="725"/>
      <c r="AK72" s="725"/>
      <c r="AL72" s="725"/>
      <c r="AM72" s="725"/>
      <c r="AN72" s="725"/>
      <c r="AO72" s="725"/>
      <c r="AP72" s="725"/>
      <c r="AQ72" s="178"/>
      <c r="AR72" s="178"/>
      <c r="AS72" s="210"/>
      <c r="AT72" s="178"/>
      <c r="AU72" s="178"/>
      <c r="AV72" s="251"/>
      <c r="AW72" s="251"/>
      <c r="AX72" s="251"/>
      <c r="AY72" s="251"/>
      <c r="AZ72" s="131"/>
    </row>
    <row r="73" spans="1:52" ht="15" customHeight="1">
      <c r="A73" s="131"/>
      <c r="B73" s="178"/>
      <c r="C73" s="178"/>
      <c r="D73" s="210"/>
      <c r="E73" s="178"/>
      <c r="F73" s="178"/>
      <c r="G73" s="178"/>
      <c r="H73" s="178"/>
      <c r="I73" s="178"/>
      <c r="J73" s="178"/>
      <c r="K73" s="178"/>
      <c r="L73" s="178"/>
      <c r="M73" s="178"/>
      <c r="N73" s="178"/>
      <c r="O73" s="178"/>
      <c r="P73" s="251"/>
      <c r="Q73" s="251"/>
      <c r="R73" s="251"/>
      <c r="S73" s="251"/>
      <c r="T73" s="251"/>
      <c r="U73" s="251"/>
      <c r="V73" s="251"/>
      <c r="W73" s="725"/>
      <c r="X73" s="725"/>
      <c r="Y73" s="725"/>
      <c r="Z73" s="725"/>
      <c r="AA73" s="725"/>
      <c r="AB73" s="725"/>
      <c r="AC73" s="725"/>
      <c r="AD73" s="725"/>
      <c r="AE73" s="725"/>
      <c r="AF73" s="725"/>
      <c r="AG73" s="725"/>
      <c r="AH73" s="725"/>
      <c r="AI73" s="725"/>
      <c r="AJ73" s="725"/>
      <c r="AK73" s="725"/>
      <c r="AL73" s="725"/>
      <c r="AM73" s="725"/>
      <c r="AN73" s="725"/>
      <c r="AO73" s="725"/>
      <c r="AP73" s="725"/>
      <c r="AQ73" s="178"/>
      <c r="AR73" s="178"/>
      <c r="AS73" s="210"/>
      <c r="AT73" s="178"/>
      <c r="AU73" s="178"/>
      <c r="AV73" s="251"/>
      <c r="AW73" s="251"/>
      <c r="AX73" s="251"/>
      <c r="AY73" s="251"/>
      <c r="AZ73" s="131"/>
    </row>
    <row r="74" spans="1:52" ht="15" customHeight="1">
      <c r="A74" s="131"/>
      <c r="B74" s="178"/>
      <c r="C74" s="178"/>
      <c r="D74" s="210"/>
      <c r="E74" s="178"/>
      <c r="F74" s="178"/>
      <c r="G74" s="178"/>
      <c r="H74" s="178"/>
      <c r="I74" s="178"/>
      <c r="J74" s="178"/>
      <c r="K74" s="178"/>
      <c r="L74" s="178"/>
      <c r="M74" s="178"/>
      <c r="N74" s="178"/>
      <c r="O74" s="178"/>
      <c r="P74" s="251"/>
      <c r="Q74" s="251"/>
      <c r="R74" s="251"/>
      <c r="S74" s="251"/>
      <c r="T74" s="251"/>
      <c r="U74" s="251"/>
      <c r="V74" s="251"/>
      <c r="W74" s="251"/>
      <c r="X74" s="251"/>
      <c r="Y74" s="251"/>
      <c r="Z74" s="251"/>
      <c r="AA74" s="251"/>
      <c r="AB74" s="251"/>
      <c r="AC74" s="251"/>
      <c r="AD74" s="251"/>
      <c r="AE74" s="251"/>
      <c r="AF74" s="251"/>
      <c r="AG74" s="178"/>
      <c r="AH74" s="178"/>
      <c r="AI74" s="178"/>
      <c r="AJ74" s="178"/>
      <c r="AK74" s="178"/>
      <c r="AL74" s="178"/>
      <c r="AM74" s="178"/>
      <c r="AN74" s="178"/>
      <c r="AO74" s="178"/>
      <c r="AP74" s="178"/>
      <c r="AQ74" s="178"/>
      <c r="AR74" s="178"/>
      <c r="AS74" s="210"/>
      <c r="AT74" s="178"/>
      <c r="AU74" s="178"/>
      <c r="AV74" s="251"/>
      <c r="AW74" s="251"/>
      <c r="AX74" s="251"/>
      <c r="AY74" s="251"/>
      <c r="AZ74" s="131"/>
    </row>
    <row r="75" spans="1:52" ht="15" customHeight="1">
      <c r="A75" s="131"/>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517"/>
      <c r="AZ75" s="131"/>
    </row>
    <row r="76" spans="1:52" ht="24" hidden="1" customHeight="1">
      <c r="A76" s="131"/>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517"/>
      <c r="AZ76" s="131"/>
    </row>
    <row r="77" spans="1:52" ht="24" hidden="1" customHeight="1">
      <c r="A77" s="131"/>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517"/>
      <c r="AZ77" s="131"/>
    </row>
    <row r="78" spans="1:52" ht="24" hidden="1" customHeight="1">
      <c r="A78" s="131"/>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517"/>
      <c r="AZ78" s="131"/>
    </row>
    <row r="79" spans="1:52" ht="24" hidden="1" customHeight="1">
      <c r="A79" s="131"/>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517"/>
      <c r="AZ79" s="131"/>
    </row>
    <row r="80" spans="1:52" ht="24" hidden="1" customHeight="1">
      <c r="A80" s="131"/>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517"/>
      <c r="AZ80" s="131"/>
    </row>
    <row r="81" spans="1:52" ht="15.75" customHeight="1">
      <c r="A81" s="131"/>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517"/>
      <c r="AZ81" s="131"/>
    </row>
    <row r="82" spans="1:52" ht="15.75" customHeight="1">
      <c r="A82" s="131"/>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517"/>
      <c r="AZ82" s="131"/>
    </row>
    <row r="83" spans="1:52" ht="15.75" customHeight="1">
      <c r="A83" s="131"/>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517"/>
      <c r="AZ83" s="131"/>
    </row>
    <row r="84" spans="1:52" ht="15.75" customHeight="1">
      <c r="A84" s="131"/>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517"/>
      <c r="AZ84" s="131"/>
    </row>
    <row r="85" spans="1:52" ht="15.75" customHeight="1">
      <c r="A85" s="131"/>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c r="AX85" s="178"/>
      <c r="AY85" s="517"/>
      <c r="AZ85" s="131"/>
    </row>
    <row r="86" spans="1:52" ht="15.75" customHeight="1">
      <c r="A86" s="131"/>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8"/>
      <c r="AV86" s="178"/>
      <c r="AW86" s="178"/>
      <c r="AX86" s="178"/>
      <c r="AY86" s="517"/>
      <c r="AZ86" s="131"/>
    </row>
    <row r="87" spans="1:52" ht="15.75" customHeight="1">
      <c r="A87" s="131"/>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517"/>
      <c r="AZ87" s="131"/>
    </row>
    <row r="88" spans="1:52" ht="15.75" customHeight="1">
      <c r="A88" s="131"/>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78"/>
      <c r="AW88" s="178"/>
      <c r="AX88" s="178"/>
      <c r="AY88" s="517"/>
      <c r="AZ88" s="131"/>
    </row>
    <row r="89" spans="1:52" ht="15.75" customHeight="1">
      <c r="A89" s="131"/>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517"/>
      <c r="AZ89" s="131"/>
    </row>
    <row r="90" spans="1:52" ht="15.75" customHeight="1">
      <c r="A90" s="131"/>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517"/>
      <c r="AZ90" s="131"/>
    </row>
    <row r="91" spans="1:52" ht="15.75" customHeight="1">
      <c r="A91" s="131"/>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78"/>
      <c r="AW91" s="178"/>
      <c r="AX91" s="178"/>
      <c r="AY91" s="517"/>
      <c r="AZ91" s="131"/>
    </row>
    <row r="92" spans="1:52" ht="15.75" customHeight="1">
      <c r="A92" s="131"/>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517"/>
      <c r="AZ92" s="131"/>
    </row>
    <row r="93" spans="1:52" ht="15.75" customHeight="1">
      <c r="A93" s="131"/>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78"/>
      <c r="AW93" s="178"/>
      <c r="AX93" s="178"/>
      <c r="AY93" s="517"/>
      <c r="AZ93" s="131"/>
    </row>
    <row r="94" spans="1:52" ht="15.75" customHeight="1">
      <c r="A94" s="131"/>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78"/>
      <c r="AW94" s="178"/>
      <c r="AX94" s="178"/>
      <c r="AY94" s="517"/>
      <c r="AZ94" s="131"/>
    </row>
    <row r="95" spans="1:52" ht="15.75" customHeight="1">
      <c r="A95" s="131"/>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78"/>
      <c r="AW95" s="178"/>
      <c r="AX95" s="178"/>
      <c r="AY95" s="517"/>
      <c r="AZ95" s="131"/>
    </row>
    <row r="96" spans="1:52" ht="15.75" customHeight="1">
      <c r="A96" s="131"/>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c r="AX96" s="178"/>
      <c r="AY96" s="517"/>
      <c r="AZ96" s="131"/>
    </row>
    <row r="97" spans="1:52" ht="15.75" customHeight="1">
      <c r="A97" s="131"/>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517"/>
      <c r="AZ97" s="131"/>
    </row>
    <row r="98" spans="1:52" ht="15.75" customHeight="1">
      <c r="A98" s="131"/>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c r="AN98" s="178"/>
      <c r="AO98" s="178"/>
      <c r="AP98" s="178"/>
      <c r="AQ98" s="178"/>
      <c r="AR98" s="178"/>
      <c r="AS98" s="178"/>
      <c r="AT98" s="178"/>
      <c r="AU98" s="178"/>
      <c r="AV98" s="178"/>
      <c r="AW98" s="178"/>
      <c r="AX98" s="178"/>
      <c r="AY98" s="517"/>
      <c r="AZ98" s="131"/>
    </row>
    <row r="99" spans="1:52" ht="15.75" customHeight="1">
      <c r="A99" s="131"/>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78"/>
      <c r="AW99" s="178"/>
      <c r="AX99" s="178"/>
      <c r="AY99" s="517"/>
      <c r="AZ99" s="131"/>
    </row>
    <row r="100" spans="1:52" ht="15.75" customHeight="1">
      <c r="A100" s="131"/>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517"/>
      <c r="AZ100" s="131"/>
    </row>
    <row r="101" spans="1:52" ht="15.75" customHeight="1">
      <c r="A101" s="131"/>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c r="AV101" s="178"/>
      <c r="AW101" s="178"/>
      <c r="AX101" s="178"/>
      <c r="AY101" s="517"/>
      <c r="AZ101" s="131"/>
    </row>
    <row r="102" spans="1:52" ht="15.75" customHeight="1">
      <c r="A102" s="131"/>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c r="AV102" s="178"/>
      <c r="AW102" s="178"/>
      <c r="AX102" s="178"/>
      <c r="AY102" s="517"/>
      <c r="AZ102" s="131"/>
    </row>
    <row r="103" spans="1:52" ht="15.75" customHeight="1">
      <c r="A103" s="131"/>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78"/>
      <c r="AW103" s="178"/>
      <c r="AX103" s="178"/>
      <c r="AY103" s="517"/>
      <c r="AZ103" s="131"/>
    </row>
    <row r="104" spans="1:52" ht="15.75" customHeight="1">
      <c r="A104" s="131"/>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c r="AV104" s="178"/>
      <c r="AW104" s="178"/>
      <c r="AX104" s="178"/>
      <c r="AY104" s="517"/>
      <c r="AZ104" s="131"/>
    </row>
    <row r="105" spans="1:52" ht="15.75" customHeight="1">
      <c r="A105" s="131"/>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78"/>
      <c r="AW105" s="178"/>
      <c r="AX105" s="178"/>
      <c r="AY105" s="517"/>
      <c r="AZ105" s="131"/>
    </row>
    <row r="106" spans="1:52" ht="15.75" customHeight="1">
      <c r="A106" s="131"/>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c r="AV106" s="178"/>
      <c r="AW106" s="178"/>
      <c r="AX106" s="178"/>
      <c r="AY106" s="517"/>
      <c r="AZ106" s="131"/>
    </row>
    <row r="107" spans="1:52" ht="15.75" customHeight="1">
      <c r="A107" s="131"/>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517"/>
      <c r="AZ107" s="131"/>
    </row>
    <row r="108" spans="1:52" ht="15.75" customHeight="1">
      <c r="A108" s="131"/>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c r="AV108" s="178"/>
      <c r="AW108" s="178"/>
      <c r="AX108" s="178"/>
      <c r="AY108" s="517"/>
      <c r="AZ108" s="131"/>
    </row>
    <row r="109" spans="1:52" ht="15.75" customHeight="1">
      <c r="A109" s="131"/>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517"/>
      <c r="AZ109" s="131"/>
    </row>
    <row r="110" spans="1:52" ht="15.75" customHeight="1">
      <c r="A110" s="131"/>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c r="AV110" s="178"/>
      <c r="AW110" s="178"/>
      <c r="AX110" s="178"/>
      <c r="AY110" s="517"/>
      <c r="AZ110" s="131"/>
    </row>
    <row r="111" spans="1:52" ht="15.75" customHeight="1">
      <c r="A111" s="131"/>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c r="AV111" s="178"/>
      <c r="AW111" s="178"/>
      <c r="AX111" s="178"/>
      <c r="AY111" s="517"/>
      <c r="AZ111" s="131"/>
    </row>
    <row r="112" spans="1:52" ht="15.75" customHeight="1">
      <c r="A112" s="131"/>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c r="AV112" s="178"/>
      <c r="AW112" s="178"/>
      <c r="AX112" s="178"/>
      <c r="AY112" s="517"/>
      <c r="AZ112" s="131"/>
    </row>
    <row r="113" spans="1:52" ht="15.75" customHeight="1">
      <c r="A113" s="131"/>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517"/>
      <c r="AZ113" s="131"/>
    </row>
    <row r="114" spans="1:52" ht="15.75" customHeight="1">
      <c r="A114" s="131"/>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517"/>
      <c r="AZ114" s="131"/>
    </row>
    <row r="115" spans="1:52" ht="15.75" customHeight="1">
      <c r="A115" s="131"/>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c r="AV115" s="178"/>
      <c r="AW115" s="178"/>
      <c r="AX115" s="178"/>
      <c r="AY115" s="517"/>
      <c r="AZ115" s="131"/>
    </row>
    <row r="116" spans="1:52" ht="15.75" customHeight="1">
      <c r="A116" s="131"/>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c r="AV116" s="178"/>
      <c r="AW116" s="178"/>
      <c r="AX116" s="178"/>
      <c r="AY116" s="517"/>
      <c r="AZ116" s="131"/>
    </row>
    <row r="117" spans="1:52" ht="15.75" customHeight="1">
      <c r="A117" s="131"/>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517"/>
      <c r="AZ117" s="131"/>
    </row>
    <row r="118" spans="1:52" ht="15.75" customHeight="1">
      <c r="A118" s="131"/>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c r="AV118" s="178"/>
      <c r="AW118" s="178"/>
      <c r="AX118" s="178"/>
      <c r="AY118" s="517"/>
      <c r="AZ118" s="131"/>
    </row>
    <row r="119" spans="1:52" ht="15.75" customHeight="1">
      <c r="A119" s="131"/>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c r="AV119" s="178"/>
      <c r="AW119" s="178"/>
      <c r="AX119" s="178"/>
      <c r="AY119" s="517"/>
      <c r="AZ119" s="131"/>
    </row>
    <row r="120" spans="1:52" ht="15.75" customHeight="1">
      <c r="A120" s="131"/>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c r="AV120" s="178"/>
      <c r="AW120" s="178"/>
      <c r="AX120" s="178"/>
      <c r="AY120" s="517"/>
      <c r="AZ120" s="131"/>
    </row>
    <row r="121" spans="1:52" ht="15.75" customHeight="1">
      <c r="A121" s="131"/>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c r="AV121" s="178"/>
      <c r="AW121" s="178"/>
      <c r="AX121" s="178"/>
      <c r="AY121" s="517"/>
      <c r="AZ121" s="131"/>
    </row>
    <row r="122" spans="1:52" ht="15.75" customHeight="1">
      <c r="A122" s="131"/>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517"/>
      <c r="AZ122" s="131"/>
    </row>
    <row r="123" spans="1:52" ht="15.75" customHeight="1">
      <c r="A123" s="131"/>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517"/>
      <c r="AZ123" s="131"/>
    </row>
    <row r="124" spans="1:52" ht="15.75" customHeight="1">
      <c r="A124" s="131"/>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517"/>
      <c r="AZ124" s="131"/>
    </row>
    <row r="125" spans="1:52" ht="15.75" customHeight="1">
      <c r="A125" s="131"/>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517"/>
      <c r="AZ125" s="131"/>
    </row>
    <row r="126" spans="1:52" ht="15.75" customHeight="1">
      <c r="A126" s="131"/>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c r="AV126" s="178"/>
      <c r="AW126" s="178"/>
      <c r="AX126" s="178"/>
      <c r="AY126" s="517"/>
      <c r="AZ126" s="131"/>
    </row>
    <row r="127" spans="1:52" ht="15.75" customHeight="1">
      <c r="A127" s="131"/>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c r="AV127" s="178"/>
      <c r="AW127" s="178"/>
      <c r="AX127" s="178"/>
      <c r="AY127" s="517"/>
      <c r="AZ127" s="131"/>
    </row>
    <row r="128" spans="1:52" ht="15.75" customHeight="1">
      <c r="A128" s="131"/>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517"/>
      <c r="AZ128" s="131"/>
    </row>
    <row r="129" spans="1:52" ht="15.75" customHeight="1">
      <c r="A129" s="131"/>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c r="AY129" s="517"/>
      <c r="AZ129" s="131"/>
    </row>
    <row r="130" spans="1:52" ht="15.75" customHeight="1">
      <c r="A130" s="131"/>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517"/>
      <c r="AZ130" s="131"/>
    </row>
    <row r="131" spans="1:52" ht="15.75" customHeight="1">
      <c r="A131" s="131"/>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8"/>
      <c r="AY131" s="517"/>
      <c r="AZ131" s="131"/>
    </row>
    <row r="132" spans="1:52" ht="15.75" customHeight="1">
      <c r="A132" s="131"/>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c r="AV132" s="178"/>
      <c r="AW132" s="178"/>
      <c r="AX132" s="178"/>
      <c r="AY132" s="517"/>
      <c r="AZ132" s="131"/>
    </row>
    <row r="133" spans="1:52" ht="15.75" customHeight="1">
      <c r="A133" s="131"/>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c r="AV133" s="178"/>
      <c r="AW133" s="178"/>
      <c r="AX133" s="178"/>
      <c r="AY133" s="517"/>
      <c r="AZ133" s="131"/>
    </row>
    <row r="134" spans="1:52" ht="15.75" customHeight="1">
      <c r="A134" s="131"/>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517"/>
      <c r="AZ134" s="131"/>
    </row>
    <row r="135" spans="1:52" ht="15.75" customHeight="1">
      <c r="A135" s="131"/>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c r="AV135" s="178"/>
      <c r="AW135" s="178"/>
      <c r="AX135" s="178"/>
      <c r="AY135" s="517"/>
      <c r="AZ135" s="131"/>
    </row>
    <row r="136" spans="1:52" ht="15.75" customHeight="1">
      <c r="A136" s="131"/>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517"/>
      <c r="AZ136" s="131"/>
    </row>
    <row r="137" spans="1:52" ht="15.75" customHeight="1">
      <c r="A137" s="131"/>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517"/>
      <c r="AZ137" s="131"/>
    </row>
    <row r="138" spans="1:52" ht="15.75" customHeight="1">
      <c r="A138" s="131"/>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517"/>
      <c r="AZ138" s="131"/>
    </row>
    <row r="139" spans="1:52" ht="15.75" customHeight="1">
      <c r="A139" s="131"/>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517"/>
      <c r="AZ139" s="131"/>
    </row>
    <row r="140" spans="1:52" ht="15.75" customHeight="1">
      <c r="A140" s="131"/>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517"/>
      <c r="AZ140" s="131"/>
    </row>
    <row r="141" spans="1:52" ht="15.75" customHeight="1">
      <c r="A141" s="131"/>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c r="AV141" s="178"/>
      <c r="AW141" s="178"/>
      <c r="AX141" s="178"/>
      <c r="AY141" s="517"/>
      <c r="AZ141" s="131"/>
    </row>
    <row r="142" spans="1:52" ht="15.75" customHeight="1">
      <c r="A142" s="131"/>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517"/>
      <c r="AZ142" s="131"/>
    </row>
    <row r="143" spans="1:52" ht="15.75" customHeight="1">
      <c r="A143" s="131"/>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517"/>
      <c r="AZ143" s="131"/>
    </row>
    <row r="144" spans="1:52" ht="15.75" customHeight="1">
      <c r="A144" s="131"/>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c r="AV144" s="178"/>
      <c r="AW144" s="178"/>
      <c r="AX144" s="178"/>
      <c r="AY144" s="517"/>
      <c r="AZ144" s="131"/>
    </row>
    <row r="145" spans="1:52" ht="15.75" customHeight="1">
      <c r="A145" s="131"/>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c r="AV145" s="178"/>
      <c r="AW145" s="178"/>
      <c r="AX145" s="178"/>
      <c r="AY145" s="517"/>
      <c r="AZ145" s="131"/>
    </row>
    <row r="146" spans="1:52" ht="15.75" customHeight="1">
      <c r="A146" s="131"/>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c r="AV146" s="178"/>
      <c r="AW146" s="178"/>
      <c r="AX146" s="178"/>
      <c r="AY146" s="517"/>
      <c r="AZ146" s="131"/>
    </row>
    <row r="147" spans="1:52" ht="15.75" customHeight="1">
      <c r="A147" s="131"/>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c r="AV147" s="178"/>
      <c r="AW147" s="178"/>
      <c r="AX147" s="178"/>
      <c r="AY147" s="517"/>
      <c r="AZ147" s="131"/>
    </row>
    <row r="148" spans="1:52" ht="15.75" customHeight="1">
      <c r="A148" s="131"/>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517"/>
      <c r="AZ148" s="131"/>
    </row>
    <row r="149" spans="1:52" ht="15.75" customHeight="1">
      <c r="A149" s="131"/>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517"/>
      <c r="AZ149" s="131"/>
    </row>
    <row r="150" spans="1:52" ht="15.75" customHeight="1">
      <c r="A150" s="131"/>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517"/>
      <c r="AZ150" s="131"/>
    </row>
    <row r="151" spans="1:52" ht="15.75" customHeight="1">
      <c r="A151" s="131"/>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517"/>
      <c r="AZ151" s="131"/>
    </row>
    <row r="152" spans="1:52" ht="15.75" customHeight="1">
      <c r="A152" s="131"/>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517"/>
      <c r="AZ152" s="131"/>
    </row>
    <row r="153" spans="1:52" ht="15.75" customHeight="1">
      <c r="A153" s="131"/>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c r="AV153" s="178"/>
      <c r="AW153" s="178"/>
      <c r="AX153" s="178"/>
      <c r="AY153" s="517"/>
      <c r="AZ153" s="131"/>
    </row>
    <row r="154" spans="1:52" ht="15.75" customHeight="1">
      <c r="A154" s="131"/>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c r="AV154" s="178"/>
      <c r="AW154" s="178"/>
      <c r="AX154" s="178"/>
      <c r="AY154" s="517"/>
      <c r="AZ154" s="131"/>
    </row>
    <row r="155" spans="1:52" ht="15.75" customHeight="1">
      <c r="A155" s="131"/>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517"/>
      <c r="AZ155" s="131"/>
    </row>
    <row r="156" spans="1:52" ht="15.75" customHeight="1">
      <c r="A156" s="131"/>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c r="AV156" s="178"/>
      <c r="AW156" s="178"/>
      <c r="AX156" s="178"/>
      <c r="AY156" s="517"/>
      <c r="AZ156" s="131"/>
    </row>
    <row r="157" spans="1:52" ht="15.75" customHeight="1">
      <c r="A157" s="131"/>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c r="AV157" s="178"/>
      <c r="AW157" s="178"/>
      <c r="AX157" s="178"/>
      <c r="AY157" s="517"/>
      <c r="AZ157" s="131"/>
    </row>
    <row r="158" spans="1:52" ht="15.75" customHeight="1">
      <c r="A158" s="131"/>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517"/>
      <c r="AZ158" s="131"/>
    </row>
    <row r="159" spans="1:52" ht="15.75" customHeight="1">
      <c r="A159" s="131"/>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517"/>
      <c r="AZ159" s="131"/>
    </row>
    <row r="160" spans="1:52" ht="15.75" customHeight="1">
      <c r="A160" s="131"/>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517"/>
      <c r="AZ160" s="131"/>
    </row>
    <row r="161" spans="1:52" ht="15.75" customHeight="1">
      <c r="A161" s="131"/>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c r="AV161" s="178"/>
      <c r="AW161" s="178"/>
      <c r="AX161" s="178"/>
      <c r="AY161" s="517"/>
      <c r="AZ161" s="131"/>
    </row>
    <row r="162" spans="1:52" ht="15.75" customHeight="1">
      <c r="A162" s="131"/>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517"/>
      <c r="AZ162" s="131"/>
    </row>
    <row r="163" spans="1:52" ht="15.75" customHeight="1">
      <c r="A163" s="131"/>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c r="AV163" s="178"/>
      <c r="AW163" s="178"/>
      <c r="AX163" s="178"/>
      <c r="AY163" s="517"/>
      <c r="AZ163" s="131"/>
    </row>
    <row r="164" spans="1:52" ht="15.75" customHeight="1">
      <c r="A164" s="131"/>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c r="AV164" s="178"/>
      <c r="AW164" s="178"/>
      <c r="AX164" s="178"/>
      <c r="AY164" s="517"/>
      <c r="AZ164" s="131"/>
    </row>
    <row r="165" spans="1:52" ht="15.75" customHeight="1">
      <c r="A165" s="131"/>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517"/>
      <c r="AZ165" s="131"/>
    </row>
    <row r="166" spans="1:52" ht="15.75" customHeight="1">
      <c r="A166" s="131"/>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c r="AV166" s="178"/>
      <c r="AW166" s="178"/>
      <c r="AX166" s="178"/>
      <c r="AY166" s="517"/>
      <c r="AZ166" s="131"/>
    </row>
    <row r="167" spans="1:52" ht="15.75" customHeight="1">
      <c r="A167" s="131"/>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c r="AV167" s="178"/>
      <c r="AW167" s="178"/>
      <c r="AX167" s="178"/>
      <c r="AY167" s="517"/>
      <c r="AZ167" s="131"/>
    </row>
    <row r="168" spans="1:52" ht="15.75" customHeight="1">
      <c r="A168" s="131"/>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c r="AV168" s="178"/>
      <c r="AW168" s="178"/>
      <c r="AX168" s="178"/>
      <c r="AY168" s="517"/>
      <c r="AZ168" s="131"/>
    </row>
    <row r="169" spans="1:52" ht="15.75" customHeight="1">
      <c r="A169" s="131"/>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c r="AV169" s="178"/>
      <c r="AW169" s="178"/>
      <c r="AX169" s="178"/>
      <c r="AY169" s="517"/>
      <c r="AZ169" s="131"/>
    </row>
    <row r="170" spans="1:52" ht="15.75" customHeight="1">
      <c r="A170" s="131"/>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c r="AV170" s="178"/>
      <c r="AW170" s="178"/>
      <c r="AX170" s="178"/>
      <c r="AY170" s="517"/>
      <c r="AZ170" s="131"/>
    </row>
    <row r="171" spans="1:52" ht="15.75" customHeight="1">
      <c r="A171" s="131"/>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c r="AV171" s="178"/>
      <c r="AW171" s="178"/>
      <c r="AX171" s="178"/>
      <c r="AY171" s="517"/>
      <c r="AZ171" s="131"/>
    </row>
    <row r="172" spans="1:52" ht="15.75" customHeight="1">
      <c r="A172" s="131"/>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c r="AV172" s="178"/>
      <c r="AW172" s="178"/>
      <c r="AX172" s="178"/>
      <c r="AY172" s="517"/>
      <c r="AZ172" s="131"/>
    </row>
    <row r="173" spans="1:52" ht="15.75" customHeight="1">
      <c r="A173" s="131"/>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c r="AV173" s="178"/>
      <c r="AW173" s="178"/>
      <c r="AX173" s="178"/>
      <c r="AY173" s="517"/>
      <c r="AZ173" s="131"/>
    </row>
    <row r="174" spans="1:52" ht="15.75" customHeight="1">
      <c r="A174" s="131"/>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517"/>
      <c r="AZ174" s="131"/>
    </row>
    <row r="175" spans="1:52" ht="15.75" customHeight="1">
      <c r="A175" s="131"/>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c r="AV175" s="178"/>
      <c r="AW175" s="178"/>
      <c r="AX175" s="178"/>
      <c r="AY175" s="517"/>
      <c r="AZ175" s="131"/>
    </row>
    <row r="176" spans="1:52" ht="15.75" customHeight="1">
      <c r="A176" s="131"/>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517"/>
      <c r="AZ176" s="131"/>
    </row>
    <row r="177" spans="1:52" ht="15.75" customHeight="1">
      <c r="A177" s="131"/>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c r="AV177" s="178"/>
      <c r="AW177" s="178"/>
      <c r="AX177" s="178"/>
      <c r="AY177" s="517"/>
      <c r="AZ177" s="131"/>
    </row>
    <row r="178" spans="1:52" ht="15.75" customHeight="1">
      <c r="A178" s="131"/>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c r="AV178" s="178"/>
      <c r="AW178" s="178"/>
      <c r="AX178" s="178"/>
      <c r="AY178" s="517"/>
      <c r="AZ178" s="131"/>
    </row>
    <row r="179" spans="1:52" ht="15.75" customHeight="1">
      <c r="A179" s="131"/>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517"/>
      <c r="AZ179" s="131"/>
    </row>
    <row r="180" spans="1:52" ht="15.75" customHeight="1">
      <c r="A180" s="131"/>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517"/>
      <c r="AZ180" s="131"/>
    </row>
    <row r="181" spans="1:52" ht="15.75" customHeight="1">
      <c r="A181" s="131"/>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517"/>
      <c r="AZ181" s="131"/>
    </row>
    <row r="182" spans="1:52" ht="15.75" customHeight="1">
      <c r="A182" s="131"/>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c r="AV182" s="178"/>
      <c r="AW182" s="178"/>
      <c r="AX182" s="178"/>
      <c r="AY182" s="517"/>
      <c r="AZ182" s="131"/>
    </row>
    <row r="183" spans="1:52" ht="15.75" customHeight="1">
      <c r="A183" s="131"/>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78"/>
      <c r="AX183" s="178"/>
      <c r="AY183" s="517"/>
      <c r="AZ183" s="131"/>
    </row>
    <row r="184" spans="1:52" ht="15.75" customHeight="1">
      <c r="A184" s="131"/>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c r="AV184" s="178"/>
      <c r="AW184" s="178"/>
      <c r="AX184" s="178"/>
      <c r="AY184" s="517"/>
      <c r="AZ184" s="131"/>
    </row>
    <row r="185" spans="1:52" ht="15.75" customHeight="1">
      <c r="A185" s="131"/>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c r="AV185" s="178"/>
      <c r="AW185" s="178"/>
      <c r="AX185" s="178"/>
      <c r="AY185" s="517"/>
      <c r="AZ185" s="131"/>
    </row>
    <row r="186" spans="1:52" ht="15.75" customHeight="1">
      <c r="A186" s="131"/>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c r="AV186" s="178"/>
      <c r="AW186" s="178"/>
      <c r="AX186" s="178"/>
      <c r="AY186" s="517"/>
      <c r="AZ186" s="131"/>
    </row>
    <row r="187" spans="1:52" ht="15.75" customHeight="1">
      <c r="A187" s="131"/>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517"/>
      <c r="AZ187" s="131"/>
    </row>
    <row r="188" spans="1:52" ht="15.75" customHeight="1">
      <c r="A188" s="131"/>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517"/>
      <c r="AZ188" s="131"/>
    </row>
    <row r="189" spans="1:52" ht="15.75" customHeight="1">
      <c r="A189" s="131"/>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c r="AV189" s="178"/>
      <c r="AW189" s="178"/>
      <c r="AX189" s="178"/>
      <c r="AY189" s="517"/>
      <c r="AZ189" s="131"/>
    </row>
    <row r="190" spans="1:52" ht="15.75" customHeight="1">
      <c r="A190" s="131"/>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c r="AV190" s="178"/>
      <c r="AW190" s="178"/>
      <c r="AX190" s="178"/>
      <c r="AY190" s="517"/>
      <c r="AZ190" s="131"/>
    </row>
    <row r="191" spans="1:52" ht="15.75" customHeight="1">
      <c r="A191" s="131"/>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8"/>
      <c r="AY191" s="517"/>
      <c r="AZ191" s="131"/>
    </row>
    <row r="192" spans="1:52" ht="15.75" customHeight="1">
      <c r="A192" s="131"/>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c r="AV192" s="178"/>
      <c r="AW192" s="178"/>
      <c r="AX192" s="178"/>
      <c r="AY192" s="517"/>
      <c r="AZ192" s="131"/>
    </row>
    <row r="193" spans="1:52" ht="15.75" customHeight="1">
      <c r="A193" s="131"/>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c r="AV193" s="178"/>
      <c r="AW193" s="178"/>
      <c r="AX193" s="178"/>
      <c r="AY193" s="517"/>
      <c r="AZ193" s="131"/>
    </row>
    <row r="194" spans="1:52" ht="15.75" customHeight="1">
      <c r="A194" s="131"/>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c r="AV194" s="178"/>
      <c r="AW194" s="178"/>
      <c r="AX194" s="178"/>
      <c r="AY194" s="517"/>
      <c r="AZ194" s="131"/>
    </row>
    <row r="195" spans="1:52" ht="15.75" customHeight="1">
      <c r="A195" s="131"/>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c r="AV195" s="178"/>
      <c r="AW195" s="178"/>
      <c r="AX195" s="178"/>
      <c r="AY195" s="517"/>
      <c r="AZ195" s="131"/>
    </row>
    <row r="196" spans="1:52" ht="15.75" customHeight="1">
      <c r="A196" s="131"/>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c r="AV196" s="178"/>
      <c r="AW196" s="178"/>
      <c r="AX196" s="178"/>
      <c r="AY196" s="517"/>
      <c r="AZ196" s="131"/>
    </row>
    <row r="197" spans="1:52" ht="15.75" customHeight="1">
      <c r="A197" s="131"/>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c r="AV197" s="178"/>
      <c r="AW197" s="178"/>
      <c r="AX197" s="178"/>
      <c r="AY197" s="517"/>
      <c r="AZ197" s="131"/>
    </row>
    <row r="198" spans="1:52" ht="15.75" customHeight="1">
      <c r="A198" s="131"/>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c r="AV198" s="178"/>
      <c r="AW198" s="178"/>
      <c r="AX198" s="178"/>
      <c r="AY198" s="517"/>
      <c r="AZ198" s="131"/>
    </row>
    <row r="199" spans="1:52" ht="15.75" customHeight="1">
      <c r="A199" s="131"/>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c r="AV199" s="178"/>
      <c r="AW199" s="178"/>
      <c r="AX199" s="178"/>
      <c r="AY199" s="517"/>
      <c r="AZ199" s="131"/>
    </row>
    <row r="200" spans="1:52" ht="15.75" customHeight="1">
      <c r="A200" s="131"/>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c r="AV200" s="178"/>
      <c r="AW200" s="178"/>
      <c r="AX200" s="178"/>
      <c r="AY200" s="517"/>
      <c r="AZ200" s="131"/>
    </row>
    <row r="201" spans="1:52" ht="15.75" customHeight="1">
      <c r="A201" s="131"/>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c r="AV201" s="178"/>
      <c r="AW201" s="178"/>
      <c r="AX201" s="178"/>
      <c r="AY201" s="517"/>
      <c r="AZ201" s="131"/>
    </row>
    <row r="202" spans="1:52" ht="15.75" customHeight="1">
      <c r="A202" s="131"/>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c r="AV202" s="178"/>
      <c r="AW202" s="178"/>
      <c r="AX202" s="178"/>
      <c r="AY202" s="517"/>
      <c r="AZ202" s="131"/>
    </row>
    <row r="203" spans="1:52" ht="15.75" customHeight="1">
      <c r="A203" s="131"/>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c r="AV203" s="178"/>
      <c r="AW203" s="178"/>
      <c r="AX203" s="178"/>
      <c r="AY203" s="517"/>
      <c r="AZ203" s="131"/>
    </row>
    <row r="204" spans="1:52" ht="15.75" customHeight="1">
      <c r="A204" s="131"/>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c r="AV204" s="178"/>
      <c r="AW204" s="178"/>
      <c r="AX204" s="178"/>
      <c r="AY204" s="517"/>
      <c r="AZ204" s="131"/>
    </row>
    <row r="205" spans="1:52" ht="15.75" customHeight="1">
      <c r="A205" s="131"/>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c r="AV205" s="178"/>
      <c r="AW205" s="178"/>
      <c r="AX205" s="178"/>
      <c r="AY205" s="517"/>
      <c r="AZ205" s="131"/>
    </row>
    <row r="206" spans="1:52" ht="15.75" customHeight="1">
      <c r="A206" s="131"/>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c r="AV206" s="178"/>
      <c r="AW206" s="178"/>
      <c r="AX206" s="178"/>
      <c r="AY206" s="517"/>
      <c r="AZ206" s="131"/>
    </row>
    <row r="207" spans="1:52" ht="15.75" customHeight="1">
      <c r="A207" s="131"/>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78"/>
      <c r="AX207" s="178"/>
      <c r="AY207" s="517"/>
      <c r="AZ207" s="131"/>
    </row>
    <row r="208" spans="1:52" ht="15.75" customHeight="1">
      <c r="A208" s="131"/>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78"/>
      <c r="AW208" s="178"/>
      <c r="AX208" s="178"/>
      <c r="AY208" s="517"/>
      <c r="AZ208" s="131"/>
    </row>
    <row r="209" spans="1:52" ht="15.75" customHeight="1">
      <c r="A209" s="131"/>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78"/>
      <c r="AX209" s="178"/>
      <c r="AY209" s="517"/>
      <c r="AZ209" s="131"/>
    </row>
    <row r="210" spans="1:52" ht="15.75" customHeight="1">
      <c r="A210" s="131"/>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78"/>
      <c r="AX210" s="178"/>
      <c r="AY210" s="517"/>
      <c r="AZ210" s="131"/>
    </row>
    <row r="211" spans="1:52" ht="15.75" customHeight="1">
      <c r="A211" s="131"/>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517"/>
      <c r="AZ211" s="131"/>
    </row>
    <row r="212" spans="1:52" ht="15.75" customHeight="1">
      <c r="A212" s="131"/>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c r="AV212" s="178"/>
      <c r="AW212" s="178"/>
      <c r="AX212" s="178"/>
      <c r="AY212" s="517"/>
      <c r="AZ212" s="131"/>
    </row>
    <row r="213" spans="1:52" ht="15.75" customHeight="1">
      <c r="A213" s="131"/>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c r="AV213" s="178"/>
      <c r="AW213" s="178"/>
      <c r="AX213" s="178"/>
      <c r="AY213" s="517"/>
      <c r="AZ213" s="131"/>
    </row>
    <row r="214" spans="1:52" ht="15.75" customHeight="1">
      <c r="A214" s="131"/>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c r="AV214" s="178"/>
      <c r="AW214" s="178"/>
      <c r="AX214" s="178"/>
      <c r="AY214" s="517"/>
      <c r="AZ214" s="131"/>
    </row>
    <row r="215" spans="1:52" ht="15.75" customHeight="1">
      <c r="A215" s="131"/>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c r="AV215" s="178"/>
      <c r="AW215" s="178"/>
      <c r="AX215" s="178"/>
      <c r="AY215" s="517"/>
      <c r="AZ215" s="131"/>
    </row>
    <row r="216" spans="1:52" ht="15.75" customHeight="1">
      <c r="A216" s="131"/>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c r="AV216" s="178"/>
      <c r="AW216" s="178"/>
      <c r="AX216" s="178"/>
      <c r="AY216" s="517"/>
      <c r="AZ216" s="131"/>
    </row>
    <row r="217" spans="1:52" ht="15.75" customHeight="1">
      <c r="A217" s="131"/>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c r="AV217" s="178"/>
      <c r="AW217" s="178"/>
      <c r="AX217" s="178"/>
      <c r="AY217" s="517"/>
      <c r="AZ217" s="131"/>
    </row>
    <row r="218" spans="1:52" ht="15.75" customHeight="1">
      <c r="A218" s="131"/>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c r="AV218" s="178"/>
      <c r="AW218" s="178"/>
      <c r="AX218" s="178"/>
      <c r="AY218" s="517"/>
      <c r="AZ218" s="131"/>
    </row>
    <row r="219" spans="1:52" ht="15.75" customHeight="1">
      <c r="A219" s="131"/>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c r="AV219" s="178"/>
      <c r="AW219" s="178"/>
      <c r="AX219" s="178"/>
      <c r="AY219" s="517"/>
      <c r="AZ219" s="131"/>
    </row>
    <row r="220" spans="1:52" ht="15.75" customHeight="1">
      <c r="A220" s="131"/>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c r="AV220" s="178"/>
      <c r="AW220" s="178"/>
      <c r="AX220" s="178"/>
      <c r="AY220" s="517"/>
      <c r="AZ220" s="131"/>
    </row>
    <row r="221" spans="1:52" ht="15.75" customHeight="1">
      <c r="A221" s="131"/>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c r="AV221" s="178"/>
      <c r="AW221" s="178"/>
      <c r="AX221" s="178"/>
      <c r="AY221" s="517"/>
      <c r="AZ221" s="131"/>
    </row>
    <row r="222" spans="1:52" ht="15.75" customHeight="1">
      <c r="A222" s="131"/>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c r="AV222" s="178"/>
      <c r="AW222" s="178"/>
      <c r="AX222" s="178"/>
      <c r="AY222" s="517"/>
      <c r="AZ222" s="131"/>
    </row>
    <row r="223" spans="1:52" ht="15.75" customHeight="1">
      <c r="A223" s="131"/>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c r="AV223" s="178"/>
      <c r="AW223" s="178"/>
      <c r="AX223" s="178"/>
      <c r="AY223" s="517"/>
      <c r="AZ223" s="131"/>
    </row>
    <row r="224" spans="1:52" ht="15.75" customHeight="1">
      <c r="A224" s="131"/>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c r="AV224" s="178"/>
      <c r="AW224" s="178"/>
      <c r="AX224" s="178"/>
      <c r="AY224" s="517"/>
      <c r="AZ224" s="131"/>
    </row>
    <row r="225" spans="1:52" ht="15.75" customHeight="1">
      <c r="A225" s="131"/>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c r="AV225" s="178"/>
      <c r="AW225" s="178"/>
      <c r="AX225" s="178"/>
      <c r="AY225" s="517"/>
      <c r="AZ225" s="131"/>
    </row>
    <row r="226" spans="1:52" ht="15.75" customHeight="1">
      <c r="A226" s="131"/>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c r="AV226" s="178"/>
      <c r="AW226" s="178"/>
      <c r="AX226" s="178"/>
      <c r="AY226" s="517"/>
      <c r="AZ226" s="131"/>
    </row>
    <row r="227" spans="1:52" ht="15.75" customHeight="1">
      <c r="A227" s="131"/>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c r="AV227" s="178"/>
      <c r="AW227" s="178"/>
      <c r="AX227" s="178"/>
      <c r="AY227" s="517"/>
      <c r="AZ227" s="131"/>
    </row>
    <row r="228" spans="1:52" ht="15.75" customHeight="1">
      <c r="A228" s="131"/>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c r="AV228" s="178"/>
      <c r="AW228" s="178"/>
      <c r="AX228" s="178"/>
      <c r="AY228" s="517"/>
      <c r="AZ228" s="131"/>
    </row>
    <row r="229" spans="1:52" ht="15.75" customHeight="1">
      <c r="A229" s="131"/>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c r="AV229" s="178"/>
      <c r="AW229" s="178"/>
      <c r="AX229" s="178"/>
      <c r="AY229" s="517"/>
      <c r="AZ229" s="131"/>
    </row>
    <row r="230" spans="1:52" ht="15.75" customHeight="1">
      <c r="A230" s="131"/>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517"/>
      <c r="AZ230" s="131"/>
    </row>
    <row r="231" spans="1:52" ht="15.75" customHeight="1">
      <c r="A231" s="131"/>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c r="AH231" s="178"/>
      <c r="AI231" s="178"/>
      <c r="AJ231" s="178"/>
      <c r="AK231" s="178"/>
      <c r="AL231" s="178"/>
      <c r="AM231" s="178"/>
      <c r="AN231" s="178"/>
      <c r="AO231" s="178"/>
      <c r="AP231" s="178"/>
      <c r="AQ231" s="178"/>
      <c r="AR231" s="178"/>
      <c r="AS231" s="178"/>
      <c r="AT231" s="178"/>
      <c r="AU231" s="178"/>
      <c r="AV231" s="178"/>
      <c r="AW231" s="178"/>
      <c r="AX231" s="178"/>
      <c r="AY231" s="517"/>
      <c r="AZ231" s="131"/>
    </row>
    <row r="232" spans="1:52" ht="15.75" customHeight="1">
      <c r="A232" s="131"/>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178"/>
      <c r="AL232" s="178"/>
      <c r="AM232" s="178"/>
      <c r="AN232" s="178"/>
      <c r="AO232" s="178"/>
      <c r="AP232" s="178"/>
      <c r="AQ232" s="178"/>
      <c r="AR232" s="178"/>
      <c r="AS232" s="178"/>
      <c r="AT232" s="178"/>
      <c r="AU232" s="178"/>
      <c r="AV232" s="178"/>
      <c r="AW232" s="178"/>
      <c r="AX232" s="178"/>
      <c r="AY232" s="517"/>
      <c r="AZ232" s="131"/>
    </row>
    <row r="233" spans="1:52" ht="15.75" customHeight="1">
      <c r="A233" s="131"/>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78"/>
      <c r="AW233" s="178"/>
      <c r="AX233" s="178"/>
      <c r="AY233" s="517"/>
      <c r="AZ233" s="131"/>
    </row>
    <row r="234" spans="1:52" ht="15.75" customHeight="1">
      <c r="A234" s="131"/>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c r="AJ234" s="178"/>
      <c r="AK234" s="178"/>
      <c r="AL234" s="178"/>
      <c r="AM234" s="178"/>
      <c r="AN234" s="178"/>
      <c r="AO234" s="178"/>
      <c r="AP234" s="178"/>
      <c r="AQ234" s="178"/>
      <c r="AR234" s="178"/>
      <c r="AS234" s="178"/>
      <c r="AT234" s="178"/>
      <c r="AU234" s="178"/>
      <c r="AV234" s="178"/>
      <c r="AW234" s="178"/>
      <c r="AX234" s="178"/>
      <c r="AY234" s="517"/>
      <c r="AZ234" s="131"/>
    </row>
    <row r="235" spans="1:52" ht="15.75" customHeight="1">
      <c r="A235" s="131"/>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c r="AH235" s="178"/>
      <c r="AI235" s="178"/>
      <c r="AJ235" s="178"/>
      <c r="AK235" s="178"/>
      <c r="AL235" s="178"/>
      <c r="AM235" s="178"/>
      <c r="AN235" s="178"/>
      <c r="AO235" s="178"/>
      <c r="AP235" s="178"/>
      <c r="AQ235" s="178"/>
      <c r="AR235" s="178"/>
      <c r="AS235" s="178"/>
      <c r="AT235" s="178"/>
      <c r="AU235" s="178"/>
      <c r="AV235" s="178"/>
      <c r="AW235" s="178"/>
      <c r="AX235" s="178"/>
      <c r="AY235" s="517"/>
      <c r="AZ235" s="131"/>
    </row>
    <row r="236" spans="1:52" ht="15.75" customHeight="1">
      <c r="A236" s="131"/>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517"/>
      <c r="AZ236" s="131"/>
    </row>
    <row r="237" spans="1:52" ht="15.75" customHeight="1">
      <c r="A237" s="131"/>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78"/>
      <c r="AW237" s="178"/>
      <c r="AX237" s="178"/>
      <c r="AY237" s="517"/>
      <c r="AZ237" s="131"/>
    </row>
    <row r="238" spans="1:52" ht="15.75" customHeight="1">
      <c r="A238" s="131"/>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8"/>
      <c r="AL238" s="178"/>
      <c r="AM238" s="178"/>
      <c r="AN238" s="178"/>
      <c r="AO238" s="178"/>
      <c r="AP238" s="178"/>
      <c r="AQ238" s="178"/>
      <c r="AR238" s="178"/>
      <c r="AS238" s="178"/>
      <c r="AT238" s="178"/>
      <c r="AU238" s="178"/>
      <c r="AV238" s="178"/>
      <c r="AW238" s="178"/>
      <c r="AX238" s="178"/>
      <c r="AY238" s="517"/>
      <c r="AZ238" s="131"/>
    </row>
    <row r="239" spans="1:52" ht="15.75" customHeight="1">
      <c r="A239" s="131"/>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8"/>
      <c r="AL239" s="178"/>
      <c r="AM239" s="178"/>
      <c r="AN239" s="178"/>
      <c r="AO239" s="178"/>
      <c r="AP239" s="178"/>
      <c r="AQ239" s="178"/>
      <c r="AR239" s="178"/>
      <c r="AS239" s="178"/>
      <c r="AT239" s="178"/>
      <c r="AU239" s="178"/>
      <c r="AV239" s="178"/>
      <c r="AW239" s="178"/>
      <c r="AX239" s="178"/>
      <c r="AY239" s="517"/>
      <c r="AZ239" s="131"/>
    </row>
    <row r="240" spans="1:52" ht="15.75" customHeight="1">
      <c r="A240" s="131"/>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c r="AH240" s="178"/>
      <c r="AI240" s="178"/>
      <c r="AJ240" s="178"/>
      <c r="AK240" s="178"/>
      <c r="AL240" s="178"/>
      <c r="AM240" s="178"/>
      <c r="AN240" s="178"/>
      <c r="AO240" s="178"/>
      <c r="AP240" s="178"/>
      <c r="AQ240" s="178"/>
      <c r="AR240" s="178"/>
      <c r="AS240" s="178"/>
      <c r="AT240" s="178"/>
      <c r="AU240" s="178"/>
      <c r="AV240" s="178"/>
      <c r="AW240" s="178"/>
      <c r="AX240" s="178"/>
      <c r="AY240" s="517"/>
      <c r="AZ240" s="131"/>
    </row>
    <row r="241" spans="1:52" ht="15.75" customHeight="1">
      <c r="A241" s="131"/>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c r="AH241" s="178"/>
      <c r="AI241" s="178"/>
      <c r="AJ241" s="178"/>
      <c r="AK241" s="178"/>
      <c r="AL241" s="178"/>
      <c r="AM241" s="178"/>
      <c r="AN241" s="178"/>
      <c r="AO241" s="178"/>
      <c r="AP241" s="178"/>
      <c r="AQ241" s="178"/>
      <c r="AR241" s="178"/>
      <c r="AS241" s="178"/>
      <c r="AT241" s="178"/>
      <c r="AU241" s="178"/>
      <c r="AV241" s="178"/>
      <c r="AW241" s="178"/>
      <c r="AX241" s="178"/>
      <c r="AY241" s="517"/>
      <c r="AZ241" s="131"/>
    </row>
    <row r="242" spans="1:52" ht="15.75" customHeight="1">
      <c r="A242" s="131"/>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c r="AJ242" s="178"/>
      <c r="AK242" s="178"/>
      <c r="AL242" s="178"/>
      <c r="AM242" s="178"/>
      <c r="AN242" s="178"/>
      <c r="AO242" s="178"/>
      <c r="AP242" s="178"/>
      <c r="AQ242" s="178"/>
      <c r="AR242" s="178"/>
      <c r="AS242" s="178"/>
      <c r="AT242" s="178"/>
      <c r="AU242" s="178"/>
      <c r="AV242" s="178"/>
      <c r="AW242" s="178"/>
      <c r="AX242" s="178"/>
      <c r="AY242" s="517"/>
      <c r="AZ242" s="131"/>
    </row>
    <row r="243" spans="1:52" ht="15.75" customHeight="1">
      <c r="A243" s="131"/>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c r="AJ243" s="178"/>
      <c r="AK243" s="178"/>
      <c r="AL243" s="178"/>
      <c r="AM243" s="178"/>
      <c r="AN243" s="178"/>
      <c r="AO243" s="178"/>
      <c r="AP243" s="178"/>
      <c r="AQ243" s="178"/>
      <c r="AR243" s="178"/>
      <c r="AS243" s="178"/>
      <c r="AT243" s="178"/>
      <c r="AU243" s="178"/>
      <c r="AV243" s="178"/>
      <c r="AW243" s="178"/>
      <c r="AX243" s="178"/>
      <c r="AY243" s="517"/>
      <c r="AZ243" s="131"/>
    </row>
    <row r="244" spans="1:52" ht="15.75" customHeight="1">
      <c r="A244" s="131"/>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c r="AH244" s="178"/>
      <c r="AI244" s="178"/>
      <c r="AJ244" s="178"/>
      <c r="AK244" s="178"/>
      <c r="AL244" s="178"/>
      <c r="AM244" s="178"/>
      <c r="AN244" s="178"/>
      <c r="AO244" s="178"/>
      <c r="AP244" s="178"/>
      <c r="AQ244" s="178"/>
      <c r="AR244" s="178"/>
      <c r="AS244" s="178"/>
      <c r="AT244" s="178"/>
      <c r="AU244" s="178"/>
      <c r="AV244" s="178"/>
      <c r="AW244" s="178"/>
      <c r="AX244" s="178"/>
      <c r="AY244" s="517"/>
      <c r="AZ244" s="131"/>
    </row>
    <row r="245" spans="1:52" ht="15.75" customHeight="1">
      <c r="A245" s="131"/>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c r="AH245" s="178"/>
      <c r="AI245" s="178"/>
      <c r="AJ245" s="178"/>
      <c r="AK245" s="178"/>
      <c r="AL245" s="178"/>
      <c r="AM245" s="178"/>
      <c r="AN245" s="178"/>
      <c r="AO245" s="178"/>
      <c r="AP245" s="178"/>
      <c r="AQ245" s="178"/>
      <c r="AR245" s="178"/>
      <c r="AS245" s="178"/>
      <c r="AT245" s="178"/>
      <c r="AU245" s="178"/>
      <c r="AV245" s="178"/>
      <c r="AW245" s="178"/>
      <c r="AX245" s="178"/>
      <c r="AY245" s="517"/>
      <c r="AZ245" s="131"/>
    </row>
    <row r="246" spans="1:52" ht="15.75" customHeight="1">
      <c r="A246" s="131"/>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c r="AJ246" s="178"/>
      <c r="AK246" s="178"/>
      <c r="AL246" s="178"/>
      <c r="AM246" s="178"/>
      <c r="AN246" s="178"/>
      <c r="AO246" s="178"/>
      <c r="AP246" s="178"/>
      <c r="AQ246" s="178"/>
      <c r="AR246" s="178"/>
      <c r="AS246" s="178"/>
      <c r="AT246" s="178"/>
      <c r="AU246" s="178"/>
      <c r="AV246" s="178"/>
      <c r="AW246" s="178"/>
      <c r="AX246" s="178"/>
      <c r="AY246" s="517"/>
      <c r="AZ246" s="131"/>
    </row>
    <row r="247" spans="1:52" ht="15.75" customHeight="1">
      <c r="A247" s="131"/>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c r="AJ247" s="178"/>
      <c r="AK247" s="178"/>
      <c r="AL247" s="178"/>
      <c r="AM247" s="178"/>
      <c r="AN247" s="178"/>
      <c r="AO247" s="178"/>
      <c r="AP247" s="178"/>
      <c r="AQ247" s="178"/>
      <c r="AR247" s="178"/>
      <c r="AS247" s="178"/>
      <c r="AT247" s="178"/>
      <c r="AU247" s="178"/>
      <c r="AV247" s="178"/>
      <c r="AW247" s="178"/>
      <c r="AX247" s="178"/>
      <c r="AY247" s="517"/>
      <c r="AZ247" s="131"/>
    </row>
    <row r="248" spans="1:52" ht="15.75" customHeight="1">
      <c r="A248" s="131"/>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c r="AH248" s="178"/>
      <c r="AI248" s="178"/>
      <c r="AJ248" s="178"/>
      <c r="AK248" s="178"/>
      <c r="AL248" s="178"/>
      <c r="AM248" s="178"/>
      <c r="AN248" s="178"/>
      <c r="AO248" s="178"/>
      <c r="AP248" s="178"/>
      <c r="AQ248" s="178"/>
      <c r="AR248" s="178"/>
      <c r="AS248" s="178"/>
      <c r="AT248" s="178"/>
      <c r="AU248" s="178"/>
      <c r="AV248" s="178"/>
      <c r="AW248" s="178"/>
      <c r="AX248" s="178"/>
      <c r="AY248" s="517"/>
      <c r="AZ248" s="131"/>
    </row>
    <row r="249" spans="1:52" ht="15.75" customHeight="1">
      <c r="A249" s="131"/>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8"/>
      <c r="AL249" s="178"/>
      <c r="AM249" s="178"/>
      <c r="AN249" s="178"/>
      <c r="AO249" s="178"/>
      <c r="AP249" s="178"/>
      <c r="AQ249" s="178"/>
      <c r="AR249" s="178"/>
      <c r="AS249" s="178"/>
      <c r="AT249" s="178"/>
      <c r="AU249" s="178"/>
      <c r="AV249" s="178"/>
      <c r="AW249" s="178"/>
      <c r="AX249" s="178"/>
      <c r="AY249" s="517"/>
      <c r="AZ249" s="131"/>
    </row>
    <row r="250" spans="1:52" ht="15.75" customHeight="1">
      <c r="A250" s="131"/>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c r="AJ250" s="178"/>
      <c r="AK250" s="178"/>
      <c r="AL250" s="178"/>
      <c r="AM250" s="178"/>
      <c r="AN250" s="178"/>
      <c r="AO250" s="178"/>
      <c r="AP250" s="178"/>
      <c r="AQ250" s="178"/>
      <c r="AR250" s="178"/>
      <c r="AS250" s="178"/>
      <c r="AT250" s="178"/>
      <c r="AU250" s="178"/>
      <c r="AV250" s="178"/>
      <c r="AW250" s="178"/>
      <c r="AX250" s="178"/>
      <c r="AY250" s="517"/>
      <c r="AZ250" s="131"/>
    </row>
    <row r="251" spans="1:52" ht="15.75" customHeight="1">
      <c r="A251" s="131"/>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78"/>
      <c r="AW251" s="178"/>
      <c r="AX251" s="178"/>
      <c r="AY251" s="517"/>
      <c r="AZ251" s="131"/>
    </row>
    <row r="252" spans="1:52" ht="15.75" customHeight="1">
      <c r="A252" s="131"/>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c r="AH252" s="178"/>
      <c r="AI252" s="178"/>
      <c r="AJ252" s="178"/>
      <c r="AK252" s="178"/>
      <c r="AL252" s="178"/>
      <c r="AM252" s="178"/>
      <c r="AN252" s="178"/>
      <c r="AO252" s="178"/>
      <c r="AP252" s="178"/>
      <c r="AQ252" s="178"/>
      <c r="AR252" s="178"/>
      <c r="AS252" s="178"/>
      <c r="AT252" s="178"/>
      <c r="AU252" s="178"/>
      <c r="AV252" s="178"/>
      <c r="AW252" s="178"/>
      <c r="AX252" s="178"/>
      <c r="AY252" s="517"/>
      <c r="AZ252" s="131"/>
    </row>
    <row r="253" spans="1:52" ht="15.75" customHeight="1">
      <c r="A253" s="131"/>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c r="AH253" s="178"/>
      <c r="AI253" s="178"/>
      <c r="AJ253" s="178"/>
      <c r="AK253" s="178"/>
      <c r="AL253" s="178"/>
      <c r="AM253" s="178"/>
      <c r="AN253" s="178"/>
      <c r="AO253" s="178"/>
      <c r="AP253" s="178"/>
      <c r="AQ253" s="178"/>
      <c r="AR253" s="178"/>
      <c r="AS253" s="178"/>
      <c r="AT253" s="178"/>
      <c r="AU253" s="178"/>
      <c r="AV253" s="178"/>
      <c r="AW253" s="178"/>
      <c r="AX253" s="178"/>
      <c r="AY253" s="517"/>
      <c r="AZ253" s="131"/>
    </row>
    <row r="254" spans="1:52" ht="15.75" customHeight="1">
      <c r="A254" s="131"/>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c r="AJ254" s="178"/>
      <c r="AK254" s="178"/>
      <c r="AL254" s="178"/>
      <c r="AM254" s="178"/>
      <c r="AN254" s="178"/>
      <c r="AO254" s="178"/>
      <c r="AP254" s="178"/>
      <c r="AQ254" s="178"/>
      <c r="AR254" s="178"/>
      <c r="AS254" s="178"/>
      <c r="AT254" s="178"/>
      <c r="AU254" s="178"/>
      <c r="AV254" s="178"/>
      <c r="AW254" s="178"/>
      <c r="AX254" s="178"/>
      <c r="AY254" s="517"/>
      <c r="AZ254" s="131"/>
    </row>
    <row r="255" spans="1:52" ht="15.75" customHeight="1">
      <c r="A255" s="131"/>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c r="AJ255" s="178"/>
      <c r="AK255" s="178"/>
      <c r="AL255" s="178"/>
      <c r="AM255" s="178"/>
      <c r="AN255" s="178"/>
      <c r="AO255" s="178"/>
      <c r="AP255" s="178"/>
      <c r="AQ255" s="178"/>
      <c r="AR255" s="178"/>
      <c r="AS255" s="178"/>
      <c r="AT255" s="178"/>
      <c r="AU255" s="178"/>
      <c r="AV255" s="178"/>
      <c r="AW255" s="178"/>
      <c r="AX255" s="178"/>
      <c r="AY255" s="517"/>
      <c r="AZ255" s="131"/>
    </row>
    <row r="256" spans="1:52" ht="15.75" customHeight="1">
      <c r="A256" s="131"/>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c r="AH256" s="178"/>
      <c r="AI256" s="178"/>
      <c r="AJ256" s="178"/>
      <c r="AK256" s="178"/>
      <c r="AL256" s="178"/>
      <c r="AM256" s="178"/>
      <c r="AN256" s="178"/>
      <c r="AO256" s="178"/>
      <c r="AP256" s="178"/>
      <c r="AQ256" s="178"/>
      <c r="AR256" s="178"/>
      <c r="AS256" s="178"/>
      <c r="AT256" s="178"/>
      <c r="AU256" s="178"/>
      <c r="AV256" s="178"/>
      <c r="AW256" s="178"/>
      <c r="AX256" s="178"/>
      <c r="AY256" s="517"/>
      <c r="AZ256" s="131"/>
    </row>
    <row r="257" spans="1:52" ht="15.75" customHeight="1">
      <c r="A257" s="131"/>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c r="AH257" s="178"/>
      <c r="AI257" s="178"/>
      <c r="AJ257" s="178"/>
      <c r="AK257" s="178"/>
      <c r="AL257" s="178"/>
      <c r="AM257" s="178"/>
      <c r="AN257" s="178"/>
      <c r="AO257" s="178"/>
      <c r="AP257" s="178"/>
      <c r="AQ257" s="178"/>
      <c r="AR257" s="178"/>
      <c r="AS257" s="178"/>
      <c r="AT257" s="178"/>
      <c r="AU257" s="178"/>
      <c r="AV257" s="178"/>
      <c r="AW257" s="178"/>
      <c r="AX257" s="178"/>
      <c r="AY257" s="517"/>
      <c r="AZ257" s="131"/>
    </row>
    <row r="258" spans="1:52" ht="15.75" customHeight="1">
      <c r="A258" s="131"/>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c r="AJ258" s="178"/>
      <c r="AK258" s="178"/>
      <c r="AL258" s="178"/>
      <c r="AM258" s="178"/>
      <c r="AN258" s="178"/>
      <c r="AO258" s="178"/>
      <c r="AP258" s="178"/>
      <c r="AQ258" s="178"/>
      <c r="AR258" s="178"/>
      <c r="AS258" s="178"/>
      <c r="AT258" s="178"/>
      <c r="AU258" s="178"/>
      <c r="AV258" s="178"/>
      <c r="AW258" s="178"/>
      <c r="AX258" s="178"/>
      <c r="AY258" s="517"/>
      <c r="AZ258" s="131"/>
    </row>
    <row r="259" spans="1:52" ht="15.75" customHeight="1">
      <c r="A259" s="131"/>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c r="AJ259" s="178"/>
      <c r="AK259" s="178"/>
      <c r="AL259" s="178"/>
      <c r="AM259" s="178"/>
      <c r="AN259" s="178"/>
      <c r="AO259" s="178"/>
      <c r="AP259" s="178"/>
      <c r="AQ259" s="178"/>
      <c r="AR259" s="178"/>
      <c r="AS259" s="178"/>
      <c r="AT259" s="178"/>
      <c r="AU259" s="178"/>
      <c r="AV259" s="178"/>
      <c r="AW259" s="178"/>
      <c r="AX259" s="178"/>
      <c r="AY259" s="517"/>
      <c r="AZ259" s="131"/>
    </row>
    <row r="260" spans="1:52" ht="15.75" customHeight="1">
      <c r="A260" s="131"/>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c r="AJ260" s="178"/>
      <c r="AK260" s="178"/>
      <c r="AL260" s="178"/>
      <c r="AM260" s="178"/>
      <c r="AN260" s="178"/>
      <c r="AO260" s="178"/>
      <c r="AP260" s="178"/>
      <c r="AQ260" s="178"/>
      <c r="AR260" s="178"/>
      <c r="AS260" s="178"/>
      <c r="AT260" s="178"/>
      <c r="AU260" s="178"/>
      <c r="AV260" s="178"/>
      <c r="AW260" s="178"/>
      <c r="AX260" s="178"/>
      <c r="AY260" s="517"/>
      <c r="AZ260" s="131"/>
    </row>
    <row r="261" spans="1:52" ht="15.75" customHeight="1">
      <c r="A261" s="131"/>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c r="AJ261" s="178"/>
      <c r="AK261" s="178"/>
      <c r="AL261" s="178"/>
      <c r="AM261" s="178"/>
      <c r="AN261" s="178"/>
      <c r="AO261" s="178"/>
      <c r="AP261" s="178"/>
      <c r="AQ261" s="178"/>
      <c r="AR261" s="178"/>
      <c r="AS261" s="178"/>
      <c r="AT261" s="178"/>
      <c r="AU261" s="178"/>
      <c r="AV261" s="178"/>
      <c r="AW261" s="178"/>
      <c r="AX261" s="178"/>
      <c r="AY261" s="517"/>
      <c r="AZ261" s="131"/>
    </row>
    <row r="262" spans="1:52" ht="15.75" customHeight="1">
      <c r="A262" s="131"/>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c r="AJ262" s="178"/>
      <c r="AK262" s="178"/>
      <c r="AL262" s="178"/>
      <c r="AM262" s="178"/>
      <c r="AN262" s="178"/>
      <c r="AO262" s="178"/>
      <c r="AP262" s="178"/>
      <c r="AQ262" s="178"/>
      <c r="AR262" s="178"/>
      <c r="AS262" s="178"/>
      <c r="AT262" s="178"/>
      <c r="AU262" s="178"/>
      <c r="AV262" s="178"/>
      <c r="AW262" s="178"/>
      <c r="AX262" s="178"/>
      <c r="AY262" s="517"/>
      <c r="AZ262" s="131"/>
    </row>
    <row r="263" spans="1:52" ht="15.75" customHeight="1">
      <c r="A263" s="131"/>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c r="AJ263" s="178"/>
      <c r="AK263" s="178"/>
      <c r="AL263" s="178"/>
      <c r="AM263" s="178"/>
      <c r="AN263" s="178"/>
      <c r="AO263" s="178"/>
      <c r="AP263" s="178"/>
      <c r="AQ263" s="178"/>
      <c r="AR263" s="178"/>
      <c r="AS263" s="178"/>
      <c r="AT263" s="178"/>
      <c r="AU263" s="178"/>
      <c r="AV263" s="178"/>
      <c r="AW263" s="178"/>
      <c r="AX263" s="178"/>
      <c r="AY263" s="517"/>
      <c r="AZ263" s="131"/>
    </row>
    <row r="264" spans="1:52" ht="15.75" customHeight="1">
      <c r="A264" s="131"/>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c r="AH264" s="178"/>
      <c r="AI264" s="178"/>
      <c r="AJ264" s="178"/>
      <c r="AK264" s="178"/>
      <c r="AL264" s="178"/>
      <c r="AM264" s="178"/>
      <c r="AN264" s="178"/>
      <c r="AO264" s="178"/>
      <c r="AP264" s="178"/>
      <c r="AQ264" s="178"/>
      <c r="AR264" s="178"/>
      <c r="AS264" s="178"/>
      <c r="AT264" s="178"/>
      <c r="AU264" s="178"/>
      <c r="AV264" s="178"/>
      <c r="AW264" s="178"/>
      <c r="AX264" s="178"/>
      <c r="AY264" s="517"/>
      <c r="AZ264" s="131"/>
    </row>
    <row r="265" spans="1:52" ht="15.75" customHeight="1">
      <c r="A265" s="131"/>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c r="AH265" s="178"/>
      <c r="AI265" s="178"/>
      <c r="AJ265" s="178"/>
      <c r="AK265" s="178"/>
      <c r="AL265" s="178"/>
      <c r="AM265" s="178"/>
      <c r="AN265" s="178"/>
      <c r="AO265" s="178"/>
      <c r="AP265" s="178"/>
      <c r="AQ265" s="178"/>
      <c r="AR265" s="178"/>
      <c r="AS265" s="178"/>
      <c r="AT265" s="178"/>
      <c r="AU265" s="178"/>
      <c r="AV265" s="178"/>
      <c r="AW265" s="178"/>
      <c r="AX265" s="178"/>
      <c r="AY265" s="517"/>
      <c r="AZ265" s="131"/>
    </row>
    <row r="266" spans="1:52" ht="15.75" customHeight="1">
      <c r="A266" s="131"/>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c r="AH266" s="178"/>
      <c r="AI266" s="178"/>
      <c r="AJ266" s="178"/>
      <c r="AK266" s="178"/>
      <c r="AL266" s="178"/>
      <c r="AM266" s="178"/>
      <c r="AN266" s="178"/>
      <c r="AO266" s="178"/>
      <c r="AP266" s="178"/>
      <c r="AQ266" s="178"/>
      <c r="AR266" s="178"/>
      <c r="AS266" s="178"/>
      <c r="AT266" s="178"/>
      <c r="AU266" s="178"/>
      <c r="AV266" s="178"/>
      <c r="AW266" s="178"/>
      <c r="AX266" s="178"/>
      <c r="AY266" s="517"/>
      <c r="AZ266" s="131"/>
    </row>
    <row r="267" spans="1:52" ht="15.75" customHeight="1">
      <c r="A267" s="131"/>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c r="AH267" s="178"/>
      <c r="AI267" s="178"/>
      <c r="AJ267" s="178"/>
      <c r="AK267" s="178"/>
      <c r="AL267" s="178"/>
      <c r="AM267" s="178"/>
      <c r="AN267" s="178"/>
      <c r="AO267" s="178"/>
      <c r="AP267" s="178"/>
      <c r="AQ267" s="178"/>
      <c r="AR267" s="178"/>
      <c r="AS267" s="178"/>
      <c r="AT267" s="178"/>
      <c r="AU267" s="178"/>
      <c r="AV267" s="178"/>
      <c r="AW267" s="178"/>
      <c r="AX267" s="178"/>
      <c r="AY267" s="517"/>
      <c r="AZ267" s="131"/>
    </row>
    <row r="268" spans="1:52" ht="15.75" customHeight="1">
      <c r="A268" s="131"/>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c r="AH268" s="178"/>
      <c r="AI268" s="178"/>
      <c r="AJ268" s="178"/>
      <c r="AK268" s="178"/>
      <c r="AL268" s="178"/>
      <c r="AM268" s="178"/>
      <c r="AN268" s="178"/>
      <c r="AO268" s="178"/>
      <c r="AP268" s="178"/>
      <c r="AQ268" s="178"/>
      <c r="AR268" s="178"/>
      <c r="AS268" s="178"/>
      <c r="AT268" s="178"/>
      <c r="AU268" s="178"/>
      <c r="AV268" s="178"/>
      <c r="AW268" s="178"/>
      <c r="AX268" s="178"/>
      <c r="AY268" s="517"/>
      <c r="AZ268" s="131"/>
    </row>
    <row r="269" spans="1:52" ht="15.75" customHeight="1">
      <c r="A269" s="131"/>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c r="AJ269" s="178"/>
      <c r="AK269" s="178"/>
      <c r="AL269" s="178"/>
      <c r="AM269" s="178"/>
      <c r="AN269" s="178"/>
      <c r="AO269" s="178"/>
      <c r="AP269" s="178"/>
      <c r="AQ269" s="178"/>
      <c r="AR269" s="178"/>
      <c r="AS269" s="178"/>
      <c r="AT269" s="178"/>
      <c r="AU269" s="178"/>
      <c r="AV269" s="178"/>
      <c r="AW269" s="178"/>
      <c r="AX269" s="178"/>
      <c r="AY269" s="517"/>
      <c r="AZ269" s="131"/>
    </row>
    <row r="270" spans="1:52" ht="15.75" customHeight="1">
      <c r="A270" s="131"/>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c r="AJ270" s="178"/>
      <c r="AK270" s="178"/>
      <c r="AL270" s="178"/>
      <c r="AM270" s="178"/>
      <c r="AN270" s="178"/>
      <c r="AO270" s="178"/>
      <c r="AP270" s="178"/>
      <c r="AQ270" s="178"/>
      <c r="AR270" s="178"/>
      <c r="AS270" s="178"/>
      <c r="AT270" s="178"/>
      <c r="AU270" s="178"/>
      <c r="AV270" s="178"/>
      <c r="AW270" s="178"/>
      <c r="AX270" s="178"/>
      <c r="AY270" s="517"/>
      <c r="AZ270" s="131"/>
    </row>
    <row r="271" spans="1:52" ht="15.75" customHeight="1">
      <c r="A271" s="131"/>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c r="AH271" s="178"/>
      <c r="AI271" s="178"/>
      <c r="AJ271" s="178"/>
      <c r="AK271" s="178"/>
      <c r="AL271" s="178"/>
      <c r="AM271" s="178"/>
      <c r="AN271" s="178"/>
      <c r="AO271" s="178"/>
      <c r="AP271" s="178"/>
      <c r="AQ271" s="178"/>
      <c r="AR271" s="178"/>
      <c r="AS271" s="178"/>
      <c r="AT271" s="178"/>
      <c r="AU271" s="178"/>
      <c r="AV271" s="178"/>
      <c r="AW271" s="178"/>
      <c r="AX271" s="178"/>
      <c r="AY271" s="517"/>
      <c r="AZ271" s="131"/>
    </row>
    <row r="272" spans="1:52" ht="15.75" customHeight="1">
      <c r="A272" s="131"/>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c r="AJ272" s="178"/>
      <c r="AK272" s="178"/>
      <c r="AL272" s="178"/>
      <c r="AM272" s="178"/>
      <c r="AN272" s="178"/>
      <c r="AO272" s="178"/>
      <c r="AP272" s="178"/>
      <c r="AQ272" s="178"/>
      <c r="AR272" s="178"/>
      <c r="AS272" s="178"/>
      <c r="AT272" s="178"/>
      <c r="AU272" s="178"/>
      <c r="AV272" s="178"/>
      <c r="AW272" s="178"/>
      <c r="AX272" s="178"/>
      <c r="AY272" s="517"/>
      <c r="AZ272" s="131"/>
    </row>
    <row r="273" spans="1:52" ht="15.75" customHeight="1">
      <c r="A273" s="131"/>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8"/>
      <c r="AL273" s="178"/>
      <c r="AM273" s="178"/>
      <c r="AN273" s="178"/>
      <c r="AO273" s="178"/>
      <c r="AP273" s="178"/>
      <c r="AQ273" s="178"/>
      <c r="AR273" s="178"/>
      <c r="AS273" s="178"/>
      <c r="AT273" s="178"/>
      <c r="AU273" s="178"/>
      <c r="AV273" s="178"/>
      <c r="AW273" s="178"/>
      <c r="AX273" s="178"/>
      <c r="AY273" s="517"/>
      <c r="AZ273" s="131"/>
    </row>
    <row r="274" spans="1:52" ht="15.75" customHeight="1">
      <c r="A274" s="131"/>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8"/>
      <c r="AL274" s="178"/>
      <c r="AM274" s="178"/>
      <c r="AN274" s="178"/>
      <c r="AO274" s="178"/>
      <c r="AP274" s="178"/>
      <c r="AQ274" s="178"/>
      <c r="AR274" s="178"/>
      <c r="AS274" s="178"/>
      <c r="AT274" s="178"/>
      <c r="AU274" s="178"/>
      <c r="AV274" s="178"/>
      <c r="AW274" s="178"/>
      <c r="AX274" s="178"/>
      <c r="AY274" s="517"/>
      <c r="AZ274" s="131"/>
    </row>
    <row r="275" spans="1:52" ht="15.75" customHeight="1">
      <c r="A275" s="131"/>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78"/>
      <c r="AW275" s="178"/>
      <c r="AX275" s="178"/>
      <c r="AY275" s="517"/>
      <c r="AZ275" s="131"/>
    </row>
    <row r="276" spans="1:52" ht="15.75" customHeight="1">
      <c r="A276" s="131"/>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c r="AH276" s="178"/>
      <c r="AI276" s="178"/>
      <c r="AJ276" s="178"/>
      <c r="AK276" s="178"/>
      <c r="AL276" s="178"/>
      <c r="AM276" s="178"/>
      <c r="AN276" s="178"/>
      <c r="AO276" s="178"/>
      <c r="AP276" s="178"/>
      <c r="AQ276" s="178"/>
      <c r="AR276" s="178"/>
      <c r="AS276" s="178"/>
      <c r="AT276" s="178"/>
      <c r="AU276" s="178"/>
      <c r="AV276" s="178"/>
      <c r="AW276" s="178"/>
      <c r="AX276" s="178"/>
      <c r="AY276" s="517"/>
      <c r="AZ276" s="131"/>
    </row>
    <row r="277" spans="1:52" ht="15.75" customHeight="1">
      <c r="A277" s="131"/>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c r="AJ277" s="178"/>
      <c r="AK277" s="178"/>
      <c r="AL277" s="178"/>
      <c r="AM277" s="178"/>
      <c r="AN277" s="178"/>
      <c r="AO277" s="178"/>
      <c r="AP277" s="178"/>
      <c r="AQ277" s="178"/>
      <c r="AR277" s="178"/>
      <c r="AS277" s="178"/>
      <c r="AT277" s="178"/>
      <c r="AU277" s="178"/>
      <c r="AV277" s="178"/>
      <c r="AW277" s="178"/>
      <c r="AX277" s="178"/>
      <c r="AY277" s="517"/>
      <c r="AZ277" s="131"/>
    </row>
    <row r="278" spans="1:52" ht="15.75" customHeight="1">
      <c r="A278" s="131"/>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c r="AJ278" s="178"/>
      <c r="AK278" s="178"/>
      <c r="AL278" s="178"/>
      <c r="AM278" s="178"/>
      <c r="AN278" s="178"/>
      <c r="AO278" s="178"/>
      <c r="AP278" s="178"/>
      <c r="AQ278" s="178"/>
      <c r="AR278" s="178"/>
      <c r="AS278" s="178"/>
      <c r="AT278" s="178"/>
      <c r="AU278" s="178"/>
      <c r="AV278" s="178"/>
      <c r="AW278" s="178"/>
      <c r="AX278" s="178"/>
      <c r="AY278" s="517"/>
      <c r="AZ278" s="131"/>
    </row>
    <row r="279" spans="1:52" ht="15.75" customHeight="1">
      <c r="A279" s="131"/>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c r="AJ279" s="178"/>
      <c r="AK279" s="178"/>
      <c r="AL279" s="178"/>
      <c r="AM279" s="178"/>
      <c r="AN279" s="178"/>
      <c r="AO279" s="178"/>
      <c r="AP279" s="178"/>
      <c r="AQ279" s="178"/>
      <c r="AR279" s="178"/>
      <c r="AS279" s="178"/>
      <c r="AT279" s="178"/>
      <c r="AU279" s="178"/>
      <c r="AV279" s="178"/>
      <c r="AW279" s="178"/>
      <c r="AX279" s="178"/>
      <c r="AY279" s="517"/>
      <c r="AZ279" s="131"/>
    </row>
    <row r="280" spans="1:52" ht="15.75" customHeight="1">
      <c r="A280" s="131"/>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c r="AJ280" s="178"/>
      <c r="AK280" s="178"/>
      <c r="AL280" s="178"/>
      <c r="AM280" s="178"/>
      <c r="AN280" s="178"/>
      <c r="AO280" s="178"/>
      <c r="AP280" s="178"/>
      <c r="AQ280" s="178"/>
      <c r="AR280" s="178"/>
      <c r="AS280" s="178"/>
      <c r="AT280" s="178"/>
      <c r="AU280" s="178"/>
      <c r="AV280" s="178"/>
      <c r="AW280" s="178"/>
      <c r="AX280" s="178"/>
      <c r="AY280" s="517"/>
      <c r="AZ280" s="131"/>
    </row>
    <row r="281" spans="1:52" ht="15.75" customHeight="1">
      <c r="A281" s="131"/>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c r="AJ281" s="178"/>
      <c r="AK281" s="178"/>
      <c r="AL281" s="178"/>
      <c r="AM281" s="178"/>
      <c r="AN281" s="178"/>
      <c r="AO281" s="178"/>
      <c r="AP281" s="178"/>
      <c r="AQ281" s="178"/>
      <c r="AR281" s="178"/>
      <c r="AS281" s="178"/>
      <c r="AT281" s="178"/>
      <c r="AU281" s="178"/>
      <c r="AV281" s="178"/>
      <c r="AW281" s="178"/>
      <c r="AX281" s="178"/>
      <c r="AY281" s="517"/>
      <c r="AZ281" s="131"/>
    </row>
    <row r="282" spans="1:52" ht="15.75" customHeight="1">
      <c r="A282" s="131"/>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c r="AH282" s="178"/>
      <c r="AI282" s="178"/>
      <c r="AJ282" s="178"/>
      <c r="AK282" s="178"/>
      <c r="AL282" s="178"/>
      <c r="AM282" s="178"/>
      <c r="AN282" s="178"/>
      <c r="AO282" s="178"/>
      <c r="AP282" s="178"/>
      <c r="AQ282" s="178"/>
      <c r="AR282" s="178"/>
      <c r="AS282" s="178"/>
      <c r="AT282" s="178"/>
      <c r="AU282" s="178"/>
      <c r="AV282" s="178"/>
      <c r="AW282" s="178"/>
      <c r="AX282" s="178"/>
      <c r="AY282" s="517"/>
      <c r="AZ282" s="131"/>
    </row>
    <row r="283" spans="1:52" ht="15.75" customHeight="1">
      <c r="A283" s="131"/>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8"/>
      <c r="AL283" s="178"/>
      <c r="AM283" s="178"/>
      <c r="AN283" s="178"/>
      <c r="AO283" s="178"/>
      <c r="AP283" s="178"/>
      <c r="AQ283" s="178"/>
      <c r="AR283" s="178"/>
      <c r="AS283" s="178"/>
      <c r="AT283" s="178"/>
      <c r="AU283" s="178"/>
      <c r="AV283" s="178"/>
      <c r="AW283" s="178"/>
      <c r="AX283" s="178"/>
      <c r="AY283" s="517"/>
      <c r="AZ283" s="131"/>
    </row>
    <row r="284" spans="1:52" ht="15.75" customHeight="1">
      <c r="A284" s="131"/>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c r="AH284" s="178"/>
      <c r="AI284" s="178"/>
      <c r="AJ284" s="178"/>
      <c r="AK284" s="178"/>
      <c r="AL284" s="178"/>
      <c r="AM284" s="178"/>
      <c r="AN284" s="178"/>
      <c r="AO284" s="178"/>
      <c r="AP284" s="178"/>
      <c r="AQ284" s="178"/>
      <c r="AR284" s="178"/>
      <c r="AS284" s="178"/>
      <c r="AT284" s="178"/>
      <c r="AU284" s="178"/>
      <c r="AV284" s="178"/>
      <c r="AW284" s="178"/>
      <c r="AX284" s="178"/>
      <c r="AY284" s="517"/>
      <c r="AZ284" s="131"/>
    </row>
    <row r="285" spans="1:52" ht="15.75" customHeight="1">
      <c r="A285" s="131"/>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c r="AJ285" s="178"/>
      <c r="AK285" s="178"/>
      <c r="AL285" s="178"/>
      <c r="AM285" s="178"/>
      <c r="AN285" s="178"/>
      <c r="AO285" s="178"/>
      <c r="AP285" s="178"/>
      <c r="AQ285" s="178"/>
      <c r="AR285" s="178"/>
      <c r="AS285" s="178"/>
      <c r="AT285" s="178"/>
      <c r="AU285" s="178"/>
      <c r="AV285" s="178"/>
      <c r="AW285" s="178"/>
      <c r="AX285" s="178"/>
      <c r="AY285" s="517"/>
      <c r="AZ285" s="131"/>
    </row>
    <row r="286" spans="1:52" ht="15.75" customHeight="1">
      <c r="A286" s="131"/>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c r="AJ286" s="178"/>
      <c r="AK286" s="178"/>
      <c r="AL286" s="178"/>
      <c r="AM286" s="178"/>
      <c r="AN286" s="178"/>
      <c r="AO286" s="178"/>
      <c r="AP286" s="178"/>
      <c r="AQ286" s="178"/>
      <c r="AR286" s="178"/>
      <c r="AS286" s="178"/>
      <c r="AT286" s="178"/>
      <c r="AU286" s="178"/>
      <c r="AV286" s="178"/>
      <c r="AW286" s="178"/>
      <c r="AX286" s="178"/>
      <c r="AY286" s="517"/>
      <c r="AZ286" s="131"/>
    </row>
    <row r="287" spans="1:52" ht="15.75" customHeight="1">
      <c r="A287" s="131"/>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c r="AH287" s="178"/>
      <c r="AI287" s="178"/>
      <c r="AJ287" s="178"/>
      <c r="AK287" s="178"/>
      <c r="AL287" s="178"/>
      <c r="AM287" s="178"/>
      <c r="AN287" s="178"/>
      <c r="AO287" s="178"/>
      <c r="AP287" s="178"/>
      <c r="AQ287" s="178"/>
      <c r="AR287" s="178"/>
      <c r="AS287" s="178"/>
      <c r="AT287" s="178"/>
      <c r="AU287" s="178"/>
      <c r="AV287" s="178"/>
      <c r="AW287" s="178"/>
      <c r="AX287" s="178"/>
      <c r="AY287" s="517"/>
      <c r="AZ287" s="131"/>
    </row>
    <row r="288" spans="1:52" ht="15.75" customHeight="1">
      <c r="A288" s="131"/>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c r="AH288" s="178"/>
      <c r="AI288" s="178"/>
      <c r="AJ288" s="178"/>
      <c r="AK288" s="178"/>
      <c r="AL288" s="178"/>
      <c r="AM288" s="178"/>
      <c r="AN288" s="178"/>
      <c r="AO288" s="178"/>
      <c r="AP288" s="178"/>
      <c r="AQ288" s="178"/>
      <c r="AR288" s="178"/>
      <c r="AS288" s="178"/>
      <c r="AT288" s="178"/>
      <c r="AU288" s="178"/>
      <c r="AV288" s="178"/>
      <c r="AW288" s="178"/>
      <c r="AX288" s="178"/>
      <c r="AY288" s="517"/>
      <c r="AZ288" s="131"/>
    </row>
    <row r="289" spans="1:52" ht="15.75" customHeight="1">
      <c r="A289" s="131"/>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c r="AH289" s="178"/>
      <c r="AI289" s="178"/>
      <c r="AJ289" s="178"/>
      <c r="AK289" s="178"/>
      <c r="AL289" s="178"/>
      <c r="AM289" s="178"/>
      <c r="AN289" s="178"/>
      <c r="AO289" s="178"/>
      <c r="AP289" s="178"/>
      <c r="AQ289" s="178"/>
      <c r="AR289" s="178"/>
      <c r="AS289" s="178"/>
      <c r="AT289" s="178"/>
      <c r="AU289" s="178"/>
      <c r="AV289" s="178"/>
      <c r="AW289" s="178"/>
      <c r="AX289" s="178"/>
      <c r="AY289" s="517"/>
      <c r="AZ289" s="131"/>
    </row>
    <row r="290" spans="1:52" ht="15.75" customHeight="1">
      <c r="A290" s="131"/>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c r="AJ290" s="178"/>
      <c r="AK290" s="178"/>
      <c r="AL290" s="178"/>
      <c r="AM290" s="178"/>
      <c r="AN290" s="178"/>
      <c r="AO290" s="178"/>
      <c r="AP290" s="178"/>
      <c r="AQ290" s="178"/>
      <c r="AR290" s="178"/>
      <c r="AS290" s="178"/>
      <c r="AT290" s="178"/>
      <c r="AU290" s="178"/>
      <c r="AV290" s="178"/>
      <c r="AW290" s="178"/>
      <c r="AX290" s="178"/>
      <c r="AY290" s="517"/>
      <c r="AZ290" s="131"/>
    </row>
    <row r="291" spans="1:52" ht="15.75" customHeight="1">
      <c r="A291" s="131"/>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c r="AJ291" s="178"/>
      <c r="AK291" s="178"/>
      <c r="AL291" s="178"/>
      <c r="AM291" s="178"/>
      <c r="AN291" s="178"/>
      <c r="AO291" s="178"/>
      <c r="AP291" s="178"/>
      <c r="AQ291" s="178"/>
      <c r="AR291" s="178"/>
      <c r="AS291" s="178"/>
      <c r="AT291" s="178"/>
      <c r="AU291" s="178"/>
      <c r="AV291" s="178"/>
      <c r="AW291" s="178"/>
      <c r="AX291" s="178"/>
      <c r="AY291" s="517"/>
      <c r="AZ291" s="131"/>
    </row>
    <row r="292" spans="1:52" ht="15.75" customHeight="1">
      <c r="A292" s="131"/>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c r="AH292" s="178"/>
      <c r="AI292" s="178"/>
      <c r="AJ292" s="178"/>
      <c r="AK292" s="178"/>
      <c r="AL292" s="178"/>
      <c r="AM292" s="178"/>
      <c r="AN292" s="178"/>
      <c r="AO292" s="178"/>
      <c r="AP292" s="178"/>
      <c r="AQ292" s="178"/>
      <c r="AR292" s="178"/>
      <c r="AS292" s="178"/>
      <c r="AT292" s="178"/>
      <c r="AU292" s="178"/>
      <c r="AV292" s="178"/>
      <c r="AW292" s="178"/>
      <c r="AX292" s="178"/>
      <c r="AY292" s="517"/>
      <c r="AZ292" s="131"/>
    </row>
    <row r="293" spans="1:52" ht="15.75" customHeight="1">
      <c r="A293" s="131"/>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c r="AH293" s="178"/>
      <c r="AI293" s="178"/>
      <c r="AJ293" s="178"/>
      <c r="AK293" s="178"/>
      <c r="AL293" s="178"/>
      <c r="AM293" s="178"/>
      <c r="AN293" s="178"/>
      <c r="AO293" s="178"/>
      <c r="AP293" s="178"/>
      <c r="AQ293" s="178"/>
      <c r="AR293" s="178"/>
      <c r="AS293" s="178"/>
      <c r="AT293" s="178"/>
      <c r="AU293" s="178"/>
      <c r="AV293" s="178"/>
      <c r="AW293" s="178"/>
      <c r="AX293" s="178"/>
      <c r="AY293" s="517"/>
      <c r="AZ293" s="131"/>
    </row>
    <row r="294" spans="1:52" ht="15.75" customHeight="1">
      <c r="A294" s="131"/>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c r="AH294" s="178"/>
      <c r="AI294" s="178"/>
      <c r="AJ294" s="178"/>
      <c r="AK294" s="178"/>
      <c r="AL294" s="178"/>
      <c r="AM294" s="178"/>
      <c r="AN294" s="178"/>
      <c r="AO294" s="178"/>
      <c r="AP294" s="178"/>
      <c r="AQ294" s="178"/>
      <c r="AR294" s="178"/>
      <c r="AS294" s="178"/>
      <c r="AT294" s="178"/>
      <c r="AU294" s="178"/>
      <c r="AV294" s="178"/>
      <c r="AW294" s="178"/>
      <c r="AX294" s="178"/>
      <c r="AY294" s="517"/>
      <c r="AZ294" s="131"/>
    </row>
    <row r="295" spans="1:52" ht="15.75" customHeight="1">
      <c r="A295" s="131"/>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c r="AJ295" s="178"/>
      <c r="AK295" s="178"/>
      <c r="AL295" s="178"/>
      <c r="AM295" s="178"/>
      <c r="AN295" s="178"/>
      <c r="AO295" s="178"/>
      <c r="AP295" s="178"/>
      <c r="AQ295" s="178"/>
      <c r="AR295" s="178"/>
      <c r="AS295" s="178"/>
      <c r="AT295" s="178"/>
      <c r="AU295" s="178"/>
      <c r="AV295" s="178"/>
      <c r="AW295" s="178"/>
      <c r="AX295" s="178"/>
      <c r="AY295" s="517"/>
      <c r="AZ295" s="131"/>
    </row>
    <row r="296" spans="1:52" ht="15.75" customHeight="1">
      <c r="A296" s="131"/>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c r="AJ296" s="178"/>
      <c r="AK296" s="178"/>
      <c r="AL296" s="178"/>
      <c r="AM296" s="178"/>
      <c r="AN296" s="178"/>
      <c r="AO296" s="178"/>
      <c r="AP296" s="178"/>
      <c r="AQ296" s="178"/>
      <c r="AR296" s="178"/>
      <c r="AS296" s="178"/>
      <c r="AT296" s="178"/>
      <c r="AU296" s="178"/>
      <c r="AV296" s="178"/>
      <c r="AW296" s="178"/>
      <c r="AX296" s="178"/>
      <c r="AY296" s="517"/>
      <c r="AZ296" s="131"/>
    </row>
    <row r="297" spans="1:52" ht="15.75" customHeight="1">
      <c r="A297" s="131"/>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178"/>
      <c r="AL297" s="178"/>
      <c r="AM297" s="178"/>
      <c r="AN297" s="178"/>
      <c r="AO297" s="178"/>
      <c r="AP297" s="178"/>
      <c r="AQ297" s="178"/>
      <c r="AR297" s="178"/>
      <c r="AS297" s="178"/>
      <c r="AT297" s="178"/>
      <c r="AU297" s="178"/>
      <c r="AV297" s="178"/>
      <c r="AW297" s="178"/>
      <c r="AX297" s="178"/>
      <c r="AY297" s="517"/>
      <c r="AZ297" s="131"/>
    </row>
    <row r="298" spans="1:52" ht="15.75" customHeight="1">
      <c r="A298" s="131"/>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c r="AH298" s="178"/>
      <c r="AI298" s="178"/>
      <c r="AJ298" s="178"/>
      <c r="AK298" s="178"/>
      <c r="AL298" s="178"/>
      <c r="AM298" s="178"/>
      <c r="AN298" s="178"/>
      <c r="AO298" s="178"/>
      <c r="AP298" s="178"/>
      <c r="AQ298" s="178"/>
      <c r="AR298" s="178"/>
      <c r="AS298" s="178"/>
      <c r="AT298" s="178"/>
      <c r="AU298" s="178"/>
      <c r="AV298" s="178"/>
      <c r="AW298" s="178"/>
      <c r="AX298" s="178"/>
      <c r="AY298" s="517"/>
      <c r="AZ298" s="131"/>
    </row>
    <row r="299" spans="1:52" ht="15.75" customHeight="1">
      <c r="A299" s="131"/>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c r="AH299" s="178"/>
      <c r="AI299" s="178"/>
      <c r="AJ299" s="178"/>
      <c r="AK299" s="178"/>
      <c r="AL299" s="178"/>
      <c r="AM299" s="178"/>
      <c r="AN299" s="178"/>
      <c r="AO299" s="178"/>
      <c r="AP299" s="178"/>
      <c r="AQ299" s="178"/>
      <c r="AR299" s="178"/>
      <c r="AS299" s="178"/>
      <c r="AT299" s="178"/>
      <c r="AU299" s="178"/>
      <c r="AV299" s="178"/>
      <c r="AW299" s="178"/>
      <c r="AX299" s="178"/>
      <c r="AY299" s="517"/>
      <c r="AZ299" s="131"/>
    </row>
    <row r="300" spans="1:52" ht="15.75" customHeight="1">
      <c r="A300" s="131"/>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c r="AH300" s="178"/>
      <c r="AI300" s="178"/>
      <c r="AJ300" s="178"/>
      <c r="AK300" s="178"/>
      <c r="AL300" s="178"/>
      <c r="AM300" s="178"/>
      <c r="AN300" s="178"/>
      <c r="AO300" s="178"/>
      <c r="AP300" s="178"/>
      <c r="AQ300" s="178"/>
      <c r="AR300" s="178"/>
      <c r="AS300" s="178"/>
      <c r="AT300" s="178"/>
      <c r="AU300" s="178"/>
      <c r="AV300" s="178"/>
      <c r="AW300" s="178"/>
      <c r="AX300" s="178"/>
      <c r="AY300" s="517"/>
      <c r="AZ300" s="131"/>
    </row>
    <row r="301" spans="1:52" ht="15.75" customHeight="1">
      <c r="A301" s="131"/>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c r="AH301" s="178"/>
      <c r="AI301" s="178"/>
      <c r="AJ301" s="178"/>
      <c r="AK301" s="178"/>
      <c r="AL301" s="178"/>
      <c r="AM301" s="178"/>
      <c r="AN301" s="178"/>
      <c r="AO301" s="178"/>
      <c r="AP301" s="178"/>
      <c r="AQ301" s="178"/>
      <c r="AR301" s="178"/>
      <c r="AS301" s="178"/>
      <c r="AT301" s="178"/>
      <c r="AU301" s="178"/>
      <c r="AV301" s="178"/>
      <c r="AW301" s="178"/>
      <c r="AX301" s="178"/>
      <c r="AY301" s="517"/>
      <c r="AZ301" s="131"/>
    </row>
    <row r="302" spans="1:52" ht="15.75" customHeight="1">
      <c r="A302" s="131"/>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c r="AJ302" s="178"/>
      <c r="AK302" s="178"/>
      <c r="AL302" s="178"/>
      <c r="AM302" s="178"/>
      <c r="AN302" s="178"/>
      <c r="AO302" s="178"/>
      <c r="AP302" s="178"/>
      <c r="AQ302" s="178"/>
      <c r="AR302" s="178"/>
      <c r="AS302" s="178"/>
      <c r="AT302" s="178"/>
      <c r="AU302" s="178"/>
      <c r="AV302" s="178"/>
      <c r="AW302" s="178"/>
      <c r="AX302" s="178"/>
      <c r="AY302" s="517"/>
      <c r="AZ302" s="131"/>
    </row>
    <row r="303" spans="1:52" ht="15.75" customHeight="1">
      <c r="A303" s="131"/>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c r="AH303" s="178"/>
      <c r="AI303" s="178"/>
      <c r="AJ303" s="178"/>
      <c r="AK303" s="178"/>
      <c r="AL303" s="178"/>
      <c r="AM303" s="178"/>
      <c r="AN303" s="178"/>
      <c r="AO303" s="178"/>
      <c r="AP303" s="178"/>
      <c r="AQ303" s="178"/>
      <c r="AR303" s="178"/>
      <c r="AS303" s="178"/>
      <c r="AT303" s="178"/>
      <c r="AU303" s="178"/>
      <c r="AV303" s="178"/>
      <c r="AW303" s="178"/>
      <c r="AX303" s="178"/>
      <c r="AY303" s="517"/>
      <c r="AZ303" s="131"/>
    </row>
    <row r="304" spans="1:52" ht="15.75" customHeight="1">
      <c r="A304" s="131"/>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c r="AH304" s="178"/>
      <c r="AI304" s="178"/>
      <c r="AJ304" s="178"/>
      <c r="AK304" s="178"/>
      <c r="AL304" s="178"/>
      <c r="AM304" s="178"/>
      <c r="AN304" s="178"/>
      <c r="AO304" s="178"/>
      <c r="AP304" s="178"/>
      <c r="AQ304" s="178"/>
      <c r="AR304" s="178"/>
      <c r="AS304" s="178"/>
      <c r="AT304" s="178"/>
      <c r="AU304" s="178"/>
      <c r="AV304" s="178"/>
      <c r="AW304" s="178"/>
      <c r="AX304" s="178"/>
      <c r="AY304" s="517"/>
      <c r="AZ304" s="131"/>
    </row>
    <row r="305" spans="1:52" ht="15.75" customHeight="1">
      <c r="A305" s="131"/>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c r="AH305" s="178"/>
      <c r="AI305" s="178"/>
      <c r="AJ305" s="178"/>
      <c r="AK305" s="178"/>
      <c r="AL305" s="178"/>
      <c r="AM305" s="178"/>
      <c r="AN305" s="178"/>
      <c r="AO305" s="178"/>
      <c r="AP305" s="178"/>
      <c r="AQ305" s="178"/>
      <c r="AR305" s="178"/>
      <c r="AS305" s="178"/>
      <c r="AT305" s="178"/>
      <c r="AU305" s="178"/>
      <c r="AV305" s="178"/>
      <c r="AW305" s="178"/>
      <c r="AX305" s="178"/>
      <c r="AY305" s="517"/>
      <c r="AZ305" s="131"/>
    </row>
    <row r="306" spans="1:52" ht="15.75" customHeight="1">
      <c r="A306" s="131"/>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c r="AH306" s="178"/>
      <c r="AI306" s="178"/>
      <c r="AJ306" s="178"/>
      <c r="AK306" s="178"/>
      <c r="AL306" s="178"/>
      <c r="AM306" s="178"/>
      <c r="AN306" s="178"/>
      <c r="AO306" s="178"/>
      <c r="AP306" s="178"/>
      <c r="AQ306" s="178"/>
      <c r="AR306" s="178"/>
      <c r="AS306" s="178"/>
      <c r="AT306" s="178"/>
      <c r="AU306" s="178"/>
      <c r="AV306" s="178"/>
      <c r="AW306" s="178"/>
      <c r="AX306" s="178"/>
      <c r="AY306" s="517"/>
      <c r="AZ306" s="131"/>
    </row>
    <row r="307" spans="1:52" ht="15.75" customHeight="1">
      <c r="A307" s="131"/>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c r="AJ307" s="178"/>
      <c r="AK307" s="178"/>
      <c r="AL307" s="178"/>
      <c r="AM307" s="178"/>
      <c r="AN307" s="178"/>
      <c r="AO307" s="178"/>
      <c r="AP307" s="178"/>
      <c r="AQ307" s="178"/>
      <c r="AR307" s="178"/>
      <c r="AS307" s="178"/>
      <c r="AT307" s="178"/>
      <c r="AU307" s="178"/>
      <c r="AV307" s="178"/>
      <c r="AW307" s="178"/>
      <c r="AX307" s="178"/>
      <c r="AY307" s="517"/>
      <c r="AZ307" s="131"/>
    </row>
    <row r="308" spans="1:52" ht="15.75" customHeight="1">
      <c r="A308" s="131"/>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c r="AJ308" s="178"/>
      <c r="AK308" s="178"/>
      <c r="AL308" s="178"/>
      <c r="AM308" s="178"/>
      <c r="AN308" s="178"/>
      <c r="AO308" s="178"/>
      <c r="AP308" s="178"/>
      <c r="AQ308" s="178"/>
      <c r="AR308" s="178"/>
      <c r="AS308" s="178"/>
      <c r="AT308" s="178"/>
      <c r="AU308" s="178"/>
      <c r="AV308" s="178"/>
      <c r="AW308" s="178"/>
      <c r="AX308" s="178"/>
      <c r="AY308" s="517"/>
      <c r="AZ308" s="131"/>
    </row>
    <row r="309" spans="1:52" ht="15.75" customHeight="1">
      <c r="A309" s="131"/>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c r="AH309" s="178"/>
      <c r="AI309" s="178"/>
      <c r="AJ309" s="178"/>
      <c r="AK309" s="178"/>
      <c r="AL309" s="178"/>
      <c r="AM309" s="178"/>
      <c r="AN309" s="178"/>
      <c r="AO309" s="178"/>
      <c r="AP309" s="178"/>
      <c r="AQ309" s="178"/>
      <c r="AR309" s="178"/>
      <c r="AS309" s="178"/>
      <c r="AT309" s="178"/>
      <c r="AU309" s="178"/>
      <c r="AV309" s="178"/>
      <c r="AW309" s="178"/>
      <c r="AX309" s="178"/>
      <c r="AY309" s="517"/>
      <c r="AZ309" s="131"/>
    </row>
    <row r="310" spans="1:52" ht="15.75" customHeight="1">
      <c r="A310" s="131"/>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c r="AJ310" s="178"/>
      <c r="AK310" s="178"/>
      <c r="AL310" s="178"/>
      <c r="AM310" s="178"/>
      <c r="AN310" s="178"/>
      <c r="AO310" s="178"/>
      <c r="AP310" s="178"/>
      <c r="AQ310" s="178"/>
      <c r="AR310" s="178"/>
      <c r="AS310" s="178"/>
      <c r="AT310" s="178"/>
      <c r="AU310" s="178"/>
      <c r="AV310" s="178"/>
      <c r="AW310" s="178"/>
      <c r="AX310" s="178"/>
      <c r="AY310" s="517"/>
      <c r="AZ310" s="131"/>
    </row>
    <row r="311" spans="1:52" ht="15.75" customHeight="1">
      <c r="A311" s="131"/>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8"/>
      <c r="AY311" s="517"/>
      <c r="AZ311" s="131"/>
    </row>
    <row r="312" spans="1:52" ht="15.75" customHeight="1">
      <c r="A312" s="131"/>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c r="AH312" s="178"/>
      <c r="AI312" s="178"/>
      <c r="AJ312" s="178"/>
      <c r="AK312" s="178"/>
      <c r="AL312" s="178"/>
      <c r="AM312" s="178"/>
      <c r="AN312" s="178"/>
      <c r="AO312" s="178"/>
      <c r="AP312" s="178"/>
      <c r="AQ312" s="178"/>
      <c r="AR312" s="178"/>
      <c r="AS312" s="178"/>
      <c r="AT312" s="178"/>
      <c r="AU312" s="178"/>
      <c r="AV312" s="178"/>
      <c r="AW312" s="178"/>
      <c r="AX312" s="178"/>
      <c r="AY312" s="517"/>
      <c r="AZ312" s="131"/>
    </row>
    <row r="313" spans="1:52" ht="15.75" customHeight="1">
      <c r="A313" s="131"/>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c r="AH313" s="178"/>
      <c r="AI313" s="178"/>
      <c r="AJ313" s="178"/>
      <c r="AK313" s="178"/>
      <c r="AL313" s="178"/>
      <c r="AM313" s="178"/>
      <c r="AN313" s="178"/>
      <c r="AO313" s="178"/>
      <c r="AP313" s="178"/>
      <c r="AQ313" s="178"/>
      <c r="AR313" s="178"/>
      <c r="AS313" s="178"/>
      <c r="AT313" s="178"/>
      <c r="AU313" s="178"/>
      <c r="AV313" s="178"/>
      <c r="AW313" s="178"/>
      <c r="AX313" s="178"/>
      <c r="AY313" s="517"/>
      <c r="AZ313" s="131"/>
    </row>
    <row r="314" spans="1:52" ht="15.75" customHeight="1">
      <c r="A314" s="131"/>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c r="AJ314" s="178"/>
      <c r="AK314" s="178"/>
      <c r="AL314" s="178"/>
      <c r="AM314" s="178"/>
      <c r="AN314" s="178"/>
      <c r="AO314" s="178"/>
      <c r="AP314" s="178"/>
      <c r="AQ314" s="178"/>
      <c r="AR314" s="178"/>
      <c r="AS314" s="178"/>
      <c r="AT314" s="178"/>
      <c r="AU314" s="178"/>
      <c r="AV314" s="178"/>
      <c r="AW314" s="178"/>
      <c r="AX314" s="178"/>
      <c r="AY314" s="517"/>
      <c r="AZ314" s="131"/>
    </row>
    <row r="315" spans="1:52" ht="15.75" customHeight="1">
      <c r="A315" s="131"/>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c r="AH315" s="178"/>
      <c r="AI315" s="178"/>
      <c r="AJ315" s="178"/>
      <c r="AK315" s="178"/>
      <c r="AL315" s="178"/>
      <c r="AM315" s="178"/>
      <c r="AN315" s="178"/>
      <c r="AO315" s="178"/>
      <c r="AP315" s="178"/>
      <c r="AQ315" s="178"/>
      <c r="AR315" s="178"/>
      <c r="AS315" s="178"/>
      <c r="AT315" s="178"/>
      <c r="AU315" s="178"/>
      <c r="AV315" s="178"/>
      <c r="AW315" s="178"/>
      <c r="AX315" s="178"/>
      <c r="AY315" s="517"/>
      <c r="AZ315" s="131"/>
    </row>
    <row r="316" spans="1:52" ht="15.75" customHeight="1">
      <c r="A316" s="131"/>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c r="AH316" s="178"/>
      <c r="AI316" s="178"/>
      <c r="AJ316" s="178"/>
      <c r="AK316" s="178"/>
      <c r="AL316" s="178"/>
      <c r="AM316" s="178"/>
      <c r="AN316" s="178"/>
      <c r="AO316" s="178"/>
      <c r="AP316" s="178"/>
      <c r="AQ316" s="178"/>
      <c r="AR316" s="178"/>
      <c r="AS316" s="178"/>
      <c r="AT316" s="178"/>
      <c r="AU316" s="178"/>
      <c r="AV316" s="178"/>
      <c r="AW316" s="178"/>
      <c r="AX316" s="178"/>
      <c r="AY316" s="517"/>
      <c r="AZ316" s="131"/>
    </row>
    <row r="317" spans="1:52" ht="15.75" customHeight="1">
      <c r="A317" s="131"/>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c r="AH317" s="178"/>
      <c r="AI317" s="178"/>
      <c r="AJ317" s="178"/>
      <c r="AK317" s="178"/>
      <c r="AL317" s="178"/>
      <c r="AM317" s="178"/>
      <c r="AN317" s="178"/>
      <c r="AO317" s="178"/>
      <c r="AP317" s="178"/>
      <c r="AQ317" s="178"/>
      <c r="AR317" s="178"/>
      <c r="AS317" s="178"/>
      <c r="AT317" s="178"/>
      <c r="AU317" s="178"/>
      <c r="AV317" s="178"/>
      <c r="AW317" s="178"/>
      <c r="AX317" s="178"/>
      <c r="AY317" s="517"/>
      <c r="AZ317" s="131"/>
    </row>
    <row r="318" spans="1:52" ht="15.75" customHeight="1">
      <c r="A318" s="131"/>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c r="AJ318" s="178"/>
      <c r="AK318" s="178"/>
      <c r="AL318" s="178"/>
      <c r="AM318" s="178"/>
      <c r="AN318" s="178"/>
      <c r="AO318" s="178"/>
      <c r="AP318" s="178"/>
      <c r="AQ318" s="178"/>
      <c r="AR318" s="178"/>
      <c r="AS318" s="178"/>
      <c r="AT318" s="178"/>
      <c r="AU318" s="178"/>
      <c r="AV318" s="178"/>
      <c r="AW318" s="178"/>
      <c r="AX318" s="178"/>
      <c r="AY318" s="517"/>
      <c r="AZ318" s="131"/>
    </row>
    <row r="319" spans="1:52" ht="15.75" customHeight="1">
      <c r="A319" s="131"/>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c r="AJ319" s="178"/>
      <c r="AK319" s="178"/>
      <c r="AL319" s="178"/>
      <c r="AM319" s="178"/>
      <c r="AN319" s="178"/>
      <c r="AO319" s="178"/>
      <c r="AP319" s="178"/>
      <c r="AQ319" s="178"/>
      <c r="AR319" s="178"/>
      <c r="AS319" s="178"/>
      <c r="AT319" s="178"/>
      <c r="AU319" s="178"/>
      <c r="AV319" s="178"/>
      <c r="AW319" s="178"/>
      <c r="AX319" s="178"/>
      <c r="AY319" s="517"/>
      <c r="AZ319" s="131"/>
    </row>
    <row r="320" spans="1:52" ht="15.75" customHeight="1">
      <c r="A320" s="131"/>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c r="AH320" s="178"/>
      <c r="AI320" s="178"/>
      <c r="AJ320" s="178"/>
      <c r="AK320" s="178"/>
      <c r="AL320" s="178"/>
      <c r="AM320" s="178"/>
      <c r="AN320" s="178"/>
      <c r="AO320" s="178"/>
      <c r="AP320" s="178"/>
      <c r="AQ320" s="178"/>
      <c r="AR320" s="178"/>
      <c r="AS320" s="178"/>
      <c r="AT320" s="178"/>
      <c r="AU320" s="178"/>
      <c r="AV320" s="178"/>
      <c r="AW320" s="178"/>
      <c r="AX320" s="178"/>
      <c r="AY320" s="517"/>
      <c r="AZ320" s="131"/>
    </row>
    <row r="321" spans="1:52" ht="15.75" customHeight="1">
      <c r="A321" s="131"/>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c r="AH321" s="178"/>
      <c r="AI321" s="178"/>
      <c r="AJ321" s="178"/>
      <c r="AK321" s="178"/>
      <c r="AL321" s="178"/>
      <c r="AM321" s="178"/>
      <c r="AN321" s="178"/>
      <c r="AO321" s="178"/>
      <c r="AP321" s="178"/>
      <c r="AQ321" s="178"/>
      <c r="AR321" s="178"/>
      <c r="AS321" s="178"/>
      <c r="AT321" s="178"/>
      <c r="AU321" s="178"/>
      <c r="AV321" s="178"/>
      <c r="AW321" s="178"/>
      <c r="AX321" s="178"/>
      <c r="AY321" s="517"/>
      <c r="AZ321" s="131"/>
    </row>
    <row r="322" spans="1:52" ht="15.75" customHeight="1">
      <c r="A322" s="131"/>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c r="AH322" s="178"/>
      <c r="AI322" s="178"/>
      <c r="AJ322" s="178"/>
      <c r="AK322" s="178"/>
      <c r="AL322" s="178"/>
      <c r="AM322" s="178"/>
      <c r="AN322" s="178"/>
      <c r="AO322" s="178"/>
      <c r="AP322" s="178"/>
      <c r="AQ322" s="178"/>
      <c r="AR322" s="178"/>
      <c r="AS322" s="178"/>
      <c r="AT322" s="178"/>
      <c r="AU322" s="178"/>
      <c r="AV322" s="178"/>
      <c r="AW322" s="178"/>
      <c r="AX322" s="178"/>
      <c r="AY322" s="517"/>
      <c r="AZ322" s="131"/>
    </row>
    <row r="323" spans="1:52" ht="15.75" customHeight="1">
      <c r="A323" s="131"/>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c r="AJ323" s="178"/>
      <c r="AK323" s="178"/>
      <c r="AL323" s="178"/>
      <c r="AM323" s="178"/>
      <c r="AN323" s="178"/>
      <c r="AO323" s="178"/>
      <c r="AP323" s="178"/>
      <c r="AQ323" s="178"/>
      <c r="AR323" s="178"/>
      <c r="AS323" s="178"/>
      <c r="AT323" s="178"/>
      <c r="AU323" s="178"/>
      <c r="AV323" s="178"/>
      <c r="AW323" s="178"/>
      <c r="AX323" s="178"/>
      <c r="AY323" s="517"/>
      <c r="AZ323" s="131"/>
    </row>
    <row r="324" spans="1:52" ht="15.75" customHeight="1">
      <c r="A324" s="131"/>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c r="AJ324" s="178"/>
      <c r="AK324" s="178"/>
      <c r="AL324" s="178"/>
      <c r="AM324" s="178"/>
      <c r="AN324" s="178"/>
      <c r="AO324" s="178"/>
      <c r="AP324" s="178"/>
      <c r="AQ324" s="178"/>
      <c r="AR324" s="178"/>
      <c r="AS324" s="178"/>
      <c r="AT324" s="178"/>
      <c r="AU324" s="178"/>
      <c r="AV324" s="178"/>
      <c r="AW324" s="178"/>
      <c r="AX324" s="178"/>
      <c r="AY324" s="517"/>
      <c r="AZ324" s="131"/>
    </row>
    <row r="325" spans="1:52" ht="15.75" customHeight="1">
      <c r="A325" s="131"/>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c r="AH325" s="178"/>
      <c r="AI325" s="178"/>
      <c r="AJ325" s="178"/>
      <c r="AK325" s="178"/>
      <c r="AL325" s="178"/>
      <c r="AM325" s="178"/>
      <c r="AN325" s="178"/>
      <c r="AO325" s="178"/>
      <c r="AP325" s="178"/>
      <c r="AQ325" s="178"/>
      <c r="AR325" s="178"/>
      <c r="AS325" s="178"/>
      <c r="AT325" s="178"/>
      <c r="AU325" s="178"/>
      <c r="AV325" s="178"/>
      <c r="AW325" s="178"/>
      <c r="AX325" s="178"/>
      <c r="AY325" s="517"/>
      <c r="AZ325" s="131"/>
    </row>
    <row r="326" spans="1:52" ht="15.75" customHeight="1">
      <c r="A326" s="131"/>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c r="AJ326" s="178"/>
      <c r="AK326" s="178"/>
      <c r="AL326" s="178"/>
      <c r="AM326" s="178"/>
      <c r="AN326" s="178"/>
      <c r="AO326" s="178"/>
      <c r="AP326" s="178"/>
      <c r="AQ326" s="178"/>
      <c r="AR326" s="178"/>
      <c r="AS326" s="178"/>
      <c r="AT326" s="178"/>
      <c r="AU326" s="178"/>
      <c r="AV326" s="178"/>
      <c r="AW326" s="178"/>
      <c r="AX326" s="178"/>
      <c r="AY326" s="517"/>
      <c r="AZ326" s="131"/>
    </row>
    <row r="327" spans="1:52" ht="15.75" customHeight="1">
      <c r="A327" s="131"/>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c r="AJ327" s="178"/>
      <c r="AK327" s="178"/>
      <c r="AL327" s="178"/>
      <c r="AM327" s="178"/>
      <c r="AN327" s="178"/>
      <c r="AO327" s="178"/>
      <c r="AP327" s="178"/>
      <c r="AQ327" s="178"/>
      <c r="AR327" s="178"/>
      <c r="AS327" s="178"/>
      <c r="AT327" s="178"/>
      <c r="AU327" s="178"/>
      <c r="AV327" s="178"/>
      <c r="AW327" s="178"/>
      <c r="AX327" s="178"/>
      <c r="AY327" s="517"/>
      <c r="AZ327" s="131"/>
    </row>
    <row r="328" spans="1:52" ht="15.75" customHeight="1">
      <c r="A328" s="131"/>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c r="AJ328" s="178"/>
      <c r="AK328" s="178"/>
      <c r="AL328" s="178"/>
      <c r="AM328" s="178"/>
      <c r="AN328" s="178"/>
      <c r="AO328" s="178"/>
      <c r="AP328" s="178"/>
      <c r="AQ328" s="178"/>
      <c r="AR328" s="178"/>
      <c r="AS328" s="178"/>
      <c r="AT328" s="178"/>
      <c r="AU328" s="178"/>
      <c r="AV328" s="178"/>
      <c r="AW328" s="178"/>
      <c r="AX328" s="178"/>
      <c r="AY328" s="517"/>
      <c r="AZ328" s="131"/>
    </row>
    <row r="329" spans="1:52" ht="15.75" customHeight="1">
      <c r="A329" s="131"/>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c r="AJ329" s="178"/>
      <c r="AK329" s="178"/>
      <c r="AL329" s="178"/>
      <c r="AM329" s="178"/>
      <c r="AN329" s="178"/>
      <c r="AO329" s="178"/>
      <c r="AP329" s="178"/>
      <c r="AQ329" s="178"/>
      <c r="AR329" s="178"/>
      <c r="AS329" s="178"/>
      <c r="AT329" s="178"/>
      <c r="AU329" s="178"/>
      <c r="AV329" s="178"/>
      <c r="AW329" s="178"/>
      <c r="AX329" s="178"/>
      <c r="AY329" s="517"/>
      <c r="AZ329" s="131"/>
    </row>
    <row r="330" spans="1:52" ht="15.75" customHeight="1">
      <c r="A330" s="131"/>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c r="AJ330" s="178"/>
      <c r="AK330" s="178"/>
      <c r="AL330" s="178"/>
      <c r="AM330" s="178"/>
      <c r="AN330" s="178"/>
      <c r="AO330" s="178"/>
      <c r="AP330" s="178"/>
      <c r="AQ330" s="178"/>
      <c r="AR330" s="178"/>
      <c r="AS330" s="178"/>
      <c r="AT330" s="178"/>
      <c r="AU330" s="178"/>
      <c r="AV330" s="178"/>
      <c r="AW330" s="178"/>
      <c r="AX330" s="178"/>
      <c r="AY330" s="517"/>
      <c r="AZ330" s="131"/>
    </row>
    <row r="331" spans="1:52" ht="15.75" customHeight="1">
      <c r="A331" s="131"/>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c r="AH331" s="178"/>
      <c r="AI331" s="178"/>
      <c r="AJ331" s="178"/>
      <c r="AK331" s="178"/>
      <c r="AL331" s="178"/>
      <c r="AM331" s="178"/>
      <c r="AN331" s="178"/>
      <c r="AO331" s="178"/>
      <c r="AP331" s="178"/>
      <c r="AQ331" s="178"/>
      <c r="AR331" s="178"/>
      <c r="AS331" s="178"/>
      <c r="AT331" s="178"/>
      <c r="AU331" s="178"/>
      <c r="AV331" s="178"/>
      <c r="AW331" s="178"/>
      <c r="AX331" s="178"/>
      <c r="AY331" s="517"/>
      <c r="AZ331" s="131"/>
    </row>
    <row r="332" spans="1:52" ht="15.75" customHeight="1">
      <c r="A332" s="131"/>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c r="AH332" s="178"/>
      <c r="AI332" s="178"/>
      <c r="AJ332" s="178"/>
      <c r="AK332" s="178"/>
      <c r="AL332" s="178"/>
      <c r="AM332" s="178"/>
      <c r="AN332" s="178"/>
      <c r="AO332" s="178"/>
      <c r="AP332" s="178"/>
      <c r="AQ332" s="178"/>
      <c r="AR332" s="178"/>
      <c r="AS332" s="178"/>
      <c r="AT332" s="178"/>
      <c r="AU332" s="178"/>
      <c r="AV332" s="178"/>
      <c r="AW332" s="178"/>
      <c r="AX332" s="178"/>
      <c r="AY332" s="517"/>
      <c r="AZ332" s="131"/>
    </row>
    <row r="333" spans="1:52" ht="15.75" customHeight="1">
      <c r="A333" s="131"/>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c r="AH333" s="178"/>
      <c r="AI333" s="178"/>
      <c r="AJ333" s="178"/>
      <c r="AK333" s="178"/>
      <c r="AL333" s="178"/>
      <c r="AM333" s="178"/>
      <c r="AN333" s="178"/>
      <c r="AO333" s="178"/>
      <c r="AP333" s="178"/>
      <c r="AQ333" s="178"/>
      <c r="AR333" s="178"/>
      <c r="AS333" s="178"/>
      <c r="AT333" s="178"/>
      <c r="AU333" s="178"/>
      <c r="AV333" s="178"/>
      <c r="AW333" s="178"/>
      <c r="AX333" s="178"/>
      <c r="AY333" s="517"/>
      <c r="AZ333" s="131"/>
    </row>
    <row r="334" spans="1:52" ht="15.75" customHeight="1">
      <c r="A334" s="131"/>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c r="AH334" s="178"/>
      <c r="AI334" s="178"/>
      <c r="AJ334" s="178"/>
      <c r="AK334" s="178"/>
      <c r="AL334" s="178"/>
      <c r="AM334" s="178"/>
      <c r="AN334" s="178"/>
      <c r="AO334" s="178"/>
      <c r="AP334" s="178"/>
      <c r="AQ334" s="178"/>
      <c r="AR334" s="178"/>
      <c r="AS334" s="178"/>
      <c r="AT334" s="178"/>
      <c r="AU334" s="178"/>
      <c r="AV334" s="178"/>
      <c r="AW334" s="178"/>
      <c r="AX334" s="178"/>
      <c r="AY334" s="517"/>
      <c r="AZ334" s="131"/>
    </row>
    <row r="335" spans="1:52" ht="15.75" customHeight="1">
      <c r="A335" s="131"/>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78"/>
      <c r="AJ335" s="178"/>
      <c r="AK335" s="178"/>
      <c r="AL335" s="178"/>
      <c r="AM335" s="178"/>
      <c r="AN335" s="178"/>
      <c r="AO335" s="178"/>
      <c r="AP335" s="178"/>
      <c r="AQ335" s="178"/>
      <c r="AR335" s="178"/>
      <c r="AS335" s="178"/>
      <c r="AT335" s="178"/>
      <c r="AU335" s="178"/>
      <c r="AV335" s="178"/>
      <c r="AW335" s="178"/>
      <c r="AX335" s="178"/>
      <c r="AY335" s="517"/>
      <c r="AZ335" s="131"/>
    </row>
    <row r="336" spans="1:52" ht="15.75" customHeight="1">
      <c r="A336" s="131"/>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c r="AH336" s="178"/>
      <c r="AI336" s="178"/>
      <c r="AJ336" s="178"/>
      <c r="AK336" s="178"/>
      <c r="AL336" s="178"/>
      <c r="AM336" s="178"/>
      <c r="AN336" s="178"/>
      <c r="AO336" s="178"/>
      <c r="AP336" s="178"/>
      <c r="AQ336" s="178"/>
      <c r="AR336" s="178"/>
      <c r="AS336" s="178"/>
      <c r="AT336" s="178"/>
      <c r="AU336" s="178"/>
      <c r="AV336" s="178"/>
      <c r="AW336" s="178"/>
      <c r="AX336" s="178"/>
      <c r="AY336" s="517"/>
      <c r="AZ336" s="131"/>
    </row>
    <row r="337" spans="1:52" ht="15.75" customHeight="1">
      <c r="A337" s="131"/>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78"/>
      <c r="AJ337" s="178"/>
      <c r="AK337" s="178"/>
      <c r="AL337" s="178"/>
      <c r="AM337" s="178"/>
      <c r="AN337" s="178"/>
      <c r="AO337" s="178"/>
      <c r="AP337" s="178"/>
      <c r="AQ337" s="178"/>
      <c r="AR337" s="178"/>
      <c r="AS337" s="178"/>
      <c r="AT337" s="178"/>
      <c r="AU337" s="178"/>
      <c r="AV337" s="178"/>
      <c r="AW337" s="178"/>
      <c r="AX337" s="178"/>
      <c r="AY337" s="517"/>
      <c r="AZ337" s="131"/>
    </row>
    <row r="338" spans="1:52" ht="15.75" customHeight="1">
      <c r="A338" s="131"/>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c r="AH338" s="178"/>
      <c r="AI338" s="178"/>
      <c r="AJ338" s="178"/>
      <c r="AK338" s="178"/>
      <c r="AL338" s="178"/>
      <c r="AM338" s="178"/>
      <c r="AN338" s="178"/>
      <c r="AO338" s="178"/>
      <c r="AP338" s="178"/>
      <c r="AQ338" s="178"/>
      <c r="AR338" s="178"/>
      <c r="AS338" s="178"/>
      <c r="AT338" s="178"/>
      <c r="AU338" s="178"/>
      <c r="AV338" s="178"/>
      <c r="AW338" s="178"/>
      <c r="AX338" s="178"/>
      <c r="AY338" s="517"/>
      <c r="AZ338" s="131"/>
    </row>
    <row r="339" spans="1:52" ht="15.75" customHeight="1">
      <c r="A339" s="131"/>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c r="AH339" s="178"/>
      <c r="AI339" s="178"/>
      <c r="AJ339" s="178"/>
      <c r="AK339" s="178"/>
      <c r="AL339" s="178"/>
      <c r="AM339" s="178"/>
      <c r="AN339" s="178"/>
      <c r="AO339" s="178"/>
      <c r="AP339" s="178"/>
      <c r="AQ339" s="178"/>
      <c r="AR339" s="178"/>
      <c r="AS339" s="178"/>
      <c r="AT339" s="178"/>
      <c r="AU339" s="178"/>
      <c r="AV339" s="178"/>
      <c r="AW339" s="178"/>
      <c r="AX339" s="178"/>
      <c r="AY339" s="517"/>
      <c r="AZ339" s="131"/>
    </row>
    <row r="340" spans="1:52" ht="15.75" customHeight="1">
      <c r="A340" s="131"/>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c r="AH340" s="178"/>
      <c r="AI340" s="178"/>
      <c r="AJ340" s="178"/>
      <c r="AK340" s="178"/>
      <c r="AL340" s="178"/>
      <c r="AM340" s="178"/>
      <c r="AN340" s="178"/>
      <c r="AO340" s="178"/>
      <c r="AP340" s="178"/>
      <c r="AQ340" s="178"/>
      <c r="AR340" s="178"/>
      <c r="AS340" s="178"/>
      <c r="AT340" s="178"/>
      <c r="AU340" s="178"/>
      <c r="AV340" s="178"/>
      <c r="AW340" s="178"/>
      <c r="AX340" s="178"/>
      <c r="AY340" s="517"/>
      <c r="AZ340" s="131"/>
    </row>
    <row r="341" spans="1:52" ht="15.75" customHeight="1">
      <c r="A341" s="131"/>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c r="AJ341" s="178"/>
      <c r="AK341" s="178"/>
      <c r="AL341" s="178"/>
      <c r="AM341" s="178"/>
      <c r="AN341" s="178"/>
      <c r="AO341" s="178"/>
      <c r="AP341" s="178"/>
      <c r="AQ341" s="178"/>
      <c r="AR341" s="178"/>
      <c r="AS341" s="178"/>
      <c r="AT341" s="178"/>
      <c r="AU341" s="178"/>
      <c r="AV341" s="178"/>
      <c r="AW341" s="178"/>
      <c r="AX341" s="178"/>
      <c r="AY341" s="517"/>
      <c r="AZ341" s="131"/>
    </row>
    <row r="342" spans="1:52" ht="15.75" customHeight="1">
      <c r="A342" s="131"/>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c r="AH342" s="178"/>
      <c r="AI342" s="178"/>
      <c r="AJ342" s="178"/>
      <c r="AK342" s="178"/>
      <c r="AL342" s="178"/>
      <c r="AM342" s="178"/>
      <c r="AN342" s="178"/>
      <c r="AO342" s="178"/>
      <c r="AP342" s="178"/>
      <c r="AQ342" s="178"/>
      <c r="AR342" s="178"/>
      <c r="AS342" s="178"/>
      <c r="AT342" s="178"/>
      <c r="AU342" s="178"/>
      <c r="AV342" s="178"/>
      <c r="AW342" s="178"/>
      <c r="AX342" s="178"/>
      <c r="AY342" s="517"/>
      <c r="AZ342" s="131"/>
    </row>
    <row r="343" spans="1:52" ht="15.75" customHeight="1">
      <c r="A343" s="131"/>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c r="AH343" s="178"/>
      <c r="AI343" s="178"/>
      <c r="AJ343" s="178"/>
      <c r="AK343" s="178"/>
      <c r="AL343" s="178"/>
      <c r="AM343" s="178"/>
      <c r="AN343" s="178"/>
      <c r="AO343" s="178"/>
      <c r="AP343" s="178"/>
      <c r="AQ343" s="178"/>
      <c r="AR343" s="178"/>
      <c r="AS343" s="178"/>
      <c r="AT343" s="178"/>
      <c r="AU343" s="178"/>
      <c r="AV343" s="178"/>
      <c r="AW343" s="178"/>
      <c r="AX343" s="178"/>
      <c r="AY343" s="517"/>
      <c r="AZ343" s="131"/>
    </row>
    <row r="344" spans="1:52" ht="15.75" customHeight="1">
      <c r="A344" s="131"/>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c r="AH344" s="178"/>
      <c r="AI344" s="178"/>
      <c r="AJ344" s="178"/>
      <c r="AK344" s="178"/>
      <c r="AL344" s="178"/>
      <c r="AM344" s="178"/>
      <c r="AN344" s="178"/>
      <c r="AO344" s="178"/>
      <c r="AP344" s="178"/>
      <c r="AQ344" s="178"/>
      <c r="AR344" s="178"/>
      <c r="AS344" s="178"/>
      <c r="AT344" s="178"/>
      <c r="AU344" s="178"/>
      <c r="AV344" s="178"/>
      <c r="AW344" s="178"/>
      <c r="AX344" s="178"/>
      <c r="AY344" s="517"/>
      <c r="AZ344" s="131"/>
    </row>
    <row r="345" spans="1:52" ht="15.75" customHeight="1">
      <c r="A345" s="131"/>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c r="AH345" s="178"/>
      <c r="AI345" s="178"/>
      <c r="AJ345" s="178"/>
      <c r="AK345" s="178"/>
      <c r="AL345" s="178"/>
      <c r="AM345" s="178"/>
      <c r="AN345" s="178"/>
      <c r="AO345" s="178"/>
      <c r="AP345" s="178"/>
      <c r="AQ345" s="178"/>
      <c r="AR345" s="178"/>
      <c r="AS345" s="178"/>
      <c r="AT345" s="178"/>
      <c r="AU345" s="178"/>
      <c r="AV345" s="178"/>
      <c r="AW345" s="178"/>
      <c r="AX345" s="178"/>
      <c r="AY345" s="517"/>
      <c r="AZ345" s="131"/>
    </row>
    <row r="346" spans="1:52" ht="15.75" customHeight="1">
      <c r="A346" s="131"/>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c r="AH346" s="178"/>
      <c r="AI346" s="178"/>
      <c r="AJ346" s="178"/>
      <c r="AK346" s="178"/>
      <c r="AL346" s="178"/>
      <c r="AM346" s="178"/>
      <c r="AN346" s="178"/>
      <c r="AO346" s="178"/>
      <c r="AP346" s="178"/>
      <c r="AQ346" s="178"/>
      <c r="AR346" s="178"/>
      <c r="AS346" s="178"/>
      <c r="AT346" s="178"/>
      <c r="AU346" s="178"/>
      <c r="AV346" s="178"/>
      <c r="AW346" s="178"/>
      <c r="AX346" s="178"/>
      <c r="AY346" s="517"/>
      <c r="AZ346" s="131"/>
    </row>
    <row r="347" spans="1:52" ht="15.75" customHeight="1">
      <c r="A347" s="131"/>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c r="AH347" s="178"/>
      <c r="AI347" s="178"/>
      <c r="AJ347" s="178"/>
      <c r="AK347" s="178"/>
      <c r="AL347" s="178"/>
      <c r="AM347" s="178"/>
      <c r="AN347" s="178"/>
      <c r="AO347" s="178"/>
      <c r="AP347" s="178"/>
      <c r="AQ347" s="178"/>
      <c r="AR347" s="178"/>
      <c r="AS347" s="178"/>
      <c r="AT347" s="178"/>
      <c r="AU347" s="178"/>
      <c r="AV347" s="178"/>
      <c r="AW347" s="178"/>
      <c r="AX347" s="178"/>
      <c r="AY347" s="517"/>
      <c r="AZ347" s="131"/>
    </row>
    <row r="348" spans="1:52" ht="15.75" customHeight="1">
      <c r="A348" s="131"/>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c r="AH348" s="178"/>
      <c r="AI348" s="178"/>
      <c r="AJ348" s="178"/>
      <c r="AK348" s="178"/>
      <c r="AL348" s="178"/>
      <c r="AM348" s="178"/>
      <c r="AN348" s="178"/>
      <c r="AO348" s="178"/>
      <c r="AP348" s="178"/>
      <c r="AQ348" s="178"/>
      <c r="AR348" s="178"/>
      <c r="AS348" s="178"/>
      <c r="AT348" s="178"/>
      <c r="AU348" s="178"/>
      <c r="AV348" s="178"/>
      <c r="AW348" s="178"/>
      <c r="AX348" s="178"/>
      <c r="AY348" s="517"/>
      <c r="AZ348" s="131"/>
    </row>
    <row r="349" spans="1:52" ht="15.75" customHeight="1">
      <c r="A349" s="131"/>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c r="AH349" s="178"/>
      <c r="AI349" s="178"/>
      <c r="AJ349" s="178"/>
      <c r="AK349" s="178"/>
      <c r="AL349" s="178"/>
      <c r="AM349" s="178"/>
      <c r="AN349" s="178"/>
      <c r="AO349" s="178"/>
      <c r="AP349" s="178"/>
      <c r="AQ349" s="178"/>
      <c r="AR349" s="178"/>
      <c r="AS349" s="178"/>
      <c r="AT349" s="178"/>
      <c r="AU349" s="178"/>
      <c r="AV349" s="178"/>
      <c r="AW349" s="178"/>
      <c r="AX349" s="178"/>
      <c r="AY349" s="517"/>
      <c r="AZ349" s="131"/>
    </row>
    <row r="350" spans="1:52" ht="15.75" customHeight="1">
      <c r="A350" s="131"/>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c r="AH350" s="178"/>
      <c r="AI350" s="178"/>
      <c r="AJ350" s="178"/>
      <c r="AK350" s="178"/>
      <c r="AL350" s="178"/>
      <c r="AM350" s="178"/>
      <c r="AN350" s="178"/>
      <c r="AO350" s="178"/>
      <c r="AP350" s="178"/>
      <c r="AQ350" s="178"/>
      <c r="AR350" s="178"/>
      <c r="AS350" s="178"/>
      <c r="AT350" s="178"/>
      <c r="AU350" s="178"/>
      <c r="AV350" s="178"/>
      <c r="AW350" s="178"/>
      <c r="AX350" s="178"/>
      <c r="AY350" s="517"/>
      <c r="AZ350" s="131"/>
    </row>
    <row r="351" spans="1:52" ht="15.75" customHeight="1">
      <c r="A351" s="131"/>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c r="AH351" s="178"/>
      <c r="AI351" s="178"/>
      <c r="AJ351" s="178"/>
      <c r="AK351" s="178"/>
      <c r="AL351" s="178"/>
      <c r="AM351" s="178"/>
      <c r="AN351" s="178"/>
      <c r="AO351" s="178"/>
      <c r="AP351" s="178"/>
      <c r="AQ351" s="178"/>
      <c r="AR351" s="178"/>
      <c r="AS351" s="178"/>
      <c r="AT351" s="178"/>
      <c r="AU351" s="178"/>
      <c r="AV351" s="178"/>
      <c r="AW351" s="178"/>
      <c r="AX351" s="178"/>
      <c r="AY351" s="517"/>
      <c r="AZ351" s="131"/>
    </row>
    <row r="352" spans="1:52" ht="15.75" customHeight="1">
      <c r="A352" s="131"/>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c r="AJ352" s="178"/>
      <c r="AK352" s="178"/>
      <c r="AL352" s="178"/>
      <c r="AM352" s="178"/>
      <c r="AN352" s="178"/>
      <c r="AO352" s="178"/>
      <c r="AP352" s="178"/>
      <c r="AQ352" s="178"/>
      <c r="AR352" s="178"/>
      <c r="AS352" s="178"/>
      <c r="AT352" s="178"/>
      <c r="AU352" s="178"/>
      <c r="AV352" s="178"/>
      <c r="AW352" s="178"/>
      <c r="AX352" s="178"/>
      <c r="AY352" s="517"/>
      <c r="AZ352" s="131"/>
    </row>
    <row r="353" spans="1:52" ht="15.75" customHeight="1">
      <c r="A353" s="131"/>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c r="AJ353" s="178"/>
      <c r="AK353" s="178"/>
      <c r="AL353" s="178"/>
      <c r="AM353" s="178"/>
      <c r="AN353" s="178"/>
      <c r="AO353" s="178"/>
      <c r="AP353" s="178"/>
      <c r="AQ353" s="178"/>
      <c r="AR353" s="178"/>
      <c r="AS353" s="178"/>
      <c r="AT353" s="178"/>
      <c r="AU353" s="178"/>
      <c r="AV353" s="178"/>
      <c r="AW353" s="178"/>
      <c r="AX353" s="178"/>
      <c r="AY353" s="517"/>
      <c r="AZ353" s="131"/>
    </row>
    <row r="354" spans="1:52" ht="15.75" customHeight="1">
      <c r="A354" s="131"/>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c r="AJ354" s="178"/>
      <c r="AK354" s="178"/>
      <c r="AL354" s="178"/>
      <c r="AM354" s="178"/>
      <c r="AN354" s="178"/>
      <c r="AO354" s="178"/>
      <c r="AP354" s="178"/>
      <c r="AQ354" s="178"/>
      <c r="AR354" s="178"/>
      <c r="AS354" s="178"/>
      <c r="AT354" s="178"/>
      <c r="AU354" s="178"/>
      <c r="AV354" s="178"/>
      <c r="AW354" s="178"/>
      <c r="AX354" s="178"/>
      <c r="AY354" s="517"/>
      <c r="AZ354" s="131"/>
    </row>
    <row r="355" spans="1:52" ht="15.75" customHeight="1">
      <c r="A355" s="131"/>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c r="AJ355" s="178"/>
      <c r="AK355" s="178"/>
      <c r="AL355" s="178"/>
      <c r="AM355" s="178"/>
      <c r="AN355" s="178"/>
      <c r="AO355" s="178"/>
      <c r="AP355" s="178"/>
      <c r="AQ355" s="178"/>
      <c r="AR355" s="178"/>
      <c r="AS355" s="178"/>
      <c r="AT355" s="178"/>
      <c r="AU355" s="178"/>
      <c r="AV355" s="178"/>
      <c r="AW355" s="178"/>
      <c r="AX355" s="178"/>
      <c r="AY355" s="517"/>
      <c r="AZ355" s="131"/>
    </row>
    <row r="356" spans="1:52" ht="15.75" customHeight="1">
      <c r="A356" s="131"/>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c r="AH356" s="178"/>
      <c r="AI356" s="178"/>
      <c r="AJ356" s="178"/>
      <c r="AK356" s="178"/>
      <c r="AL356" s="178"/>
      <c r="AM356" s="178"/>
      <c r="AN356" s="178"/>
      <c r="AO356" s="178"/>
      <c r="AP356" s="178"/>
      <c r="AQ356" s="178"/>
      <c r="AR356" s="178"/>
      <c r="AS356" s="178"/>
      <c r="AT356" s="178"/>
      <c r="AU356" s="178"/>
      <c r="AV356" s="178"/>
      <c r="AW356" s="178"/>
      <c r="AX356" s="178"/>
      <c r="AY356" s="517"/>
      <c r="AZ356" s="131"/>
    </row>
    <row r="357" spans="1:52" ht="15.75" customHeight="1">
      <c r="A357" s="131"/>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c r="AH357" s="178"/>
      <c r="AI357" s="178"/>
      <c r="AJ357" s="178"/>
      <c r="AK357" s="178"/>
      <c r="AL357" s="178"/>
      <c r="AM357" s="178"/>
      <c r="AN357" s="178"/>
      <c r="AO357" s="178"/>
      <c r="AP357" s="178"/>
      <c r="AQ357" s="178"/>
      <c r="AR357" s="178"/>
      <c r="AS357" s="178"/>
      <c r="AT357" s="178"/>
      <c r="AU357" s="178"/>
      <c r="AV357" s="178"/>
      <c r="AW357" s="178"/>
      <c r="AX357" s="178"/>
      <c r="AY357" s="517"/>
      <c r="AZ357" s="131"/>
    </row>
    <row r="358" spans="1:52" ht="15.75" customHeight="1">
      <c r="A358" s="131"/>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c r="AH358" s="178"/>
      <c r="AI358" s="178"/>
      <c r="AJ358" s="178"/>
      <c r="AK358" s="178"/>
      <c r="AL358" s="178"/>
      <c r="AM358" s="178"/>
      <c r="AN358" s="178"/>
      <c r="AO358" s="178"/>
      <c r="AP358" s="178"/>
      <c r="AQ358" s="178"/>
      <c r="AR358" s="178"/>
      <c r="AS358" s="178"/>
      <c r="AT358" s="178"/>
      <c r="AU358" s="178"/>
      <c r="AV358" s="178"/>
      <c r="AW358" s="178"/>
      <c r="AX358" s="178"/>
      <c r="AY358" s="517"/>
      <c r="AZ358" s="131"/>
    </row>
    <row r="359" spans="1:52" ht="15.75" customHeight="1">
      <c r="A359" s="131"/>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c r="AJ359" s="178"/>
      <c r="AK359" s="178"/>
      <c r="AL359" s="178"/>
      <c r="AM359" s="178"/>
      <c r="AN359" s="178"/>
      <c r="AO359" s="178"/>
      <c r="AP359" s="178"/>
      <c r="AQ359" s="178"/>
      <c r="AR359" s="178"/>
      <c r="AS359" s="178"/>
      <c r="AT359" s="178"/>
      <c r="AU359" s="178"/>
      <c r="AV359" s="178"/>
      <c r="AW359" s="178"/>
      <c r="AX359" s="178"/>
      <c r="AY359" s="517"/>
      <c r="AZ359" s="131"/>
    </row>
    <row r="360" spans="1:52" ht="15.75" customHeight="1">
      <c r="A360" s="131"/>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c r="AJ360" s="178"/>
      <c r="AK360" s="178"/>
      <c r="AL360" s="178"/>
      <c r="AM360" s="178"/>
      <c r="AN360" s="178"/>
      <c r="AO360" s="178"/>
      <c r="AP360" s="178"/>
      <c r="AQ360" s="178"/>
      <c r="AR360" s="178"/>
      <c r="AS360" s="178"/>
      <c r="AT360" s="178"/>
      <c r="AU360" s="178"/>
      <c r="AV360" s="178"/>
      <c r="AW360" s="178"/>
      <c r="AX360" s="178"/>
      <c r="AY360" s="517"/>
      <c r="AZ360" s="131"/>
    </row>
    <row r="361" spans="1:52" ht="15.75" customHeight="1">
      <c r="A361" s="131"/>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c r="AH361" s="178"/>
      <c r="AI361" s="178"/>
      <c r="AJ361" s="178"/>
      <c r="AK361" s="178"/>
      <c r="AL361" s="178"/>
      <c r="AM361" s="178"/>
      <c r="AN361" s="178"/>
      <c r="AO361" s="178"/>
      <c r="AP361" s="178"/>
      <c r="AQ361" s="178"/>
      <c r="AR361" s="178"/>
      <c r="AS361" s="178"/>
      <c r="AT361" s="178"/>
      <c r="AU361" s="178"/>
      <c r="AV361" s="178"/>
      <c r="AW361" s="178"/>
      <c r="AX361" s="178"/>
      <c r="AY361" s="517"/>
      <c r="AZ361" s="131"/>
    </row>
    <row r="362" spans="1:52" ht="15.75" customHeight="1">
      <c r="A362" s="131"/>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c r="AJ362" s="178"/>
      <c r="AK362" s="178"/>
      <c r="AL362" s="178"/>
      <c r="AM362" s="178"/>
      <c r="AN362" s="178"/>
      <c r="AO362" s="178"/>
      <c r="AP362" s="178"/>
      <c r="AQ362" s="178"/>
      <c r="AR362" s="178"/>
      <c r="AS362" s="178"/>
      <c r="AT362" s="178"/>
      <c r="AU362" s="178"/>
      <c r="AV362" s="178"/>
      <c r="AW362" s="178"/>
      <c r="AX362" s="178"/>
      <c r="AY362" s="517"/>
      <c r="AZ362" s="131"/>
    </row>
    <row r="363" spans="1:52" ht="15.75" customHeight="1">
      <c r="A363" s="131"/>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c r="AH363" s="178"/>
      <c r="AI363" s="178"/>
      <c r="AJ363" s="178"/>
      <c r="AK363" s="178"/>
      <c r="AL363" s="178"/>
      <c r="AM363" s="178"/>
      <c r="AN363" s="178"/>
      <c r="AO363" s="178"/>
      <c r="AP363" s="178"/>
      <c r="AQ363" s="178"/>
      <c r="AR363" s="178"/>
      <c r="AS363" s="178"/>
      <c r="AT363" s="178"/>
      <c r="AU363" s="178"/>
      <c r="AV363" s="178"/>
      <c r="AW363" s="178"/>
      <c r="AX363" s="178"/>
      <c r="AY363" s="517"/>
      <c r="AZ363" s="131"/>
    </row>
    <row r="364" spans="1:52" ht="15.75" customHeight="1">
      <c r="A364" s="131"/>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c r="AJ364" s="178"/>
      <c r="AK364" s="178"/>
      <c r="AL364" s="178"/>
      <c r="AM364" s="178"/>
      <c r="AN364" s="178"/>
      <c r="AO364" s="178"/>
      <c r="AP364" s="178"/>
      <c r="AQ364" s="178"/>
      <c r="AR364" s="178"/>
      <c r="AS364" s="178"/>
      <c r="AT364" s="178"/>
      <c r="AU364" s="178"/>
      <c r="AV364" s="178"/>
      <c r="AW364" s="178"/>
      <c r="AX364" s="178"/>
      <c r="AY364" s="517"/>
      <c r="AZ364" s="131"/>
    </row>
    <row r="365" spans="1:52" ht="15.75" customHeight="1">
      <c r="A365" s="131"/>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c r="AJ365" s="178"/>
      <c r="AK365" s="178"/>
      <c r="AL365" s="178"/>
      <c r="AM365" s="178"/>
      <c r="AN365" s="178"/>
      <c r="AO365" s="178"/>
      <c r="AP365" s="178"/>
      <c r="AQ365" s="178"/>
      <c r="AR365" s="178"/>
      <c r="AS365" s="178"/>
      <c r="AT365" s="178"/>
      <c r="AU365" s="178"/>
      <c r="AV365" s="178"/>
      <c r="AW365" s="178"/>
      <c r="AX365" s="178"/>
      <c r="AY365" s="517"/>
      <c r="AZ365" s="131"/>
    </row>
    <row r="366" spans="1:52" ht="15.75" customHeight="1">
      <c r="A366" s="131"/>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78"/>
      <c r="AJ366" s="178"/>
      <c r="AK366" s="178"/>
      <c r="AL366" s="178"/>
      <c r="AM366" s="178"/>
      <c r="AN366" s="178"/>
      <c r="AO366" s="178"/>
      <c r="AP366" s="178"/>
      <c r="AQ366" s="178"/>
      <c r="AR366" s="178"/>
      <c r="AS366" s="178"/>
      <c r="AT366" s="178"/>
      <c r="AU366" s="178"/>
      <c r="AV366" s="178"/>
      <c r="AW366" s="178"/>
      <c r="AX366" s="178"/>
      <c r="AY366" s="517"/>
      <c r="AZ366" s="131"/>
    </row>
    <row r="367" spans="1:52" ht="15.75" customHeight="1">
      <c r="A367" s="131"/>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c r="AH367" s="178"/>
      <c r="AI367" s="178"/>
      <c r="AJ367" s="178"/>
      <c r="AK367" s="178"/>
      <c r="AL367" s="178"/>
      <c r="AM367" s="178"/>
      <c r="AN367" s="178"/>
      <c r="AO367" s="178"/>
      <c r="AP367" s="178"/>
      <c r="AQ367" s="178"/>
      <c r="AR367" s="178"/>
      <c r="AS367" s="178"/>
      <c r="AT367" s="178"/>
      <c r="AU367" s="178"/>
      <c r="AV367" s="178"/>
      <c r="AW367" s="178"/>
      <c r="AX367" s="178"/>
      <c r="AY367" s="517"/>
      <c r="AZ367" s="131"/>
    </row>
    <row r="368" spans="1:52" ht="15.75" customHeight="1">
      <c r="A368" s="131"/>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c r="AH368" s="178"/>
      <c r="AI368" s="178"/>
      <c r="AJ368" s="178"/>
      <c r="AK368" s="178"/>
      <c r="AL368" s="178"/>
      <c r="AM368" s="178"/>
      <c r="AN368" s="178"/>
      <c r="AO368" s="178"/>
      <c r="AP368" s="178"/>
      <c r="AQ368" s="178"/>
      <c r="AR368" s="178"/>
      <c r="AS368" s="178"/>
      <c r="AT368" s="178"/>
      <c r="AU368" s="178"/>
      <c r="AV368" s="178"/>
      <c r="AW368" s="178"/>
      <c r="AX368" s="178"/>
      <c r="AY368" s="517"/>
      <c r="AZ368" s="131"/>
    </row>
    <row r="369" spans="1:52" ht="15.75" customHeight="1">
      <c r="A369" s="131"/>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c r="AJ369" s="178"/>
      <c r="AK369" s="178"/>
      <c r="AL369" s="178"/>
      <c r="AM369" s="178"/>
      <c r="AN369" s="178"/>
      <c r="AO369" s="178"/>
      <c r="AP369" s="178"/>
      <c r="AQ369" s="178"/>
      <c r="AR369" s="178"/>
      <c r="AS369" s="178"/>
      <c r="AT369" s="178"/>
      <c r="AU369" s="178"/>
      <c r="AV369" s="178"/>
      <c r="AW369" s="178"/>
      <c r="AX369" s="178"/>
      <c r="AY369" s="517"/>
      <c r="AZ369" s="131"/>
    </row>
    <row r="370" spans="1:52" ht="15.75" customHeight="1">
      <c r="A370" s="131"/>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c r="AJ370" s="178"/>
      <c r="AK370" s="178"/>
      <c r="AL370" s="178"/>
      <c r="AM370" s="178"/>
      <c r="AN370" s="178"/>
      <c r="AO370" s="178"/>
      <c r="AP370" s="178"/>
      <c r="AQ370" s="178"/>
      <c r="AR370" s="178"/>
      <c r="AS370" s="178"/>
      <c r="AT370" s="178"/>
      <c r="AU370" s="178"/>
      <c r="AV370" s="178"/>
      <c r="AW370" s="178"/>
      <c r="AX370" s="178"/>
      <c r="AY370" s="517"/>
      <c r="AZ370" s="131"/>
    </row>
    <row r="371" spans="1:52" ht="15.75" customHeight="1">
      <c r="A371" s="131"/>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c r="AJ371" s="178"/>
      <c r="AK371" s="178"/>
      <c r="AL371" s="178"/>
      <c r="AM371" s="178"/>
      <c r="AN371" s="178"/>
      <c r="AO371" s="178"/>
      <c r="AP371" s="178"/>
      <c r="AQ371" s="178"/>
      <c r="AR371" s="178"/>
      <c r="AS371" s="178"/>
      <c r="AT371" s="178"/>
      <c r="AU371" s="178"/>
      <c r="AV371" s="178"/>
      <c r="AW371" s="178"/>
      <c r="AX371" s="178"/>
      <c r="AY371" s="517"/>
      <c r="AZ371" s="131"/>
    </row>
    <row r="372" spans="1:52" ht="15.75" customHeight="1">
      <c r="A372" s="131"/>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c r="AH372" s="178"/>
      <c r="AI372" s="178"/>
      <c r="AJ372" s="178"/>
      <c r="AK372" s="178"/>
      <c r="AL372" s="178"/>
      <c r="AM372" s="178"/>
      <c r="AN372" s="178"/>
      <c r="AO372" s="178"/>
      <c r="AP372" s="178"/>
      <c r="AQ372" s="178"/>
      <c r="AR372" s="178"/>
      <c r="AS372" s="178"/>
      <c r="AT372" s="178"/>
      <c r="AU372" s="178"/>
      <c r="AV372" s="178"/>
      <c r="AW372" s="178"/>
      <c r="AX372" s="178"/>
      <c r="AY372" s="517"/>
      <c r="AZ372" s="131"/>
    </row>
    <row r="373" spans="1:52" ht="15.75" customHeight="1">
      <c r="A373" s="131"/>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c r="AJ373" s="178"/>
      <c r="AK373" s="178"/>
      <c r="AL373" s="178"/>
      <c r="AM373" s="178"/>
      <c r="AN373" s="178"/>
      <c r="AO373" s="178"/>
      <c r="AP373" s="178"/>
      <c r="AQ373" s="178"/>
      <c r="AR373" s="178"/>
      <c r="AS373" s="178"/>
      <c r="AT373" s="178"/>
      <c r="AU373" s="178"/>
      <c r="AV373" s="178"/>
      <c r="AW373" s="178"/>
      <c r="AX373" s="178"/>
      <c r="AY373" s="517"/>
      <c r="AZ373" s="131"/>
    </row>
    <row r="374" spans="1:52" ht="15.75" customHeight="1">
      <c r="A374" s="131"/>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c r="AJ374" s="178"/>
      <c r="AK374" s="178"/>
      <c r="AL374" s="178"/>
      <c r="AM374" s="178"/>
      <c r="AN374" s="178"/>
      <c r="AO374" s="178"/>
      <c r="AP374" s="178"/>
      <c r="AQ374" s="178"/>
      <c r="AR374" s="178"/>
      <c r="AS374" s="178"/>
      <c r="AT374" s="178"/>
      <c r="AU374" s="178"/>
      <c r="AV374" s="178"/>
      <c r="AW374" s="178"/>
      <c r="AX374" s="178"/>
      <c r="AY374" s="517"/>
      <c r="AZ374" s="131"/>
    </row>
    <row r="375" spans="1:52" ht="15.75" customHeight="1">
      <c r="A375" s="131"/>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c r="AH375" s="178"/>
      <c r="AI375" s="178"/>
      <c r="AJ375" s="178"/>
      <c r="AK375" s="178"/>
      <c r="AL375" s="178"/>
      <c r="AM375" s="178"/>
      <c r="AN375" s="178"/>
      <c r="AO375" s="178"/>
      <c r="AP375" s="178"/>
      <c r="AQ375" s="178"/>
      <c r="AR375" s="178"/>
      <c r="AS375" s="178"/>
      <c r="AT375" s="178"/>
      <c r="AU375" s="178"/>
      <c r="AV375" s="178"/>
      <c r="AW375" s="178"/>
      <c r="AX375" s="178"/>
      <c r="AY375" s="517"/>
      <c r="AZ375" s="131"/>
    </row>
    <row r="376" spans="1:52" ht="15.75" customHeight="1">
      <c r="A376" s="131"/>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c r="AH376" s="178"/>
      <c r="AI376" s="178"/>
      <c r="AJ376" s="178"/>
      <c r="AK376" s="178"/>
      <c r="AL376" s="178"/>
      <c r="AM376" s="178"/>
      <c r="AN376" s="178"/>
      <c r="AO376" s="178"/>
      <c r="AP376" s="178"/>
      <c r="AQ376" s="178"/>
      <c r="AR376" s="178"/>
      <c r="AS376" s="178"/>
      <c r="AT376" s="178"/>
      <c r="AU376" s="178"/>
      <c r="AV376" s="178"/>
      <c r="AW376" s="178"/>
      <c r="AX376" s="178"/>
      <c r="AY376" s="517"/>
      <c r="AZ376" s="131"/>
    </row>
    <row r="377" spans="1:52" ht="15.75" customHeight="1">
      <c r="A377" s="131"/>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c r="AH377" s="178"/>
      <c r="AI377" s="178"/>
      <c r="AJ377" s="178"/>
      <c r="AK377" s="178"/>
      <c r="AL377" s="178"/>
      <c r="AM377" s="178"/>
      <c r="AN377" s="178"/>
      <c r="AO377" s="178"/>
      <c r="AP377" s="178"/>
      <c r="AQ377" s="178"/>
      <c r="AR377" s="178"/>
      <c r="AS377" s="178"/>
      <c r="AT377" s="178"/>
      <c r="AU377" s="178"/>
      <c r="AV377" s="178"/>
      <c r="AW377" s="178"/>
      <c r="AX377" s="178"/>
      <c r="AY377" s="517"/>
      <c r="AZ377" s="131"/>
    </row>
    <row r="378" spans="1:52" ht="15.75" customHeight="1">
      <c r="A378" s="131"/>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c r="AJ378" s="178"/>
      <c r="AK378" s="178"/>
      <c r="AL378" s="178"/>
      <c r="AM378" s="178"/>
      <c r="AN378" s="178"/>
      <c r="AO378" s="178"/>
      <c r="AP378" s="178"/>
      <c r="AQ378" s="178"/>
      <c r="AR378" s="178"/>
      <c r="AS378" s="178"/>
      <c r="AT378" s="178"/>
      <c r="AU378" s="178"/>
      <c r="AV378" s="178"/>
      <c r="AW378" s="178"/>
      <c r="AX378" s="178"/>
      <c r="AY378" s="517"/>
      <c r="AZ378" s="131"/>
    </row>
    <row r="379" spans="1:52" ht="15.75" customHeight="1">
      <c r="A379" s="131"/>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c r="AJ379" s="178"/>
      <c r="AK379" s="178"/>
      <c r="AL379" s="178"/>
      <c r="AM379" s="178"/>
      <c r="AN379" s="178"/>
      <c r="AO379" s="178"/>
      <c r="AP379" s="178"/>
      <c r="AQ379" s="178"/>
      <c r="AR379" s="178"/>
      <c r="AS379" s="178"/>
      <c r="AT379" s="178"/>
      <c r="AU379" s="178"/>
      <c r="AV379" s="178"/>
      <c r="AW379" s="178"/>
      <c r="AX379" s="178"/>
      <c r="AY379" s="517"/>
      <c r="AZ379" s="131"/>
    </row>
    <row r="380" spans="1:52" ht="15.75" customHeight="1">
      <c r="A380" s="131"/>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c r="AH380" s="178"/>
      <c r="AI380" s="178"/>
      <c r="AJ380" s="178"/>
      <c r="AK380" s="178"/>
      <c r="AL380" s="178"/>
      <c r="AM380" s="178"/>
      <c r="AN380" s="178"/>
      <c r="AO380" s="178"/>
      <c r="AP380" s="178"/>
      <c r="AQ380" s="178"/>
      <c r="AR380" s="178"/>
      <c r="AS380" s="178"/>
      <c r="AT380" s="178"/>
      <c r="AU380" s="178"/>
      <c r="AV380" s="178"/>
      <c r="AW380" s="178"/>
      <c r="AX380" s="178"/>
      <c r="AY380" s="517"/>
      <c r="AZ380" s="131"/>
    </row>
    <row r="381" spans="1:52" ht="15.75" customHeight="1">
      <c r="A381" s="131"/>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c r="AH381" s="178"/>
      <c r="AI381" s="178"/>
      <c r="AJ381" s="178"/>
      <c r="AK381" s="178"/>
      <c r="AL381" s="178"/>
      <c r="AM381" s="178"/>
      <c r="AN381" s="178"/>
      <c r="AO381" s="178"/>
      <c r="AP381" s="178"/>
      <c r="AQ381" s="178"/>
      <c r="AR381" s="178"/>
      <c r="AS381" s="178"/>
      <c r="AT381" s="178"/>
      <c r="AU381" s="178"/>
      <c r="AV381" s="178"/>
      <c r="AW381" s="178"/>
      <c r="AX381" s="178"/>
      <c r="AY381" s="517"/>
      <c r="AZ381" s="131"/>
    </row>
    <row r="382" spans="1:52" ht="15.75" customHeight="1">
      <c r="A382" s="131"/>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c r="AJ382" s="178"/>
      <c r="AK382" s="178"/>
      <c r="AL382" s="178"/>
      <c r="AM382" s="178"/>
      <c r="AN382" s="178"/>
      <c r="AO382" s="178"/>
      <c r="AP382" s="178"/>
      <c r="AQ382" s="178"/>
      <c r="AR382" s="178"/>
      <c r="AS382" s="178"/>
      <c r="AT382" s="178"/>
      <c r="AU382" s="178"/>
      <c r="AV382" s="178"/>
      <c r="AW382" s="178"/>
      <c r="AX382" s="178"/>
      <c r="AY382" s="517"/>
      <c r="AZ382" s="131"/>
    </row>
    <row r="383" spans="1:52" ht="15.75" customHeight="1">
      <c r="A383" s="131"/>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c r="AJ383" s="178"/>
      <c r="AK383" s="178"/>
      <c r="AL383" s="178"/>
      <c r="AM383" s="178"/>
      <c r="AN383" s="178"/>
      <c r="AO383" s="178"/>
      <c r="AP383" s="178"/>
      <c r="AQ383" s="178"/>
      <c r="AR383" s="178"/>
      <c r="AS383" s="178"/>
      <c r="AT383" s="178"/>
      <c r="AU383" s="178"/>
      <c r="AV383" s="178"/>
      <c r="AW383" s="178"/>
      <c r="AX383" s="178"/>
      <c r="AY383" s="517"/>
      <c r="AZ383" s="131"/>
    </row>
    <row r="384" spans="1:52" ht="15.75" customHeight="1">
      <c r="A384" s="131"/>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c r="AJ384" s="178"/>
      <c r="AK384" s="178"/>
      <c r="AL384" s="178"/>
      <c r="AM384" s="178"/>
      <c r="AN384" s="178"/>
      <c r="AO384" s="178"/>
      <c r="AP384" s="178"/>
      <c r="AQ384" s="178"/>
      <c r="AR384" s="178"/>
      <c r="AS384" s="178"/>
      <c r="AT384" s="178"/>
      <c r="AU384" s="178"/>
      <c r="AV384" s="178"/>
      <c r="AW384" s="178"/>
      <c r="AX384" s="178"/>
      <c r="AY384" s="517"/>
      <c r="AZ384" s="131"/>
    </row>
    <row r="385" spans="1:52" ht="15.75" customHeight="1">
      <c r="A385" s="131"/>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c r="AJ385" s="178"/>
      <c r="AK385" s="178"/>
      <c r="AL385" s="178"/>
      <c r="AM385" s="178"/>
      <c r="AN385" s="178"/>
      <c r="AO385" s="178"/>
      <c r="AP385" s="178"/>
      <c r="AQ385" s="178"/>
      <c r="AR385" s="178"/>
      <c r="AS385" s="178"/>
      <c r="AT385" s="178"/>
      <c r="AU385" s="178"/>
      <c r="AV385" s="178"/>
      <c r="AW385" s="178"/>
      <c r="AX385" s="178"/>
      <c r="AY385" s="517"/>
      <c r="AZ385" s="131"/>
    </row>
    <row r="386" spans="1:52" ht="15.75" customHeight="1">
      <c r="A386" s="131"/>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c r="AJ386" s="178"/>
      <c r="AK386" s="178"/>
      <c r="AL386" s="178"/>
      <c r="AM386" s="178"/>
      <c r="AN386" s="178"/>
      <c r="AO386" s="178"/>
      <c r="AP386" s="178"/>
      <c r="AQ386" s="178"/>
      <c r="AR386" s="178"/>
      <c r="AS386" s="178"/>
      <c r="AT386" s="178"/>
      <c r="AU386" s="178"/>
      <c r="AV386" s="178"/>
      <c r="AW386" s="178"/>
      <c r="AX386" s="178"/>
      <c r="AY386" s="517"/>
      <c r="AZ386" s="131"/>
    </row>
    <row r="387" spans="1:52" ht="15.75" customHeight="1">
      <c r="A387" s="131"/>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c r="AJ387" s="178"/>
      <c r="AK387" s="178"/>
      <c r="AL387" s="178"/>
      <c r="AM387" s="178"/>
      <c r="AN387" s="178"/>
      <c r="AO387" s="178"/>
      <c r="AP387" s="178"/>
      <c r="AQ387" s="178"/>
      <c r="AR387" s="178"/>
      <c r="AS387" s="178"/>
      <c r="AT387" s="178"/>
      <c r="AU387" s="178"/>
      <c r="AV387" s="178"/>
      <c r="AW387" s="178"/>
      <c r="AX387" s="178"/>
      <c r="AY387" s="517"/>
      <c r="AZ387" s="131"/>
    </row>
    <row r="388" spans="1:52" ht="15.75" customHeight="1">
      <c r="A388" s="131"/>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c r="AH388" s="178"/>
      <c r="AI388" s="178"/>
      <c r="AJ388" s="178"/>
      <c r="AK388" s="178"/>
      <c r="AL388" s="178"/>
      <c r="AM388" s="178"/>
      <c r="AN388" s="178"/>
      <c r="AO388" s="178"/>
      <c r="AP388" s="178"/>
      <c r="AQ388" s="178"/>
      <c r="AR388" s="178"/>
      <c r="AS388" s="178"/>
      <c r="AT388" s="178"/>
      <c r="AU388" s="178"/>
      <c r="AV388" s="178"/>
      <c r="AW388" s="178"/>
      <c r="AX388" s="178"/>
      <c r="AY388" s="517"/>
      <c r="AZ388" s="131"/>
    </row>
    <row r="389" spans="1:52" ht="15.75" customHeight="1">
      <c r="A389" s="131"/>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c r="AH389" s="178"/>
      <c r="AI389" s="178"/>
      <c r="AJ389" s="178"/>
      <c r="AK389" s="178"/>
      <c r="AL389" s="178"/>
      <c r="AM389" s="178"/>
      <c r="AN389" s="178"/>
      <c r="AO389" s="178"/>
      <c r="AP389" s="178"/>
      <c r="AQ389" s="178"/>
      <c r="AR389" s="178"/>
      <c r="AS389" s="178"/>
      <c r="AT389" s="178"/>
      <c r="AU389" s="178"/>
      <c r="AV389" s="178"/>
      <c r="AW389" s="178"/>
      <c r="AX389" s="178"/>
      <c r="AY389" s="517"/>
      <c r="AZ389" s="131"/>
    </row>
    <row r="390" spans="1:52" ht="15.75" customHeight="1">
      <c r="A390" s="131"/>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c r="AH390" s="178"/>
      <c r="AI390" s="178"/>
      <c r="AJ390" s="178"/>
      <c r="AK390" s="178"/>
      <c r="AL390" s="178"/>
      <c r="AM390" s="178"/>
      <c r="AN390" s="178"/>
      <c r="AO390" s="178"/>
      <c r="AP390" s="178"/>
      <c r="AQ390" s="178"/>
      <c r="AR390" s="178"/>
      <c r="AS390" s="178"/>
      <c r="AT390" s="178"/>
      <c r="AU390" s="178"/>
      <c r="AV390" s="178"/>
      <c r="AW390" s="178"/>
      <c r="AX390" s="178"/>
      <c r="AY390" s="517"/>
      <c r="AZ390" s="131"/>
    </row>
    <row r="391" spans="1:52" ht="15.75" customHeight="1">
      <c r="A391" s="131"/>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c r="AJ391" s="178"/>
      <c r="AK391" s="178"/>
      <c r="AL391" s="178"/>
      <c r="AM391" s="178"/>
      <c r="AN391" s="178"/>
      <c r="AO391" s="178"/>
      <c r="AP391" s="178"/>
      <c r="AQ391" s="178"/>
      <c r="AR391" s="178"/>
      <c r="AS391" s="178"/>
      <c r="AT391" s="178"/>
      <c r="AU391" s="178"/>
      <c r="AV391" s="178"/>
      <c r="AW391" s="178"/>
      <c r="AX391" s="178"/>
      <c r="AY391" s="517"/>
      <c r="AZ391" s="131"/>
    </row>
    <row r="392" spans="1:52" ht="15.75" customHeight="1">
      <c r="A392" s="131"/>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c r="AL392" s="178"/>
      <c r="AM392" s="178"/>
      <c r="AN392" s="178"/>
      <c r="AO392" s="178"/>
      <c r="AP392" s="178"/>
      <c r="AQ392" s="178"/>
      <c r="AR392" s="178"/>
      <c r="AS392" s="178"/>
      <c r="AT392" s="178"/>
      <c r="AU392" s="178"/>
      <c r="AV392" s="178"/>
      <c r="AW392" s="178"/>
      <c r="AX392" s="178"/>
      <c r="AY392" s="517"/>
      <c r="AZ392" s="131"/>
    </row>
    <row r="393" spans="1:52" ht="15.75" customHeight="1">
      <c r="A393" s="131"/>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c r="AH393" s="178"/>
      <c r="AI393" s="178"/>
      <c r="AJ393" s="178"/>
      <c r="AK393" s="178"/>
      <c r="AL393" s="178"/>
      <c r="AM393" s="178"/>
      <c r="AN393" s="178"/>
      <c r="AO393" s="178"/>
      <c r="AP393" s="178"/>
      <c r="AQ393" s="178"/>
      <c r="AR393" s="178"/>
      <c r="AS393" s="178"/>
      <c r="AT393" s="178"/>
      <c r="AU393" s="178"/>
      <c r="AV393" s="178"/>
      <c r="AW393" s="178"/>
      <c r="AX393" s="178"/>
      <c r="AY393" s="517"/>
      <c r="AZ393" s="131"/>
    </row>
    <row r="394" spans="1:52" ht="15.75" customHeight="1">
      <c r="A394" s="131"/>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c r="AH394" s="178"/>
      <c r="AI394" s="178"/>
      <c r="AJ394" s="178"/>
      <c r="AK394" s="178"/>
      <c r="AL394" s="178"/>
      <c r="AM394" s="178"/>
      <c r="AN394" s="178"/>
      <c r="AO394" s="178"/>
      <c r="AP394" s="178"/>
      <c r="AQ394" s="178"/>
      <c r="AR394" s="178"/>
      <c r="AS394" s="178"/>
      <c r="AT394" s="178"/>
      <c r="AU394" s="178"/>
      <c r="AV394" s="178"/>
      <c r="AW394" s="178"/>
      <c r="AX394" s="178"/>
      <c r="AY394" s="517"/>
      <c r="AZ394" s="131"/>
    </row>
    <row r="395" spans="1:52" ht="15.75" customHeight="1">
      <c r="A395" s="131"/>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c r="AH395" s="178"/>
      <c r="AI395" s="178"/>
      <c r="AJ395" s="178"/>
      <c r="AK395" s="178"/>
      <c r="AL395" s="178"/>
      <c r="AM395" s="178"/>
      <c r="AN395" s="178"/>
      <c r="AO395" s="178"/>
      <c r="AP395" s="178"/>
      <c r="AQ395" s="178"/>
      <c r="AR395" s="178"/>
      <c r="AS395" s="178"/>
      <c r="AT395" s="178"/>
      <c r="AU395" s="178"/>
      <c r="AV395" s="178"/>
      <c r="AW395" s="178"/>
      <c r="AX395" s="178"/>
      <c r="AY395" s="517"/>
      <c r="AZ395" s="131"/>
    </row>
    <row r="396" spans="1:52" ht="15.75" customHeight="1">
      <c r="A396" s="131"/>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c r="AJ396" s="178"/>
      <c r="AK396" s="178"/>
      <c r="AL396" s="178"/>
      <c r="AM396" s="178"/>
      <c r="AN396" s="178"/>
      <c r="AO396" s="178"/>
      <c r="AP396" s="178"/>
      <c r="AQ396" s="178"/>
      <c r="AR396" s="178"/>
      <c r="AS396" s="178"/>
      <c r="AT396" s="178"/>
      <c r="AU396" s="178"/>
      <c r="AV396" s="178"/>
      <c r="AW396" s="178"/>
      <c r="AX396" s="178"/>
      <c r="AY396" s="517"/>
      <c r="AZ396" s="131"/>
    </row>
    <row r="397" spans="1:52" ht="15.75" customHeight="1">
      <c r="A397" s="131"/>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c r="AJ397" s="178"/>
      <c r="AK397" s="178"/>
      <c r="AL397" s="178"/>
      <c r="AM397" s="178"/>
      <c r="AN397" s="178"/>
      <c r="AO397" s="178"/>
      <c r="AP397" s="178"/>
      <c r="AQ397" s="178"/>
      <c r="AR397" s="178"/>
      <c r="AS397" s="178"/>
      <c r="AT397" s="178"/>
      <c r="AU397" s="178"/>
      <c r="AV397" s="178"/>
      <c r="AW397" s="178"/>
      <c r="AX397" s="178"/>
      <c r="AY397" s="517"/>
      <c r="AZ397" s="131"/>
    </row>
    <row r="398" spans="1:52" ht="15.75" customHeight="1">
      <c r="A398" s="131"/>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c r="AH398" s="178"/>
      <c r="AI398" s="178"/>
      <c r="AJ398" s="178"/>
      <c r="AK398" s="178"/>
      <c r="AL398" s="178"/>
      <c r="AM398" s="178"/>
      <c r="AN398" s="178"/>
      <c r="AO398" s="178"/>
      <c r="AP398" s="178"/>
      <c r="AQ398" s="178"/>
      <c r="AR398" s="178"/>
      <c r="AS398" s="178"/>
      <c r="AT398" s="178"/>
      <c r="AU398" s="178"/>
      <c r="AV398" s="178"/>
      <c r="AW398" s="178"/>
      <c r="AX398" s="178"/>
      <c r="AY398" s="517"/>
      <c r="AZ398" s="131"/>
    </row>
    <row r="399" spans="1:52" ht="15.75" customHeight="1">
      <c r="A399" s="131"/>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c r="AH399" s="178"/>
      <c r="AI399" s="178"/>
      <c r="AJ399" s="178"/>
      <c r="AK399" s="178"/>
      <c r="AL399" s="178"/>
      <c r="AM399" s="178"/>
      <c r="AN399" s="178"/>
      <c r="AO399" s="178"/>
      <c r="AP399" s="178"/>
      <c r="AQ399" s="178"/>
      <c r="AR399" s="178"/>
      <c r="AS399" s="178"/>
      <c r="AT399" s="178"/>
      <c r="AU399" s="178"/>
      <c r="AV399" s="178"/>
      <c r="AW399" s="178"/>
      <c r="AX399" s="178"/>
      <c r="AY399" s="517"/>
      <c r="AZ399" s="131"/>
    </row>
    <row r="400" spans="1:52" ht="15.75" customHeight="1">
      <c r="A400" s="131"/>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c r="AH400" s="178"/>
      <c r="AI400" s="178"/>
      <c r="AJ400" s="178"/>
      <c r="AK400" s="178"/>
      <c r="AL400" s="178"/>
      <c r="AM400" s="178"/>
      <c r="AN400" s="178"/>
      <c r="AO400" s="178"/>
      <c r="AP400" s="178"/>
      <c r="AQ400" s="178"/>
      <c r="AR400" s="178"/>
      <c r="AS400" s="178"/>
      <c r="AT400" s="178"/>
      <c r="AU400" s="178"/>
      <c r="AV400" s="178"/>
      <c r="AW400" s="178"/>
      <c r="AX400" s="178"/>
      <c r="AY400" s="517"/>
      <c r="AZ400" s="131"/>
    </row>
    <row r="401" spans="1:52" ht="15.75" customHeight="1">
      <c r="A401" s="131"/>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c r="AJ401" s="178"/>
      <c r="AK401" s="178"/>
      <c r="AL401" s="178"/>
      <c r="AM401" s="178"/>
      <c r="AN401" s="178"/>
      <c r="AO401" s="178"/>
      <c r="AP401" s="178"/>
      <c r="AQ401" s="178"/>
      <c r="AR401" s="178"/>
      <c r="AS401" s="178"/>
      <c r="AT401" s="178"/>
      <c r="AU401" s="178"/>
      <c r="AV401" s="178"/>
      <c r="AW401" s="178"/>
      <c r="AX401" s="178"/>
      <c r="AY401" s="517"/>
      <c r="AZ401" s="131"/>
    </row>
    <row r="402" spans="1:52" ht="15.75" customHeight="1">
      <c r="A402" s="131"/>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c r="AJ402" s="178"/>
      <c r="AK402" s="178"/>
      <c r="AL402" s="178"/>
      <c r="AM402" s="178"/>
      <c r="AN402" s="178"/>
      <c r="AO402" s="178"/>
      <c r="AP402" s="178"/>
      <c r="AQ402" s="178"/>
      <c r="AR402" s="178"/>
      <c r="AS402" s="178"/>
      <c r="AT402" s="178"/>
      <c r="AU402" s="178"/>
      <c r="AV402" s="178"/>
      <c r="AW402" s="178"/>
      <c r="AX402" s="178"/>
      <c r="AY402" s="517"/>
      <c r="AZ402" s="131"/>
    </row>
    <row r="403" spans="1:52" ht="15.75" customHeight="1">
      <c r="A403" s="131"/>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c r="AH403" s="178"/>
      <c r="AI403" s="178"/>
      <c r="AJ403" s="178"/>
      <c r="AK403" s="178"/>
      <c r="AL403" s="178"/>
      <c r="AM403" s="178"/>
      <c r="AN403" s="178"/>
      <c r="AO403" s="178"/>
      <c r="AP403" s="178"/>
      <c r="AQ403" s="178"/>
      <c r="AR403" s="178"/>
      <c r="AS403" s="178"/>
      <c r="AT403" s="178"/>
      <c r="AU403" s="178"/>
      <c r="AV403" s="178"/>
      <c r="AW403" s="178"/>
      <c r="AX403" s="178"/>
      <c r="AY403" s="517"/>
      <c r="AZ403" s="131"/>
    </row>
    <row r="404" spans="1:52" ht="15.75" customHeight="1">
      <c r="A404" s="131"/>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c r="AH404" s="178"/>
      <c r="AI404" s="178"/>
      <c r="AJ404" s="178"/>
      <c r="AK404" s="178"/>
      <c r="AL404" s="178"/>
      <c r="AM404" s="178"/>
      <c r="AN404" s="178"/>
      <c r="AO404" s="178"/>
      <c r="AP404" s="178"/>
      <c r="AQ404" s="178"/>
      <c r="AR404" s="178"/>
      <c r="AS404" s="178"/>
      <c r="AT404" s="178"/>
      <c r="AU404" s="178"/>
      <c r="AV404" s="178"/>
      <c r="AW404" s="178"/>
      <c r="AX404" s="178"/>
      <c r="AY404" s="517"/>
      <c r="AZ404" s="131"/>
    </row>
    <row r="405" spans="1:52" ht="15.75" customHeight="1">
      <c r="A405" s="131"/>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c r="AJ405" s="178"/>
      <c r="AK405" s="178"/>
      <c r="AL405" s="178"/>
      <c r="AM405" s="178"/>
      <c r="AN405" s="178"/>
      <c r="AO405" s="178"/>
      <c r="AP405" s="178"/>
      <c r="AQ405" s="178"/>
      <c r="AR405" s="178"/>
      <c r="AS405" s="178"/>
      <c r="AT405" s="178"/>
      <c r="AU405" s="178"/>
      <c r="AV405" s="178"/>
      <c r="AW405" s="178"/>
      <c r="AX405" s="178"/>
      <c r="AY405" s="517"/>
      <c r="AZ405" s="131"/>
    </row>
    <row r="406" spans="1:52" ht="15.75" customHeight="1">
      <c r="A406" s="131"/>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c r="AH406" s="178"/>
      <c r="AI406" s="178"/>
      <c r="AJ406" s="178"/>
      <c r="AK406" s="178"/>
      <c r="AL406" s="178"/>
      <c r="AM406" s="178"/>
      <c r="AN406" s="178"/>
      <c r="AO406" s="178"/>
      <c r="AP406" s="178"/>
      <c r="AQ406" s="178"/>
      <c r="AR406" s="178"/>
      <c r="AS406" s="178"/>
      <c r="AT406" s="178"/>
      <c r="AU406" s="178"/>
      <c r="AV406" s="178"/>
      <c r="AW406" s="178"/>
      <c r="AX406" s="178"/>
      <c r="AY406" s="517"/>
      <c r="AZ406" s="131"/>
    </row>
    <row r="407" spans="1:52" ht="15.75" customHeight="1">
      <c r="A407" s="131"/>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c r="AH407" s="178"/>
      <c r="AI407" s="178"/>
      <c r="AJ407" s="178"/>
      <c r="AK407" s="178"/>
      <c r="AL407" s="178"/>
      <c r="AM407" s="178"/>
      <c r="AN407" s="178"/>
      <c r="AO407" s="178"/>
      <c r="AP407" s="178"/>
      <c r="AQ407" s="178"/>
      <c r="AR407" s="178"/>
      <c r="AS407" s="178"/>
      <c r="AT407" s="178"/>
      <c r="AU407" s="178"/>
      <c r="AV407" s="178"/>
      <c r="AW407" s="178"/>
      <c r="AX407" s="178"/>
      <c r="AY407" s="517"/>
      <c r="AZ407" s="131"/>
    </row>
    <row r="408" spans="1:52" ht="15.75" customHeight="1">
      <c r="A408" s="131"/>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c r="AH408" s="178"/>
      <c r="AI408" s="178"/>
      <c r="AJ408" s="178"/>
      <c r="AK408" s="178"/>
      <c r="AL408" s="178"/>
      <c r="AM408" s="178"/>
      <c r="AN408" s="178"/>
      <c r="AO408" s="178"/>
      <c r="AP408" s="178"/>
      <c r="AQ408" s="178"/>
      <c r="AR408" s="178"/>
      <c r="AS408" s="178"/>
      <c r="AT408" s="178"/>
      <c r="AU408" s="178"/>
      <c r="AV408" s="178"/>
      <c r="AW408" s="178"/>
      <c r="AX408" s="178"/>
      <c r="AY408" s="517"/>
      <c r="AZ408" s="131"/>
    </row>
    <row r="409" spans="1:52" ht="15.75" customHeight="1">
      <c r="A409" s="131"/>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c r="AH409" s="178"/>
      <c r="AI409" s="178"/>
      <c r="AJ409" s="178"/>
      <c r="AK409" s="178"/>
      <c r="AL409" s="178"/>
      <c r="AM409" s="178"/>
      <c r="AN409" s="178"/>
      <c r="AO409" s="178"/>
      <c r="AP409" s="178"/>
      <c r="AQ409" s="178"/>
      <c r="AR409" s="178"/>
      <c r="AS409" s="178"/>
      <c r="AT409" s="178"/>
      <c r="AU409" s="178"/>
      <c r="AV409" s="178"/>
      <c r="AW409" s="178"/>
      <c r="AX409" s="178"/>
      <c r="AY409" s="517"/>
      <c r="AZ409" s="131"/>
    </row>
    <row r="410" spans="1:52" ht="15.75" customHeight="1">
      <c r="A410" s="131"/>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c r="AH410" s="178"/>
      <c r="AI410" s="178"/>
      <c r="AJ410" s="178"/>
      <c r="AK410" s="178"/>
      <c r="AL410" s="178"/>
      <c r="AM410" s="178"/>
      <c r="AN410" s="178"/>
      <c r="AO410" s="178"/>
      <c r="AP410" s="178"/>
      <c r="AQ410" s="178"/>
      <c r="AR410" s="178"/>
      <c r="AS410" s="178"/>
      <c r="AT410" s="178"/>
      <c r="AU410" s="178"/>
      <c r="AV410" s="178"/>
      <c r="AW410" s="178"/>
      <c r="AX410" s="178"/>
      <c r="AY410" s="517"/>
      <c r="AZ410" s="131"/>
    </row>
    <row r="411" spans="1:52" ht="15.75" customHeight="1">
      <c r="A411" s="131"/>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c r="AH411" s="178"/>
      <c r="AI411" s="178"/>
      <c r="AJ411" s="178"/>
      <c r="AK411" s="178"/>
      <c r="AL411" s="178"/>
      <c r="AM411" s="178"/>
      <c r="AN411" s="178"/>
      <c r="AO411" s="178"/>
      <c r="AP411" s="178"/>
      <c r="AQ411" s="178"/>
      <c r="AR411" s="178"/>
      <c r="AS411" s="178"/>
      <c r="AT411" s="178"/>
      <c r="AU411" s="178"/>
      <c r="AV411" s="178"/>
      <c r="AW411" s="178"/>
      <c r="AX411" s="178"/>
      <c r="AY411" s="517"/>
      <c r="AZ411" s="131"/>
    </row>
    <row r="412" spans="1:52" ht="15.75" customHeight="1">
      <c r="A412" s="131"/>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c r="AH412" s="178"/>
      <c r="AI412" s="178"/>
      <c r="AJ412" s="178"/>
      <c r="AK412" s="178"/>
      <c r="AL412" s="178"/>
      <c r="AM412" s="178"/>
      <c r="AN412" s="178"/>
      <c r="AO412" s="178"/>
      <c r="AP412" s="178"/>
      <c r="AQ412" s="178"/>
      <c r="AR412" s="178"/>
      <c r="AS412" s="178"/>
      <c r="AT412" s="178"/>
      <c r="AU412" s="178"/>
      <c r="AV412" s="178"/>
      <c r="AW412" s="178"/>
      <c r="AX412" s="178"/>
      <c r="AY412" s="517"/>
      <c r="AZ412" s="131"/>
    </row>
    <row r="413" spans="1:52" ht="15.75" customHeight="1">
      <c r="A413" s="131"/>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c r="AJ413" s="178"/>
      <c r="AK413" s="178"/>
      <c r="AL413" s="178"/>
      <c r="AM413" s="178"/>
      <c r="AN413" s="178"/>
      <c r="AO413" s="178"/>
      <c r="AP413" s="178"/>
      <c r="AQ413" s="178"/>
      <c r="AR413" s="178"/>
      <c r="AS413" s="178"/>
      <c r="AT413" s="178"/>
      <c r="AU413" s="178"/>
      <c r="AV413" s="178"/>
      <c r="AW413" s="178"/>
      <c r="AX413" s="178"/>
      <c r="AY413" s="517"/>
      <c r="AZ413" s="131"/>
    </row>
    <row r="414" spans="1:52" ht="15.75" customHeight="1">
      <c r="A414" s="131"/>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c r="AJ414" s="178"/>
      <c r="AK414" s="178"/>
      <c r="AL414" s="178"/>
      <c r="AM414" s="178"/>
      <c r="AN414" s="178"/>
      <c r="AO414" s="178"/>
      <c r="AP414" s="178"/>
      <c r="AQ414" s="178"/>
      <c r="AR414" s="178"/>
      <c r="AS414" s="178"/>
      <c r="AT414" s="178"/>
      <c r="AU414" s="178"/>
      <c r="AV414" s="178"/>
      <c r="AW414" s="178"/>
      <c r="AX414" s="178"/>
      <c r="AY414" s="517"/>
      <c r="AZ414" s="131"/>
    </row>
    <row r="415" spans="1:52" ht="15.75" customHeight="1">
      <c r="A415" s="131"/>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c r="AH415" s="178"/>
      <c r="AI415" s="178"/>
      <c r="AJ415" s="178"/>
      <c r="AK415" s="178"/>
      <c r="AL415" s="178"/>
      <c r="AM415" s="178"/>
      <c r="AN415" s="178"/>
      <c r="AO415" s="178"/>
      <c r="AP415" s="178"/>
      <c r="AQ415" s="178"/>
      <c r="AR415" s="178"/>
      <c r="AS415" s="178"/>
      <c r="AT415" s="178"/>
      <c r="AU415" s="178"/>
      <c r="AV415" s="178"/>
      <c r="AW415" s="178"/>
      <c r="AX415" s="178"/>
      <c r="AY415" s="517"/>
      <c r="AZ415" s="131"/>
    </row>
    <row r="416" spans="1:52" ht="15.75" customHeight="1">
      <c r="A416" s="131"/>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c r="AH416" s="178"/>
      <c r="AI416" s="178"/>
      <c r="AJ416" s="178"/>
      <c r="AK416" s="178"/>
      <c r="AL416" s="178"/>
      <c r="AM416" s="178"/>
      <c r="AN416" s="178"/>
      <c r="AO416" s="178"/>
      <c r="AP416" s="178"/>
      <c r="AQ416" s="178"/>
      <c r="AR416" s="178"/>
      <c r="AS416" s="178"/>
      <c r="AT416" s="178"/>
      <c r="AU416" s="178"/>
      <c r="AV416" s="178"/>
      <c r="AW416" s="178"/>
      <c r="AX416" s="178"/>
      <c r="AY416" s="517"/>
      <c r="AZ416" s="131"/>
    </row>
    <row r="417" spans="1:52" ht="15.75" customHeight="1">
      <c r="A417" s="131"/>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c r="AH417" s="178"/>
      <c r="AI417" s="178"/>
      <c r="AJ417" s="178"/>
      <c r="AK417" s="178"/>
      <c r="AL417" s="178"/>
      <c r="AM417" s="178"/>
      <c r="AN417" s="178"/>
      <c r="AO417" s="178"/>
      <c r="AP417" s="178"/>
      <c r="AQ417" s="178"/>
      <c r="AR417" s="178"/>
      <c r="AS417" s="178"/>
      <c r="AT417" s="178"/>
      <c r="AU417" s="178"/>
      <c r="AV417" s="178"/>
      <c r="AW417" s="178"/>
      <c r="AX417" s="178"/>
      <c r="AY417" s="517"/>
      <c r="AZ417" s="131"/>
    </row>
    <row r="418" spans="1:52" ht="15.75" customHeight="1">
      <c r="A418" s="131"/>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c r="AJ418" s="178"/>
      <c r="AK418" s="178"/>
      <c r="AL418" s="178"/>
      <c r="AM418" s="178"/>
      <c r="AN418" s="178"/>
      <c r="AO418" s="178"/>
      <c r="AP418" s="178"/>
      <c r="AQ418" s="178"/>
      <c r="AR418" s="178"/>
      <c r="AS418" s="178"/>
      <c r="AT418" s="178"/>
      <c r="AU418" s="178"/>
      <c r="AV418" s="178"/>
      <c r="AW418" s="178"/>
      <c r="AX418" s="178"/>
      <c r="AY418" s="517"/>
      <c r="AZ418" s="131"/>
    </row>
    <row r="419" spans="1:52" ht="15.75" customHeight="1">
      <c r="A419" s="131"/>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c r="AJ419" s="178"/>
      <c r="AK419" s="178"/>
      <c r="AL419" s="178"/>
      <c r="AM419" s="178"/>
      <c r="AN419" s="178"/>
      <c r="AO419" s="178"/>
      <c r="AP419" s="178"/>
      <c r="AQ419" s="178"/>
      <c r="AR419" s="178"/>
      <c r="AS419" s="178"/>
      <c r="AT419" s="178"/>
      <c r="AU419" s="178"/>
      <c r="AV419" s="178"/>
      <c r="AW419" s="178"/>
      <c r="AX419" s="178"/>
      <c r="AY419" s="517"/>
      <c r="AZ419" s="131"/>
    </row>
    <row r="420" spans="1:52" ht="15.75" customHeight="1">
      <c r="A420" s="131"/>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c r="AJ420" s="178"/>
      <c r="AK420" s="178"/>
      <c r="AL420" s="178"/>
      <c r="AM420" s="178"/>
      <c r="AN420" s="178"/>
      <c r="AO420" s="178"/>
      <c r="AP420" s="178"/>
      <c r="AQ420" s="178"/>
      <c r="AR420" s="178"/>
      <c r="AS420" s="178"/>
      <c r="AT420" s="178"/>
      <c r="AU420" s="178"/>
      <c r="AV420" s="178"/>
      <c r="AW420" s="178"/>
      <c r="AX420" s="178"/>
      <c r="AY420" s="517"/>
      <c r="AZ420" s="131"/>
    </row>
    <row r="421" spans="1:52" ht="15.75" customHeight="1">
      <c r="A421" s="131"/>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c r="AJ421" s="178"/>
      <c r="AK421" s="178"/>
      <c r="AL421" s="178"/>
      <c r="AM421" s="178"/>
      <c r="AN421" s="178"/>
      <c r="AO421" s="178"/>
      <c r="AP421" s="178"/>
      <c r="AQ421" s="178"/>
      <c r="AR421" s="178"/>
      <c r="AS421" s="178"/>
      <c r="AT421" s="178"/>
      <c r="AU421" s="178"/>
      <c r="AV421" s="178"/>
      <c r="AW421" s="178"/>
      <c r="AX421" s="178"/>
      <c r="AY421" s="517"/>
      <c r="AZ421" s="131"/>
    </row>
    <row r="422" spans="1:52" ht="15.75" customHeight="1">
      <c r="A422" s="131"/>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c r="AH422" s="178"/>
      <c r="AI422" s="178"/>
      <c r="AJ422" s="178"/>
      <c r="AK422" s="178"/>
      <c r="AL422" s="178"/>
      <c r="AM422" s="178"/>
      <c r="AN422" s="178"/>
      <c r="AO422" s="178"/>
      <c r="AP422" s="178"/>
      <c r="AQ422" s="178"/>
      <c r="AR422" s="178"/>
      <c r="AS422" s="178"/>
      <c r="AT422" s="178"/>
      <c r="AU422" s="178"/>
      <c r="AV422" s="178"/>
      <c r="AW422" s="178"/>
      <c r="AX422" s="178"/>
      <c r="AY422" s="517"/>
      <c r="AZ422" s="131"/>
    </row>
    <row r="423" spans="1:52" ht="15.75" customHeight="1">
      <c r="A423" s="131"/>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c r="AH423" s="178"/>
      <c r="AI423" s="178"/>
      <c r="AJ423" s="178"/>
      <c r="AK423" s="178"/>
      <c r="AL423" s="178"/>
      <c r="AM423" s="178"/>
      <c r="AN423" s="178"/>
      <c r="AO423" s="178"/>
      <c r="AP423" s="178"/>
      <c r="AQ423" s="178"/>
      <c r="AR423" s="178"/>
      <c r="AS423" s="178"/>
      <c r="AT423" s="178"/>
      <c r="AU423" s="178"/>
      <c r="AV423" s="178"/>
      <c r="AW423" s="178"/>
      <c r="AX423" s="178"/>
      <c r="AY423" s="517"/>
      <c r="AZ423" s="131"/>
    </row>
    <row r="424" spans="1:52" ht="15.75" customHeight="1">
      <c r="A424" s="131"/>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c r="AH424" s="178"/>
      <c r="AI424" s="178"/>
      <c r="AJ424" s="178"/>
      <c r="AK424" s="178"/>
      <c r="AL424" s="178"/>
      <c r="AM424" s="178"/>
      <c r="AN424" s="178"/>
      <c r="AO424" s="178"/>
      <c r="AP424" s="178"/>
      <c r="AQ424" s="178"/>
      <c r="AR424" s="178"/>
      <c r="AS424" s="178"/>
      <c r="AT424" s="178"/>
      <c r="AU424" s="178"/>
      <c r="AV424" s="178"/>
      <c r="AW424" s="178"/>
      <c r="AX424" s="178"/>
      <c r="AY424" s="517"/>
      <c r="AZ424" s="131"/>
    </row>
    <row r="425" spans="1:52" ht="15.75" customHeight="1">
      <c r="A425" s="131"/>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c r="AJ425" s="178"/>
      <c r="AK425" s="178"/>
      <c r="AL425" s="178"/>
      <c r="AM425" s="178"/>
      <c r="AN425" s="178"/>
      <c r="AO425" s="178"/>
      <c r="AP425" s="178"/>
      <c r="AQ425" s="178"/>
      <c r="AR425" s="178"/>
      <c r="AS425" s="178"/>
      <c r="AT425" s="178"/>
      <c r="AU425" s="178"/>
      <c r="AV425" s="178"/>
      <c r="AW425" s="178"/>
      <c r="AX425" s="178"/>
      <c r="AY425" s="517"/>
      <c r="AZ425" s="131"/>
    </row>
    <row r="426" spans="1:52" ht="15.75" customHeight="1">
      <c r="A426" s="131"/>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c r="AJ426" s="178"/>
      <c r="AK426" s="178"/>
      <c r="AL426" s="178"/>
      <c r="AM426" s="178"/>
      <c r="AN426" s="178"/>
      <c r="AO426" s="178"/>
      <c r="AP426" s="178"/>
      <c r="AQ426" s="178"/>
      <c r="AR426" s="178"/>
      <c r="AS426" s="178"/>
      <c r="AT426" s="178"/>
      <c r="AU426" s="178"/>
      <c r="AV426" s="178"/>
      <c r="AW426" s="178"/>
      <c r="AX426" s="178"/>
      <c r="AY426" s="517"/>
      <c r="AZ426" s="131"/>
    </row>
    <row r="427" spans="1:52" ht="15.75" customHeight="1">
      <c r="A427" s="131"/>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c r="AH427" s="178"/>
      <c r="AI427" s="178"/>
      <c r="AJ427" s="178"/>
      <c r="AK427" s="178"/>
      <c r="AL427" s="178"/>
      <c r="AM427" s="178"/>
      <c r="AN427" s="178"/>
      <c r="AO427" s="178"/>
      <c r="AP427" s="178"/>
      <c r="AQ427" s="178"/>
      <c r="AR427" s="178"/>
      <c r="AS427" s="178"/>
      <c r="AT427" s="178"/>
      <c r="AU427" s="178"/>
      <c r="AV427" s="178"/>
      <c r="AW427" s="178"/>
      <c r="AX427" s="178"/>
      <c r="AY427" s="517"/>
      <c r="AZ427" s="131"/>
    </row>
    <row r="428" spans="1:52" ht="15.75" customHeight="1">
      <c r="A428" s="131"/>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c r="AJ428" s="178"/>
      <c r="AK428" s="178"/>
      <c r="AL428" s="178"/>
      <c r="AM428" s="178"/>
      <c r="AN428" s="178"/>
      <c r="AO428" s="178"/>
      <c r="AP428" s="178"/>
      <c r="AQ428" s="178"/>
      <c r="AR428" s="178"/>
      <c r="AS428" s="178"/>
      <c r="AT428" s="178"/>
      <c r="AU428" s="178"/>
      <c r="AV428" s="178"/>
      <c r="AW428" s="178"/>
      <c r="AX428" s="178"/>
      <c r="AY428" s="517"/>
      <c r="AZ428" s="131"/>
    </row>
    <row r="429" spans="1:52" ht="15.75" customHeight="1">
      <c r="A429" s="131"/>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c r="AH429" s="178"/>
      <c r="AI429" s="178"/>
      <c r="AJ429" s="178"/>
      <c r="AK429" s="178"/>
      <c r="AL429" s="178"/>
      <c r="AM429" s="178"/>
      <c r="AN429" s="178"/>
      <c r="AO429" s="178"/>
      <c r="AP429" s="178"/>
      <c r="AQ429" s="178"/>
      <c r="AR429" s="178"/>
      <c r="AS429" s="178"/>
      <c r="AT429" s="178"/>
      <c r="AU429" s="178"/>
      <c r="AV429" s="178"/>
      <c r="AW429" s="178"/>
      <c r="AX429" s="178"/>
      <c r="AY429" s="517"/>
      <c r="AZ429" s="131"/>
    </row>
    <row r="430" spans="1:52" ht="15.75" customHeight="1">
      <c r="A430" s="131"/>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c r="AJ430" s="178"/>
      <c r="AK430" s="178"/>
      <c r="AL430" s="178"/>
      <c r="AM430" s="178"/>
      <c r="AN430" s="178"/>
      <c r="AO430" s="178"/>
      <c r="AP430" s="178"/>
      <c r="AQ430" s="178"/>
      <c r="AR430" s="178"/>
      <c r="AS430" s="178"/>
      <c r="AT430" s="178"/>
      <c r="AU430" s="178"/>
      <c r="AV430" s="178"/>
      <c r="AW430" s="178"/>
      <c r="AX430" s="178"/>
      <c r="AY430" s="517"/>
      <c r="AZ430" s="131"/>
    </row>
    <row r="431" spans="1:52" ht="15.75" customHeight="1">
      <c r="A431" s="131"/>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c r="AJ431" s="178"/>
      <c r="AK431" s="178"/>
      <c r="AL431" s="178"/>
      <c r="AM431" s="178"/>
      <c r="AN431" s="178"/>
      <c r="AO431" s="178"/>
      <c r="AP431" s="178"/>
      <c r="AQ431" s="178"/>
      <c r="AR431" s="178"/>
      <c r="AS431" s="178"/>
      <c r="AT431" s="178"/>
      <c r="AU431" s="178"/>
      <c r="AV431" s="178"/>
      <c r="AW431" s="178"/>
      <c r="AX431" s="178"/>
      <c r="AY431" s="517"/>
      <c r="AZ431" s="131"/>
    </row>
    <row r="432" spans="1:52" ht="15.75" customHeight="1">
      <c r="A432" s="131"/>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c r="AH432" s="178"/>
      <c r="AI432" s="178"/>
      <c r="AJ432" s="178"/>
      <c r="AK432" s="178"/>
      <c r="AL432" s="178"/>
      <c r="AM432" s="178"/>
      <c r="AN432" s="178"/>
      <c r="AO432" s="178"/>
      <c r="AP432" s="178"/>
      <c r="AQ432" s="178"/>
      <c r="AR432" s="178"/>
      <c r="AS432" s="178"/>
      <c r="AT432" s="178"/>
      <c r="AU432" s="178"/>
      <c r="AV432" s="178"/>
      <c r="AW432" s="178"/>
      <c r="AX432" s="178"/>
      <c r="AY432" s="517"/>
      <c r="AZ432" s="131"/>
    </row>
    <row r="433" spans="1:52" ht="15.75" customHeight="1">
      <c r="A433" s="131"/>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c r="AH433" s="178"/>
      <c r="AI433" s="178"/>
      <c r="AJ433" s="178"/>
      <c r="AK433" s="178"/>
      <c r="AL433" s="178"/>
      <c r="AM433" s="178"/>
      <c r="AN433" s="178"/>
      <c r="AO433" s="178"/>
      <c r="AP433" s="178"/>
      <c r="AQ433" s="178"/>
      <c r="AR433" s="178"/>
      <c r="AS433" s="178"/>
      <c r="AT433" s="178"/>
      <c r="AU433" s="178"/>
      <c r="AV433" s="178"/>
      <c r="AW433" s="178"/>
      <c r="AX433" s="178"/>
      <c r="AY433" s="517"/>
      <c r="AZ433" s="131"/>
    </row>
    <row r="434" spans="1:52" ht="15.75" customHeight="1">
      <c r="A434" s="131"/>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c r="AH434" s="178"/>
      <c r="AI434" s="178"/>
      <c r="AJ434" s="178"/>
      <c r="AK434" s="178"/>
      <c r="AL434" s="178"/>
      <c r="AM434" s="178"/>
      <c r="AN434" s="178"/>
      <c r="AO434" s="178"/>
      <c r="AP434" s="178"/>
      <c r="AQ434" s="178"/>
      <c r="AR434" s="178"/>
      <c r="AS434" s="178"/>
      <c r="AT434" s="178"/>
      <c r="AU434" s="178"/>
      <c r="AV434" s="178"/>
      <c r="AW434" s="178"/>
      <c r="AX434" s="178"/>
      <c r="AY434" s="517"/>
      <c r="AZ434" s="131"/>
    </row>
    <row r="435" spans="1:52" ht="15.75" customHeight="1">
      <c r="A435" s="131"/>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c r="AJ435" s="178"/>
      <c r="AK435" s="178"/>
      <c r="AL435" s="178"/>
      <c r="AM435" s="178"/>
      <c r="AN435" s="178"/>
      <c r="AO435" s="178"/>
      <c r="AP435" s="178"/>
      <c r="AQ435" s="178"/>
      <c r="AR435" s="178"/>
      <c r="AS435" s="178"/>
      <c r="AT435" s="178"/>
      <c r="AU435" s="178"/>
      <c r="AV435" s="178"/>
      <c r="AW435" s="178"/>
      <c r="AX435" s="178"/>
      <c r="AY435" s="517"/>
      <c r="AZ435" s="131"/>
    </row>
    <row r="436" spans="1:52" ht="15.75" customHeight="1">
      <c r="A436" s="131"/>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c r="AJ436" s="178"/>
      <c r="AK436" s="178"/>
      <c r="AL436" s="178"/>
      <c r="AM436" s="178"/>
      <c r="AN436" s="178"/>
      <c r="AO436" s="178"/>
      <c r="AP436" s="178"/>
      <c r="AQ436" s="178"/>
      <c r="AR436" s="178"/>
      <c r="AS436" s="178"/>
      <c r="AT436" s="178"/>
      <c r="AU436" s="178"/>
      <c r="AV436" s="178"/>
      <c r="AW436" s="178"/>
      <c r="AX436" s="178"/>
      <c r="AY436" s="517"/>
      <c r="AZ436" s="131"/>
    </row>
    <row r="437" spans="1:52" ht="15.75" customHeight="1">
      <c r="A437" s="131"/>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c r="AH437" s="178"/>
      <c r="AI437" s="178"/>
      <c r="AJ437" s="178"/>
      <c r="AK437" s="178"/>
      <c r="AL437" s="178"/>
      <c r="AM437" s="178"/>
      <c r="AN437" s="178"/>
      <c r="AO437" s="178"/>
      <c r="AP437" s="178"/>
      <c r="AQ437" s="178"/>
      <c r="AR437" s="178"/>
      <c r="AS437" s="178"/>
      <c r="AT437" s="178"/>
      <c r="AU437" s="178"/>
      <c r="AV437" s="178"/>
      <c r="AW437" s="178"/>
      <c r="AX437" s="178"/>
      <c r="AY437" s="517"/>
      <c r="AZ437" s="131"/>
    </row>
    <row r="438" spans="1:52" ht="15.75" customHeight="1">
      <c r="A438" s="131"/>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c r="AH438" s="178"/>
      <c r="AI438" s="178"/>
      <c r="AJ438" s="178"/>
      <c r="AK438" s="178"/>
      <c r="AL438" s="178"/>
      <c r="AM438" s="178"/>
      <c r="AN438" s="178"/>
      <c r="AO438" s="178"/>
      <c r="AP438" s="178"/>
      <c r="AQ438" s="178"/>
      <c r="AR438" s="178"/>
      <c r="AS438" s="178"/>
      <c r="AT438" s="178"/>
      <c r="AU438" s="178"/>
      <c r="AV438" s="178"/>
      <c r="AW438" s="178"/>
      <c r="AX438" s="178"/>
      <c r="AY438" s="517"/>
      <c r="AZ438" s="131"/>
    </row>
    <row r="439" spans="1:52" ht="15.75" customHeight="1">
      <c r="A439" s="131"/>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c r="AJ439" s="178"/>
      <c r="AK439" s="178"/>
      <c r="AL439" s="178"/>
      <c r="AM439" s="178"/>
      <c r="AN439" s="178"/>
      <c r="AO439" s="178"/>
      <c r="AP439" s="178"/>
      <c r="AQ439" s="178"/>
      <c r="AR439" s="178"/>
      <c r="AS439" s="178"/>
      <c r="AT439" s="178"/>
      <c r="AU439" s="178"/>
      <c r="AV439" s="178"/>
      <c r="AW439" s="178"/>
      <c r="AX439" s="178"/>
      <c r="AY439" s="517"/>
      <c r="AZ439" s="131"/>
    </row>
    <row r="440" spans="1:52" ht="15.75" customHeight="1">
      <c r="A440" s="131"/>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c r="AJ440" s="178"/>
      <c r="AK440" s="178"/>
      <c r="AL440" s="178"/>
      <c r="AM440" s="178"/>
      <c r="AN440" s="178"/>
      <c r="AO440" s="178"/>
      <c r="AP440" s="178"/>
      <c r="AQ440" s="178"/>
      <c r="AR440" s="178"/>
      <c r="AS440" s="178"/>
      <c r="AT440" s="178"/>
      <c r="AU440" s="178"/>
      <c r="AV440" s="178"/>
      <c r="AW440" s="178"/>
      <c r="AX440" s="178"/>
      <c r="AY440" s="517"/>
      <c r="AZ440" s="131"/>
    </row>
    <row r="441" spans="1:52" ht="15.75" customHeight="1">
      <c r="A441" s="131"/>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c r="AJ441" s="178"/>
      <c r="AK441" s="178"/>
      <c r="AL441" s="178"/>
      <c r="AM441" s="178"/>
      <c r="AN441" s="178"/>
      <c r="AO441" s="178"/>
      <c r="AP441" s="178"/>
      <c r="AQ441" s="178"/>
      <c r="AR441" s="178"/>
      <c r="AS441" s="178"/>
      <c r="AT441" s="178"/>
      <c r="AU441" s="178"/>
      <c r="AV441" s="178"/>
      <c r="AW441" s="178"/>
      <c r="AX441" s="178"/>
      <c r="AY441" s="517"/>
      <c r="AZ441" s="131"/>
    </row>
    <row r="442" spans="1:52" ht="15.75" customHeight="1">
      <c r="A442" s="131"/>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c r="AJ442" s="178"/>
      <c r="AK442" s="178"/>
      <c r="AL442" s="178"/>
      <c r="AM442" s="178"/>
      <c r="AN442" s="178"/>
      <c r="AO442" s="178"/>
      <c r="AP442" s="178"/>
      <c r="AQ442" s="178"/>
      <c r="AR442" s="178"/>
      <c r="AS442" s="178"/>
      <c r="AT442" s="178"/>
      <c r="AU442" s="178"/>
      <c r="AV442" s="178"/>
      <c r="AW442" s="178"/>
      <c r="AX442" s="178"/>
      <c r="AY442" s="517"/>
      <c r="AZ442" s="131"/>
    </row>
    <row r="443" spans="1:52" ht="15.75" customHeight="1">
      <c r="A443" s="131"/>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c r="AH443" s="178"/>
      <c r="AI443" s="178"/>
      <c r="AJ443" s="178"/>
      <c r="AK443" s="178"/>
      <c r="AL443" s="178"/>
      <c r="AM443" s="178"/>
      <c r="AN443" s="178"/>
      <c r="AO443" s="178"/>
      <c r="AP443" s="178"/>
      <c r="AQ443" s="178"/>
      <c r="AR443" s="178"/>
      <c r="AS443" s="178"/>
      <c r="AT443" s="178"/>
      <c r="AU443" s="178"/>
      <c r="AV443" s="178"/>
      <c r="AW443" s="178"/>
      <c r="AX443" s="178"/>
      <c r="AY443" s="517"/>
      <c r="AZ443" s="131"/>
    </row>
    <row r="444" spans="1:52" ht="15.75" customHeight="1">
      <c r="A444" s="131"/>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c r="AH444" s="178"/>
      <c r="AI444" s="178"/>
      <c r="AJ444" s="178"/>
      <c r="AK444" s="178"/>
      <c r="AL444" s="178"/>
      <c r="AM444" s="178"/>
      <c r="AN444" s="178"/>
      <c r="AO444" s="178"/>
      <c r="AP444" s="178"/>
      <c r="AQ444" s="178"/>
      <c r="AR444" s="178"/>
      <c r="AS444" s="178"/>
      <c r="AT444" s="178"/>
      <c r="AU444" s="178"/>
      <c r="AV444" s="178"/>
      <c r="AW444" s="178"/>
      <c r="AX444" s="178"/>
      <c r="AY444" s="517"/>
      <c r="AZ444" s="131"/>
    </row>
    <row r="445" spans="1:52" ht="15.75" customHeight="1">
      <c r="A445" s="131"/>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c r="AH445" s="178"/>
      <c r="AI445" s="178"/>
      <c r="AJ445" s="178"/>
      <c r="AK445" s="178"/>
      <c r="AL445" s="178"/>
      <c r="AM445" s="178"/>
      <c r="AN445" s="178"/>
      <c r="AO445" s="178"/>
      <c r="AP445" s="178"/>
      <c r="AQ445" s="178"/>
      <c r="AR445" s="178"/>
      <c r="AS445" s="178"/>
      <c r="AT445" s="178"/>
      <c r="AU445" s="178"/>
      <c r="AV445" s="178"/>
      <c r="AW445" s="178"/>
      <c r="AX445" s="178"/>
      <c r="AY445" s="517"/>
      <c r="AZ445" s="131"/>
    </row>
    <row r="446" spans="1:52" ht="15.75" customHeight="1">
      <c r="A446" s="131"/>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c r="AH446" s="178"/>
      <c r="AI446" s="178"/>
      <c r="AJ446" s="178"/>
      <c r="AK446" s="178"/>
      <c r="AL446" s="178"/>
      <c r="AM446" s="178"/>
      <c r="AN446" s="178"/>
      <c r="AO446" s="178"/>
      <c r="AP446" s="178"/>
      <c r="AQ446" s="178"/>
      <c r="AR446" s="178"/>
      <c r="AS446" s="178"/>
      <c r="AT446" s="178"/>
      <c r="AU446" s="178"/>
      <c r="AV446" s="178"/>
      <c r="AW446" s="178"/>
      <c r="AX446" s="178"/>
      <c r="AY446" s="517"/>
      <c r="AZ446" s="131"/>
    </row>
    <row r="447" spans="1:52" ht="15.75" customHeight="1">
      <c r="A447" s="131"/>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c r="AJ447" s="178"/>
      <c r="AK447" s="178"/>
      <c r="AL447" s="178"/>
      <c r="AM447" s="178"/>
      <c r="AN447" s="178"/>
      <c r="AO447" s="178"/>
      <c r="AP447" s="178"/>
      <c r="AQ447" s="178"/>
      <c r="AR447" s="178"/>
      <c r="AS447" s="178"/>
      <c r="AT447" s="178"/>
      <c r="AU447" s="178"/>
      <c r="AV447" s="178"/>
      <c r="AW447" s="178"/>
      <c r="AX447" s="178"/>
      <c r="AY447" s="517"/>
      <c r="AZ447" s="131"/>
    </row>
    <row r="448" spans="1:52" ht="15.75" customHeight="1">
      <c r="A448" s="131"/>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c r="AJ448" s="178"/>
      <c r="AK448" s="178"/>
      <c r="AL448" s="178"/>
      <c r="AM448" s="178"/>
      <c r="AN448" s="178"/>
      <c r="AO448" s="178"/>
      <c r="AP448" s="178"/>
      <c r="AQ448" s="178"/>
      <c r="AR448" s="178"/>
      <c r="AS448" s="178"/>
      <c r="AT448" s="178"/>
      <c r="AU448" s="178"/>
      <c r="AV448" s="178"/>
      <c r="AW448" s="178"/>
      <c r="AX448" s="178"/>
      <c r="AY448" s="517"/>
      <c r="AZ448" s="131"/>
    </row>
    <row r="449" spans="1:52" ht="15.75" customHeight="1">
      <c r="A449" s="131"/>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c r="AH449" s="178"/>
      <c r="AI449" s="178"/>
      <c r="AJ449" s="178"/>
      <c r="AK449" s="178"/>
      <c r="AL449" s="178"/>
      <c r="AM449" s="178"/>
      <c r="AN449" s="178"/>
      <c r="AO449" s="178"/>
      <c r="AP449" s="178"/>
      <c r="AQ449" s="178"/>
      <c r="AR449" s="178"/>
      <c r="AS449" s="178"/>
      <c r="AT449" s="178"/>
      <c r="AU449" s="178"/>
      <c r="AV449" s="178"/>
      <c r="AW449" s="178"/>
      <c r="AX449" s="178"/>
      <c r="AY449" s="517"/>
      <c r="AZ449" s="131"/>
    </row>
    <row r="450" spans="1:52" ht="15.75" customHeight="1">
      <c r="A450" s="131"/>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c r="AH450" s="178"/>
      <c r="AI450" s="178"/>
      <c r="AJ450" s="178"/>
      <c r="AK450" s="178"/>
      <c r="AL450" s="178"/>
      <c r="AM450" s="178"/>
      <c r="AN450" s="178"/>
      <c r="AO450" s="178"/>
      <c r="AP450" s="178"/>
      <c r="AQ450" s="178"/>
      <c r="AR450" s="178"/>
      <c r="AS450" s="178"/>
      <c r="AT450" s="178"/>
      <c r="AU450" s="178"/>
      <c r="AV450" s="178"/>
      <c r="AW450" s="178"/>
      <c r="AX450" s="178"/>
      <c r="AY450" s="517"/>
      <c r="AZ450" s="131"/>
    </row>
    <row r="451" spans="1:52" ht="15.75" customHeight="1">
      <c r="A451" s="131"/>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c r="AH451" s="178"/>
      <c r="AI451" s="178"/>
      <c r="AJ451" s="178"/>
      <c r="AK451" s="178"/>
      <c r="AL451" s="178"/>
      <c r="AM451" s="178"/>
      <c r="AN451" s="178"/>
      <c r="AO451" s="178"/>
      <c r="AP451" s="178"/>
      <c r="AQ451" s="178"/>
      <c r="AR451" s="178"/>
      <c r="AS451" s="178"/>
      <c r="AT451" s="178"/>
      <c r="AU451" s="178"/>
      <c r="AV451" s="178"/>
      <c r="AW451" s="178"/>
      <c r="AX451" s="178"/>
      <c r="AY451" s="517"/>
      <c r="AZ451" s="131"/>
    </row>
    <row r="452" spans="1:52" ht="15.75" customHeight="1">
      <c r="A452" s="131"/>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c r="AJ452" s="178"/>
      <c r="AK452" s="178"/>
      <c r="AL452" s="178"/>
      <c r="AM452" s="178"/>
      <c r="AN452" s="178"/>
      <c r="AO452" s="178"/>
      <c r="AP452" s="178"/>
      <c r="AQ452" s="178"/>
      <c r="AR452" s="178"/>
      <c r="AS452" s="178"/>
      <c r="AT452" s="178"/>
      <c r="AU452" s="178"/>
      <c r="AV452" s="178"/>
      <c r="AW452" s="178"/>
      <c r="AX452" s="178"/>
      <c r="AY452" s="517"/>
      <c r="AZ452" s="131"/>
    </row>
    <row r="453" spans="1:52" ht="15.75" customHeight="1">
      <c r="A453" s="131"/>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c r="AJ453" s="178"/>
      <c r="AK453" s="178"/>
      <c r="AL453" s="178"/>
      <c r="AM453" s="178"/>
      <c r="AN453" s="178"/>
      <c r="AO453" s="178"/>
      <c r="AP453" s="178"/>
      <c r="AQ453" s="178"/>
      <c r="AR453" s="178"/>
      <c r="AS453" s="178"/>
      <c r="AT453" s="178"/>
      <c r="AU453" s="178"/>
      <c r="AV453" s="178"/>
      <c r="AW453" s="178"/>
      <c r="AX453" s="178"/>
      <c r="AY453" s="517"/>
      <c r="AZ453" s="131"/>
    </row>
    <row r="454" spans="1:52" ht="15.75" customHeight="1">
      <c r="A454" s="131"/>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c r="AJ454" s="178"/>
      <c r="AK454" s="178"/>
      <c r="AL454" s="178"/>
      <c r="AM454" s="178"/>
      <c r="AN454" s="178"/>
      <c r="AO454" s="178"/>
      <c r="AP454" s="178"/>
      <c r="AQ454" s="178"/>
      <c r="AR454" s="178"/>
      <c r="AS454" s="178"/>
      <c r="AT454" s="178"/>
      <c r="AU454" s="178"/>
      <c r="AV454" s="178"/>
      <c r="AW454" s="178"/>
      <c r="AX454" s="178"/>
      <c r="AY454" s="517"/>
      <c r="AZ454" s="131"/>
    </row>
    <row r="455" spans="1:52" ht="15.75" customHeight="1">
      <c r="A455" s="131"/>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c r="AJ455" s="178"/>
      <c r="AK455" s="178"/>
      <c r="AL455" s="178"/>
      <c r="AM455" s="178"/>
      <c r="AN455" s="178"/>
      <c r="AO455" s="178"/>
      <c r="AP455" s="178"/>
      <c r="AQ455" s="178"/>
      <c r="AR455" s="178"/>
      <c r="AS455" s="178"/>
      <c r="AT455" s="178"/>
      <c r="AU455" s="178"/>
      <c r="AV455" s="178"/>
      <c r="AW455" s="178"/>
      <c r="AX455" s="178"/>
      <c r="AY455" s="517"/>
      <c r="AZ455" s="131"/>
    </row>
    <row r="456" spans="1:52" ht="15.75" customHeight="1">
      <c r="A456" s="131"/>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c r="AH456" s="178"/>
      <c r="AI456" s="178"/>
      <c r="AJ456" s="178"/>
      <c r="AK456" s="178"/>
      <c r="AL456" s="178"/>
      <c r="AM456" s="178"/>
      <c r="AN456" s="178"/>
      <c r="AO456" s="178"/>
      <c r="AP456" s="178"/>
      <c r="AQ456" s="178"/>
      <c r="AR456" s="178"/>
      <c r="AS456" s="178"/>
      <c r="AT456" s="178"/>
      <c r="AU456" s="178"/>
      <c r="AV456" s="178"/>
      <c r="AW456" s="178"/>
      <c r="AX456" s="178"/>
      <c r="AY456" s="517"/>
      <c r="AZ456" s="131"/>
    </row>
    <row r="457" spans="1:52" ht="15.75" customHeight="1">
      <c r="A457" s="131"/>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c r="AH457" s="178"/>
      <c r="AI457" s="178"/>
      <c r="AJ457" s="178"/>
      <c r="AK457" s="178"/>
      <c r="AL457" s="178"/>
      <c r="AM457" s="178"/>
      <c r="AN457" s="178"/>
      <c r="AO457" s="178"/>
      <c r="AP457" s="178"/>
      <c r="AQ457" s="178"/>
      <c r="AR457" s="178"/>
      <c r="AS457" s="178"/>
      <c r="AT457" s="178"/>
      <c r="AU457" s="178"/>
      <c r="AV457" s="178"/>
      <c r="AW457" s="178"/>
      <c r="AX457" s="178"/>
      <c r="AY457" s="517"/>
      <c r="AZ457" s="131"/>
    </row>
    <row r="458" spans="1:52" ht="15.75" customHeight="1">
      <c r="A458" s="131"/>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c r="AH458" s="178"/>
      <c r="AI458" s="178"/>
      <c r="AJ458" s="178"/>
      <c r="AK458" s="178"/>
      <c r="AL458" s="178"/>
      <c r="AM458" s="178"/>
      <c r="AN458" s="178"/>
      <c r="AO458" s="178"/>
      <c r="AP458" s="178"/>
      <c r="AQ458" s="178"/>
      <c r="AR458" s="178"/>
      <c r="AS458" s="178"/>
      <c r="AT458" s="178"/>
      <c r="AU458" s="178"/>
      <c r="AV458" s="178"/>
      <c r="AW458" s="178"/>
      <c r="AX458" s="178"/>
      <c r="AY458" s="517"/>
      <c r="AZ458" s="131"/>
    </row>
    <row r="459" spans="1:52" ht="15.75" customHeight="1">
      <c r="A459" s="131"/>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c r="AJ459" s="178"/>
      <c r="AK459" s="178"/>
      <c r="AL459" s="178"/>
      <c r="AM459" s="178"/>
      <c r="AN459" s="178"/>
      <c r="AO459" s="178"/>
      <c r="AP459" s="178"/>
      <c r="AQ459" s="178"/>
      <c r="AR459" s="178"/>
      <c r="AS459" s="178"/>
      <c r="AT459" s="178"/>
      <c r="AU459" s="178"/>
      <c r="AV459" s="178"/>
      <c r="AW459" s="178"/>
      <c r="AX459" s="178"/>
      <c r="AY459" s="517"/>
      <c r="AZ459" s="131"/>
    </row>
    <row r="460" spans="1:52" ht="15.75" customHeight="1">
      <c r="A460" s="131"/>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c r="AJ460" s="178"/>
      <c r="AK460" s="178"/>
      <c r="AL460" s="178"/>
      <c r="AM460" s="178"/>
      <c r="AN460" s="178"/>
      <c r="AO460" s="178"/>
      <c r="AP460" s="178"/>
      <c r="AQ460" s="178"/>
      <c r="AR460" s="178"/>
      <c r="AS460" s="178"/>
      <c r="AT460" s="178"/>
      <c r="AU460" s="178"/>
      <c r="AV460" s="178"/>
      <c r="AW460" s="178"/>
      <c r="AX460" s="178"/>
      <c r="AY460" s="517"/>
      <c r="AZ460" s="131"/>
    </row>
    <row r="461" spans="1:52" ht="15.75" customHeight="1">
      <c r="A461" s="131"/>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c r="AH461" s="178"/>
      <c r="AI461" s="178"/>
      <c r="AJ461" s="178"/>
      <c r="AK461" s="178"/>
      <c r="AL461" s="178"/>
      <c r="AM461" s="178"/>
      <c r="AN461" s="178"/>
      <c r="AO461" s="178"/>
      <c r="AP461" s="178"/>
      <c r="AQ461" s="178"/>
      <c r="AR461" s="178"/>
      <c r="AS461" s="178"/>
      <c r="AT461" s="178"/>
      <c r="AU461" s="178"/>
      <c r="AV461" s="178"/>
      <c r="AW461" s="178"/>
      <c r="AX461" s="178"/>
      <c r="AY461" s="517"/>
      <c r="AZ461" s="131"/>
    </row>
    <row r="462" spans="1:52" ht="15.75" customHeight="1">
      <c r="A462" s="131"/>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c r="AH462" s="178"/>
      <c r="AI462" s="178"/>
      <c r="AJ462" s="178"/>
      <c r="AK462" s="178"/>
      <c r="AL462" s="178"/>
      <c r="AM462" s="178"/>
      <c r="AN462" s="178"/>
      <c r="AO462" s="178"/>
      <c r="AP462" s="178"/>
      <c r="AQ462" s="178"/>
      <c r="AR462" s="178"/>
      <c r="AS462" s="178"/>
      <c r="AT462" s="178"/>
      <c r="AU462" s="178"/>
      <c r="AV462" s="178"/>
      <c r="AW462" s="178"/>
      <c r="AX462" s="178"/>
      <c r="AY462" s="517"/>
      <c r="AZ462" s="131"/>
    </row>
    <row r="463" spans="1:52" ht="15.75" customHeight="1">
      <c r="A463" s="131"/>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c r="AH463" s="178"/>
      <c r="AI463" s="178"/>
      <c r="AJ463" s="178"/>
      <c r="AK463" s="178"/>
      <c r="AL463" s="178"/>
      <c r="AM463" s="178"/>
      <c r="AN463" s="178"/>
      <c r="AO463" s="178"/>
      <c r="AP463" s="178"/>
      <c r="AQ463" s="178"/>
      <c r="AR463" s="178"/>
      <c r="AS463" s="178"/>
      <c r="AT463" s="178"/>
      <c r="AU463" s="178"/>
      <c r="AV463" s="178"/>
      <c r="AW463" s="178"/>
      <c r="AX463" s="178"/>
      <c r="AY463" s="517"/>
      <c r="AZ463" s="131"/>
    </row>
    <row r="464" spans="1:52" ht="15.75" customHeight="1">
      <c r="A464" s="131"/>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c r="AJ464" s="178"/>
      <c r="AK464" s="178"/>
      <c r="AL464" s="178"/>
      <c r="AM464" s="178"/>
      <c r="AN464" s="178"/>
      <c r="AO464" s="178"/>
      <c r="AP464" s="178"/>
      <c r="AQ464" s="178"/>
      <c r="AR464" s="178"/>
      <c r="AS464" s="178"/>
      <c r="AT464" s="178"/>
      <c r="AU464" s="178"/>
      <c r="AV464" s="178"/>
      <c r="AW464" s="178"/>
      <c r="AX464" s="178"/>
      <c r="AY464" s="517"/>
      <c r="AZ464" s="131"/>
    </row>
    <row r="465" spans="1:52" ht="15.75" customHeight="1">
      <c r="A465" s="131"/>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c r="AH465" s="178"/>
      <c r="AI465" s="178"/>
      <c r="AJ465" s="178"/>
      <c r="AK465" s="178"/>
      <c r="AL465" s="178"/>
      <c r="AM465" s="178"/>
      <c r="AN465" s="178"/>
      <c r="AO465" s="178"/>
      <c r="AP465" s="178"/>
      <c r="AQ465" s="178"/>
      <c r="AR465" s="178"/>
      <c r="AS465" s="178"/>
      <c r="AT465" s="178"/>
      <c r="AU465" s="178"/>
      <c r="AV465" s="178"/>
      <c r="AW465" s="178"/>
      <c r="AX465" s="178"/>
      <c r="AY465" s="517"/>
      <c r="AZ465" s="131"/>
    </row>
    <row r="466" spans="1:52" ht="15.75" customHeight="1">
      <c r="A466" s="131"/>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c r="AH466" s="178"/>
      <c r="AI466" s="178"/>
      <c r="AJ466" s="178"/>
      <c r="AK466" s="178"/>
      <c r="AL466" s="178"/>
      <c r="AM466" s="178"/>
      <c r="AN466" s="178"/>
      <c r="AO466" s="178"/>
      <c r="AP466" s="178"/>
      <c r="AQ466" s="178"/>
      <c r="AR466" s="178"/>
      <c r="AS466" s="178"/>
      <c r="AT466" s="178"/>
      <c r="AU466" s="178"/>
      <c r="AV466" s="178"/>
      <c r="AW466" s="178"/>
      <c r="AX466" s="178"/>
      <c r="AY466" s="517"/>
      <c r="AZ466" s="131"/>
    </row>
    <row r="467" spans="1:52" ht="15.75" customHeight="1">
      <c r="A467" s="131"/>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c r="AH467" s="178"/>
      <c r="AI467" s="178"/>
      <c r="AJ467" s="178"/>
      <c r="AK467" s="178"/>
      <c r="AL467" s="178"/>
      <c r="AM467" s="178"/>
      <c r="AN467" s="178"/>
      <c r="AO467" s="178"/>
      <c r="AP467" s="178"/>
      <c r="AQ467" s="178"/>
      <c r="AR467" s="178"/>
      <c r="AS467" s="178"/>
      <c r="AT467" s="178"/>
      <c r="AU467" s="178"/>
      <c r="AV467" s="178"/>
      <c r="AW467" s="178"/>
      <c r="AX467" s="178"/>
      <c r="AY467" s="517"/>
      <c r="AZ467" s="131"/>
    </row>
    <row r="468" spans="1:52" ht="15.75" customHeight="1">
      <c r="A468" s="131"/>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c r="AJ468" s="178"/>
      <c r="AK468" s="178"/>
      <c r="AL468" s="178"/>
      <c r="AM468" s="178"/>
      <c r="AN468" s="178"/>
      <c r="AO468" s="178"/>
      <c r="AP468" s="178"/>
      <c r="AQ468" s="178"/>
      <c r="AR468" s="178"/>
      <c r="AS468" s="178"/>
      <c r="AT468" s="178"/>
      <c r="AU468" s="178"/>
      <c r="AV468" s="178"/>
      <c r="AW468" s="178"/>
      <c r="AX468" s="178"/>
      <c r="AY468" s="517"/>
      <c r="AZ468" s="131"/>
    </row>
    <row r="469" spans="1:52" ht="15.75" customHeight="1">
      <c r="A469" s="131"/>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c r="AJ469" s="178"/>
      <c r="AK469" s="178"/>
      <c r="AL469" s="178"/>
      <c r="AM469" s="178"/>
      <c r="AN469" s="178"/>
      <c r="AO469" s="178"/>
      <c r="AP469" s="178"/>
      <c r="AQ469" s="178"/>
      <c r="AR469" s="178"/>
      <c r="AS469" s="178"/>
      <c r="AT469" s="178"/>
      <c r="AU469" s="178"/>
      <c r="AV469" s="178"/>
      <c r="AW469" s="178"/>
      <c r="AX469" s="178"/>
      <c r="AY469" s="517"/>
      <c r="AZ469" s="131"/>
    </row>
    <row r="470" spans="1:52" ht="15.75" customHeight="1">
      <c r="A470" s="131"/>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c r="AH470" s="178"/>
      <c r="AI470" s="178"/>
      <c r="AJ470" s="178"/>
      <c r="AK470" s="178"/>
      <c r="AL470" s="178"/>
      <c r="AM470" s="178"/>
      <c r="AN470" s="178"/>
      <c r="AO470" s="178"/>
      <c r="AP470" s="178"/>
      <c r="AQ470" s="178"/>
      <c r="AR470" s="178"/>
      <c r="AS470" s="178"/>
      <c r="AT470" s="178"/>
      <c r="AU470" s="178"/>
      <c r="AV470" s="178"/>
      <c r="AW470" s="178"/>
      <c r="AX470" s="178"/>
      <c r="AY470" s="517"/>
      <c r="AZ470" s="131"/>
    </row>
    <row r="471" spans="1:52" ht="15.75" customHeight="1">
      <c r="A471" s="131"/>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c r="AH471" s="178"/>
      <c r="AI471" s="178"/>
      <c r="AJ471" s="178"/>
      <c r="AK471" s="178"/>
      <c r="AL471" s="178"/>
      <c r="AM471" s="178"/>
      <c r="AN471" s="178"/>
      <c r="AO471" s="178"/>
      <c r="AP471" s="178"/>
      <c r="AQ471" s="178"/>
      <c r="AR471" s="178"/>
      <c r="AS471" s="178"/>
      <c r="AT471" s="178"/>
      <c r="AU471" s="178"/>
      <c r="AV471" s="178"/>
      <c r="AW471" s="178"/>
      <c r="AX471" s="178"/>
      <c r="AY471" s="517"/>
      <c r="AZ471" s="131"/>
    </row>
    <row r="472" spans="1:52" ht="15.75" customHeight="1">
      <c r="A472" s="131"/>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c r="AH472" s="178"/>
      <c r="AI472" s="178"/>
      <c r="AJ472" s="178"/>
      <c r="AK472" s="178"/>
      <c r="AL472" s="178"/>
      <c r="AM472" s="178"/>
      <c r="AN472" s="178"/>
      <c r="AO472" s="178"/>
      <c r="AP472" s="178"/>
      <c r="AQ472" s="178"/>
      <c r="AR472" s="178"/>
      <c r="AS472" s="178"/>
      <c r="AT472" s="178"/>
      <c r="AU472" s="178"/>
      <c r="AV472" s="178"/>
      <c r="AW472" s="178"/>
      <c r="AX472" s="178"/>
      <c r="AY472" s="517"/>
      <c r="AZ472" s="131"/>
    </row>
    <row r="473" spans="1:52" ht="15.75" customHeight="1">
      <c r="A473" s="131"/>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c r="AJ473" s="178"/>
      <c r="AK473" s="178"/>
      <c r="AL473" s="178"/>
      <c r="AM473" s="178"/>
      <c r="AN473" s="178"/>
      <c r="AO473" s="178"/>
      <c r="AP473" s="178"/>
      <c r="AQ473" s="178"/>
      <c r="AR473" s="178"/>
      <c r="AS473" s="178"/>
      <c r="AT473" s="178"/>
      <c r="AU473" s="178"/>
      <c r="AV473" s="178"/>
      <c r="AW473" s="178"/>
      <c r="AX473" s="178"/>
      <c r="AY473" s="517"/>
      <c r="AZ473" s="131"/>
    </row>
    <row r="474" spans="1:52" ht="15.75" customHeight="1">
      <c r="A474" s="131"/>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517"/>
      <c r="AZ474" s="131"/>
    </row>
    <row r="475" spans="1:52" ht="15.75" customHeight="1">
      <c r="A475" s="131"/>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517"/>
      <c r="AZ475" s="131"/>
    </row>
    <row r="476" spans="1:52" ht="15.75" customHeight="1">
      <c r="A476" s="131"/>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c r="AH476" s="178"/>
      <c r="AI476" s="178"/>
      <c r="AJ476" s="178"/>
      <c r="AK476" s="178"/>
      <c r="AL476" s="178"/>
      <c r="AM476" s="178"/>
      <c r="AN476" s="178"/>
      <c r="AO476" s="178"/>
      <c r="AP476" s="178"/>
      <c r="AQ476" s="178"/>
      <c r="AR476" s="178"/>
      <c r="AS476" s="178"/>
      <c r="AT476" s="178"/>
      <c r="AU476" s="178"/>
      <c r="AV476" s="178"/>
      <c r="AW476" s="178"/>
      <c r="AX476" s="178"/>
      <c r="AY476" s="517"/>
      <c r="AZ476" s="131"/>
    </row>
    <row r="477" spans="1:52" ht="15.75" customHeight="1">
      <c r="A477" s="131"/>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c r="AJ477" s="178"/>
      <c r="AK477" s="178"/>
      <c r="AL477" s="178"/>
      <c r="AM477" s="178"/>
      <c r="AN477" s="178"/>
      <c r="AO477" s="178"/>
      <c r="AP477" s="178"/>
      <c r="AQ477" s="178"/>
      <c r="AR477" s="178"/>
      <c r="AS477" s="178"/>
      <c r="AT477" s="178"/>
      <c r="AU477" s="178"/>
      <c r="AV477" s="178"/>
      <c r="AW477" s="178"/>
      <c r="AX477" s="178"/>
      <c r="AY477" s="517"/>
      <c r="AZ477" s="131"/>
    </row>
    <row r="478" spans="1:52" ht="15.75" customHeight="1">
      <c r="A478" s="131"/>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c r="AJ478" s="178"/>
      <c r="AK478" s="178"/>
      <c r="AL478" s="178"/>
      <c r="AM478" s="178"/>
      <c r="AN478" s="178"/>
      <c r="AO478" s="178"/>
      <c r="AP478" s="178"/>
      <c r="AQ478" s="178"/>
      <c r="AR478" s="178"/>
      <c r="AS478" s="178"/>
      <c r="AT478" s="178"/>
      <c r="AU478" s="178"/>
      <c r="AV478" s="178"/>
      <c r="AW478" s="178"/>
      <c r="AX478" s="178"/>
      <c r="AY478" s="517"/>
      <c r="AZ478" s="131"/>
    </row>
    <row r="479" spans="1:52" ht="15.75" customHeight="1">
      <c r="A479" s="131"/>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c r="AJ479" s="178"/>
      <c r="AK479" s="178"/>
      <c r="AL479" s="178"/>
      <c r="AM479" s="178"/>
      <c r="AN479" s="178"/>
      <c r="AO479" s="178"/>
      <c r="AP479" s="178"/>
      <c r="AQ479" s="178"/>
      <c r="AR479" s="178"/>
      <c r="AS479" s="178"/>
      <c r="AT479" s="178"/>
      <c r="AU479" s="178"/>
      <c r="AV479" s="178"/>
      <c r="AW479" s="178"/>
      <c r="AX479" s="178"/>
      <c r="AY479" s="517"/>
      <c r="AZ479" s="131"/>
    </row>
    <row r="480" spans="1:52" ht="15.75" customHeight="1">
      <c r="A480" s="131"/>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c r="AJ480" s="178"/>
      <c r="AK480" s="178"/>
      <c r="AL480" s="178"/>
      <c r="AM480" s="178"/>
      <c r="AN480" s="178"/>
      <c r="AO480" s="178"/>
      <c r="AP480" s="178"/>
      <c r="AQ480" s="178"/>
      <c r="AR480" s="178"/>
      <c r="AS480" s="178"/>
      <c r="AT480" s="178"/>
      <c r="AU480" s="178"/>
      <c r="AV480" s="178"/>
      <c r="AW480" s="178"/>
      <c r="AX480" s="178"/>
      <c r="AY480" s="517"/>
      <c r="AZ480" s="131"/>
    </row>
    <row r="481" spans="1:52" ht="15.75" customHeight="1">
      <c r="A481" s="131"/>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c r="AJ481" s="178"/>
      <c r="AK481" s="178"/>
      <c r="AL481" s="178"/>
      <c r="AM481" s="178"/>
      <c r="AN481" s="178"/>
      <c r="AO481" s="178"/>
      <c r="AP481" s="178"/>
      <c r="AQ481" s="178"/>
      <c r="AR481" s="178"/>
      <c r="AS481" s="178"/>
      <c r="AT481" s="178"/>
      <c r="AU481" s="178"/>
      <c r="AV481" s="178"/>
      <c r="AW481" s="178"/>
      <c r="AX481" s="178"/>
      <c r="AY481" s="517"/>
      <c r="AZ481" s="131"/>
    </row>
    <row r="482" spans="1:52" ht="15.75" customHeight="1">
      <c r="A482" s="131"/>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c r="AJ482" s="178"/>
      <c r="AK482" s="178"/>
      <c r="AL482" s="178"/>
      <c r="AM482" s="178"/>
      <c r="AN482" s="178"/>
      <c r="AO482" s="178"/>
      <c r="AP482" s="178"/>
      <c r="AQ482" s="178"/>
      <c r="AR482" s="178"/>
      <c r="AS482" s="178"/>
      <c r="AT482" s="178"/>
      <c r="AU482" s="178"/>
      <c r="AV482" s="178"/>
      <c r="AW482" s="178"/>
      <c r="AX482" s="178"/>
      <c r="AY482" s="517"/>
      <c r="AZ482" s="131"/>
    </row>
    <row r="483" spans="1:52" ht="15.75" customHeight="1">
      <c r="A483" s="131"/>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c r="AH483" s="178"/>
      <c r="AI483" s="178"/>
      <c r="AJ483" s="178"/>
      <c r="AK483" s="178"/>
      <c r="AL483" s="178"/>
      <c r="AM483" s="178"/>
      <c r="AN483" s="178"/>
      <c r="AO483" s="178"/>
      <c r="AP483" s="178"/>
      <c r="AQ483" s="178"/>
      <c r="AR483" s="178"/>
      <c r="AS483" s="178"/>
      <c r="AT483" s="178"/>
      <c r="AU483" s="178"/>
      <c r="AV483" s="178"/>
      <c r="AW483" s="178"/>
      <c r="AX483" s="178"/>
      <c r="AY483" s="517"/>
      <c r="AZ483" s="131"/>
    </row>
    <row r="484" spans="1:52" ht="15.75" customHeight="1">
      <c r="A484" s="131"/>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c r="AH484" s="178"/>
      <c r="AI484" s="178"/>
      <c r="AJ484" s="178"/>
      <c r="AK484" s="178"/>
      <c r="AL484" s="178"/>
      <c r="AM484" s="178"/>
      <c r="AN484" s="178"/>
      <c r="AO484" s="178"/>
      <c r="AP484" s="178"/>
      <c r="AQ484" s="178"/>
      <c r="AR484" s="178"/>
      <c r="AS484" s="178"/>
      <c r="AT484" s="178"/>
      <c r="AU484" s="178"/>
      <c r="AV484" s="178"/>
      <c r="AW484" s="178"/>
      <c r="AX484" s="178"/>
      <c r="AY484" s="517"/>
      <c r="AZ484" s="131"/>
    </row>
    <row r="485" spans="1:52" ht="15.75" customHeight="1">
      <c r="A485" s="131"/>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c r="AJ485" s="178"/>
      <c r="AK485" s="178"/>
      <c r="AL485" s="178"/>
      <c r="AM485" s="178"/>
      <c r="AN485" s="178"/>
      <c r="AO485" s="178"/>
      <c r="AP485" s="178"/>
      <c r="AQ485" s="178"/>
      <c r="AR485" s="178"/>
      <c r="AS485" s="178"/>
      <c r="AT485" s="178"/>
      <c r="AU485" s="178"/>
      <c r="AV485" s="178"/>
      <c r="AW485" s="178"/>
      <c r="AX485" s="178"/>
      <c r="AY485" s="517"/>
      <c r="AZ485" s="131"/>
    </row>
    <row r="486" spans="1:52" ht="15.75" customHeight="1">
      <c r="A486" s="131"/>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c r="AJ486" s="178"/>
      <c r="AK486" s="178"/>
      <c r="AL486" s="178"/>
      <c r="AM486" s="178"/>
      <c r="AN486" s="178"/>
      <c r="AO486" s="178"/>
      <c r="AP486" s="178"/>
      <c r="AQ486" s="178"/>
      <c r="AR486" s="178"/>
      <c r="AS486" s="178"/>
      <c r="AT486" s="178"/>
      <c r="AU486" s="178"/>
      <c r="AV486" s="178"/>
      <c r="AW486" s="178"/>
      <c r="AX486" s="178"/>
      <c r="AY486" s="517"/>
      <c r="AZ486" s="131"/>
    </row>
    <row r="487" spans="1:52" ht="15.75" customHeight="1">
      <c r="A487" s="131"/>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c r="AH487" s="178"/>
      <c r="AI487" s="178"/>
      <c r="AJ487" s="178"/>
      <c r="AK487" s="178"/>
      <c r="AL487" s="178"/>
      <c r="AM487" s="178"/>
      <c r="AN487" s="178"/>
      <c r="AO487" s="178"/>
      <c r="AP487" s="178"/>
      <c r="AQ487" s="178"/>
      <c r="AR487" s="178"/>
      <c r="AS487" s="178"/>
      <c r="AT487" s="178"/>
      <c r="AU487" s="178"/>
      <c r="AV487" s="178"/>
      <c r="AW487" s="178"/>
      <c r="AX487" s="178"/>
      <c r="AY487" s="517"/>
      <c r="AZ487" s="131"/>
    </row>
    <row r="488" spans="1:52" ht="15.75" customHeight="1">
      <c r="A488" s="131"/>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c r="AH488" s="178"/>
      <c r="AI488" s="178"/>
      <c r="AJ488" s="178"/>
      <c r="AK488" s="178"/>
      <c r="AL488" s="178"/>
      <c r="AM488" s="178"/>
      <c r="AN488" s="178"/>
      <c r="AO488" s="178"/>
      <c r="AP488" s="178"/>
      <c r="AQ488" s="178"/>
      <c r="AR488" s="178"/>
      <c r="AS488" s="178"/>
      <c r="AT488" s="178"/>
      <c r="AU488" s="178"/>
      <c r="AV488" s="178"/>
      <c r="AW488" s="178"/>
      <c r="AX488" s="178"/>
      <c r="AY488" s="517"/>
      <c r="AZ488" s="131"/>
    </row>
    <row r="489" spans="1:52" ht="15.75" customHeight="1">
      <c r="A489" s="131"/>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c r="AH489" s="178"/>
      <c r="AI489" s="178"/>
      <c r="AJ489" s="178"/>
      <c r="AK489" s="178"/>
      <c r="AL489" s="178"/>
      <c r="AM489" s="178"/>
      <c r="AN489" s="178"/>
      <c r="AO489" s="178"/>
      <c r="AP489" s="178"/>
      <c r="AQ489" s="178"/>
      <c r="AR489" s="178"/>
      <c r="AS489" s="178"/>
      <c r="AT489" s="178"/>
      <c r="AU489" s="178"/>
      <c r="AV489" s="178"/>
      <c r="AW489" s="178"/>
      <c r="AX489" s="178"/>
      <c r="AY489" s="517"/>
      <c r="AZ489" s="131"/>
    </row>
    <row r="490" spans="1:52" ht="15.75" customHeight="1">
      <c r="A490" s="131"/>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c r="AH490" s="178"/>
      <c r="AI490" s="178"/>
      <c r="AJ490" s="178"/>
      <c r="AK490" s="178"/>
      <c r="AL490" s="178"/>
      <c r="AM490" s="178"/>
      <c r="AN490" s="178"/>
      <c r="AO490" s="178"/>
      <c r="AP490" s="178"/>
      <c r="AQ490" s="178"/>
      <c r="AR490" s="178"/>
      <c r="AS490" s="178"/>
      <c r="AT490" s="178"/>
      <c r="AU490" s="178"/>
      <c r="AV490" s="178"/>
      <c r="AW490" s="178"/>
      <c r="AX490" s="178"/>
      <c r="AY490" s="517"/>
      <c r="AZ490" s="131"/>
    </row>
    <row r="491" spans="1:52" ht="15.75" customHeight="1">
      <c r="A491" s="131"/>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c r="AH491" s="178"/>
      <c r="AI491" s="178"/>
      <c r="AJ491" s="178"/>
      <c r="AK491" s="178"/>
      <c r="AL491" s="178"/>
      <c r="AM491" s="178"/>
      <c r="AN491" s="178"/>
      <c r="AO491" s="178"/>
      <c r="AP491" s="178"/>
      <c r="AQ491" s="178"/>
      <c r="AR491" s="178"/>
      <c r="AS491" s="178"/>
      <c r="AT491" s="178"/>
      <c r="AU491" s="178"/>
      <c r="AV491" s="178"/>
      <c r="AW491" s="178"/>
      <c r="AX491" s="178"/>
      <c r="AY491" s="517"/>
      <c r="AZ491" s="131"/>
    </row>
    <row r="492" spans="1:52" ht="15.75" customHeight="1">
      <c r="A492" s="131"/>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c r="AH492" s="178"/>
      <c r="AI492" s="178"/>
      <c r="AJ492" s="178"/>
      <c r="AK492" s="178"/>
      <c r="AL492" s="178"/>
      <c r="AM492" s="178"/>
      <c r="AN492" s="178"/>
      <c r="AO492" s="178"/>
      <c r="AP492" s="178"/>
      <c r="AQ492" s="178"/>
      <c r="AR492" s="178"/>
      <c r="AS492" s="178"/>
      <c r="AT492" s="178"/>
      <c r="AU492" s="178"/>
      <c r="AV492" s="178"/>
      <c r="AW492" s="178"/>
      <c r="AX492" s="178"/>
      <c r="AY492" s="517"/>
      <c r="AZ492" s="131"/>
    </row>
    <row r="493" spans="1:52" ht="15.75" customHeight="1">
      <c r="A493" s="131"/>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c r="AH493" s="178"/>
      <c r="AI493" s="178"/>
      <c r="AJ493" s="178"/>
      <c r="AK493" s="178"/>
      <c r="AL493" s="178"/>
      <c r="AM493" s="178"/>
      <c r="AN493" s="178"/>
      <c r="AO493" s="178"/>
      <c r="AP493" s="178"/>
      <c r="AQ493" s="178"/>
      <c r="AR493" s="178"/>
      <c r="AS493" s="178"/>
      <c r="AT493" s="178"/>
      <c r="AU493" s="178"/>
      <c r="AV493" s="178"/>
      <c r="AW493" s="178"/>
      <c r="AX493" s="178"/>
      <c r="AY493" s="517"/>
      <c r="AZ493" s="131"/>
    </row>
    <row r="494" spans="1:52" ht="15.75" customHeight="1">
      <c r="A494" s="131"/>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c r="AH494" s="178"/>
      <c r="AI494" s="178"/>
      <c r="AJ494" s="178"/>
      <c r="AK494" s="178"/>
      <c r="AL494" s="178"/>
      <c r="AM494" s="178"/>
      <c r="AN494" s="178"/>
      <c r="AO494" s="178"/>
      <c r="AP494" s="178"/>
      <c r="AQ494" s="178"/>
      <c r="AR494" s="178"/>
      <c r="AS494" s="178"/>
      <c r="AT494" s="178"/>
      <c r="AU494" s="178"/>
      <c r="AV494" s="178"/>
      <c r="AW494" s="178"/>
      <c r="AX494" s="178"/>
      <c r="AY494" s="517"/>
      <c r="AZ494" s="131"/>
    </row>
    <row r="495" spans="1:52" ht="15.75" customHeight="1">
      <c r="A495" s="131"/>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c r="AJ495" s="178"/>
      <c r="AK495" s="178"/>
      <c r="AL495" s="178"/>
      <c r="AM495" s="178"/>
      <c r="AN495" s="178"/>
      <c r="AO495" s="178"/>
      <c r="AP495" s="178"/>
      <c r="AQ495" s="178"/>
      <c r="AR495" s="178"/>
      <c r="AS495" s="178"/>
      <c r="AT495" s="178"/>
      <c r="AU495" s="178"/>
      <c r="AV495" s="178"/>
      <c r="AW495" s="178"/>
      <c r="AX495" s="178"/>
      <c r="AY495" s="517"/>
      <c r="AZ495" s="131"/>
    </row>
    <row r="496" spans="1:52" ht="15.75" customHeight="1">
      <c r="A496" s="131"/>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c r="AJ496" s="178"/>
      <c r="AK496" s="178"/>
      <c r="AL496" s="178"/>
      <c r="AM496" s="178"/>
      <c r="AN496" s="178"/>
      <c r="AO496" s="178"/>
      <c r="AP496" s="178"/>
      <c r="AQ496" s="178"/>
      <c r="AR496" s="178"/>
      <c r="AS496" s="178"/>
      <c r="AT496" s="178"/>
      <c r="AU496" s="178"/>
      <c r="AV496" s="178"/>
      <c r="AW496" s="178"/>
      <c r="AX496" s="178"/>
      <c r="AY496" s="517"/>
      <c r="AZ496" s="131"/>
    </row>
    <row r="497" spans="1:52" ht="15.75" customHeight="1">
      <c r="A497" s="131"/>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c r="AJ497" s="178"/>
      <c r="AK497" s="178"/>
      <c r="AL497" s="178"/>
      <c r="AM497" s="178"/>
      <c r="AN497" s="178"/>
      <c r="AO497" s="178"/>
      <c r="AP497" s="178"/>
      <c r="AQ497" s="178"/>
      <c r="AR497" s="178"/>
      <c r="AS497" s="178"/>
      <c r="AT497" s="178"/>
      <c r="AU497" s="178"/>
      <c r="AV497" s="178"/>
      <c r="AW497" s="178"/>
      <c r="AX497" s="178"/>
      <c r="AY497" s="517"/>
      <c r="AZ497" s="131"/>
    </row>
    <row r="498" spans="1:52" ht="15.75" customHeight="1">
      <c r="A498" s="131"/>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c r="AJ498" s="178"/>
      <c r="AK498" s="178"/>
      <c r="AL498" s="178"/>
      <c r="AM498" s="178"/>
      <c r="AN498" s="178"/>
      <c r="AO498" s="178"/>
      <c r="AP498" s="178"/>
      <c r="AQ498" s="178"/>
      <c r="AR498" s="178"/>
      <c r="AS498" s="178"/>
      <c r="AT498" s="178"/>
      <c r="AU498" s="178"/>
      <c r="AV498" s="178"/>
      <c r="AW498" s="178"/>
      <c r="AX498" s="178"/>
      <c r="AY498" s="517"/>
      <c r="AZ498" s="131"/>
    </row>
    <row r="499" spans="1:52" ht="15.75" customHeight="1">
      <c r="A499" s="131"/>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c r="AH499" s="178"/>
      <c r="AI499" s="178"/>
      <c r="AJ499" s="178"/>
      <c r="AK499" s="178"/>
      <c r="AL499" s="178"/>
      <c r="AM499" s="178"/>
      <c r="AN499" s="178"/>
      <c r="AO499" s="178"/>
      <c r="AP499" s="178"/>
      <c r="AQ499" s="178"/>
      <c r="AR499" s="178"/>
      <c r="AS499" s="178"/>
      <c r="AT499" s="178"/>
      <c r="AU499" s="178"/>
      <c r="AV499" s="178"/>
      <c r="AW499" s="178"/>
      <c r="AX499" s="178"/>
      <c r="AY499" s="517"/>
      <c r="AZ499" s="131"/>
    </row>
    <row r="500" spans="1:52" ht="15.75" customHeight="1">
      <c r="A500" s="131"/>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c r="AH500" s="178"/>
      <c r="AI500" s="178"/>
      <c r="AJ500" s="178"/>
      <c r="AK500" s="178"/>
      <c r="AL500" s="178"/>
      <c r="AM500" s="178"/>
      <c r="AN500" s="178"/>
      <c r="AO500" s="178"/>
      <c r="AP500" s="178"/>
      <c r="AQ500" s="178"/>
      <c r="AR500" s="178"/>
      <c r="AS500" s="178"/>
      <c r="AT500" s="178"/>
      <c r="AU500" s="178"/>
      <c r="AV500" s="178"/>
      <c r="AW500" s="178"/>
      <c r="AX500" s="178"/>
      <c r="AY500" s="517"/>
      <c r="AZ500" s="131"/>
    </row>
    <row r="501" spans="1:52" ht="15.75" customHeight="1">
      <c r="A501" s="131"/>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c r="AH501" s="178"/>
      <c r="AI501" s="178"/>
      <c r="AJ501" s="178"/>
      <c r="AK501" s="178"/>
      <c r="AL501" s="178"/>
      <c r="AM501" s="178"/>
      <c r="AN501" s="178"/>
      <c r="AO501" s="178"/>
      <c r="AP501" s="178"/>
      <c r="AQ501" s="178"/>
      <c r="AR501" s="178"/>
      <c r="AS501" s="178"/>
      <c r="AT501" s="178"/>
      <c r="AU501" s="178"/>
      <c r="AV501" s="178"/>
      <c r="AW501" s="178"/>
      <c r="AX501" s="178"/>
      <c r="AY501" s="517"/>
      <c r="AZ501" s="131"/>
    </row>
    <row r="502" spans="1:52" ht="15.75" customHeight="1">
      <c r="A502" s="131"/>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c r="AJ502" s="178"/>
      <c r="AK502" s="178"/>
      <c r="AL502" s="178"/>
      <c r="AM502" s="178"/>
      <c r="AN502" s="178"/>
      <c r="AO502" s="178"/>
      <c r="AP502" s="178"/>
      <c r="AQ502" s="178"/>
      <c r="AR502" s="178"/>
      <c r="AS502" s="178"/>
      <c r="AT502" s="178"/>
      <c r="AU502" s="178"/>
      <c r="AV502" s="178"/>
      <c r="AW502" s="178"/>
      <c r="AX502" s="178"/>
      <c r="AY502" s="517"/>
      <c r="AZ502" s="131"/>
    </row>
    <row r="503" spans="1:52" ht="15.75" customHeight="1">
      <c r="A503" s="131"/>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c r="AJ503" s="178"/>
      <c r="AK503" s="178"/>
      <c r="AL503" s="178"/>
      <c r="AM503" s="178"/>
      <c r="AN503" s="178"/>
      <c r="AO503" s="178"/>
      <c r="AP503" s="178"/>
      <c r="AQ503" s="178"/>
      <c r="AR503" s="178"/>
      <c r="AS503" s="178"/>
      <c r="AT503" s="178"/>
      <c r="AU503" s="178"/>
      <c r="AV503" s="178"/>
      <c r="AW503" s="178"/>
      <c r="AX503" s="178"/>
      <c r="AY503" s="517"/>
      <c r="AZ503" s="131"/>
    </row>
    <row r="504" spans="1:52" ht="15.75" customHeight="1">
      <c r="A504" s="131"/>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c r="AJ504" s="178"/>
      <c r="AK504" s="178"/>
      <c r="AL504" s="178"/>
      <c r="AM504" s="178"/>
      <c r="AN504" s="178"/>
      <c r="AO504" s="178"/>
      <c r="AP504" s="178"/>
      <c r="AQ504" s="178"/>
      <c r="AR504" s="178"/>
      <c r="AS504" s="178"/>
      <c r="AT504" s="178"/>
      <c r="AU504" s="178"/>
      <c r="AV504" s="178"/>
      <c r="AW504" s="178"/>
      <c r="AX504" s="178"/>
      <c r="AY504" s="517"/>
      <c r="AZ504" s="131"/>
    </row>
    <row r="505" spans="1:52" ht="15.75" customHeight="1">
      <c r="A505" s="131"/>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c r="AJ505" s="178"/>
      <c r="AK505" s="178"/>
      <c r="AL505" s="178"/>
      <c r="AM505" s="178"/>
      <c r="AN505" s="178"/>
      <c r="AO505" s="178"/>
      <c r="AP505" s="178"/>
      <c r="AQ505" s="178"/>
      <c r="AR505" s="178"/>
      <c r="AS505" s="178"/>
      <c r="AT505" s="178"/>
      <c r="AU505" s="178"/>
      <c r="AV505" s="178"/>
      <c r="AW505" s="178"/>
      <c r="AX505" s="178"/>
      <c r="AY505" s="517"/>
      <c r="AZ505" s="131"/>
    </row>
    <row r="506" spans="1:52" ht="15.75" customHeight="1">
      <c r="A506" s="131"/>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c r="AH506" s="178"/>
      <c r="AI506" s="178"/>
      <c r="AJ506" s="178"/>
      <c r="AK506" s="178"/>
      <c r="AL506" s="178"/>
      <c r="AM506" s="178"/>
      <c r="AN506" s="178"/>
      <c r="AO506" s="178"/>
      <c r="AP506" s="178"/>
      <c r="AQ506" s="178"/>
      <c r="AR506" s="178"/>
      <c r="AS506" s="178"/>
      <c r="AT506" s="178"/>
      <c r="AU506" s="178"/>
      <c r="AV506" s="178"/>
      <c r="AW506" s="178"/>
      <c r="AX506" s="178"/>
      <c r="AY506" s="517"/>
      <c r="AZ506" s="131"/>
    </row>
    <row r="507" spans="1:52" ht="15.75" customHeight="1">
      <c r="A507" s="131"/>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c r="AH507" s="178"/>
      <c r="AI507" s="178"/>
      <c r="AJ507" s="178"/>
      <c r="AK507" s="178"/>
      <c r="AL507" s="178"/>
      <c r="AM507" s="178"/>
      <c r="AN507" s="178"/>
      <c r="AO507" s="178"/>
      <c r="AP507" s="178"/>
      <c r="AQ507" s="178"/>
      <c r="AR507" s="178"/>
      <c r="AS507" s="178"/>
      <c r="AT507" s="178"/>
      <c r="AU507" s="178"/>
      <c r="AV507" s="178"/>
      <c r="AW507" s="178"/>
      <c r="AX507" s="178"/>
      <c r="AY507" s="517"/>
      <c r="AZ507" s="131"/>
    </row>
    <row r="508" spans="1:52" ht="15.75" customHeight="1">
      <c r="A508" s="131"/>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c r="AH508" s="178"/>
      <c r="AI508" s="178"/>
      <c r="AJ508" s="178"/>
      <c r="AK508" s="178"/>
      <c r="AL508" s="178"/>
      <c r="AM508" s="178"/>
      <c r="AN508" s="178"/>
      <c r="AO508" s="178"/>
      <c r="AP508" s="178"/>
      <c r="AQ508" s="178"/>
      <c r="AR508" s="178"/>
      <c r="AS508" s="178"/>
      <c r="AT508" s="178"/>
      <c r="AU508" s="178"/>
      <c r="AV508" s="178"/>
      <c r="AW508" s="178"/>
      <c r="AX508" s="178"/>
      <c r="AY508" s="517"/>
      <c r="AZ508" s="131"/>
    </row>
    <row r="509" spans="1:52" ht="15.75" customHeight="1">
      <c r="A509" s="131"/>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c r="AH509" s="178"/>
      <c r="AI509" s="178"/>
      <c r="AJ509" s="178"/>
      <c r="AK509" s="178"/>
      <c r="AL509" s="178"/>
      <c r="AM509" s="178"/>
      <c r="AN509" s="178"/>
      <c r="AO509" s="178"/>
      <c r="AP509" s="178"/>
      <c r="AQ509" s="178"/>
      <c r="AR509" s="178"/>
      <c r="AS509" s="178"/>
      <c r="AT509" s="178"/>
      <c r="AU509" s="178"/>
      <c r="AV509" s="178"/>
      <c r="AW509" s="178"/>
      <c r="AX509" s="178"/>
      <c r="AY509" s="517"/>
      <c r="AZ509" s="131"/>
    </row>
    <row r="510" spans="1:52" ht="15.75" customHeight="1">
      <c r="A510" s="131"/>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c r="AJ510" s="178"/>
      <c r="AK510" s="178"/>
      <c r="AL510" s="178"/>
      <c r="AM510" s="178"/>
      <c r="AN510" s="178"/>
      <c r="AO510" s="178"/>
      <c r="AP510" s="178"/>
      <c r="AQ510" s="178"/>
      <c r="AR510" s="178"/>
      <c r="AS510" s="178"/>
      <c r="AT510" s="178"/>
      <c r="AU510" s="178"/>
      <c r="AV510" s="178"/>
      <c r="AW510" s="178"/>
      <c r="AX510" s="178"/>
      <c r="AY510" s="517"/>
      <c r="AZ510" s="131"/>
    </row>
    <row r="511" spans="1:52" ht="15.75" customHeight="1">
      <c r="A511" s="131"/>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c r="AJ511" s="178"/>
      <c r="AK511" s="178"/>
      <c r="AL511" s="178"/>
      <c r="AM511" s="178"/>
      <c r="AN511" s="178"/>
      <c r="AO511" s="178"/>
      <c r="AP511" s="178"/>
      <c r="AQ511" s="178"/>
      <c r="AR511" s="178"/>
      <c r="AS511" s="178"/>
      <c r="AT511" s="178"/>
      <c r="AU511" s="178"/>
      <c r="AV511" s="178"/>
      <c r="AW511" s="178"/>
      <c r="AX511" s="178"/>
      <c r="AY511" s="517"/>
      <c r="AZ511" s="131"/>
    </row>
    <row r="512" spans="1:52" ht="15.75" customHeight="1">
      <c r="A512" s="131"/>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c r="AH512" s="178"/>
      <c r="AI512" s="178"/>
      <c r="AJ512" s="178"/>
      <c r="AK512" s="178"/>
      <c r="AL512" s="178"/>
      <c r="AM512" s="178"/>
      <c r="AN512" s="178"/>
      <c r="AO512" s="178"/>
      <c r="AP512" s="178"/>
      <c r="AQ512" s="178"/>
      <c r="AR512" s="178"/>
      <c r="AS512" s="178"/>
      <c r="AT512" s="178"/>
      <c r="AU512" s="178"/>
      <c r="AV512" s="178"/>
      <c r="AW512" s="178"/>
      <c r="AX512" s="178"/>
      <c r="AY512" s="517"/>
      <c r="AZ512" s="131"/>
    </row>
    <row r="513" spans="1:52" ht="15.75" customHeight="1">
      <c r="A513" s="131"/>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c r="AH513" s="178"/>
      <c r="AI513" s="178"/>
      <c r="AJ513" s="178"/>
      <c r="AK513" s="178"/>
      <c r="AL513" s="178"/>
      <c r="AM513" s="178"/>
      <c r="AN513" s="178"/>
      <c r="AO513" s="178"/>
      <c r="AP513" s="178"/>
      <c r="AQ513" s="178"/>
      <c r="AR513" s="178"/>
      <c r="AS513" s="178"/>
      <c r="AT513" s="178"/>
      <c r="AU513" s="178"/>
      <c r="AV513" s="178"/>
      <c r="AW513" s="178"/>
      <c r="AX513" s="178"/>
      <c r="AY513" s="517"/>
      <c r="AZ513" s="131"/>
    </row>
    <row r="514" spans="1:52" ht="15.75" customHeight="1">
      <c r="A514" s="131"/>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c r="AH514" s="178"/>
      <c r="AI514" s="178"/>
      <c r="AJ514" s="178"/>
      <c r="AK514" s="178"/>
      <c r="AL514" s="178"/>
      <c r="AM514" s="178"/>
      <c r="AN514" s="178"/>
      <c r="AO514" s="178"/>
      <c r="AP514" s="178"/>
      <c r="AQ514" s="178"/>
      <c r="AR514" s="178"/>
      <c r="AS514" s="178"/>
      <c r="AT514" s="178"/>
      <c r="AU514" s="178"/>
      <c r="AV514" s="178"/>
      <c r="AW514" s="178"/>
      <c r="AX514" s="178"/>
      <c r="AY514" s="517"/>
      <c r="AZ514" s="131"/>
    </row>
    <row r="515" spans="1:52" ht="15.75" customHeight="1">
      <c r="A515" s="131"/>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c r="AH515" s="178"/>
      <c r="AI515" s="178"/>
      <c r="AJ515" s="178"/>
      <c r="AK515" s="178"/>
      <c r="AL515" s="178"/>
      <c r="AM515" s="178"/>
      <c r="AN515" s="178"/>
      <c r="AO515" s="178"/>
      <c r="AP515" s="178"/>
      <c r="AQ515" s="178"/>
      <c r="AR515" s="178"/>
      <c r="AS515" s="178"/>
      <c r="AT515" s="178"/>
      <c r="AU515" s="178"/>
      <c r="AV515" s="178"/>
      <c r="AW515" s="178"/>
      <c r="AX515" s="178"/>
      <c r="AY515" s="517"/>
      <c r="AZ515" s="131"/>
    </row>
    <row r="516" spans="1:52" ht="15.75" customHeight="1">
      <c r="A516" s="131"/>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c r="AJ516" s="178"/>
      <c r="AK516" s="178"/>
      <c r="AL516" s="178"/>
      <c r="AM516" s="178"/>
      <c r="AN516" s="178"/>
      <c r="AO516" s="178"/>
      <c r="AP516" s="178"/>
      <c r="AQ516" s="178"/>
      <c r="AR516" s="178"/>
      <c r="AS516" s="178"/>
      <c r="AT516" s="178"/>
      <c r="AU516" s="178"/>
      <c r="AV516" s="178"/>
      <c r="AW516" s="178"/>
      <c r="AX516" s="178"/>
      <c r="AY516" s="517"/>
      <c r="AZ516" s="131"/>
    </row>
    <row r="517" spans="1:52" ht="15.75" customHeight="1">
      <c r="A517" s="131"/>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c r="AJ517" s="178"/>
      <c r="AK517" s="178"/>
      <c r="AL517" s="178"/>
      <c r="AM517" s="178"/>
      <c r="AN517" s="178"/>
      <c r="AO517" s="178"/>
      <c r="AP517" s="178"/>
      <c r="AQ517" s="178"/>
      <c r="AR517" s="178"/>
      <c r="AS517" s="178"/>
      <c r="AT517" s="178"/>
      <c r="AU517" s="178"/>
      <c r="AV517" s="178"/>
      <c r="AW517" s="178"/>
      <c r="AX517" s="178"/>
      <c r="AY517" s="517"/>
      <c r="AZ517" s="131"/>
    </row>
    <row r="518" spans="1:52" ht="15.75" customHeight="1">
      <c r="A518" s="131"/>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c r="AH518" s="178"/>
      <c r="AI518" s="178"/>
      <c r="AJ518" s="178"/>
      <c r="AK518" s="178"/>
      <c r="AL518" s="178"/>
      <c r="AM518" s="178"/>
      <c r="AN518" s="178"/>
      <c r="AO518" s="178"/>
      <c r="AP518" s="178"/>
      <c r="AQ518" s="178"/>
      <c r="AR518" s="178"/>
      <c r="AS518" s="178"/>
      <c r="AT518" s="178"/>
      <c r="AU518" s="178"/>
      <c r="AV518" s="178"/>
      <c r="AW518" s="178"/>
      <c r="AX518" s="178"/>
      <c r="AY518" s="517"/>
      <c r="AZ518" s="131"/>
    </row>
    <row r="519" spans="1:52" ht="15.75" customHeight="1">
      <c r="A519" s="131"/>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c r="AH519" s="178"/>
      <c r="AI519" s="178"/>
      <c r="AJ519" s="178"/>
      <c r="AK519" s="178"/>
      <c r="AL519" s="178"/>
      <c r="AM519" s="178"/>
      <c r="AN519" s="178"/>
      <c r="AO519" s="178"/>
      <c r="AP519" s="178"/>
      <c r="AQ519" s="178"/>
      <c r="AR519" s="178"/>
      <c r="AS519" s="178"/>
      <c r="AT519" s="178"/>
      <c r="AU519" s="178"/>
      <c r="AV519" s="178"/>
      <c r="AW519" s="178"/>
      <c r="AX519" s="178"/>
      <c r="AY519" s="517"/>
      <c r="AZ519" s="131"/>
    </row>
    <row r="520" spans="1:52" ht="15.75" customHeight="1">
      <c r="A520" s="131"/>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c r="AH520" s="178"/>
      <c r="AI520" s="178"/>
      <c r="AJ520" s="178"/>
      <c r="AK520" s="178"/>
      <c r="AL520" s="178"/>
      <c r="AM520" s="178"/>
      <c r="AN520" s="178"/>
      <c r="AO520" s="178"/>
      <c r="AP520" s="178"/>
      <c r="AQ520" s="178"/>
      <c r="AR520" s="178"/>
      <c r="AS520" s="178"/>
      <c r="AT520" s="178"/>
      <c r="AU520" s="178"/>
      <c r="AV520" s="178"/>
      <c r="AW520" s="178"/>
      <c r="AX520" s="178"/>
      <c r="AY520" s="517"/>
      <c r="AZ520" s="131"/>
    </row>
    <row r="521" spans="1:52" ht="15.75" customHeight="1">
      <c r="A521" s="131"/>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c r="AH521" s="178"/>
      <c r="AI521" s="178"/>
      <c r="AJ521" s="178"/>
      <c r="AK521" s="178"/>
      <c r="AL521" s="178"/>
      <c r="AM521" s="178"/>
      <c r="AN521" s="178"/>
      <c r="AO521" s="178"/>
      <c r="AP521" s="178"/>
      <c r="AQ521" s="178"/>
      <c r="AR521" s="178"/>
      <c r="AS521" s="178"/>
      <c r="AT521" s="178"/>
      <c r="AU521" s="178"/>
      <c r="AV521" s="178"/>
      <c r="AW521" s="178"/>
      <c r="AX521" s="178"/>
      <c r="AY521" s="517"/>
      <c r="AZ521" s="131"/>
    </row>
    <row r="522" spans="1:52" ht="15.75" customHeight="1">
      <c r="A522" s="131"/>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c r="AJ522" s="178"/>
      <c r="AK522" s="178"/>
      <c r="AL522" s="178"/>
      <c r="AM522" s="178"/>
      <c r="AN522" s="178"/>
      <c r="AO522" s="178"/>
      <c r="AP522" s="178"/>
      <c r="AQ522" s="178"/>
      <c r="AR522" s="178"/>
      <c r="AS522" s="178"/>
      <c r="AT522" s="178"/>
      <c r="AU522" s="178"/>
      <c r="AV522" s="178"/>
      <c r="AW522" s="178"/>
      <c r="AX522" s="178"/>
      <c r="AY522" s="517"/>
      <c r="AZ522" s="131"/>
    </row>
    <row r="523" spans="1:52" ht="15.75" customHeight="1">
      <c r="A523" s="131"/>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c r="AJ523" s="178"/>
      <c r="AK523" s="178"/>
      <c r="AL523" s="178"/>
      <c r="AM523" s="178"/>
      <c r="AN523" s="178"/>
      <c r="AO523" s="178"/>
      <c r="AP523" s="178"/>
      <c r="AQ523" s="178"/>
      <c r="AR523" s="178"/>
      <c r="AS523" s="178"/>
      <c r="AT523" s="178"/>
      <c r="AU523" s="178"/>
      <c r="AV523" s="178"/>
      <c r="AW523" s="178"/>
      <c r="AX523" s="178"/>
      <c r="AY523" s="517"/>
      <c r="AZ523" s="131"/>
    </row>
    <row r="524" spans="1:52" ht="15.75" customHeight="1">
      <c r="A524" s="131"/>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c r="AH524" s="178"/>
      <c r="AI524" s="178"/>
      <c r="AJ524" s="178"/>
      <c r="AK524" s="178"/>
      <c r="AL524" s="178"/>
      <c r="AM524" s="178"/>
      <c r="AN524" s="178"/>
      <c r="AO524" s="178"/>
      <c r="AP524" s="178"/>
      <c r="AQ524" s="178"/>
      <c r="AR524" s="178"/>
      <c r="AS524" s="178"/>
      <c r="AT524" s="178"/>
      <c r="AU524" s="178"/>
      <c r="AV524" s="178"/>
      <c r="AW524" s="178"/>
      <c r="AX524" s="178"/>
      <c r="AY524" s="517"/>
      <c r="AZ524" s="131"/>
    </row>
    <row r="525" spans="1:52" ht="15.75" customHeight="1">
      <c r="A525" s="131"/>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c r="AH525" s="178"/>
      <c r="AI525" s="178"/>
      <c r="AJ525" s="178"/>
      <c r="AK525" s="178"/>
      <c r="AL525" s="178"/>
      <c r="AM525" s="178"/>
      <c r="AN525" s="178"/>
      <c r="AO525" s="178"/>
      <c r="AP525" s="178"/>
      <c r="AQ525" s="178"/>
      <c r="AR525" s="178"/>
      <c r="AS525" s="178"/>
      <c r="AT525" s="178"/>
      <c r="AU525" s="178"/>
      <c r="AV525" s="178"/>
      <c r="AW525" s="178"/>
      <c r="AX525" s="178"/>
      <c r="AY525" s="517"/>
      <c r="AZ525" s="131"/>
    </row>
    <row r="526" spans="1:52" ht="15.75" customHeight="1">
      <c r="A526" s="131"/>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c r="AH526" s="178"/>
      <c r="AI526" s="178"/>
      <c r="AJ526" s="178"/>
      <c r="AK526" s="178"/>
      <c r="AL526" s="178"/>
      <c r="AM526" s="178"/>
      <c r="AN526" s="178"/>
      <c r="AO526" s="178"/>
      <c r="AP526" s="178"/>
      <c r="AQ526" s="178"/>
      <c r="AR526" s="178"/>
      <c r="AS526" s="178"/>
      <c r="AT526" s="178"/>
      <c r="AU526" s="178"/>
      <c r="AV526" s="178"/>
      <c r="AW526" s="178"/>
      <c r="AX526" s="178"/>
      <c r="AY526" s="517"/>
      <c r="AZ526" s="131"/>
    </row>
    <row r="527" spans="1:52" ht="15.75" customHeight="1">
      <c r="A527" s="131"/>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c r="AH527" s="178"/>
      <c r="AI527" s="178"/>
      <c r="AJ527" s="178"/>
      <c r="AK527" s="178"/>
      <c r="AL527" s="178"/>
      <c r="AM527" s="178"/>
      <c r="AN527" s="178"/>
      <c r="AO527" s="178"/>
      <c r="AP527" s="178"/>
      <c r="AQ527" s="178"/>
      <c r="AR527" s="178"/>
      <c r="AS527" s="178"/>
      <c r="AT527" s="178"/>
      <c r="AU527" s="178"/>
      <c r="AV527" s="178"/>
      <c r="AW527" s="178"/>
      <c r="AX527" s="178"/>
      <c r="AY527" s="517"/>
      <c r="AZ527" s="131"/>
    </row>
    <row r="528" spans="1:52" ht="15.75" customHeight="1">
      <c r="A528" s="131"/>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c r="AJ528" s="178"/>
      <c r="AK528" s="178"/>
      <c r="AL528" s="178"/>
      <c r="AM528" s="178"/>
      <c r="AN528" s="178"/>
      <c r="AO528" s="178"/>
      <c r="AP528" s="178"/>
      <c r="AQ528" s="178"/>
      <c r="AR528" s="178"/>
      <c r="AS528" s="178"/>
      <c r="AT528" s="178"/>
      <c r="AU528" s="178"/>
      <c r="AV528" s="178"/>
      <c r="AW528" s="178"/>
      <c r="AX528" s="178"/>
      <c r="AY528" s="517"/>
      <c r="AZ528" s="131"/>
    </row>
    <row r="529" spans="1:52" ht="15.75" customHeight="1">
      <c r="A529" s="131"/>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c r="AJ529" s="178"/>
      <c r="AK529" s="178"/>
      <c r="AL529" s="178"/>
      <c r="AM529" s="178"/>
      <c r="AN529" s="178"/>
      <c r="AO529" s="178"/>
      <c r="AP529" s="178"/>
      <c r="AQ529" s="178"/>
      <c r="AR529" s="178"/>
      <c r="AS529" s="178"/>
      <c r="AT529" s="178"/>
      <c r="AU529" s="178"/>
      <c r="AV529" s="178"/>
      <c r="AW529" s="178"/>
      <c r="AX529" s="178"/>
      <c r="AY529" s="517"/>
      <c r="AZ529" s="131"/>
    </row>
    <row r="530" spans="1:52" ht="15.75" customHeight="1">
      <c r="A530" s="131"/>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c r="AH530" s="178"/>
      <c r="AI530" s="178"/>
      <c r="AJ530" s="178"/>
      <c r="AK530" s="178"/>
      <c r="AL530" s="178"/>
      <c r="AM530" s="178"/>
      <c r="AN530" s="178"/>
      <c r="AO530" s="178"/>
      <c r="AP530" s="178"/>
      <c r="AQ530" s="178"/>
      <c r="AR530" s="178"/>
      <c r="AS530" s="178"/>
      <c r="AT530" s="178"/>
      <c r="AU530" s="178"/>
      <c r="AV530" s="178"/>
      <c r="AW530" s="178"/>
      <c r="AX530" s="178"/>
      <c r="AY530" s="517"/>
      <c r="AZ530" s="131"/>
    </row>
    <row r="531" spans="1:52" ht="15.75" customHeight="1">
      <c r="A531" s="131"/>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c r="AH531" s="178"/>
      <c r="AI531" s="178"/>
      <c r="AJ531" s="178"/>
      <c r="AK531" s="178"/>
      <c r="AL531" s="178"/>
      <c r="AM531" s="178"/>
      <c r="AN531" s="178"/>
      <c r="AO531" s="178"/>
      <c r="AP531" s="178"/>
      <c r="AQ531" s="178"/>
      <c r="AR531" s="178"/>
      <c r="AS531" s="178"/>
      <c r="AT531" s="178"/>
      <c r="AU531" s="178"/>
      <c r="AV531" s="178"/>
      <c r="AW531" s="178"/>
      <c r="AX531" s="178"/>
      <c r="AY531" s="517"/>
      <c r="AZ531" s="131"/>
    </row>
    <row r="532" spans="1:52" ht="15.75" customHeight="1">
      <c r="A532" s="131"/>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c r="AH532" s="178"/>
      <c r="AI532" s="178"/>
      <c r="AJ532" s="178"/>
      <c r="AK532" s="178"/>
      <c r="AL532" s="178"/>
      <c r="AM532" s="178"/>
      <c r="AN532" s="178"/>
      <c r="AO532" s="178"/>
      <c r="AP532" s="178"/>
      <c r="AQ532" s="178"/>
      <c r="AR532" s="178"/>
      <c r="AS532" s="178"/>
      <c r="AT532" s="178"/>
      <c r="AU532" s="178"/>
      <c r="AV532" s="178"/>
      <c r="AW532" s="178"/>
      <c r="AX532" s="178"/>
      <c r="AY532" s="517"/>
      <c r="AZ532" s="131"/>
    </row>
    <row r="533" spans="1:52" ht="15.75" customHeight="1">
      <c r="A533" s="131"/>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c r="AH533" s="178"/>
      <c r="AI533" s="178"/>
      <c r="AJ533" s="178"/>
      <c r="AK533" s="178"/>
      <c r="AL533" s="178"/>
      <c r="AM533" s="178"/>
      <c r="AN533" s="178"/>
      <c r="AO533" s="178"/>
      <c r="AP533" s="178"/>
      <c r="AQ533" s="178"/>
      <c r="AR533" s="178"/>
      <c r="AS533" s="178"/>
      <c r="AT533" s="178"/>
      <c r="AU533" s="178"/>
      <c r="AV533" s="178"/>
      <c r="AW533" s="178"/>
      <c r="AX533" s="178"/>
      <c r="AY533" s="517"/>
      <c r="AZ533" s="131"/>
    </row>
    <row r="534" spans="1:52" ht="15.75" customHeight="1">
      <c r="A534" s="131"/>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c r="AJ534" s="178"/>
      <c r="AK534" s="178"/>
      <c r="AL534" s="178"/>
      <c r="AM534" s="178"/>
      <c r="AN534" s="178"/>
      <c r="AO534" s="178"/>
      <c r="AP534" s="178"/>
      <c r="AQ534" s="178"/>
      <c r="AR534" s="178"/>
      <c r="AS534" s="178"/>
      <c r="AT534" s="178"/>
      <c r="AU534" s="178"/>
      <c r="AV534" s="178"/>
      <c r="AW534" s="178"/>
      <c r="AX534" s="178"/>
      <c r="AY534" s="517"/>
      <c r="AZ534" s="131"/>
    </row>
    <row r="535" spans="1:52" ht="15.75" customHeight="1">
      <c r="A535" s="131"/>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c r="AJ535" s="178"/>
      <c r="AK535" s="178"/>
      <c r="AL535" s="178"/>
      <c r="AM535" s="178"/>
      <c r="AN535" s="178"/>
      <c r="AO535" s="178"/>
      <c r="AP535" s="178"/>
      <c r="AQ535" s="178"/>
      <c r="AR535" s="178"/>
      <c r="AS535" s="178"/>
      <c r="AT535" s="178"/>
      <c r="AU535" s="178"/>
      <c r="AV535" s="178"/>
      <c r="AW535" s="178"/>
      <c r="AX535" s="178"/>
      <c r="AY535" s="517"/>
      <c r="AZ535" s="131"/>
    </row>
    <row r="536" spans="1:52" ht="15.75" customHeight="1">
      <c r="A536" s="131"/>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c r="AJ536" s="178"/>
      <c r="AK536" s="178"/>
      <c r="AL536" s="178"/>
      <c r="AM536" s="178"/>
      <c r="AN536" s="178"/>
      <c r="AO536" s="178"/>
      <c r="AP536" s="178"/>
      <c r="AQ536" s="178"/>
      <c r="AR536" s="178"/>
      <c r="AS536" s="178"/>
      <c r="AT536" s="178"/>
      <c r="AU536" s="178"/>
      <c r="AV536" s="178"/>
      <c r="AW536" s="178"/>
      <c r="AX536" s="178"/>
      <c r="AY536" s="517"/>
      <c r="AZ536" s="131"/>
    </row>
    <row r="537" spans="1:52" ht="15.75" customHeight="1">
      <c r="A537" s="131"/>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c r="AJ537" s="178"/>
      <c r="AK537" s="178"/>
      <c r="AL537" s="178"/>
      <c r="AM537" s="178"/>
      <c r="AN537" s="178"/>
      <c r="AO537" s="178"/>
      <c r="AP537" s="178"/>
      <c r="AQ537" s="178"/>
      <c r="AR537" s="178"/>
      <c r="AS537" s="178"/>
      <c r="AT537" s="178"/>
      <c r="AU537" s="178"/>
      <c r="AV537" s="178"/>
      <c r="AW537" s="178"/>
      <c r="AX537" s="178"/>
      <c r="AY537" s="517"/>
      <c r="AZ537" s="131"/>
    </row>
    <row r="538" spans="1:52" ht="15.75" customHeight="1">
      <c r="A538" s="131"/>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c r="AH538" s="178"/>
      <c r="AI538" s="178"/>
      <c r="AJ538" s="178"/>
      <c r="AK538" s="178"/>
      <c r="AL538" s="178"/>
      <c r="AM538" s="178"/>
      <c r="AN538" s="178"/>
      <c r="AO538" s="178"/>
      <c r="AP538" s="178"/>
      <c r="AQ538" s="178"/>
      <c r="AR538" s="178"/>
      <c r="AS538" s="178"/>
      <c r="AT538" s="178"/>
      <c r="AU538" s="178"/>
      <c r="AV538" s="178"/>
      <c r="AW538" s="178"/>
      <c r="AX538" s="178"/>
      <c r="AY538" s="517"/>
      <c r="AZ538" s="131"/>
    </row>
    <row r="539" spans="1:52" ht="15.75" customHeight="1">
      <c r="A539" s="131"/>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c r="AH539" s="178"/>
      <c r="AI539" s="178"/>
      <c r="AJ539" s="178"/>
      <c r="AK539" s="178"/>
      <c r="AL539" s="178"/>
      <c r="AM539" s="178"/>
      <c r="AN539" s="178"/>
      <c r="AO539" s="178"/>
      <c r="AP539" s="178"/>
      <c r="AQ539" s="178"/>
      <c r="AR539" s="178"/>
      <c r="AS539" s="178"/>
      <c r="AT539" s="178"/>
      <c r="AU539" s="178"/>
      <c r="AV539" s="178"/>
      <c r="AW539" s="178"/>
      <c r="AX539" s="178"/>
      <c r="AY539" s="517"/>
      <c r="AZ539" s="131"/>
    </row>
    <row r="540" spans="1:52" ht="15.75" customHeight="1">
      <c r="A540" s="131"/>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c r="AH540" s="178"/>
      <c r="AI540" s="178"/>
      <c r="AJ540" s="178"/>
      <c r="AK540" s="178"/>
      <c r="AL540" s="178"/>
      <c r="AM540" s="178"/>
      <c r="AN540" s="178"/>
      <c r="AO540" s="178"/>
      <c r="AP540" s="178"/>
      <c r="AQ540" s="178"/>
      <c r="AR540" s="178"/>
      <c r="AS540" s="178"/>
      <c r="AT540" s="178"/>
      <c r="AU540" s="178"/>
      <c r="AV540" s="178"/>
      <c r="AW540" s="178"/>
      <c r="AX540" s="178"/>
      <c r="AY540" s="517"/>
      <c r="AZ540" s="131"/>
    </row>
    <row r="541" spans="1:52" ht="15.75" customHeight="1">
      <c r="A541" s="131"/>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c r="AY541" s="517"/>
      <c r="AZ541" s="131"/>
    </row>
    <row r="542" spans="1:52" ht="15.75" customHeight="1">
      <c r="A542" s="131"/>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c r="AJ542" s="178"/>
      <c r="AK542" s="178"/>
      <c r="AL542" s="178"/>
      <c r="AM542" s="178"/>
      <c r="AN542" s="178"/>
      <c r="AO542" s="178"/>
      <c r="AP542" s="178"/>
      <c r="AQ542" s="178"/>
      <c r="AR542" s="178"/>
      <c r="AS542" s="178"/>
      <c r="AT542" s="178"/>
      <c r="AU542" s="178"/>
      <c r="AV542" s="178"/>
      <c r="AW542" s="178"/>
      <c r="AX542" s="178"/>
      <c r="AY542" s="517"/>
      <c r="AZ542" s="131"/>
    </row>
    <row r="543" spans="1:52" ht="15.75" customHeight="1">
      <c r="A543" s="131"/>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517"/>
      <c r="AZ543" s="131"/>
    </row>
    <row r="544" spans="1:52" ht="15.75" customHeight="1">
      <c r="A544" s="131"/>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517"/>
      <c r="AZ544" s="131"/>
    </row>
    <row r="545" spans="1:52" ht="15.75" customHeight="1">
      <c r="A545" s="131"/>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517"/>
      <c r="AZ545" s="131"/>
    </row>
    <row r="546" spans="1:52" ht="15.75" customHeight="1">
      <c r="A546" s="131"/>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517"/>
      <c r="AZ546" s="131"/>
    </row>
    <row r="547" spans="1:52" ht="15.75" customHeight="1">
      <c r="A547" s="131"/>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c r="AJ547" s="178"/>
      <c r="AK547" s="178"/>
      <c r="AL547" s="178"/>
      <c r="AM547" s="178"/>
      <c r="AN547" s="178"/>
      <c r="AO547" s="178"/>
      <c r="AP547" s="178"/>
      <c r="AQ547" s="178"/>
      <c r="AR547" s="178"/>
      <c r="AS547" s="178"/>
      <c r="AT547" s="178"/>
      <c r="AU547" s="178"/>
      <c r="AV547" s="178"/>
      <c r="AW547" s="178"/>
      <c r="AX547" s="178"/>
      <c r="AY547" s="517"/>
      <c r="AZ547" s="131"/>
    </row>
    <row r="548" spans="1:52" ht="15.75" customHeight="1">
      <c r="A548" s="131"/>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c r="AH548" s="178"/>
      <c r="AI548" s="178"/>
      <c r="AJ548" s="178"/>
      <c r="AK548" s="178"/>
      <c r="AL548" s="178"/>
      <c r="AM548" s="178"/>
      <c r="AN548" s="178"/>
      <c r="AO548" s="178"/>
      <c r="AP548" s="178"/>
      <c r="AQ548" s="178"/>
      <c r="AR548" s="178"/>
      <c r="AS548" s="178"/>
      <c r="AT548" s="178"/>
      <c r="AU548" s="178"/>
      <c r="AV548" s="178"/>
      <c r="AW548" s="178"/>
      <c r="AX548" s="178"/>
      <c r="AY548" s="517"/>
      <c r="AZ548" s="131"/>
    </row>
    <row r="549" spans="1:52" ht="15.75" customHeight="1">
      <c r="A549" s="131"/>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c r="AH549" s="178"/>
      <c r="AI549" s="178"/>
      <c r="AJ549" s="178"/>
      <c r="AK549" s="178"/>
      <c r="AL549" s="178"/>
      <c r="AM549" s="178"/>
      <c r="AN549" s="178"/>
      <c r="AO549" s="178"/>
      <c r="AP549" s="178"/>
      <c r="AQ549" s="178"/>
      <c r="AR549" s="178"/>
      <c r="AS549" s="178"/>
      <c r="AT549" s="178"/>
      <c r="AU549" s="178"/>
      <c r="AV549" s="178"/>
      <c r="AW549" s="178"/>
      <c r="AX549" s="178"/>
      <c r="AY549" s="517"/>
      <c r="AZ549" s="131"/>
    </row>
    <row r="550" spans="1:52" ht="15.75" customHeight="1">
      <c r="A550" s="131"/>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c r="AH550" s="178"/>
      <c r="AI550" s="178"/>
      <c r="AJ550" s="178"/>
      <c r="AK550" s="178"/>
      <c r="AL550" s="178"/>
      <c r="AM550" s="178"/>
      <c r="AN550" s="178"/>
      <c r="AO550" s="178"/>
      <c r="AP550" s="178"/>
      <c r="AQ550" s="178"/>
      <c r="AR550" s="178"/>
      <c r="AS550" s="178"/>
      <c r="AT550" s="178"/>
      <c r="AU550" s="178"/>
      <c r="AV550" s="178"/>
      <c r="AW550" s="178"/>
      <c r="AX550" s="178"/>
      <c r="AY550" s="517"/>
      <c r="AZ550" s="131"/>
    </row>
    <row r="551" spans="1:52" ht="15.75" customHeight="1">
      <c r="A551" s="131"/>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c r="AJ551" s="178"/>
      <c r="AK551" s="178"/>
      <c r="AL551" s="178"/>
      <c r="AM551" s="178"/>
      <c r="AN551" s="178"/>
      <c r="AO551" s="178"/>
      <c r="AP551" s="178"/>
      <c r="AQ551" s="178"/>
      <c r="AR551" s="178"/>
      <c r="AS551" s="178"/>
      <c r="AT551" s="178"/>
      <c r="AU551" s="178"/>
      <c r="AV551" s="178"/>
      <c r="AW551" s="178"/>
      <c r="AX551" s="178"/>
      <c r="AY551" s="517"/>
      <c r="AZ551" s="131"/>
    </row>
    <row r="552" spans="1:52" ht="15.75" customHeight="1">
      <c r="A552" s="131"/>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c r="AJ552" s="178"/>
      <c r="AK552" s="178"/>
      <c r="AL552" s="178"/>
      <c r="AM552" s="178"/>
      <c r="AN552" s="178"/>
      <c r="AO552" s="178"/>
      <c r="AP552" s="178"/>
      <c r="AQ552" s="178"/>
      <c r="AR552" s="178"/>
      <c r="AS552" s="178"/>
      <c r="AT552" s="178"/>
      <c r="AU552" s="178"/>
      <c r="AV552" s="178"/>
      <c r="AW552" s="178"/>
      <c r="AX552" s="178"/>
      <c r="AY552" s="517"/>
      <c r="AZ552" s="131"/>
    </row>
    <row r="553" spans="1:52" ht="15.75" customHeight="1">
      <c r="A553" s="131"/>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c r="AJ553" s="178"/>
      <c r="AK553" s="178"/>
      <c r="AL553" s="178"/>
      <c r="AM553" s="178"/>
      <c r="AN553" s="178"/>
      <c r="AO553" s="178"/>
      <c r="AP553" s="178"/>
      <c r="AQ553" s="178"/>
      <c r="AR553" s="178"/>
      <c r="AS553" s="178"/>
      <c r="AT553" s="178"/>
      <c r="AU553" s="178"/>
      <c r="AV553" s="178"/>
      <c r="AW553" s="178"/>
      <c r="AX553" s="178"/>
      <c r="AY553" s="517"/>
      <c r="AZ553" s="131"/>
    </row>
    <row r="554" spans="1:52" ht="15.75" customHeight="1">
      <c r="A554" s="131"/>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c r="AJ554" s="178"/>
      <c r="AK554" s="178"/>
      <c r="AL554" s="178"/>
      <c r="AM554" s="178"/>
      <c r="AN554" s="178"/>
      <c r="AO554" s="178"/>
      <c r="AP554" s="178"/>
      <c r="AQ554" s="178"/>
      <c r="AR554" s="178"/>
      <c r="AS554" s="178"/>
      <c r="AT554" s="178"/>
      <c r="AU554" s="178"/>
      <c r="AV554" s="178"/>
      <c r="AW554" s="178"/>
      <c r="AX554" s="178"/>
      <c r="AY554" s="517"/>
      <c r="AZ554" s="131"/>
    </row>
    <row r="555" spans="1:52" ht="15.75" customHeight="1">
      <c r="A555" s="131"/>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c r="AJ555" s="178"/>
      <c r="AK555" s="178"/>
      <c r="AL555" s="178"/>
      <c r="AM555" s="178"/>
      <c r="AN555" s="178"/>
      <c r="AO555" s="178"/>
      <c r="AP555" s="178"/>
      <c r="AQ555" s="178"/>
      <c r="AR555" s="178"/>
      <c r="AS555" s="178"/>
      <c r="AT555" s="178"/>
      <c r="AU555" s="178"/>
      <c r="AV555" s="178"/>
      <c r="AW555" s="178"/>
      <c r="AX555" s="178"/>
      <c r="AY555" s="517"/>
      <c r="AZ555" s="131"/>
    </row>
    <row r="556" spans="1:52" ht="15.75" customHeight="1">
      <c r="A556" s="131"/>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c r="AJ556" s="178"/>
      <c r="AK556" s="178"/>
      <c r="AL556" s="178"/>
      <c r="AM556" s="178"/>
      <c r="AN556" s="178"/>
      <c r="AO556" s="178"/>
      <c r="AP556" s="178"/>
      <c r="AQ556" s="178"/>
      <c r="AR556" s="178"/>
      <c r="AS556" s="178"/>
      <c r="AT556" s="178"/>
      <c r="AU556" s="178"/>
      <c r="AV556" s="178"/>
      <c r="AW556" s="178"/>
      <c r="AX556" s="178"/>
      <c r="AY556" s="517"/>
      <c r="AZ556" s="131"/>
    </row>
    <row r="557" spans="1:52" ht="15.75" customHeight="1">
      <c r="A557" s="131"/>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178"/>
      <c r="AL557" s="178"/>
      <c r="AM557" s="178"/>
      <c r="AN557" s="178"/>
      <c r="AO557" s="178"/>
      <c r="AP557" s="178"/>
      <c r="AQ557" s="178"/>
      <c r="AR557" s="178"/>
      <c r="AS557" s="178"/>
      <c r="AT557" s="178"/>
      <c r="AU557" s="178"/>
      <c r="AV557" s="178"/>
      <c r="AW557" s="178"/>
      <c r="AX557" s="178"/>
      <c r="AY557" s="517"/>
      <c r="AZ557" s="131"/>
    </row>
    <row r="558" spans="1:52" ht="15.75" customHeight="1">
      <c r="A558" s="131"/>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c r="AJ558" s="178"/>
      <c r="AK558" s="178"/>
      <c r="AL558" s="178"/>
      <c r="AM558" s="178"/>
      <c r="AN558" s="178"/>
      <c r="AO558" s="178"/>
      <c r="AP558" s="178"/>
      <c r="AQ558" s="178"/>
      <c r="AR558" s="178"/>
      <c r="AS558" s="178"/>
      <c r="AT558" s="178"/>
      <c r="AU558" s="178"/>
      <c r="AV558" s="178"/>
      <c r="AW558" s="178"/>
      <c r="AX558" s="178"/>
      <c r="AY558" s="517"/>
      <c r="AZ558" s="131"/>
    </row>
    <row r="559" spans="1:52" ht="15.75" customHeight="1">
      <c r="A559" s="131"/>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c r="AJ559" s="178"/>
      <c r="AK559" s="178"/>
      <c r="AL559" s="178"/>
      <c r="AM559" s="178"/>
      <c r="AN559" s="178"/>
      <c r="AO559" s="178"/>
      <c r="AP559" s="178"/>
      <c r="AQ559" s="178"/>
      <c r="AR559" s="178"/>
      <c r="AS559" s="178"/>
      <c r="AT559" s="178"/>
      <c r="AU559" s="178"/>
      <c r="AV559" s="178"/>
      <c r="AW559" s="178"/>
      <c r="AX559" s="178"/>
      <c r="AY559" s="517"/>
      <c r="AZ559" s="131"/>
    </row>
    <row r="560" spans="1:52" ht="15.75" customHeight="1">
      <c r="A560" s="131"/>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c r="AJ560" s="178"/>
      <c r="AK560" s="178"/>
      <c r="AL560" s="178"/>
      <c r="AM560" s="178"/>
      <c r="AN560" s="178"/>
      <c r="AO560" s="178"/>
      <c r="AP560" s="178"/>
      <c r="AQ560" s="178"/>
      <c r="AR560" s="178"/>
      <c r="AS560" s="178"/>
      <c r="AT560" s="178"/>
      <c r="AU560" s="178"/>
      <c r="AV560" s="178"/>
      <c r="AW560" s="178"/>
      <c r="AX560" s="178"/>
      <c r="AY560" s="517"/>
      <c r="AZ560" s="131"/>
    </row>
    <row r="561" spans="1:52" ht="15.75" customHeight="1">
      <c r="A561" s="131"/>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c r="AJ561" s="178"/>
      <c r="AK561" s="178"/>
      <c r="AL561" s="178"/>
      <c r="AM561" s="178"/>
      <c r="AN561" s="178"/>
      <c r="AO561" s="178"/>
      <c r="AP561" s="178"/>
      <c r="AQ561" s="178"/>
      <c r="AR561" s="178"/>
      <c r="AS561" s="178"/>
      <c r="AT561" s="178"/>
      <c r="AU561" s="178"/>
      <c r="AV561" s="178"/>
      <c r="AW561" s="178"/>
      <c r="AX561" s="178"/>
      <c r="AY561" s="517"/>
      <c r="AZ561" s="131"/>
    </row>
    <row r="562" spans="1:52" ht="15.75" customHeight="1">
      <c r="A562" s="131"/>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517"/>
      <c r="AZ562" s="131"/>
    </row>
    <row r="563" spans="1:52" ht="15.75" customHeight="1">
      <c r="A563" s="131"/>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c r="AJ563" s="178"/>
      <c r="AK563" s="178"/>
      <c r="AL563" s="178"/>
      <c r="AM563" s="178"/>
      <c r="AN563" s="178"/>
      <c r="AO563" s="178"/>
      <c r="AP563" s="178"/>
      <c r="AQ563" s="178"/>
      <c r="AR563" s="178"/>
      <c r="AS563" s="178"/>
      <c r="AT563" s="178"/>
      <c r="AU563" s="178"/>
      <c r="AV563" s="178"/>
      <c r="AW563" s="178"/>
      <c r="AX563" s="178"/>
      <c r="AY563" s="517"/>
      <c r="AZ563" s="131"/>
    </row>
    <row r="564" spans="1:52" ht="15.75" customHeight="1">
      <c r="A564" s="131"/>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c r="AJ564" s="178"/>
      <c r="AK564" s="178"/>
      <c r="AL564" s="178"/>
      <c r="AM564" s="178"/>
      <c r="AN564" s="178"/>
      <c r="AO564" s="178"/>
      <c r="AP564" s="178"/>
      <c r="AQ564" s="178"/>
      <c r="AR564" s="178"/>
      <c r="AS564" s="178"/>
      <c r="AT564" s="178"/>
      <c r="AU564" s="178"/>
      <c r="AV564" s="178"/>
      <c r="AW564" s="178"/>
      <c r="AX564" s="178"/>
      <c r="AY564" s="517"/>
      <c r="AZ564" s="131"/>
    </row>
    <row r="565" spans="1:52" ht="15.75" customHeight="1">
      <c r="A565" s="131"/>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c r="AJ565" s="178"/>
      <c r="AK565" s="178"/>
      <c r="AL565" s="178"/>
      <c r="AM565" s="178"/>
      <c r="AN565" s="178"/>
      <c r="AO565" s="178"/>
      <c r="AP565" s="178"/>
      <c r="AQ565" s="178"/>
      <c r="AR565" s="178"/>
      <c r="AS565" s="178"/>
      <c r="AT565" s="178"/>
      <c r="AU565" s="178"/>
      <c r="AV565" s="178"/>
      <c r="AW565" s="178"/>
      <c r="AX565" s="178"/>
      <c r="AY565" s="517"/>
      <c r="AZ565" s="131"/>
    </row>
    <row r="566" spans="1:52" ht="15.75" customHeight="1">
      <c r="A566" s="131"/>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c r="AJ566" s="178"/>
      <c r="AK566" s="178"/>
      <c r="AL566" s="178"/>
      <c r="AM566" s="178"/>
      <c r="AN566" s="178"/>
      <c r="AO566" s="178"/>
      <c r="AP566" s="178"/>
      <c r="AQ566" s="178"/>
      <c r="AR566" s="178"/>
      <c r="AS566" s="178"/>
      <c r="AT566" s="178"/>
      <c r="AU566" s="178"/>
      <c r="AV566" s="178"/>
      <c r="AW566" s="178"/>
      <c r="AX566" s="178"/>
      <c r="AY566" s="517"/>
      <c r="AZ566" s="131"/>
    </row>
    <row r="567" spans="1:52" ht="15.75" customHeight="1">
      <c r="A567" s="131"/>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c r="AJ567" s="178"/>
      <c r="AK567" s="178"/>
      <c r="AL567" s="178"/>
      <c r="AM567" s="178"/>
      <c r="AN567" s="178"/>
      <c r="AO567" s="178"/>
      <c r="AP567" s="178"/>
      <c r="AQ567" s="178"/>
      <c r="AR567" s="178"/>
      <c r="AS567" s="178"/>
      <c r="AT567" s="178"/>
      <c r="AU567" s="178"/>
      <c r="AV567" s="178"/>
      <c r="AW567" s="178"/>
      <c r="AX567" s="178"/>
      <c r="AY567" s="517"/>
      <c r="AZ567" s="131"/>
    </row>
    <row r="568" spans="1:52" ht="15.75" customHeight="1">
      <c r="A568" s="131"/>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c r="AH568" s="178"/>
      <c r="AI568" s="178"/>
      <c r="AJ568" s="178"/>
      <c r="AK568" s="178"/>
      <c r="AL568" s="178"/>
      <c r="AM568" s="178"/>
      <c r="AN568" s="178"/>
      <c r="AO568" s="178"/>
      <c r="AP568" s="178"/>
      <c r="AQ568" s="178"/>
      <c r="AR568" s="178"/>
      <c r="AS568" s="178"/>
      <c r="AT568" s="178"/>
      <c r="AU568" s="178"/>
      <c r="AV568" s="178"/>
      <c r="AW568" s="178"/>
      <c r="AX568" s="178"/>
      <c r="AY568" s="517"/>
      <c r="AZ568" s="131"/>
    </row>
    <row r="569" spans="1:52" ht="15.75" customHeight="1">
      <c r="A569" s="131"/>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c r="AH569" s="178"/>
      <c r="AI569" s="178"/>
      <c r="AJ569" s="178"/>
      <c r="AK569" s="178"/>
      <c r="AL569" s="178"/>
      <c r="AM569" s="178"/>
      <c r="AN569" s="178"/>
      <c r="AO569" s="178"/>
      <c r="AP569" s="178"/>
      <c r="AQ569" s="178"/>
      <c r="AR569" s="178"/>
      <c r="AS569" s="178"/>
      <c r="AT569" s="178"/>
      <c r="AU569" s="178"/>
      <c r="AV569" s="178"/>
      <c r="AW569" s="178"/>
      <c r="AX569" s="178"/>
      <c r="AY569" s="517"/>
      <c r="AZ569" s="131"/>
    </row>
    <row r="570" spans="1:52" ht="15.75" customHeight="1">
      <c r="A570" s="131"/>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c r="AJ570" s="178"/>
      <c r="AK570" s="178"/>
      <c r="AL570" s="178"/>
      <c r="AM570" s="178"/>
      <c r="AN570" s="178"/>
      <c r="AO570" s="178"/>
      <c r="AP570" s="178"/>
      <c r="AQ570" s="178"/>
      <c r="AR570" s="178"/>
      <c r="AS570" s="178"/>
      <c r="AT570" s="178"/>
      <c r="AU570" s="178"/>
      <c r="AV570" s="178"/>
      <c r="AW570" s="178"/>
      <c r="AX570" s="178"/>
      <c r="AY570" s="517"/>
      <c r="AZ570" s="131"/>
    </row>
    <row r="571" spans="1:52" ht="15.75" customHeight="1">
      <c r="A571" s="131"/>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c r="AJ571" s="178"/>
      <c r="AK571" s="178"/>
      <c r="AL571" s="178"/>
      <c r="AM571" s="178"/>
      <c r="AN571" s="178"/>
      <c r="AO571" s="178"/>
      <c r="AP571" s="178"/>
      <c r="AQ571" s="178"/>
      <c r="AR571" s="178"/>
      <c r="AS571" s="178"/>
      <c r="AT571" s="178"/>
      <c r="AU571" s="178"/>
      <c r="AV571" s="178"/>
      <c r="AW571" s="178"/>
      <c r="AX571" s="178"/>
      <c r="AY571" s="517"/>
      <c r="AZ571" s="131"/>
    </row>
    <row r="572" spans="1:52" ht="15.75" customHeight="1">
      <c r="A572" s="131"/>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c r="AH572" s="178"/>
      <c r="AI572" s="178"/>
      <c r="AJ572" s="178"/>
      <c r="AK572" s="178"/>
      <c r="AL572" s="178"/>
      <c r="AM572" s="178"/>
      <c r="AN572" s="178"/>
      <c r="AO572" s="178"/>
      <c r="AP572" s="178"/>
      <c r="AQ572" s="178"/>
      <c r="AR572" s="178"/>
      <c r="AS572" s="178"/>
      <c r="AT572" s="178"/>
      <c r="AU572" s="178"/>
      <c r="AV572" s="178"/>
      <c r="AW572" s="178"/>
      <c r="AX572" s="178"/>
      <c r="AY572" s="517"/>
      <c r="AZ572" s="131"/>
    </row>
    <row r="573" spans="1:52" ht="15.75" customHeight="1">
      <c r="A573" s="131"/>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c r="AH573" s="178"/>
      <c r="AI573" s="178"/>
      <c r="AJ573" s="178"/>
      <c r="AK573" s="178"/>
      <c r="AL573" s="178"/>
      <c r="AM573" s="178"/>
      <c r="AN573" s="178"/>
      <c r="AO573" s="178"/>
      <c r="AP573" s="178"/>
      <c r="AQ573" s="178"/>
      <c r="AR573" s="178"/>
      <c r="AS573" s="178"/>
      <c r="AT573" s="178"/>
      <c r="AU573" s="178"/>
      <c r="AV573" s="178"/>
      <c r="AW573" s="178"/>
      <c r="AX573" s="178"/>
      <c r="AY573" s="517"/>
      <c r="AZ573" s="131"/>
    </row>
    <row r="574" spans="1:52" ht="15.75" customHeight="1">
      <c r="A574" s="131"/>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c r="AH574" s="178"/>
      <c r="AI574" s="178"/>
      <c r="AJ574" s="178"/>
      <c r="AK574" s="178"/>
      <c r="AL574" s="178"/>
      <c r="AM574" s="178"/>
      <c r="AN574" s="178"/>
      <c r="AO574" s="178"/>
      <c r="AP574" s="178"/>
      <c r="AQ574" s="178"/>
      <c r="AR574" s="178"/>
      <c r="AS574" s="178"/>
      <c r="AT574" s="178"/>
      <c r="AU574" s="178"/>
      <c r="AV574" s="178"/>
      <c r="AW574" s="178"/>
      <c r="AX574" s="178"/>
      <c r="AY574" s="517"/>
      <c r="AZ574" s="131"/>
    </row>
    <row r="575" spans="1:52" ht="15.75" customHeight="1">
      <c r="A575" s="131"/>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c r="AH575" s="178"/>
      <c r="AI575" s="178"/>
      <c r="AJ575" s="178"/>
      <c r="AK575" s="178"/>
      <c r="AL575" s="178"/>
      <c r="AM575" s="178"/>
      <c r="AN575" s="178"/>
      <c r="AO575" s="178"/>
      <c r="AP575" s="178"/>
      <c r="AQ575" s="178"/>
      <c r="AR575" s="178"/>
      <c r="AS575" s="178"/>
      <c r="AT575" s="178"/>
      <c r="AU575" s="178"/>
      <c r="AV575" s="178"/>
      <c r="AW575" s="178"/>
      <c r="AX575" s="178"/>
      <c r="AY575" s="517"/>
      <c r="AZ575" s="131"/>
    </row>
    <row r="576" spans="1:52" ht="15.75" customHeight="1">
      <c r="A576" s="131"/>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c r="AJ576" s="178"/>
      <c r="AK576" s="178"/>
      <c r="AL576" s="178"/>
      <c r="AM576" s="178"/>
      <c r="AN576" s="178"/>
      <c r="AO576" s="178"/>
      <c r="AP576" s="178"/>
      <c r="AQ576" s="178"/>
      <c r="AR576" s="178"/>
      <c r="AS576" s="178"/>
      <c r="AT576" s="178"/>
      <c r="AU576" s="178"/>
      <c r="AV576" s="178"/>
      <c r="AW576" s="178"/>
      <c r="AX576" s="178"/>
      <c r="AY576" s="517"/>
      <c r="AZ576" s="131"/>
    </row>
    <row r="577" spans="1:52" ht="15.75" customHeight="1">
      <c r="A577" s="131"/>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c r="AH577" s="178"/>
      <c r="AI577" s="178"/>
      <c r="AJ577" s="178"/>
      <c r="AK577" s="178"/>
      <c r="AL577" s="178"/>
      <c r="AM577" s="178"/>
      <c r="AN577" s="178"/>
      <c r="AO577" s="178"/>
      <c r="AP577" s="178"/>
      <c r="AQ577" s="178"/>
      <c r="AR577" s="178"/>
      <c r="AS577" s="178"/>
      <c r="AT577" s="178"/>
      <c r="AU577" s="178"/>
      <c r="AV577" s="178"/>
      <c r="AW577" s="178"/>
      <c r="AX577" s="178"/>
      <c r="AY577" s="517"/>
      <c r="AZ577" s="131"/>
    </row>
    <row r="578" spans="1:52" ht="15.75" customHeight="1">
      <c r="A578" s="131"/>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c r="AH578" s="178"/>
      <c r="AI578" s="178"/>
      <c r="AJ578" s="178"/>
      <c r="AK578" s="178"/>
      <c r="AL578" s="178"/>
      <c r="AM578" s="178"/>
      <c r="AN578" s="178"/>
      <c r="AO578" s="178"/>
      <c r="AP578" s="178"/>
      <c r="AQ578" s="178"/>
      <c r="AR578" s="178"/>
      <c r="AS578" s="178"/>
      <c r="AT578" s="178"/>
      <c r="AU578" s="178"/>
      <c r="AV578" s="178"/>
      <c r="AW578" s="178"/>
      <c r="AX578" s="178"/>
      <c r="AY578" s="517"/>
      <c r="AZ578" s="131"/>
    </row>
    <row r="579" spans="1:52" ht="15.75" customHeight="1">
      <c r="A579" s="131"/>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c r="AJ579" s="178"/>
      <c r="AK579" s="178"/>
      <c r="AL579" s="178"/>
      <c r="AM579" s="178"/>
      <c r="AN579" s="178"/>
      <c r="AO579" s="178"/>
      <c r="AP579" s="178"/>
      <c r="AQ579" s="178"/>
      <c r="AR579" s="178"/>
      <c r="AS579" s="178"/>
      <c r="AT579" s="178"/>
      <c r="AU579" s="178"/>
      <c r="AV579" s="178"/>
      <c r="AW579" s="178"/>
      <c r="AX579" s="178"/>
      <c r="AY579" s="517"/>
      <c r="AZ579" s="131"/>
    </row>
    <row r="580" spans="1:52" ht="15.75" customHeight="1">
      <c r="A580" s="131"/>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c r="AJ580" s="178"/>
      <c r="AK580" s="178"/>
      <c r="AL580" s="178"/>
      <c r="AM580" s="178"/>
      <c r="AN580" s="178"/>
      <c r="AO580" s="178"/>
      <c r="AP580" s="178"/>
      <c r="AQ580" s="178"/>
      <c r="AR580" s="178"/>
      <c r="AS580" s="178"/>
      <c r="AT580" s="178"/>
      <c r="AU580" s="178"/>
      <c r="AV580" s="178"/>
      <c r="AW580" s="178"/>
      <c r="AX580" s="178"/>
      <c r="AY580" s="517"/>
      <c r="AZ580" s="131"/>
    </row>
    <row r="581" spans="1:52" ht="15.75" customHeight="1">
      <c r="A581" s="131"/>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c r="AH581" s="178"/>
      <c r="AI581" s="178"/>
      <c r="AJ581" s="178"/>
      <c r="AK581" s="178"/>
      <c r="AL581" s="178"/>
      <c r="AM581" s="178"/>
      <c r="AN581" s="178"/>
      <c r="AO581" s="178"/>
      <c r="AP581" s="178"/>
      <c r="AQ581" s="178"/>
      <c r="AR581" s="178"/>
      <c r="AS581" s="178"/>
      <c r="AT581" s="178"/>
      <c r="AU581" s="178"/>
      <c r="AV581" s="178"/>
      <c r="AW581" s="178"/>
      <c r="AX581" s="178"/>
      <c r="AY581" s="517"/>
      <c r="AZ581" s="131"/>
    </row>
    <row r="582" spans="1:52" ht="15.75" customHeight="1">
      <c r="A582" s="131"/>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c r="AH582" s="178"/>
      <c r="AI582" s="178"/>
      <c r="AJ582" s="178"/>
      <c r="AK582" s="178"/>
      <c r="AL582" s="178"/>
      <c r="AM582" s="178"/>
      <c r="AN582" s="178"/>
      <c r="AO582" s="178"/>
      <c r="AP582" s="178"/>
      <c r="AQ582" s="178"/>
      <c r="AR582" s="178"/>
      <c r="AS582" s="178"/>
      <c r="AT582" s="178"/>
      <c r="AU582" s="178"/>
      <c r="AV582" s="178"/>
      <c r="AW582" s="178"/>
      <c r="AX582" s="178"/>
      <c r="AY582" s="517"/>
      <c r="AZ582" s="131"/>
    </row>
    <row r="583" spans="1:52" ht="15.75" customHeight="1">
      <c r="A583" s="131"/>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c r="AH583" s="178"/>
      <c r="AI583" s="178"/>
      <c r="AJ583" s="178"/>
      <c r="AK583" s="178"/>
      <c r="AL583" s="178"/>
      <c r="AM583" s="178"/>
      <c r="AN583" s="178"/>
      <c r="AO583" s="178"/>
      <c r="AP583" s="178"/>
      <c r="AQ583" s="178"/>
      <c r="AR583" s="178"/>
      <c r="AS583" s="178"/>
      <c r="AT583" s="178"/>
      <c r="AU583" s="178"/>
      <c r="AV583" s="178"/>
      <c r="AW583" s="178"/>
      <c r="AX583" s="178"/>
      <c r="AY583" s="517"/>
      <c r="AZ583" s="131"/>
    </row>
    <row r="584" spans="1:52" ht="15.75" customHeight="1">
      <c r="A584" s="131"/>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c r="AH584" s="178"/>
      <c r="AI584" s="178"/>
      <c r="AJ584" s="178"/>
      <c r="AK584" s="178"/>
      <c r="AL584" s="178"/>
      <c r="AM584" s="178"/>
      <c r="AN584" s="178"/>
      <c r="AO584" s="178"/>
      <c r="AP584" s="178"/>
      <c r="AQ584" s="178"/>
      <c r="AR584" s="178"/>
      <c r="AS584" s="178"/>
      <c r="AT584" s="178"/>
      <c r="AU584" s="178"/>
      <c r="AV584" s="178"/>
      <c r="AW584" s="178"/>
      <c r="AX584" s="178"/>
      <c r="AY584" s="517"/>
      <c r="AZ584" s="131"/>
    </row>
    <row r="585" spans="1:52" ht="15.75" customHeight="1">
      <c r="A585" s="131"/>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c r="AJ585" s="178"/>
      <c r="AK585" s="178"/>
      <c r="AL585" s="178"/>
      <c r="AM585" s="178"/>
      <c r="AN585" s="178"/>
      <c r="AO585" s="178"/>
      <c r="AP585" s="178"/>
      <c r="AQ585" s="178"/>
      <c r="AR585" s="178"/>
      <c r="AS585" s="178"/>
      <c r="AT585" s="178"/>
      <c r="AU585" s="178"/>
      <c r="AV585" s="178"/>
      <c r="AW585" s="178"/>
      <c r="AX585" s="178"/>
      <c r="AY585" s="517"/>
      <c r="AZ585" s="131"/>
    </row>
    <row r="586" spans="1:52" ht="15.75" customHeight="1">
      <c r="A586" s="131"/>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c r="AH586" s="178"/>
      <c r="AI586" s="178"/>
      <c r="AJ586" s="178"/>
      <c r="AK586" s="178"/>
      <c r="AL586" s="178"/>
      <c r="AM586" s="178"/>
      <c r="AN586" s="178"/>
      <c r="AO586" s="178"/>
      <c r="AP586" s="178"/>
      <c r="AQ586" s="178"/>
      <c r="AR586" s="178"/>
      <c r="AS586" s="178"/>
      <c r="AT586" s="178"/>
      <c r="AU586" s="178"/>
      <c r="AV586" s="178"/>
      <c r="AW586" s="178"/>
      <c r="AX586" s="178"/>
      <c r="AY586" s="517"/>
      <c r="AZ586" s="131"/>
    </row>
    <row r="587" spans="1:52" ht="15.75" customHeight="1">
      <c r="A587" s="131"/>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c r="AH587" s="178"/>
      <c r="AI587" s="178"/>
      <c r="AJ587" s="178"/>
      <c r="AK587" s="178"/>
      <c r="AL587" s="178"/>
      <c r="AM587" s="178"/>
      <c r="AN587" s="178"/>
      <c r="AO587" s="178"/>
      <c r="AP587" s="178"/>
      <c r="AQ587" s="178"/>
      <c r="AR587" s="178"/>
      <c r="AS587" s="178"/>
      <c r="AT587" s="178"/>
      <c r="AU587" s="178"/>
      <c r="AV587" s="178"/>
      <c r="AW587" s="178"/>
      <c r="AX587" s="178"/>
      <c r="AY587" s="517"/>
      <c r="AZ587" s="131"/>
    </row>
    <row r="588" spans="1:52" ht="15.75" customHeight="1">
      <c r="A588" s="131"/>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c r="AJ588" s="178"/>
      <c r="AK588" s="178"/>
      <c r="AL588" s="178"/>
      <c r="AM588" s="178"/>
      <c r="AN588" s="178"/>
      <c r="AO588" s="178"/>
      <c r="AP588" s="178"/>
      <c r="AQ588" s="178"/>
      <c r="AR588" s="178"/>
      <c r="AS588" s="178"/>
      <c r="AT588" s="178"/>
      <c r="AU588" s="178"/>
      <c r="AV588" s="178"/>
      <c r="AW588" s="178"/>
      <c r="AX588" s="178"/>
      <c r="AY588" s="517"/>
      <c r="AZ588" s="131"/>
    </row>
    <row r="589" spans="1:52" ht="15.75" customHeight="1">
      <c r="A589" s="131"/>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c r="AJ589" s="178"/>
      <c r="AK589" s="178"/>
      <c r="AL589" s="178"/>
      <c r="AM589" s="178"/>
      <c r="AN589" s="178"/>
      <c r="AO589" s="178"/>
      <c r="AP589" s="178"/>
      <c r="AQ589" s="178"/>
      <c r="AR589" s="178"/>
      <c r="AS589" s="178"/>
      <c r="AT589" s="178"/>
      <c r="AU589" s="178"/>
      <c r="AV589" s="178"/>
      <c r="AW589" s="178"/>
      <c r="AX589" s="178"/>
      <c r="AY589" s="517"/>
      <c r="AZ589" s="131"/>
    </row>
    <row r="590" spans="1:52" ht="15.75" customHeight="1">
      <c r="A590" s="131"/>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c r="AH590" s="178"/>
      <c r="AI590" s="178"/>
      <c r="AJ590" s="178"/>
      <c r="AK590" s="178"/>
      <c r="AL590" s="178"/>
      <c r="AM590" s="178"/>
      <c r="AN590" s="178"/>
      <c r="AO590" s="178"/>
      <c r="AP590" s="178"/>
      <c r="AQ590" s="178"/>
      <c r="AR590" s="178"/>
      <c r="AS590" s="178"/>
      <c r="AT590" s="178"/>
      <c r="AU590" s="178"/>
      <c r="AV590" s="178"/>
      <c r="AW590" s="178"/>
      <c r="AX590" s="178"/>
      <c r="AY590" s="517"/>
      <c r="AZ590" s="131"/>
    </row>
    <row r="591" spans="1:52" ht="15.75" customHeight="1">
      <c r="A591" s="131"/>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c r="AH591" s="178"/>
      <c r="AI591" s="178"/>
      <c r="AJ591" s="178"/>
      <c r="AK591" s="178"/>
      <c r="AL591" s="178"/>
      <c r="AM591" s="178"/>
      <c r="AN591" s="178"/>
      <c r="AO591" s="178"/>
      <c r="AP591" s="178"/>
      <c r="AQ591" s="178"/>
      <c r="AR591" s="178"/>
      <c r="AS591" s="178"/>
      <c r="AT591" s="178"/>
      <c r="AU591" s="178"/>
      <c r="AV591" s="178"/>
      <c r="AW591" s="178"/>
      <c r="AX591" s="178"/>
      <c r="AY591" s="517"/>
      <c r="AZ591" s="131"/>
    </row>
    <row r="592" spans="1:52" ht="15.75" customHeight="1">
      <c r="A592" s="131"/>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c r="AH592" s="178"/>
      <c r="AI592" s="178"/>
      <c r="AJ592" s="178"/>
      <c r="AK592" s="178"/>
      <c r="AL592" s="178"/>
      <c r="AM592" s="178"/>
      <c r="AN592" s="178"/>
      <c r="AO592" s="178"/>
      <c r="AP592" s="178"/>
      <c r="AQ592" s="178"/>
      <c r="AR592" s="178"/>
      <c r="AS592" s="178"/>
      <c r="AT592" s="178"/>
      <c r="AU592" s="178"/>
      <c r="AV592" s="178"/>
      <c r="AW592" s="178"/>
      <c r="AX592" s="178"/>
      <c r="AY592" s="517"/>
      <c r="AZ592" s="131"/>
    </row>
    <row r="593" spans="1:52" ht="15.75" customHeight="1">
      <c r="A593" s="131"/>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c r="AH593" s="178"/>
      <c r="AI593" s="178"/>
      <c r="AJ593" s="178"/>
      <c r="AK593" s="178"/>
      <c r="AL593" s="178"/>
      <c r="AM593" s="178"/>
      <c r="AN593" s="178"/>
      <c r="AO593" s="178"/>
      <c r="AP593" s="178"/>
      <c r="AQ593" s="178"/>
      <c r="AR593" s="178"/>
      <c r="AS593" s="178"/>
      <c r="AT593" s="178"/>
      <c r="AU593" s="178"/>
      <c r="AV593" s="178"/>
      <c r="AW593" s="178"/>
      <c r="AX593" s="178"/>
      <c r="AY593" s="517"/>
      <c r="AZ593" s="131"/>
    </row>
    <row r="594" spans="1:52" ht="15.75" customHeight="1">
      <c r="A594" s="131"/>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c r="AJ594" s="178"/>
      <c r="AK594" s="178"/>
      <c r="AL594" s="178"/>
      <c r="AM594" s="178"/>
      <c r="AN594" s="178"/>
      <c r="AO594" s="178"/>
      <c r="AP594" s="178"/>
      <c r="AQ594" s="178"/>
      <c r="AR594" s="178"/>
      <c r="AS594" s="178"/>
      <c r="AT594" s="178"/>
      <c r="AU594" s="178"/>
      <c r="AV594" s="178"/>
      <c r="AW594" s="178"/>
      <c r="AX594" s="178"/>
      <c r="AY594" s="517"/>
      <c r="AZ594" s="131"/>
    </row>
    <row r="595" spans="1:52" ht="15.75" customHeight="1">
      <c r="A595" s="131"/>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c r="AH595" s="178"/>
      <c r="AI595" s="178"/>
      <c r="AJ595" s="178"/>
      <c r="AK595" s="178"/>
      <c r="AL595" s="178"/>
      <c r="AM595" s="178"/>
      <c r="AN595" s="178"/>
      <c r="AO595" s="178"/>
      <c r="AP595" s="178"/>
      <c r="AQ595" s="178"/>
      <c r="AR595" s="178"/>
      <c r="AS595" s="178"/>
      <c r="AT595" s="178"/>
      <c r="AU595" s="178"/>
      <c r="AV595" s="178"/>
      <c r="AW595" s="178"/>
      <c r="AX595" s="178"/>
      <c r="AY595" s="517"/>
      <c r="AZ595" s="131"/>
    </row>
    <row r="596" spans="1:52" ht="15.75" customHeight="1">
      <c r="A596" s="131"/>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c r="AH596" s="178"/>
      <c r="AI596" s="178"/>
      <c r="AJ596" s="178"/>
      <c r="AK596" s="178"/>
      <c r="AL596" s="178"/>
      <c r="AM596" s="178"/>
      <c r="AN596" s="178"/>
      <c r="AO596" s="178"/>
      <c r="AP596" s="178"/>
      <c r="AQ596" s="178"/>
      <c r="AR596" s="178"/>
      <c r="AS596" s="178"/>
      <c r="AT596" s="178"/>
      <c r="AU596" s="178"/>
      <c r="AV596" s="178"/>
      <c r="AW596" s="178"/>
      <c r="AX596" s="178"/>
      <c r="AY596" s="517"/>
      <c r="AZ596" s="131"/>
    </row>
    <row r="597" spans="1:52" ht="15.75" customHeight="1">
      <c r="A597" s="131"/>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c r="AJ597" s="178"/>
      <c r="AK597" s="178"/>
      <c r="AL597" s="178"/>
      <c r="AM597" s="178"/>
      <c r="AN597" s="178"/>
      <c r="AO597" s="178"/>
      <c r="AP597" s="178"/>
      <c r="AQ597" s="178"/>
      <c r="AR597" s="178"/>
      <c r="AS597" s="178"/>
      <c r="AT597" s="178"/>
      <c r="AU597" s="178"/>
      <c r="AV597" s="178"/>
      <c r="AW597" s="178"/>
      <c r="AX597" s="178"/>
      <c r="AY597" s="517"/>
      <c r="AZ597" s="131"/>
    </row>
    <row r="598" spans="1:52" ht="15.75" customHeight="1">
      <c r="A598" s="131"/>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c r="AJ598" s="178"/>
      <c r="AK598" s="178"/>
      <c r="AL598" s="178"/>
      <c r="AM598" s="178"/>
      <c r="AN598" s="178"/>
      <c r="AO598" s="178"/>
      <c r="AP598" s="178"/>
      <c r="AQ598" s="178"/>
      <c r="AR598" s="178"/>
      <c r="AS598" s="178"/>
      <c r="AT598" s="178"/>
      <c r="AU598" s="178"/>
      <c r="AV598" s="178"/>
      <c r="AW598" s="178"/>
      <c r="AX598" s="178"/>
      <c r="AY598" s="517"/>
      <c r="AZ598" s="131"/>
    </row>
    <row r="599" spans="1:52" ht="15.75" customHeight="1">
      <c r="A599" s="131"/>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c r="AH599" s="178"/>
      <c r="AI599" s="178"/>
      <c r="AJ599" s="178"/>
      <c r="AK599" s="178"/>
      <c r="AL599" s="178"/>
      <c r="AM599" s="178"/>
      <c r="AN599" s="178"/>
      <c r="AO599" s="178"/>
      <c r="AP599" s="178"/>
      <c r="AQ599" s="178"/>
      <c r="AR599" s="178"/>
      <c r="AS599" s="178"/>
      <c r="AT599" s="178"/>
      <c r="AU599" s="178"/>
      <c r="AV599" s="178"/>
      <c r="AW599" s="178"/>
      <c r="AX599" s="178"/>
      <c r="AY599" s="517"/>
      <c r="AZ599" s="131"/>
    </row>
    <row r="600" spans="1:52" ht="15.75" customHeight="1">
      <c r="A600" s="131"/>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c r="AH600" s="178"/>
      <c r="AI600" s="178"/>
      <c r="AJ600" s="178"/>
      <c r="AK600" s="178"/>
      <c r="AL600" s="178"/>
      <c r="AM600" s="178"/>
      <c r="AN600" s="178"/>
      <c r="AO600" s="178"/>
      <c r="AP600" s="178"/>
      <c r="AQ600" s="178"/>
      <c r="AR600" s="178"/>
      <c r="AS600" s="178"/>
      <c r="AT600" s="178"/>
      <c r="AU600" s="178"/>
      <c r="AV600" s="178"/>
      <c r="AW600" s="178"/>
      <c r="AX600" s="178"/>
      <c r="AY600" s="517"/>
      <c r="AZ600" s="131"/>
    </row>
    <row r="601" spans="1:52" ht="15.75" customHeight="1">
      <c r="A601" s="131"/>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c r="AH601" s="178"/>
      <c r="AI601" s="178"/>
      <c r="AJ601" s="178"/>
      <c r="AK601" s="178"/>
      <c r="AL601" s="178"/>
      <c r="AM601" s="178"/>
      <c r="AN601" s="178"/>
      <c r="AO601" s="178"/>
      <c r="AP601" s="178"/>
      <c r="AQ601" s="178"/>
      <c r="AR601" s="178"/>
      <c r="AS601" s="178"/>
      <c r="AT601" s="178"/>
      <c r="AU601" s="178"/>
      <c r="AV601" s="178"/>
      <c r="AW601" s="178"/>
      <c r="AX601" s="178"/>
      <c r="AY601" s="517"/>
      <c r="AZ601" s="131"/>
    </row>
    <row r="602" spans="1:52" ht="15.75" customHeight="1">
      <c r="A602" s="131"/>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c r="AH602" s="178"/>
      <c r="AI602" s="178"/>
      <c r="AJ602" s="178"/>
      <c r="AK602" s="178"/>
      <c r="AL602" s="178"/>
      <c r="AM602" s="178"/>
      <c r="AN602" s="178"/>
      <c r="AO602" s="178"/>
      <c r="AP602" s="178"/>
      <c r="AQ602" s="178"/>
      <c r="AR602" s="178"/>
      <c r="AS602" s="178"/>
      <c r="AT602" s="178"/>
      <c r="AU602" s="178"/>
      <c r="AV602" s="178"/>
      <c r="AW602" s="178"/>
      <c r="AX602" s="178"/>
      <c r="AY602" s="517"/>
      <c r="AZ602" s="131"/>
    </row>
    <row r="603" spans="1:52" ht="15.75" customHeight="1">
      <c r="A603" s="131"/>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c r="AJ603" s="178"/>
      <c r="AK603" s="178"/>
      <c r="AL603" s="178"/>
      <c r="AM603" s="178"/>
      <c r="AN603" s="178"/>
      <c r="AO603" s="178"/>
      <c r="AP603" s="178"/>
      <c r="AQ603" s="178"/>
      <c r="AR603" s="178"/>
      <c r="AS603" s="178"/>
      <c r="AT603" s="178"/>
      <c r="AU603" s="178"/>
      <c r="AV603" s="178"/>
      <c r="AW603" s="178"/>
      <c r="AX603" s="178"/>
      <c r="AY603" s="517"/>
      <c r="AZ603" s="131"/>
    </row>
    <row r="604" spans="1:52" ht="15.75" customHeight="1">
      <c r="A604" s="131"/>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c r="AH604" s="178"/>
      <c r="AI604" s="178"/>
      <c r="AJ604" s="178"/>
      <c r="AK604" s="178"/>
      <c r="AL604" s="178"/>
      <c r="AM604" s="178"/>
      <c r="AN604" s="178"/>
      <c r="AO604" s="178"/>
      <c r="AP604" s="178"/>
      <c r="AQ604" s="178"/>
      <c r="AR604" s="178"/>
      <c r="AS604" s="178"/>
      <c r="AT604" s="178"/>
      <c r="AU604" s="178"/>
      <c r="AV604" s="178"/>
      <c r="AW604" s="178"/>
      <c r="AX604" s="178"/>
      <c r="AY604" s="517"/>
      <c r="AZ604" s="131"/>
    </row>
    <row r="605" spans="1:52" ht="15.75" customHeight="1">
      <c r="A605" s="131"/>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c r="AH605" s="178"/>
      <c r="AI605" s="178"/>
      <c r="AJ605" s="178"/>
      <c r="AK605" s="178"/>
      <c r="AL605" s="178"/>
      <c r="AM605" s="178"/>
      <c r="AN605" s="178"/>
      <c r="AO605" s="178"/>
      <c r="AP605" s="178"/>
      <c r="AQ605" s="178"/>
      <c r="AR605" s="178"/>
      <c r="AS605" s="178"/>
      <c r="AT605" s="178"/>
      <c r="AU605" s="178"/>
      <c r="AV605" s="178"/>
      <c r="AW605" s="178"/>
      <c r="AX605" s="178"/>
      <c r="AY605" s="517"/>
      <c r="AZ605" s="131"/>
    </row>
    <row r="606" spans="1:52" ht="15.75" customHeight="1">
      <c r="A606" s="131"/>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c r="AJ606" s="178"/>
      <c r="AK606" s="178"/>
      <c r="AL606" s="178"/>
      <c r="AM606" s="178"/>
      <c r="AN606" s="178"/>
      <c r="AO606" s="178"/>
      <c r="AP606" s="178"/>
      <c r="AQ606" s="178"/>
      <c r="AR606" s="178"/>
      <c r="AS606" s="178"/>
      <c r="AT606" s="178"/>
      <c r="AU606" s="178"/>
      <c r="AV606" s="178"/>
      <c r="AW606" s="178"/>
      <c r="AX606" s="178"/>
      <c r="AY606" s="517"/>
      <c r="AZ606" s="131"/>
    </row>
    <row r="607" spans="1:52" ht="15.75" customHeight="1">
      <c r="A607" s="131"/>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c r="AJ607" s="178"/>
      <c r="AK607" s="178"/>
      <c r="AL607" s="178"/>
      <c r="AM607" s="178"/>
      <c r="AN607" s="178"/>
      <c r="AO607" s="178"/>
      <c r="AP607" s="178"/>
      <c r="AQ607" s="178"/>
      <c r="AR607" s="178"/>
      <c r="AS607" s="178"/>
      <c r="AT607" s="178"/>
      <c r="AU607" s="178"/>
      <c r="AV607" s="178"/>
      <c r="AW607" s="178"/>
      <c r="AX607" s="178"/>
      <c r="AY607" s="517"/>
      <c r="AZ607" s="131"/>
    </row>
    <row r="608" spans="1:52" ht="15.75" customHeight="1">
      <c r="A608" s="131"/>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c r="AH608" s="178"/>
      <c r="AI608" s="178"/>
      <c r="AJ608" s="178"/>
      <c r="AK608" s="178"/>
      <c r="AL608" s="178"/>
      <c r="AM608" s="178"/>
      <c r="AN608" s="178"/>
      <c r="AO608" s="178"/>
      <c r="AP608" s="178"/>
      <c r="AQ608" s="178"/>
      <c r="AR608" s="178"/>
      <c r="AS608" s="178"/>
      <c r="AT608" s="178"/>
      <c r="AU608" s="178"/>
      <c r="AV608" s="178"/>
      <c r="AW608" s="178"/>
      <c r="AX608" s="178"/>
      <c r="AY608" s="517"/>
      <c r="AZ608" s="131"/>
    </row>
    <row r="609" spans="1:52" ht="15.75" customHeight="1">
      <c r="A609" s="131"/>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c r="AH609" s="178"/>
      <c r="AI609" s="178"/>
      <c r="AJ609" s="178"/>
      <c r="AK609" s="178"/>
      <c r="AL609" s="178"/>
      <c r="AM609" s="178"/>
      <c r="AN609" s="178"/>
      <c r="AO609" s="178"/>
      <c r="AP609" s="178"/>
      <c r="AQ609" s="178"/>
      <c r="AR609" s="178"/>
      <c r="AS609" s="178"/>
      <c r="AT609" s="178"/>
      <c r="AU609" s="178"/>
      <c r="AV609" s="178"/>
      <c r="AW609" s="178"/>
      <c r="AX609" s="178"/>
      <c r="AY609" s="517"/>
      <c r="AZ609" s="131"/>
    </row>
    <row r="610" spans="1:52" ht="15.75" customHeight="1">
      <c r="A610" s="131"/>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c r="AH610" s="178"/>
      <c r="AI610" s="178"/>
      <c r="AJ610" s="178"/>
      <c r="AK610" s="178"/>
      <c r="AL610" s="178"/>
      <c r="AM610" s="178"/>
      <c r="AN610" s="178"/>
      <c r="AO610" s="178"/>
      <c r="AP610" s="178"/>
      <c r="AQ610" s="178"/>
      <c r="AR610" s="178"/>
      <c r="AS610" s="178"/>
      <c r="AT610" s="178"/>
      <c r="AU610" s="178"/>
      <c r="AV610" s="178"/>
      <c r="AW610" s="178"/>
      <c r="AX610" s="178"/>
      <c r="AY610" s="517"/>
      <c r="AZ610" s="131"/>
    </row>
    <row r="611" spans="1:52" ht="15.75" customHeight="1">
      <c r="A611" s="131"/>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c r="AJ611" s="178"/>
      <c r="AK611" s="178"/>
      <c r="AL611" s="178"/>
      <c r="AM611" s="178"/>
      <c r="AN611" s="178"/>
      <c r="AO611" s="178"/>
      <c r="AP611" s="178"/>
      <c r="AQ611" s="178"/>
      <c r="AR611" s="178"/>
      <c r="AS611" s="178"/>
      <c r="AT611" s="178"/>
      <c r="AU611" s="178"/>
      <c r="AV611" s="178"/>
      <c r="AW611" s="178"/>
      <c r="AX611" s="178"/>
      <c r="AY611" s="517"/>
      <c r="AZ611" s="131"/>
    </row>
    <row r="612" spans="1:52" ht="15.75" customHeight="1">
      <c r="A612" s="131"/>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c r="AH612" s="178"/>
      <c r="AI612" s="178"/>
      <c r="AJ612" s="178"/>
      <c r="AK612" s="178"/>
      <c r="AL612" s="178"/>
      <c r="AM612" s="178"/>
      <c r="AN612" s="178"/>
      <c r="AO612" s="178"/>
      <c r="AP612" s="178"/>
      <c r="AQ612" s="178"/>
      <c r="AR612" s="178"/>
      <c r="AS612" s="178"/>
      <c r="AT612" s="178"/>
      <c r="AU612" s="178"/>
      <c r="AV612" s="178"/>
      <c r="AW612" s="178"/>
      <c r="AX612" s="178"/>
      <c r="AY612" s="517"/>
      <c r="AZ612" s="131"/>
    </row>
    <row r="613" spans="1:52" ht="15.75" customHeight="1">
      <c r="A613" s="131"/>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c r="AH613" s="178"/>
      <c r="AI613" s="178"/>
      <c r="AJ613" s="178"/>
      <c r="AK613" s="178"/>
      <c r="AL613" s="178"/>
      <c r="AM613" s="178"/>
      <c r="AN613" s="178"/>
      <c r="AO613" s="178"/>
      <c r="AP613" s="178"/>
      <c r="AQ613" s="178"/>
      <c r="AR613" s="178"/>
      <c r="AS613" s="178"/>
      <c r="AT613" s="178"/>
      <c r="AU613" s="178"/>
      <c r="AV613" s="178"/>
      <c r="AW613" s="178"/>
      <c r="AX613" s="178"/>
      <c r="AY613" s="517"/>
      <c r="AZ613" s="131"/>
    </row>
    <row r="614" spans="1:52" ht="15.75" customHeight="1">
      <c r="A614" s="131"/>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c r="AJ614" s="178"/>
      <c r="AK614" s="178"/>
      <c r="AL614" s="178"/>
      <c r="AM614" s="178"/>
      <c r="AN614" s="178"/>
      <c r="AO614" s="178"/>
      <c r="AP614" s="178"/>
      <c r="AQ614" s="178"/>
      <c r="AR614" s="178"/>
      <c r="AS614" s="178"/>
      <c r="AT614" s="178"/>
      <c r="AU614" s="178"/>
      <c r="AV614" s="178"/>
      <c r="AW614" s="178"/>
      <c r="AX614" s="178"/>
      <c r="AY614" s="517"/>
      <c r="AZ614" s="131"/>
    </row>
    <row r="615" spans="1:52" ht="15.75" customHeight="1">
      <c r="A615" s="131"/>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c r="AJ615" s="178"/>
      <c r="AK615" s="178"/>
      <c r="AL615" s="178"/>
      <c r="AM615" s="178"/>
      <c r="AN615" s="178"/>
      <c r="AO615" s="178"/>
      <c r="AP615" s="178"/>
      <c r="AQ615" s="178"/>
      <c r="AR615" s="178"/>
      <c r="AS615" s="178"/>
      <c r="AT615" s="178"/>
      <c r="AU615" s="178"/>
      <c r="AV615" s="178"/>
      <c r="AW615" s="178"/>
      <c r="AX615" s="178"/>
      <c r="AY615" s="517"/>
      <c r="AZ615" s="131"/>
    </row>
    <row r="616" spans="1:52" ht="15.75" customHeight="1">
      <c r="A616" s="131"/>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c r="AH616" s="178"/>
      <c r="AI616" s="178"/>
      <c r="AJ616" s="178"/>
      <c r="AK616" s="178"/>
      <c r="AL616" s="178"/>
      <c r="AM616" s="178"/>
      <c r="AN616" s="178"/>
      <c r="AO616" s="178"/>
      <c r="AP616" s="178"/>
      <c r="AQ616" s="178"/>
      <c r="AR616" s="178"/>
      <c r="AS616" s="178"/>
      <c r="AT616" s="178"/>
      <c r="AU616" s="178"/>
      <c r="AV616" s="178"/>
      <c r="AW616" s="178"/>
      <c r="AX616" s="178"/>
      <c r="AY616" s="517"/>
      <c r="AZ616" s="131"/>
    </row>
    <row r="617" spans="1:52" ht="15.75" customHeight="1">
      <c r="A617" s="131"/>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c r="AH617" s="178"/>
      <c r="AI617" s="178"/>
      <c r="AJ617" s="178"/>
      <c r="AK617" s="178"/>
      <c r="AL617" s="178"/>
      <c r="AM617" s="178"/>
      <c r="AN617" s="178"/>
      <c r="AO617" s="178"/>
      <c r="AP617" s="178"/>
      <c r="AQ617" s="178"/>
      <c r="AR617" s="178"/>
      <c r="AS617" s="178"/>
      <c r="AT617" s="178"/>
      <c r="AU617" s="178"/>
      <c r="AV617" s="178"/>
      <c r="AW617" s="178"/>
      <c r="AX617" s="178"/>
      <c r="AY617" s="517"/>
      <c r="AZ617" s="131"/>
    </row>
    <row r="618" spans="1:52" ht="15.75" customHeight="1">
      <c r="A618" s="131"/>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c r="AH618" s="178"/>
      <c r="AI618" s="178"/>
      <c r="AJ618" s="178"/>
      <c r="AK618" s="178"/>
      <c r="AL618" s="178"/>
      <c r="AM618" s="178"/>
      <c r="AN618" s="178"/>
      <c r="AO618" s="178"/>
      <c r="AP618" s="178"/>
      <c r="AQ618" s="178"/>
      <c r="AR618" s="178"/>
      <c r="AS618" s="178"/>
      <c r="AT618" s="178"/>
      <c r="AU618" s="178"/>
      <c r="AV618" s="178"/>
      <c r="AW618" s="178"/>
      <c r="AX618" s="178"/>
      <c r="AY618" s="517"/>
      <c r="AZ618" s="131"/>
    </row>
    <row r="619" spans="1:52" ht="15.75" customHeight="1">
      <c r="A619" s="131"/>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c r="AH619" s="178"/>
      <c r="AI619" s="178"/>
      <c r="AJ619" s="178"/>
      <c r="AK619" s="178"/>
      <c r="AL619" s="178"/>
      <c r="AM619" s="178"/>
      <c r="AN619" s="178"/>
      <c r="AO619" s="178"/>
      <c r="AP619" s="178"/>
      <c r="AQ619" s="178"/>
      <c r="AR619" s="178"/>
      <c r="AS619" s="178"/>
      <c r="AT619" s="178"/>
      <c r="AU619" s="178"/>
      <c r="AV619" s="178"/>
      <c r="AW619" s="178"/>
      <c r="AX619" s="178"/>
      <c r="AY619" s="517"/>
      <c r="AZ619" s="131"/>
    </row>
    <row r="620" spans="1:52" ht="15.75" customHeight="1">
      <c r="A620" s="131"/>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c r="AH620" s="178"/>
      <c r="AI620" s="178"/>
      <c r="AJ620" s="178"/>
      <c r="AK620" s="178"/>
      <c r="AL620" s="178"/>
      <c r="AM620" s="178"/>
      <c r="AN620" s="178"/>
      <c r="AO620" s="178"/>
      <c r="AP620" s="178"/>
      <c r="AQ620" s="178"/>
      <c r="AR620" s="178"/>
      <c r="AS620" s="178"/>
      <c r="AT620" s="178"/>
      <c r="AU620" s="178"/>
      <c r="AV620" s="178"/>
      <c r="AW620" s="178"/>
      <c r="AX620" s="178"/>
      <c r="AY620" s="517"/>
      <c r="AZ620" s="131"/>
    </row>
    <row r="621" spans="1:52" ht="15.75" customHeight="1">
      <c r="A621" s="131"/>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c r="AH621" s="178"/>
      <c r="AI621" s="178"/>
      <c r="AJ621" s="178"/>
      <c r="AK621" s="178"/>
      <c r="AL621" s="178"/>
      <c r="AM621" s="178"/>
      <c r="AN621" s="178"/>
      <c r="AO621" s="178"/>
      <c r="AP621" s="178"/>
      <c r="AQ621" s="178"/>
      <c r="AR621" s="178"/>
      <c r="AS621" s="178"/>
      <c r="AT621" s="178"/>
      <c r="AU621" s="178"/>
      <c r="AV621" s="178"/>
      <c r="AW621" s="178"/>
      <c r="AX621" s="178"/>
      <c r="AY621" s="517"/>
      <c r="AZ621" s="131"/>
    </row>
    <row r="622" spans="1:52" ht="15.75" customHeight="1">
      <c r="A622" s="131"/>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c r="AH622" s="178"/>
      <c r="AI622" s="178"/>
      <c r="AJ622" s="178"/>
      <c r="AK622" s="178"/>
      <c r="AL622" s="178"/>
      <c r="AM622" s="178"/>
      <c r="AN622" s="178"/>
      <c r="AO622" s="178"/>
      <c r="AP622" s="178"/>
      <c r="AQ622" s="178"/>
      <c r="AR622" s="178"/>
      <c r="AS622" s="178"/>
      <c r="AT622" s="178"/>
      <c r="AU622" s="178"/>
      <c r="AV622" s="178"/>
      <c r="AW622" s="178"/>
      <c r="AX622" s="178"/>
      <c r="AY622" s="517"/>
      <c r="AZ622" s="131"/>
    </row>
    <row r="623" spans="1:52" ht="15.75" customHeight="1">
      <c r="A623" s="131"/>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c r="AJ623" s="178"/>
      <c r="AK623" s="178"/>
      <c r="AL623" s="178"/>
      <c r="AM623" s="178"/>
      <c r="AN623" s="178"/>
      <c r="AO623" s="178"/>
      <c r="AP623" s="178"/>
      <c r="AQ623" s="178"/>
      <c r="AR623" s="178"/>
      <c r="AS623" s="178"/>
      <c r="AT623" s="178"/>
      <c r="AU623" s="178"/>
      <c r="AV623" s="178"/>
      <c r="AW623" s="178"/>
      <c r="AX623" s="178"/>
      <c r="AY623" s="517"/>
      <c r="AZ623" s="131"/>
    </row>
    <row r="624" spans="1:52" ht="15.75" customHeight="1">
      <c r="A624" s="131"/>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c r="AJ624" s="178"/>
      <c r="AK624" s="178"/>
      <c r="AL624" s="178"/>
      <c r="AM624" s="178"/>
      <c r="AN624" s="178"/>
      <c r="AO624" s="178"/>
      <c r="AP624" s="178"/>
      <c r="AQ624" s="178"/>
      <c r="AR624" s="178"/>
      <c r="AS624" s="178"/>
      <c r="AT624" s="178"/>
      <c r="AU624" s="178"/>
      <c r="AV624" s="178"/>
      <c r="AW624" s="178"/>
      <c r="AX624" s="178"/>
      <c r="AY624" s="517"/>
      <c r="AZ624" s="131"/>
    </row>
    <row r="625" spans="1:52" ht="15.75" customHeight="1">
      <c r="A625" s="131"/>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c r="AJ625" s="178"/>
      <c r="AK625" s="178"/>
      <c r="AL625" s="178"/>
      <c r="AM625" s="178"/>
      <c r="AN625" s="178"/>
      <c r="AO625" s="178"/>
      <c r="AP625" s="178"/>
      <c r="AQ625" s="178"/>
      <c r="AR625" s="178"/>
      <c r="AS625" s="178"/>
      <c r="AT625" s="178"/>
      <c r="AU625" s="178"/>
      <c r="AV625" s="178"/>
      <c r="AW625" s="178"/>
      <c r="AX625" s="178"/>
      <c r="AY625" s="517"/>
      <c r="AZ625" s="131"/>
    </row>
    <row r="626" spans="1:52" ht="15.75" customHeight="1">
      <c r="A626" s="131"/>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c r="AJ626" s="178"/>
      <c r="AK626" s="178"/>
      <c r="AL626" s="178"/>
      <c r="AM626" s="178"/>
      <c r="AN626" s="178"/>
      <c r="AO626" s="178"/>
      <c r="AP626" s="178"/>
      <c r="AQ626" s="178"/>
      <c r="AR626" s="178"/>
      <c r="AS626" s="178"/>
      <c r="AT626" s="178"/>
      <c r="AU626" s="178"/>
      <c r="AV626" s="178"/>
      <c r="AW626" s="178"/>
      <c r="AX626" s="178"/>
      <c r="AY626" s="517"/>
      <c r="AZ626" s="131"/>
    </row>
    <row r="627" spans="1:52" ht="15.75" customHeight="1">
      <c r="A627" s="131"/>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c r="AH627" s="178"/>
      <c r="AI627" s="178"/>
      <c r="AJ627" s="178"/>
      <c r="AK627" s="178"/>
      <c r="AL627" s="178"/>
      <c r="AM627" s="178"/>
      <c r="AN627" s="178"/>
      <c r="AO627" s="178"/>
      <c r="AP627" s="178"/>
      <c r="AQ627" s="178"/>
      <c r="AR627" s="178"/>
      <c r="AS627" s="178"/>
      <c r="AT627" s="178"/>
      <c r="AU627" s="178"/>
      <c r="AV627" s="178"/>
      <c r="AW627" s="178"/>
      <c r="AX627" s="178"/>
      <c r="AY627" s="517"/>
      <c r="AZ627" s="131"/>
    </row>
    <row r="628" spans="1:52" ht="15.75" customHeight="1">
      <c r="A628" s="131"/>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c r="AH628" s="178"/>
      <c r="AI628" s="178"/>
      <c r="AJ628" s="178"/>
      <c r="AK628" s="178"/>
      <c r="AL628" s="178"/>
      <c r="AM628" s="178"/>
      <c r="AN628" s="178"/>
      <c r="AO628" s="178"/>
      <c r="AP628" s="178"/>
      <c r="AQ628" s="178"/>
      <c r="AR628" s="178"/>
      <c r="AS628" s="178"/>
      <c r="AT628" s="178"/>
      <c r="AU628" s="178"/>
      <c r="AV628" s="178"/>
      <c r="AW628" s="178"/>
      <c r="AX628" s="178"/>
      <c r="AY628" s="517"/>
      <c r="AZ628" s="131"/>
    </row>
    <row r="629" spans="1:52" ht="15.75" customHeight="1">
      <c r="A629" s="131"/>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c r="AH629" s="178"/>
      <c r="AI629" s="178"/>
      <c r="AJ629" s="178"/>
      <c r="AK629" s="178"/>
      <c r="AL629" s="178"/>
      <c r="AM629" s="178"/>
      <c r="AN629" s="178"/>
      <c r="AO629" s="178"/>
      <c r="AP629" s="178"/>
      <c r="AQ629" s="178"/>
      <c r="AR629" s="178"/>
      <c r="AS629" s="178"/>
      <c r="AT629" s="178"/>
      <c r="AU629" s="178"/>
      <c r="AV629" s="178"/>
      <c r="AW629" s="178"/>
      <c r="AX629" s="178"/>
      <c r="AY629" s="517"/>
      <c r="AZ629" s="131"/>
    </row>
    <row r="630" spans="1:52" ht="15.75" customHeight="1">
      <c r="A630" s="131"/>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c r="AJ630" s="178"/>
      <c r="AK630" s="178"/>
      <c r="AL630" s="178"/>
      <c r="AM630" s="178"/>
      <c r="AN630" s="178"/>
      <c r="AO630" s="178"/>
      <c r="AP630" s="178"/>
      <c r="AQ630" s="178"/>
      <c r="AR630" s="178"/>
      <c r="AS630" s="178"/>
      <c r="AT630" s="178"/>
      <c r="AU630" s="178"/>
      <c r="AV630" s="178"/>
      <c r="AW630" s="178"/>
      <c r="AX630" s="178"/>
      <c r="AY630" s="517"/>
      <c r="AZ630" s="131"/>
    </row>
    <row r="631" spans="1:52" ht="15.75" customHeight="1">
      <c r="A631" s="131"/>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c r="AJ631" s="178"/>
      <c r="AK631" s="178"/>
      <c r="AL631" s="178"/>
      <c r="AM631" s="178"/>
      <c r="AN631" s="178"/>
      <c r="AO631" s="178"/>
      <c r="AP631" s="178"/>
      <c r="AQ631" s="178"/>
      <c r="AR631" s="178"/>
      <c r="AS631" s="178"/>
      <c r="AT631" s="178"/>
      <c r="AU631" s="178"/>
      <c r="AV631" s="178"/>
      <c r="AW631" s="178"/>
      <c r="AX631" s="178"/>
      <c r="AY631" s="517"/>
      <c r="AZ631" s="131"/>
    </row>
    <row r="632" spans="1:52" ht="15.75" customHeight="1">
      <c r="A632" s="131"/>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c r="AH632" s="178"/>
      <c r="AI632" s="178"/>
      <c r="AJ632" s="178"/>
      <c r="AK632" s="178"/>
      <c r="AL632" s="178"/>
      <c r="AM632" s="178"/>
      <c r="AN632" s="178"/>
      <c r="AO632" s="178"/>
      <c r="AP632" s="178"/>
      <c r="AQ632" s="178"/>
      <c r="AR632" s="178"/>
      <c r="AS632" s="178"/>
      <c r="AT632" s="178"/>
      <c r="AU632" s="178"/>
      <c r="AV632" s="178"/>
      <c r="AW632" s="178"/>
      <c r="AX632" s="178"/>
      <c r="AY632" s="517"/>
      <c r="AZ632" s="131"/>
    </row>
    <row r="633" spans="1:52" ht="15.75" customHeight="1">
      <c r="A633" s="131"/>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c r="AH633" s="178"/>
      <c r="AI633" s="178"/>
      <c r="AJ633" s="178"/>
      <c r="AK633" s="178"/>
      <c r="AL633" s="178"/>
      <c r="AM633" s="178"/>
      <c r="AN633" s="178"/>
      <c r="AO633" s="178"/>
      <c r="AP633" s="178"/>
      <c r="AQ633" s="178"/>
      <c r="AR633" s="178"/>
      <c r="AS633" s="178"/>
      <c r="AT633" s="178"/>
      <c r="AU633" s="178"/>
      <c r="AV633" s="178"/>
      <c r="AW633" s="178"/>
      <c r="AX633" s="178"/>
      <c r="AY633" s="517"/>
      <c r="AZ633" s="131"/>
    </row>
    <row r="634" spans="1:52" ht="15.75" customHeight="1">
      <c r="A634" s="131"/>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c r="AH634" s="178"/>
      <c r="AI634" s="178"/>
      <c r="AJ634" s="178"/>
      <c r="AK634" s="178"/>
      <c r="AL634" s="178"/>
      <c r="AM634" s="178"/>
      <c r="AN634" s="178"/>
      <c r="AO634" s="178"/>
      <c r="AP634" s="178"/>
      <c r="AQ634" s="178"/>
      <c r="AR634" s="178"/>
      <c r="AS634" s="178"/>
      <c r="AT634" s="178"/>
      <c r="AU634" s="178"/>
      <c r="AV634" s="178"/>
      <c r="AW634" s="178"/>
      <c r="AX634" s="178"/>
      <c r="AY634" s="517"/>
      <c r="AZ634" s="131"/>
    </row>
    <row r="635" spans="1:52" ht="15.75" customHeight="1">
      <c r="A635" s="131"/>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c r="AH635" s="178"/>
      <c r="AI635" s="178"/>
      <c r="AJ635" s="178"/>
      <c r="AK635" s="178"/>
      <c r="AL635" s="178"/>
      <c r="AM635" s="178"/>
      <c r="AN635" s="178"/>
      <c r="AO635" s="178"/>
      <c r="AP635" s="178"/>
      <c r="AQ635" s="178"/>
      <c r="AR635" s="178"/>
      <c r="AS635" s="178"/>
      <c r="AT635" s="178"/>
      <c r="AU635" s="178"/>
      <c r="AV635" s="178"/>
      <c r="AW635" s="178"/>
      <c r="AX635" s="178"/>
      <c r="AY635" s="517"/>
      <c r="AZ635" s="131"/>
    </row>
    <row r="636" spans="1:52" ht="15.75" customHeight="1">
      <c r="A636" s="131"/>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c r="AJ636" s="178"/>
      <c r="AK636" s="178"/>
      <c r="AL636" s="178"/>
      <c r="AM636" s="178"/>
      <c r="AN636" s="178"/>
      <c r="AO636" s="178"/>
      <c r="AP636" s="178"/>
      <c r="AQ636" s="178"/>
      <c r="AR636" s="178"/>
      <c r="AS636" s="178"/>
      <c r="AT636" s="178"/>
      <c r="AU636" s="178"/>
      <c r="AV636" s="178"/>
      <c r="AW636" s="178"/>
      <c r="AX636" s="178"/>
      <c r="AY636" s="517"/>
      <c r="AZ636" s="131"/>
    </row>
    <row r="637" spans="1:52" ht="15.75" customHeight="1">
      <c r="A637" s="131"/>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c r="AJ637" s="178"/>
      <c r="AK637" s="178"/>
      <c r="AL637" s="178"/>
      <c r="AM637" s="178"/>
      <c r="AN637" s="178"/>
      <c r="AO637" s="178"/>
      <c r="AP637" s="178"/>
      <c r="AQ637" s="178"/>
      <c r="AR637" s="178"/>
      <c r="AS637" s="178"/>
      <c r="AT637" s="178"/>
      <c r="AU637" s="178"/>
      <c r="AV637" s="178"/>
      <c r="AW637" s="178"/>
      <c r="AX637" s="178"/>
      <c r="AY637" s="517"/>
      <c r="AZ637" s="131"/>
    </row>
    <row r="638" spans="1:52" ht="15.75" customHeight="1">
      <c r="A638" s="131"/>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c r="AJ638" s="178"/>
      <c r="AK638" s="178"/>
      <c r="AL638" s="178"/>
      <c r="AM638" s="178"/>
      <c r="AN638" s="178"/>
      <c r="AO638" s="178"/>
      <c r="AP638" s="178"/>
      <c r="AQ638" s="178"/>
      <c r="AR638" s="178"/>
      <c r="AS638" s="178"/>
      <c r="AT638" s="178"/>
      <c r="AU638" s="178"/>
      <c r="AV638" s="178"/>
      <c r="AW638" s="178"/>
      <c r="AX638" s="178"/>
      <c r="AY638" s="517"/>
      <c r="AZ638" s="131"/>
    </row>
    <row r="639" spans="1:52" ht="15.75" customHeight="1">
      <c r="A639" s="131"/>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c r="AJ639" s="178"/>
      <c r="AK639" s="178"/>
      <c r="AL639" s="178"/>
      <c r="AM639" s="178"/>
      <c r="AN639" s="178"/>
      <c r="AO639" s="178"/>
      <c r="AP639" s="178"/>
      <c r="AQ639" s="178"/>
      <c r="AR639" s="178"/>
      <c r="AS639" s="178"/>
      <c r="AT639" s="178"/>
      <c r="AU639" s="178"/>
      <c r="AV639" s="178"/>
      <c r="AW639" s="178"/>
      <c r="AX639" s="178"/>
      <c r="AY639" s="517"/>
      <c r="AZ639" s="131"/>
    </row>
    <row r="640" spans="1:52" ht="15.75" customHeight="1">
      <c r="A640" s="131"/>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c r="AJ640" s="178"/>
      <c r="AK640" s="178"/>
      <c r="AL640" s="178"/>
      <c r="AM640" s="178"/>
      <c r="AN640" s="178"/>
      <c r="AO640" s="178"/>
      <c r="AP640" s="178"/>
      <c r="AQ640" s="178"/>
      <c r="AR640" s="178"/>
      <c r="AS640" s="178"/>
      <c r="AT640" s="178"/>
      <c r="AU640" s="178"/>
      <c r="AV640" s="178"/>
      <c r="AW640" s="178"/>
      <c r="AX640" s="178"/>
      <c r="AY640" s="517"/>
      <c r="AZ640" s="131"/>
    </row>
    <row r="641" spans="1:52" ht="15.75" customHeight="1">
      <c r="A641" s="131"/>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c r="AJ641" s="178"/>
      <c r="AK641" s="178"/>
      <c r="AL641" s="178"/>
      <c r="AM641" s="178"/>
      <c r="AN641" s="178"/>
      <c r="AO641" s="178"/>
      <c r="AP641" s="178"/>
      <c r="AQ641" s="178"/>
      <c r="AR641" s="178"/>
      <c r="AS641" s="178"/>
      <c r="AT641" s="178"/>
      <c r="AU641" s="178"/>
      <c r="AV641" s="178"/>
      <c r="AW641" s="178"/>
      <c r="AX641" s="178"/>
      <c r="AY641" s="517"/>
      <c r="AZ641" s="131"/>
    </row>
    <row r="642" spans="1:52" ht="15.75" customHeight="1">
      <c r="A642" s="131"/>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c r="AJ642" s="178"/>
      <c r="AK642" s="178"/>
      <c r="AL642" s="178"/>
      <c r="AM642" s="178"/>
      <c r="AN642" s="178"/>
      <c r="AO642" s="178"/>
      <c r="AP642" s="178"/>
      <c r="AQ642" s="178"/>
      <c r="AR642" s="178"/>
      <c r="AS642" s="178"/>
      <c r="AT642" s="178"/>
      <c r="AU642" s="178"/>
      <c r="AV642" s="178"/>
      <c r="AW642" s="178"/>
      <c r="AX642" s="178"/>
      <c r="AY642" s="517"/>
      <c r="AZ642" s="131"/>
    </row>
    <row r="643" spans="1:52" ht="15.75" customHeight="1">
      <c r="A643" s="131"/>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c r="AJ643" s="178"/>
      <c r="AK643" s="178"/>
      <c r="AL643" s="178"/>
      <c r="AM643" s="178"/>
      <c r="AN643" s="178"/>
      <c r="AO643" s="178"/>
      <c r="AP643" s="178"/>
      <c r="AQ643" s="178"/>
      <c r="AR643" s="178"/>
      <c r="AS643" s="178"/>
      <c r="AT643" s="178"/>
      <c r="AU643" s="178"/>
      <c r="AV643" s="178"/>
      <c r="AW643" s="178"/>
      <c r="AX643" s="178"/>
      <c r="AY643" s="517"/>
      <c r="AZ643" s="131"/>
    </row>
    <row r="644" spans="1:52" ht="15.75" customHeight="1">
      <c r="A644" s="131"/>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c r="AH644" s="178"/>
      <c r="AI644" s="178"/>
      <c r="AJ644" s="178"/>
      <c r="AK644" s="178"/>
      <c r="AL644" s="178"/>
      <c r="AM644" s="178"/>
      <c r="AN644" s="178"/>
      <c r="AO644" s="178"/>
      <c r="AP644" s="178"/>
      <c r="AQ644" s="178"/>
      <c r="AR644" s="178"/>
      <c r="AS644" s="178"/>
      <c r="AT644" s="178"/>
      <c r="AU644" s="178"/>
      <c r="AV644" s="178"/>
      <c r="AW644" s="178"/>
      <c r="AX644" s="178"/>
      <c r="AY644" s="517"/>
      <c r="AZ644" s="131"/>
    </row>
    <row r="645" spans="1:52" ht="15.75" customHeight="1">
      <c r="A645" s="131"/>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c r="AH645" s="178"/>
      <c r="AI645" s="178"/>
      <c r="AJ645" s="178"/>
      <c r="AK645" s="178"/>
      <c r="AL645" s="178"/>
      <c r="AM645" s="178"/>
      <c r="AN645" s="178"/>
      <c r="AO645" s="178"/>
      <c r="AP645" s="178"/>
      <c r="AQ645" s="178"/>
      <c r="AR645" s="178"/>
      <c r="AS645" s="178"/>
      <c r="AT645" s="178"/>
      <c r="AU645" s="178"/>
      <c r="AV645" s="178"/>
      <c r="AW645" s="178"/>
      <c r="AX645" s="178"/>
      <c r="AY645" s="517"/>
      <c r="AZ645" s="131"/>
    </row>
    <row r="646" spans="1:52" ht="15.75" customHeight="1">
      <c r="A646" s="131"/>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c r="AH646" s="178"/>
      <c r="AI646" s="178"/>
      <c r="AJ646" s="178"/>
      <c r="AK646" s="178"/>
      <c r="AL646" s="178"/>
      <c r="AM646" s="178"/>
      <c r="AN646" s="178"/>
      <c r="AO646" s="178"/>
      <c r="AP646" s="178"/>
      <c r="AQ646" s="178"/>
      <c r="AR646" s="178"/>
      <c r="AS646" s="178"/>
      <c r="AT646" s="178"/>
      <c r="AU646" s="178"/>
      <c r="AV646" s="178"/>
      <c r="AW646" s="178"/>
      <c r="AX646" s="178"/>
      <c r="AY646" s="517"/>
      <c r="AZ646" s="131"/>
    </row>
    <row r="647" spans="1:52" ht="15.75" customHeight="1">
      <c r="A647" s="131"/>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c r="AH647" s="178"/>
      <c r="AI647" s="178"/>
      <c r="AJ647" s="178"/>
      <c r="AK647" s="178"/>
      <c r="AL647" s="178"/>
      <c r="AM647" s="178"/>
      <c r="AN647" s="178"/>
      <c r="AO647" s="178"/>
      <c r="AP647" s="178"/>
      <c r="AQ647" s="178"/>
      <c r="AR647" s="178"/>
      <c r="AS647" s="178"/>
      <c r="AT647" s="178"/>
      <c r="AU647" s="178"/>
      <c r="AV647" s="178"/>
      <c r="AW647" s="178"/>
      <c r="AX647" s="178"/>
      <c r="AY647" s="517"/>
      <c r="AZ647" s="131"/>
    </row>
    <row r="648" spans="1:52" ht="15.75" customHeight="1">
      <c r="A648" s="131"/>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c r="AJ648" s="178"/>
      <c r="AK648" s="178"/>
      <c r="AL648" s="178"/>
      <c r="AM648" s="178"/>
      <c r="AN648" s="178"/>
      <c r="AO648" s="178"/>
      <c r="AP648" s="178"/>
      <c r="AQ648" s="178"/>
      <c r="AR648" s="178"/>
      <c r="AS648" s="178"/>
      <c r="AT648" s="178"/>
      <c r="AU648" s="178"/>
      <c r="AV648" s="178"/>
      <c r="AW648" s="178"/>
      <c r="AX648" s="178"/>
      <c r="AY648" s="517"/>
      <c r="AZ648" s="131"/>
    </row>
    <row r="649" spans="1:52" ht="15.75" customHeight="1">
      <c r="A649" s="131"/>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c r="AJ649" s="178"/>
      <c r="AK649" s="178"/>
      <c r="AL649" s="178"/>
      <c r="AM649" s="178"/>
      <c r="AN649" s="178"/>
      <c r="AO649" s="178"/>
      <c r="AP649" s="178"/>
      <c r="AQ649" s="178"/>
      <c r="AR649" s="178"/>
      <c r="AS649" s="178"/>
      <c r="AT649" s="178"/>
      <c r="AU649" s="178"/>
      <c r="AV649" s="178"/>
      <c r="AW649" s="178"/>
      <c r="AX649" s="178"/>
      <c r="AY649" s="517"/>
      <c r="AZ649" s="131"/>
    </row>
    <row r="650" spans="1:52" ht="15.75" customHeight="1">
      <c r="A650" s="131"/>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c r="AH650" s="178"/>
      <c r="AI650" s="178"/>
      <c r="AJ650" s="178"/>
      <c r="AK650" s="178"/>
      <c r="AL650" s="178"/>
      <c r="AM650" s="178"/>
      <c r="AN650" s="178"/>
      <c r="AO650" s="178"/>
      <c r="AP650" s="178"/>
      <c r="AQ650" s="178"/>
      <c r="AR650" s="178"/>
      <c r="AS650" s="178"/>
      <c r="AT650" s="178"/>
      <c r="AU650" s="178"/>
      <c r="AV650" s="178"/>
      <c r="AW650" s="178"/>
      <c r="AX650" s="178"/>
      <c r="AY650" s="517"/>
      <c r="AZ650" s="131"/>
    </row>
    <row r="651" spans="1:52" ht="15.75" customHeight="1">
      <c r="A651" s="131"/>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c r="AH651" s="178"/>
      <c r="AI651" s="178"/>
      <c r="AJ651" s="178"/>
      <c r="AK651" s="178"/>
      <c r="AL651" s="178"/>
      <c r="AM651" s="178"/>
      <c r="AN651" s="178"/>
      <c r="AO651" s="178"/>
      <c r="AP651" s="178"/>
      <c r="AQ651" s="178"/>
      <c r="AR651" s="178"/>
      <c r="AS651" s="178"/>
      <c r="AT651" s="178"/>
      <c r="AU651" s="178"/>
      <c r="AV651" s="178"/>
      <c r="AW651" s="178"/>
      <c r="AX651" s="178"/>
      <c r="AY651" s="517"/>
      <c r="AZ651" s="131"/>
    </row>
    <row r="652" spans="1:52" ht="15.75" customHeight="1">
      <c r="A652" s="131"/>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c r="AH652" s="178"/>
      <c r="AI652" s="178"/>
      <c r="AJ652" s="178"/>
      <c r="AK652" s="178"/>
      <c r="AL652" s="178"/>
      <c r="AM652" s="178"/>
      <c r="AN652" s="178"/>
      <c r="AO652" s="178"/>
      <c r="AP652" s="178"/>
      <c r="AQ652" s="178"/>
      <c r="AR652" s="178"/>
      <c r="AS652" s="178"/>
      <c r="AT652" s="178"/>
      <c r="AU652" s="178"/>
      <c r="AV652" s="178"/>
      <c r="AW652" s="178"/>
      <c r="AX652" s="178"/>
      <c r="AY652" s="517"/>
      <c r="AZ652" s="131"/>
    </row>
    <row r="653" spans="1:52" ht="15.75" customHeight="1">
      <c r="A653" s="131"/>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c r="AH653" s="178"/>
      <c r="AI653" s="178"/>
      <c r="AJ653" s="178"/>
      <c r="AK653" s="178"/>
      <c r="AL653" s="178"/>
      <c r="AM653" s="178"/>
      <c r="AN653" s="178"/>
      <c r="AO653" s="178"/>
      <c r="AP653" s="178"/>
      <c r="AQ653" s="178"/>
      <c r="AR653" s="178"/>
      <c r="AS653" s="178"/>
      <c r="AT653" s="178"/>
      <c r="AU653" s="178"/>
      <c r="AV653" s="178"/>
      <c r="AW653" s="178"/>
      <c r="AX653" s="178"/>
      <c r="AY653" s="517"/>
      <c r="AZ653" s="131"/>
    </row>
    <row r="654" spans="1:52" ht="15.75" customHeight="1">
      <c r="A654" s="131"/>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c r="AH654" s="178"/>
      <c r="AI654" s="178"/>
      <c r="AJ654" s="178"/>
      <c r="AK654" s="178"/>
      <c r="AL654" s="178"/>
      <c r="AM654" s="178"/>
      <c r="AN654" s="178"/>
      <c r="AO654" s="178"/>
      <c r="AP654" s="178"/>
      <c r="AQ654" s="178"/>
      <c r="AR654" s="178"/>
      <c r="AS654" s="178"/>
      <c r="AT654" s="178"/>
      <c r="AU654" s="178"/>
      <c r="AV654" s="178"/>
      <c r="AW654" s="178"/>
      <c r="AX654" s="178"/>
      <c r="AY654" s="517"/>
      <c r="AZ654" s="131"/>
    </row>
    <row r="655" spans="1:52" ht="15.75" customHeight="1">
      <c r="A655" s="131"/>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c r="AA655" s="178"/>
      <c r="AB655" s="178"/>
      <c r="AC655" s="178"/>
      <c r="AD655" s="178"/>
      <c r="AE655" s="178"/>
      <c r="AF655" s="178"/>
      <c r="AG655" s="178"/>
      <c r="AH655" s="178"/>
      <c r="AI655" s="178"/>
      <c r="AJ655" s="178"/>
      <c r="AK655" s="178"/>
      <c r="AL655" s="178"/>
      <c r="AM655" s="178"/>
      <c r="AN655" s="178"/>
      <c r="AO655" s="178"/>
      <c r="AP655" s="178"/>
      <c r="AQ655" s="178"/>
      <c r="AR655" s="178"/>
      <c r="AS655" s="178"/>
      <c r="AT655" s="178"/>
      <c r="AU655" s="178"/>
      <c r="AV655" s="178"/>
      <c r="AW655" s="178"/>
      <c r="AX655" s="178"/>
      <c r="AY655" s="517"/>
      <c r="AZ655" s="131"/>
    </row>
    <row r="656" spans="1:52" ht="15.75" customHeight="1">
      <c r="A656" s="131"/>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c r="AA656" s="178"/>
      <c r="AB656" s="178"/>
      <c r="AC656" s="178"/>
      <c r="AD656" s="178"/>
      <c r="AE656" s="178"/>
      <c r="AF656" s="178"/>
      <c r="AG656" s="178"/>
      <c r="AH656" s="178"/>
      <c r="AI656" s="178"/>
      <c r="AJ656" s="178"/>
      <c r="AK656" s="178"/>
      <c r="AL656" s="178"/>
      <c r="AM656" s="178"/>
      <c r="AN656" s="178"/>
      <c r="AO656" s="178"/>
      <c r="AP656" s="178"/>
      <c r="AQ656" s="178"/>
      <c r="AR656" s="178"/>
      <c r="AS656" s="178"/>
      <c r="AT656" s="178"/>
      <c r="AU656" s="178"/>
      <c r="AV656" s="178"/>
      <c r="AW656" s="178"/>
      <c r="AX656" s="178"/>
      <c r="AY656" s="517"/>
      <c r="AZ656" s="131"/>
    </row>
    <row r="657" spans="1:52" ht="15.75" customHeight="1">
      <c r="A657" s="131"/>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c r="AA657" s="178"/>
      <c r="AB657" s="178"/>
      <c r="AC657" s="178"/>
      <c r="AD657" s="178"/>
      <c r="AE657" s="178"/>
      <c r="AF657" s="178"/>
      <c r="AG657" s="178"/>
      <c r="AH657" s="178"/>
      <c r="AI657" s="178"/>
      <c r="AJ657" s="178"/>
      <c r="AK657" s="178"/>
      <c r="AL657" s="178"/>
      <c r="AM657" s="178"/>
      <c r="AN657" s="178"/>
      <c r="AO657" s="178"/>
      <c r="AP657" s="178"/>
      <c r="AQ657" s="178"/>
      <c r="AR657" s="178"/>
      <c r="AS657" s="178"/>
      <c r="AT657" s="178"/>
      <c r="AU657" s="178"/>
      <c r="AV657" s="178"/>
      <c r="AW657" s="178"/>
      <c r="AX657" s="178"/>
      <c r="AY657" s="517"/>
      <c r="AZ657" s="131"/>
    </row>
    <row r="658" spans="1:52" ht="15.75" customHeight="1">
      <c r="A658" s="131"/>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c r="AA658" s="178"/>
      <c r="AB658" s="178"/>
      <c r="AC658" s="178"/>
      <c r="AD658" s="178"/>
      <c r="AE658" s="178"/>
      <c r="AF658" s="178"/>
      <c r="AG658" s="178"/>
      <c r="AH658" s="178"/>
      <c r="AI658" s="178"/>
      <c r="AJ658" s="178"/>
      <c r="AK658" s="178"/>
      <c r="AL658" s="178"/>
      <c r="AM658" s="178"/>
      <c r="AN658" s="178"/>
      <c r="AO658" s="178"/>
      <c r="AP658" s="178"/>
      <c r="AQ658" s="178"/>
      <c r="AR658" s="178"/>
      <c r="AS658" s="178"/>
      <c r="AT658" s="178"/>
      <c r="AU658" s="178"/>
      <c r="AV658" s="178"/>
      <c r="AW658" s="178"/>
      <c r="AX658" s="178"/>
      <c r="AY658" s="517"/>
      <c r="AZ658" s="131"/>
    </row>
    <row r="659" spans="1:52" ht="15.75" customHeight="1">
      <c r="A659" s="131"/>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c r="AA659" s="178"/>
      <c r="AB659" s="178"/>
      <c r="AC659" s="178"/>
      <c r="AD659" s="178"/>
      <c r="AE659" s="178"/>
      <c r="AF659" s="178"/>
      <c r="AG659" s="178"/>
      <c r="AH659" s="178"/>
      <c r="AI659" s="178"/>
      <c r="AJ659" s="178"/>
      <c r="AK659" s="178"/>
      <c r="AL659" s="178"/>
      <c r="AM659" s="178"/>
      <c r="AN659" s="178"/>
      <c r="AO659" s="178"/>
      <c r="AP659" s="178"/>
      <c r="AQ659" s="178"/>
      <c r="AR659" s="178"/>
      <c r="AS659" s="178"/>
      <c r="AT659" s="178"/>
      <c r="AU659" s="178"/>
      <c r="AV659" s="178"/>
      <c r="AW659" s="178"/>
      <c r="AX659" s="178"/>
      <c r="AY659" s="517"/>
      <c r="AZ659" s="131"/>
    </row>
    <row r="660" spans="1:52" ht="15.75" customHeight="1">
      <c r="A660" s="131"/>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c r="AA660" s="178"/>
      <c r="AB660" s="178"/>
      <c r="AC660" s="178"/>
      <c r="AD660" s="178"/>
      <c r="AE660" s="178"/>
      <c r="AF660" s="178"/>
      <c r="AG660" s="178"/>
      <c r="AH660" s="178"/>
      <c r="AI660" s="178"/>
      <c r="AJ660" s="178"/>
      <c r="AK660" s="178"/>
      <c r="AL660" s="178"/>
      <c r="AM660" s="178"/>
      <c r="AN660" s="178"/>
      <c r="AO660" s="178"/>
      <c r="AP660" s="178"/>
      <c r="AQ660" s="178"/>
      <c r="AR660" s="178"/>
      <c r="AS660" s="178"/>
      <c r="AT660" s="178"/>
      <c r="AU660" s="178"/>
      <c r="AV660" s="178"/>
      <c r="AW660" s="178"/>
      <c r="AX660" s="178"/>
      <c r="AY660" s="517"/>
      <c r="AZ660" s="131"/>
    </row>
    <row r="661" spans="1:52" ht="15.75" customHeight="1">
      <c r="A661" s="131"/>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c r="AA661" s="178"/>
      <c r="AB661" s="178"/>
      <c r="AC661" s="178"/>
      <c r="AD661" s="178"/>
      <c r="AE661" s="178"/>
      <c r="AF661" s="178"/>
      <c r="AG661" s="178"/>
      <c r="AH661" s="178"/>
      <c r="AI661" s="178"/>
      <c r="AJ661" s="178"/>
      <c r="AK661" s="178"/>
      <c r="AL661" s="178"/>
      <c r="AM661" s="178"/>
      <c r="AN661" s="178"/>
      <c r="AO661" s="178"/>
      <c r="AP661" s="178"/>
      <c r="AQ661" s="178"/>
      <c r="AR661" s="178"/>
      <c r="AS661" s="178"/>
      <c r="AT661" s="178"/>
      <c r="AU661" s="178"/>
      <c r="AV661" s="178"/>
      <c r="AW661" s="178"/>
      <c r="AX661" s="178"/>
      <c r="AY661" s="517"/>
      <c r="AZ661" s="131"/>
    </row>
    <row r="662" spans="1:52" ht="15.75" customHeight="1">
      <c r="A662" s="131"/>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c r="AA662" s="178"/>
      <c r="AB662" s="178"/>
      <c r="AC662" s="178"/>
      <c r="AD662" s="178"/>
      <c r="AE662" s="178"/>
      <c r="AF662" s="178"/>
      <c r="AG662" s="178"/>
      <c r="AH662" s="178"/>
      <c r="AI662" s="178"/>
      <c r="AJ662" s="178"/>
      <c r="AK662" s="178"/>
      <c r="AL662" s="178"/>
      <c r="AM662" s="178"/>
      <c r="AN662" s="178"/>
      <c r="AO662" s="178"/>
      <c r="AP662" s="178"/>
      <c r="AQ662" s="178"/>
      <c r="AR662" s="178"/>
      <c r="AS662" s="178"/>
      <c r="AT662" s="178"/>
      <c r="AU662" s="178"/>
      <c r="AV662" s="178"/>
      <c r="AW662" s="178"/>
      <c r="AX662" s="178"/>
      <c r="AY662" s="517"/>
      <c r="AZ662" s="131"/>
    </row>
    <row r="663" spans="1:52" ht="15.75" customHeight="1">
      <c r="A663" s="131"/>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c r="AH663" s="178"/>
      <c r="AI663" s="178"/>
      <c r="AJ663" s="178"/>
      <c r="AK663" s="178"/>
      <c r="AL663" s="178"/>
      <c r="AM663" s="178"/>
      <c r="AN663" s="178"/>
      <c r="AO663" s="178"/>
      <c r="AP663" s="178"/>
      <c r="AQ663" s="178"/>
      <c r="AR663" s="178"/>
      <c r="AS663" s="178"/>
      <c r="AT663" s="178"/>
      <c r="AU663" s="178"/>
      <c r="AV663" s="178"/>
      <c r="AW663" s="178"/>
      <c r="AX663" s="178"/>
      <c r="AY663" s="517"/>
      <c r="AZ663" s="131"/>
    </row>
    <row r="664" spans="1:52" ht="15.75" customHeight="1">
      <c r="A664" s="131"/>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c r="AA664" s="178"/>
      <c r="AB664" s="178"/>
      <c r="AC664" s="178"/>
      <c r="AD664" s="178"/>
      <c r="AE664" s="178"/>
      <c r="AF664" s="178"/>
      <c r="AG664" s="178"/>
      <c r="AH664" s="178"/>
      <c r="AI664" s="178"/>
      <c r="AJ664" s="178"/>
      <c r="AK664" s="178"/>
      <c r="AL664" s="178"/>
      <c r="AM664" s="178"/>
      <c r="AN664" s="178"/>
      <c r="AO664" s="178"/>
      <c r="AP664" s="178"/>
      <c r="AQ664" s="178"/>
      <c r="AR664" s="178"/>
      <c r="AS664" s="178"/>
      <c r="AT664" s="178"/>
      <c r="AU664" s="178"/>
      <c r="AV664" s="178"/>
      <c r="AW664" s="178"/>
      <c r="AX664" s="178"/>
      <c r="AY664" s="517"/>
      <c r="AZ664" s="131"/>
    </row>
    <row r="665" spans="1:52" ht="15.75" customHeight="1">
      <c r="A665" s="131"/>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c r="AH665" s="178"/>
      <c r="AI665" s="178"/>
      <c r="AJ665" s="178"/>
      <c r="AK665" s="178"/>
      <c r="AL665" s="178"/>
      <c r="AM665" s="178"/>
      <c r="AN665" s="178"/>
      <c r="AO665" s="178"/>
      <c r="AP665" s="178"/>
      <c r="AQ665" s="178"/>
      <c r="AR665" s="178"/>
      <c r="AS665" s="178"/>
      <c r="AT665" s="178"/>
      <c r="AU665" s="178"/>
      <c r="AV665" s="178"/>
      <c r="AW665" s="178"/>
      <c r="AX665" s="178"/>
      <c r="AY665" s="517"/>
      <c r="AZ665" s="131"/>
    </row>
    <row r="666" spans="1:52" ht="15.75" customHeight="1">
      <c r="A666" s="131"/>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c r="AA666" s="178"/>
      <c r="AB666" s="178"/>
      <c r="AC666" s="178"/>
      <c r="AD666" s="178"/>
      <c r="AE666" s="178"/>
      <c r="AF666" s="178"/>
      <c r="AG666" s="178"/>
      <c r="AH666" s="178"/>
      <c r="AI666" s="178"/>
      <c r="AJ666" s="178"/>
      <c r="AK666" s="178"/>
      <c r="AL666" s="178"/>
      <c r="AM666" s="178"/>
      <c r="AN666" s="178"/>
      <c r="AO666" s="178"/>
      <c r="AP666" s="178"/>
      <c r="AQ666" s="178"/>
      <c r="AR666" s="178"/>
      <c r="AS666" s="178"/>
      <c r="AT666" s="178"/>
      <c r="AU666" s="178"/>
      <c r="AV666" s="178"/>
      <c r="AW666" s="178"/>
      <c r="AX666" s="178"/>
      <c r="AY666" s="517"/>
      <c r="AZ666" s="131"/>
    </row>
    <row r="667" spans="1:52" ht="15.75" customHeight="1">
      <c r="A667" s="131"/>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c r="AH667" s="178"/>
      <c r="AI667" s="178"/>
      <c r="AJ667" s="178"/>
      <c r="AK667" s="178"/>
      <c r="AL667" s="178"/>
      <c r="AM667" s="178"/>
      <c r="AN667" s="178"/>
      <c r="AO667" s="178"/>
      <c r="AP667" s="178"/>
      <c r="AQ667" s="178"/>
      <c r="AR667" s="178"/>
      <c r="AS667" s="178"/>
      <c r="AT667" s="178"/>
      <c r="AU667" s="178"/>
      <c r="AV667" s="178"/>
      <c r="AW667" s="178"/>
      <c r="AX667" s="178"/>
      <c r="AY667" s="517"/>
      <c r="AZ667" s="131"/>
    </row>
    <row r="668" spans="1:52" ht="15.75" customHeight="1">
      <c r="A668" s="131"/>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c r="AA668" s="178"/>
      <c r="AB668" s="178"/>
      <c r="AC668" s="178"/>
      <c r="AD668" s="178"/>
      <c r="AE668" s="178"/>
      <c r="AF668" s="178"/>
      <c r="AG668" s="178"/>
      <c r="AH668" s="178"/>
      <c r="AI668" s="178"/>
      <c r="AJ668" s="178"/>
      <c r="AK668" s="178"/>
      <c r="AL668" s="178"/>
      <c r="AM668" s="178"/>
      <c r="AN668" s="178"/>
      <c r="AO668" s="178"/>
      <c r="AP668" s="178"/>
      <c r="AQ668" s="178"/>
      <c r="AR668" s="178"/>
      <c r="AS668" s="178"/>
      <c r="AT668" s="178"/>
      <c r="AU668" s="178"/>
      <c r="AV668" s="178"/>
      <c r="AW668" s="178"/>
      <c r="AX668" s="178"/>
      <c r="AY668" s="517"/>
      <c r="AZ668" s="131"/>
    </row>
    <row r="669" spans="1:52" ht="15.75" customHeight="1">
      <c r="A669" s="131"/>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c r="AH669" s="178"/>
      <c r="AI669" s="178"/>
      <c r="AJ669" s="178"/>
      <c r="AK669" s="178"/>
      <c r="AL669" s="178"/>
      <c r="AM669" s="178"/>
      <c r="AN669" s="178"/>
      <c r="AO669" s="178"/>
      <c r="AP669" s="178"/>
      <c r="AQ669" s="178"/>
      <c r="AR669" s="178"/>
      <c r="AS669" s="178"/>
      <c r="AT669" s="178"/>
      <c r="AU669" s="178"/>
      <c r="AV669" s="178"/>
      <c r="AW669" s="178"/>
      <c r="AX669" s="178"/>
      <c r="AY669" s="517"/>
      <c r="AZ669" s="131"/>
    </row>
    <row r="670" spans="1:52" ht="15.75" customHeight="1">
      <c r="A670" s="131"/>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c r="AA670" s="178"/>
      <c r="AB670" s="178"/>
      <c r="AC670" s="178"/>
      <c r="AD670" s="178"/>
      <c r="AE670" s="178"/>
      <c r="AF670" s="178"/>
      <c r="AG670" s="178"/>
      <c r="AH670" s="178"/>
      <c r="AI670" s="178"/>
      <c r="AJ670" s="178"/>
      <c r="AK670" s="178"/>
      <c r="AL670" s="178"/>
      <c r="AM670" s="178"/>
      <c r="AN670" s="178"/>
      <c r="AO670" s="178"/>
      <c r="AP670" s="178"/>
      <c r="AQ670" s="178"/>
      <c r="AR670" s="178"/>
      <c r="AS670" s="178"/>
      <c r="AT670" s="178"/>
      <c r="AU670" s="178"/>
      <c r="AV670" s="178"/>
      <c r="AW670" s="178"/>
      <c r="AX670" s="178"/>
      <c r="AY670" s="517"/>
      <c r="AZ670" s="131"/>
    </row>
    <row r="671" spans="1:52" ht="15.75" customHeight="1">
      <c r="A671" s="131"/>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c r="AH671" s="178"/>
      <c r="AI671" s="178"/>
      <c r="AJ671" s="178"/>
      <c r="AK671" s="178"/>
      <c r="AL671" s="178"/>
      <c r="AM671" s="178"/>
      <c r="AN671" s="178"/>
      <c r="AO671" s="178"/>
      <c r="AP671" s="178"/>
      <c r="AQ671" s="178"/>
      <c r="AR671" s="178"/>
      <c r="AS671" s="178"/>
      <c r="AT671" s="178"/>
      <c r="AU671" s="178"/>
      <c r="AV671" s="178"/>
      <c r="AW671" s="178"/>
      <c r="AX671" s="178"/>
      <c r="AY671" s="517"/>
      <c r="AZ671" s="131"/>
    </row>
    <row r="672" spans="1:52" ht="15.75" customHeight="1">
      <c r="A672" s="131"/>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c r="AA672" s="178"/>
      <c r="AB672" s="178"/>
      <c r="AC672" s="178"/>
      <c r="AD672" s="178"/>
      <c r="AE672" s="178"/>
      <c r="AF672" s="178"/>
      <c r="AG672" s="178"/>
      <c r="AH672" s="178"/>
      <c r="AI672" s="178"/>
      <c r="AJ672" s="178"/>
      <c r="AK672" s="178"/>
      <c r="AL672" s="178"/>
      <c r="AM672" s="178"/>
      <c r="AN672" s="178"/>
      <c r="AO672" s="178"/>
      <c r="AP672" s="178"/>
      <c r="AQ672" s="178"/>
      <c r="AR672" s="178"/>
      <c r="AS672" s="178"/>
      <c r="AT672" s="178"/>
      <c r="AU672" s="178"/>
      <c r="AV672" s="178"/>
      <c r="AW672" s="178"/>
      <c r="AX672" s="178"/>
      <c r="AY672" s="517"/>
      <c r="AZ672" s="131"/>
    </row>
    <row r="673" spans="1:52" ht="15.75" customHeight="1">
      <c r="A673" s="131"/>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c r="AA673" s="178"/>
      <c r="AB673" s="178"/>
      <c r="AC673" s="178"/>
      <c r="AD673" s="178"/>
      <c r="AE673" s="178"/>
      <c r="AF673" s="178"/>
      <c r="AG673" s="178"/>
      <c r="AH673" s="178"/>
      <c r="AI673" s="178"/>
      <c r="AJ673" s="178"/>
      <c r="AK673" s="178"/>
      <c r="AL673" s="178"/>
      <c r="AM673" s="178"/>
      <c r="AN673" s="178"/>
      <c r="AO673" s="178"/>
      <c r="AP673" s="178"/>
      <c r="AQ673" s="178"/>
      <c r="AR673" s="178"/>
      <c r="AS673" s="178"/>
      <c r="AT673" s="178"/>
      <c r="AU673" s="178"/>
      <c r="AV673" s="178"/>
      <c r="AW673" s="178"/>
      <c r="AX673" s="178"/>
      <c r="AY673" s="517"/>
      <c r="AZ673" s="131"/>
    </row>
    <row r="674" spans="1:52" ht="15.75" customHeight="1">
      <c r="A674" s="131"/>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c r="AH674" s="178"/>
      <c r="AI674" s="178"/>
      <c r="AJ674" s="178"/>
      <c r="AK674" s="178"/>
      <c r="AL674" s="178"/>
      <c r="AM674" s="178"/>
      <c r="AN674" s="178"/>
      <c r="AO674" s="178"/>
      <c r="AP674" s="178"/>
      <c r="AQ674" s="178"/>
      <c r="AR674" s="178"/>
      <c r="AS674" s="178"/>
      <c r="AT674" s="178"/>
      <c r="AU674" s="178"/>
      <c r="AV674" s="178"/>
      <c r="AW674" s="178"/>
      <c r="AX674" s="178"/>
      <c r="AY674" s="517"/>
      <c r="AZ674" s="131"/>
    </row>
    <row r="675" spans="1:52" ht="15.75" customHeight="1">
      <c r="A675" s="131"/>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c r="AH675" s="178"/>
      <c r="AI675" s="178"/>
      <c r="AJ675" s="178"/>
      <c r="AK675" s="178"/>
      <c r="AL675" s="178"/>
      <c r="AM675" s="178"/>
      <c r="AN675" s="178"/>
      <c r="AO675" s="178"/>
      <c r="AP675" s="178"/>
      <c r="AQ675" s="178"/>
      <c r="AR675" s="178"/>
      <c r="AS675" s="178"/>
      <c r="AT675" s="178"/>
      <c r="AU675" s="178"/>
      <c r="AV675" s="178"/>
      <c r="AW675" s="178"/>
      <c r="AX675" s="178"/>
      <c r="AY675" s="517"/>
      <c r="AZ675" s="131"/>
    </row>
    <row r="676" spans="1:52" ht="15.75" customHeight="1">
      <c r="A676" s="131"/>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c r="AA676" s="178"/>
      <c r="AB676" s="178"/>
      <c r="AC676" s="178"/>
      <c r="AD676" s="178"/>
      <c r="AE676" s="178"/>
      <c r="AF676" s="178"/>
      <c r="AG676" s="178"/>
      <c r="AH676" s="178"/>
      <c r="AI676" s="178"/>
      <c r="AJ676" s="178"/>
      <c r="AK676" s="178"/>
      <c r="AL676" s="178"/>
      <c r="AM676" s="178"/>
      <c r="AN676" s="178"/>
      <c r="AO676" s="178"/>
      <c r="AP676" s="178"/>
      <c r="AQ676" s="178"/>
      <c r="AR676" s="178"/>
      <c r="AS676" s="178"/>
      <c r="AT676" s="178"/>
      <c r="AU676" s="178"/>
      <c r="AV676" s="178"/>
      <c r="AW676" s="178"/>
      <c r="AX676" s="178"/>
      <c r="AY676" s="517"/>
      <c r="AZ676" s="131"/>
    </row>
    <row r="677" spans="1:52" ht="15.75" customHeight="1">
      <c r="A677" s="131"/>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c r="AA677" s="178"/>
      <c r="AB677" s="178"/>
      <c r="AC677" s="178"/>
      <c r="AD677" s="178"/>
      <c r="AE677" s="178"/>
      <c r="AF677" s="178"/>
      <c r="AG677" s="178"/>
      <c r="AH677" s="178"/>
      <c r="AI677" s="178"/>
      <c r="AJ677" s="178"/>
      <c r="AK677" s="178"/>
      <c r="AL677" s="178"/>
      <c r="AM677" s="178"/>
      <c r="AN677" s="178"/>
      <c r="AO677" s="178"/>
      <c r="AP677" s="178"/>
      <c r="AQ677" s="178"/>
      <c r="AR677" s="178"/>
      <c r="AS677" s="178"/>
      <c r="AT677" s="178"/>
      <c r="AU677" s="178"/>
      <c r="AV677" s="178"/>
      <c r="AW677" s="178"/>
      <c r="AX677" s="178"/>
      <c r="AY677" s="517"/>
      <c r="AZ677" s="131"/>
    </row>
    <row r="678" spans="1:52" ht="15.75" customHeight="1">
      <c r="A678" s="131"/>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c r="AA678" s="178"/>
      <c r="AB678" s="178"/>
      <c r="AC678" s="178"/>
      <c r="AD678" s="178"/>
      <c r="AE678" s="178"/>
      <c r="AF678" s="178"/>
      <c r="AG678" s="178"/>
      <c r="AH678" s="178"/>
      <c r="AI678" s="178"/>
      <c r="AJ678" s="178"/>
      <c r="AK678" s="178"/>
      <c r="AL678" s="178"/>
      <c r="AM678" s="178"/>
      <c r="AN678" s="178"/>
      <c r="AO678" s="178"/>
      <c r="AP678" s="178"/>
      <c r="AQ678" s="178"/>
      <c r="AR678" s="178"/>
      <c r="AS678" s="178"/>
      <c r="AT678" s="178"/>
      <c r="AU678" s="178"/>
      <c r="AV678" s="178"/>
      <c r="AW678" s="178"/>
      <c r="AX678" s="178"/>
      <c r="AY678" s="517"/>
      <c r="AZ678" s="131"/>
    </row>
    <row r="679" spans="1:52" ht="15.75" customHeight="1">
      <c r="A679" s="131"/>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c r="AH679" s="178"/>
      <c r="AI679" s="178"/>
      <c r="AJ679" s="178"/>
      <c r="AK679" s="178"/>
      <c r="AL679" s="178"/>
      <c r="AM679" s="178"/>
      <c r="AN679" s="178"/>
      <c r="AO679" s="178"/>
      <c r="AP679" s="178"/>
      <c r="AQ679" s="178"/>
      <c r="AR679" s="178"/>
      <c r="AS679" s="178"/>
      <c r="AT679" s="178"/>
      <c r="AU679" s="178"/>
      <c r="AV679" s="178"/>
      <c r="AW679" s="178"/>
      <c r="AX679" s="178"/>
      <c r="AY679" s="517"/>
      <c r="AZ679" s="131"/>
    </row>
    <row r="680" spans="1:52" ht="15.75" customHeight="1">
      <c r="A680" s="131"/>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c r="AH680" s="178"/>
      <c r="AI680" s="178"/>
      <c r="AJ680" s="178"/>
      <c r="AK680" s="178"/>
      <c r="AL680" s="178"/>
      <c r="AM680" s="178"/>
      <c r="AN680" s="178"/>
      <c r="AO680" s="178"/>
      <c r="AP680" s="178"/>
      <c r="AQ680" s="178"/>
      <c r="AR680" s="178"/>
      <c r="AS680" s="178"/>
      <c r="AT680" s="178"/>
      <c r="AU680" s="178"/>
      <c r="AV680" s="178"/>
      <c r="AW680" s="178"/>
      <c r="AX680" s="178"/>
      <c r="AY680" s="517"/>
      <c r="AZ680" s="131"/>
    </row>
    <row r="681" spans="1:52" ht="15.75" customHeight="1">
      <c r="A681" s="131"/>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c r="AH681" s="178"/>
      <c r="AI681" s="178"/>
      <c r="AJ681" s="178"/>
      <c r="AK681" s="178"/>
      <c r="AL681" s="178"/>
      <c r="AM681" s="178"/>
      <c r="AN681" s="178"/>
      <c r="AO681" s="178"/>
      <c r="AP681" s="178"/>
      <c r="AQ681" s="178"/>
      <c r="AR681" s="178"/>
      <c r="AS681" s="178"/>
      <c r="AT681" s="178"/>
      <c r="AU681" s="178"/>
      <c r="AV681" s="178"/>
      <c r="AW681" s="178"/>
      <c r="AX681" s="178"/>
      <c r="AY681" s="517"/>
      <c r="AZ681" s="131"/>
    </row>
    <row r="682" spans="1:52" ht="15.75" customHeight="1">
      <c r="A682" s="131"/>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c r="AH682" s="178"/>
      <c r="AI682" s="178"/>
      <c r="AJ682" s="178"/>
      <c r="AK682" s="178"/>
      <c r="AL682" s="178"/>
      <c r="AM682" s="178"/>
      <c r="AN682" s="178"/>
      <c r="AO682" s="178"/>
      <c r="AP682" s="178"/>
      <c r="AQ682" s="178"/>
      <c r="AR682" s="178"/>
      <c r="AS682" s="178"/>
      <c r="AT682" s="178"/>
      <c r="AU682" s="178"/>
      <c r="AV682" s="178"/>
      <c r="AW682" s="178"/>
      <c r="AX682" s="178"/>
      <c r="AY682" s="517"/>
      <c r="AZ682" s="131"/>
    </row>
    <row r="683" spans="1:52" ht="15.75" customHeight="1">
      <c r="A683" s="131"/>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c r="AA683" s="178"/>
      <c r="AB683" s="178"/>
      <c r="AC683" s="178"/>
      <c r="AD683" s="178"/>
      <c r="AE683" s="178"/>
      <c r="AF683" s="178"/>
      <c r="AG683" s="178"/>
      <c r="AH683" s="178"/>
      <c r="AI683" s="178"/>
      <c r="AJ683" s="178"/>
      <c r="AK683" s="178"/>
      <c r="AL683" s="178"/>
      <c r="AM683" s="178"/>
      <c r="AN683" s="178"/>
      <c r="AO683" s="178"/>
      <c r="AP683" s="178"/>
      <c r="AQ683" s="178"/>
      <c r="AR683" s="178"/>
      <c r="AS683" s="178"/>
      <c r="AT683" s="178"/>
      <c r="AU683" s="178"/>
      <c r="AV683" s="178"/>
      <c r="AW683" s="178"/>
      <c r="AX683" s="178"/>
      <c r="AY683" s="517"/>
      <c r="AZ683" s="131"/>
    </row>
    <row r="684" spans="1:52" ht="15.75" customHeight="1">
      <c r="A684" s="131"/>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c r="AA684" s="178"/>
      <c r="AB684" s="178"/>
      <c r="AC684" s="178"/>
      <c r="AD684" s="178"/>
      <c r="AE684" s="178"/>
      <c r="AF684" s="178"/>
      <c r="AG684" s="178"/>
      <c r="AH684" s="178"/>
      <c r="AI684" s="178"/>
      <c r="AJ684" s="178"/>
      <c r="AK684" s="178"/>
      <c r="AL684" s="178"/>
      <c r="AM684" s="178"/>
      <c r="AN684" s="178"/>
      <c r="AO684" s="178"/>
      <c r="AP684" s="178"/>
      <c r="AQ684" s="178"/>
      <c r="AR684" s="178"/>
      <c r="AS684" s="178"/>
      <c r="AT684" s="178"/>
      <c r="AU684" s="178"/>
      <c r="AV684" s="178"/>
      <c r="AW684" s="178"/>
      <c r="AX684" s="178"/>
      <c r="AY684" s="517"/>
      <c r="AZ684" s="131"/>
    </row>
    <row r="685" spans="1:52" ht="15.75" customHeight="1">
      <c r="A685" s="131"/>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c r="AA685" s="178"/>
      <c r="AB685" s="178"/>
      <c r="AC685" s="178"/>
      <c r="AD685" s="178"/>
      <c r="AE685" s="178"/>
      <c r="AF685" s="178"/>
      <c r="AG685" s="178"/>
      <c r="AH685" s="178"/>
      <c r="AI685" s="178"/>
      <c r="AJ685" s="178"/>
      <c r="AK685" s="178"/>
      <c r="AL685" s="178"/>
      <c r="AM685" s="178"/>
      <c r="AN685" s="178"/>
      <c r="AO685" s="178"/>
      <c r="AP685" s="178"/>
      <c r="AQ685" s="178"/>
      <c r="AR685" s="178"/>
      <c r="AS685" s="178"/>
      <c r="AT685" s="178"/>
      <c r="AU685" s="178"/>
      <c r="AV685" s="178"/>
      <c r="AW685" s="178"/>
      <c r="AX685" s="178"/>
      <c r="AY685" s="517"/>
      <c r="AZ685" s="131"/>
    </row>
    <row r="686" spans="1:52" ht="15.75" customHeight="1">
      <c r="A686" s="131"/>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c r="AH686" s="178"/>
      <c r="AI686" s="178"/>
      <c r="AJ686" s="178"/>
      <c r="AK686" s="178"/>
      <c r="AL686" s="178"/>
      <c r="AM686" s="178"/>
      <c r="AN686" s="178"/>
      <c r="AO686" s="178"/>
      <c r="AP686" s="178"/>
      <c r="AQ686" s="178"/>
      <c r="AR686" s="178"/>
      <c r="AS686" s="178"/>
      <c r="AT686" s="178"/>
      <c r="AU686" s="178"/>
      <c r="AV686" s="178"/>
      <c r="AW686" s="178"/>
      <c r="AX686" s="178"/>
      <c r="AY686" s="517"/>
      <c r="AZ686" s="131"/>
    </row>
    <row r="687" spans="1:52" ht="15.75" customHeight="1">
      <c r="A687" s="131"/>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c r="AH687" s="178"/>
      <c r="AI687" s="178"/>
      <c r="AJ687" s="178"/>
      <c r="AK687" s="178"/>
      <c r="AL687" s="178"/>
      <c r="AM687" s="178"/>
      <c r="AN687" s="178"/>
      <c r="AO687" s="178"/>
      <c r="AP687" s="178"/>
      <c r="AQ687" s="178"/>
      <c r="AR687" s="178"/>
      <c r="AS687" s="178"/>
      <c r="AT687" s="178"/>
      <c r="AU687" s="178"/>
      <c r="AV687" s="178"/>
      <c r="AW687" s="178"/>
      <c r="AX687" s="178"/>
      <c r="AY687" s="517"/>
      <c r="AZ687" s="131"/>
    </row>
    <row r="688" spans="1:52" ht="15.75" customHeight="1">
      <c r="A688" s="131"/>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c r="AA688" s="178"/>
      <c r="AB688" s="178"/>
      <c r="AC688" s="178"/>
      <c r="AD688" s="178"/>
      <c r="AE688" s="178"/>
      <c r="AF688" s="178"/>
      <c r="AG688" s="178"/>
      <c r="AH688" s="178"/>
      <c r="AI688" s="178"/>
      <c r="AJ688" s="178"/>
      <c r="AK688" s="178"/>
      <c r="AL688" s="178"/>
      <c r="AM688" s="178"/>
      <c r="AN688" s="178"/>
      <c r="AO688" s="178"/>
      <c r="AP688" s="178"/>
      <c r="AQ688" s="178"/>
      <c r="AR688" s="178"/>
      <c r="AS688" s="178"/>
      <c r="AT688" s="178"/>
      <c r="AU688" s="178"/>
      <c r="AV688" s="178"/>
      <c r="AW688" s="178"/>
      <c r="AX688" s="178"/>
      <c r="AY688" s="517"/>
      <c r="AZ688" s="131"/>
    </row>
    <row r="689" spans="1:52" ht="15.75" customHeight="1">
      <c r="A689" s="131"/>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c r="AA689" s="178"/>
      <c r="AB689" s="178"/>
      <c r="AC689" s="178"/>
      <c r="AD689" s="178"/>
      <c r="AE689" s="178"/>
      <c r="AF689" s="178"/>
      <c r="AG689" s="178"/>
      <c r="AH689" s="178"/>
      <c r="AI689" s="178"/>
      <c r="AJ689" s="178"/>
      <c r="AK689" s="178"/>
      <c r="AL689" s="178"/>
      <c r="AM689" s="178"/>
      <c r="AN689" s="178"/>
      <c r="AO689" s="178"/>
      <c r="AP689" s="178"/>
      <c r="AQ689" s="178"/>
      <c r="AR689" s="178"/>
      <c r="AS689" s="178"/>
      <c r="AT689" s="178"/>
      <c r="AU689" s="178"/>
      <c r="AV689" s="178"/>
      <c r="AW689" s="178"/>
      <c r="AX689" s="178"/>
      <c r="AY689" s="517"/>
      <c r="AZ689" s="131"/>
    </row>
    <row r="690" spans="1:52" ht="15.75" customHeight="1">
      <c r="A690" s="131"/>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c r="AA690" s="178"/>
      <c r="AB690" s="178"/>
      <c r="AC690" s="178"/>
      <c r="AD690" s="178"/>
      <c r="AE690" s="178"/>
      <c r="AF690" s="178"/>
      <c r="AG690" s="178"/>
      <c r="AH690" s="178"/>
      <c r="AI690" s="178"/>
      <c r="AJ690" s="178"/>
      <c r="AK690" s="178"/>
      <c r="AL690" s="178"/>
      <c r="AM690" s="178"/>
      <c r="AN690" s="178"/>
      <c r="AO690" s="178"/>
      <c r="AP690" s="178"/>
      <c r="AQ690" s="178"/>
      <c r="AR690" s="178"/>
      <c r="AS690" s="178"/>
      <c r="AT690" s="178"/>
      <c r="AU690" s="178"/>
      <c r="AV690" s="178"/>
      <c r="AW690" s="178"/>
      <c r="AX690" s="178"/>
      <c r="AY690" s="517"/>
      <c r="AZ690" s="131"/>
    </row>
    <row r="691" spans="1:52" ht="15.75" customHeight="1">
      <c r="A691" s="131"/>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c r="AA691" s="178"/>
      <c r="AB691" s="178"/>
      <c r="AC691" s="178"/>
      <c r="AD691" s="178"/>
      <c r="AE691" s="178"/>
      <c r="AF691" s="178"/>
      <c r="AG691" s="178"/>
      <c r="AH691" s="178"/>
      <c r="AI691" s="178"/>
      <c r="AJ691" s="178"/>
      <c r="AK691" s="178"/>
      <c r="AL691" s="178"/>
      <c r="AM691" s="178"/>
      <c r="AN691" s="178"/>
      <c r="AO691" s="178"/>
      <c r="AP691" s="178"/>
      <c r="AQ691" s="178"/>
      <c r="AR691" s="178"/>
      <c r="AS691" s="178"/>
      <c r="AT691" s="178"/>
      <c r="AU691" s="178"/>
      <c r="AV691" s="178"/>
      <c r="AW691" s="178"/>
      <c r="AX691" s="178"/>
      <c r="AY691" s="517"/>
      <c r="AZ691" s="131"/>
    </row>
    <row r="692" spans="1:52" ht="15.75" customHeight="1">
      <c r="A692" s="131"/>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c r="AA692" s="178"/>
      <c r="AB692" s="178"/>
      <c r="AC692" s="178"/>
      <c r="AD692" s="178"/>
      <c r="AE692" s="178"/>
      <c r="AF692" s="178"/>
      <c r="AG692" s="178"/>
      <c r="AH692" s="178"/>
      <c r="AI692" s="178"/>
      <c r="AJ692" s="178"/>
      <c r="AK692" s="178"/>
      <c r="AL692" s="178"/>
      <c r="AM692" s="178"/>
      <c r="AN692" s="178"/>
      <c r="AO692" s="178"/>
      <c r="AP692" s="178"/>
      <c r="AQ692" s="178"/>
      <c r="AR692" s="178"/>
      <c r="AS692" s="178"/>
      <c r="AT692" s="178"/>
      <c r="AU692" s="178"/>
      <c r="AV692" s="178"/>
      <c r="AW692" s="178"/>
      <c r="AX692" s="178"/>
      <c r="AY692" s="517"/>
      <c r="AZ692" s="131"/>
    </row>
    <row r="693" spans="1:52" ht="15.75" customHeight="1">
      <c r="A693" s="131"/>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c r="AH693" s="178"/>
      <c r="AI693" s="178"/>
      <c r="AJ693" s="178"/>
      <c r="AK693" s="178"/>
      <c r="AL693" s="178"/>
      <c r="AM693" s="178"/>
      <c r="AN693" s="178"/>
      <c r="AO693" s="178"/>
      <c r="AP693" s="178"/>
      <c r="AQ693" s="178"/>
      <c r="AR693" s="178"/>
      <c r="AS693" s="178"/>
      <c r="AT693" s="178"/>
      <c r="AU693" s="178"/>
      <c r="AV693" s="178"/>
      <c r="AW693" s="178"/>
      <c r="AX693" s="178"/>
      <c r="AY693" s="517"/>
      <c r="AZ693" s="131"/>
    </row>
    <row r="694" spans="1:52" ht="15.75" customHeight="1">
      <c r="A694" s="131"/>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c r="AH694" s="178"/>
      <c r="AI694" s="178"/>
      <c r="AJ694" s="178"/>
      <c r="AK694" s="178"/>
      <c r="AL694" s="178"/>
      <c r="AM694" s="178"/>
      <c r="AN694" s="178"/>
      <c r="AO694" s="178"/>
      <c r="AP694" s="178"/>
      <c r="AQ694" s="178"/>
      <c r="AR694" s="178"/>
      <c r="AS694" s="178"/>
      <c r="AT694" s="178"/>
      <c r="AU694" s="178"/>
      <c r="AV694" s="178"/>
      <c r="AW694" s="178"/>
      <c r="AX694" s="178"/>
      <c r="AY694" s="517"/>
      <c r="AZ694" s="131"/>
    </row>
    <row r="695" spans="1:52" ht="15.75" customHeight="1">
      <c r="A695" s="131"/>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c r="AA695" s="178"/>
      <c r="AB695" s="178"/>
      <c r="AC695" s="178"/>
      <c r="AD695" s="178"/>
      <c r="AE695" s="178"/>
      <c r="AF695" s="178"/>
      <c r="AG695" s="178"/>
      <c r="AH695" s="178"/>
      <c r="AI695" s="178"/>
      <c r="AJ695" s="178"/>
      <c r="AK695" s="178"/>
      <c r="AL695" s="178"/>
      <c r="AM695" s="178"/>
      <c r="AN695" s="178"/>
      <c r="AO695" s="178"/>
      <c r="AP695" s="178"/>
      <c r="AQ695" s="178"/>
      <c r="AR695" s="178"/>
      <c r="AS695" s="178"/>
      <c r="AT695" s="178"/>
      <c r="AU695" s="178"/>
      <c r="AV695" s="178"/>
      <c r="AW695" s="178"/>
      <c r="AX695" s="178"/>
      <c r="AY695" s="517"/>
      <c r="AZ695" s="131"/>
    </row>
    <row r="696" spans="1:52" ht="15.75" customHeight="1">
      <c r="A696" s="131"/>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c r="AA696" s="178"/>
      <c r="AB696" s="178"/>
      <c r="AC696" s="178"/>
      <c r="AD696" s="178"/>
      <c r="AE696" s="178"/>
      <c r="AF696" s="178"/>
      <c r="AG696" s="178"/>
      <c r="AH696" s="178"/>
      <c r="AI696" s="178"/>
      <c r="AJ696" s="178"/>
      <c r="AK696" s="178"/>
      <c r="AL696" s="178"/>
      <c r="AM696" s="178"/>
      <c r="AN696" s="178"/>
      <c r="AO696" s="178"/>
      <c r="AP696" s="178"/>
      <c r="AQ696" s="178"/>
      <c r="AR696" s="178"/>
      <c r="AS696" s="178"/>
      <c r="AT696" s="178"/>
      <c r="AU696" s="178"/>
      <c r="AV696" s="178"/>
      <c r="AW696" s="178"/>
      <c r="AX696" s="178"/>
      <c r="AY696" s="517"/>
      <c r="AZ696" s="131"/>
    </row>
    <row r="697" spans="1:52" ht="15.75" customHeight="1">
      <c r="A697" s="131"/>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c r="AA697" s="178"/>
      <c r="AB697" s="178"/>
      <c r="AC697" s="178"/>
      <c r="AD697" s="178"/>
      <c r="AE697" s="178"/>
      <c r="AF697" s="178"/>
      <c r="AG697" s="178"/>
      <c r="AH697" s="178"/>
      <c r="AI697" s="178"/>
      <c r="AJ697" s="178"/>
      <c r="AK697" s="178"/>
      <c r="AL697" s="178"/>
      <c r="AM697" s="178"/>
      <c r="AN697" s="178"/>
      <c r="AO697" s="178"/>
      <c r="AP697" s="178"/>
      <c r="AQ697" s="178"/>
      <c r="AR697" s="178"/>
      <c r="AS697" s="178"/>
      <c r="AT697" s="178"/>
      <c r="AU697" s="178"/>
      <c r="AV697" s="178"/>
      <c r="AW697" s="178"/>
      <c r="AX697" s="178"/>
      <c r="AY697" s="517"/>
      <c r="AZ697" s="131"/>
    </row>
    <row r="698" spans="1:52" ht="15.75" customHeight="1">
      <c r="A698" s="131"/>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c r="AH698" s="178"/>
      <c r="AI698" s="178"/>
      <c r="AJ698" s="178"/>
      <c r="AK698" s="178"/>
      <c r="AL698" s="178"/>
      <c r="AM698" s="178"/>
      <c r="AN698" s="178"/>
      <c r="AO698" s="178"/>
      <c r="AP698" s="178"/>
      <c r="AQ698" s="178"/>
      <c r="AR698" s="178"/>
      <c r="AS698" s="178"/>
      <c r="AT698" s="178"/>
      <c r="AU698" s="178"/>
      <c r="AV698" s="178"/>
      <c r="AW698" s="178"/>
      <c r="AX698" s="178"/>
      <c r="AY698" s="517"/>
      <c r="AZ698" s="131"/>
    </row>
    <row r="699" spans="1:52" ht="15.75" customHeight="1">
      <c r="A699" s="131"/>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c r="AH699" s="178"/>
      <c r="AI699" s="178"/>
      <c r="AJ699" s="178"/>
      <c r="AK699" s="178"/>
      <c r="AL699" s="178"/>
      <c r="AM699" s="178"/>
      <c r="AN699" s="178"/>
      <c r="AO699" s="178"/>
      <c r="AP699" s="178"/>
      <c r="AQ699" s="178"/>
      <c r="AR699" s="178"/>
      <c r="AS699" s="178"/>
      <c r="AT699" s="178"/>
      <c r="AU699" s="178"/>
      <c r="AV699" s="178"/>
      <c r="AW699" s="178"/>
      <c r="AX699" s="178"/>
      <c r="AY699" s="517"/>
      <c r="AZ699" s="131"/>
    </row>
    <row r="700" spans="1:52" ht="15.75" customHeight="1">
      <c r="A700" s="131"/>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c r="AA700" s="178"/>
      <c r="AB700" s="178"/>
      <c r="AC700" s="178"/>
      <c r="AD700" s="178"/>
      <c r="AE700" s="178"/>
      <c r="AF700" s="178"/>
      <c r="AG700" s="178"/>
      <c r="AH700" s="178"/>
      <c r="AI700" s="178"/>
      <c r="AJ700" s="178"/>
      <c r="AK700" s="178"/>
      <c r="AL700" s="178"/>
      <c r="AM700" s="178"/>
      <c r="AN700" s="178"/>
      <c r="AO700" s="178"/>
      <c r="AP700" s="178"/>
      <c r="AQ700" s="178"/>
      <c r="AR700" s="178"/>
      <c r="AS700" s="178"/>
      <c r="AT700" s="178"/>
      <c r="AU700" s="178"/>
      <c r="AV700" s="178"/>
      <c r="AW700" s="178"/>
      <c r="AX700" s="178"/>
      <c r="AY700" s="517"/>
      <c r="AZ700" s="131"/>
    </row>
    <row r="701" spans="1:52" ht="15.75" customHeight="1">
      <c r="A701" s="131"/>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c r="AA701" s="178"/>
      <c r="AB701" s="178"/>
      <c r="AC701" s="178"/>
      <c r="AD701" s="178"/>
      <c r="AE701" s="178"/>
      <c r="AF701" s="178"/>
      <c r="AG701" s="178"/>
      <c r="AH701" s="178"/>
      <c r="AI701" s="178"/>
      <c r="AJ701" s="178"/>
      <c r="AK701" s="178"/>
      <c r="AL701" s="178"/>
      <c r="AM701" s="178"/>
      <c r="AN701" s="178"/>
      <c r="AO701" s="178"/>
      <c r="AP701" s="178"/>
      <c r="AQ701" s="178"/>
      <c r="AR701" s="178"/>
      <c r="AS701" s="178"/>
      <c r="AT701" s="178"/>
      <c r="AU701" s="178"/>
      <c r="AV701" s="178"/>
      <c r="AW701" s="178"/>
      <c r="AX701" s="178"/>
      <c r="AY701" s="517"/>
      <c r="AZ701" s="131"/>
    </row>
    <row r="702" spans="1:52" ht="15.75" customHeight="1">
      <c r="A702" s="131"/>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c r="AA702" s="178"/>
      <c r="AB702" s="178"/>
      <c r="AC702" s="178"/>
      <c r="AD702" s="178"/>
      <c r="AE702" s="178"/>
      <c r="AF702" s="178"/>
      <c r="AG702" s="178"/>
      <c r="AH702" s="178"/>
      <c r="AI702" s="178"/>
      <c r="AJ702" s="178"/>
      <c r="AK702" s="178"/>
      <c r="AL702" s="178"/>
      <c r="AM702" s="178"/>
      <c r="AN702" s="178"/>
      <c r="AO702" s="178"/>
      <c r="AP702" s="178"/>
      <c r="AQ702" s="178"/>
      <c r="AR702" s="178"/>
      <c r="AS702" s="178"/>
      <c r="AT702" s="178"/>
      <c r="AU702" s="178"/>
      <c r="AV702" s="178"/>
      <c r="AW702" s="178"/>
      <c r="AX702" s="178"/>
      <c r="AY702" s="517"/>
      <c r="AZ702" s="131"/>
    </row>
    <row r="703" spans="1:52" ht="15.75" customHeight="1">
      <c r="A703" s="131"/>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c r="AH703" s="178"/>
      <c r="AI703" s="178"/>
      <c r="AJ703" s="178"/>
      <c r="AK703" s="178"/>
      <c r="AL703" s="178"/>
      <c r="AM703" s="178"/>
      <c r="AN703" s="178"/>
      <c r="AO703" s="178"/>
      <c r="AP703" s="178"/>
      <c r="AQ703" s="178"/>
      <c r="AR703" s="178"/>
      <c r="AS703" s="178"/>
      <c r="AT703" s="178"/>
      <c r="AU703" s="178"/>
      <c r="AV703" s="178"/>
      <c r="AW703" s="178"/>
      <c r="AX703" s="178"/>
      <c r="AY703" s="517"/>
      <c r="AZ703" s="131"/>
    </row>
    <row r="704" spans="1:52" ht="15.75" customHeight="1">
      <c r="A704" s="131"/>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c r="AH704" s="178"/>
      <c r="AI704" s="178"/>
      <c r="AJ704" s="178"/>
      <c r="AK704" s="178"/>
      <c r="AL704" s="178"/>
      <c r="AM704" s="178"/>
      <c r="AN704" s="178"/>
      <c r="AO704" s="178"/>
      <c r="AP704" s="178"/>
      <c r="AQ704" s="178"/>
      <c r="AR704" s="178"/>
      <c r="AS704" s="178"/>
      <c r="AT704" s="178"/>
      <c r="AU704" s="178"/>
      <c r="AV704" s="178"/>
      <c r="AW704" s="178"/>
      <c r="AX704" s="178"/>
      <c r="AY704" s="517"/>
      <c r="AZ704" s="131"/>
    </row>
    <row r="705" spans="1:52" ht="15.75" customHeight="1">
      <c r="A705" s="131"/>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c r="AA705" s="178"/>
      <c r="AB705" s="178"/>
      <c r="AC705" s="178"/>
      <c r="AD705" s="178"/>
      <c r="AE705" s="178"/>
      <c r="AF705" s="178"/>
      <c r="AG705" s="178"/>
      <c r="AH705" s="178"/>
      <c r="AI705" s="178"/>
      <c r="AJ705" s="178"/>
      <c r="AK705" s="178"/>
      <c r="AL705" s="178"/>
      <c r="AM705" s="178"/>
      <c r="AN705" s="178"/>
      <c r="AO705" s="178"/>
      <c r="AP705" s="178"/>
      <c r="AQ705" s="178"/>
      <c r="AR705" s="178"/>
      <c r="AS705" s="178"/>
      <c r="AT705" s="178"/>
      <c r="AU705" s="178"/>
      <c r="AV705" s="178"/>
      <c r="AW705" s="178"/>
      <c r="AX705" s="178"/>
      <c r="AY705" s="517"/>
      <c r="AZ705" s="131"/>
    </row>
    <row r="706" spans="1:52" ht="15.75" customHeight="1">
      <c r="A706" s="131"/>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c r="AA706" s="178"/>
      <c r="AB706" s="178"/>
      <c r="AC706" s="178"/>
      <c r="AD706" s="178"/>
      <c r="AE706" s="178"/>
      <c r="AF706" s="178"/>
      <c r="AG706" s="178"/>
      <c r="AH706" s="178"/>
      <c r="AI706" s="178"/>
      <c r="AJ706" s="178"/>
      <c r="AK706" s="178"/>
      <c r="AL706" s="178"/>
      <c r="AM706" s="178"/>
      <c r="AN706" s="178"/>
      <c r="AO706" s="178"/>
      <c r="AP706" s="178"/>
      <c r="AQ706" s="178"/>
      <c r="AR706" s="178"/>
      <c r="AS706" s="178"/>
      <c r="AT706" s="178"/>
      <c r="AU706" s="178"/>
      <c r="AV706" s="178"/>
      <c r="AW706" s="178"/>
      <c r="AX706" s="178"/>
      <c r="AY706" s="517"/>
      <c r="AZ706" s="131"/>
    </row>
    <row r="707" spans="1:52" ht="15.75" customHeight="1">
      <c r="A707" s="131"/>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c r="AH707" s="178"/>
      <c r="AI707" s="178"/>
      <c r="AJ707" s="178"/>
      <c r="AK707" s="178"/>
      <c r="AL707" s="178"/>
      <c r="AM707" s="178"/>
      <c r="AN707" s="178"/>
      <c r="AO707" s="178"/>
      <c r="AP707" s="178"/>
      <c r="AQ707" s="178"/>
      <c r="AR707" s="178"/>
      <c r="AS707" s="178"/>
      <c r="AT707" s="178"/>
      <c r="AU707" s="178"/>
      <c r="AV707" s="178"/>
      <c r="AW707" s="178"/>
      <c r="AX707" s="178"/>
      <c r="AY707" s="517"/>
      <c r="AZ707" s="131"/>
    </row>
    <row r="708" spans="1:52" ht="15.75" customHeight="1">
      <c r="A708" s="131"/>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c r="AH708" s="178"/>
      <c r="AI708" s="178"/>
      <c r="AJ708" s="178"/>
      <c r="AK708" s="178"/>
      <c r="AL708" s="178"/>
      <c r="AM708" s="178"/>
      <c r="AN708" s="178"/>
      <c r="AO708" s="178"/>
      <c r="AP708" s="178"/>
      <c r="AQ708" s="178"/>
      <c r="AR708" s="178"/>
      <c r="AS708" s="178"/>
      <c r="AT708" s="178"/>
      <c r="AU708" s="178"/>
      <c r="AV708" s="178"/>
      <c r="AW708" s="178"/>
      <c r="AX708" s="178"/>
      <c r="AY708" s="517"/>
      <c r="AZ708" s="131"/>
    </row>
    <row r="709" spans="1:52" ht="15.75" customHeight="1">
      <c r="A709" s="131"/>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c r="AA709" s="178"/>
      <c r="AB709" s="178"/>
      <c r="AC709" s="178"/>
      <c r="AD709" s="178"/>
      <c r="AE709" s="178"/>
      <c r="AF709" s="178"/>
      <c r="AG709" s="178"/>
      <c r="AH709" s="178"/>
      <c r="AI709" s="178"/>
      <c r="AJ709" s="178"/>
      <c r="AK709" s="178"/>
      <c r="AL709" s="178"/>
      <c r="AM709" s="178"/>
      <c r="AN709" s="178"/>
      <c r="AO709" s="178"/>
      <c r="AP709" s="178"/>
      <c r="AQ709" s="178"/>
      <c r="AR709" s="178"/>
      <c r="AS709" s="178"/>
      <c r="AT709" s="178"/>
      <c r="AU709" s="178"/>
      <c r="AV709" s="178"/>
      <c r="AW709" s="178"/>
      <c r="AX709" s="178"/>
      <c r="AY709" s="517"/>
      <c r="AZ709" s="131"/>
    </row>
    <row r="710" spans="1:52" ht="15.75" customHeight="1">
      <c r="A710" s="131"/>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c r="AA710" s="178"/>
      <c r="AB710" s="178"/>
      <c r="AC710" s="178"/>
      <c r="AD710" s="178"/>
      <c r="AE710" s="178"/>
      <c r="AF710" s="178"/>
      <c r="AG710" s="178"/>
      <c r="AH710" s="178"/>
      <c r="AI710" s="178"/>
      <c r="AJ710" s="178"/>
      <c r="AK710" s="178"/>
      <c r="AL710" s="178"/>
      <c r="AM710" s="178"/>
      <c r="AN710" s="178"/>
      <c r="AO710" s="178"/>
      <c r="AP710" s="178"/>
      <c r="AQ710" s="178"/>
      <c r="AR710" s="178"/>
      <c r="AS710" s="178"/>
      <c r="AT710" s="178"/>
      <c r="AU710" s="178"/>
      <c r="AV710" s="178"/>
      <c r="AW710" s="178"/>
      <c r="AX710" s="178"/>
      <c r="AY710" s="517"/>
      <c r="AZ710" s="131"/>
    </row>
    <row r="711" spans="1:52" ht="15.75" customHeight="1">
      <c r="A711" s="131"/>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c r="AA711" s="178"/>
      <c r="AB711" s="178"/>
      <c r="AC711" s="178"/>
      <c r="AD711" s="178"/>
      <c r="AE711" s="178"/>
      <c r="AF711" s="178"/>
      <c r="AG711" s="178"/>
      <c r="AH711" s="178"/>
      <c r="AI711" s="178"/>
      <c r="AJ711" s="178"/>
      <c r="AK711" s="178"/>
      <c r="AL711" s="178"/>
      <c r="AM711" s="178"/>
      <c r="AN711" s="178"/>
      <c r="AO711" s="178"/>
      <c r="AP711" s="178"/>
      <c r="AQ711" s="178"/>
      <c r="AR711" s="178"/>
      <c r="AS711" s="178"/>
      <c r="AT711" s="178"/>
      <c r="AU711" s="178"/>
      <c r="AV711" s="178"/>
      <c r="AW711" s="178"/>
      <c r="AX711" s="178"/>
      <c r="AY711" s="517"/>
      <c r="AZ711" s="131"/>
    </row>
    <row r="712" spans="1:52" ht="15.75" customHeight="1">
      <c r="A712" s="131"/>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c r="AH712" s="178"/>
      <c r="AI712" s="178"/>
      <c r="AJ712" s="178"/>
      <c r="AK712" s="178"/>
      <c r="AL712" s="178"/>
      <c r="AM712" s="178"/>
      <c r="AN712" s="178"/>
      <c r="AO712" s="178"/>
      <c r="AP712" s="178"/>
      <c r="AQ712" s="178"/>
      <c r="AR712" s="178"/>
      <c r="AS712" s="178"/>
      <c r="AT712" s="178"/>
      <c r="AU712" s="178"/>
      <c r="AV712" s="178"/>
      <c r="AW712" s="178"/>
      <c r="AX712" s="178"/>
      <c r="AY712" s="517"/>
      <c r="AZ712" s="131"/>
    </row>
    <row r="713" spans="1:52" ht="15.75" customHeight="1">
      <c r="A713" s="131"/>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c r="AH713" s="178"/>
      <c r="AI713" s="178"/>
      <c r="AJ713" s="178"/>
      <c r="AK713" s="178"/>
      <c r="AL713" s="178"/>
      <c r="AM713" s="178"/>
      <c r="AN713" s="178"/>
      <c r="AO713" s="178"/>
      <c r="AP713" s="178"/>
      <c r="AQ713" s="178"/>
      <c r="AR713" s="178"/>
      <c r="AS713" s="178"/>
      <c r="AT713" s="178"/>
      <c r="AU713" s="178"/>
      <c r="AV713" s="178"/>
      <c r="AW713" s="178"/>
      <c r="AX713" s="178"/>
      <c r="AY713" s="517"/>
      <c r="AZ713" s="131"/>
    </row>
    <row r="714" spans="1:52" ht="15.75" customHeight="1">
      <c r="A714" s="131"/>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c r="AA714" s="178"/>
      <c r="AB714" s="178"/>
      <c r="AC714" s="178"/>
      <c r="AD714" s="178"/>
      <c r="AE714" s="178"/>
      <c r="AF714" s="178"/>
      <c r="AG714" s="178"/>
      <c r="AH714" s="178"/>
      <c r="AI714" s="178"/>
      <c r="AJ714" s="178"/>
      <c r="AK714" s="178"/>
      <c r="AL714" s="178"/>
      <c r="AM714" s="178"/>
      <c r="AN714" s="178"/>
      <c r="AO714" s="178"/>
      <c r="AP714" s="178"/>
      <c r="AQ714" s="178"/>
      <c r="AR714" s="178"/>
      <c r="AS714" s="178"/>
      <c r="AT714" s="178"/>
      <c r="AU714" s="178"/>
      <c r="AV714" s="178"/>
      <c r="AW714" s="178"/>
      <c r="AX714" s="178"/>
      <c r="AY714" s="517"/>
      <c r="AZ714" s="131"/>
    </row>
    <row r="715" spans="1:52" ht="15.75" customHeight="1">
      <c r="A715" s="131"/>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c r="AA715" s="178"/>
      <c r="AB715" s="178"/>
      <c r="AC715" s="178"/>
      <c r="AD715" s="178"/>
      <c r="AE715" s="178"/>
      <c r="AF715" s="178"/>
      <c r="AG715" s="178"/>
      <c r="AH715" s="178"/>
      <c r="AI715" s="178"/>
      <c r="AJ715" s="178"/>
      <c r="AK715" s="178"/>
      <c r="AL715" s="178"/>
      <c r="AM715" s="178"/>
      <c r="AN715" s="178"/>
      <c r="AO715" s="178"/>
      <c r="AP715" s="178"/>
      <c r="AQ715" s="178"/>
      <c r="AR715" s="178"/>
      <c r="AS715" s="178"/>
      <c r="AT715" s="178"/>
      <c r="AU715" s="178"/>
      <c r="AV715" s="178"/>
      <c r="AW715" s="178"/>
      <c r="AX715" s="178"/>
      <c r="AY715" s="517"/>
      <c r="AZ715" s="131"/>
    </row>
    <row r="716" spans="1:52" ht="15.75" customHeight="1">
      <c r="A716" s="131"/>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c r="AH716" s="178"/>
      <c r="AI716" s="178"/>
      <c r="AJ716" s="178"/>
      <c r="AK716" s="178"/>
      <c r="AL716" s="178"/>
      <c r="AM716" s="178"/>
      <c r="AN716" s="178"/>
      <c r="AO716" s="178"/>
      <c r="AP716" s="178"/>
      <c r="AQ716" s="178"/>
      <c r="AR716" s="178"/>
      <c r="AS716" s="178"/>
      <c r="AT716" s="178"/>
      <c r="AU716" s="178"/>
      <c r="AV716" s="178"/>
      <c r="AW716" s="178"/>
      <c r="AX716" s="178"/>
      <c r="AY716" s="517"/>
      <c r="AZ716" s="131"/>
    </row>
    <row r="717" spans="1:52" ht="15.75" customHeight="1">
      <c r="A717" s="131"/>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c r="AH717" s="178"/>
      <c r="AI717" s="178"/>
      <c r="AJ717" s="178"/>
      <c r="AK717" s="178"/>
      <c r="AL717" s="178"/>
      <c r="AM717" s="178"/>
      <c r="AN717" s="178"/>
      <c r="AO717" s="178"/>
      <c r="AP717" s="178"/>
      <c r="AQ717" s="178"/>
      <c r="AR717" s="178"/>
      <c r="AS717" s="178"/>
      <c r="AT717" s="178"/>
      <c r="AU717" s="178"/>
      <c r="AV717" s="178"/>
      <c r="AW717" s="178"/>
      <c r="AX717" s="178"/>
      <c r="AY717" s="517"/>
      <c r="AZ717" s="131"/>
    </row>
    <row r="718" spans="1:52" ht="15.75" customHeight="1">
      <c r="A718" s="131"/>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c r="AH718" s="178"/>
      <c r="AI718" s="178"/>
      <c r="AJ718" s="178"/>
      <c r="AK718" s="178"/>
      <c r="AL718" s="178"/>
      <c r="AM718" s="178"/>
      <c r="AN718" s="178"/>
      <c r="AO718" s="178"/>
      <c r="AP718" s="178"/>
      <c r="AQ718" s="178"/>
      <c r="AR718" s="178"/>
      <c r="AS718" s="178"/>
      <c r="AT718" s="178"/>
      <c r="AU718" s="178"/>
      <c r="AV718" s="178"/>
      <c r="AW718" s="178"/>
      <c r="AX718" s="178"/>
      <c r="AY718" s="517"/>
      <c r="AZ718" s="131"/>
    </row>
    <row r="719" spans="1:52" ht="15.75" customHeight="1">
      <c r="A719" s="131"/>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c r="AH719" s="178"/>
      <c r="AI719" s="178"/>
      <c r="AJ719" s="178"/>
      <c r="AK719" s="178"/>
      <c r="AL719" s="178"/>
      <c r="AM719" s="178"/>
      <c r="AN719" s="178"/>
      <c r="AO719" s="178"/>
      <c r="AP719" s="178"/>
      <c r="AQ719" s="178"/>
      <c r="AR719" s="178"/>
      <c r="AS719" s="178"/>
      <c r="AT719" s="178"/>
      <c r="AU719" s="178"/>
      <c r="AV719" s="178"/>
      <c r="AW719" s="178"/>
      <c r="AX719" s="178"/>
      <c r="AY719" s="517"/>
      <c r="AZ719" s="131"/>
    </row>
    <row r="720" spans="1:52" ht="15.75" customHeight="1">
      <c r="A720" s="131"/>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c r="AH720" s="178"/>
      <c r="AI720" s="178"/>
      <c r="AJ720" s="178"/>
      <c r="AK720" s="178"/>
      <c r="AL720" s="178"/>
      <c r="AM720" s="178"/>
      <c r="AN720" s="178"/>
      <c r="AO720" s="178"/>
      <c r="AP720" s="178"/>
      <c r="AQ720" s="178"/>
      <c r="AR720" s="178"/>
      <c r="AS720" s="178"/>
      <c r="AT720" s="178"/>
      <c r="AU720" s="178"/>
      <c r="AV720" s="178"/>
      <c r="AW720" s="178"/>
      <c r="AX720" s="178"/>
      <c r="AY720" s="517"/>
      <c r="AZ720" s="131"/>
    </row>
    <row r="721" spans="1:52" ht="15.75" customHeight="1">
      <c r="A721" s="131"/>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c r="AH721" s="178"/>
      <c r="AI721" s="178"/>
      <c r="AJ721" s="178"/>
      <c r="AK721" s="178"/>
      <c r="AL721" s="178"/>
      <c r="AM721" s="178"/>
      <c r="AN721" s="178"/>
      <c r="AO721" s="178"/>
      <c r="AP721" s="178"/>
      <c r="AQ721" s="178"/>
      <c r="AR721" s="178"/>
      <c r="AS721" s="178"/>
      <c r="AT721" s="178"/>
      <c r="AU721" s="178"/>
      <c r="AV721" s="178"/>
      <c r="AW721" s="178"/>
      <c r="AX721" s="178"/>
      <c r="AY721" s="517"/>
      <c r="AZ721" s="131"/>
    </row>
    <row r="722" spans="1:52" ht="15.75" customHeight="1">
      <c r="A722" s="131"/>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c r="AA722" s="178"/>
      <c r="AB722" s="178"/>
      <c r="AC722" s="178"/>
      <c r="AD722" s="178"/>
      <c r="AE722" s="178"/>
      <c r="AF722" s="178"/>
      <c r="AG722" s="178"/>
      <c r="AH722" s="178"/>
      <c r="AI722" s="178"/>
      <c r="AJ722" s="178"/>
      <c r="AK722" s="178"/>
      <c r="AL722" s="178"/>
      <c r="AM722" s="178"/>
      <c r="AN722" s="178"/>
      <c r="AO722" s="178"/>
      <c r="AP722" s="178"/>
      <c r="AQ722" s="178"/>
      <c r="AR722" s="178"/>
      <c r="AS722" s="178"/>
      <c r="AT722" s="178"/>
      <c r="AU722" s="178"/>
      <c r="AV722" s="178"/>
      <c r="AW722" s="178"/>
      <c r="AX722" s="178"/>
      <c r="AY722" s="517"/>
      <c r="AZ722" s="131"/>
    </row>
    <row r="723" spans="1:52" ht="15.75" customHeight="1">
      <c r="A723" s="131"/>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c r="AA723" s="178"/>
      <c r="AB723" s="178"/>
      <c r="AC723" s="178"/>
      <c r="AD723" s="178"/>
      <c r="AE723" s="178"/>
      <c r="AF723" s="178"/>
      <c r="AG723" s="178"/>
      <c r="AH723" s="178"/>
      <c r="AI723" s="178"/>
      <c r="AJ723" s="178"/>
      <c r="AK723" s="178"/>
      <c r="AL723" s="178"/>
      <c r="AM723" s="178"/>
      <c r="AN723" s="178"/>
      <c r="AO723" s="178"/>
      <c r="AP723" s="178"/>
      <c r="AQ723" s="178"/>
      <c r="AR723" s="178"/>
      <c r="AS723" s="178"/>
      <c r="AT723" s="178"/>
      <c r="AU723" s="178"/>
      <c r="AV723" s="178"/>
      <c r="AW723" s="178"/>
      <c r="AX723" s="178"/>
      <c r="AY723" s="517"/>
      <c r="AZ723" s="131"/>
    </row>
    <row r="724" spans="1:52" ht="15.75" customHeight="1">
      <c r="A724" s="131"/>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c r="AA724" s="178"/>
      <c r="AB724" s="178"/>
      <c r="AC724" s="178"/>
      <c r="AD724" s="178"/>
      <c r="AE724" s="178"/>
      <c r="AF724" s="178"/>
      <c r="AG724" s="178"/>
      <c r="AH724" s="178"/>
      <c r="AI724" s="178"/>
      <c r="AJ724" s="178"/>
      <c r="AK724" s="178"/>
      <c r="AL724" s="178"/>
      <c r="AM724" s="178"/>
      <c r="AN724" s="178"/>
      <c r="AO724" s="178"/>
      <c r="AP724" s="178"/>
      <c r="AQ724" s="178"/>
      <c r="AR724" s="178"/>
      <c r="AS724" s="178"/>
      <c r="AT724" s="178"/>
      <c r="AU724" s="178"/>
      <c r="AV724" s="178"/>
      <c r="AW724" s="178"/>
      <c r="AX724" s="178"/>
      <c r="AY724" s="517"/>
      <c r="AZ724" s="131"/>
    </row>
    <row r="725" spans="1:52" ht="15.75" customHeight="1">
      <c r="A725" s="131"/>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c r="AA725" s="178"/>
      <c r="AB725" s="178"/>
      <c r="AC725" s="178"/>
      <c r="AD725" s="178"/>
      <c r="AE725" s="178"/>
      <c r="AF725" s="178"/>
      <c r="AG725" s="178"/>
      <c r="AH725" s="178"/>
      <c r="AI725" s="178"/>
      <c r="AJ725" s="178"/>
      <c r="AK725" s="178"/>
      <c r="AL725" s="178"/>
      <c r="AM725" s="178"/>
      <c r="AN725" s="178"/>
      <c r="AO725" s="178"/>
      <c r="AP725" s="178"/>
      <c r="AQ725" s="178"/>
      <c r="AR725" s="178"/>
      <c r="AS725" s="178"/>
      <c r="AT725" s="178"/>
      <c r="AU725" s="178"/>
      <c r="AV725" s="178"/>
      <c r="AW725" s="178"/>
      <c r="AX725" s="178"/>
      <c r="AY725" s="517"/>
      <c r="AZ725" s="131"/>
    </row>
    <row r="726" spans="1:52" ht="15.75" customHeight="1">
      <c r="A726" s="131"/>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c r="AA726" s="178"/>
      <c r="AB726" s="178"/>
      <c r="AC726" s="178"/>
      <c r="AD726" s="178"/>
      <c r="AE726" s="178"/>
      <c r="AF726" s="178"/>
      <c r="AG726" s="178"/>
      <c r="AH726" s="178"/>
      <c r="AI726" s="178"/>
      <c r="AJ726" s="178"/>
      <c r="AK726" s="178"/>
      <c r="AL726" s="178"/>
      <c r="AM726" s="178"/>
      <c r="AN726" s="178"/>
      <c r="AO726" s="178"/>
      <c r="AP726" s="178"/>
      <c r="AQ726" s="178"/>
      <c r="AR726" s="178"/>
      <c r="AS726" s="178"/>
      <c r="AT726" s="178"/>
      <c r="AU726" s="178"/>
      <c r="AV726" s="178"/>
      <c r="AW726" s="178"/>
      <c r="AX726" s="178"/>
      <c r="AY726" s="517"/>
      <c r="AZ726" s="131"/>
    </row>
    <row r="727" spans="1:52" ht="15.75" customHeight="1">
      <c r="A727" s="131"/>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c r="AH727" s="178"/>
      <c r="AI727" s="178"/>
      <c r="AJ727" s="178"/>
      <c r="AK727" s="178"/>
      <c r="AL727" s="178"/>
      <c r="AM727" s="178"/>
      <c r="AN727" s="178"/>
      <c r="AO727" s="178"/>
      <c r="AP727" s="178"/>
      <c r="AQ727" s="178"/>
      <c r="AR727" s="178"/>
      <c r="AS727" s="178"/>
      <c r="AT727" s="178"/>
      <c r="AU727" s="178"/>
      <c r="AV727" s="178"/>
      <c r="AW727" s="178"/>
      <c r="AX727" s="178"/>
      <c r="AY727" s="517"/>
      <c r="AZ727" s="131"/>
    </row>
    <row r="728" spans="1:52" ht="15.75" customHeight="1">
      <c r="A728" s="131"/>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c r="AH728" s="178"/>
      <c r="AI728" s="178"/>
      <c r="AJ728" s="178"/>
      <c r="AK728" s="178"/>
      <c r="AL728" s="178"/>
      <c r="AM728" s="178"/>
      <c r="AN728" s="178"/>
      <c r="AO728" s="178"/>
      <c r="AP728" s="178"/>
      <c r="AQ728" s="178"/>
      <c r="AR728" s="178"/>
      <c r="AS728" s="178"/>
      <c r="AT728" s="178"/>
      <c r="AU728" s="178"/>
      <c r="AV728" s="178"/>
      <c r="AW728" s="178"/>
      <c r="AX728" s="178"/>
      <c r="AY728" s="517"/>
      <c r="AZ728" s="131"/>
    </row>
    <row r="729" spans="1:52" ht="15.75" customHeight="1">
      <c r="A729" s="131"/>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c r="AA729" s="178"/>
      <c r="AB729" s="178"/>
      <c r="AC729" s="178"/>
      <c r="AD729" s="178"/>
      <c r="AE729" s="178"/>
      <c r="AF729" s="178"/>
      <c r="AG729" s="178"/>
      <c r="AH729" s="178"/>
      <c r="AI729" s="178"/>
      <c r="AJ729" s="178"/>
      <c r="AK729" s="178"/>
      <c r="AL729" s="178"/>
      <c r="AM729" s="178"/>
      <c r="AN729" s="178"/>
      <c r="AO729" s="178"/>
      <c r="AP729" s="178"/>
      <c r="AQ729" s="178"/>
      <c r="AR729" s="178"/>
      <c r="AS729" s="178"/>
      <c r="AT729" s="178"/>
      <c r="AU729" s="178"/>
      <c r="AV729" s="178"/>
      <c r="AW729" s="178"/>
      <c r="AX729" s="178"/>
      <c r="AY729" s="517"/>
      <c r="AZ729" s="131"/>
    </row>
    <row r="730" spans="1:52" ht="15.75" customHeight="1">
      <c r="A730" s="131"/>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c r="AA730" s="178"/>
      <c r="AB730" s="178"/>
      <c r="AC730" s="178"/>
      <c r="AD730" s="178"/>
      <c r="AE730" s="178"/>
      <c r="AF730" s="178"/>
      <c r="AG730" s="178"/>
      <c r="AH730" s="178"/>
      <c r="AI730" s="178"/>
      <c r="AJ730" s="178"/>
      <c r="AK730" s="178"/>
      <c r="AL730" s="178"/>
      <c r="AM730" s="178"/>
      <c r="AN730" s="178"/>
      <c r="AO730" s="178"/>
      <c r="AP730" s="178"/>
      <c r="AQ730" s="178"/>
      <c r="AR730" s="178"/>
      <c r="AS730" s="178"/>
      <c r="AT730" s="178"/>
      <c r="AU730" s="178"/>
      <c r="AV730" s="178"/>
      <c r="AW730" s="178"/>
      <c r="AX730" s="178"/>
      <c r="AY730" s="517"/>
      <c r="AZ730" s="131"/>
    </row>
    <row r="731" spans="1:52" ht="15.75" customHeight="1">
      <c r="A731" s="131"/>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c r="AA731" s="178"/>
      <c r="AB731" s="178"/>
      <c r="AC731" s="178"/>
      <c r="AD731" s="178"/>
      <c r="AE731" s="178"/>
      <c r="AF731" s="178"/>
      <c r="AG731" s="178"/>
      <c r="AH731" s="178"/>
      <c r="AI731" s="178"/>
      <c r="AJ731" s="178"/>
      <c r="AK731" s="178"/>
      <c r="AL731" s="178"/>
      <c r="AM731" s="178"/>
      <c r="AN731" s="178"/>
      <c r="AO731" s="178"/>
      <c r="AP731" s="178"/>
      <c r="AQ731" s="178"/>
      <c r="AR731" s="178"/>
      <c r="AS731" s="178"/>
      <c r="AT731" s="178"/>
      <c r="AU731" s="178"/>
      <c r="AV731" s="178"/>
      <c r="AW731" s="178"/>
      <c r="AX731" s="178"/>
      <c r="AY731" s="517"/>
      <c r="AZ731" s="131"/>
    </row>
    <row r="732" spans="1:52" ht="15.75" customHeight="1">
      <c r="A732" s="131"/>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c r="AH732" s="178"/>
      <c r="AI732" s="178"/>
      <c r="AJ732" s="178"/>
      <c r="AK732" s="178"/>
      <c r="AL732" s="178"/>
      <c r="AM732" s="178"/>
      <c r="AN732" s="178"/>
      <c r="AO732" s="178"/>
      <c r="AP732" s="178"/>
      <c r="AQ732" s="178"/>
      <c r="AR732" s="178"/>
      <c r="AS732" s="178"/>
      <c r="AT732" s="178"/>
      <c r="AU732" s="178"/>
      <c r="AV732" s="178"/>
      <c r="AW732" s="178"/>
      <c r="AX732" s="178"/>
      <c r="AY732" s="517"/>
      <c r="AZ732" s="131"/>
    </row>
    <row r="733" spans="1:52" ht="15.75" customHeight="1">
      <c r="A733" s="131"/>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c r="AH733" s="178"/>
      <c r="AI733" s="178"/>
      <c r="AJ733" s="178"/>
      <c r="AK733" s="178"/>
      <c r="AL733" s="178"/>
      <c r="AM733" s="178"/>
      <c r="AN733" s="178"/>
      <c r="AO733" s="178"/>
      <c r="AP733" s="178"/>
      <c r="AQ733" s="178"/>
      <c r="AR733" s="178"/>
      <c r="AS733" s="178"/>
      <c r="AT733" s="178"/>
      <c r="AU733" s="178"/>
      <c r="AV733" s="178"/>
      <c r="AW733" s="178"/>
      <c r="AX733" s="178"/>
      <c r="AY733" s="517"/>
      <c r="AZ733" s="131"/>
    </row>
    <row r="734" spans="1:52" ht="15.75" customHeight="1">
      <c r="A734" s="131"/>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c r="AH734" s="178"/>
      <c r="AI734" s="178"/>
      <c r="AJ734" s="178"/>
      <c r="AK734" s="178"/>
      <c r="AL734" s="178"/>
      <c r="AM734" s="178"/>
      <c r="AN734" s="178"/>
      <c r="AO734" s="178"/>
      <c r="AP734" s="178"/>
      <c r="AQ734" s="178"/>
      <c r="AR734" s="178"/>
      <c r="AS734" s="178"/>
      <c r="AT734" s="178"/>
      <c r="AU734" s="178"/>
      <c r="AV734" s="178"/>
      <c r="AW734" s="178"/>
      <c r="AX734" s="178"/>
      <c r="AY734" s="517"/>
      <c r="AZ734" s="131"/>
    </row>
    <row r="735" spans="1:52" ht="15.75" customHeight="1">
      <c r="A735" s="131"/>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c r="AH735" s="178"/>
      <c r="AI735" s="178"/>
      <c r="AJ735" s="178"/>
      <c r="AK735" s="178"/>
      <c r="AL735" s="178"/>
      <c r="AM735" s="178"/>
      <c r="AN735" s="178"/>
      <c r="AO735" s="178"/>
      <c r="AP735" s="178"/>
      <c r="AQ735" s="178"/>
      <c r="AR735" s="178"/>
      <c r="AS735" s="178"/>
      <c r="AT735" s="178"/>
      <c r="AU735" s="178"/>
      <c r="AV735" s="178"/>
      <c r="AW735" s="178"/>
      <c r="AX735" s="178"/>
      <c r="AY735" s="517"/>
      <c r="AZ735" s="131"/>
    </row>
    <row r="736" spans="1:52" ht="15.75" customHeight="1">
      <c r="A736" s="131"/>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c r="AA736" s="178"/>
      <c r="AB736" s="178"/>
      <c r="AC736" s="178"/>
      <c r="AD736" s="178"/>
      <c r="AE736" s="178"/>
      <c r="AF736" s="178"/>
      <c r="AG736" s="178"/>
      <c r="AH736" s="178"/>
      <c r="AI736" s="178"/>
      <c r="AJ736" s="178"/>
      <c r="AK736" s="178"/>
      <c r="AL736" s="178"/>
      <c r="AM736" s="178"/>
      <c r="AN736" s="178"/>
      <c r="AO736" s="178"/>
      <c r="AP736" s="178"/>
      <c r="AQ736" s="178"/>
      <c r="AR736" s="178"/>
      <c r="AS736" s="178"/>
      <c r="AT736" s="178"/>
      <c r="AU736" s="178"/>
      <c r="AV736" s="178"/>
      <c r="AW736" s="178"/>
      <c r="AX736" s="178"/>
      <c r="AY736" s="517"/>
      <c r="AZ736" s="131"/>
    </row>
    <row r="737" spans="1:52" ht="15.75" customHeight="1">
      <c r="A737" s="131"/>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c r="AA737" s="178"/>
      <c r="AB737" s="178"/>
      <c r="AC737" s="178"/>
      <c r="AD737" s="178"/>
      <c r="AE737" s="178"/>
      <c r="AF737" s="178"/>
      <c r="AG737" s="178"/>
      <c r="AH737" s="178"/>
      <c r="AI737" s="178"/>
      <c r="AJ737" s="178"/>
      <c r="AK737" s="178"/>
      <c r="AL737" s="178"/>
      <c r="AM737" s="178"/>
      <c r="AN737" s="178"/>
      <c r="AO737" s="178"/>
      <c r="AP737" s="178"/>
      <c r="AQ737" s="178"/>
      <c r="AR737" s="178"/>
      <c r="AS737" s="178"/>
      <c r="AT737" s="178"/>
      <c r="AU737" s="178"/>
      <c r="AV737" s="178"/>
      <c r="AW737" s="178"/>
      <c r="AX737" s="178"/>
      <c r="AY737" s="517"/>
      <c r="AZ737" s="131"/>
    </row>
    <row r="738" spans="1:52" ht="15.75" customHeight="1">
      <c r="A738" s="131"/>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c r="AA738" s="178"/>
      <c r="AB738" s="178"/>
      <c r="AC738" s="178"/>
      <c r="AD738" s="178"/>
      <c r="AE738" s="178"/>
      <c r="AF738" s="178"/>
      <c r="AG738" s="178"/>
      <c r="AH738" s="178"/>
      <c r="AI738" s="178"/>
      <c r="AJ738" s="178"/>
      <c r="AK738" s="178"/>
      <c r="AL738" s="178"/>
      <c r="AM738" s="178"/>
      <c r="AN738" s="178"/>
      <c r="AO738" s="178"/>
      <c r="AP738" s="178"/>
      <c r="AQ738" s="178"/>
      <c r="AR738" s="178"/>
      <c r="AS738" s="178"/>
      <c r="AT738" s="178"/>
      <c r="AU738" s="178"/>
      <c r="AV738" s="178"/>
      <c r="AW738" s="178"/>
      <c r="AX738" s="178"/>
      <c r="AY738" s="517"/>
      <c r="AZ738" s="131"/>
    </row>
    <row r="739" spans="1:52" ht="15.75" customHeight="1">
      <c r="A739" s="131"/>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c r="AH739" s="178"/>
      <c r="AI739" s="178"/>
      <c r="AJ739" s="178"/>
      <c r="AK739" s="178"/>
      <c r="AL739" s="178"/>
      <c r="AM739" s="178"/>
      <c r="AN739" s="178"/>
      <c r="AO739" s="178"/>
      <c r="AP739" s="178"/>
      <c r="AQ739" s="178"/>
      <c r="AR739" s="178"/>
      <c r="AS739" s="178"/>
      <c r="AT739" s="178"/>
      <c r="AU739" s="178"/>
      <c r="AV739" s="178"/>
      <c r="AW739" s="178"/>
      <c r="AX739" s="178"/>
      <c r="AY739" s="517"/>
      <c r="AZ739" s="131"/>
    </row>
    <row r="740" spans="1:52" ht="15.75" customHeight="1">
      <c r="A740" s="131"/>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c r="AH740" s="178"/>
      <c r="AI740" s="178"/>
      <c r="AJ740" s="178"/>
      <c r="AK740" s="178"/>
      <c r="AL740" s="178"/>
      <c r="AM740" s="178"/>
      <c r="AN740" s="178"/>
      <c r="AO740" s="178"/>
      <c r="AP740" s="178"/>
      <c r="AQ740" s="178"/>
      <c r="AR740" s="178"/>
      <c r="AS740" s="178"/>
      <c r="AT740" s="178"/>
      <c r="AU740" s="178"/>
      <c r="AV740" s="178"/>
      <c r="AW740" s="178"/>
      <c r="AX740" s="178"/>
      <c r="AY740" s="517"/>
      <c r="AZ740" s="131"/>
    </row>
    <row r="741" spans="1:52" ht="15.75" customHeight="1">
      <c r="A741" s="131"/>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c r="AA741" s="178"/>
      <c r="AB741" s="178"/>
      <c r="AC741" s="178"/>
      <c r="AD741" s="178"/>
      <c r="AE741" s="178"/>
      <c r="AF741" s="178"/>
      <c r="AG741" s="178"/>
      <c r="AH741" s="178"/>
      <c r="AI741" s="178"/>
      <c r="AJ741" s="178"/>
      <c r="AK741" s="178"/>
      <c r="AL741" s="178"/>
      <c r="AM741" s="178"/>
      <c r="AN741" s="178"/>
      <c r="AO741" s="178"/>
      <c r="AP741" s="178"/>
      <c r="AQ741" s="178"/>
      <c r="AR741" s="178"/>
      <c r="AS741" s="178"/>
      <c r="AT741" s="178"/>
      <c r="AU741" s="178"/>
      <c r="AV741" s="178"/>
      <c r="AW741" s="178"/>
      <c r="AX741" s="178"/>
      <c r="AY741" s="517"/>
      <c r="AZ741" s="131"/>
    </row>
    <row r="742" spans="1:52" ht="15.75" customHeight="1">
      <c r="A742" s="131"/>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c r="AH742" s="178"/>
      <c r="AI742" s="178"/>
      <c r="AJ742" s="178"/>
      <c r="AK742" s="178"/>
      <c r="AL742" s="178"/>
      <c r="AM742" s="178"/>
      <c r="AN742" s="178"/>
      <c r="AO742" s="178"/>
      <c r="AP742" s="178"/>
      <c r="AQ742" s="178"/>
      <c r="AR742" s="178"/>
      <c r="AS742" s="178"/>
      <c r="AT742" s="178"/>
      <c r="AU742" s="178"/>
      <c r="AV742" s="178"/>
      <c r="AW742" s="178"/>
      <c r="AX742" s="178"/>
      <c r="AY742" s="517"/>
      <c r="AZ742" s="131"/>
    </row>
    <row r="743" spans="1:52" ht="15.75" customHeight="1">
      <c r="A743" s="131"/>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c r="AH743" s="178"/>
      <c r="AI743" s="178"/>
      <c r="AJ743" s="178"/>
      <c r="AK743" s="178"/>
      <c r="AL743" s="178"/>
      <c r="AM743" s="178"/>
      <c r="AN743" s="178"/>
      <c r="AO743" s="178"/>
      <c r="AP743" s="178"/>
      <c r="AQ743" s="178"/>
      <c r="AR743" s="178"/>
      <c r="AS743" s="178"/>
      <c r="AT743" s="178"/>
      <c r="AU743" s="178"/>
      <c r="AV743" s="178"/>
      <c r="AW743" s="178"/>
      <c r="AX743" s="178"/>
      <c r="AY743" s="517"/>
      <c r="AZ743" s="131"/>
    </row>
    <row r="744" spans="1:52" ht="15.75" customHeight="1">
      <c r="A744" s="131"/>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c r="AH744" s="178"/>
      <c r="AI744" s="178"/>
      <c r="AJ744" s="178"/>
      <c r="AK744" s="178"/>
      <c r="AL744" s="178"/>
      <c r="AM744" s="178"/>
      <c r="AN744" s="178"/>
      <c r="AO744" s="178"/>
      <c r="AP744" s="178"/>
      <c r="AQ744" s="178"/>
      <c r="AR744" s="178"/>
      <c r="AS744" s="178"/>
      <c r="AT744" s="178"/>
      <c r="AU744" s="178"/>
      <c r="AV744" s="178"/>
      <c r="AW744" s="178"/>
      <c r="AX744" s="178"/>
      <c r="AY744" s="517"/>
      <c r="AZ744" s="131"/>
    </row>
    <row r="745" spans="1:52" ht="15.75" customHeight="1">
      <c r="A745" s="131"/>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c r="AA745" s="178"/>
      <c r="AB745" s="178"/>
      <c r="AC745" s="178"/>
      <c r="AD745" s="178"/>
      <c r="AE745" s="178"/>
      <c r="AF745" s="178"/>
      <c r="AG745" s="178"/>
      <c r="AH745" s="178"/>
      <c r="AI745" s="178"/>
      <c r="AJ745" s="178"/>
      <c r="AK745" s="178"/>
      <c r="AL745" s="178"/>
      <c r="AM745" s="178"/>
      <c r="AN745" s="178"/>
      <c r="AO745" s="178"/>
      <c r="AP745" s="178"/>
      <c r="AQ745" s="178"/>
      <c r="AR745" s="178"/>
      <c r="AS745" s="178"/>
      <c r="AT745" s="178"/>
      <c r="AU745" s="178"/>
      <c r="AV745" s="178"/>
      <c r="AW745" s="178"/>
      <c r="AX745" s="178"/>
      <c r="AY745" s="517"/>
      <c r="AZ745" s="131"/>
    </row>
    <row r="746" spans="1:52" ht="15.75" customHeight="1">
      <c r="A746" s="131"/>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c r="AH746" s="178"/>
      <c r="AI746" s="178"/>
      <c r="AJ746" s="178"/>
      <c r="AK746" s="178"/>
      <c r="AL746" s="178"/>
      <c r="AM746" s="178"/>
      <c r="AN746" s="178"/>
      <c r="AO746" s="178"/>
      <c r="AP746" s="178"/>
      <c r="AQ746" s="178"/>
      <c r="AR746" s="178"/>
      <c r="AS746" s="178"/>
      <c r="AT746" s="178"/>
      <c r="AU746" s="178"/>
      <c r="AV746" s="178"/>
      <c r="AW746" s="178"/>
      <c r="AX746" s="178"/>
      <c r="AY746" s="517"/>
      <c r="AZ746" s="131"/>
    </row>
    <row r="747" spans="1:52" ht="15.75" customHeight="1">
      <c r="A747" s="131"/>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c r="AH747" s="178"/>
      <c r="AI747" s="178"/>
      <c r="AJ747" s="178"/>
      <c r="AK747" s="178"/>
      <c r="AL747" s="178"/>
      <c r="AM747" s="178"/>
      <c r="AN747" s="178"/>
      <c r="AO747" s="178"/>
      <c r="AP747" s="178"/>
      <c r="AQ747" s="178"/>
      <c r="AR747" s="178"/>
      <c r="AS747" s="178"/>
      <c r="AT747" s="178"/>
      <c r="AU747" s="178"/>
      <c r="AV747" s="178"/>
      <c r="AW747" s="178"/>
      <c r="AX747" s="178"/>
      <c r="AY747" s="517"/>
      <c r="AZ747" s="131"/>
    </row>
    <row r="748" spans="1:52" ht="15.75" customHeight="1">
      <c r="A748" s="131"/>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c r="AH748" s="178"/>
      <c r="AI748" s="178"/>
      <c r="AJ748" s="178"/>
      <c r="AK748" s="178"/>
      <c r="AL748" s="178"/>
      <c r="AM748" s="178"/>
      <c r="AN748" s="178"/>
      <c r="AO748" s="178"/>
      <c r="AP748" s="178"/>
      <c r="AQ748" s="178"/>
      <c r="AR748" s="178"/>
      <c r="AS748" s="178"/>
      <c r="AT748" s="178"/>
      <c r="AU748" s="178"/>
      <c r="AV748" s="178"/>
      <c r="AW748" s="178"/>
      <c r="AX748" s="178"/>
      <c r="AY748" s="517"/>
      <c r="AZ748" s="131"/>
    </row>
    <row r="749" spans="1:52" ht="15.75" customHeight="1">
      <c r="A749" s="131"/>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c r="AA749" s="178"/>
      <c r="AB749" s="178"/>
      <c r="AC749" s="178"/>
      <c r="AD749" s="178"/>
      <c r="AE749" s="178"/>
      <c r="AF749" s="178"/>
      <c r="AG749" s="178"/>
      <c r="AH749" s="178"/>
      <c r="AI749" s="178"/>
      <c r="AJ749" s="178"/>
      <c r="AK749" s="178"/>
      <c r="AL749" s="178"/>
      <c r="AM749" s="178"/>
      <c r="AN749" s="178"/>
      <c r="AO749" s="178"/>
      <c r="AP749" s="178"/>
      <c r="AQ749" s="178"/>
      <c r="AR749" s="178"/>
      <c r="AS749" s="178"/>
      <c r="AT749" s="178"/>
      <c r="AU749" s="178"/>
      <c r="AV749" s="178"/>
      <c r="AW749" s="178"/>
      <c r="AX749" s="178"/>
      <c r="AY749" s="517"/>
      <c r="AZ749" s="131"/>
    </row>
    <row r="750" spans="1:52" ht="15.75" customHeight="1">
      <c r="A750" s="131"/>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c r="AA750" s="178"/>
      <c r="AB750" s="178"/>
      <c r="AC750" s="178"/>
      <c r="AD750" s="178"/>
      <c r="AE750" s="178"/>
      <c r="AF750" s="178"/>
      <c r="AG750" s="178"/>
      <c r="AH750" s="178"/>
      <c r="AI750" s="178"/>
      <c r="AJ750" s="178"/>
      <c r="AK750" s="178"/>
      <c r="AL750" s="178"/>
      <c r="AM750" s="178"/>
      <c r="AN750" s="178"/>
      <c r="AO750" s="178"/>
      <c r="AP750" s="178"/>
      <c r="AQ750" s="178"/>
      <c r="AR750" s="178"/>
      <c r="AS750" s="178"/>
      <c r="AT750" s="178"/>
      <c r="AU750" s="178"/>
      <c r="AV750" s="178"/>
      <c r="AW750" s="178"/>
      <c r="AX750" s="178"/>
      <c r="AY750" s="517"/>
      <c r="AZ750" s="131"/>
    </row>
    <row r="751" spans="1:52" ht="15.75" customHeight="1">
      <c r="A751" s="131"/>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c r="AA751" s="178"/>
      <c r="AB751" s="178"/>
      <c r="AC751" s="178"/>
      <c r="AD751" s="178"/>
      <c r="AE751" s="178"/>
      <c r="AF751" s="178"/>
      <c r="AG751" s="178"/>
      <c r="AH751" s="178"/>
      <c r="AI751" s="178"/>
      <c r="AJ751" s="178"/>
      <c r="AK751" s="178"/>
      <c r="AL751" s="178"/>
      <c r="AM751" s="178"/>
      <c r="AN751" s="178"/>
      <c r="AO751" s="178"/>
      <c r="AP751" s="178"/>
      <c r="AQ751" s="178"/>
      <c r="AR751" s="178"/>
      <c r="AS751" s="178"/>
      <c r="AT751" s="178"/>
      <c r="AU751" s="178"/>
      <c r="AV751" s="178"/>
      <c r="AW751" s="178"/>
      <c r="AX751" s="178"/>
      <c r="AY751" s="517"/>
      <c r="AZ751" s="131"/>
    </row>
    <row r="752" spans="1:52" ht="15.75" customHeight="1">
      <c r="A752" s="131"/>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c r="AH752" s="178"/>
      <c r="AI752" s="178"/>
      <c r="AJ752" s="178"/>
      <c r="AK752" s="178"/>
      <c r="AL752" s="178"/>
      <c r="AM752" s="178"/>
      <c r="AN752" s="178"/>
      <c r="AO752" s="178"/>
      <c r="AP752" s="178"/>
      <c r="AQ752" s="178"/>
      <c r="AR752" s="178"/>
      <c r="AS752" s="178"/>
      <c r="AT752" s="178"/>
      <c r="AU752" s="178"/>
      <c r="AV752" s="178"/>
      <c r="AW752" s="178"/>
      <c r="AX752" s="178"/>
      <c r="AY752" s="517"/>
      <c r="AZ752" s="131"/>
    </row>
    <row r="753" spans="1:52" ht="15.75" customHeight="1">
      <c r="A753" s="131"/>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c r="AH753" s="178"/>
      <c r="AI753" s="178"/>
      <c r="AJ753" s="178"/>
      <c r="AK753" s="178"/>
      <c r="AL753" s="178"/>
      <c r="AM753" s="178"/>
      <c r="AN753" s="178"/>
      <c r="AO753" s="178"/>
      <c r="AP753" s="178"/>
      <c r="AQ753" s="178"/>
      <c r="AR753" s="178"/>
      <c r="AS753" s="178"/>
      <c r="AT753" s="178"/>
      <c r="AU753" s="178"/>
      <c r="AV753" s="178"/>
      <c r="AW753" s="178"/>
      <c r="AX753" s="178"/>
      <c r="AY753" s="517"/>
      <c r="AZ753" s="131"/>
    </row>
    <row r="754" spans="1:52" ht="15.75" customHeight="1">
      <c r="A754" s="131"/>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c r="AA754" s="178"/>
      <c r="AB754" s="178"/>
      <c r="AC754" s="178"/>
      <c r="AD754" s="178"/>
      <c r="AE754" s="178"/>
      <c r="AF754" s="178"/>
      <c r="AG754" s="178"/>
      <c r="AH754" s="178"/>
      <c r="AI754" s="178"/>
      <c r="AJ754" s="178"/>
      <c r="AK754" s="178"/>
      <c r="AL754" s="178"/>
      <c r="AM754" s="178"/>
      <c r="AN754" s="178"/>
      <c r="AO754" s="178"/>
      <c r="AP754" s="178"/>
      <c r="AQ754" s="178"/>
      <c r="AR754" s="178"/>
      <c r="AS754" s="178"/>
      <c r="AT754" s="178"/>
      <c r="AU754" s="178"/>
      <c r="AV754" s="178"/>
      <c r="AW754" s="178"/>
      <c r="AX754" s="178"/>
      <c r="AY754" s="517"/>
      <c r="AZ754" s="131"/>
    </row>
    <row r="755" spans="1:52" ht="15.75" customHeight="1">
      <c r="A755" s="131"/>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c r="AA755" s="178"/>
      <c r="AB755" s="178"/>
      <c r="AC755" s="178"/>
      <c r="AD755" s="178"/>
      <c r="AE755" s="178"/>
      <c r="AF755" s="178"/>
      <c r="AG755" s="178"/>
      <c r="AH755" s="178"/>
      <c r="AI755" s="178"/>
      <c r="AJ755" s="178"/>
      <c r="AK755" s="178"/>
      <c r="AL755" s="178"/>
      <c r="AM755" s="178"/>
      <c r="AN755" s="178"/>
      <c r="AO755" s="178"/>
      <c r="AP755" s="178"/>
      <c r="AQ755" s="178"/>
      <c r="AR755" s="178"/>
      <c r="AS755" s="178"/>
      <c r="AT755" s="178"/>
      <c r="AU755" s="178"/>
      <c r="AV755" s="178"/>
      <c r="AW755" s="178"/>
      <c r="AX755" s="178"/>
      <c r="AY755" s="517"/>
      <c r="AZ755" s="131"/>
    </row>
    <row r="756" spans="1:52" ht="15.75" customHeight="1">
      <c r="A756" s="131"/>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c r="AA756" s="178"/>
      <c r="AB756" s="178"/>
      <c r="AC756" s="178"/>
      <c r="AD756" s="178"/>
      <c r="AE756" s="178"/>
      <c r="AF756" s="178"/>
      <c r="AG756" s="178"/>
      <c r="AH756" s="178"/>
      <c r="AI756" s="178"/>
      <c r="AJ756" s="178"/>
      <c r="AK756" s="178"/>
      <c r="AL756" s="178"/>
      <c r="AM756" s="178"/>
      <c r="AN756" s="178"/>
      <c r="AO756" s="178"/>
      <c r="AP756" s="178"/>
      <c r="AQ756" s="178"/>
      <c r="AR756" s="178"/>
      <c r="AS756" s="178"/>
      <c r="AT756" s="178"/>
      <c r="AU756" s="178"/>
      <c r="AV756" s="178"/>
      <c r="AW756" s="178"/>
      <c r="AX756" s="178"/>
      <c r="AY756" s="517"/>
      <c r="AZ756" s="131"/>
    </row>
    <row r="757" spans="1:52" ht="15.75" customHeight="1">
      <c r="A757" s="131"/>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c r="AH757" s="178"/>
      <c r="AI757" s="178"/>
      <c r="AJ757" s="178"/>
      <c r="AK757" s="178"/>
      <c r="AL757" s="178"/>
      <c r="AM757" s="178"/>
      <c r="AN757" s="178"/>
      <c r="AO757" s="178"/>
      <c r="AP757" s="178"/>
      <c r="AQ757" s="178"/>
      <c r="AR757" s="178"/>
      <c r="AS757" s="178"/>
      <c r="AT757" s="178"/>
      <c r="AU757" s="178"/>
      <c r="AV757" s="178"/>
      <c r="AW757" s="178"/>
      <c r="AX757" s="178"/>
      <c r="AY757" s="517"/>
      <c r="AZ757" s="131"/>
    </row>
    <row r="758" spans="1:52" ht="15.75" customHeight="1">
      <c r="A758" s="131"/>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c r="AH758" s="178"/>
      <c r="AI758" s="178"/>
      <c r="AJ758" s="178"/>
      <c r="AK758" s="178"/>
      <c r="AL758" s="178"/>
      <c r="AM758" s="178"/>
      <c r="AN758" s="178"/>
      <c r="AO758" s="178"/>
      <c r="AP758" s="178"/>
      <c r="AQ758" s="178"/>
      <c r="AR758" s="178"/>
      <c r="AS758" s="178"/>
      <c r="AT758" s="178"/>
      <c r="AU758" s="178"/>
      <c r="AV758" s="178"/>
      <c r="AW758" s="178"/>
      <c r="AX758" s="178"/>
      <c r="AY758" s="517"/>
      <c r="AZ758" s="131"/>
    </row>
    <row r="759" spans="1:52" ht="15.75" customHeight="1">
      <c r="A759" s="131"/>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c r="AA759" s="178"/>
      <c r="AB759" s="178"/>
      <c r="AC759" s="178"/>
      <c r="AD759" s="178"/>
      <c r="AE759" s="178"/>
      <c r="AF759" s="178"/>
      <c r="AG759" s="178"/>
      <c r="AH759" s="178"/>
      <c r="AI759" s="178"/>
      <c r="AJ759" s="178"/>
      <c r="AK759" s="178"/>
      <c r="AL759" s="178"/>
      <c r="AM759" s="178"/>
      <c r="AN759" s="178"/>
      <c r="AO759" s="178"/>
      <c r="AP759" s="178"/>
      <c r="AQ759" s="178"/>
      <c r="AR759" s="178"/>
      <c r="AS759" s="178"/>
      <c r="AT759" s="178"/>
      <c r="AU759" s="178"/>
      <c r="AV759" s="178"/>
      <c r="AW759" s="178"/>
      <c r="AX759" s="178"/>
      <c r="AY759" s="517"/>
      <c r="AZ759" s="131"/>
    </row>
    <row r="760" spans="1:52" ht="15.75" customHeight="1">
      <c r="A760" s="131"/>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c r="AH760" s="178"/>
      <c r="AI760" s="178"/>
      <c r="AJ760" s="178"/>
      <c r="AK760" s="178"/>
      <c r="AL760" s="178"/>
      <c r="AM760" s="178"/>
      <c r="AN760" s="178"/>
      <c r="AO760" s="178"/>
      <c r="AP760" s="178"/>
      <c r="AQ760" s="178"/>
      <c r="AR760" s="178"/>
      <c r="AS760" s="178"/>
      <c r="AT760" s="178"/>
      <c r="AU760" s="178"/>
      <c r="AV760" s="178"/>
      <c r="AW760" s="178"/>
      <c r="AX760" s="178"/>
      <c r="AY760" s="517"/>
      <c r="AZ760" s="131"/>
    </row>
    <row r="761" spans="1:52" ht="15.75" customHeight="1">
      <c r="A761" s="131"/>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c r="AH761" s="178"/>
      <c r="AI761" s="178"/>
      <c r="AJ761" s="178"/>
      <c r="AK761" s="178"/>
      <c r="AL761" s="178"/>
      <c r="AM761" s="178"/>
      <c r="AN761" s="178"/>
      <c r="AO761" s="178"/>
      <c r="AP761" s="178"/>
      <c r="AQ761" s="178"/>
      <c r="AR761" s="178"/>
      <c r="AS761" s="178"/>
      <c r="AT761" s="178"/>
      <c r="AU761" s="178"/>
      <c r="AV761" s="178"/>
      <c r="AW761" s="178"/>
      <c r="AX761" s="178"/>
      <c r="AY761" s="517"/>
      <c r="AZ761" s="131"/>
    </row>
    <row r="762" spans="1:52" ht="15.75" customHeight="1">
      <c r="A762" s="131"/>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c r="AH762" s="178"/>
      <c r="AI762" s="178"/>
      <c r="AJ762" s="178"/>
      <c r="AK762" s="178"/>
      <c r="AL762" s="178"/>
      <c r="AM762" s="178"/>
      <c r="AN762" s="178"/>
      <c r="AO762" s="178"/>
      <c r="AP762" s="178"/>
      <c r="AQ762" s="178"/>
      <c r="AR762" s="178"/>
      <c r="AS762" s="178"/>
      <c r="AT762" s="178"/>
      <c r="AU762" s="178"/>
      <c r="AV762" s="178"/>
      <c r="AW762" s="178"/>
      <c r="AX762" s="178"/>
      <c r="AY762" s="517"/>
      <c r="AZ762" s="131"/>
    </row>
    <row r="763" spans="1:52" ht="15.75" customHeight="1">
      <c r="A763" s="131"/>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c r="AH763" s="178"/>
      <c r="AI763" s="178"/>
      <c r="AJ763" s="178"/>
      <c r="AK763" s="178"/>
      <c r="AL763" s="178"/>
      <c r="AM763" s="178"/>
      <c r="AN763" s="178"/>
      <c r="AO763" s="178"/>
      <c r="AP763" s="178"/>
      <c r="AQ763" s="178"/>
      <c r="AR763" s="178"/>
      <c r="AS763" s="178"/>
      <c r="AT763" s="178"/>
      <c r="AU763" s="178"/>
      <c r="AV763" s="178"/>
      <c r="AW763" s="178"/>
      <c r="AX763" s="178"/>
      <c r="AY763" s="517"/>
      <c r="AZ763" s="131"/>
    </row>
    <row r="764" spans="1:52" ht="15.75" customHeight="1">
      <c r="A764" s="131"/>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c r="AH764" s="178"/>
      <c r="AI764" s="178"/>
      <c r="AJ764" s="178"/>
      <c r="AK764" s="178"/>
      <c r="AL764" s="178"/>
      <c r="AM764" s="178"/>
      <c r="AN764" s="178"/>
      <c r="AO764" s="178"/>
      <c r="AP764" s="178"/>
      <c r="AQ764" s="178"/>
      <c r="AR764" s="178"/>
      <c r="AS764" s="178"/>
      <c r="AT764" s="178"/>
      <c r="AU764" s="178"/>
      <c r="AV764" s="178"/>
      <c r="AW764" s="178"/>
      <c r="AX764" s="178"/>
      <c r="AY764" s="517"/>
      <c r="AZ764" s="131"/>
    </row>
    <row r="765" spans="1:52" ht="15.75" customHeight="1">
      <c r="A765" s="131"/>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c r="AA765" s="178"/>
      <c r="AB765" s="178"/>
      <c r="AC765" s="178"/>
      <c r="AD765" s="178"/>
      <c r="AE765" s="178"/>
      <c r="AF765" s="178"/>
      <c r="AG765" s="178"/>
      <c r="AH765" s="178"/>
      <c r="AI765" s="178"/>
      <c r="AJ765" s="178"/>
      <c r="AK765" s="178"/>
      <c r="AL765" s="178"/>
      <c r="AM765" s="178"/>
      <c r="AN765" s="178"/>
      <c r="AO765" s="178"/>
      <c r="AP765" s="178"/>
      <c r="AQ765" s="178"/>
      <c r="AR765" s="178"/>
      <c r="AS765" s="178"/>
      <c r="AT765" s="178"/>
      <c r="AU765" s="178"/>
      <c r="AV765" s="178"/>
      <c r="AW765" s="178"/>
      <c r="AX765" s="178"/>
      <c r="AY765" s="517"/>
      <c r="AZ765" s="131"/>
    </row>
    <row r="766" spans="1:52" ht="15.75" customHeight="1">
      <c r="A766" s="131"/>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c r="AA766" s="178"/>
      <c r="AB766" s="178"/>
      <c r="AC766" s="178"/>
      <c r="AD766" s="178"/>
      <c r="AE766" s="178"/>
      <c r="AF766" s="178"/>
      <c r="AG766" s="178"/>
      <c r="AH766" s="178"/>
      <c r="AI766" s="178"/>
      <c r="AJ766" s="178"/>
      <c r="AK766" s="178"/>
      <c r="AL766" s="178"/>
      <c r="AM766" s="178"/>
      <c r="AN766" s="178"/>
      <c r="AO766" s="178"/>
      <c r="AP766" s="178"/>
      <c r="AQ766" s="178"/>
      <c r="AR766" s="178"/>
      <c r="AS766" s="178"/>
      <c r="AT766" s="178"/>
      <c r="AU766" s="178"/>
      <c r="AV766" s="178"/>
      <c r="AW766" s="178"/>
      <c r="AX766" s="178"/>
      <c r="AY766" s="517"/>
      <c r="AZ766" s="131"/>
    </row>
    <row r="767" spans="1:52" ht="15.75" customHeight="1">
      <c r="A767" s="131"/>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c r="AA767" s="178"/>
      <c r="AB767" s="178"/>
      <c r="AC767" s="178"/>
      <c r="AD767" s="178"/>
      <c r="AE767" s="178"/>
      <c r="AF767" s="178"/>
      <c r="AG767" s="178"/>
      <c r="AH767" s="178"/>
      <c r="AI767" s="178"/>
      <c r="AJ767" s="178"/>
      <c r="AK767" s="178"/>
      <c r="AL767" s="178"/>
      <c r="AM767" s="178"/>
      <c r="AN767" s="178"/>
      <c r="AO767" s="178"/>
      <c r="AP767" s="178"/>
      <c r="AQ767" s="178"/>
      <c r="AR767" s="178"/>
      <c r="AS767" s="178"/>
      <c r="AT767" s="178"/>
      <c r="AU767" s="178"/>
      <c r="AV767" s="178"/>
      <c r="AW767" s="178"/>
      <c r="AX767" s="178"/>
      <c r="AY767" s="517"/>
      <c r="AZ767" s="131"/>
    </row>
    <row r="768" spans="1:52" ht="15.75" customHeight="1">
      <c r="A768" s="131"/>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c r="AA768" s="178"/>
      <c r="AB768" s="178"/>
      <c r="AC768" s="178"/>
      <c r="AD768" s="178"/>
      <c r="AE768" s="178"/>
      <c r="AF768" s="178"/>
      <c r="AG768" s="178"/>
      <c r="AH768" s="178"/>
      <c r="AI768" s="178"/>
      <c r="AJ768" s="178"/>
      <c r="AK768" s="178"/>
      <c r="AL768" s="178"/>
      <c r="AM768" s="178"/>
      <c r="AN768" s="178"/>
      <c r="AO768" s="178"/>
      <c r="AP768" s="178"/>
      <c r="AQ768" s="178"/>
      <c r="AR768" s="178"/>
      <c r="AS768" s="178"/>
      <c r="AT768" s="178"/>
      <c r="AU768" s="178"/>
      <c r="AV768" s="178"/>
      <c r="AW768" s="178"/>
      <c r="AX768" s="178"/>
      <c r="AY768" s="517"/>
      <c r="AZ768" s="131"/>
    </row>
    <row r="769" spans="1:52" ht="15.75" customHeight="1">
      <c r="A769" s="131"/>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c r="AA769" s="178"/>
      <c r="AB769" s="178"/>
      <c r="AC769" s="178"/>
      <c r="AD769" s="178"/>
      <c r="AE769" s="178"/>
      <c r="AF769" s="178"/>
      <c r="AG769" s="178"/>
      <c r="AH769" s="178"/>
      <c r="AI769" s="178"/>
      <c r="AJ769" s="178"/>
      <c r="AK769" s="178"/>
      <c r="AL769" s="178"/>
      <c r="AM769" s="178"/>
      <c r="AN769" s="178"/>
      <c r="AO769" s="178"/>
      <c r="AP769" s="178"/>
      <c r="AQ769" s="178"/>
      <c r="AR769" s="178"/>
      <c r="AS769" s="178"/>
      <c r="AT769" s="178"/>
      <c r="AU769" s="178"/>
      <c r="AV769" s="178"/>
      <c r="AW769" s="178"/>
      <c r="AX769" s="178"/>
      <c r="AY769" s="517"/>
      <c r="AZ769" s="131"/>
    </row>
    <row r="770" spans="1:52" ht="15.75" customHeight="1">
      <c r="A770" s="131"/>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c r="AA770" s="178"/>
      <c r="AB770" s="178"/>
      <c r="AC770" s="178"/>
      <c r="AD770" s="178"/>
      <c r="AE770" s="178"/>
      <c r="AF770" s="178"/>
      <c r="AG770" s="178"/>
      <c r="AH770" s="178"/>
      <c r="AI770" s="178"/>
      <c r="AJ770" s="178"/>
      <c r="AK770" s="178"/>
      <c r="AL770" s="178"/>
      <c r="AM770" s="178"/>
      <c r="AN770" s="178"/>
      <c r="AO770" s="178"/>
      <c r="AP770" s="178"/>
      <c r="AQ770" s="178"/>
      <c r="AR770" s="178"/>
      <c r="AS770" s="178"/>
      <c r="AT770" s="178"/>
      <c r="AU770" s="178"/>
      <c r="AV770" s="178"/>
      <c r="AW770" s="178"/>
      <c r="AX770" s="178"/>
      <c r="AY770" s="517"/>
      <c r="AZ770" s="131"/>
    </row>
    <row r="771" spans="1:52" ht="15.75" customHeight="1">
      <c r="A771" s="131"/>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c r="AA771" s="178"/>
      <c r="AB771" s="178"/>
      <c r="AC771" s="178"/>
      <c r="AD771" s="178"/>
      <c r="AE771" s="178"/>
      <c r="AF771" s="178"/>
      <c r="AG771" s="178"/>
      <c r="AH771" s="178"/>
      <c r="AI771" s="178"/>
      <c r="AJ771" s="178"/>
      <c r="AK771" s="178"/>
      <c r="AL771" s="178"/>
      <c r="AM771" s="178"/>
      <c r="AN771" s="178"/>
      <c r="AO771" s="178"/>
      <c r="AP771" s="178"/>
      <c r="AQ771" s="178"/>
      <c r="AR771" s="178"/>
      <c r="AS771" s="178"/>
      <c r="AT771" s="178"/>
      <c r="AU771" s="178"/>
      <c r="AV771" s="178"/>
      <c r="AW771" s="178"/>
      <c r="AX771" s="178"/>
      <c r="AY771" s="517"/>
      <c r="AZ771" s="131"/>
    </row>
    <row r="772" spans="1:52" ht="15.75" customHeight="1">
      <c r="A772" s="131"/>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c r="AA772" s="178"/>
      <c r="AB772" s="178"/>
      <c r="AC772" s="178"/>
      <c r="AD772" s="178"/>
      <c r="AE772" s="178"/>
      <c r="AF772" s="178"/>
      <c r="AG772" s="178"/>
      <c r="AH772" s="178"/>
      <c r="AI772" s="178"/>
      <c r="AJ772" s="178"/>
      <c r="AK772" s="178"/>
      <c r="AL772" s="178"/>
      <c r="AM772" s="178"/>
      <c r="AN772" s="178"/>
      <c r="AO772" s="178"/>
      <c r="AP772" s="178"/>
      <c r="AQ772" s="178"/>
      <c r="AR772" s="178"/>
      <c r="AS772" s="178"/>
      <c r="AT772" s="178"/>
      <c r="AU772" s="178"/>
      <c r="AV772" s="178"/>
      <c r="AW772" s="178"/>
      <c r="AX772" s="178"/>
      <c r="AY772" s="517"/>
      <c r="AZ772" s="131"/>
    </row>
    <row r="773" spans="1:52" ht="15.75" customHeight="1">
      <c r="A773" s="131"/>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c r="AH773" s="178"/>
      <c r="AI773" s="178"/>
      <c r="AJ773" s="178"/>
      <c r="AK773" s="178"/>
      <c r="AL773" s="178"/>
      <c r="AM773" s="178"/>
      <c r="AN773" s="178"/>
      <c r="AO773" s="178"/>
      <c r="AP773" s="178"/>
      <c r="AQ773" s="178"/>
      <c r="AR773" s="178"/>
      <c r="AS773" s="178"/>
      <c r="AT773" s="178"/>
      <c r="AU773" s="178"/>
      <c r="AV773" s="178"/>
      <c r="AW773" s="178"/>
      <c r="AX773" s="178"/>
      <c r="AY773" s="517"/>
      <c r="AZ773" s="131"/>
    </row>
    <row r="774" spans="1:52" ht="15.75" customHeight="1">
      <c r="A774" s="131"/>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c r="AH774" s="178"/>
      <c r="AI774" s="178"/>
      <c r="AJ774" s="178"/>
      <c r="AK774" s="178"/>
      <c r="AL774" s="178"/>
      <c r="AM774" s="178"/>
      <c r="AN774" s="178"/>
      <c r="AO774" s="178"/>
      <c r="AP774" s="178"/>
      <c r="AQ774" s="178"/>
      <c r="AR774" s="178"/>
      <c r="AS774" s="178"/>
      <c r="AT774" s="178"/>
      <c r="AU774" s="178"/>
      <c r="AV774" s="178"/>
      <c r="AW774" s="178"/>
      <c r="AX774" s="178"/>
      <c r="AY774" s="517"/>
      <c r="AZ774" s="131"/>
    </row>
    <row r="775" spans="1:52" ht="15.75" customHeight="1">
      <c r="A775" s="131"/>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c r="AH775" s="178"/>
      <c r="AI775" s="178"/>
      <c r="AJ775" s="178"/>
      <c r="AK775" s="178"/>
      <c r="AL775" s="178"/>
      <c r="AM775" s="178"/>
      <c r="AN775" s="178"/>
      <c r="AO775" s="178"/>
      <c r="AP775" s="178"/>
      <c r="AQ775" s="178"/>
      <c r="AR775" s="178"/>
      <c r="AS775" s="178"/>
      <c r="AT775" s="178"/>
      <c r="AU775" s="178"/>
      <c r="AV775" s="178"/>
      <c r="AW775" s="178"/>
      <c r="AX775" s="178"/>
      <c r="AY775" s="517"/>
      <c r="AZ775" s="131"/>
    </row>
    <row r="776" spans="1:52" ht="15.75" customHeight="1">
      <c r="A776" s="131"/>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c r="AH776" s="178"/>
      <c r="AI776" s="178"/>
      <c r="AJ776" s="178"/>
      <c r="AK776" s="178"/>
      <c r="AL776" s="178"/>
      <c r="AM776" s="178"/>
      <c r="AN776" s="178"/>
      <c r="AO776" s="178"/>
      <c r="AP776" s="178"/>
      <c r="AQ776" s="178"/>
      <c r="AR776" s="178"/>
      <c r="AS776" s="178"/>
      <c r="AT776" s="178"/>
      <c r="AU776" s="178"/>
      <c r="AV776" s="178"/>
      <c r="AW776" s="178"/>
      <c r="AX776" s="178"/>
      <c r="AY776" s="517"/>
      <c r="AZ776" s="131"/>
    </row>
    <row r="777" spans="1:52" ht="15.75" customHeight="1">
      <c r="A777" s="131"/>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c r="AA777" s="178"/>
      <c r="AB777" s="178"/>
      <c r="AC777" s="178"/>
      <c r="AD777" s="178"/>
      <c r="AE777" s="178"/>
      <c r="AF777" s="178"/>
      <c r="AG777" s="178"/>
      <c r="AH777" s="178"/>
      <c r="AI777" s="178"/>
      <c r="AJ777" s="178"/>
      <c r="AK777" s="178"/>
      <c r="AL777" s="178"/>
      <c r="AM777" s="178"/>
      <c r="AN777" s="178"/>
      <c r="AO777" s="178"/>
      <c r="AP777" s="178"/>
      <c r="AQ777" s="178"/>
      <c r="AR777" s="178"/>
      <c r="AS777" s="178"/>
      <c r="AT777" s="178"/>
      <c r="AU777" s="178"/>
      <c r="AV777" s="178"/>
      <c r="AW777" s="178"/>
      <c r="AX777" s="178"/>
      <c r="AY777" s="517"/>
      <c r="AZ777" s="131"/>
    </row>
    <row r="778" spans="1:52" ht="15.75" customHeight="1">
      <c r="A778" s="131"/>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c r="AA778" s="178"/>
      <c r="AB778" s="178"/>
      <c r="AC778" s="178"/>
      <c r="AD778" s="178"/>
      <c r="AE778" s="178"/>
      <c r="AF778" s="178"/>
      <c r="AG778" s="178"/>
      <c r="AH778" s="178"/>
      <c r="AI778" s="178"/>
      <c r="AJ778" s="178"/>
      <c r="AK778" s="178"/>
      <c r="AL778" s="178"/>
      <c r="AM778" s="178"/>
      <c r="AN778" s="178"/>
      <c r="AO778" s="178"/>
      <c r="AP778" s="178"/>
      <c r="AQ778" s="178"/>
      <c r="AR778" s="178"/>
      <c r="AS778" s="178"/>
      <c r="AT778" s="178"/>
      <c r="AU778" s="178"/>
      <c r="AV778" s="178"/>
      <c r="AW778" s="178"/>
      <c r="AX778" s="178"/>
      <c r="AY778" s="517"/>
      <c r="AZ778" s="131"/>
    </row>
    <row r="779" spans="1:52" ht="15.75" customHeight="1">
      <c r="A779" s="131"/>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c r="AA779" s="178"/>
      <c r="AB779" s="178"/>
      <c r="AC779" s="178"/>
      <c r="AD779" s="178"/>
      <c r="AE779" s="178"/>
      <c r="AF779" s="178"/>
      <c r="AG779" s="178"/>
      <c r="AH779" s="178"/>
      <c r="AI779" s="178"/>
      <c r="AJ779" s="178"/>
      <c r="AK779" s="178"/>
      <c r="AL779" s="178"/>
      <c r="AM779" s="178"/>
      <c r="AN779" s="178"/>
      <c r="AO779" s="178"/>
      <c r="AP779" s="178"/>
      <c r="AQ779" s="178"/>
      <c r="AR779" s="178"/>
      <c r="AS779" s="178"/>
      <c r="AT779" s="178"/>
      <c r="AU779" s="178"/>
      <c r="AV779" s="178"/>
      <c r="AW779" s="178"/>
      <c r="AX779" s="178"/>
      <c r="AY779" s="517"/>
      <c r="AZ779" s="131"/>
    </row>
    <row r="780" spans="1:52" ht="15.75" customHeight="1">
      <c r="A780" s="131"/>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c r="AH780" s="178"/>
      <c r="AI780" s="178"/>
      <c r="AJ780" s="178"/>
      <c r="AK780" s="178"/>
      <c r="AL780" s="178"/>
      <c r="AM780" s="178"/>
      <c r="AN780" s="178"/>
      <c r="AO780" s="178"/>
      <c r="AP780" s="178"/>
      <c r="AQ780" s="178"/>
      <c r="AR780" s="178"/>
      <c r="AS780" s="178"/>
      <c r="AT780" s="178"/>
      <c r="AU780" s="178"/>
      <c r="AV780" s="178"/>
      <c r="AW780" s="178"/>
      <c r="AX780" s="178"/>
      <c r="AY780" s="517"/>
      <c r="AZ780" s="131"/>
    </row>
    <row r="781" spans="1:52" ht="15.75" customHeight="1">
      <c r="A781" s="131"/>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c r="AH781" s="178"/>
      <c r="AI781" s="178"/>
      <c r="AJ781" s="178"/>
      <c r="AK781" s="178"/>
      <c r="AL781" s="178"/>
      <c r="AM781" s="178"/>
      <c r="AN781" s="178"/>
      <c r="AO781" s="178"/>
      <c r="AP781" s="178"/>
      <c r="AQ781" s="178"/>
      <c r="AR781" s="178"/>
      <c r="AS781" s="178"/>
      <c r="AT781" s="178"/>
      <c r="AU781" s="178"/>
      <c r="AV781" s="178"/>
      <c r="AW781" s="178"/>
      <c r="AX781" s="178"/>
      <c r="AY781" s="517"/>
      <c r="AZ781" s="131"/>
    </row>
    <row r="782" spans="1:52" ht="15.75" customHeight="1">
      <c r="A782" s="131"/>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c r="AA782" s="178"/>
      <c r="AB782" s="178"/>
      <c r="AC782" s="178"/>
      <c r="AD782" s="178"/>
      <c r="AE782" s="178"/>
      <c r="AF782" s="178"/>
      <c r="AG782" s="178"/>
      <c r="AH782" s="178"/>
      <c r="AI782" s="178"/>
      <c r="AJ782" s="178"/>
      <c r="AK782" s="178"/>
      <c r="AL782" s="178"/>
      <c r="AM782" s="178"/>
      <c r="AN782" s="178"/>
      <c r="AO782" s="178"/>
      <c r="AP782" s="178"/>
      <c r="AQ782" s="178"/>
      <c r="AR782" s="178"/>
      <c r="AS782" s="178"/>
      <c r="AT782" s="178"/>
      <c r="AU782" s="178"/>
      <c r="AV782" s="178"/>
      <c r="AW782" s="178"/>
      <c r="AX782" s="178"/>
      <c r="AY782" s="517"/>
      <c r="AZ782" s="131"/>
    </row>
    <row r="783" spans="1:52" ht="15.75" customHeight="1">
      <c r="A783" s="131"/>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c r="AA783" s="178"/>
      <c r="AB783" s="178"/>
      <c r="AC783" s="178"/>
      <c r="AD783" s="178"/>
      <c r="AE783" s="178"/>
      <c r="AF783" s="178"/>
      <c r="AG783" s="178"/>
      <c r="AH783" s="178"/>
      <c r="AI783" s="178"/>
      <c r="AJ783" s="178"/>
      <c r="AK783" s="178"/>
      <c r="AL783" s="178"/>
      <c r="AM783" s="178"/>
      <c r="AN783" s="178"/>
      <c r="AO783" s="178"/>
      <c r="AP783" s="178"/>
      <c r="AQ783" s="178"/>
      <c r="AR783" s="178"/>
      <c r="AS783" s="178"/>
      <c r="AT783" s="178"/>
      <c r="AU783" s="178"/>
      <c r="AV783" s="178"/>
      <c r="AW783" s="178"/>
      <c r="AX783" s="178"/>
      <c r="AY783" s="517"/>
      <c r="AZ783" s="131"/>
    </row>
    <row r="784" spans="1:52" ht="15.75" customHeight="1">
      <c r="A784" s="131"/>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c r="AA784" s="178"/>
      <c r="AB784" s="178"/>
      <c r="AC784" s="178"/>
      <c r="AD784" s="178"/>
      <c r="AE784" s="178"/>
      <c r="AF784" s="178"/>
      <c r="AG784" s="178"/>
      <c r="AH784" s="178"/>
      <c r="AI784" s="178"/>
      <c r="AJ784" s="178"/>
      <c r="AK784" s="178"/>
      <c r="AL784" s="178"/>
      <c r="AM784" s="178"/>
      <c r="AN784" s="178"/>
      <c r="AO784" s="178"/>
      <c r="AP784" s="178"/>
      <c r="AQ784" s="178"/>
      <c r="AR784" s="178"/>
      <c r="AS784" s="178"/>
      <c r="AT784" s="178"/>
      <c r="AU784" s="178"/>
      <c r="AV784" s="178"/>
      <c r="AW784" s="178"/>
      <c r="AX784" s="178"/>
      <c r="AY784" s="517"/>
      <c r="AZ784" s="131"/>
    </row>
    <row r="785" spans="1:52" ht="15.75" customHeight="1">
      <c r="A785" s="131"/>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c r="AA785" s="178"/>
      <c r="AB785" s="178"/>
      <c r="AC785" s="178"/>
      <c r="AD785" s="178"/>
      <c r="AE785" s="178"/>
      <c r="AF785" s="178"/>
      <c r="AG785" s="178"/>
      <c r="AH785" s="178"/>
      <c r="AI785" s="178"/>
      <c r="AJ785" s="178"/>
      <c r="AK785" s="178"/>
      <c r="AL785" s="178"/>
      <c r="AM785" s="178"/>
      <c r="AN785" s="178"/>
      <c r="AO785" s="178"/>
      <c r="AP785" s="178"/>
      <c r="AQ785" s="178"/>
      <c r="AR785" s="178"/>
      <c r="AS785" s="178"/>
      <c r="AT785" s="178"/>
      <c r="AU785" s="178"/>
      <c r="AV785" s="178"/>
      <c r="AW785" s="178"/>
      <c r="AX785" s="178"/>
      <c r="AY785" s="517"/>
      <c r="AZ785" s="131"/>
    </row>
    <row r="786" spans="1:52" ht="15.75" customHeight="1">
      <c r="A786" s="131"/>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c r="AA786" s="178"/>
      <c r="AB786" s="178"/>
      <c r="AC786" s="178"/>
      <c r="AD786" s="178"/>
      <c r="AE786" s="178"/>
      <c r="AF786" s="178"/>
      <c r="AG786" s="178"/>
      <c r="AH786" s="178"/>
      <c r="AI786" s="178"/>
      <c r="AJ786" s="178"/>
      <c r="AK786" s="178"/>
      <c r="AL786" s="178"/>
      <c r="AM786" s="178"/>
      <c r="AN786" s="178"/>
      <c r="AO786" s="178"/>
      <c r="AP786" s="178"/>
      <c r="AQ786" s="178"/>
      <c r="AR786" s="178"/>
      <c r="AS786" s="178"/>
      <c r="AT786" s="178"/>
      <c r="AU786" s="178"/>
      <c r="AV786" s="178"/>
      <c r="AW786" s="178"/>
      <c r="AX786" s="178"/>
      <c r="AY786" s="517"/>
      <c r="AZ786" s="131"/>
    </row>
    <row r="787" spans="1:52" ht="15.75" customHeight="1">
      <c r="A787" s="131"/>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c r="AA787" s="178"/>
      <c r="AB787" s="178"/>
      <c r="AC787" s="178"/>
      <c r="AD787" s="178"/>
      <c r="AE787" s="178"/>
      <c r="AF787" s="178"/>
      <c r="AG787" s="178"/>
      <c r="AH787" s="178"/>
      <c r="AI787" s="178"/>
      <c r="AJ787" s="178"/>
      <c r="AK787" s="178"/>
      <c r="AL787" s="178"/>
      <c r="AM787" s="178"/>
      <c r="AN787" s="178"/>
      <c r="AO787" s="178"/>
      <c r="AP787" s="178"/>
      <c r="AQ787" s="178"/>
      <c r="AR787" s="178"/>
      <c r="AS787" s="178"/>
      <c r="AT787" s="178"/>
      <c r="AU787" s="178"/>
      <c r="AV787" s="178"/>
      <c r="AW787" s="178"/>
      <c r="AX787" s="178"/>
      <c r="AY787" s="517"/>
      <c r="AZ787" s="131"/>
    </row>
    <row r="788" spans="1:52" ht="15.75" customHeight="1">
      <c r="A788" s="131"/>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c r="AA788" s="178"/>
      <c r="AB788" s="178"/>
      <c r="AC788" s="178"/>
      <c r="AD788" s="178"/>
      <c r="AE788" s="178"/>
      <c r="AF788" s="178"/>
      <c r="AG788" s="178"/>
      <c r="AH788" s="178"/>
      <c r="AI788" s="178"/>
      <c r="AJ788" s="178"/>
      <c r="AK788" s="178"/>
      <c r="AL788" s="178"/>
      <c r="AM788" s="178"/>
      <c r="AN788" s="178"/>
      <c r="AO788" s="178"/>
      <c r="AP788" s="178"/>
      <c r="AQ788" s="178"/>
      <c r="AR788" s="178"/>
      <c r="AS788" s="178"/>
      <c r="AT788" s="178"/>
      <c r="AU788" s="178"/>
      <c r="AV788" s="178"/>
      <c r="AW788" s="178"/>
      <c r="AX788" s="178"/>
      <c r="AY788" s="517"/>
      <c r="AZ788" s="131"/>
    </row>
    <row r="789" spans="1:52" ht="15.75" customHeight="1">
      <c r="A789" s="131"/>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c r="AA789" s="178"/>
      <c r="AB789" s="178"/>
      <c r="AC789" s="178"/>
      <c r="AD789" s="178"/>
      <c r="AE789" s="178"/>
      <c r="AF789" s="178"/>
      <c r="AG789" s="178"/>
      <c r="AH789" s="178"/>
      <c r="AI789" s="178"/>
      <c r="AJ789" s="178"/>
      <c r="AK789" s="178"/>
      <c r="AL789" s="178"/>
      <c r="AM789" s="178"/>
      <c r="AN789" s="178"/>
      <c r="AO789" s="178"/>
      <c r="AP789" s="178"/>
      <c r="AQ789" s="178"/>
      <c r="AR789" s="178"/>
      <c r="AS789" s="178"/>
      <c r="AT789" s="178"/>
      <c r="AU789" s="178"/>
      <c r="AV789" s="178"/>
      <c r="AW789" s="178"/>
      <c r="AX789" s="178"/>
      <c r="AY789" s="517"/>
      <c r="AZ789" s="131"/>
    </row>
    <row r="790" spans="1:52" ht="15.75" customHeight="1">
      <c r="A790" s="131"/>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c r="AA790" s="178"/>
      <c r="AB790" s="178"/>
      <c r="AC790" s="178"/>
      <c r="AD790" s="178"/>
      <c r="AE790" s="178"/>
      <c r="AF790" s="178"/>
      <c r="AG790" s="178"/>
      <c r="AH790" s="178"/>
      <c r="AI790" s="178"/>
      <c r="AJ790" s="178"/>
      <c r="AK790" s="178"/>
      <c r="AL790" s="178"/>
      <c r="AM790" s="178"/>
      <c r="AN790" s="178"/>
      <c r="AO790" s="178"/>
      <c r="AP790" s="178"/>
      <c r="AQ790" s="178"/>
      <c r="AR790" s="178"/>
      <c r="AS790" s="178"/>
      <c r="AT790" s="178"/>
      <c r="AU790" s="178"/>
      <c r="AV790" s="178"/>
      <c r="AW790" s="178"/>
      <c r="AX790" s="178"/>
      <c r="AY790" s="517"/>
      <c r="AZ790" s="131"/>
    </row>
    <row r="791" spans="1:52" ht="15.75" customHeight="1">
      <c r="A791" s="131"/>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c r="AH791" s="178"/>
      <c r="AI791" s="178"/>
      <c r="AJ791" s="178"/>
      <c r="AK791" s="178"/>
      <c r="AL791" s="178"/>
      <c r="AM791" s="178"/>
      <c r="AN791" s="178"/>
      <c r="AO791" s="178"/>
      <c r="AP791" s="178"/>
      <c r="AQ791" s="178"/>
      <c r="AR791" s="178"/>
      <c r="AS791" s="178"/>
      <c r="AT791" s="178"/>
      <c r="AU791" s="178"/>
      <c r="AV791" s="178"/>
      <c r="AW791" s="178"/>
      <c r="AX791" s="178"/>
      <c r="AY791" s="517"/>
      <c r="AZ791" s="131"/>
    </row>
    <row r="792" spans="1:52" ht="15.75" customHeight="1">
      <c r="A792" s="131"/>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c r="AA792" s="178"/>
      <c r="AB792" s="178"/>
      <c r="AC792" s="178"/>
      <c r="AD792" s="178"/>
      <c r="AE792" s="178"/>
      <c r="AF792" s="178"/>
      <c r="AG792" s="178"/>
      <c r="AH792" s="178"/>
      <c r="AI792" s="178"/>
      <c r="AJ792" s="178"/>
      <c r="AK792" s="178"/>
      <c r="AL792" s="178"/>
      <c r="AM792" s="178"/>
      <c r="AN792" s="178"/>
      <c r="AO792" s="178"/>
      <c r="AP792" s="178"/>
      <c r="AQ792" s="178"/>
      <c r="AR792" s="178"/>
      <c r="AS792" s="178"/>
      <c r="AT792" s="178"/>
      <c r="AU792" s="178"/>
      <c r="AV792" s="178"/>
      <c r="AW792" s="178"/>
      <c r="AX792" s="178"/>
      <c r="AY792" s="517"/>
      <c r="AZ792" s="131"/>
    </row>
    <row r="793" spans="1:52" ht="15.75" customHeight="1">
      <c r="A793" s="131"/>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c r="AA793" s="178"/>
      <c r="AB793" s="178"/>
      <c r="AC793" s="178"/>
      <c r="AD793" s="178"/>
      <c r="AE793" s="178"/>
      <c r="AF793" s="178"/>
      <c r="AG793" s="178"/>
      <c r="AH793" s="178"/>
      <c r="AI793" s="178"/>
      <c r="AJ793" s="178"/>
      <c r="AK793" s="178"/>
      <c r="AL793" s="178"/>
      <c r="AM793" s="178"/>
      <c r="AN793" s="178"/>
      <c r="AO793" s="178"/>
      <c r="AP793" s="178"/>
      <c r="AQ793" s="178"/>
      <c r="AR793" s="178"/>
      <c r="AS793" s="178"/>
      <c r="AT793" s="178"/>
      <c r="AU793" s="178"/>
      <c r="AV793" s="178"/>
      <c r="AW793" s="178"/>
      <c r="AX793" s="178"/>
      <c r="AY793" s="517"/>
      <c r="AZ793" s="131"/>
    </row>
    <row r="794" spans="1:52" ht="15.75" customHeight="1">
      <c r="A794" s="131"/>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c r="AA794" s="178"/>
      <c r="AB794" s="178"/>
      <c r="AC794" s="178"/>
      <c r="AD794" s="178"/>
      <c r="AE794" s="178"/>
      <c r="AF794" s="178"/>
      <c r="AG794" s="178"/>
      <c r="AH794" s="178"/>
      <c r="AI794" s="178"/>
      <c r="AJ794" s="178"/>
      <c r="AK794" s="178"/>
      <c r="AL794" s="178"/>
      <c r="AM794" s="178"/>
      <c r="AN794" s="178"/>
      <c r="AO794" s="178"/>
      <c r="AP794" s="178"/>
      <c r="AQ794" s="178"/>
      <c r="AR794" s="178"/>
      <c r="AS794" s="178"/>
      <c r="AT794" s="178"/>
      <c r="AU794" s="178"/>
      <c r="AV794" s="178"/>
      <c r="AW794" s="178"/>
      <c r="AX794" s="178"/>
      <c r="AY794" s="517"/>
      <c r="AZ794" s="131"/>
    </row>
    <row r="795" spans="1:52" ht="15.75" customHeight="1">
      <c r="A795" s="131"/>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c r="AA795" s="178"/>
      <c r="AB795" s="178"/>
      <c r="AC795" s="178"/>
      <c r="AD795" s="178"/>
      <c r="AE795" s="178"/>
      <c r="AF795" s="178"/>
      <c r="AG795" s="178"/>
      <c r="AH795" s="178"/>
      <c r="AI795" s="178"/>
      <c r="AJ795" s="178"/>
      <c r="AK795" s="178"/>
      <c r="AL795" s="178"/>
      <c r="AM795" s="178"/>
      <c r="AN795" s="178"/>
      <c r="AO795" s="178"/>
      <c r="AP795" s="178"/>
      <c r="AQ795" s="178"/>
      <c r="AR795" s="178"/>
      <c r="AS795" s="178"/>
      <c r="AT795" s="178"/>
      <c r="AU795" s="178"/>
      <c r="AV795" s="178"/>
      <c r="AW795" s="178"/>
      <c r="AX795" s="178"/>
      <c r="AY795" s="517"/>
      <c r="AZ795" s="131"/>
    </row>
    <row r="796" spans="1:52" ht="15.75" customHeight="1">
      <c r="A796" s="131"/>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c r="AA796" s="178"/>
      <c r="AB796" s="178"/>
      <c r="AC796" s="178"/>
      <c r="AD796" s="178"/>
      <c r="AE796" s="178"/>
      <c r="AF796" s="178"/>
      <c r="AG796" s="178"/>
      <c r="AH796" s="178"/>
      <c r="AI796" s="178"/>
      <c r="AJ796" s="178"/>
      <c r="AK796" s="178"/>
      <c r="AL796" s="178"/>
      <c r="AM796" s="178"/>
      <c r="AN796" s="178"/>
      <c r="AO796" s="178"/>
      <c r="AP796" s="178"/>
      <c r="AQ796" s="178"/>
      <c r="AR796" s="178"/>
      <c r="AS796" s="178"/>
      <c r="AT796" s="178"/>
      <c r="AU796" s="178"/>
      <c r="AV796" s="178"/>
      <c r="AW796" s="178"/>
      <c r="AX796" s="178"/>
      <c r="AY796" s="517"/>
      <c r="AZ796" s="131"/>
    </row>
    <row r="797" spans="1:52" ht="15.75" customHeight="1">
      <c r="A797" s="131"/>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c r="AA797" s="178"/>
      <c r="AB797" s="178"/>
      <c r="AC797" s="178"/>
      <c r="AD797" s="178"/>
      <c r="AE797" s="178"/>
      <c r="AF797" s="178"/>
      <c r="AG797" s="178"/>
      <c r="AH797" s="178"/>
      <c r="AI797" s="178"/>
      <c r="AJ797" s="178"/>
      <c r="AK797" s="178"/>
      <c r="AL797" s="178"/>
      <c r="AM797" s="178"/>
      <c r="AN797" s="178"/>
      <c r="AO797" s="178"/>
      <c r="AP797" s="178"/>
      <c r="AQ797" s="178"/>
      <c r="AR797" s="178"/>
      <c r="AS797" s="178"/>
      <c r="AT797" s="178"/>
      <c r="AU797" s="178"/>
      <c r="AV797" s="178"/>
      <c r="AW797" s="178"/>
      <c r="AX797" s="178"/>
      <c r="AY797" s="517"/>
      <c r="AZ797" s="131"/>
    </row>
    <row r="798" spans="1:52" ht="15.75" customHeight="1">
      <c r="A798" s="131"/>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c r="AA798" s="178"/>
      <c r="AB798" s="178"/>
      <c r="AC798" s="178"/>
      <c r="AD798" s="178"/>
      <c r="AE798" s="178"/>
      <c r="AF798" s="178"/>
      <c r="AG798" s="178"/>
      <c r="AH798" s="178"/>
      <c r="AI798" s="178"/>
      <c r="AJ798" s="178"/>
      <c r="AK798" s="178"/>
      <c r="AL798" s="178"/>
      <c r="AM798" s="178"/>
      <c r="AN798" s="178"/>
      <c r="AO798" s="178"/>
      <c r="AP798" s="178"/>
      <c r="AQ798" s="178"/>
      <c r="AR798" s="178"/>
      <c r="AS798" s="178"/>
      <c r="AT798" s="178"/>
      <c r="AU798" s="178"/>
      <c r="AV798" s="178"/>
      <c r="AW798" s="178"/>
      <c r="AX798" s="178"/>
      <c r="AY798" s="517"/>
      <c r="AZ798" s="131"/>
    </row>
    <row r="799" spans="1:52" ht="15.75" customHeight="1">
      <c r="A799" s="131"/>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c r="AA799" s="178"/>
      <c r="AB799" s="178"/>
      <c r="AC799" s="178"/>
      <c r="AD799" s="178"/>
      <c r="AE799" s="178"/>
      <c r="AF799" s="178"/>
      <c r="AG799" s="178"/>
      <c r="AH799" s="178"/>
      <c r="AI799" s="178"/>
      <c r="AJ799" s="178"/>
      <c r="AK799" s="178"/>
      <c r="AL799" s="178"/>
      <c r="AM799" s="178"/>
      <c r="AN799" s="178"/>
      <c r="AO799" s="178"/>
      <c r="AP799" s="178"/>
      <c r="AQ799" s="178"/>
      <c r="AR799" s="178"/>
      <c r="AS799" s="178"/>
      <c r="AT799" s="178"/>
      <c r="AU799" s="178"/>
      <c r="AV799" s="178"/>
      <c r="AW799" s="178"/>
      <c r="AX799" s="178"/>
      <c r="AY799" s="517"/>
      <c r="AZ799" s="131"/>
    </row>
    <row r="800" spans="1:52" ht="15.75" customHeight="1">
      <c r="A800" s="131"/>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c r="AA800" s="178"/>
      <c r="AB800" s="178"/>
      <c r="AC800" s="178"/>
      <c r="AD800" s="178"/>
      <c r="AE800" s="178"/>
      <c r="AF800" s="178"/>
      <c r="AG800" s="178"/>
      <c r="AH800" s="178"/>
      <c r="AI800" s="178"/>
      <c r="AJ800" s="178"/>
      <c r="AK800" s="178"/>
      <c r="AL800" s="178"/>
      <c r="AM800" s="178"/>
      <c r="AN800" s="178"/>
      <c r="AO800" s="178"/>
      <c r="AP800" s="178"/>
      <c r="AQ800" s="178"/>
      <c r="AR800" s="178"/>
      <c r="AS800" s="178"/>
      <c r="AT800" s="178"/>
      <c r="AU800" s="178"/>
      <c r="AV800" s="178"/>
      <c r="AW800" s="178"/>
      <c r="AX800" s="178"/>
      <c r="AY800" s="517"/>
      <c r="AZ800" s="131"/>
    </row>
    <row r="801" spans="1:52" ht="15.75" customHeight="1">
      <c r="A801" s="131"/>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c r="AA801" s="178"/>
      <c r="AB801" s="178"/>
      <c r="AC801" s="178"/>
      <c r="AD801" s="178"/>
      <c r="AE801" s="178"/>
      <c r="AF801" s="178"/>
      <c r="AG801" s="178"/>
      <c r="AH801" s="178"/>
      <c r="AI801" s="178"/>
      <c r="AJ801" s="178"/>
      <c r="AK801" s="178"/>
      <c r="AL801" s="178"/>
      <c r="AM801" s="178"/>
      <c r="AN801" s="178"/>
      <c r="AO801" s="178"/>
      <c r="AP801" s="178"/>
      <c r="AQ801" s="178"/>
      <c r="AR801" s="178"/>
      <c r="AS801" s="178"/>
      <c r="AT801" s="178"/>
      <c r="AU801" s="178"/>
      <c r="AV801" s="178"/>
      <c r="AW801" s="178"/>
      <c r="AX801" s="178"/>
      <c r="AY801" s="517"/>
      <c r="AZ801" s="131"/>
    </row>
    <row r="802" spans="1:52" ht="15.75" customHeight="1">
      <c r="A802" s="131"/>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c r="AA802" s="178"/>
      <c r="AB802" s="178"/>
      <c r="AC802" s="178"/>
      <c r="AD802" s="178"/>
      <c r="AE802" s="178"/>
      <c r="AF802" s="178"/>
      <c r="AG802" s="178"/>
      <c r="AH802" s="178"/>
      <c r="AI802" s="178"/>
      <c r="AJ802" s="178"/>
      <c r="AK802" s="178"/>
      <c r="AL802" s="178"/>
      <c r="AM802" s="178"/>
      <c r="AN802" s="178"/>
      <c r="AO802" s="178"/>
      <c r="AP802" s="178"/>
      <c r="AQ802" s="178"/>
      <c r="AR802" s="178"/>
      <c r="AS802" s="178"/>
      <c r="AT802" s="178"/>
      <c r="AU802" s="178"/>
      <c r="AV802" s="178"/>
      <c r="AW802" s="178"/>
      <c r="AX802" s="178"/>
      <c r="AY802" s="517"/>
      <c r="AZ802" s="131"/>
    </row>
    <row r="803" spans="1:52" ht="15.75" customHeight="1">
      <c r="A803" s="131"/>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c r="AA803" s="178"/>
      <c r="AB803" s="178"/>
      <c r="AC803" s="178"/>
      <c r="AD803" s="178"/>
      <c r="AE803" s="178"/>
      <c r="AF803" s="178"/>
      <c r="AG803" s="178"/>
      <c r="AH803" s="178"/>
      <c r="AI803" s="178"/>
      <c r="AJ803" s="178"/>
      <c r="AK803" s="178"/>
      <c r="AL803" s="178"/>
      <c r="AM803" s="178"/>
      <c r="AN803" s="178"/>
      <c r="AO803" s="178"/>
      <c r="AP803" s="178"/>
      <c r="AQ803" s="178"/>
      <c r="AR803" s="178"/>
      <c r="AS803" s="178"/>
      <c r="AT803" s="178"/>
      <c r="AU803" s="178"/>
      <c r="AV803" s="178"/>
      <c r="AW803" s="178"/>
      <c r="AX803" s="178"/>
      <c r="AY803" s="517"/>
      <c r="AZ803" s="131"/>
    </row>
    <row r="804" spans="1:52" ht="15.75" customHeight="1">
      <c r="A804" s="131"/>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c r="AA804" s="178"/>
      <c r="AB804" s="178"/>
      <c r="AC804" s="178"/>
      <c r="AD804" s="178"/>
      <c r="AE804" s="178"/>
      <c r="AF804" s="178"/>
      <c r="AG804" s="178"/>
      <c r="AH804" s="178"/>
      <c r="AI804" s="178"/>
      <c r="AJ804" s="178"/>
      <c r="AK804" s="178"/>
      <c r="AL804" s="178"/>
      <c r="AM804" s="178"/>
      <c r="AN804" s="178"/>
      <c r="AO804" s="178"/>
      <c r="AP804" s="178"/>
      <c r="AQ804" s="178"/>
      <c r="AR804" s="178"/>
      <c r="AS804" s="178"/>
      <c r="AT804" s="178"/>
      <c r="AU804" s="178"/>
      <c r="AV804" s="178"/>
      <c r="AW804" s="178"/>
      <c r="AX804" s="178"/>
      <c r="AY804" s="517"/>
      <c r="AZ804" s="131"/>
    </row>
    <row r="805" spans="1:52" ht="15.75" customHeight="1">
      <c r="A805" s="131"/>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c r="AA805" s="178"/>
      <c r="AB805" s="178"/>
      <c r="AC805" s="178"/>
      <c r="AD805" s="178"/>
      <c r="AE805" s="178"/>
      <c r="AF805" s="178"/>
      <c r="AG805" s="178"/>
      <c r="AH805" s="178"/>
      <c r="AI805" s="178"/>
      <c r="AJ805" s="178"/>
      <c r="AK805" s="178"/>
      <c r="AL805" s="178"/>
      <c r="AM805" s="178"/>
      <c r="AN805" s="178"/>
      <c r="AO805" s="178"/>
      <c r="AP805" s="178"/>
      <c r="AQ805" s="178"/>
      <c r="AR805" s="178"/>
      <c r="AS805" s="178"/>
      <c r="AT805" s="178"/>
      <c r="AU805" s="178"/>
      <c r="AV805" s="178"/>
      <c r="AW805" s="178"/>
      <c r="AX805" s="178"/>
      <c r="AY805" s="517"/>
      <c r="AZ805" s="131"/>
    </row>
    <row r="806" spans="1:52" ht="15.75" customHeight="1">
      <c r="A806" s="131"/>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c r="AA806" s="178"/>
      <c r="AB806" s="178"/>
      <c r="AC806" s="178"/>
      <c r="AD806" s="178"/>
      <c r="AE806" s="178"/>
      <c r="AF806" s="178"/>
      <c r="AG806" s="178"/>
      <c r="AH806" s="178"/>
      <c r="AI806" s="178"/>
      <c r="AJ806" s="178"/>
      <c r="AK806" s="178"/>
      <c r="AL806" s="178"/>
      <c r="AM806" s="178"/>
      <c r="AN806" s="178"/>
      <c r="AO806" s="178"/>
      <c r="AP806" s="178"/>
      <c r="AQ806" s="178"/>
      <c r="AR806" s="178"/>
      <c r="AS806" s="178"/>
      <c r="AT806" s="178"/>
      <c r="AU806" s="178"/>
      <c r="AV806" s="178"/>
      <c r="AW806" s="178"/>
      <c r="AX806" s="178"/>
      <c r="AY806" s="517"/>
      <c r="AZ806" s="131"/>
    </row>
    <row r="807" spans="1:52" ht="15.75" customHeight="1">
      <c r="A807" s="131"/>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c r="AA807" s="178"/>
      <c r="AB807" s="178"/>
      <c r="AC807" s="178"/>
      <c r="AD807" s="178"/>
      <c r="AE807" s="178"/>
      <c r="AF807" s="178"/>
      <c r="AG807" s="178"/>
      <c r="AH807" s="178"/>
      <c r="AI807" s="178"/>
      <c r="AJ807" s="178"/>
      <c r="AK807" s="178"/>
      <c r="AL807" s="178"/>
      <c r="AM807" s="178"/>
      <c r="AN807" s="178"/>
      <c r="AO807" s="178"/>
      <c r="AP807" s="178"/>
      <c r="AQ807" s="178"/>
      <c r="AR807" s="178"/>
      <c r="AS807" s="178"/>
      <c r="AT807" s="178"/>
      <c r="AU807" s="178"/>
      <c r="AV807" s="178"/>
      <c r="AW807" s="178"/>
      <c r="AX807" s="178"/>
      <c r="AY807" s="517"/>
      <c r="AZ807" s="131"/>
    </row>
    <row r="808" spans="1:52" ht="15.75" customHeight="1">
      <c r="A808" s="131"/>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c r="AA808" s="178"/>
      <c r="AB808" s="178"/>
      <c r="AC808" s="178"/>
      <c r="AD808" s="178"/>
      <c r="AE808" s="178"/>
      <c r="AF808" s="178"/>
      <c r="AG808" s="178"/>
      <c r="AH808" s="178"/>
      <c r="AI808" s="178"/>
      <c r="AJ808" s="178"/>
      <c r="AK808" s="178"/>
      <c r="AL808" s="178"/>
      <c r="AM808" s="178"/>
      <c r="AN808" s="178"/>
      <c r="AO808" s="178"/>
      <c r="AP808" s="178"/>
      <c r="AQ808" s="178"/>
      <c r="AR808" s="178"/>
      <c r="AS808" s="178"/>
      <c r="AT808" s="178"/>
      <c r="AU808" s="178"/>
      <c r="AV808" s="178"/>
      <c r="AW808" s="178"/>
      <c r="AX808" s="178"/>
      <c r="AY808" s="517"/>
      <c r="AZ808" s="131"/>
    </row>
    <row r="809" spans="1:52" ht="15.75" customHeight="1">
      <c r="A809" s="131"/>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c r="AA809" s="178"/>
      <c r="AB809" s="178"/>
      <c r="AC809" s="178"/>
      <c r="AD809" s="178"/>
      <c r="AE809" s="178"/>
      <c r="AF809" s="178"/>
      <c r="AG809" s="178"/>
      <c r="AH809" s="178"/>
      <c r="AI809" s="178"/>
      <c r="AJ809" s="178"/>
      <c r="AK809" s="178"/>
      <c r="AL809" s="178"/>
      <c r="AM809" s="178"/>
      <c r="AN809" s="178"/>
      <c r="AO809" s="178"/>
      <c r="AP809" s="178"/>
      <c r="AQ809" s="178"/>
      <c r="AR809" s="178"/>
      <c r="AS809" s="178"/>
      <c r="AT809" s="178"/>
      <c r="AU809" s="178"/>
      <c r="AV809" s="178"/>
      <c r="AW809" s="178"/>
      <c r="AX809" s="178"/>
      <c r="AY809" s="517"/>
      <c r="AZ809" s="131"/>
    </row>
    <row r="810" spans="1:52" ht="15.75" customHeight="1">
      <c r="A810" s="131"/>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c r="AA810" s="178"/>
      <c r="AB810" s="178"/>
      <c r="AC810" s="178"/>
      <c r="AD810" s="178"/>
      <c r="AE810" s="178"/>
      <c r="AF810" s="178"/>
      <c r="AG810" s="178"/>
      <c r="AH810" s="178"/>
      <c r="AI810" s="178"/>
      <c r="AJ810" s="178"/>
      <c r="AK810" s="178"/>
      <c r="AL810" s="178"/>
      <c r="AM810" s="178"/>
      <c r="AN810" s="178"/>
      <c r="AO810" s="178"/>
      <c r="AP810" s="178"/>
      <c r="AQ810" s="178"/>
      <c r="AR810" s="178"/>
      <c r="AS810" s="178"/>
      <c r="AT810" s="178"/>
      <c r="AU810" s="178"/>
      <c r="AV810" s="178"/>
      <c r="AW810" s="178"/>
      <c r="AX810" s="178"/>
      <c r="AY810" s="517"/>
      <c r="AZ810" s="131"/>
    </row>
    <row r="811" spans="1:52" ht="15.75" customHeight="1">
      <c r="A811" s="131"/>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c r="AA811" s="178"/>
      <c r="AB811" s="178"/>
      <c r="AC811" s="178"/>
      <c r="AD811" s="178"/>
      <c r="AE811" s="178"/>
      <c r="AF811" s="178"/>
      <c r="AG811" s="178"/>
      <c r="AH811" s="178"/>
      <c r="AI811" s="178"/>
      <c r="AJ811" s="178"/>
      <c r="AK811" s="178"/>
      <c r="AL811" s="178"/>
      <c r="AM811" s="178"/>
      <c r="AN811" s="178"/>
      <c r="AO811" s="178"/>
      <c r="AP811" s="178"/>
      <c r="AQ811" s="178"/>
      <c r="AR811" s="178"/>
      <c r="AS811" s="178"/>
      <c r="AT811" s="178"/>
      <c r="AU811" s="178"/>
      <c r="AV811" s="178"/>
      <c r="AW811" s="178"/>
      <c r="AX811" s="178"/>
      <c r="AY811" s="517"/>
      <c r="AZ811" s="131"/>
    </row>
    <row r="812" spans="1:52" ht="15.75" customHeight="1">
      <c r="A812" s="131"/>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c r="AA812" s="178"/>
      <c r="AB812" s="178"/>
      <c r="AC812" s="178"/>
      <c r="AD812" s="178"/>
      <c r="AE812" s="178"/>
      <c r="AF812" s="178"/>
      <c r="AG812" s="178"/>
      <c r="AH812" s="178"/>
      <c r="AI812" s="178"/>
      <c r="AJ812" s="178"/>
      <c r="AK812" s="178"/>
      <c r="AL812" s="178"/>
      <c r="AM812" s="178"/>
      <c r="AN812" s="178"/>
      <c r="AO812" s="178"/>
      <c r="AP812" s="178"/>
      <c r="AQ812" s="178"/>
      <c r="AR812" s="178"/>
      <c r="AS812" s="178"/>
      <c r="AT812" s="178"/>
      <c r="AU812" s="178"/>
      <c r="AV812" s="178"/>
      <c r="AW812" s="178"/>
      <c r="AX812" s="178"/>
      <c r="AY812" s="517"/>
      <c r="AZ812" s="131"/>
    </row>
    <row r="813" spans="1:52" ht="15.75" customHeight="1">
      <c r="A813" s="131"/>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c r="AA813" s="178"/>
      <c r="AB813" s="178"/>
      <c r="AC813" s="178"/>
      <c r="AD813" s="178"/>
      <c r="AE813" s="178"/>
      <c r="AF813" s="178"/>
      <c r="AG813" s="178"/>
      <c r="AH813" s="178"/>
      <c r="AI813" s="178"/>
      <c r="AJ813" s="178"/>
      <c r="AK813" s="178"/>
      <c r="AL813" s="178"/>
      <c r="AM813" s="178"/>
      <c r="AN813" s="178"/>
      <c r="AO813" s="178"/>
      <c r="AP813" s="178"/>
      <c r="AQ813" s="178"/>
      <c r="AR813" s="178"/>
      <c r="AS813" s="178"/>
      <c r="AT813" s="178"/>
      <c r="AU813" s="178"/>
      <c r="AV813" s="178"/>
      <c r="AW813" s="178"/>
      <c r="AX813" s="178"/>
      <c r="AY813" s="517"/>
      <c r="AZ813" s="131"/>
    </row>
    <row r="814" spans="1:52" ht="15.75" customHeight="1">
      <c r="A814" s="131"/>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c r="AA814" s="178"/>
      <c r="AB814" s="178"/>
      <c r="AC814" s="178"/>
      <c r="AD814" s="178"/>
      <c r="AE814" s="178"/>
      <c r="AF814" s="178"/>
      <c r="AG814" s="178"/>
      <c r="AH814" s="178"/>
      <c r="AI814" s="178"/>
      <c r="AJ814" s="178"/>
      <c r="AK814" s="178"/>
      <c r="AL814" s="178"/>
      <c r="AM814" s="178"/>
      <c r="AN814" s="178"/>
      <c r="AO814" s="178"/>
      <c r="AP814" s="178"/>
      <c r="AQ814" s="178"/>
      <c r="AR814" s="178"/>
      <c r="AS814" s="178"/>
      <c r="AT814" s="178"/>
      <c r="AU814" s="178"/>
      <c r="AV814" s="178"/>
      <c r="AW814" s="178"/>
      <c r="AX814" s="178"/>
      <c r="AY814" s="517"/>
      <c r="AZ814" s="131"/>
    </row>
    <row r="815" spans="1:52" ht="15.75" customHeight="1">
      <c r="A815" s="131"/>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c r="AA815" s="178"/>
      <c r="AB815" s="178"/>
      <c r="AC815" s="178"/>
      <c r="AD815" s="178"/>
      <c r="AE815" s="178"/>
      <c r="AF815" s="178"/>
      <c r="AG815" s="178"/>
      <c r="AH815" s="178"/>
      <c r="AI815" s="178"/>
      <c r="AJ815" s="178"/>
      <c r="AK815" s="178"/>
      <c r="AL815" s="178"/>
      <c r="AM815" s="178"/>
      <c r="AN815" s="178"/>
      <c r="AO815" s="178"/>
      <c r="AP815" s="178"/>
      <c r="AQ815" s="178"/>
      <c r="AR815" s="178"/>
      <c r="AS815" s="178"/>
      <c r="AT815" s="178"/>
      <c r="AU815" s="178"/>
      <c r="AV815" s="178"/>
      <c r="AW815" s="178"/>
      <c r="AX815" s="178"/>
      <c r="AY815" s="517"/>
      <c r="AZ815" s="131"/>
    </row>
    <row r="816" spans="1:52" ht="15.75" customHeight="1">
      <c r="A816" s="131"/>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c r="AA816" s="178"/>
      <c r="AB816" s="178"/>
      <c r="AC816" s="178"/>
      <c r="AD816" s="178"/>
      <c r="AE816" s="178"/>
      <c r="AF816" s="178"/>
      <c r="AG816" s="178"/>
      <c r="AH816" s="178"/>
      <c r="AI816" s="178"/>
      <c r="AJ816" s="178"/>
      <c r="AK816" s="178"/>
      <c r="AL816" s="178"/>
      <c r="AM816" s="178"/>
      <c r="AN816" s="178"/>
      <c r="AO816" s="178"/>
      <c r="AP816" s="178"/>
      <c r="AQ816" s="178"/>
      <c r="AR816" s="178"/>
      <c r="AS816" s="178"/>
      <c r="AT816" s="178"/>
      <c r="AU816" s="178"/>
      <c r="AV816" s="178"/>
      <c r="AW816" s="178"/>
      <c r="AX816" s="178"/>
      <c r="AY816" s="517"/>
      <c r="AZ816" s="131"/>
    </row>
    <row r="817" spans="1:52" ht="15.75" customHeight="1">
      <c r="A817" s="131"/>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c r="AA817" s="178"/>
      <c r="AB817" s="178"/>
      <c r="AC817" s="178"/>
      <c r="AD817" s="178"/>
      <c r="AE817" s="178"/>
      <c r="AF817" s="178"/>
      <c r="AG817" s="178"/>
      <c r="AH817" s="178"/>
      <c r="AI817" s="178"/>
      <c r="AJ817" s="178"/>
      <c r="AK817" s="178"/>
      <c r="AL817" s="178"/>
      <c r="AM817" s="178"/>
      <c r="AN817" s="178"/>
      <c r="AO817" s="178"/>
      <c r="AP817" s="178"/>
      <c r="AQ817" s="178"/>
      <c r="AR817" s="178"/>
      <c r="AS817" s="178"/>
      <c r="AT817" s="178"/>
      <c r="AU817" s="178"/>
      <c r="AV817" s="178"/>
      <c r="AW817" s="178"/>
      <c r="AX817" s="178"/>
      <c r="AY817" s="517"/>
      <c r="AZ817" s="131"/>
    </row>
    <row r="818" spans="1:52" ht="15.75" customHeight="1">
      <c r="A818" s="131"/>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c r="AA818" s="178"/>
      <c r="AB818" s="178"/>
      <c r="AC818" s="178"/>
      <c r="AD818" s="178"/>
      <c r="AE818" s="178"/>
      <c r="AF818" s="178"/>
      <c r="AG818" s="178"/>
      <c r="AH818" s="178"/>
      <c r="AI818" s="178"/>
      <c r="AJ818" s="178"/>
      <c r="AK818" s="178"/>
      <c r="AL818" s="178"/>
      <c r="AM818" s="178"/>
      <c r="AN818" s="178"/>
      <c r="AO818" s="178"/>
      <c r="AP818" s="178"/>
      <c r="AQ818" s="178"/>
      <c r="AR818" s="178"/>
      <c r="AS818" s="178"/>
      <c r="AT818" s="178"/>
      <c r="AU818" s="178"/>
      <c r="AV818" s="178"/>
      <c r="AW818" s="178"/>
      <c r="AX818" s="178"/>
      <c r="AY818" s="517"/>
      <c r="AZ818" s="131"/>
    </row>
    <row r="819" spans="1:52" ht="15.75" customHeight="1">
      <c r="A819" s="131"/>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c r="AA819" s="178"/>
      <c r="AB819" s="178"/>
      <c r="AC819" s="178"/>
      <c r="AD819" s="178"/>
      <c r="AE819" s="178"/>
      <c r="AF819" s="178"/>
      <c r="AG819" s="178"/>
      <c r="AH819" s="178"/>
      <c r="AI819" s="178"/>
      <c r="AJ819" s="178"/>
      <c r="AK819" s="178"/>
      <c r="AL819" s="178"/>
      <c r="AM819" s="178"/>
      <c r="AN819" s="178"/>
      <c r="AO819" s="178"/>
      <c r="AP819" s="178"/>
      <c r="AQ819" s="178"/>
      <c r="AR819" s="178"/>
      <c r="AS819" s="178"/>
      <c r="AT819" s="178"/>
      <c r="AU819" s="178"/>
      <c r="AV819" s="178"/>
      <c r="AW819" s="178"/>
      <c r="AX819" s="178"/>
      <c r="AY819" s="517"/>
      <c r="AZ819" s="131"/>
    </row>
    <row r="820" spans="1:52" ht="15.75" customHeight="1">
      <c r="A820" s="131"/>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c r="AA820" s="178"/>
      <c r="AB820" s="178"/>
      <c r="AC820" s="178"/>
      <c r="AD820" s="178"/>
      <c r="AE820" s="178"/>
      <c r="AF820" s="178"/>
      <c r="AG820" s="178"/>
      <c r="AH820" s="178"/>
      <c r="AI820" s="178"/>
      <c r="AJ820" s="178"/>
      <c r="AK820" s="178"/>
      <c r="AL820" s="178"/>
      <c r="AM820" s="178"/>
      <c r="AN820" s="178"/>
      <c r="AO820" s="178"/>
      <c r="AP820" s="178"/>
      <c r="AQ820" s="178"/>
      <c r="AR820" s="178"/>
      <c r="AS820" s="178"/>
      <c r="AT820" s="178"/>
      <c r="AU820" s="178"/>
      <c r="AV820" s="178"/>
      <c r="AW820" s="178"/>
      <c r="AX820" s="178"/>
      <c r="AY820" s="517"/>
      <c r="AZ820" s="131"/>
    </row>
    <row r="821" spans="1:52" ht="15.75" customHeight="1">
      <c r="A821" s="131"/>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c r="AA821" s="178"/>
      <c r="AB821" s="178"/>
      <c r="AC821" s="178"/>
      <c r="AD821" s="178"/>
      <c r="AE821" s="178"/>
      <c r="AF821" s="178"/>
      <c r="AG821" s="178"/>
      <c r="AH821" s="178"/>
      <c r="AI821" s="178"/>
      <c r="AJ821" s="178"/>
      <c r="AK821" s="178"/>
      <c r="AL821" s="178"/>
      <c r="AM821" s="178"/>
      <c r="AN821" s="178"/>
      <c r="AO821" s="178"/>
      <c r="AP821" s="178"/>
      <c r="AQ821" s="178"/>
      <c r="AR821" s="178"/>
      <c r="AS821" s="178"/>
      <c r="AT821" s="178"/>
      <c r="AU821" s="178"/>
      <c r="AV821" s="178"/>
      <c r="AW821" s="178"/>
      <c r="AX821" s="178"/>
      <c r="AY821" s="517"/>
      <c r="AZ821" s="131"/>
    </row>
    <row r="822" spans="1:52" ht="15.75" customHeight="1">
      <c r="A822" s="131"/>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c r="AA822" s="178"/>
      <c r="AB822" s="178"/>
      <c r="AC822" s="178"/>
      <c r="AD822" s="178"/>
      <c r="AE822" s="178"/>
      <c r="AF822" s="178"/>
      <c r="AG822" s="178"/>
      <c r="AH822" s="178"/>
      <c r="AI822" s="178"/>
      <c r="AJ822" s="178"/>
      <c r="AK822" s="178"/>
      <c r="AL822" s="178"/>
      <c r="AM822" s="178"/>
      <c r="AN822" s="178"/>
      <c r="AO822" s="178"/>
      <c r="AP822" s="178"/>
      <c r="AQ822" s="178"/>
      <c r="AR822" s="178"/>
      <c r="AS822" s="178"/>
      <c r="AT822" s="178"/>
      <c r="AU822" s="178"/>
      <c r="AV822" s="178"/>
      <c r="AW822" s="178"/>
      <c r="AX822" s="178"/>
      <c r="AY822" s="517"/>
      <c r="AZ822" s="131"/>
    </row>
    <row r="823" spans="1:52" ht="15.75" customHeight="1">
      <c r="A823" s="131"/>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c r="AA823" s="178"/>
      <c r="AB823" s="178"/>
      <c r="AC823" s="178"/>
      <c r="AD823" s="178"/>
      <c r="AE823" s="178"/>
      <c r="AF823" s="178"/>
      <c r="AG823" s="178"/>
      <c r="AH823" s="178"/>
      <c r="AI823" s="178"/>
      <c r="AJ823" s="178"/>
      <c r="AK823" s="178"/>
      <c r="AL823" s="178"/>
      <c r="AM823" s="178"/>
      <c r="AN823" s="178"/>
      <c r="AO823" s="178"/>
      <c r="AP823" s="178"/>
      <c r="AQ823" s="178"/>
      <c r="AR823" s="178"/>
      <c r="AS823" s="178"/>
      <c r="AT823" s="178"/>
      <c r="AU823" s="178"/>
      <c r="AV823" s="178"/>
      <c r="AW823" s="178"/>
      <c r="AX823" s="178"/>
      <c r="AY823" s="517"/>
      <c r="AZ823" s="131"/>
    </row>
    <row r="824" spans="1:52" ht="15.75" customHeight="1">
      <c r="A824" s="131"/>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c r="AA824" s="178"/>
      <c r="AB824" s="178"/>
      <c r="AC824" s="178"/>
      <c r="AD824" s="178"/>
      <c r="AE824" s="178"/>
      <c r="AF824" s="178"/>
      <c r="AG824" s="178"/>
      <c r="AH824" s="178"/>
      <c r="AI824" s="178"/>
      <c r="AJ824" s="178"/>
      <c r="AK824" s="178"/>
      <c r="AL824" s="178"/>
      <c r="AM824" s="178"/>
      <c r="AN824" s="178"/>
      <c r="AO824" s="178"/>
      <c r="AP824" s="178"/>
      <c r="AQ824" s="178"/>
      <c r="AR824" s="178"/>
      <c r="AS824" s="178"/>
      <c r="AT824" s="178"/>
      <c r="AU824" s="178"/>
      <c r="AV824" s="178"/>
      <c r="AW824" s="178"/>
      <c r="AX824" s="178"/>
      <c r="AY824" s="517"/>
      <c r="AZ824" s="131"/>
    </row>
    <row r="825" spans="1:52" ht="15.75" customHeight="1">
      <c r="A825" s="131"/>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c r="AA825" s="178"/>
      <c r="AB825" s="178"/>
      <c r="AC825" s="178"/>
      <c r="AD825" s="178"/>
      <c r="AE825" s="178"/>
      <c r="AF825" s="178"/>
      <c r="AG825" s="178"/>
      <c r="AH825" s="178"/>
      <c r="AI825" s="178"/>
      <c r="AJ825" s="178"/>
      <c r="AK825" s="178"/>
      <c r="AL825" s="178"/>
      <c r="AM825" s="178"/>
      <c r="AN825" s="178"/>
      <c r="AO825" s="178"/>
      <c r="AP825" s="178"/>
      <c r="AQ825" s="178"/>
      <c r="AR825" s="178"/>
      <c r="AS825" s="178"/>
      <c r="AT825" s="178"/>
      <c r="AU825" s="178"/>
      <c r="AV825" s="178"/>
      <c r="AW825" s="178"/>
      <c r="AX825" s="178"/>
      <c r="AY825" s="517"/>
      <c r="AZ825" s="131"/>
    </row>
    <row r="826" spans="1:52" ht="15.75" customHeight="1">
      <c r="A826" s="131"/>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c r="AA826" s="178"/>
      <c r="AB826" s="178"/>
      <c r="AC826" s="178"/>
      <c r="AD826" s="178"/>
      <c r="AE826" s="178"/>
      <c r="AF826" s="178"/>
      <c r="AG826" s="178"/>
      <c r="AH826" s="178"/>
      <c r="AI826" s="178"/>
      <c r="AJ826" s="178"/>
      <c r="AK826" s="178"/>
      <c r="AL826" s="178"/>
      <c r="AM826" s="178"/>
      <c r="AN826" s="178"/>
      <c r="AO826" s="178"/>
      <c r="AP826" s="178"/>
      <c r="AQ826" s="178"/>
      <c r="AR826" s="178"/>
      <c r="AS826" s="178"/>
      <c r="AT826" s="178"/>
      <c r="AU826" s="178"/>
      <c r="AV826" s="178"/>
      <c r="AW826" s="178"/>
      <c r="AX826" s="178"/>
      <c r="AY826" s="517"/>
      <c r="AZ826" s="131"/>
    </row>
    <row r="827" spans="1:52" ht="15.75" customHeight="1">
      <c r="A827" s="131"/>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c r="AA827" s="178"/>
      <c r="AB827" s="178"/>
      <c r="AC827" s="178"/>
      <c r="AD827" s="178"/>
      <c r="AE827" s="178"/>
      <c r="AF827" s="178"/>
      <c r="AG827" s="178"/>
      <c r="AH827" s="178"/>
      <c r="AI827" s="178"/>
      <c r="AJ827" s="178"/>
      <c r="AK827" s="178"/>
      <c r="AL827" s="178"/>
      <c r="AM827" s="178"/>
      <c r="AN827" s="178"/>
      <c r="AO827" s="178"/>
      <c r="AP827" s="178"/>
      <c r="AQ827" s="178"/>
      <c r="AR827" s="178"/>
      <c r="AS827" s="178"/>
      <c r="AT827" s="178"/>
      <c r="AU827" s="178"/>
      <c r="AV827" s="178"/>
      <c r="AW827" s="178"/>
      <c r="AX827" s="178"/>
      <c r="AY827" s="517"/>
      <c r="AZ827" s="131"/>
    </row>
    <row r="828" spans="1:52" ht="15.75" customHeight="1">
      <c r="A828" s="131"/>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c r="AA828" s="178"/>
      <c r="AB828" s="178"/>
      <c r="AC828" s="178"/>
      <c r="AD828" s="178"/>
      <c r="AE828" s="178"/>
      <c r="AF828" s="178"/>
      <c r="AG828" s="178"/>
      <c r="AH828" s="178"/>
      <c r="AI828" s="178"/>
      <c r="AJ828" s="178"/>
      <c r="AK828" s="178"/>
      <c r="AL828" s="178"/>
      <c r="AM828" s="178"/>
      <c r="AN828" s="178"/>
      <c r="AO828" s="178"/>
      <c r="AP828" s="178"/>
      <c r="AQ828" s="178"/>
      <c r="AR828" s="178"/>
      <c r="AS828" s="178"/>
      <c r="AT828" s="178"/>
      <c r="AU828" s="178"/>
      <c r="AV828" s="178"/>
      <c r="AW828" s="178"/>
      <c r="AX828" s="178"/>
      <c r="AY828" s="517"/>
      <c r="AZ828" s="131"/>
    </row>
    <row r="829" spans="1:52" ht="15.75" customHeight="1">
      <c r="A829" s="131"/>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c r="AA829" s="178"/>
      <c r="AB829" s="178"/>
      <c r="AC829" s="178"/>
      <c r="AD829" s="178"/>
      <c r="AE829" s="178"/>
      <c r="AF829" s="178"/>
      <c r="AG829" s="178"/>
      <c r="AH829" s="178"/>
      <c r="AI829" s="178"/>
      <c r="AJ829" s="178"/>
      <c r="AK829" s="178"/>
      <c r="AL829" s="178"/>
      <c r="AM829" s="178"/>
      <c r="AN829" s="178"/>
      <c r="AO829" s="178"/>
      <c r="AP829" s="178"/>
      <c r="AQ829" s="178"/>
      <c r="AR829" s="178"/>
      <c r="AS829" s="178"/>
      <c r="AT829" s="178"/>
      <c r="AU829" s="178"/>
      <c r="AV829" s="178"/>
      <c r="AW829" s="178"/>
      <c r="AX829" s="178"/>
      <c r="AY829" s="517"/>
      <c r="AZ829" s="131"/>
    </row>
    <row r="830" spans="1:52" ht="15.75" customHeight="1">
      <c r="A830" s="131"/>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c r="AA830" s="178"/>
      <c r="AB830" s="178"/>
      <c r="AC830" s="178"/>
      <c r="AD830" s="178"/>
      <c r="AE830" s="178"/>
      <c r="AF830" s="178"/>
      <c r="AG830" s="178"/>
      <c r="AH830" s="178"/>
      <c r="AI830" s="178"/>
      <c r="AJ830" s="178"/>
      <c r="AK830" s="178"/>
      <c r="AL830" s="178"/>
      <c r="AM830" s="178"/>
      <c r="AN830" s="178"/>
      <c r="AO830" s="178"/>
      <c r="AP830" s="178"/>
      <c r="AQ830" s="178"/>
      <c r="AR830" s="178"/>
      <c r="AS830" s="178"/>
      <c r="AT830" s="178"/>
      <c r="AU830" s="178"/>
      <c r="AV830" s="178"/>
      <c r="AW830" s="178"/>
      <c r="AX830" s="178"/>
      <c r="AY830" s="517"/>
      <c r="AZ830" s="131"/>
    </row>
    <row r="831" spans="1:52" ht="15.75" customHeight="1">
      <c r="A831" s="131"/>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c r="AA831" s="178"/>
      <c r="AB831" s="178"/>
      <c r="AC831" s="178"/>
      <c r="AD831" s="178"/>
      <c r="AE831" s="178"/>
      <c r="AF831" s="178"/>
      <c r="AG831" s="178"/>
      <c r="AH831" s="178"/>
      <c r="AI831" s="178"/>
      <c r="AJ831" s="178"/>
      <c r="AK831" s="178"/>
      <c r="AL831" s="178"/>
      <c r="AM831" s="178"/>
      <c r="AN831" s="178"/>
      <c r="AO831" s="178"/>
      <c r="AP831" s="178"/>
      <c r="AQ831" s="178"/>
      <c r="AR831" s="178"/>
      <c r="AS831" s="178"/>
      <c r="AT831" s="178"/>
      <c r="AU831" s="178"/>
      <c r="AV831" s="178"/>
      <c r="AW831" s="178"/>
      <c r="AX831" s="178"/>
      <c r="AY831" s="517"/>
      <c r="AZ831" s="131"/>
    </row>
    <row r="832" spans="1:52" ht="15.75" customHeight="1">
      <c r="A832" s="131"/>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c r="AA832" s="178"/>
      <c r="AB832" s="178"/>
      <c r="AC832" s="178"/>
      <c r="AD832" s="178"/>
      <c r="AE832" s="178"/>
      <c r="AF832" s="178"/>
      <c r="AG832" s="178"/>
      <c r="AH832" s="178"/>
      <c r="AI832" s="178"/>
      <c r="AJ832" s="178"/>
      <c r="AK832" s="178"/>
      <c r="AL832" s="178"/>
      <c r="AM832" s="178"/>
      <c r="AN832" s="178"/>
      <c r="AO832" s="178"/>
      <c r="AP832" s="178"/>
      <c r="AQ832" s="178"/>
      <c r="AR832" s="178"/>
      <c r="AS832" s="178"/>
      <c r="AT832" s="178"/>
      <c r="AU832" s="178"/>
      <c r="AV832" s="178"/>
      <c r="AW832" s="178"/>
      <c r="AX832" s="178"/>
      <c r="AY832" s="517"/>
      <c r="AZ832" s="131"/>
    </row>
    <row r="833" spans="1:52" ht="15.75" customHeight="1">
      <c r="A833" s="131"/>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c r="AA833" s="178"/>
      <c r="AB833" s="178"/>
      <c r="AC833" s="178"/>
      <c r="AD833" s="178"/>
      <c r="AE833" s="178"/>
      <c r="AF833" s="178"/>
      <c r="AG833" s="178"/>
      <c r="AH833" s="178"/>
      <c r="AI833" s="178"/>
      <c r="AJ833" s="178"/>
      <c r="AK833" s="178"/>
      <c r="AL833" s="178"/>
      <c r="AM833" s="178"/>
      <c r="AN833" s="178"/>
      <c r="AO833" s="178"/>
      <c r="AP833" s="178"/>
      <c r="AQ833" s="178"/>
      <c r="AR833" s="178"/>
      <c r="AS833" s="178"/>
      <c r="AT833" s="178"/>
      <c r="AU833" s="178"/>
      <c r="AV833" s="178"/>
      <c r="AW833" s="178"/>
      <c r="AX833" s="178"/>
      <c r="AY833" s="517"/>
      <c r="AZ833" s="131"/>
    </row>
    <row r="834" spans="1:52" ht="15.75" customHeight="1">
      <c r="A834" s="131"/>
      <c r="B834" s="178"/>
      <c r="C834" s="178"/>
      <c r="D834" s="178"/>
      <c r="E834" s="178"/>
      <c r="F834" s="178"/>
      <c r="G834" s="178"/>
      <c r="H834" s="178"/>
      <c r="I834" s="178"/>
      <c r="J834" s="178"/>
      <c r="K834" s="178"/>
      <c r="L834" s="178"/>
      <c r="M834" s="178"/>
      <c r="N834" s="178"/>
      <c r="O834" s="178"/>
      <c r="P834" s="178"/>
      <c r="Q834" s="178"/>
      <c r="R834" s="178"/>
      <c r="S834" s="178"/>
      <c r="T834" s="178"/>
      <c r="U834" s="178"/>
      <c r="V834" s="178"/>
      <c r="W834" s="178"/>
      <c r="X834" s="178"/>
      <c r="Y834" s="178"/>
      <c r="Z834" s="178"/>
      <c r="AA834" s="178"/>
      <c r="AB834" s="178"/>
      <c r="AC834" s="178"/>
      <c r="AD834" s="178"/>
      <c r="AE834" s="178"/>
      <c r="AF834" s="178"/>
      <c r="AG834" s="178"/>
      <c r="AH834" s="178"/>
      <c r="AI834" s="178"/>
      <c r="AJ834" s="178"/>
      <c r="AK834" s="178"/>
      <c r="AL834" s="178"/>
      <c r="AM834" s="178"/>
      <c r="AN834" s="178"/>
      <c r="AO834" s="178"/>
      <c r="AP834" s="178"/>
      <c r="AQ834" s="178"/>
      <c r="AR834" s="178"/>
      <c r="AS834" s="178"/>
      <c r="AT834" s="178"/>
      <c r="AU834" s="178"/>
      <c r="AV834" s="178"/>
      <c r="AW834" s="178"/>
      <c r="AX834" s="178"/>
      <c r="AY834" s="517"/>
      <c r="AZ834" s="131"/>
    </row>
    <row r="835" spans="1:52" ht="15.75" customHeight="1">
      <c r="A835" s="131"/>
      <c r="B835" s="178"/>
      <c r="C835" s="178"/>
      <c r="D835" s="178"/>
      <c r="E835" s="178"/>
      <c r="F835" s="178"/>
      <c r="G835" s="178"/>
      <c r="H835" s="178"/>
      <c r="I835" s="178"/>
      <c r="J835" s="178"/>
      <c r="K835" s="178"/>
      <c r="L835" s="178"/>
      <c r="M835" s="178"/>
      <c r="N835" s="178"/>
      <c r="O835" s="178"/>
      <c r="P835" s="178"/>
      <c r="Q835" s="178"/>
      <c r="R835" s="178"/>
      <c r="S835" s="178"/>
      <c r="T835" s="178"/>
      <c r="U835" s="178"/>
      <c r="V835" s="178"/>
      <c r="W835" s="178"/>
      <c r="X835" s="178"/>
      <c r="Y835" s="178"/>
      <c r="Z835" s="178"/>
      <c r="AA835" s="178"/>
      <c r="AB835" s="178"/>
      <c r="AC835" s="178"/>
      <c r="AD835" s="178"/>
      <c r="AE835" s="178"/>
      <c r="AF835" s="178"/>
      <c r="AG835" s="178"/>
      <c r="AH835" s="178"/>
      <c r="AI835" s="178"/>
      <c r="AJ835" s="178"/>
      <c r="AK835" s="178"/>
      <c r="AL835" s="178"/>
      <c r="AM835" s="178"/>
      <c r="AN835" s="178"/>
      <c r="AO835" s="178"/>
      <c r="AP835" s="178"/>
      <c r="AQ835" s="178"/>
      <c r="AR835" s="178"/>
      <c r="AS835" s="178"/>
      <c r="AT835" s="178"/>
      <c r="AU835" s="178"/>
      <c r="AV835" s="178"/>
      <c r="AW835" s="178"/>
      <c r="AX835" s="178"/>
      <c r="AY835" s="517"/>
      <c r="AZ835" s="131"/>
    </row>
    <row r="836" spans="1:52" ht="15.75" customHeight="1">
      <c r="A836" s="131"/>
      <c r="B836" s="178"/>
      <c r="C836" s="178"/>
      <c r="D836" s="178"/>
      <c r="E836" s="178"/>
      <c r="F836" s="178"/>
      <c r="G836" s="178"/>
      <c r="H836" s="178"/>
      <c r="I836" s="178"/>
      <c r="J836" s="178"/>
      <c r="K836" s="178"/>
      <c r="L836" s="178"/>
      <c r="M836" s="178"/>
      <c r="N836" s="178"/>
      <c r="O836" s="178"/>
      <c r="P836" s="178"/>
      <c r="Q836" s="178"/>
      <c r="R836" s="178"/>
      <c r="S836" s="178"/>
      <c r="T836" s="178"/>
      <c r="U836" s="178"/>
      <c r="V836" s="178"/>
      <c r="W836" s="178"/>
      <c r="X836" s="178"/>
      <c r="Y836" s="178"/>
      <c r="Z836" s="178"/>
      <c r="AA836" s="178"/>
      <c r="AB836" s="178"/>
      <c r="AC836" s="178"/>
      <c r="AD836" s="178"/>
      <c r="AE836" s="178"/>
      <c r="AF836" s="178"/>
      <c r="AG836" s="178"/>
      <c r="AH836" s="178"/>
      <c r="AI836" s="178"/>
      <c r="AJ836" s="178"/>
      <c r="AK836" s="178"/>
      <c r="AL836" s="178"/>
      <c r="AM836" s="178"/>
      <c r="AN836" s="178"/>
      <c r="AO836" s="178"/>
      <c r="AP836" s="178"/>
      <c r="AQ836" s="178"/>
      <c r="AR836" s="178"/>
      <c r="AS836" s="178"/>
      <c r="AT836" s="178"/>
      <c r="AU836" s="178"/>
      <c r="AV836" s="178"/>
      <c r="AW836" s="178"/>
      <c r="AX836" s="178"/>
      <c r="AY836" s="517"/>
      <c r="AZ836" s="131"/>
    </row>
    <row r="837" spans="1:52" ht="15.75" customHeight="1">
      <c r="A837" s="131"/>
      <c r="B837" s="178"/>
      <c r="C837" s="178"/>
      <c r="D837" s="178"/>
      <c r="E837" s="178"/>
      <c r="F837" s="178"/>
      <c r="G837" s="178"/>
      <c r="H837" s="178"/>
      <c r="I837" s="178"/>
      <c r="J837" s="178"/>
      <c r="K837" s="178"/>
      <c r="L837" s="178"/>
      <c r="M837" s="178"/>
      <c r="N837" s="178"/>
      <c r="O837" s="178"/>
      <c r="P837" s="178"/>
      <c r="Q837" s="178"/>
      <c r="R837" s="178"/>
      <c r="S837" s="178"/>
      <c r="T837" s="178"/>
      <c r="U837" s="178"/>
      <c r="V837" s="178"/>
      <c r="W837" s="178"/>
      <c r="X837" s="178"/>
      <c r="Y837" s="178"/>
      <c r="Z837" s="178"/>
      <c r="AA837" s="178"/>
      <c r="AB837" s="178"/>
      <c r="AC837" s="178"/>
      <c r="AD837" s="178"/>
      <c r="AE837" s="178"/>
      <c r="AF837" s="178"/>
      <c r="AG837" s="178"/>
      <c r="AH837" s="178"/>
      <c r="AI837" s="178"/>
      <c r="AJ837" s="178"/>
      <c r="AK837" s="178"/>
      <c r="AL837" s="178"/>
      <c r="AM837" s="178"/>
      <c r="AN837" s="178"/>
      <c r="AO837" s="178"/>
      <c r="AP837" s="178"/>
      <c r="AQ837" s="178"/>
      <c r="AR837" s="178"/>
      <c r="AS837" s="178"/>
      <c r="AT837" s="178"/>
      <c r="AU837" s="178"/>
      <c r="AV837" s="178"/>
      <c r="AW837" s="178"/>
      <c r="AX837" s="178"/>
      <c r="AY837" s="517"/>
      <c r="AZ837" s="131"/>
    </row>
    <row r="838" spans="1:52" ht="15.75" customHeight="1">
      <c r="A838" s="131"/>
      <c r="B838" s="178"/>
      <c r="C838" s="178"/>
      <c r="D838" s="178"/>
      <c r="E838" s="178"/>
      <c r="F838" s="178"/>
      <c r="G838" s="178"/>
      <c r="H838" s="178"/>
      <c r="I838" s="178"/>
      <c r="J838" s="178"/>
      <c r="K838" s="178"/>
      <c r="L838" s="178"/>
      <c r="M838" s="178"/>
      <c r="N838" s="178"/>
      <c r="O838" s="178"/>
      <c r="P838" s="178"/>
      <c r="Q838" s="178"/>
      <c r="R838" s="178"/>
      <c r="S838" s="178"/>
      <c r="T838" s="178"/>
      <c r="U838" s="178"/>
      <c r="V838" s="178"/>
      <c r="W838" s="178"/>
      <c r="X838" s="178"/>
      <c r="Y838" s="178"/>
      <c r="Z838" s="178"/>
      <c r="AA838" s="178"/>
      <c r="AB838" s="178"/>
      <c r="AC838" s="178"/>
      <c r="AD838" s="178"/>
      <c r="AE838" s="178"/>
      <c r="AF838" s="178"/>
      <c r="AG838" s="178"/>
      <c r="AH838" s="178"/>
      <c r="AI838" s="178"/>
      <c r="AJ838" s="178"/>
      <c r="AK838" s="178"/>
      <c r="AL838" s="178"/>
      <c r="AM838" s="178"/>
      <c r="AN838" s="178"/>
      <c r="AO838" s="178"/>
      <c r="AP838" s="178"/>
      <c r="AQ838" s="178"/>
      <c r="AR838" s="178"/>
      <c r="AS838" s="178"/>
      <c r="AT838" s="178"/>
      <c r="AU838" s="178"/>
      <c r="AV838" s="178"/>
      <c r="AW838" s="178"/>
      <c r="AX838" s="178"/>
      <c r="AY838" s="517"/>
      <c r="AZ838" s="131"/>
    </row>
    <row r="839" spans="1:52" ht="15.75" customHeight="1">
      <c r="A839" s="131"/>
      <c r="B839" s="178"/>
      <c r="C839" s="178"/>
      <c r="D839" s="178"/>
      <c r="E839" s="178"/>
      <c r="F839" s="178"/>
      <c r="G839" s="178"/>
      <c r="H839" s="178"/>
      <c r="I839" s="178"/>
      <c r="J839" s="178"/>
      <c r="K839" s="178"/>
      <c r="L839" s="178"/>
      <c r="M839" s="178"/>
      <c r="N839" s="178"/>
      <c r="O839" s="178"/>
      <c r="P839" s="178"/>
      <c r="Q839" s="178"/>
      <c r="R839" s="178"/>
      <c r="S839" s="178"/>
      <c r="T839" s="178"/>
      <c r="U839" s="178"/>
      <c r="V839" s="178"/>
      <c r="W839" s="178"/>
      <c r="X839" s="178"/>
      <c r="Y839" s="178"/>
      <c r="Z839" s="178"/>
      <c r="AA839" s="178"/>
      <c r="AB839" s="178"/>
      <c r="AC839" s="178"/>
      <c r="AD839" s="178"/>
      <c r="AE839" s="178"/>
      <c r="AF839" s="178"/>
      <c r="AG839" s="178"/>
      <c r="AH839" s="178"/>
      <c r="AI839" s="178"/>
      <c r="AJ839" s="178"/>
      <c r="AK839" s="178"/>
      <c r="AL839" s="178"/>
      <c r="AM839" s="178"/>
      <c r="AN839" s="178"/>
      <c r="AO839" s="178"/>
      <c r="AP839" s="178"/>
      <c r="AQ839" s="178"/>
      <c r="AR839" s="178"/>
      <c r="AS839" s="178"/>
      <c r="AT839" s="178"/>
      <c r="AU839" s="178"/>
      <c r="AV839" s="178"/>
      <c r="AW839" s="178"/>
      <c r="AX839" s="178"/>
      <c r="AY839" s="517"/>
      <c r="AZ839" s="131"/>
    </row>
    <row r="840" spans="1:52" ht="15.75" customHeight="1">
      <c r="A840" s="131"/>
      <c r="B840" s="178"/>
      <c r="C840" s="178"/>
      <c r="D840" s="178"/>
      <c r="E840" s="178"/>
      <c r="F840" s="178"/>
      <c r="G840" s="178"/>
      <c r="H840" s="178"/>
      <c r="I840" s="178"/>
      <c r="J840" s="178"/>
      <c r="K840" s="178"/>
      <c r="L840" s="178"/>
      <c r="M840" s="178"/>
      <c r="N840" s="178"/>
      <c r="O840" s="178"/>
      <c r="P840" s="178"/>
      <c r="Q840" s="178"/>
      <c r="R840" s="178"/>
      <c r="S840" s="178"/>
      <c r="T840" s="178"/>
      <c r="U840" s="178"/>
      <c r="V840" s="178"/>
      <c r="W840" s="178"/>
      <c r="X840" s="178"/>
      <c r="Y840" s="178"/>
      <c r="Z840" s="178"/>
      <c r="AA840" s="178"/>
      <c r="AB840" s="178"/>
      <c r="AC840" s="178"/>
      <c r="AD840" s="178"/>
      <c r="AE840" s="178"/>
      <c r="AF840" s="178"/>
      <c r="AG840" s="178"/>
      <c r="AH840" s="178"/>
      <c r="AI840" s="178"/>
      <c r="AJ840" s="178"/>
      <c r="AK840" s="178"/>
      <c r="AL840" s="178"/>
      <c r="AM840" s="178"/>
      <c r="AN840" s="178"/>
      <c r="AO840" s="178"/>
      <c r="AP840" s="178"/>
      <c r="AQ840" s="178"/>
      <c r="AR840" s="178"/>
      <c r="AS840" s="178"/>
      <c r="AT840" s="178"/>
      <c r="AU840" s="178"/>
      <c r="AV840" s="178"/>
      <c r="AW840" s="178"/>
      <c r="AX840" s="178"/>
      <c r="AY840" s="517"/>
      <c r="AZ840" s="131"/>
    </row>
    <row r="841" spans="1:52" ht="15.75" customHeight="1">
      <c r="A841" s="131"/>
      <c r="B841" s="178"/>
      <c r="C841" s="178"/>
      <c r="D841" s="178"/>
      <c r="E841" s="178"/>
      <c r="F841" s="178"/>
      <c r="G841" s="178"/>
      <c r="H841" s="178"/>
      <c r="I841" s="178"/>
      <c r="J841" s="178"/>
      <c r="K841" s="178"/>
      <c r="L841" s="178"/>
      <c r="M841" s="178"/>
      <c r="N841" s="178"/>
      <c r="O841" s="178"/>
      <c r="P841" s="178"/>
      <c r="Q841" s="178"/>
      <c r="R841" s="178"/>
      <c r="S841" s="178"/>
      <c r="T841" s="178"/>
      <c r="U841" s="178"/>
      <c r="V841" s="178"/>
      <c r="W841" s="178"/>
      <c r="X841" s="178"/>
      <c r="Y841" s="178"/>
      <c r="Z841" s="178"/>
      <c r="AA841" s="178"/>
      <c r="AB841" s="178"/>
      <c r="AC841" s="178"/>
      <c r="AD841" s="178"/>
      <c r="AE841" s="178"/>
      <c r="AF841" s="178"/>
      <c r="AG841" s="178"/>
      <c r="AH841" s="178"/>
      <c r="AI841" s="178"/>
      <c r="AJ841" s="178"/>
      <c r="AK841" s="178"/>
      <c r="AL841" s="178"/>
      <c r="AM841" s="178"/>
      <c r="AN841" s="178"/>
      <c r="AO841" s="178"/>
      <c r="AP841" s="178"/>
      <c r="AQ841" s="178"/>
      <c r="AR841" s="178"/>
      <c r="AS841" s="178"/>
      <c r="AT841" s="178"/>
      <c r="AU841" s="178"/>
      <c r="AV841" s="178"/>
      <c r="AW841" s="178"/>
      <c r="AX841" s="178"/>
      <c r="AY841" s="517"/>
      <c r="AZ841" s="131"/>
    </row>
    <row r="842" spans="1:52" ht="15.75" customHeight="1">
      <c r="A842" s="131"/>
      <c r="B842" s="178"/>
      <c r="C842" s="178"/>
      <c r="D842" s="178"/>
      <c r="E842" s="178"/>
      <c r="F842" s="178"/>
      <c r="G842" s="178"/>
      <c r="H842" s="178"/>
      <c r="I842" s="178"/>
      <c r="J842" s="178"/>
      <c r="K842" s="178"/>
      <c r="L842" s="178"/>
      <c r="M842" s="178"/>
      <c r="N842" s="178"/>
      <c r="O842" s="178"/>
      <c r="P842" s="178"/>
      <c r="Q842" s="178"/>
      <c r="R842" s="178"/>
      <c r="S842" s="178"/>
      <c r="T842" s="178"/>
      <c r="U842" s="178"/>
      <c r="V842" s="178"/>
      <c r="W842" s="178"/>
      <c r="X842" s="178"/>
      <c r="Y842" s="178"/>
      <c r="Z842" s="178"/>
      <c r="AA842" s="178"/>
      <c r="AB842" s="178"/>
      <c r="AC842" s="178"/>
      <c r="AD842" s="178"/>
      <c r="AE842" s="178"/>
      <c r="AF842" s="178"/>
      <c r="AG842" s="178"/>
      <c r="AH842" s="178"/>
      <c r="AI842" s="178"/>
      <c r="AJ842" s="178"/>
      <c r="AK842" s="178"/>
      <c r="AL842" s="178"/>
      <c r="AM842" s="178"/>
      <c r="AN842" s="178"/>
      <c r="AO842" s="178"/>
      <c r="AP842" s="178"/>
      <c r="AQ842" s="178"/>
      <c r="AR842" s="178"/>
      <c r="AS842" s="178"/>
      <c r="AT842" s="178"/>
      <c r="AU842" s="178"/>
      <c r="AV842" s="178"/>
      <c r="AW842" s="178"/>
      <c r="AX842" s="178"/>
      <c r="AY842" s="517"/>
      <c r="AZ842" s="131"/>
    </row>
    <row r="843" spans="1:52" ht="15.75" customHeight="1">
      <c r="A843" s="131"/>
      <c r="B843" s="178"/>
      <c r="C843" s="178"/>
      <c r="D843" s="178"/>
      <c r="E843" s="178"/>
      <c r="F843" s="178"/>
      <c r="G843" s="178"/>
      <c r="H843" s="178"/>
      <c r="I843" s="178"/>
      <c r="J843" s="178"/>
      <c r="K843" s="178"/>
      <c r="L843" s="178"/>
      <c r="M843" s="178"/>
      <c r="N843" s="178"/>
      <c r="O843" s="178"/>
      <c r="P843" s="178"/>
      <c r="Q843" s="178"/>
      <c r="R843" s="178"/>
      <c r="S843" s="178"/>
      <c r="T843" s="178"/>
      <c r="U843" s="178"/>
      <c r="V843" s="178"/>
      <c r="W843" s="178"/>
      <c r="X843" s="178"/>
      <c r="Y843" s="178"/>
      <c r="Z843" s="178"/>
      <c r="AA843" s="178"/>
      <c r="AB843" s="178"/>
      <c r="AC843" s="178"/>
      <c r="AD843" s="178"/>
      <c r="AE843" s="178"/>
      <c r="AF843" s="178"/>
      <c r="AG843" s="178"/>
      <c r="AH843" s="178"/>
      <c r="AI843" s="178"/>
      <c r="AJ843" s="178"/>
      <c r="AK843" s="178"/>
      <c r="AL843" s="178"/>
      <c r="AM843" s="178"/>
      <c r="AN843" s="178"/>
      <c r="AO843" s="178"/>
      <c r="AP843" s="178"/>
      <c r="AQ843" s="178"/>
      <c r="AR843" s="178"/>
      <c r="AS843" s="178"/>
      <c r="AT843" s="178"/>
      <c r="AU843" s="178"/>
      <c r="AV843" s="178"/>
      <c r="AW843" s="178"/>
      <c r="AX843" s="178"/>
      <c r="AY843" s="517"/>
      <c r="AZ843" s="131"/>
    </row>
    <row r="844" spans="1:52" ht="15.75" customHeight="1">
      <c r="A844" s="131"/>
      <c r="B844" s="178"/>
      <c r="C844" s="178"/>
      <c r="D844" s="178"/>
      <c r="E844" s="178"/>
      <c r="F844" s="178"/>
      <c r="G844" s="178"/>
      <c r="H844" s="178"/>
      <c r="I844" s="178"/>
      <c r="J844" s="178"/>
      <c r="K844" s="178"/>
      <c r="L844" s="178"/>
      <c r="M844" s="178"/>
      <c r="N844" s="178"/>
      <c r="O844" s="178"/>
      <c r="P844" s="178"/>
      <c r="Q844" s="178"/>
      <c r="R844" s="178"/>
      <c r="S844" s="178"/>
      <c r="T844" s="178"/>
      <c r="U844" s="178"/>
      <c r="V844" s="178"/>
      <c r="W844" s="178"/>
      <c r="X844" s="178"/>
      <c r="Y844" s="178"/>
      <c r="Z844" s="178"/>
      <c r="AA844" s="178"/>
      <c r="AB844" s="178"/>
      <c r="AC844" s="178"/>
      <c r="AD844" s="178"/>
      <c r="AE844" s="178"/>
      <c r="AF844" s="178"/>
      <c r="AG844" s="178"/>
      <c r="AH844" s="178"/>
      <c r="AI844" s="178"/>
      <c r="AJ844" s="178"/>
      <c r="AK844" s="178"/>
      <c r="AL844" s="178"/>
      <c r="AM844" s="178"/>
      <c r="AN844" s="178"/>
      <c r="AO844" s="178"/>
      <c r="AP844" s="178"/>
      <c r="AQ844" s="178"/>
      <c r="AR844" s="178"/>
      <c r="AS844" s="178"/>
      <c r="AT844" s="178"/>
      <c r="AU844" s="178"/>
      <c r="AV844" s="178"/>
      <c r="AW844" s="178"/>
      <c r="AX844" s="178"/>
      <c r="AY844" s="517"/>
      <c r="AZ844" s="131"/>
    </row>
    <row r="845" spans="1:52" ht="15.75" customHeight="1">
      <c r="A845" s="131"/>
      <c r="B845" s="178"/>
      <c r="C845" s="178"/>
      <c r="D845" s="178"/>
      <c r="E845" s="178"/>
      <c r="F845" s="178"/>
      <c r="G845" s="178"/>
      <c r="H845" s="178"/>
      <c r="I845" s="178"/>
      <c r="J845" s="178"/>
      <c r="K845" s="178"/>
      <c r="L845" s="178"/>
      <c r="M845" s="178"/>
      <c r="N845" s="178"/>
      <c r="O845" s="178"/>
      <c r="P845" s="178"/>
      <c r="Q845" s="178"/>
      <c r="R845" s="178"/>
      <c r="S845" s="178"/>
      <c r="T845" s="178"/>
      <c r="U845" s="178"/>
      <c r="V845" s="178"/>
      <c r="W845" s="178"/>
      <c r="X845" s="178"/>
      <c r="Y845" s="178"/>
      <c r="Z845" s="178"/>
      <c r="AA845" s="178"/>
      <c r="AB845" s="178"/>
      <c r="AC845" s="178"/>
      <c r="AD845" s="178"/>
      <c r="AE845" s="178"/>
      <c r="AF845" s="178"/>
      <c r="AG845" s="178"/>
      <c r="AH845" s="178"/>
      <c r="AI845" s="178"/>
      <c r="AJ845" s="178"/>
      <c r="AK845" s="178"/>
      <c r="AL845" s="178"/>
      <c r="AM845" s="178"/>
      <c r="AN845" s="178"/>
      <c r="AO845" s="178"/>
      <c r="AP845" s="178"/>
      <c r="AQ845" s="178"/>
      <c r="AR845" s="178"/>
      <c r="AS845" s="178"/>
      <c r="AT845" s="178"/>
      <c r="AU845" s="178"/>
      <c r="AV845" s="178"/>
      <c r="AW845" s="178"/>
      <c r="AX845" s="178"/>
      <c r="AY845" s="517"/>
      <c r="AZ845" s="131"/>
    </row>
    <row r="846" spans="1:52" ht="15.75" customHeight="1">
      <c r="A846" s="131"/>
      <c r="B846" s="178"/>
      <c r="C846" s="178"/>
      <c r="D846" s="178"/>
      <c r="E846" s="178"/>
      <c r="F846" s="178"/>
      <c r="G846" s="178"/>
      <c r="H846" s="178"/>
      <c r="I846" s="178"/>
      <c r="J846" s="178"/>
      <c r="K846" s="178"/>
      <c r="L846" s="178"/>
      <c r="M846" s="178"/>
      <c r="N846" s="178"/>
      <c r="O846" s="178"/>
      <c r="P846" s="178"/>
      <c r="Q846" s="178"/>
      <c r="R846" s="178"/>
      <c r="S846" s="178"/>
      <c r="T846" s="178"/>
      <c r="U846" s="178"/>
      <c r="V846" s="178"/>
      <c r="W846" s="178"/>
      <c r="X846" s="178"/>
      <c r="Y846" s="178"/>
      <c r="Z846" s="178"/>
      <c r="AA846" s="178"/>
      <c r="AB846" s="178"/>
      <c r="AC846" s="178"/>
      <c r="AD846" s="178"/>
      <c r="AE846" s="178"/>
      <c r="AF846" s="178"/>
      <c r="AG846" s="178"/>
      <c r="AH846" s="178"/>
      <c r="AI846" s="178"/>
      <c r="AJ846" s="178"/>
      <c r="AK846" s="178"/>
      <c r="AL846" s="178"/>
      <c r="AM846" s="178"/>
      <c r="AN846" s="178"/>
      <c r="AO846" s="178"/>
      <c r="AP846" s="178"/>
      <c r="AQ846" s="178"/>
      <c r="AR846" s="178"/>
      <c r="AS846" s="178"/>
      <c r="AT846" s="178"/>
      <c r="AU846" s="178"/>
      <c r="AV846" s="178"/>
      <c r="AW846" s="178"/>
      <c r="AX846" s="178"/>
      <c r="AY846" s="517"/>
      <c r="AZ846" s="131"/>
    </row>
    <row r="847" spans="1:52" ht="15.75" customHeight="1">
      <c r="A847" s="131"/>
      <c r="B847" s="178"/>
      <c r="C847" s="178"/>
      <c r="D847" s="178"/>
      <c r="E847" s="178"/>
      <c r="F847" s="178"/>
      <c r="G847" s="178"/>
      <c r="H847" s="178"/>
      <c r="I847" s="178"/>
      <c r="J847" s="178"/>
      <c r="K847" s="178"/>
      <c r="L847" s="178"/>
      <c r="M847" s="178"/>
      <c r="N847" s="178"/>
      <c r="O847" s="178"/>
      <c r="P847" s="178"/>
      <c r="Q847" s="178"/>
      <c r="R847" s="178"/>
      <c r="S847" s="178"/>
      <c r="T847" s="178"/>
      <c r="U847" s="178"/>
      <c r="V847" s="178"/>
      <c r="W847" s="178"/>
      <c r="X847" s="178"/>
      <c r="Y847" s="178"/>
      <c r="Z847" s="178"/>
      <c r="AA847" s="178"/>
      <c r="AB847" s="178"/>
      <c r="AC847" s="178"/>
      <c r="AD847" s="178"/>
      <c r="AE847" s="178"/>
      <c r="AF847" s="178"/>
      <c r="AG847" s="178"/>
      <c r="AH847" s="178"/>
      <c r="AI847" s="178"/>
      <c r="AJ847" s="178"/>
      <c r="AK847" s="178"/>
      <c r="AL847" s="178"/>
      <c r="AM847" s="178"/>
      <c r="AN847" s="178"/>
      <c r="AO847" s="178"/>
      <c r="AP847" s="178"/>
      <c r="AQ847" s="178"/>
      <c r="AR847" s="178"/>
      <c r="AS847" s="178"/>
      <c r="AT847" s="178"/>
      <c r="AU847" s="178"/>
      <c r="AV847" s="178"/>
      <c r="AW847" s="178"/>
      <c r="AX847" s="178"/>
      <c r="AY847" s="517"/>
      <c r="AZ847" s="131"/>
    </row>
    <row r="848" spans="1:52" ht="15.75" customHeight="1">
      <c r="A848" s="131"/>
      <c r="B848" s="178"/>
      <c r="C848" s="178"/>
      <c r="D848" s="178"/>
      <c r="E848" s="178"/>
      <c r="F848" s="178"/>
      <c r="G848" s="178"/>
      <c r="H848" s="178"/>
      <c r="I848" s="178"/>
      <c r="J848" s="178"/>
      <c r="K848" s="178"/>
      <c r="L848" s="178"/>
      <c r="M848" s="178"/>
      <c r="N848" s="178"/>
      <c r="O848" s="178"/>
      <c r="P848" s="178"/>
      <c r="Q848" s="178"/>
      <c r="R848" s="178"/>
      <c r="S848" s="178"/>
      <c r="T848" s="178"/>
      <c r="U848" s="178"/>
      <c r="V848" s="178"/>
      <c r="W848" s="178"/>
      <c r="X848" s="178"/>
      <c r="Y848" s="178"/>
      <c r="Z848" s="178"/>
      <c r="AA848" s="178"/>
      <c r="AB848" s="178"/>
      <c r="AC848" s="178"/>
      <c r="AD848" s="178"/>
      <c r="AE848" s="178"/>
      <c r="AF848" s="178"/>
      <c r="AG848" s="178"/>
      <c r="AH848" s="178"/>
      <c r="AI848" s="178"/>
      <c r="AJ848" s="178"/>
      <c r="AK848" s="178"/>
      <c r="AL848" s="178"/>
      <c r="AM848" s="178"/>
      <c r="AN848" s="178"/>
      <c r="AO848" s="178"/>
      <c r="AP848" s="178"/>
      <c r="AQ848" s="178"/>
      <c r="AR848" s="178"/>
      <c r="AS848" s="178"/>
      <c r="AT848" s="178"/>
      <c r="AU848" s="178"/>
      <c r="AV848" s="178"/>
      <c r="AW848" s="178"/>
      <c r="AX848" s="178"/>
      <c r="AY848" s="517"/>
      <c r="AZ848" s="131"/>
    </row>
    <row r="849" spans="1:52" ht="15.75" customHeight="1">
      <c r="A849" s="131"/>
      <c r="B849" s="178"/>
      <c r="C849" s="178"/>
      <c r="D849" s="178"/>
      <c r="E849" s="178"/>
      <c r="F849" s="178"/>
      <c r="G849" s="178"/>
      <c r="H849" s="178"/>
      <c r="I849" s="178"/>
      <c r="J849" s="178"/>
      <c r="K849" s="178"/>
      <c r="L849" s="178"/>
      <c r="M849" s="178"/>
      <c r="N849" s="178"/>
      <c r="O849" s="178"/>
      <c r="P849" s="178"/>
      <c r="Q849" s="178"/>
      <c r="R849" s="178"/>
      <c r="S849" s="178"/>
      <c r="T849" s="178"/>
      <c r="U849" s="178"/>
      <c r="V849" s="178"/>
      <c r="W849" s="178"/>
      <c r="X849" s="178"/>
      <c r="Y849" s="178"/>
      <c r="Z849" s="178"/>
      <c r="AA849" s="178"/>
      <c r="AB849" s="178"/>
      <c r="AC849" s="178"/>
      <c r="AD849" s="178"/>
      <c r="AE849" s="178"/>
      <c r="AF849" s="178"/>
      <c r="AG849" s="178"/>
      <c r="AH849" s="178"/>
      <c r="AI849" s="178"/>
      <c r="AJ849" s="178"/>
      <c r="AK849" s="178"/>
      <c r="AL849" s="178"/>
      <c r="AM849" s="178"/>
      <c r="AN849" s="178"/>
      <c r="AO849" s="178"/>
      <c r="AP849" s="178"/>
      <c r="AQ849" s="178"/>
      <c r="AR849" s="178"/>
      <c r="AS849" s="178"/>
      <c r="AT849" s="178"/>
      <c r="AU849" s="178"/>
      <c r="AV849" s="178"/>
      <c r="AW849" s="178"/>
      <c r="AX849" s="178"/>
      <c r="AY849" s="517"/>
      <c r="AZ849" s="131"/>
    </row>
    <row r="850" spans="1:52" ht="15.75" customHeight="1">
      <c r="A850" s="131"/>
      <c r="B850" s="178"/>
      <c r="C850" s="178"/>
      <c r="D850" s="178"/>
      <c r="E850" s="178"/>
      <c r="F850" s="178"/>
      <c r="G850" s="178"/>
      <c r="H850" s="178"/>
      <c r="I850" s="178"/>
      <c r="J850" s="178"/>
      <c r="K850" s="178"/>
      <c r="L850" s="178"/>
      <c r="M850" s="178"/>
      <c r="N850" s="178"/>
      <c r="O850" s="178"/>
      <c r="P850" s="178"/>
      <c r="Q850" s="178"/>
      <c r="R850" s="178"/>
      <c r="S850" s="178"/>
      <c r="T850" s="178"/>
      <c r="U850" s="178"/>
      <c r="V850" s="178"/>
      <c r="W850" s="178"/>
      <c r="X850" s="178"/>
      <c r="Y850" s="178"/>
      <c r="Z850" s="178"/>
      <c r="AA850" s="178"/>
      <c r="AB850" s="178"/>
      <c r="AC850" s="178"/>
      <c r="AD850" s="178"/>
      <c r="AE850" s="178"/>
      <c r="AF850" s="178"/>
      <c r="AG850" s="178"/>
      <c r="AH850" s="178"/>
      <c r="AI850" s="178"/>
      <c r="AJ850" s="178"/>
      <c r="AK850" s="178"/>
      <c r="AL850" s="178"/>
      <c r="AM850" s="178"/>
      <c r="AN850" s="178"/>
      <c r="AO850" s="178"/>
      <c r="AP850" s="178"/>
      <c r="AQ850" s="178"/>
      <c r="AR850" s="178"/>
      <c r="AS850" s="178"/>
      <c r="AT850" s="178"/>
      <c r="AU850" s="178"/>
      <c r="AV850" s="178"/>
      <c r="AW850" s="178"/>
      <c r="AX850" s="178"/>
      <c r="AY850" s="517"/>
      <c r="AZ850" s="131"/>
    </row>
    <row r="851" spans="1:52" ht="15.75" customHeight="1">
      <c r="A851" s="131"/>
      <c r="B851" s="178"/>
      <c r="C851" s="178"/>
      <c r="D851" s="178"/>
      <c r="E851" s="178"/>
      <c r="F851" s="178"/>
      <c r="G851" s="178"/>
      <c r="H851" s="178"/>
      <c r="I851" s="178"/>
      <c r="J851" s="178"/>
      <c r="K851" s="178"/>
      <c r="L851" s="178"/>
      <c r="M851" s="178"/>
      <c r="N851" s="178"/>
      <c r="O851" s="178"/>
      <c r="P851" s="178"/>
      <c r="Q851" s="178"/>
      <c r="R851" s="178"/>
      <c r="S851" s="178"/>
      <c r="T851" s="178"/>
      <c r="U851" s="178"/>
      <c r="V851" s="178"/>
      <c r="W851" s="178"/>
      <c r="X851" s="178"/>
      <c r="Y851" s="178"/>
      <c r="Z851" s="178"/>
      <c r="AA851" s="178"/>
      <c r="AB851" s="178"/>
      <c r="AC851" s="178"/>
      <c r="AD851" s="178"/>
      <c r="AE851" s="178"/>
      <c r="AF851" s="178"/>
      <c r="AG851" s="178"/>
      <c r="AH851" s="178"/>
      <c r="AI851" s="178"/>
      <c r="AJ851" s="178"/>
      <c r="AK851" s="178"/>
      <c r="AL851" s="178"/>
      <c r="AM851" s="178"/>
      <c r="AN851" s="178"/>
      <c r="AO851" s="178"/>
      <c r="AP851" s="178"/>
      <c r="AQ851" s="178"/>
      <c r="AR851" s="178"/>
      <c r="AS851" s="178"/>
      <c r="AT851" s="178"/>
      <c r="AU851" s="178"/>
      <c r="AV851" s="178"/>
      <c r="AW851" s="178"/>
      <c r="AX851" s="178"/>
      <c r="AY851" s="517"/>
      <c r="AZ851" s="131"/>
    </row>
    <row r="852" spans="1:52" ht="15.75" customHeight="1">
      <c r="A852" s="131"/>
      <c r="B852" s="178"/>
      <c r="C852" s="178"/>
      <c r="D852" s="178"/>
      <c r="E852" s="178"/>
      <c r="F852" s="178"/>
      <c r="G852" s="178"/>
      <c r="H852" s="178"/>
      <c r="I852" s="178"/>
      <c r="J852" s="178"/>
      <c r="K852" s="178"/>
      <c r="L852" s="178"/>
      <c r="M852" s="178"/>
      <c r="N852" s="178"/>
      <c r="O852" s="178"/>
      <c r="P852" s="178"/>
      <c r="Q852" s="178"/>
      <c r="R852" s="178"/>
      <c r="S852" s="178"/>
      <c r="T852" s="178"/>
      <c r="U852" s="178"/>
      <c r="V852" s="178"/>
      <c r="W852" s="178"/>
      <c r="X852" s="178"/>
      <c r="Y852" s="178"/>
      <c r="Z852" s="178"/>
      <c r="AA852" s="178"/>
      <c r="AB852" s="178"/>
      <c r="AC852" s="178"/>
      <c r="AD852" s="178"/>
      <c r="AE852" s="178"/>
      <c r="AF852" s="178"/>
      <c r="AG852" s="178"/>
      <c r="AH852" s="178"/>
      <c r="AI852" s="178"/>
      <c r="AJ852" s="178"/>
      <c r="AK852" s="178"/>
      <c r="AL852" s="178"/>
      <c r="AM852" s="178"/>
      <c r="AN852" s="178"/>
      <c r="AO852" s="178"/>
      <c r="AP852" s="178"/>
      <c r="AQ852" s="178"/>
      <c r="AR852" s="178"/>
      <c r="AS852" s="178"/>
      <c r="AT852" s="178"/>
      <c r="AU852" s="178"/>
      <c r="AV852" s="178"/>
      <c r="AW852" s="178"/>
      <c r="AX852" s="178"/>
      <c r="AY852" s="517"/>
      <c r="AZ852" s="131"/>
    </row>
    <row r="853" spans="1:52" ht="15.75" customHeight="1">
      <c r="A853" s="131"/>
      <c r="B853" s="178"/>
      <c r="C853" s="178"/>
      <c r="D853" s="178"/>
      <c r="E853" s="178"/>
      <c r="F853" s="178"/>
      <c r="G853" s="178"/>
      <c r="H853" s="178"/>
      <c r="I853" s="178"/>
      <c r="J853" s="178"/>
      <c r="K853" s="178"/>
      <c r="L853" s="178"/>
      <c r="M853" s="178"/>
      <c r="N853" s="178"/>
      <c r="O853" s="178"/>
      <c r="P853" s="178"/>
      <c r="Q853" s="178"/>
      <c r="R853" s="178"/>
      <c r="S853" s="178"/>
      <c r="T853" s="178"/>
      <c r="U853" s="178"/>
      <c r="V853" s="178"/>
      <c r="W853" s="178"/>
      <c r="X853" s="178"/>
      <c r="Y853" s="178"/>
      <c r="Z853" s="178"/>
      <c r="AA853" s="178"/>
      <c r="AB853" s="178"/>
      <c r="AC853" s="178"/>
      <c r="AD853" s="178"/>
      <c r="AE853" s="178"/>
      <c r="AF853" s="178"/>
      <c r="AG853" s="178"/>
      <c r="AH853" s="178"/>
      <c r="AI853" s="178"/>
      <c r="AJ853" s="178"/>
      <c r="AK853" s="178"/>
      <c r="AL853" s="178"/>
      <c r="AM853" s="178"/>
      <c r="AN853" s="178"/>
      <c r="AO853" s="178"/>
      <c r="AP853" s="178"/>
      <c r="AQ853" s="178"/>
      <c r="AR853" s="178"/>
      <c r="AS853" s="178"/>
      <c r="AT853" s="178"/>
      <c r="AU853" s="178"/>
      <c r="AV853" s="178"/>
      <c r="AW853" s="178"/>
      <c r="AX853" s="178"/>
      <c r="AY853" s="517"/>
      <c r="AZ853" s="131"/>
    </row>
    <row r="854" spans="1:52" ht="15.75" customHeight="1">
      <c r="A854" s="131"/>
      <c r="B854" s="178"/>
      <c r="C854" s="178"/>
      <c r="D854" s="178"/>
      <c r="E854" s="178"/>
      <c r="F854" s="178"/>
      <c r="G854" s="178"/>
      <c r="H854" s="178"/>
      <c r="I854" s="178"/>
      <c r="J854" s="178"/>
      <c r="K854" s="178"/>
      <c r="L854" s="178"/>
      <c r="M854" s="178"/>
      <c r="N854" s="178"/>
      <c r="O854" s="178"/>
      <c r="P854" s="178"/>
      <c r="Q854" s="178"/>
      <c r="R854" s="178"/>
      <c r="S854" s="178"/>
      <c r="T854" s="178"/>
      <c r="U854" s="178"/>
      <c r="V854" s="178"/>
      <c r="W854" s="178"/>
      <c r="X854" s="178"/>
      <c r="Y854" s="178"/>
      <c r="Z854" s="178"/>
      <c r="AA854" s="178"/>
      <c r="AB854" s="178"/>
      <c r="AC854" s="178"/>
      <c r="AD854" s="178"/>
      <c r="AE854" s="178"/>
      <c r="AF854" s="178"/>
      <c r="AG854" s="178"/>
      <c r="AH854" s="178"/>
      <c r="AI854" s="178"/>
      <c r="AJ854" s="178"/>
      <c r="AK854" s="178"/>
      <c r="AL854" s="178"/>
      <c r="AM854" s="178"/>
      <c r="AN854" s="178"/>
      <c r="AO854" s="178"/>
      <c r="AP854" s="178"/>
      <c r="AQ854" s="178"/>
      <c r="AR854" s="178"/>
      <c r="AS854" s="178"/>
      <c r="AT854" s="178"/>
      <c r="AU854" s="178"/>
      <c r="AV854" s="178"/>
      <c r="AW854" s="178"/>
      <c r="AX854" s="178"/>
      <c r="AY854" s="517"/>
      <c r="AZ854" s="131"/>
    </row>
    <row r="855" spans="1:52" ht="15.75" customHeight="1">
      <c r="A855" s="131"/>
      <c r="B855" s="178"/>
      <c r="C855" s="178"/>
      <c r="D855" s="178"/>
      <c r="E855" s="178"/>
      <c r="F855" s="178"/>
      <c r="G855" s="178"/>
      <c r="H855" s="178"/>
      <c r="I855" s="178"/>
      <c r="J855" s="178"/>
      <c r="K855" s="178"/>
      <c r="L855" s="178"/>
      <c r="M855" s="178"/>
      <c r="N855" s="178"/>
      <c r="O855" s="178"/>
      <c r="P855" s="178"/>
      <c r="Q855" s="178"/>
      <c r="R855" s="178"/>
      <c r="S855" s="178"/>
      <c r="T855" s="178"/>
      <c r="U855" s="178"/>
      <c r="V855" s="178"/>
      <c r="W855" s="178"/>
      <c r="X855" s="178"/>
      <c r="Y855" s="178"/>
      <c r="Z855" s="178"/>
      <c r="AA855" s="178"/>
      <c r="AB855" s="178"/>
      <c r="AC855" s="178"/>
      <c r="AD855" s="178"/>
      <c r="AE855" s="178"/>
      <c r="AF855" s="178"/>
      <c r="AG855" s="178"/>
      <c r="AH855" s="178"/>
      <c r="AI855" s="178"/>
      <c r="AJ855" s="178"/>
      <c r="AK855" s="178"/>
      <c r="AL855" s="178"/>
      <c r="AM855" s="178"/>
      <c r="AN855" s="178"/>
      <c r="AO855" s="178"/>
      <c r="AP855" s="178"/>
      <c r="AQ855" s="178"/>
      <c r="AR855" s="178"/>
      <c r="AS855" s="178"/>
      <c r="AT855" s="178"/>
      <c r="AU855" s="178"/>
      <c r="AV855" s="178"/>
      <c r="AW855" s="178"/>
      <c r="AX855" s="178"/>
      <c r="AY855" s="517"/>
      <c r="AZ855" s="131"/>
    </row>
    <row r="856" spans="1:52" ht="15.75" customHeight="1">
      <c r="A856" s="131"/>
      <c r="B856" s="178"/>
      <c r="C856" s="178"/>
      <c r="D856" s="178"/>
      <c r="E856" s="178"/>
      <c r="F856" s="178"/>
      <c r="G856" s="178"/>
      <c r="H856" s="178"/>
      <c r="I856" s="178"/>
      <c r="J856" s="178"/>
      <c r="K856" s="178"/>
      <c r="L856" s="178"/>
      <c r="M856" s="178"/>
      <c r="N856" s="178"/>
      <c r="O856" s="178"/>
      <c r="P856" s="178"/>
      <c r="Q856" s="178"/>
      <c r="R856" s="178"/>
      <c r="S856" s="178"/>
      <c r="T856" s="178"/>
      <c r="U856" s="178"/>
      <c r="V856" s="178"/>
      <c r="W856" s="178"/>
      <c r="X856" s="178"/>
      <c r="Y856" s="178"/>
      <c r="Z856" s="178"/>
      <c r="AA856" s="178"/>
      <c r="AB856" s="178"/>
      <c r="AC856" s="178"/>
      <c r="AD856" s="178"/>
      <c r="AE856" s="178"/>
      <c r="AF856" s="178"/>
      <c r="AG856" s="178"/>
      <c r="AH856" s="178"/>
      <c r="AI856" s="178"/>
      <c r="AJ856" s="178"/>
      <c r="AK856" s="178"/>
      <c r="AL856" s="178"/>
      <c r="AM856" s="178"/>
      <c r="AN856" s="178"/>
      <c r="AO856" s="178"/>
      <c r="AP856" s="178"/>
      <c r="AQ856" s="178"/>
      <c r="AR856" s="178"/>
      <c r="AS856" s="178"/>
      <c r="AT856" s="178"/>
      <c r="AU856" s="178"/>
      <c r="AV856" s="178"/>
      <c r="AW856" s="178"/>
      <c r="AX856" s="178"/>
      <c r="AY856" s="517"/>
      <c r="AZ856" s="131"/>
    </row>
    <row r="857" spans="1:52" ht="15.75" customHeight="1">
      <c r="A857" s="131"/>
      <c r="B857" s="178"/>
      <c r="C857" s="178"/>
      <c r="D857" s="178"/>
      <c r="E857" s="178"/>
      <c r="F857" s="178"/>
      <c r="G857" s="178"/>
      <c r="H857" s="178"/>
      <c r="I857" s="178"/>
      <c r="J857" s="178"/>
      <c r="K857" s="178"/>
      <c r="L857" s="178"/>
      <c r="M857" s="178"/>
      <c r="N857" s="178"/>
      <c r="O857" s="178"/>
      <c r="P857" s="178"/>
      <c r="Q857" s="178"/>
      <c r="R857" s="178"/>
      <c r="S857" s="178"/>
      <c r="T857" s="178"/>
      <c r="U857" s="178"/>
      <c r="V857" s="178"/>
      <c r="W857" s="178"/>
      <c r="X857" s="178"/>
      <c r="Y857" s="178"/>
      <c r="Z857" s="178"/>
      <c r="AA857" s="178"/>
      <c r="AB857" s="178"/>
      <c r="AC857" s="178"/>
      <c r="AD857" s="178"/>
      <c r="AE857" s="178"/>
      <c r="AF857" s="178"/>
      <c r="AG857" s="178"/>
      <c r="AH857" s="178"/>
      <c r="AI857" s="178"/>
      <c r="AJ857" s="178"/>
      <c r="AK857" s="178"/>
      <c r="AL857" s="178"/>
      <c r="AM857" s="178"/>
      <c r="AN857" s="178"/>
      <c r="AO857" s="178"/>
      <c r="AP857" s="178"/>
      <c r="AQ857" s="178"/>
      <c r="AR857" s="178"/>
      <c r="AS857" s="178"/>
      <c r="AT857" s="178"/>
      <c r="AU857" s="178"/>
      <c r="AV857" s="178"/>
      <c r="AW857" s="178"/>
      <c r="AX857" s="178"/>
      <c r="AY857" s="517"/>
      <c r="AZ857" s="131"/>
    </row>
    <row r="858" spans="1:52" ht="15.75" customHeight="1">
      <c r="A858" s="131"/>
      <c r="B858" s="178"/>
      <c r="C858" s="178"/>
      <c r="D858" s="178"/>
      <c r="E858" s="178"/>
      <c r="F858" s="178"/>
      <c r="G858" s="178"/>
      <c r="H858" s="178"/>
      <c r="I858" s="178"/>
      <c r="J858" s="178"/>
      <c r="K858" s="178"/>
      <c r="L858" s="178"/>
      <c r="M858" s="178"/>
      <c r="N858" s="178"/>
      <c r="O858" s="178"/>
      <c r="P858" s="178"/>
      <c r="Q858" s="178"/>
      <c r="R858" s="178"/>
      <c r="S858" s="178"/>
      <c r="T858" s="178"/>
      <c r="U858" s="178"/>
      <c r="V858" s="178"/>
      <c r="W858" s="178"/>
      <c r="X858" s="178"/>
      <c r="Y858" s="178"/>
      <c r="Z858" s="178"/>
      <c r="AA858" s="178"/>
      <c r="AB858" s="178"/>
      <c r="AC858" s="178"/>
      <c r="AD858" s="178"/>
      <c r="AE858" s="178"/>
      <c r="AF858" s="178"/>
      <c r="AG858" s="178"/>
      <c r="AH858" s="178"/>
      <c r="AI858" s="178"/>
      <c r="AJ858" s="178"/>
      <c r="AK858" s="178"/>
      <c r="AL858" s="178"/>
      <c r="AM858" s="178"/>
      <c r="AN858" s="178"/>
      <c r="AO858" s="178"/>
      <c r="AP858" s="178"/>
      <c r="AQ858" s="178"/>
      <c r="AR858" s="178"/>
      <c r="AS858" s="178"/>
      <c r="AT858" s="178"/>
      <c r="AU858" s="178"/>
      <c r="AV858" s="178"/>
      <c r="AW858" s="178"/>
      <c r="AX858" s="178"/>
      <c r="AY858" s="517"/>
      <c r="AZ858" s="131"/>
    </row>
    <row r="859" spans="1:52" ht="15.75" customHeight="1">
      <c r="A859" s="131"/>
      <c r="B859" s="178"/>
      <c r="C859" s="178"/>
      <c r="D859" s="178"/>
      <c r="E859" s="178"/>
      <c r="F859" s="178"/>
      <c r="G859" s="178"/>
      <c r="H859" s="178"/>
      <c r="I859" s="178"/>
      <c r="J859" s="178"/>
      <c r="K859" s="178"/>
      <c r="L859" s="178"/>
      <c r="M859" s="178"/>
      <c r="N859" s="178"/>
      <c r="O859" s="178"/>
      <c r="P859" s="178"/>
      <c r="Q859" s="178"/>
      <c r="R859" s="178"/>
      <c r="S859" s="178"/>
      <c r="T859" s="178"/>
      <c r="U859" s="178"/>
      <c r="V859" s="178"/>
      <c r="W859" s="178"/>
      <c r="X859" s="178"/>
      <c r="Y859" s="178"/>
      <c r="Z859" s="178"/>
      <c r="AA859" s="178"/>
      <c r="AB859" s="178"/>
      <c r="AC859" s="178"/>
      <c r="AD859" s="178"/>
      <c r="AE859" s="178"/>
      <c r="AF859" s="178"/>
      <c r="AG859" s="178"/>
      <c r="AH859" s="178"/>
      <c r="AI859" s="178"/>
      <c r="AJ859" s="178"/>
      <c r="AK859" s="178"/>
      <c r="AL859" s="178"/>
      <c r="AM859" s="178"/>
      <c r="AN859" s="178"/>
      <c r="AO859" s="178"/>
      <c r="AP859" s="178"/>
      <c r="AQ859" s="178"/>
      <c r="AR859" s="178"/>
      <c r="AS859" s="178"/>
      <c r="AT859" s="178"/>
      <c r="AU859" s="178"/>
      <c r="AV859" s="178"/>
      <c r="AW859" s="178"/>
      <c r="AX859" s="178"/>
      <c r="AY859" s="517"/>
      <c r="AZ859" s="131"/>
    </row>
    <row r="860" spans="1:52" ht="15.75" customHeight="1">
      <c r="A860" s="131"/>
      <c r="B860" s="178"/>
      <c r="C860" s="178"/>
      <c r="D860" s="178"/>
      <c r="E860" s="178"/>
      <c r="F860" s="178"/>
      <c r="G860" s="178"/>
      <c r="H860" s="178"/>
      <c r="I860" s="178"/>
      <c r="J860" s="178"/>
      <c r="K860" s="178"/>
      <c r="L860" s="178"/>
      <c r="M860" s="178"/>
      <c r="N860" s="178"/>
      <c r="O860" s="178"/>
      <c r="P860" s="178"/>
      <c r="Q860" s="178"/>
      <c r="R860" s="178"/>
      <c r="S860" s="178"/>
      <c r="T860" s="178"/>
      <c r="U860" s="178"/>
      <c r="V860" s="178"/>
      <c r="W860" s="178"/>
      <c r="X860" s="178"/>
      <c r="Y860" s="178"/>
      <c r="Z860" s="178"/>
      <c r="AA860" s="178"/>
      <c r="AB860" s="178"/>
      <c r="AC860" s="178"/>
      <c r="AD860" s="178"/>
      <c r="AE860" s="178"/>
      <c r="AF860" s="178"/>
      <c r="AG860" s="178"/>
      <c r="AH860" s="178"/>
      <c r="AI860" s="178"/>
      <c r="AJ860" s="178"/>
      <c r="AK860" s="178"/>
      <c r="AL860" s="178"/>
      <c r="AM860" s="178"/>
      <c r="AN860" s="178"/>
      <c r="AO860" s="178"/>
      <c r="AP860" s="178"/>
      <c r="AQ860" s="178"/>
      <c r="AR860" s="178"/>
      <c r="AS860" s="178"/>
      <c r="AT860" s="178"/>
      <c r="AU860" s="178"/>
      <c r="AV860" s="178"/>
      <c r="AW860" s="178"/>
      <c r="AX860" s="178"/>
      <c r="AY860" s="517"/>
      <c r="AZ860" s="131"/>
    </row>
    <row r="861" spans="1:52" ht="15.75" customHeight="1">
      <c r="A861" s="131"/>
      <c r="B861" s="178"/>
      <c r="C861" s="178"/>
      <c r="D861" s="178"/>
      <c r="E861" s="178"/>
      <c r="F861" s="178"/>
      <c r="G861" s="178"/>
      <c r="H861" s="178"/>
      <c r="I861" s="178"/>
      <c r="J861" s="178"/>
      <c r="K861" s="178"/>
      <c r="L861" s="178"/>
      <c r="M861" s="178"/>
      <c r="N861" s="178"/>
      <c r="O861" s="178"/>
      <c r="P861" s="178"/>
      <c r="Q861" s="178"/>
      <c r="R861" s="178"/>
      <c r="S861" s="178"/>
      <c r="T861" s="178"/>
      <c r="U861" s="178"/>
      <c r="V861" s="178"/>
      <c r="W861" s="178"/>
      <c r="X861" s="178"/>
      <c r="Y861" s="178"/>
      <c r="Z861" s="178"/>
      <c r="AA861" s="178"/>
      <c r="AB861" s="178"/>
      <c r="AC861" s="178"/>
      <c r="AD861" s="178"/>
      <c r="AE861" s="178"/>
      <c r="AF861" s="178"/>
      <c r="AG861" s="178"/>
      <c r="AH861" s="178"/>
      <c r="AI861" s="178"/>
      <c r="AJ861" s="178"/>
      <c r="AK861" s="178"/>
      <c r="AL861" s="178"/>
      <c r="AM861" s="178"/>
      <c r="AN861" s="178"/>
      <c r="AO861" s="178"/>
      <c r="AP861" s="178"/>
      <c r="AQ861" s="178"/>
      <c r="AR861" s="178"/>
      <c r="AS861" s="178"/>
      <c r="AT861" s="178"/>
      <c r="AU861" s="178"/>
      <c r="AV861" s="178"/>
      <c r="AW861" s="178"/>
      <c r="AX861" s="178"/>
      <c r="AY861" s="517"/>
      <c r="AZ861" s="131"/>
    </row>
    <row r="862" spans="1:52" ht="15.75" customHeight="1">
      <c r="A862" s="131"/>
      <c r="B862" s="178"/>
      <c r="C862" s="178"/>
      <c r="D862" s="178"/>
      <c r="E862" s="178"/>
      <c r="F862" s="178"/>
      <c r="G862" s="178"/>
      <c r="H862" s="178"/>
      <c r="I862" s="178"/>
      <c r="J862" s="178"/>
      <c r="K862" s="178"/>
      <c r="L862" s="178"/>
      <c r="M862" s="178"/>
      <c r="N862" s="178"/>
      <c r="O862" s="178"/>
      <c r="P862" s="178"/>
      <c r="Q862" s="178"/>
      <c r="R862" s="178"/>
      <c r="S862" s="178"/>
      <c r="T862" s="178"/>
      <c r="U862" s="178"/>
      <c r="V862" s="178"/>
      <c r="W862" s="178"/>
      <c r="X862" s="178"/>
      <c r="Y862" s="178"/>
      <c r="Z862" s="178"/>
      <c r="AA862" s="178"/>
      <c r="AB862" s="178"/>
      <c r="AC862" s="178"/>
      <c r="AD862" s="178"/>
      <c r="AE862" s="178"/>
      <c r="AF862" s="178"/>
      <c r="AG862" s="178"/>
      <c r="AH862" s="178"/>
      <c r="AI862" s="178"/>
      <c r="AJ862" s="178"/>
      <c r="AK862" s="178"/>
      <c r="AL862" s="178"/>
      <c r="AM862" s="178"/>
      <c r="AN862" s="178"/>
      <c r="AO862" s="178"/>
      <c r="AP862" s="178"/>
      <c r="AQ862" s="178"/>
      <c r="AR862" s="178"/>
      <c r="AS862" s="178"/>
      <c r="AT862" s="178"/>
      <c r="AU862" s="178"/>
      <c r="AV862" s="178"/>
      <c r="AW862" s="178"/>
      <c r="AX862" s="178"/>
      <c r="AY862" s="517"/>
      <c r="AZ862" s="131"/>
    </row>
    <row r="863" spans="1:52" ht="15.75" customHeight="1">
      <c r="A863" s="131"/>
      <c r="B863" s="178"/>
      <c r="C863" s="178"/>
      <c r="D863" s="178"/>
      <c r="E863" s="178"/>
      <c r="F863" s="178"/>
      <c r="G863" s="178"/>
      <c r="H863" s="178"/>
      <c r="I863" s="178"/>
      <c r="J863" s="178"/>
      <c r="K863" s="178"/>
      <c r="L863" s="178"/>
      <c r="M863" s="178"/>
      <c r="N863" s="178"/>
      <c r="O863" s="178"/>
      <c r="P863" s="178"/>
      <c r="Q863" s="178"/>
      <c r="R863" s="178"/>
      <c r="S863" s="178"/>
      <c r="T863" s="178"/>
      <c r="U863" s="178"/>
      <c r="V863" s="178"/>
      <c r="W863" s="178"/>
      <c r="X863" s="178"/>
      <c r="Y863" s="178"/>
      <c r="Z863" s="178"/>
      <c r="AA863" s="178"/>
      <c r="AB863" s="178"/>
      <c r="AC863" s="178"/>
      <c r="AD863" s="178"/>
      <c r="AE863" s="178"/>
      <c r="AF863" s="178"/>
      <c r="AG863" s="178"/>
      <c r="AH863" s="178"/>
      <c r="AI863" s="178"/>
      <c r="AJ863" s="178"/>
      <c r="AK863" s="178"/>
      <c r="AL863" s="178"/>
      <c r="AM863" s="178"/>
      <c r="AN863" s="178"/>
      <c r="AO863" s="178"/>
      <c r="AP863" s="178"/>
      <c r="AQ863" s="178"/>
      <c r="AR863" s="178"/>
      <c r="AS863" s="178"/>
      <c r="AT863" s="178"/>
      <c r="AU863" s="178"/>
      <c r="AV863" s="178"/>
      <c r="AW863" s="178"/>
      <c r="AX863" s="178"/>
      <c r="AY863" s="517"/>
      <c r="AZ863" s="131"/>
    </row>
    <row r="864" spans="1:52" ht="15.75" customHeight="1">
      <c r="A864" s="131"/>
      <c r="B864" s="178"/>
      <c r="C864" s="178"/>
      <c r="D864" s="178"/>
      <c r="E864" s="178"/>
      <c r="F864" s="178"/>
      <c r="G864" s="178"/>
      <c r="H864" s="178"/>
      <c r="I864" s="178"/>
      <c r="J864" s="178"/>
      <c r="K864" s="178"/>
      <c r="L864" s="178"/>
      <c r="M864" s="178"/>
      <c r="N864" s="178"/>
      <c r="O864" s="178"/>
      <c r="P864" s="178"/>
      <c r="Q864" s="178"/>
      <c r="R864" s="178"/>
      <c r="S864" s="178"/>
      <c r="T864" s="178"/>
      <c r="U864" s="178"/>
      <c r="V864" s="178"/>
      <c r="W864" s="178"/>
      <c r="X864" s="178"/>
      <c r="Y864" s="178"/>
      <c r="Z864" s="178"/>
      <c r="AA864" s="178"/>
      <c r="AB864" s="178"/>
      <c r="AC864" s="178"/>
      <c r="AD864" s="178"/>
      <c r="AE864" s="178"/>
      <c r="AF864" s="178"/>
      <c r="AG864" s="178"/>
      <c r="AH864" s="178"/>
      <c r="AI864" s="178"/>
      <c r="AJ864" s="178"/>
      <c r="AK864" s="178"/>
      <c r="AL864" s="178"/>
      <c r="AM864" s="178"/>
      <c r="AN864" s="178"/>
      <c r="AO864" s="178"/>
      <c r="AP864" s="178"/>
      <c r="AQ864" s="178"/>
      <c r="AR864" s="178"/>
      <c r="AS864" s="178"/>
      <c r="AT864" s="178"/>
      <c r="AU864" s="178"/>
      <c r="AV864" s="178"/>
      <c r="AW864" s="178"/>
      <c r="AX864" s="178"/>
      <c r="AY864" s="517"/>
      <c r="AZ864" s="131"/>
    </row>
    <row r="865" spans="1:52" ht="15.75" customHeight="1">
      <c r="A865" s="131"/>
      <c r="B865" s="178"/>
      <c r="C865" s="178"/>
      <c r="D865" s="178"/>
      <c r="E865" s="178"/>
      <c r="F865" s="178"/>
      <c r="G865" s="178"/>
      <c r="H865" s="178"/>
      <c r="I865" s="178"/>
      <c r="J865" s="178"/>
      <c r="K865" s="178"/>
      <c r="L865" s="178"/>
      <c r="M865" s="178"/>
      <c r="N865" s="178"/>
      <c r="O865" s="178"/>
      <c r="P865" s="178"/>
      <c r="Q865" s="178"/>
      <c r="R865" s="178"/>
      <c r="S865" s="178"/>
      <c r="T865" s="178"/>
      <c r="U865" s="178"/>
      <c r="V865" s="178"/>
      <c r="W865" s="178"/>
      <c r="X865" s="178"/>
      <c r="Y865" s="178"/>
      <c r="Z865" s="178"/>
      <c r="AA865" s="178"/>
      <c r="AB865" s="178"/>
      <c r="AC865" s="178"/>
      <c r="AD865" s="178"/>
      <c r="AE865" s="178"/>
      <c r="AF865" s="178"/>
      <c r="AG865" s="178"/>
      <c r="AH865" s="178"/>
      <c r="AI865" s="178"/>
      <c r="AJ865" s="178"/>
      <c r="AK865" s="178"/>
      <c r="AL865" s="178"/>
      <c r="AM865" s="178"/>
      <c r="AN865" s="178"/>
      <c r="AO865" s="178"/>
      <c r="AP865" s="178"/>
      <c r="AQ865" s="178"/>
      <c r="AR865" s="178"/>
      <c r="AS865" s="178"/>
      <c r="AT865" s="178"/>
      <c r="AU865" s="178"/>
      <c r="AV865" s="178"/>
      <c r="AW865" s="178"/>
      <c r="AX865" s="178"/>
      <c r="AY865" s="517"/>
      <c r="AZ865" s="131"/>
    </row>
    <row r="866" spans="1:52" ht="15.75" customHeight="1">
      <c r="A866" s="131"/>
      <c r="B866" s="178"/>
      <c r="C866" s="178"/>
      <c r="D866" s="178"/>
      <c r="E866" s="178"/>
      <c r="F866" s="178"/>
      <c r="G866" s="178"/>
      <c r="H866" s="178"/>
      <c r="I866" s="178"/>
      <c r="J866" s="178"/>
      <c r="K866" s="178"/>
      <c r="L866" s="178"/>
      <c r="M866" s="178"/>
      <c r="N866" s="178"/>
      <c r="O866" s="178"/>
      <c r="P866" s="178"/>
      <c r="Q866" s="178"/>
      <c r="R866" s="178"/>
      <c r="S866" s="178"/>
      <c r="T866" s="178"/>
      <c r="U866" s="178"/>
      <c r="V866" s="178"/>
      <c r="W866" s="178"/>
      <c r="X866" s="178"/>
      <c r="Y866" s="178"/>
      <c r="Z866" s="178"/>
      <c r="AA866" s="178"/>
      <c r="AB866" s="178"/>
      <c r="AC866" s="178"/>
      <c r="AD866" s="178"/>
      <c r="AE866" s="178"/>
      <c r="AF866" s="178"/>
      <c r="AG866" s="178"/>
      <c r="AH866" s="178"/>
      <c r="AI866" s="178"/>
      <c r="AJ866" s="178"/>
      <c r="AK866" s="178"/>
      <c r="AL866" s="178"/>
      <c r="AM866" s="178"/>
      <c r="AN866" s="178"/>
      <c r="AO866" s="178"/>
      <c r="AP866" s="178"/>
      <c r="AQ866" s="178"/>
      <c r="AR866" s="178"/>
      <c r="AS866" s="178"/>
      <c r="AT866" s="178"/>
      <c r="AU866" s="178"/>
      <c r="AV866" s="178"/>
      <c r="AW866" s="178"/>
      <c r="AX866" s="178"/>
      <c r="AY866" s="517"/>
      <c r="AZ866" s="131"/>
    </row>
    <row r="867" spans="1:52" ht="15.75" customHeight="1">
      <c r="A867" s="131"/>
      <c r="B867" s="178"/>
      <c r="C867" s="178"/>
      <c r="D867" s="178"/>
      <c r="E867" s="178"/>
      <c r="F867" s="178"/>
      <c r="G867" s="178"/>
      <c r="H867" s="178"/>
      <c r="I867" s="178"/>
      <c r="J867" s="178"/>
      <c r="K867" s="178"/>
      <c r="L867" s="178"/>
      <c r="M867" s="178"/>
      <c r="N867" s="178"/>
      <c r="O867" s="178"/>
      <c r="P867" s="178"/>
      <c r="Q867" s="178"/>
      <c r="R867" s="178"/>
      <c r="S867" s="178"/>
      <c r="T867" s="178"/>
      <c r="U867" s="178"/>
      <c r="V867" s="178"/>
      <c r="W867" s="178"/>
      <c r="X867" s="178"/>
      <c r="Y867" s="178"/>
      <c r="Z867" s="178"/>
      <c r="AA867" s="178"/>
      <c r="AB867" s="178"/>
      <c r="AC867" s="178"/>
      <c r="AD867" s="178"/>
      <c r="AE867" s="178"/>
      <c r="AF867" s="178"/>
      <c r="AG867" s="178"/>
      <c r="AH867" s="178"/>
      <c r="AI867" s="178"/>
      <c r="AJ867" s="178"/>
      <c r="AK867" s="178"/>
      <c r="AL867" s="178"/>
      <c r="AM867" s="178"/>
      <c r="AN867" s="178"/>
      <c r="AO867" s="178"/>
      <c r="AP867" s="178"/>
      <c r="AQ867" s="178"/>
      <c r="AR867" s="178"/>
      <c r="AS867" s="178"/>
      <c r="AT867" s="178"/>
      <c r="AU867" s="178"/>
      <c r="AV867" s="178"/>
      <c r="AW867" s="178"/>
      <c r="AX867" s="178"/>
      <c r="AY867" s="517"/>
      <c r="AZ867" s="131"/>
    </row>
    <row r="868" spans="1:52" ht="15.75" customHeight="1">
      <c r="A868" s="131"/>
      <c r="B868" s="178"/>
      <c r="C868" s="178"/>
      <c r="D868" s="178"/>
      <c r="E868" s="178"/>
      <c r="F868" s="178"/>
      <c r="G868" s="178"/>
      <c r="H868" s="178"/>
      <c r="I868" s="178"/>
      <c r="J868" s="178"/>
      <c r="K868" s="178"/>
      <c r="L868" s="178"/>
      <c r="M868" s="178"/>
      <c r="N868" s="178"/>
      <c r="O868" s="178"/>
      <c r="P868" s="178"/>
      <c r="Q868" s="178"/>
      <c r="R868" s="178"/>
      <c r="S868" s="178"/>
      <c r="T868" s="178"/>
      <c r="U868" s="178"/>
      <c r="V868" s="178"/>
      <c r="W868" s="178"/>
      <c r="X868" s="178"/>
      <c r="Y868" s="178"/>
      <c r="Z868" s="178"/>
      <c r="AA868" s="178"/>
      <c r="AB868" s="178"/>
      <c r="AC868" s="178"/>
      <c r="AD868" s="178"/>
      <c r="AE868" s="178"/>
      <c r="AF868" s="178"/>
      <c r="AG868" s="178"/>
      <c r="AH868" s="178"/>
      <c r="AI868" s="178"/>
      <c r="AJ868" s="178"/>
      <c r="AK868" s="178"/>
      <c r="AL868" s="178"/>
      <c r="AM868" s="178"/>
      <c r="AN868" s="178"/>
      <c r="AO868" s="178"/>
      <c r="AP868" s="178"/>
      <c r="AQ868" s="178"/>
      <c r="AR868" s="178"/>
      <c r="AS868" s="178"/>
      <c r="AT868" s="178"/>
      <c r="AU868" s="178"/>
      <c r="AV868" s="178"/>
      <c r="AW868" s="178"/>
      <c r="AX868" s="178"/>
      <c r="AY868" s="517"/>
      <c r="AZ868" s="131"/>
    </row>
    <row r="869" spans="1:52" ht="15.75" customHeight="1">
      <c r="A869" s="131"/>
      <c r="B869" s="178"/>
      <c r="C869" s="178"/>
      <c r="D869" s="178"/>
      <c r="E869" s="178"/>
      <c r="F869" s="178"/>
      <c r="G869" s="178"/>
      <c r="H869" s="178"/>
      <c r="I869" s="178"/>
      <c r="J869" s="178"/>
      <c r="K869" s="178"/>
      <c r="L869" s="178"/>
      <c r="M869" s="178"/>
      <c r="N869" s="178"/>
      <c r="O869" s="178"/>
      <c r="P869" s="178"/>
      <c r="Q869" s="178"/>
      <c r="R869" s="178"/>
      <c r="S869" s="178"/>
      <c r="T869" s="178"/>
      <c r="U869" s="178"/>
      <c r="V869" s="178"/>
      <c r="W869" s="178"/>
      <c r="X869" s="178"/>
      <c r="Y869" s="178"/>
      <c r="Z869" s="178"/>
      <c r="AA869" s="178"/>
      <c r="AB869" s="178"/>
      <c r="AC869" s="178"/>
      <c r="AD869" s="178"/>
      <c r="AE869" s="178"/>
      <c r="AF869" s="178"/>
      <c r="AG869" s="178"/>
      <c r="AH869" s="178"/>
      <c r="AI869" s="178"/>
      <c r="AJ869" s="178"/>
      <c r="AK869" s="178"/>
      <c r="AL869" s="178"/>
      <c r="AM869" s="178"/>
      <c r="AN869" s="178"/>
      <c r="AO869" s="178"/>
      <c r="AP869" s="178"/>
      <c r="AQ869" s="178"/>
      <c r="AR869" s="178"/>
      <c r="AS869" s="178"/>
      <c r="AT869" s="178"/>
      <c r="AU869" s="178"/>
      <c r="AV869" s="178"/>
      <c r="AW869" s="178"/>
      <c r="AX869" s="178"/>
      <c r="AY869" s="517"/>
      <c r="AZ869" s="131"/>
    </row>
    <row r="870" spans="1:52" ht="15.75" customHeight="1">
      <c r="A870" s="131"/>
      <c r="B870" s="178"/>
      <c r="C870" s="178"/>
      <c r="D870" s="178"/>
      <c r="E870" s="178"/>
      <c r="F870" s="178"/>
      <c r="G870" s="178"/>
      <c r="H870" s="178"/>
      <c r="I870" s="178"/>
      <c r="J870" s="178"/>
      <c r="K870" s="178"/>
      <c r="L870" s="178"/>
      <c r="M870" s="178"/>
      <c r="N870" s="178"/>
      <c r="O870" s="178"/>
      <c r="P870" s="178"/>
      <c r="Q870" s="178"/>
      <c r="R870" s="178"/>
      <c r="S870" s="178"/>
      <c r="T870" s="178"/>
      <c r="U870" s="178"/>
      <c r="V870" s="178"/>
      <c r="W870" s="178"/>
      <c r="X870" s="178"/>
      <c r="Y870" s="178"/>
      <c r="Z870" s="178"/>
      <c r="AA870" s="178"/>
      <c r="AB870" s="178"/>
      <c r="AC870" s="178"/>
      <c r="AD870" s="178"/>
      <c r="AE870" s="178"/>
      <c r="AF870" s="178"/>
      <c r="AG870" s="178"/>
      <c r="AH870" s="178"/>
      <c r="AI870" s="178"/>
      <c r="AJ870" s="178"/>
      <c r="AK870" s="178"/>
      <c r="AL870" s="178"/>
      <c r="AM870" s="178"/>
      <c r="AN870" s="178"/>
      <c r="AO870" s="178"/>
      <c r="AP870" s="178"/>
      <c r="AQ870" s="178"/>
      <c r="AR870" s="178"/>
      <c r="AS870" s="178"/>
      <c r="AT870" s="178"/>
      <c r="AU870" s="178"/>
      <c r="AV870" s="178"/>
      <c r="AW870" s="178"/>
      <c r="AX870" s="178"/>
      <c r="AY870" s="517"/>
      <c r="AZ870" s="131"/>
    </row>
    <row r="871" spans="1:52" ht="15.75" customHeight="1">
      <c r="A871" s="131"/>
      <c r="B871" s="178"/>
      <c r="C871" s="178"/>
      <c r="D871" s="178"/>
      <c r="E871" s="178"/>
      <c r="F871" s="178"/>
      <c r="G871" s="178"/>
      <c r="H871" s="178"/>
      <c r="I871" s="178"/>
      <c r="J871" s="178"/>
      <c r="K871" s="178"/>
      <c r="L871" s="178"/>
      <c r="M871" s="178"/>
      <c r="N871" s="178"/>
      <c r="O871" s="178"/>
      <c r="P871" s="178"/>
      <c r="Q871" s="178"/>
      <c r="R871" s="178"/>
      <c r="S871" s="178"/>
      <c r="T871" s="178"/>
      <c r="U871" s="178"/>
      <c r="V871" s="178"/>
      <c r="W871" s="178"/>
      <c r="X871" s="178"/>
      <c r="Y871" s="178"/>
      <c r="Z871" s="178"/>
      <c r="AA871" s="178"/>
      <c r="AB871" s="178"/>
      <c r="AC871" s="178"/>
      <c r="AD871" s="178"/>
      <c r="AE871" s="178"/>
      <c r="AF871" s="178"/>
      <c r="AG871" s="178"/>
      <c r="AH871" s="178"/>
      <c r="AI871" s="178"/>
      <c r="AJ871" s="178"/>
      <c r="AK871" s="178"/>
      <c r="AL871" s="178"/>
      <c r="AM871" s="178"/>
      <c r="AN871" s="178"/>
      <c r="AO871" s="178"/>
      <c r="AP871" s="178"/>
      <c r="AQ871" s="178"/>
      <c r="AR871" s="178"/>
      <c r="AS871" s="178"/>
      <c r="AT871" s="178"/>
      <c r="AU871" s="178"/>
      <c r="AV871" s="178"/>
      <c r="AW871" s="178"/>
      <c r="AX871" s="178"/>
      <c r="AY871" s="517"/>
      <c r="AZ871" s="131"/>
    </row>
    <row r="872" spans="1:52" ht="15.75" customHeight="1">
      <c r="A872" s="131"/>
      <c r="B872" s="178"/>
      <c r="C872" s="178"/>
      <c r="D872" s="178"/>
      <c r="E872" s="178"/>
      <c r="F872" s="178"/>
      <c r="G872" s="178"/>
      <c r="H872" s="178"/>
      <c r="I872" s="178"/>
      <c r="J872" s="178"/>
      <c r="K872" s="178"/>
      <c r="L872" s="178"/>
      <c r="M872" s="178"/>
      <c r="N872" s="178"/>
      <c r="O872" s="178"/>
      <c r="P872" s="178"/>
      <c r="Q872" s="178"/>
      <c r="R872" s="178"/>
      <c r="S872" s="178"/>
      <c r="T872" s="178"/>
      <c r="U872" s="178"/>
      <c r="V872" s="178"/>
      <c r="W872" s="178"/>
      <c r="X872" s="178"/>
      <c r="Y872" s="178"/>
      <c r="Z872" s="178"/>
      <c r="AA872" s="178"/>
      <c r="AB872" s="178"/>
      <c r="AC872" s="178"/>
      <c r="AD872" s="178"/>
      <c r="AE872" s="178"/>
      <c r="AF872" s="178"/>
      <c r="AG872" s="178"/>
      <c r="AH872" s="178"/>
      <c r="AI872" s="178"/>
      <c r="AJ872" s="178"/>
      <c r="AK872" s="178"/>
      <c r="AL872" s="178"/>
      <c r="AM872" s="178"/>
      <c r="AN872" s="178"/>
      <c r="AO872" s="178"/>
      <c r="AP872" s="178"/>
      <c r="AQ872" s="178"/>
      <c r="AR872" s="178"/>
      <c r="AS872" s="178"/>
      <c r="AT872" s="178"/>
      <c r="AU872" s="178"/>
      <c r="AV872" s="178"/>
      <c r="AW872" s="178"/>
      <c r="AX872" s="178"/>
      <c r="AY872" s="517"/>
      <c r="AZ872" s="131"/>
    </row>
    <row r="873" spans="1:52" ht="15.75" customHeight="1">
      <c r="A873" s="131"/>
      <c r="B873" s="178"/>
      <c r="C873" s="178"/>
      <c r="D873" s="178"/>
      <c r="E873" s="178"/>
      <c r="F873" s="178"/>
      <c r="G873" s="178"/>
      <c r="H873" s="178"/>
      <c r="I873" s="178"/>
      <c r="J873" s="178"/>
      <c r="K873" s="178"/>
      <c r="L873" s="178"/>
      <c r="M873" s="178"/>
      <c r="N873" s="178"/>
      <c r="O873" s="178"/>
      <c r="P873" s="178"/>
      <c r="Q873" s="178"/>
      <c r="R873" s="178"/>
      <c r="S873" s="178"/>
      <c r="T873" s="178"/>
      <c r="U873" s="178"/>
      <c r="V873" s="178"/>
      <c r="W873" s="178"/>
      <c r="X873" s="178"/>
      <c r="Y873" s="178"/>
      <c r="Z873" s="178"/>
      <c r="AA873" s="178"/>
      <c r="AB873" s="178"/>
      <c r="AC873" s="178"/>
      <c r="AD873" s="178"/>
      <c r="AE873" s="178"/>
      <c r="AF873" s="178"/>
      <c r="AG873" s="178"/>
      <c r="AH873" s="178"/>
      <c r="AI873" s="178"/>
      <c r="AJ873" s="178"/>
      <c r="AK873" s="178"/>
      <c r="AL873" s="178"/>
      <c r="AM873" s="178"/>
      <c r="AN873" s="178"/>
      <c r="AO873" s="178"/>
      <c r="AP873" s="178"/>
      <c r="AQ873" s="178"/>
      <c r="AR873" s="178"/>
      <c r="AS873" s="178"/>
      <c r="AT873" s="178"/>
      <c r="AU873" s="178"/>
      <c r="AV873" s="178"/>
      <c r="AW873" s="178"/>
      <c r="AX873" s="178"/>
      <c r="AY873" s="517"/>
      <c r="AZ873" s="131"/>
    </row>
    <row r="874" spans="1:52" ht="15.75" customHeight="1">
      <c r="A874" s="131"/>
      <c r="B874" s="178"/>
      <c r="C874" s="178"/>
      <c r="D874" s="178"/>
      <c r="E874" s="178"/>
      <c r="F874" s="178"/>
      <c r="G874" s="178"/>
      <c r="H874" s="178"/>
      <c r="I874" s="178"/>
      <c r="J874" s="178"/>
      <c r="K874" s="178"/>
      <c r="L874" s="178"/>
      <c r="M874" s="178"/>
      <c r="N874" s="178"/>
      <c r="O874" s="178"/>
      <c r="P874" s="178"/>
      <c r="Q874" s="178"/>
      <c r="R874" s="178"/>
      <c r="S874" s="178"/>
      <c r="T874" s="178"/>
      <c r="U874" s="178"/>
      <c r="V874" s="178"/>
      <c r="W874" s="178"/>
      <c r="X874" s="178"/>
      <c r="Y874" s="178"/>
      <c r="Z874" s="178"/>
      <c r="AA874" s="178"/>
      <c r="AB874" s="178"/>
      <c r="AC874" s="178"/>
      <c r="AD874" s="178"/>
      <c r="AE874" s="178"/>
      <c r="AF874" s="178"/>
      <c r="AG874" s="178"/>
      <c r="AH874" s="178"/>
      <c r="AI874" s="178"/>
      <c r="AJ874" s="178"/>
      <c r="AK874" s="178"/>
      <c r="AL874" s="178"/>
      <c r="AM874" s="178"/>
      <c r="AN874" s="178"/>
      <c r="AO874" s="178"/>
      <c r="AP874" s="178"/>
      <c r="AQ874" s="178"/>
      <c r="AR874" s="178"/>
      <c r="AS874" s="178"/>
      <c r="AT874" s="178"/>
      <c r="AU874" s="178"/>
      <c r="AV874" s="178"/>
      <c r="AW874" s="178"/>
      <c r="AX874" s="178"/>
      <c r="AY874" s="517"/>
      <c r="AZ874" s="131"/>
    </row>
    <row r="875" spans="1:52" ht="15.75" customHeight="1">
      <c r="A875" s="131"/>
      <c r="B875" s="178"/>
      <c r="C875" s="178"/>
      <c r="D875" s="178"/>
      <c r="E875" s="178"/>
      <c r="F875" s="178"/>
      <c r="G875" s="178"/>
      <c r="H875" s="178"/>
      <c r="I875" s="178"/>
      <c r="J875" s="178"/>
      <c r="K875" s="178"/>
      <c r="L875" s="178"/>
      <c r="M875" s="178"/>
      <c r="N875" s="178"/>
      <c r="O875" s="178"/>
      <c r="P875" s="178"/>
      <c r="Q875" s="178"/>
      <c r="R875" s="178"/>
      <c r="S875" s="178"/>
      <c r="T875" s="178"/>
      <c r="U875" s="178"/>
      <c r="V875" s="178"/>
      <c r="W875" s="178"/>
      <c r="X875" s="178"/>
      <c r="Y875" s="178"/>
      <c r="Z875" s="178"/>
      <c r="AA875" s="178"/>
      <c r="AB875" s="178"/>
      <c r="AC875" s="178"/>
      <c r="AD875" s="178"/>
      <c r="AE875" s="178"/>
      <c r="AF875" s="178"/>
      <c r="AG875" s="178"/>
      <c r="AH875" s="178"/>
      <c r="AI875" s="178"/>
      <c r="AJ875" s="178"/>
      <c r="AK875" s="178"/>
      <c r="AL875" s="178"/>
      <c r="AM875" s="178"/>
      <c r="AN875" s="178"/>
      <c r="AO875" s="178"/>
      <c r="AP875" s="178"/>
      <c r="AQ875" s="178"/>
      <c r="AR875" s="178"/>
      <c r="AS875" s="178"/>
      <c r="AT875" s="178"/>
      <c r="AU875" s="178"/>
      <c r="AV875" s="178"/>
      <c r="AW875" s="178"/>
      <c r="AX875" s="178"/>
      <c r="AY875" s="517"/>
      <c r="AZ875" s="131"/>
    </row>
    <row r="876" spans="1:52" ht="15.75" customHeight="1">
      <c r="A876" s="131"/>
      <c r="B876" s="178"/>
      <c r="C876" s="178"/>
      <c r="D876" s="178"/>
      <c r="E876" s="178"/>
      <c r="F876" s="178"/>
      <c r="G876" s="178"/>
      <c r="H876" s="178"/>
      <c r="I876" s="178"/>
      <c r="J876" s="178"/>
      <c r="K876" s="178"/>
      <c r="L876" s="178"/>
      <c r="M876" s="178"/>
      <c r="N876" s="178"/>
      <c r="O876" s="178"/>
      <c r="P876" s="178"/>
      <c r="Q876" s="178"/>
      <c r="R876" s="178"/>
      <c r="S876" s="178"/>
      <c r="T876" s="178"/>
      <c r="U876" s="178"/>
      <c r="V876" s="178"/>
      <c r="W876" s="178"/>
      <c r="X876" s="178"/>
      <c r="Y876" s="178"/>
      <c r="Z876" s="178"/>
      <c r="AA876" s="178"/>
      <c r="AB876" s="178"/>
      <c r="AC876" s="178"/>
      <c r="AD876" s="178"/>
      <c r="AE876" s="178"/>
      <c r="AF876" s="178"/>
      <c r="AG876" s="178"/>
      <c r="AH876" s="178"/>
      <c r="AI876" s="178"/>
      <c r="AJ876" s="178"/>
      <c r="AK876" s="178"/>
      <c r="AL876" s="178"/>
      <c r="AM876" s="178"/>
      <c r="AN876" s="178"/>
      <c r="AO876" s="178"/>
      <c r="AP876" s="178"/>
      <c r="AQ876" s="178"/>
      <c r="AR876" s="178"/>
      <c r="AS876" s="178"/>
      <c r="AT876" s="178"/>
      <c r="AU876" s="178"/>
      <c r="AV876" s="178"/>
      <c r="AW876" s="178"/>
      <c r="AX876" s="178"/>
      <c r="AY876" s="517"/>
      <c r="AZ876" s="131"/>
    </row>
    <row r="877" spans="1:52" ht="15.75" customHeight="1">
      <c r="A877" s="131"/>
      <c r="B877" s="178"/>
      <c r="C877" s="178"/>
      <c r="D877" s="178"/>
      <c r="E877" s="178"/>
      <c r="F877" s="178"/>
      <c r="G877" s="178"/>
      <c r="H877" s="178"/>
      <c r="I877" s="178"/>
      <c r="J877" s="178"/>
      <c r="K877" s="178"/>
      <c r="L877" s="178"/>
      <c r="M877" s="178"/>
      <c r="N877" s="178"/>
      <c r="O877" s="178"/>
      <c r="P877" s="178"/>
      <c r="Q877" s="178"/>
      <c r="R877" s="178"/>
      <c r="S877" s="178"/>
      <c r="T877" s="178"/>
      <c r="U877" s="178"/>
      <c r="V877" s="178"/>
      <c r="W877" s="178"/>
      <c r="X877" s="178"/>
      <c r="Y877" s="178"/>
      <c r="Z877" s="178"/>
      <c r="AA877" s="178"/>
      <c r="AB877" s="178"/>
      <c r="AC877" s="178"/>
      <c r="AD877" s="178"/>
      <c r="AE877" s="178"/>
      <c r="AF877" s="178"/>
      <c r="AG877" s="178"/>
      <c r="AH877" s="178"/>
      <c r="AI877" s="178"/>
      <c r="AJ877" s="178"/>
      <c r="AK877" s="178"/>
      <c r="AL877" s="178"/>
      <c r="AM877" s="178"/>
      <c r="AN877" s="178"/>
      <c r="AO877" s="178"/>
      <c r="AP877" s="178"/>
      <c r="AQ877" s="178"/>
      <c r="AR877" s="178"/>
      <c r="AS877" s="178"/>
      <c r="AT877" s="178"/>
      <c r="AU877" s="178"/>
      <c r="AV877" s="178"/>
      <c r="AW877" s="178"/>
      <c r="AX877" s="178"/>
      <c r="AY877" s="517"/>
      <c r="AZ877" s="131"/>
    </row>
    <row r="878" spans="1:52" ht="15.75" customHeight="1">
      <c r="A878" s="131"/>
      <c r="B878" s="178"/>
      <c r="C878" s="178"/>
      <c r="D878" s="178"/>
      <c r="E878" s="178"/>
      <c r="F878" s="178"/>
      <c r="G878" s="178"/>
      <c r="H878" s="178"/>
      <c r="I878" s="178"/>
      <c r="J878" s="178"/>
      <c r="K878" s="178"/>
      <c r="L878" s="178"/>
      <c r="M878" s="178"/>
      <c r="N878" s="178"/>
      <c r="O878" s="178"/>
      <c r="P878" s="178"/>
      <c r="Q878" s="178"/>
      <c r="R878" s="178"/>
      <c r="S878" s="178"/>
      <c r="T878" s="178"/>
      <c r="U878" s="178"/>
      <c r="V878" s="178"/>
      <c r="W878" s="178"/>
      <c r="X878" s="178"/>
      <c r="Y878" s="178"/>
      <c r="Z878" s="178"/>
      <c r="AA878" s="178"/>
      <c r="AB878" s="178"/>
      <c r="AC878" s="178"/>
      <c r="AD878" s="178"/>
      <c r="AE878" s="178"/>
      <c r="AF878" s="178"/>
      <c r="AG878" s="178"/>
      <c r="AH878" s="178"/>
      <c r="AI878" s="178"/>
      <c r="AJ878" s="178"/>
      <c r="AK878" s="178"/>
      <c r="AL878" s="178"/>
      <c r="AM878" s="178"/>
      <c r="AN878" s="178"/>
      <c r="AO878" s="178"/>
      <c r="AP878" s="178"/>
      <c r="AQ878" s="178"/>
      <c r="AR878" s="178"/>
      <c r="AS878" s="178"/>
      <c r="AT878" s="178"/>
      <c r="AU878" s="178"/>
      <c r="AV878" s="178"/>
      <c r="AW878" s="178"/>
      <c r="AX878" s="178"/>
      <c r="AY878" s="517"/>
      <c r="AZ878" s="131"/>
    </row>
    <row r="879" spans="1:52" ht="15.75" customHeight="1">
      <c r="A879" s="131"/>
      <c r="B879" s="178"/>
      <c r="C879" s="178"/>
      <c r="D879" s="178"/>
      <c r="E879" s="178"/>
      <c r="F879" s="178"/>
      <c r="G879" s="178"/>
      <c r="H879" s="178"/>
      <c r="I879" s="178"/>
      <c r="J879" s="178"/>
      <c r="K879" s="178"/>
      <c r="L879" s="178"/>
      <c r="M879" s="178"/>
      <c r="N879" s="178"/>
      <c r="O879" s="178"/>
      <c r="P879" s="178"/>
      <c r="Q879" s="178"/>
      <c r="R879" s="178"/>
      <c r="S879" s="178"/>
      <c r="T879" s="178"/>
      <c r="U879" s="178"/>
      <c r="V879" s="178"/>
      <c r="W879" s="178"/>
      <c r="X879" s="178"/>
      <c r="Y879" s="178"/>
      <c r="Z879" s="178"/>
      <c r="AA879" s="178"/>
      <c r="AB879" s="178"/>
      <c r="AC879" s="178"/>
      <c r="AD879" s="178"/>
      <c r="AE879" s="178"/>
      <c r="AF879" s="178"/>
      <c r="AG879" s="178"/>
      <c r="AH879" s="178"/>
      <c r="AI879" s="178"/>
      <c r="AJ879" s="178"/>
      <c r="AK879" s="178"/>
      <c r="AL879" s="178"/>
      <c r="AM879" s="178"/>
      <c r="AN879" s="178"/>
      <c r="AO879" s="178"/>
      <c r="AP879" s="178"/>
      <c r="AQ879" s="178"/>
      <c r="AR879" s="178"/>
      <c r="AS879" s="178"/>
      <c r="AT879" s="178"/>
      <c r="AU879" s="178"/>
      <c r="AV879" s="178"/>
      <c r="AW879" s="178"/>
      <c r="AX879" s="178"/>
      <c r="AY879" s="517"/>
      <c r="AZ879" s="131"/>
    </row>
    <row r="880" spans="1:52" ht="15.75" customHeight="1">
      <c r="A880" s="131"/>
      <c r="B880" s="178"/>
      <c r="C880" s="178"/>
      <c r="D880" s="178"/>
      <c r="E880" s="178"/>
      <c r="F880" s="178"/>
      <c r="G880" s="178"/>
      <c r="H880" s="178"/>
      <c r="I880" s="178"/>
      <c r="J880" s="178"/>
      <c r="K880" s="178"/>
      <c r="L880" s="178"/>
      <c r="M880" s="178"/>
      <c r="N880" s="178"/>
      <c r="O880" s="178"/>
      <c r="P880" s="178"/>
      <c r="Q880" s="178"/>
      <c r="R880" s="178"/>
      <c r="S880" s="178"/>
      <c r="T880" s="178"/>
      <c r="U880" s="178"/>
      <c r="V880" s="178"/>
      <c r="W880" s="178"/>
      <c r="X880" s="178"/>
      <c r="Y880" s="178"/>
      <c r="Z880" s="178"/>
      <c r="AA880" s="178"/>
      <c r="AB880" s="178"/>
      <c r="AC880" s="178"/>
      <c r="AD880" s="178"/>
      <c r="AE880" s="178"/>
      <c r="AF880" s="178"/>
      <c r="AG880" s="178"/>
      <c r="AH880" s="178"/>
      <c r="AI880" s="178"/>
      <c r="AJ880" s="178"/>
      <c r="AK880" s="178"/>
      <c r="AL880" s="178"/>
      <c r="AM880" s="178"/>
      <c r="AN880" s="178"/>
      <c r="AO880" s="178"/>
      <c r="AP880" s="178"/>
      <c r="AQ880" s="178"/>
      <c r="AR880" s="178"/>
      <c r="AS880" s="178"/>
      <c r="AT880" s="178"/>
      <c r="AU880" s="178"/>
      <c r="AV880" s="178"/>
      <c r="AW880" s="178"/>
      <c r="AX880" s="178"/>
      <c r="AY880" s="517"/>
      <c r="AZ880" s="131"/>
    </row>
    <row r="881" spans="1:52" ht="15.75" customHeight="1">
      <c r="A881" s="131"/>
      <c r="B881" s="178"/>
      <c r="C881" s="178"/>
      <c r="D881" s="178"/>
      <c r="E881" s="178"/>
      <c r="F881" s="178"/>
      <c r="G881" s="178"/>
      <c r="H881" s="178"/>
      <c r="I881" s="178"/>
      <c r="J881" s="178"/>
      <c r="K881" s="178"/>
      <c r="L881" s="178"/>
      <c r="M881" s="178"/>
      <c r="N881" s="178"/>
      <c r="O881" s="178"/>
      <c r="P881" s="178"/>
      <c r="Q881" s="178"/>
      <c r="R881" s="178"/>
      <c r="S881" s="178"/>
      <c r="T881" s="178"/>
      <c r="U881" s="178"/>
      <c r="V881" s="178"/>
      <c r="W881" s="178"/>
      <c r="X881" s="178"/>
      <c r="Y881" s="178"/>
      <c r="Z881" s="178"/>
      <c r="AA881" s="178"/>
      <c r="AB881" s="178"/>
      <c r="AC881" s="178"/>
      <c r="AD881" s="178"/>
      <c r="AE881" s="178"/>
      <c r="AF881" s="178"/>
      <c r="AG881" s="178"/>
      <c r="AH881" s="178"/>
      <c r="AI881" s="178"/>
      <c r="AJ881" s="178"/>
      <c r="AK881" s="178"/>
      <c r="AL881" s="178"/>
      <c r="AM881" s="178"/>
      <c r="AN881" s="178"/>
      <c r="AO881" s="178"/>
      <c r="AP881" s="178"/>
      <c r="AQ881" s="178"/>
      <c r="AR881" s="178"/>
      <c r="AS881" s="178"/>
      <c r="AT881" s="178"/>
      <c r="AU881" s="178"/>
      <c r="AV881" s="178"/>
      <c r="AW881" s="178"/>
      <c r="AX881" s="178"/>
      <c r="AY881" s="517"/>
      <c r="AZ881" s="131"/>
    </row>
    <row r="882" spans="1:52" ht="15.75" customHeight="1">
      <c r="A882" s="131"/>
      <c r="B882" s="178"/>
      <c r="C882" s="178"/>
      <c r="D882" s="178"/>
      <c r="E882" s="178"/>
      <c r="F882" s="178"/>
      <c r="G882" s="178"/>
      <c r="H882" s="178"/>
      <c r="I882" s="178"/>
      <c r="J882" s="178"/>
      <c r="K882" s="178"/>
      <c r="L882" s="178"/>
      <c r="M882" s="178"/>
      <c r="N882" s="178"/>
      <c r="O882" s="178"/>
      <c r="P882" s="178"/>
      <c r="Q882" s="178"/>
      <c r="R882" s="178"/>
      <c r="S882" s="178"/>
      <c r="T882" s="178"/>
      <c r="U882" s="178"/>
      <c r="V882" s="178"/>
      <c r="W882" s="178"/>
      <c r="X882" s="178"/>
      <c r="Y882" s="178"/>
      <c r="Z882" s="178"/>
      <c r="AA882" s="178"/>
      <c r="AB882" s="178"/>
      <c r="AC882" s="178"/>
      <c r="AD882" s="178"/>
      <c r="AE882" s="178"/>
      <c r="AF882" s="178"/>
      <c r="AG882" s="178"/>
      <c r="AH882" s="178"/>
      <c r="AI882" s="178"/>
      <c r="AJ882" s="178"/>
      <c r="AK882" s="178"/>
      <c r="AL882" s="178"/>
      <c r="AM882" s="178"/>
      <c r="AN882" s="178"/>
      <c r="AO882" s="178"/>
      <c r="AP882" s="178"/>
      <c r="AQ882" s="178"/>
      <c r="AR882" s="178"/>
      <c r="AS882" s="178"/>
      <c r="AT882" s="178"/>
      <c r="AU882" s="178"/>
      <c r="AV882" s="178"/>
      <c r="AW882" s="178"/>
      <c r="AX882" s="178"/>
      <c r="AY882" s="517"/>
      <c r="AZ882" s="131"/>
    </row>
    <row r="883" spans="1:52" ht="15.75" customHeight="1">
      <c r="A883" s="131"/>
      <c r="B883" s="178"/>
      <c r="C883" s="178"/>
      <c r="D883" s="178"/>
      <c r="E883" s="178"/>
      <c r="F883" s="178"/>
      <c r="G883" s="178"/>
      <c r="H883" s="178"/>
      <c r="I883" s="178"/>
      <c r="J883" s="178"/>
      <c r="K883" s="178"/>
      <c r="L883" s="178"/>
      <c r="M883" s="178"/>
      <c r="N883" s="178"/>
      <c r="O883" s="178"/>
      <c r="P883" s="178"/>
      <c r="Q883" s="178"/>
      <c r="R883" s="178"/>
      <c r="S883" s="178"/>
      <c r="T883" s="178"/>
      <c r="U883" s="178"/>
      <c r="V883" s="178"/>
      <c r="W883" s="178"/>
      <c r="X883" s="178"/>
      <c r="Y883" s="178"/>
      <c r="Z883" s="178"/>
      <c r="AA883" s="178"/>
      <c r="AB883" s="178"/>
      <c r="AC883" s="178"/>
      <c r="AD883" s="178"/>
      <c r="AE883" s="178"/>
      <c r="AF883" s="178"/>
      <c r="AG883" s="178"/>
      <c r="AH883" s="178"/>
      <c r="AI883" s="178"/>
      <c r="AJ883" s="178"/>
      <c r="AK883" s="178"/>
      <c r="AL883" s="178"/>
      <c r="AM883" s="178"/>
      <c r="AN883" s="178"/>
      <c r="AO883" s="178"/>
      <c r="AP883" s="178"/>
      <c r="AQ883" s="178"/>
      <c r="AR883" s="178"/>
      <c r="AS883" s="178"/>
      <c r="AT883" s="178"/>
      <c r="AU883" s="178"/>
      <c r="AV883" s="178"/>
      <c r="AW883" s="178"/>
      <c r="AX883" s="178"/>
      <c r="AY883" s="517"/>
      <c r="AZ883" s="131"/>
    </row>
    <row r="884" spans="1:52" ht="15.75" customHeight="1">
      <c r="A884" s="131"/>
      <c r="B884" s="178"/>
      <c r="C884" s="178"/>
      <c r="D884" s="178"/>
      <c r="E884" s="178"/>
      <c r="F884" s="178"/>
      <c r="G884" s="178"/>
      <c r="H884" s="178"/>
      <c r="I884" s="178"/>
      <c r="J884" s="178"/>
      <c r="K884" s="178"/>
      <c r="L884" s="178"/>
      <c r="M884" s="178"/>
      <c r="N884" s="178"/>
      <c r="O884" s="178"/>
      <c r="P884" s="178"/>
      <c r="Q884" s="178"/>
      <c r="R884" s="178"/>
      <c r="S884" s="178"/>
      <c r="T884" s="178"/>
      <c r="U884" s="178"/>
      <c r="V884" s="178"/>
      <c r="W884" s="178"/>
      <c r="X884" s="178"/>
      <c r="Y884" s="178"/>
      <c r="Z884" s="178"/>
      <c r="AA884" s="178"/>
      <c r="AB884" s="178"/>
      <c r="AC884" s="178"/>
      <c r="AD884" s="178"/>
      <c r="AE884" s="178"/>
      <c r="AF884" s="178"/>
      <c r="AG884" s="178"/>
      <c r="AH884" s="178"/>
      <c r="AI884" s="178"/>
      <c r="AJ884" s="178"/>
      <c r="AK884" s="178"/>
      <c r="AL884" s="178"/>
      <c r="AM884" s="178"/>
      <c r="AN884" s="178"/>
      <c r="AO884" s="178"/>
      <c r="AP884" s="178"/>
      <c r="AQ884" s="178"/>
      <c r="AR884" s="178"/>
      <c r="AS884" s="178"/>
      <c r="AT884" s="178"/>
      <c r="AU884" s="178"/>
      <c r="AV884" s="178"/>
      <c r="AW884" s="178"/>
      <c r="AX884" s="178"/>
      <c r="AY884" s="517"/>
      <c r="AZ884" s="131"/>
    </row>
    <row r="885" spans="1:52" ht="15.75" customHeight="1">
      <c r="A885" s="131"/>
      <c r="B885" s="178"/>
      <c r="C885" s="178"/>
      <c r="D885" s="178"/>
      <c r="E885" s="178"/>
      <c r="F885" s="178"/>
      <c r="G885" s="178"/>
      <c r="H885" s="178"/>
      <c r="I885" s="178"/>
      <c r="J885" s="178"/>
      <c r="K885" s="178"/>
      <c r="L885" s="178"/>
      <c r="M885" s="178"/>
      <c r="N885" s="178"/>
      <c r="O885" s="178"/>
      <c r="P885" s="178"/>
      <c r="Q885" s="178"/>
      <c r="R885" s="178"/>
      <c r="S885" s="178"/>
      <c r="T885" s="178"/>
      <c r="U885" s="178"/>
      <c r="V885" s="178"/>
      <c r="W885" s="178"/>
      <c r="X885" s="178"/>
      <c r="Y885" s="178"/>
      <c r="Z885" s="178"/>
      <c r="AA885" s="178"/>
      <c r="AB885" s="178"/>
      <c r="AC885" s="178"/>
      <c r="AD885" s="178"/>
      <c r="AE885" s="178"/>
      <c r="AF885" s="178"/>
      <c r="AG885" s="178"/>
      <c r="AH885" s="178"/>
      <c r="AI885" s="178"/>
      <c r="AJ885" s="178"/>
      <c r="AK885" s="178"/>
      <c r="AL885" s="178"/>
      <c r="AM885" s="178"/>
      <c r="AN885" s="178"/>
      <c r="AO885" s="178"/>
      <c r="AP885" s="178"/>
      <c r="AQ885" s="178"/>
      <c r="AR885" s="178"/>
      <c r="AS885" s="178"/>
      <c r="AT885" s="178"/>
      <c r="AU885" s="178"/>
      <c r="AV885" s="178"/>
      <c r="AW885" s="178"/>
      <c r="AX885" s="178"/>
      <c r="AY885" s="517"/>
      <c r="AZ885" s="131"/>
    </row>
    <row r="886" spans="1:52" ht="15.75" customHeight="1">
      <c r="A886" s="131"/>
      <c r="B886" s="178"/>
      <c r="C886" s="178"/>
      <c r="D886" s="178"/>
      <c r="E886" s="178"/>
      <c r="F886" s="178"/>
      <c r="G886" s="178"/>
      <c r="H886" s="178"/>
      <c r="I886" s="178"/>
      <c r="J886" s="178"/>
      <c r="K886" s="178"/>
      <c r="L886" s="178"/>
      <c r="M886" s="178"/>
      <c r="N886" s="178"/>
      <c r="O886" s="178"/>
      <c r="P886" s="178"/>
      <c r="Q886" s="178"/>
      <c r="R886" s="178"/>
      <c r="S886" s="178"/>
      <c r="T886" s="178"/>
      <c r="U886" s="178"/>
      <c r="V886" s="178"/>
      <c r="W886" s="178"/>
      <c r="X886" s="178"/>
      <c r="Y886" s="178"/>
      <c r="Z886" s="178"/>
      <c r="AA886" s="178"/>
      <c r="AB886" s="178"/>
      <c r="AC886" s="178"/>
      <c r="AD886" s="178"/>
      <c r="AE886" s="178"/>
      <c r="AF886" s="178"/>
      <c r="AG886" s="178"/>
      <c r="AH886" s="178"/>
      <c r="AI886" s="178"/>
      <c r="AJ886" s="178"/>
      <c r="AK886" s="178"/>
      <c r="AL886" s="178"/>
      <c r="AM886" s="178"/>
      <c r="AN886" s="178"/>
      <c r="AO886" s="178"/>
      <c r="AP886" s="178"/>
      <c r="AQ886" s="178"/>
      <c r="AR886" s="178"/>
      <c r="AS886" s="178"/>
      <c r="AT886" s="178"/>
      <c r="AU886" s="178"/>
      <c r="AV886" s="178"/>
      <c r="AW886" s="178"/>
      <c r="AX886" s="178"/>
      <c r="AY886" s="517"/>
      <c r="AZ886" s="131"/>
    </row>
    <row r="887" spans="1:52" ht="15.75" customHeight="1">
      <c r="A887" s="131"/>
      <c r="B887" s="178"/>
      <c r="C887" s="178"/>
      <c r="D887" s="178"/>
      <c r="E887" s="178"/>
      <c r="F887" s="178"/>
      <c r="G887" s="178"/>
      <c r="H887" s="178"/>
      <c r="I887" s="178"/>
      <c r="J887" s="178"/>
      <c r="K887" s="178"/>
      <c r="L887" s="178"/>
      <c r="M887" s="178"/>
      <c r="N887" s="178"/>
      <c r="O887" s="178"/>
      <c r="P887" s="178"/>
      <c r="Q887" s="178"/>
      <c r="R887" s="178"/>
      <c r="S887" s="178"/>
      <c r="T887" s="178"/>
      <c r="U887" s="178"/>
      <c r="V887" s="178"/>
      <c r="W887" s="178"/>
      <c r="X887" s="178"/>
      <c r="Y887" s="178"/>
      <c r="Z887" s="178"/>
      <c r="AA887" s="178"/>
      <c r="AB887" s="178"/>
      <c r="AC887" s="178"/>
      <c r="AD887" s="178"/>
      <c r="AE887" s="178"/>
      <c r="AF887" s="178"/>
      <c r="AG887" s="178"/>
      <c r="AH887" s="178"/>
      <c r="AI887" s="178"/>
      <c r="AJ887" s="178"/>
      <c r="AK887" s="178"/>
      <c r="AL887" s="178"/>
      <c r="AM887" s="178"/>
      <c r="AN887" s="178"/>
      <c r="AO887" s="178"/>
      <c r="AP887" s="178"/>
      <c r="AQ887" s="178"/>
      <c r="AR887" s="178"/>
      <c r="AS887" s="178"/>
      <c r="AT887" s="178"/>
      <c r="AU887" s="178"/>
      <c r="AV887" s="178"/>
      <c r="AW887" s="178"/>
      <c r="AX887" s="178"/>
      <c r="AY887" s="517"/>
      <c r="AZ887" s="131"/>
    </row>
    <row r="888" spans="1:52" ht="15.75" customHeight="1">
      <c r="A888" s="131"/>
      <c r="B888" s="178"/>
      <c r="C888" s="178"/>
      <c r="D888" s="178"/>
      <c r="E888" s="178"/>
      <c r="F888" s="178"/>
      <c r="G888" s="178"/>
      <c r="H888" s="178"/>
      <c r="I888" s="178"/>
      <c r="J888" s="178"/>
      <c r="K888" s="178"/>
      <c r="L888" s="178"/>
      <c r="M888" s="178"/>
      <c r="N888" s="178"/>
      <c r="O888" s="178"/>
      <c r="P888" s="178"/>
      <c r="Q888" s="178"/>
      <c r="R888" s="178"/>
      <c r="S888" s="178"/>
      <c r="T888" s="178"/>
      <c r="U888" s="178"/>
      <c r="V888" s="178"/>
      <c r="W888" s="178"/>
      <c r="X888" s="178"/>
      <c r="Y888" s="178"/>
      <c r="Z888" s="178"/>
      <c r="AA888" s="178"/>
      <c r="AB888" s="178"/>
      <c r="AC888" s="178"/>
      <c r="AD888" s="178"/>
      <c r="AE888" s="178"/>
      <c r="AF888" s="178"/>
      <c r="AG888" s="178"/>
      <c r="AH888" s="178"/>
      <c r="AI888" s="178"/>
      <c r="AJ888" s="178"/>
      <c r="AK888" s="178"/>
      <c r="AL888" s="178"/>
      <c r="AM888" s="178"/>
      <c r="AN888" s="178"/>
      <c r="AO888" s="178"/>
      <c r="AP888" s="178"/>
      <c r="AQ888" s="178"/>
      <c r="AR888" s="178"/>
      <c r="AS888" s="178"/>
      <c r="AT888" s="178"/>
      <c r="AU888" s="178"/>
      <c r="AV888" s="178"/>
      <c r="AW888" s="178"/>
      <c r="AX888" s="178"/>
      <c r="AY888" s="517"/>
      <c r="AZ888" s="131"/>
    </row>
    <row r="889" spans="1:52" ht="15.75" customHeight="1">
      <c r="A889" s="131"/>
      <c r="B889" s="178"/>
      <c r="C889" s="178"/>
      <c r="D889" s="178"/>
      <c r="E889" s="178"/>
      <c r="F889" s="178"/>
      <c r="G889" s="178"/>
      <c r="H889" s="178"/>
      <c r="I889" s="178"/>
      <c r="J889" s="178"/>
      <c r="K889" s="178"/>
      <c r="L889" s="178"/>
      <c r="M889" s="178"/>
      <c r="N889" s="178"/>
      <c r="O889" s="178"/>
      <c r="P889" s="178"/>
      <c r="Q889" s="178"/>
      <c r="R889" s="178"/>
      <c r="S889" s="178"/>
      <c r="T889" s="178"/>
      <c r="U889" s="178"/>
      <c r="V889" s="178"/>
      <c r="W889" s="178"/>
      <c r="X889" s="178"/>
      <c r="Y889" s="178"/>
      <c r="Z889" s="178"/>
      <c r="AA889" s="178"/>
      <c r="AB889" s="178"/>
      <c r="AC889" s="178"/>
      <c r="AD889" s="178"/>
      <c r="AE889" s="178"/>
      <c r="AF889" s="178"/>
      <c r="AG889" s="178"/>
      <c r="AH889" s="178"/>
      <c r="AI889" s="178"/>
      <c r="AJ889" s="178"/>
      <c r="AK889" s="178"/>
      <c r="AL889" s="178"/>
      <c r="AM889" s="178"/>
      <c r="AN889" s="178"/>
      <c r="AO889" s="178"/>
      <c r="AP889" s="178"/>
      <c r="AQ889" s="178"/>
      <c r="AR889" s="178"/>
      <c r="AS889" s="178"/>
      <c r="AT889" s="178"/>
      <c r="AU889" s="178"/>
      <c r="AV889" s="178"/>
      <c r="AW889" s="178"/>
      <c r="AX889" s="178"/>
      <c r="AY889" s="517"/>
      <c r="AZ889" s="131"/>
    </row>
    <row r="890" spans="1:52" ht="15.75" customHeight="1">
      <c r="A890" s="131"/>
      <c r="B890" s="178"/>
      <c r="C890" s="178"/>
      <c r="D890" s="178"/>
      <c r="E890" s="178"/>
      <c r="F890" s="178"/>
      <c r="G890" s="178"/>
      <c r="H890" s="178"/>
      <c r="I890" s="178"/>
      <c r="J890" s="178"/>
      <c r="K890" s="178"/>
      <c r="L890" s="178"/>
      <c r="M890" s="178"/>
      <c r="N890" s="178"/>
      <c r="O890" s="178"/>
      <c r="P890" s="178"/>
      <c r="Q890" s="178"/>
      <c r="R890" s="178"/>
      <c r="S890" s="178"/>
      <c r="T890" s="178"/>
      <c r="U890" s="178"/>
      <c r="V890" s="178"/>
      <c r="W890" s="178"/>
      <c r="X890" s="178"/>
      <c r="Y890" s="178"/>
      <c r="Z890" s="178"/>
      <c r="AA890" s="178"/>
      <c r="AB890" s="178"/>
      <c r="AC890" s="178"/>
      <c r="AD890" s="178"/>
      <c r="AE890" s="178"/>
      <c r="AF890" s="178"/>
      <c r="AG890" s="178"/>
      <c r="AH890" s="178"/>
      <c r="AI890" s="178"/>
      <c r="AJ890" s="178"/>
      <c r="AK890" s="178"/>
      <c r="AL890" s="178"/>
      <c r="AM890" s="178"/>
      <c r="AN890" s="178"/>
      <c r="AO890" s="178"/>
      <c r="AP890" s="178"/>
      <c r="AQ890" s="178"/>
      <c r="AR890" s="178"/>
      <c r="AS890" s="178"/>
      <c r="AT890" s="178"/>
      <c r="AU890" s="178"/>
      <c r="AV890" s="178"/>
      <c r="AW890" s="178"/>
      <c r="AX890" s="178"/>
      <c r="AY890" s="517"/>
      <c r="AZ890" s="131"/>
    </row>
    <row r="891" spans="1:52" ht="15.75" customHeight="1">
      <c r="A891" s="131"/>
      <c r="B891" s="178"/>
      <c r="C891" s="178"/>
      <c r="D891" s="178"/>
      <c r="E891" s="178"/>
      <c r="F891" s="178"/>
      <c r="G891" s="178"/>
      <c r="H891" s="178"/>
      <c r="I891" s="178"/>
      <c r="J891" s="178"/>
      <c r="K891" s="178"/>
      <c r="L891" s="178"/>
      <c r="M891" s="178"/>
      <c r="N891" s="178"/>
      <c r="O891" s="178"/>
      <c r="P891" s="178"/>
      <c r="Q891" s="178"/>
      <c r="R891" s="178"/>
      <c r="S891" s="178"/>
      <c r="T891" s="178"/>
      <c r="U891" s="178"/>
      <c r="V891" s="178"/>
      <c r="W891" s="178"/>
      <c r="X891" s="178"/>
      <c r="Y891" s="178"/>
      <c r="Z891" s="178"/>
      <c r="AA891" s="178"/>
      <c r="AB891" s="178"/>
      <c r="AC891" s="178"/>
      <c r="AD891" s="178"/>
      <c r="AE891" s="178"/>
      <c r="AF891" s="178"/>
      <c r="AG891" s="178"/>
      <c r="AH891" s="178"/>
      <c r="AI891" s="178"/>
      <c r="AJ891" s="178"/>
      <c r="AK891" s="178"/>
      <c r="AL891" s="178"/>
      <c r="AM891" s="178"/>
      <c r="AN891" s="178"/>
      <c r="AO891" s="178"/>
      <c r="AP891" s="178"/>
      <c r="AQ891" s="178"/>
      <c r="AR891" s="178"/>
      <c r="AS891" s="178"/>
      <c r="AT891" s="178"/>
      <c r="AU891" s="178"/>
      <c r="AV891" s="178"/>
      <c r="AW891" s="178"/>
      <c r="AX891" s="178"/>
      <c r="AY891" s="517"/>
      <c r="AZ891" s="131"/>
    </row>
    <row r="892" spans="1:52" ht="15.75" customHeight="1">
      <c r="A892" s="131"/>
      <c r="B892" s="178"/>
      <c r="C892" s="178"/>
      <c r="D892" s="178"/>
      <c r="E892" s="178"/>
      <c r="F892" s="178"/>
      <c r="G892" s="178"/>
      <c r="H892" s="178"/>
      <c r="I892" s="178"/>
      <c r="J892" s="178"/>
      <c r="K892" s="178"/>
      <c r="L892" s="178"/>
      <c r="M892" s="178"/>
      <c r="N892" s="178"/>
      <c r="O892" s="178"/>
      <c r="P892" s="178"/>
      <c r="Q892" s="178"/>
      <c r="R892" s="178"/>
      <c r="S892" s="178"/>
      <c r="T892" s="178"/>
      <c r="U892" s="178"/>
      <c r="V892" s="178"/>
      <c r="W892" s="178"/>
      <c r="X892" s="178"/>
      <c r="Y892" s="178"/>
      <c r="Z892" s="178"/>
      <c r="AA892" s="178"/>
      <c r="AB892" s="178"/>
      <c r="AC892" s="178"/>
      <c r="AD892" s="178"/>
      <c r="AE892" s="178"/>
      <c r="AF892" s="178"/>
      <c r="AG892" s="178"/>
      <c r="AH892" s="178"/>
      <c r="AI892" s="178"/>
      <c r="AJ892" s="178"/>
      <c r="AK892" s="178"/>
      <c r="AL892" s="178"/>
      <c r="AM892" s="178"/>
      <c r="AN892" s="178"/>
      <c r="AO892" s="178"/>
      <c r="AP892" s="178"/>
      <c r="AQ892" s="178"/>
      <c r="AR892" s="178"/>
      <c r="AS892" s="178"/>
      <c r="AT892" s="178"/>
      <c r="AU892" s="178"/>
      <c r="AV892" s="178"/>
      <c r="AW892" s="178"/>
      <c r="AX892" s="178"/>
      <c r="AY892" s="517"/>
      <c r="AZ892" s="131"/>
    </row>
    <row r="893" spans="1:52" ht="15.75" customHeight="1">
      <c r="A893" s="131"/>
      <c r="B893" s="178"/>
      <c r="C893" s="178"/>
      <c r="D893" s="178"/>
      <c r="E893" s="178"/>
      <c r="F893" s="178"/>
      <c r="G893" s="178"/>
      <c r="H893" s="178"/>
      <c r="I893" s="178"/>
      <c r="J893" s="178"/>
      <c r="K893" s="178"/>
      <c r="L893" s="178"/>
      <c r="M893" s="178"/>
      <c r="N893" s="178"/>
      <c r="O893" s="178"/>
      <c r="P893" s="178"/>
      <c r="Q893" s="178"/>
      <c r="R893" s="178"/>
      <c r="S893" s="178"/>
      <c r="T893" s="178"/>
      <c r="U893" s="178"/>
      <c r="V893" s="178"/>
      <c r="W893" s="178"/>
      <c r="X893" s="178"/>
      <c r="Y893" s="178"/>
      <c r="Z893" s="178"/>
      <c r="AA893" s="178"/>
      <c r="AB893" s="178"/>
      <c r="AC893" s="178"/>
      <c r="AD893" s="178"/>
      <c r="AE893" s="178"/>
      <c r="AF893" s="178"/>
      <c r="AG893" s="178"/>
      <c r="AH893" s="178"/>
      <c r="AI893" s="178"/>
      <c r="AJ893" s="178"/>
      <c r="AK893" s="178"/>
      <c r="AL893" s="178"/>
      <c r="AM893" s="178"/>
      <c r="AN893" s="178"/>
      <c r="AO893" s="178"/>
      <c r="AP893" s="178"/>
      <c r="AQ893" s="178"/>
      <c r="AR893" s="178"/>
      <c r="AS893" s="178"/>
      <c r="AT893" s="178"/>
      <c r="AU893" s="178"/>
      <c r="AV893" s="178"/>
      <c r="AW893" s="178"/>
      <c r="AX893" s="178"/>
      <c r="AY893" s="517"/>
      <c r="AZ893" s="131"/>
    </row>
    <row r="894" spans="1:52" ht="15.75" customHeight="1">
      <c r="A894" s="131"/>
      <c r="B894" s="178"/>
      <c r="C894" s="178"/>
      <c r="D894" s="178"/>
      <c r="E894" s="178"/>
      <c r="F894" s="178"/>
      <c r="G894" s="178"/>
      <c r="H894" s="178"/>
      <c r="I894" s="178"/>
      <c r="J894" s="178"/>
      <c r="K894" s="178"/>
      <c r="L894" s="178"/>
      <c r="M894" s="178"/>
      <c r="N894" s="178"/>
      <c r="O894" s="178"/>
      <c r="P894" s="178"/>
      <c r="Q894" s="178"/>
      <c r="R894" s="178"/>
      <c r="S894" s="178"/>
      <c r="T894" s="178"/>
      <c r="U894" s="178"/>
      <c r="V894" s="178"/>
      <c r="W894" s="178"/>
      <c r="X894" s="178"/>
      <c r="Y894" s="178"/>
      <c r="Z894" s="178"/>
      <c r="AA894" s="178"/>
      <c r="AB894" s="178"/>
      <c r="AC894" s="178"/>
      <c r="AD894" s="178"/>
      <c r="AE894" s="178"/>
      <c r="AF894" s="178"/>
      <c r="AG894" s="178"/>
      <c r="AH894" s="178"/>
      <c r="AI894" s="178"/>
      <c r="AJ894" s="178"/>
      <c r="AK894" s="178"/>
      <c r="AL894" s="178"/>
      <c r="AM894" s="178"/>
      <c r="AN894" s="178"/>
      <c r="AO894" s="178"/>
      <c r="AP894" s="178"/>
      <c r="AQ894" s="178"/>
      <c r="AR894" s="178"/>
      <c r="AS894" s="178"/>
      <c r="AT894" s="178"/>
      <c r="AU894" s="178"/>
      <c r="AV894" s="178"/>
      <c r="AW894" s="178"/>
      <c r="AX894" s="178"/>
      <c r="AY894" s="517"/>
      <c r="AZ894" s="131"/>
    </row>
    <row r="895" spans="1:52" ht="15.75" customHeight="1">
      <c r="A895" s="131"/>
      <c r="B895" s="178"/>
      <c r="C895" s="178"/>
      <c r="D895" s="178"/>
      <c r="E895" s="178"/>
      <c r="F895" s="178"/>
      <c r="G895" s="178"/>
      <c r="H895" s="178"/>
      <c r="I895" s="178"/>
      <c r="J895" s="178"/>
      <c r="K895" s="178"/>
      <c r="L895" s="178"/>
      <c r="M895" s="178"/>
      <c r="N895" s="178"/>
      <c r="O895" s="178"/>
      <c r="P895" s="178"/>
      <c r="Q895" s="178"/>
      <c r="R895" s="178"/>
      <c r="S895" s="178"/>
      <c r="T895" s="178"/>
      <c r="U895" s="178"/>
      <c r="V895" s="178"/>
      <c r="W895" s="178"/>
      <c r="X895" s="178"/>
      <c r="Y895" s="178"/>
      <c r="Z895" s="178"/>
      <c r="AA895" s="178"/>
      <c r="AB895" s="178"/>
      <c r="AC895" s="178"/>
      <c r="AD895" s="178"/>
      <c r="AE895" s="178"/>
      <c r="AF895" s="178"/>
      <c r="AG895" s="178"/>
      <c r="AH895" s="178"/>
      <c r="AI895" s="178"/>
      <c r="AJ895" s="178"/>
      <c r="AK895" s="178"/>
      <c r="AL895" s="178"/>
      <c r="AM895" s="178"/>
      <c r="AN895" s="178"/>
      <c r="AO895" s="178"/>
      <c r="AP895" s="178"/>
      <c r="AQ895" s="178"/>
      <c r="AR895" s="178"/>
      <c r="AS895" s="178"/>
      <c r="AT895" s="178"/>
      <c r="AU895" s="178"/>
      <c r="AV895" s="178"/>
      <c r="AW895" s="178"/>
      <c r="AX895" s="178"/>
      <c r="AY895" s="517"/>
      <c r="AZ895" s="131"/>
    </row>
    <row r="896" spans="1:52" ht="15.75" customHeight="1">
      <c r="A896" s="131"/>
      <c r="B896" s="178"/>
      <c r="C896" s="178"/>
      <c r="D896" s="178"/>
      <c r="E896" s="178"/>
      <c r="F896" s="178"/>
      <c r="G896" s="178"/>
      <c r="H896" s="178"/>
      <c r="I896" s="178"/>
      <c r="J896" s="178"/>
      <c r="K896" s="178"/>
      <c r="L896" s="178"/>
      <c r="M896" s="178"/>
      <c r="N896" s="178"/>
      <c r="O896" s="178"/>
      <c r="P896" s="178"/>
      <c r="Q896" s="178"/>
      <c r="R896" s="178"/>
      <c r="S896" s="178"/>
      <c r="T896" s="178"/>
      <c r="U896" s="178"/>
      <c r="V896" s="178"/>
      <c r="W896" s="178"/>
      <c r="X896" s="178"/>
      <c r="Y896" s="178"/>
      <c r="Z896" s="178"/>
      <c r="AA896" s="178"/>
      <c r="AB896" s="178"/>
      <c r="AC896" s="178"/>
      <c r="AD896" s="178"/>
      <c r="AE896" s="178"/>
      <c r="AF896" s="178"/>
      <c r="AG896" s="178"/>
      <c r="AH896" s="178"/>
      <c r="AI896" s="178"/>
      <c r="AJ896" s="178"/>
      <c r="AK896" s="178"/>
      <c r="AL896" s="178"/>
      <c r="AM896" s="178"/>
      <c r="AN896" s="178"/>
      <c r="AO896" s="178"/>
      <c r="AP896" s="178"/>
      <c r="AQ896" s="178"/>
      <c r="AR896" s="178"/>
      <c r="AS896" s="178"/>
      <c r="AT896" s="178"/>
      <c r="AU896" s="178"/>
      <c r="AV896" s="178"/>
      <c r="AW896" s="178"/>
      <c r="AX896" s="178"/>
      <c r="AY896" s="517"/>
      <c r="AZ896" s="131"/>
    </row>
    <row r="897" spans="1:52" ht="15.75" customHeight="1">
      <c r="A897" s="131"/>
      <c r="B897" s="178"/>
      <c r="C897" s="178"/>
      <c r="D897" s="178"/>
      <c r="E897" s="178"/>
      <c r="F897" s="178"/>
      <c r="G897" s="178"/>
      <c r="H897" s="178"/>
      <c r="I897" s="178"/>
      <c r="J897" s="178"/>
      <c r="K897" s="178"/>
      <c r="L897" s="178"/>
      <c r="M897" s="178"/>
      <c r="N897" s="178"/>
      <c r="O897" s="178"/>
      <c r="P897" s="178"/>
      <c r="Q897" s="178"/>
      <c r="R897" s="178"/>
      <c r="S897" s="178"/>
      <c r="T897" s="178"/>
      <c r="U897" s="178"/>
      <c r="V897" s="178"/>
      <c r="W897" s="178"/>
      <c r="X897" s="178"/>
      <c r="Y897" s="178"/>
      <c r="Z897" s="178"/>
      <c r="AA897" s="178"/>
      <c r="AB897" s="178"/>
      <c r="AC897" s="178"/>
      <c r="AD897" s="178"/>
      <c r="AE897" s="178"/>
      <c r="AF897" s="178"/>
      <c r="AG897" s="178"/>
      <c r="AH897" s="178"/>
      <c r="AI897" s="178"/>
      <c r="AJ897" s="178"/>
      <c r="AK897" s="178"/>
      <c r="AL897" s="178"/>
      <c r="AM897" s="178"/>
      <c r="AN897" s="178"/>
      <c r="AO897" s="178"/>
      <c r="AP897" s="178"/>
      <c r="AQ897" s="178"/>
      <c r="AR897" s="178"/>
      <c r="AS897" s="178"/>
      <c r="AT897" s="178"/>
      <c r="AU897" s="178"/>
      <c r="AV897" s="178"/>
      <c r="AW897" s="178"/>
      <c r="AX897" s="178"/>
      <c r="AY897" s="517"/>
      <c r="AZ897" s="131"/>
    </row>
    <row r="898" spans="1:52" ht="15.75" customHeight="1">
      <c r="A898" s="131"/>
      <c r="B898" s="178"/>
      <c r="C898" s="178"/>
      <c r="D898" s="178"/>
      <c r="E898" s="178"/>
      <c r="F898" s="178"/>
      <c r="G898" s="178"/>
      <c r="H898" s="178"/>
      <c r="I898" s="178"/>
      <c r="J898" s="178"/>
      <c r="K898" s="178"/>
      <c r="L898" s="178"/>
      <c r="M898" s="178"/>
      <c r="N898" s="178"/>
      <c r="O898" s="178"/>
      <c r="P898" s="178"/>
      <c r="Q898" s="178"/>
      <c r="R898" s="178"/>
      <c r="S898" s="178"/>
      <c r="T898" s="178"/>
      <c r="U898" s="178"/>
      <c r="V898" s="178"/>
      <c r="W898" s="178"/>
      <c r="X898" s="178"/>
      <c r="Y898" s="178"/>
      <c r="Z898" s="178"/>
      <c r="AA898" s="178"/>
      <c r="AB898" s="178"/>
      <c r="AC898" s="178"/>
      <c r="AD898" s="178"/>
      <c r="AE898" s="178"/>
      <c r="AF898" s="178"/>
      <c r="AG898" s="178"/>
      <c r="AH898" s="178"/>
      <c r="AI898" s="178"/>
      <c r="AJ898" s="178"/>
      <c r="AK898" s="178"/>
      <c r="AL898" s="178"/>
      <c r="AM898" s="178"/>
      <c r="AN898" s="178"/>
      <c r="AO898" s="178"/>
      <c r="AP898" s="178"/>
      <c r="AQ898" s="178"/>
      <c r="AR898" s="178"/>
      <c r="AS898" s="178"/>
      <c r="AT898" s="178"/>
      <c r="AU898" s="178"/>
      <c r="AV898" s="178"/>
      <c r="AW898" s="178"/>
      <c r="AX898" s="178"/>
      <c r="AY898" s="517"/>
      <c r="AZ898" s="131"/>
    </row>
    <row r="899" spans="1:52" ht="15.75" customHeight="1">
      <c r="A899" s="131"/>
      <c r="B899" s="178"/>
      <c r="C899" s="178"/>
      <c r="D899" s="178"/>
      <c r="E899" s="178"/>
      <c r="F899" s="178"/>
      <c r="G899" s="178"/>
      <c r="H899" s="178"/>
      <c r="I899" s="178"/>
      <c r="J899" s="178"/>
      <c r="K899" s="178"/>
      <c r="L899" s="178"/>
      <c r="M899" s="178"/>
      <c r="N899" s="178"/>
      <c r="O899" s="178"/>
      <c r="P899" s="178"/>
      <c r="Q899" s="178"/>
      <c r="R899" s="178"/>
      <c r="S899" s="178"/>
      <c r="T899" s="178"/>
      <c r="U899" s="178"/>
      <c r="V899" s="178"/>
      <c r="W899" s="178"/>
      <c r="X899" s="178"/>
      <c r="Y899" s="178"/>
      <c r="Z899" s="178"/>
      <c r="AA899" s="178"/>
      <c r="AB899" s="178"/>
      <c r="AC899" s="178"/>
      <c r="AD899" s="178"/>
      <c r="AE899" s="178"/>
      <c r="AF899" s="178"/>
      <c r="AG899" s="178"/>
      <c r="AH899" s="178"/>
      <c r="AI899" s="178"/>
      <c r="AJ899" s="178"/>
      <c r="AK899" s="178"/>
      <c r="AL899" s="178"/>
      <c r="AM899" s="178"/>
      <c r="AN899" s="178"/>
      <c r="AO899" s="178"/>
      <c r="AP899" s="178"/>
      <c r="AQ899" s="178"/>
      <c r="AR899" s="178"/>
      <c r="AS899" s="178"/>
      <c r="AT899" s="178"/>
      <c r="AU899" s="178"/>
      <c r="AV899" s="178"/>
      <c r="AW899" s="178"/>
      <c r="AX899" s="178"/>
      <c r="AY899" s="517"/>
      <c r="AZ899" s="131"/>
    </row>
    <row r="900" spans="1:52" ht="15.75" customHeight="1">
      <c r="A900" s="131"/>
      <c r="B900" s="178"/>
      <c r="C900" s="178"/>
      <c r="D900" s="178"/>
      <c r="E900" s="178"/>
      <c r="F900" s="178"/>
      <c r="G900" s="178"/>
      <c r="H900" s="178"/>
      <c r="I900" s="178"/>
      <c r="J900" s="178"/>
      <c r="K900" s="178"/>
      <c r="L900" s="178"/>
      <c r="M900" s="178"/>
      <c r="N900" s="178"/>
      <c r="O900" s="178"/>
      <c r="P900" s="178"/>
      <c r="Q900" s="178"/>
      <c r="R900" s="178"/>
      <c r="S900" s="178"/>
      <c r="T900" s="178"/>
      <c r="U900" s="178"/>
      <c r="V900" s="178"/>
      <c r="W900" s="178"/>
      <c r="X900" s="178"/>
      <c r="Y900" s="178"/>
      <c r="Z900" s="178"/>
      <c r="AA900" s="178"/>
      <c r="AB900" s="178"/>
      <c r="AC900" s="178"/>
      <c r="AD900" s="178"/>
      <c r="AE900" s="178"/>
      <c r="AF900" s="178"/>
      <c r="AG900" s="178"/>
      <c r="AH900" s="178"/>
      <c r="AI900" s="178"/>
      <c r="AJ900" s="178"/>
      <c r="AK900" s="178"/>
      <c r="AL900" s="178"/>
      <c r="AM900" s="178"/>
      <c r="AN900" s="178"/>
      <c r="AO900" s="178"/>
      <c r="AP900" s="178"/>
      <c r="AQ900" s="178"/>
      <c r="AR900" s="178"/>
      <c r="AS900" s="178"/>
      <c r="AT900" s="178"/>
      <c r="AU900" s="178"/>
      <c r="AV900" s="178"/>
      <c r="AW900" s="178"/>
      <c r="AX900" s="178"/>
      <c r="AY900" s="517"/>
      <c r="AZ900" s="131"/>
    </row>
    <row r="901" spans="1:52" ht="15.75" customHeight="1">
      <c r="A901" s="131"/>
      <c r="B901" s="178"/>
      <c r="C901" s="178"/>
      <c r="D901" s="178"/>
      <c r="E901" s="178"/>
      <c r="F901" s="178"/>
      <c r="G901" s="178"/>
      <c r="H901" s="178"/>
      <c r="I901" s="178"/>
      <c r="J901" s="178"/>
      <c r="K901" s="178"/>
      <c r="L901" s="178"/>
      <c r="M901" s="178"/>
      <c r="N901" s="178"/>
      <c r="O901" s="178"/>
      <c r="P901" s="178"/>
      <c r="Q901" s="178"/>
      <c r="R901" s="178"/>
      <c r="S901" s="178"/>
      <c r="T901" s="178"/>
      <c r="U901" s="178"/>
      <c r="V901" s="178"/>
      <c r="W901" s="178"/>
      <c r="X901" s="178"/>
      <c r="Y901" s="178"/>
      <c r="Z901" s="178"/>
      <c r="AA901" s="178"/>
      <c r="AB901" s="178"/>
      <c r="AC901" s="178"/>
      <c r="AD901" s="178"/>
      <c r="AE901" s="178"/>
      <c r="AF901" s="178"/>
      <c r="AG901" s="178"/>
      <c r="AH901" s="178"/>
      <c r="AI901" s="178"/>
      <c r="AJ901" s="178"/>
      <c r="AK901" s="178"/>
      <c r="AL901" s="178"/>
      <c r="AM901" s="178"/>
      <c r="AN901" s="178"/>
      <c r="AO901" s="178"/>
      <c r="AP901" s="178"/>
      <c r="AQ901" s="178"/>
      <c r="AR901" s="178"/>
      <c r="AS901" s="178"/>
      <c r="AT901" s="178"/>
      <c r="AU901" s="178"/>
      <c r="AV901" s="178"/>
      <c r="AW901" s="178"/>
      <c r="AX901" s="178"/>
      <c r="AY901" s="517"/>
      <c r="AZ901" s="131"/>
    </row>
    <row r="902" spans="1:52" ht="15.75" customHeight="1">
      <c r="A902" s="131"/>
      <c r="B902" s="178"/>
      <c r="C902" s="178"/>
      <c r="D902" s="178"/>
      <c r="E902" s="178"/>
      <c r="F902" s="178"/>
      <c r="G902" s="178"/>
      <c r="H902" s="178"/>
      <c r="I902" s="178"/>
      <c r="J902" s="178"/>
      <c r="K902" s="178"/>
      <c r="L902" s="178"/>
      <c r="M902" s="178"/>
      <c r="N902" s="178"/>
      <c r="O902" s="178"/>
      <c r="P902" s="178"/>
      <c r="Q902" s="178"/>
      <c r="R902" s="178"/>
      <c r="S902" s="178"/>
      <c r="T902" s="178"/>
      <c r="U902" s="178"/>
      <c r="V902" s="178"/>
      <c r="W902" s="178"/>
      <c r="X902" s="178"/>
      <c r="Y902" s="178"/>
      <c r="Z902" s="178"/>
      <c r="AA902" s="178"/>
      <c r="AB902" s="178"/>
      <c r="AC902" s="178"/>
      <c r="AD902" s="178"/>
      <c r="AE902" s="178"/>
      <c r="AF902" s="178"/>
      <c r="AG902" s="178"/>
      <c r="AH902" s="178"/>
      <c r="AI902" s="178"/>
      <c r="AJ902" s="178"/>
      <c r="AK902" s="178"/>
      <c r="AL902" s="178"/>
      <c r="AM902" s="178"/>
      <c r="AN902" s="178"/>
      <c r="AO902" s="178"/>
      <c r="AP902" s="178"/>
      <c r="AQ902" s="178"/>
      <c r="AR902" s="178"/>
      <c r="AS902" s="178"/>
      <c r="AT902" s="178"/>
      <c r="AU902" s="178"/>
      <c r="AV902" s="178"/>
      <c r="AW902" s="178"/>
      <c r="AX902" s="178"/>
      <c r="AY902" s="517"/>
      <c r="AZ902" s="131"/>
    </row>
    <row r="903" spans="1:52" ht="15.75" customHeight="1">
      <c r="A903" s="131"/>
      <c r="B903" s="178"/>
      <c r="C903" s="178"/>
      <c r="D903" s="178"/>
      <c r="E903" s="178"/>
      <c r="F903" s="178"/>
      <c r="G903" s="178"/>
      <c r="H903" s="178"/>
      <c r="I903" s="178"/>
      <c r="J903" s="178"/>
      <c r="K903" s="178"/>
      <c r="L903" s="178"/>
      <c r="M903" s="178"/>
      <c r="N903" s="178"/>
      <c r="O903" s="178"/>
      <c r="P903" s="178"/>
      <c r="Q903" s="178"/>
      <c r="R903" s="178"/>
      <c r="S903" s="178"/>
      <c r="T903" s="178"/>
      <c r="U903" s="178"/>
      <c r="V903" s="178"/>
      <c r="W903" s="178"/>
      <c r="X903" s="178"/>
      <c r="Y903" s="178"/>
      <c r="Z903" s="178"/>
      <c r="AA903" s="178"/>
      <c r="AB903" s="178"/>
      <c r="AC903" s="178"/>
      <c r="AD903" s="178"/>
      <c r="AE903" s="178"/>
      <c r="AF903" s="178"/>
      <c r="AG903" s="178"/>
      <c r="AH903" s="178"/>
      <c r="AI903" s="178"/>
      <c r="AJ903" s="178"/>
      <c r="AK903" s="178"/>
      <c r="AL903" s="178"/>
      <c r="AM903" s="178"/>
      <c r="AN903" s="178"/>
      <c r="AO903" s="178"/>
      <c r="AP903" s="178"/>
      <c r="AQ903" s="178"/>
      <c r="AR903" s="178"/>
      <c r="AS903" s="178"/>
      <c r="AT903" s="178"/>
      <c r="AU903" s="178"/>
      <c r="AV903" s="178"/>
      <c r="AW903" s="178"/>
      <c r="AX903" s="178"/>
      <c r="AY903" s="517"/>
      <c r="AZ903" s="131"/>
    </row>
    <row r="904" spans="1:52" ht="15.75" customHeight="1">
      <c r="A904" s="131"/>
      <c r="B904" s="178"/>
      <c r="C904" s="178"/>
      <c r="D904" s="178"/>
      <c r="E904" s="178"/>
      <c r="F904" s="178"/>
      <c r="G904" s="178"/>
      <c r="H904" s="178"/>
      <c r="I904" s="178"/>
      <c r="J904" s="178"/>
      <c r="K904" s="178"/>
      <c r="L904" s="178"/>
      <c r="M904" s="178"/>
      <c r="N904" s="178"/>
      <c r="O904" s="178"/>
      <c r="P904" s="178"/>
      <c r="Q904" s="178"/>
      <c r="R904" s="178"/>
      <c r="S904" s="178"/>
      <c r="T904" s="178"/>
      <c r="U904" s="178"/>
      <c r="V904" s="178"/>
      <c r="W904" s="178"/>
      <c r="X904" s="178"/>
      <c r="Y904" s="178"/>
      <c r="Z904" s="178"/>
      <c r="AA904" s="178"/>
      <c r="AB904" s="178"/>
      <c r="AC904" s="178"/>
      <c r="AD904" s="178"/>
      <c r="AE904" s="178"/>
      <c r="AF904" s="178"/>
      <c r="AG904" s="178"/>
      <c r="AH904" s="178"/>
      <c r="AI904" s="178"/>
      <c r="AJ904" s="178"/>
      <c r="AK904" s="178"/>
      <c r="AL904" s="178"/>
      <c r="AM904" s="178"/>
      <c r="AN904" s="178"/>
      <c r="AO904" s="178"/>
      <c r="AP904" s="178"/>
      <c r="AQ904" s="178"/>
      <c r="AR904" s="178"/>
      <c r="AS904" s="178"/>
      <c r="AT904" s="178"/>
      <c r="AU904" s="178"/>
      <c r="AV904" s="178"/>
      <c r="AW904" s="178"/>
      <c r="AX904" s="178"/>
      <c r="AY904" s="517"/>
      <c r="AZ904" s="131"/>
    </row>
    <row r="905" spans="1:52" ht="15.75" customHeight="1">
      <c r="A905" s="131"/>
      <c r="B905" s="178"/>
      <c r="C905" s="178"/>
      <c r="D905" s="178"/>
      <c r="E905" s="178"/>
      <c r="F905" s="178"/>
      <c r="G905" s="178"/>
      <c r="H905" s="178"/>
      <c r="I905" s="178"/>
      <c r="J905" s="178"/>
      <c r="K905" s="178"/>
      <c r="L905" s="178"/>
      <c r="M905" s="178"/>
      <c r="N905" s="178"/>
      <c r="O905" s="178"/>
      <c r="P905" s="178"/>
      <c r="Q905" s="178"/>
      <c r="R905" s="178"/>
      <c r="S905" s="178"/>
      <c r="T905" s="178"/>
      <c r="U905" s="178"/>
      <c r="V905" s="178"/>
      <c r="W905" s="178"/>
      <c r="X905" s="178"/>
      <c r="Y905" s="178"/>
      <c r="Z905" s="178"/>
      <c r="AA905" s="178"/>
      <c r="AB905" s="178"/>
      <c r="AC905" s="178"/>
      <c r="AD905" s="178"/>
      <c r="AE905" s="178"/>
      <c r="AF905" s="178"/>
      <c r="AG905" s="178"/>
      <c r="AH905" s="178"/>
      <c r="AI905" s="178"/>
      <c r="AJ905" s="178"/>
      <c r="AK905" s="178"/>
      <c r="AL905" s="178"/>
      <c r="AM905" s="178"/>
      <c r="AN905" s="178"/>
      <c r="AO905" s="178"/>
      <c r="AP905" s="178"/>
      <c r="AQ905" s="178"/>
      <c r="AR905" s="178"/>
      <c r="AS905" s="178"/>
      <c r="AT905" s="178"/>
      <c r="AU905" s="178"/>
      <c r="AV905" s="178"/>
      <c r="AW905" s="178"/>
      <c r="AX905" s="178"/>
      <c r="AY905" s="517"/>
      <c r="AZ905" s="131"/>
    </row>
    <row r="906" spans="1:52" ht="15.75" customHeight="1">
      <c r="A906" s="131"/>
      <c r="B906" s="178"/>
      <c r="C906" s="178"/>
      <c r="D906" s="178"/>
      <c r="E906" s="178"/>
      <c r="F906" s="178"/>
      <c r="G906" s="178"/>
      <c r="H906" s="178"/>
      <c r="I906" s="178"/>
      <c r="J906" s="178"/>
      <c r="K906" s="178"/>
      <c r="L906" s="178"/>
      <c r="M906" s="178"/>
      <c r="N906" s="178"/>
      <c r="O906" s="178"/>
      <c r="P906" s="178"/>
      <c r="Q906" s="178"/>
      <c r="R906" s="178"/>
      <c r="S906" s="178"/>
      <c r="T906" s="178"/>
      <c r="U906" s="178"/>
      <c r="V906" s="178"/>
      <c r="W906" s="178"/>
      <c r="X906" s="178"/>
      <c r="Y906" s="178"/>
      <c r="Z906" s="178"/>
      <c r="AA906" s="178"/>
      <c r="AB906" s="178"/>
      <c r="AC906" s="178"/>
      <c r="AD906" s="178"/>
      <c r="AE906" s="178"/>
      <c r="AF906" s="178"/>
      <c r="AG906" s="178"/>
      <c r="AH906" s="178"/>
      <c r="AI906" s="178"/>
      <c r="AJ906" s="178"/>
      <c r="AK906" s="178"/>
      <c r="AL906" s="178"/>
      <c r="AM906" s="178"/>
      <c r="AN906" s="178"/>
      <c r="AO906" s="178"/>
      <c r="AP906" s="178"/>
      <c r="AQ906" s="178"/>
      <c r="AR906" s="178"/>
      <c r="AS906" s="178"/>
      <c r="AT906" s="178"/>
      <c r="AU906" s="178"/>
      <c r="AV906" s="178"/>
      <c r="AW906" s="178"/>
      <c r="AX906" s="178"/>
      <c r="AY906" s="517"/>
      <c r="AZ906" s="131"/>
    </row>
    <row r="907" spans="1:52" ht="15.75" customHeight="1">
      <c r="A907" s="131"/>
      <c r="B907" s="178"/>
      <c r="C907" s="178"/>
      <c r="D907" s="178"/>
      <c r="E907" s="178"/>
      <c r="F907" s="178"/>
      <c r="G907" s="178"/>
      <c r="H907" s="178"/>
      <c r="I907" s="178"/>
      <c r="J907" s="178"/>
      <c r="K907" s="178"/>
      <c r="L907" s="178"/>
      <c r="M907" s="178"/>
      <c r="N907" s="178"/>
      <c r="O907" s="178"/>
      <c r="P907" s="178"/>
      <c r="Q907" s="178"/>
      <c r="R907" s="178"/>
      <c r="S907" s="178"/>
      <c r="T907" s="178"/>
      <c r="U907" s="178"/>
      <c r="V907" s="178"/>
      <c r="W907" s="178"/>
      <c r="X907" s="178"/>
      <c r="Y907" s="178"/>
      <c r="Z907" s="178"/>
      <c r="AA907" s="178"/>
      <c r="AB907" s="178"/>
      <c r="AC907" s="178"/>
      <c r="AD907" s="178"/>
      <c r="AE907" s="178"/>
      <c r="AF907" s="178"/>
      <c r="AG907" s="178"/>
      <c r="AH907" s="178"/>
      <c r="AI907" s="178"/>
      <c r="AJ907" s="178"/>
      <c r="AK907" s="178"/>
      <c r="AL907" s="178"/>
      <c r="AM907" s="178"/>
      <c r="AN907" s="178"/>
      <c r="AO907" s="178"/>
      <c r="AP907" s="178"/>
      <c r="AQ907" s="178"/>
      <c r="AR907" s="178"/>
      <c r="AS907" s="178"/>
      <c r="AT907" s="178"/>
      <c r="AU907" s="178"/>
      <c r="AV907" s="178"/>
      <c r="AW907" s="178"/>
      <c r="AX907" s="178"/>
      <c r="AY907" s="517"/>
      <c r="AZ907" s="131"/>
    </row>
    <row r="908" spans="1:52" ht="15.75" customHeight="1">
      <c r="A908" s="131"/>
      <c r="B908" s="178"/>
      <c r="C908" s="178"/>
      <c r="D908" s="178"/>
      <c r="E908" s="178"/>
      <c r="F908" s="178"/>
      <c r="G908" s="178"/>
      <c r="H908" s="178"/>
      <c r="I908" s="178"/>
      <c r="J908" s="178"/>
      <c r="K908" s="178"/>
      <c r="L908" s="178"/>
      <c r="M908" s="178"/>
      <c r="N908" s="178"/>
      <c r="O908" s="178"/>
      <c r="P908" s="178"/>
      <c r="Q908" s="178"/>
      <c r="R908" s="178"/>
      <c r="S908" s="178"/>
      <c r="T908" s="178"/>
      <c r="U908" s="178"/>
      <c r="V908" s="178"/>
      <c r="W908" s="178"/>
      <c r="X908" s="178"/>
      <c r="Y908" s="178"/>
      <c r="Z908" s="178"/>
      <c r="AA908" s="178"/>
      <c r="AB908" s="178"/>
      <c r="AC908" s="178"/>
      <c r="AD908" s="178"/>
      <c r="AE908" s="178"/>
      <c r="AF908" s="178"/>
      <c r="AG908" s="178"/>
      <c r="AH908" s="178"/>
      <c r="AI908" s="178"/>
      <c r="AJ908" s="178"/>
      <c r="AK908" s="178"/>
      <c r="AL908" s="178"/>
      <c r="AM908" s="178"/>
      <c r="AN908" s="178"/>
      <c r="AO908" s="178"/>
      <c r="AP908" s="178"/>
      <c r="AQ908" s="178"/>
      <c r="AR908" s="178"/>
      <c r="AS908" s="178"/>
      <c r="AT908" s="178"/>
      <c r="AU908" s="178"/>
      <c r="AV908" s="178"/>
      <c r="AW908" s="178"/>
      <c r="AX908" s="178"/>
      <c r="AY908" s="517"/>
      <c r="AZ908" s="131"/>
    </row>
    <row r="909" spans="1:52" ht="15.75" customHeight="1">
      <c r="A909" s="131"/>
      <c r="B909" s="178"/>
      <c r="C909" s="178"/>
      <c r="D909" s="178"/>
      <c r="E909" s="178"/>
      <c r="F909" s="178"/>
      <c r="G909" s="178"/>
      <c r="H909" s="178"/>
      <c r="I909" s="178"/>
      <c r="J909" s="178"/>
      <c r="K909" s="178"/>
      <c r="L909" s="178"/>
      <c r="M909" s="178"/>
      <c r="N909" s="178"/>
      <c r="O909" s="178"/>
      <c r="P909" s="178"/>
      <c r="Q909" s="178"/>
      <c r="R909" s="178"/>
      <c r="S909" s="178"/>
      <c r="T909" s="178"/>
      <c r="U909" s="178"/>
      <c r="V909" s="178"/>
      <c r="W909" s="178"/>
      <c r="X909" s="178"/>
      <c r="Y909" s="178"/>
      <c r="Z909" s="178"/>
      <c r="AA909" s="178"/>
      <c r="AB909" s="178"/>
      <c r="AC909" s="178"/>
      <c r="AD909" s="178"/>
      <c r="AE909" s="178"/>
      <c r="AF909" s="178"/>
      <c r="AG909" s="178"/>
      <c r="AH909" s="178"/>
      <c r="AI909" s="178"/>
      <c r="AJ909" s="178"/>
      <c r="AK909" s="178"/>
      <c r="AL909" s="178"/>
      <c r="AM909" s="178"/>
      <c r="AN909" s="178"/>
      <c r="AO909" s="178"/>
      <c r="AP909" s="178"/>
      <c r="AQ909" s="178"/>
      <c r="AR909" s="178"/>
      <c r="AS909" s="178"/>
      <c r="AT909" s="178"/>
      <c r="AU909" s="178"/>
      <c r="AV909" s="178"/>
      <c r="AW909" s="178"/>
      <c r="AX909" s="178"/>
      <c r="AY909" s="517"/>
      <c r="AZ909" s="131"/>
    </row>
    <row r="910" spans="1:52" ht="15.75" customHeight="1">
      <c r="A910" s="131"/>
      <c r="B910" s="178"/>
      <c r="C910" s="178"/>
      <c r="D910" s="178"/>
      <c r="E910" s="178"/>
      <c r="F910" s="178"/>
      <c r="G910" s="178"/>
      <c r="H910" s="178"/>
      <c r="I910" s="178"/>
      <c r="J910" s="178"/>
      <c r="K910" s="178"/>
      <c r="L910" s="178"/>
      <c r="M910" s="178"/>
      <c r="N910" s="178"/>
      <c r="O910" s="178"/>
      <c r="P910" s="178"/>
      <c r="Q910" s="178"/>
      <c r="R910" s="178"/>
      <c r="S910" s="178"/>
      <c r="T910" s="178"/>
      <c r="U910" s="178"/>
      <c r="V910" s="178"/>
      <c r="W910" s="178"/>
      <c r="X910" s="178"/>
      <c r="Y910" s="178"/>
      <c r="Z910" s="178"/>
      <c r="AA910" s="178"/>
      <c r="AB910" s="178"/>
      <c r="AC910" s="178"/>
      <c r="AD910" s="178"/>
      <c r="AE910" s="178"/>
      <c r="AF910" s="178"/>
      <c r="AG910" s="178"/>
      <c r="AH910" s="178"/>
      <c r="AI910" s="178"/>
      <c r="AJ910" s="178"/>
      <c r="AK910" s="178"/>
      <c r="AL910" s="178"/>
      <c r="AM910" s="178"/>
      <c r="AN910" s="178"/>
      <c r="AO910" s="178"/>
      <c r="AP910" s="178"/>
      <c r="AQ910" s="178"/>
      <c r="AR910" s="178"/>
      <c r="AS910" s="178"/>
      <c r="AT910" s="178"/>
      <c r="AU910" s="178"/>
      <c r="AV910" s="178"/>
      <c r="AW910" s="178"/>
      <c r="AX910" s="178"/>
      <c r="AY910" s="517"/>
      <c r="AZ910" s="131"/>
    </row>
    <row r="911" spans="1:52" ht="15.75" customHeight="1">
      <c r="A911" s="131"/>
      <c r="B911" s="178"/>
      <c r="C911" s="178"/>
      <c r="D911" s="178"/>
      <c r="E911" s="178"/>
      <c r="F911" s="178"/>
      <c r="G911" s="178"/>
      <c r="H911" s="178"/>
      <c r="I911" s="178"/>
      <c r="J911" s="178"/>
      <c r="K911" s="178"/>
      <c r="L911" s="178"/>
      <c r="M911" s="178"/>
      <c r="N911" s="178"/>
      <c r="O911" s="178"/>
      <c r="P911" s="178"/>
      <c r="Q911" s="178"/>
      <c r="R911" s="178"/>
      <c r="S911" s="178"/>
      <c r="T911" s="178"/>
      <c r="U911" s="178"/>
      <c r="V911" s="178"/>
      <c r="W911" s="178"/>
      <c r="X911" s="178"/>
      <c r="Y911" s="178"/>
      <c r="Z911" s="178"/>
      <c r="AA911" s="178"/>
      <c r="AB911" s="178"/>
      <c r="AC911" s="178"/>
      <c r="AD911" s="178"/>
      <c r="AE911" s="178"/>
      <c r="AF911" s="178"/>
      <c r="AG911" s="178"/>
      <c r="AH911" s="178"/>
      <c r="AI911" s="178"/>
      <c r="AJ911" s="178"/>
      <c r="AK911" s="178"/>
      <c r="AL911" s="178"/>
      <c r="AM911" s="178"/>
      <c r="AN911" s="178"/>
      <c r="AO911" s="178"/>
      <c r="AP911" s="178"/>
      <c r="AQ911" s="178"/>
      <c r="AR911" s="178"/>
      <c r="AS911" s="178"/>
      <c r="AT911" s="178"/>
      <c r="AU911" s="178"/>
      <c r="AV911" s="178"/>
      <c r="AW911" s="178"/>
      <c r="AX911" s="178"/>
      <c r="AY911" s="517"/>
      <c r="AZ911" s="131"/>
    </row>
    <row r="912" spans="1:52" ht="15.75" customHeight="1">
      <c r="A912" s="131"/>
      <c r="B912" s="178"/>
      <c r="C912" s="178"/>
      <c r="D912" s="178"/>
      <c r="E912" s="178"/>
      <c r="F912" s="178"/>
      <c r="G912" s="178"/>
      <c r="H912" s="178"/>
      <c r="I912" s="178"/>
      <c r="J912" s="178"/>
      <c r="K912" s="178"/>
      <c r="L912" s="178"/>
      <c r="M912" s="178"/>
      <c r="N912" s="178"/>
      <c r="O912" s="178"/>
      <c r="P912" s="178"/>
      <c r="Q912" s="178"/>
      <c r="R912" s="178"/>
      <c r="S912" s="178"/>
      <c r="T912" s="178"/>
      <c r="U912" s="178"/>
      <c r="V912" s="178"/>
      <c r="W912" s="178"/>
      <c r="X912" s="178"/>
      <c r="Y912" s="178"/>
      <c r="Z912" s="178"/>
      <c r="AA912" s="178"/>
      <c r="AB912" s="178"/>
      <c r="AC912" s="178"/>
      <c r="AD912" s="178"/>
      <c r="AE912" s="178"/>
      <c r="AF912" s="178"/>
      <c r="AG912" s="178"/>
      <c r="AH912" s="178"/>
      <c r="AI912" s="178"/>
      <c r="AJ912" s="178"/>
      <c r="AK912" s="178"/>
      <c r="AL912" s="178"/>
      <c r="AM912" s="178"/>
      <c r="AN912" s="178"/>
      <c r="AO912" s="178"/>
      <c r="AP912" s="178"/>
      <c r="AQ912" s="178"/>
      <c r="AR912" s="178"/>
      <c r="AS912" s="178"/>
      <c r="AT912" s="178"/>
      <c r="AU912" s="178"/>
      <c r="AV912" s="178"/>
      <c r="AW912" s="178"/>
      <c r="AX912" s="178"/>
      <c r="AY912" s="517"/>
      <c r="AZ912" s="131"/>
    </row>
    <row r="913" spans="1:52" ht="15.75" customHeight="1">
      <c r="A913" s="131"/>
      <c r="B913" s="178"/>
      <c r="C913" s="178"/>
      <c r="D913" s="178"/>
      <c r="E913" s="178"/>
      <c r="F913" s="178"/>
      <c r="G913" s="178"/>
      <c r="H913" s="178"/>
      <c r="I913" s="178"/>
      <c r="J913" s="178"/>
      <c r="K913" s="178"/>
      <c r="L913" s="178"/>
      <c r="M913" s="178"/>
      <c r="N913" s="178"/>
      <c r="O913" s="178"/>
      <c r="P913" s="178"/>
      <c r="Q913" s="178"/>
      <c r="R913" s="178"/>
      <c r="S913" s="178"/>
      <c r="T913" s="178"/>
      <c r="U913" s="178"/>
      <c r="V913" s="178"/>
      <c r="W913" s="178"/>
      <c r="X913" s="178"/>
      <c r="Y913" s="178"/>
      <c r="Z913" s="178"/>
      <c r="AA913" s="178"/>
      <c r="AB913" s="178"/>
      <c r="AC913" s="178"/>
      <c r="AD913" s="178"/>
      <c r="AE913" s="178"/>
      <c r="AF913" s="178"/>
      <c r="AG913" s="178"/>
      <c r="AH913" s="178"/>
      <c r="AI913" s="178"/>
      <c r="AJ913" s="178"/>
      <c r="AK913" s="178"/>
      <c r="AL913" s="178"/>
      <c r="AM913" s="178"/>
      <c r="AN913" s="178"/>
      <c r="AO913" s="178"/>
      <c r="AP913" s="178"/>
      <c r="AQ913" s="178"/>
      <c r="AR913" s="178"/>
      <c r="AS913" s="178"/>
      <c r="AT913" s="178"/>
      <c r="AU913" s="178"/>
      <c r="AV913" s="178"/>
      <c r="AW913" s="178"/>
      <c r="AX913" s="178"/>
      <c r="AY913" s="517"/>
      <c r="AZ913" s="131"/>
    </row>
    <row r="914" spans="1:52" ht="15.75" customHeight="1">
      <c r="A914" s="131"/>
      <c r="B914" s="178"/>
      <c r="C914" s="178"/>
      <c r="D914" s="178"/>
      <c r="E914" s="178"/>
      <c r="F914" s="178"/>
      <c r="G914" s="178"/>
      <c r="H914" s="178"/>
      <c r="I914" s="178"/>
      <c r="J914" s="178"/>
      <c r="K914" s="178"/>
      <c r="L914" s="178"/>
      <c r="M914" s="178"/>
      <c r="N914" s="178"/>
      <c r="O914" s="178"/>
      <c r="P914" s="178"/>
      <c r="Q914" s="178"/>
      <c r="R914" s="178"/>
      <c r="S914" s="178"/>
      <c r="T914" s="178"/>
      <c r="U914" s="178"/>
      <c r="V914" s="178"/>
      <c r="W914" s="178"/>
      <c r="X914" s="178"/>
      <c r="Y914" s="178"/>
      <c r="Z914" s="178"/>
      <c r="AA914" s="178"/>
      <c r="AB914" s="178"/>
      <c r="AC914" s="178"/>
      <c r="AD914" s="178"/>
      <c r="AE914" s="178"/>
      <c r="AF914" s="178"/>
      <c r="AG914" s="178"/>
      <c r="AH914" s="178"/>
      <c r="AI914" s="178"/>
      <c r="AJ914" s="178"/>
      <c r="AK914" s="178"/>
      <c r="AL914" s="178"/>
      <c r="AM914" s="178"/>
      <c r="AN914" s="178"/>
      <c r="AO914" s="178"/>
      <c r="AP914" s="178"/>
      <c r="AQ914" s="178"/>
      <c r="AR914" s="178"/>
      <c r="AS914" s="178"/>
      <c r="AT914" s="178"/>
      <c r="AU914" s="178"/>
      <c r="AV914" s="178"/>
      <c r="AW914" s="178"/>
      <c r="AX914" s="178"/>
      <c r="AY914" s="517"/>
      <c r="AZ914" s="131"/>
    </row>
    <row r="915" spans="1:52" ht="15.75" customHeight="1">
      <c r="A915" s="131"/>
      <c r="B915" s="178"/>
      <c r="C915" s="178"/>
      <c r="D915" s="178"/>
      <c r="E915" s="178"/>
      <c r="F915" s="178"/>
      <c r="G915" s="178"/>
      <c r="H915" s="178"/>
      <c r="I915" s="178"/>
      <c r="J915" s="178"/>
      <c r="K915" s="178"/>
      <c r="L915" s="178"/>
      <c r="M915" s="178"/>
      <c r="N915" s="178"/>
      <c r="O915" s="178"/>
      <c r="P915" s="178"/>
      <c r="Q915" s="178"/>
      <c r="R915" s="178"/>
      <c r="S915" s="178"/>
      <c r="T915" s="178"/>
      <c r="U915" s="178"/>
      <c r="V915" s="178"/>
      <c r="W915" s="178"/>
      <c r="X915" s="178"/>
      <c r="Y915" s="178"/>
      <c r="Z915" s="178"/>
      <c r="AA915" s="178"/>
      <c r="AB915" s="178"/>
      <c r="AC915" s="178"/>
      <c r="AD915" s="178"/>
      <c r="AE915" s="178"/>
      <c r="AF915" s="178"/>
      <c r="AG915" s="178"/>
      <c r="AH915" s="178"/>
      <c r="AI915" s="178"/>
      <c r="AJ915" s="178"/>
      <c r="AK915" s="178"/>
      <c r="AL915" s="178"/>
      <c r="AM915" s="178"/>
      <c r="AN915" s="178"/>
      <c r="AO915" s="178"/>
      <c r="AP915" s="178"/>
      <c r="AQ915" s="178"/>
      <c r="AR915" s="178"/>
      <c r="AS915" s="178"/>
      <c r="AT915" s="178"/>
      <c r="AU915" s="178"/>
      <c r="AV915" s="178"/>
      <c r="AW915" s="178"/>
      <c r="AX915" s="178"/>
      <c r="AY915" s="517"/>
      <c r="AZ915" s="131"/>
    </row>
    <row r="916" spans="1:52" ht="15.75" customHeight="1">
      <c r="A916" s="131"/>
      <c r="B916" s="178"/>
      <c r="C916" s="178"/>
      <c r="D916" s="178"/>
      <c r="E916" s="178"/>
      <c r="F916" s="178"/>
      <c r="G916" s="178"/>
      <c r="H916" s="178"/>
      <c r="I916" s="178"/>
      <c r="J916" s="178"/>
      <c r="K916" s="178"/>
      <c r="L916" s="178"/>
      <c r="M916" s="178"/>
      <c r="N916" s="178"/>
      <c r="O916" s="178"/>
      <c r="P916" s="178"/>
      <c r="Q916" s="178"/>
      <c r="R916" s="178"/>
      <c r="S916" s="178"/>
      <c r="T916" s="178"/>
      <c r="U916" s="178"/>
      <c r="V916" s="178"/>
      <c r="W916" s="178"/>
      <c r="X916" s="178"/>
      <c r="Y916" s="178"/>
      <c r="Z916" s="178"/>
      <c r="AA916" s="178"/>
      <c r="AB916" s="178"/>
      <c r="AC916" s="178"/>
      <c r="AD916" s="178"/>
      <c r="AE916" s="178"/>
      <c r="AF916" s="178"/>
      <c r="AG916" s="178"/>
      <c r="AH916" s="178"/>
      <c r="AI916" s="178"/>
      <c r="AJ916" s="178"/>
      <c r="AK916" s="178"/>
      <c r="AL916" s="178"/>
      <c r="AM916" s="178"/>
      <c r="AN916" s="178"/>
      <c r="AO916" s="178"/>
      <c r="AP916" s="178"/>
      <c r="AQ916" s="178"/>
      <c r="AR916" s="178"/>
      <c r="AS916" s="178"/>
      <c r="AT916" s="178"/>
      <c r="AU916" s="178"/>
      <c r="AV916" s="178"/>
      <c r="AW916" s="178"/>
      <c r="AX916" s="178"/>
      <c r="AY916" s="517"/>
      <c r="AZ916" s="131"/>
    </row>
    <row r="917" spans="1:52" ht="15.75" customHeight="1">
      <c r="A917" s="131"/>
      <c r="B917" s="178"/>
      <c r="C917" s="178"/>
      <c r="D917" s="178"/>
      <c r="E917" s="178"/>
      <c r="F917" s="178"/>
      <c r="G917" s="178"/>
      <c r="H917" s="178"/>
      <c r="I917" s="178"/>
      <c r="J917" s="178"/>
      <c r="K917" s="178"/>
      <c r="L917" s="178"/>
      <c r="M917" s="178"/>
      <c r="N917" s="178"/>
      <c r="O917" s="178"/>
      <c r="P917" s="178"/>
      <c r="Q917" s="178"/>
      <c r="R917" s="178"/>
      <c r="S917" s="178"/>
      <c r="T917" s="178"/>
      <c r="U917" s="178"/>
      <c r="V917" s="178"/>
      <c r="W917" s="178"/>
      <c r="X917" s="178"/>
      <c r="Y917" s="178"/>
      <c r="Z917" s="178"/>
      <c r="AA917" s="178"/>
      <c r="AB917" s="178"/>
      <c r="AC917" s="178"/>
      <c r="AD917" s="178"/>
      <c r="AE917" s="178"/>
      <c r="AF917" s="178"/>
      <c r="AG917" s="178"/>
      <c r="AH917" s="178"/>
      <c r="AI917" s="178"/>
      <c r="AJ917" s="178"/>
      <c r="AK917" s="178"/>
      <c r="AL917" s="178"/>
      <c r="AM917" s="178"/>
      <c r="AN917" s="178"/>
      <c r="AO917" s="178"/>
      <c r="AP917" s="178"/>
      <c r="AQ917" s="178"/>
      <c r="AR917" s="178"/>
      <c r="AS917" s="178"/>
      <c r="AT917" s="178"/>
      <c r="AU917" s="178"/>
      <c r="AV917" s="178"/>
      <c r="AW917" s="178"/>
      <c r="AX917" s="178"/>
      <c r="AY917" s="517"/>
      <c r="AZ917" s="131"/>
    </row>
    <row r="918" spans="1:52" ht="15.75" customHeight="1">
      <c r="A918" s="131"/>
      <c r="B918" s="178"/>
      <c r="C918" s="178"/>
      <c r="D918" s="178"/>
      <c r="E918" s="178"/>
      <c r="F918" s="178"/>
      <c r="G918" s="178"/>
      <c r="H918" s="178"/>
      <c r="I918" s="178"/>
      <c r="J918" s="178"/>
      <c r="K918" s="178"/>
      <c r="L918" s="178"/>
      <c r="M918" s="178"/>
      <c r="N918" s="178"/>
      <c r="O918" s="178"/>
      <c r="P918" s="178"/>
      <c r="Q918" s="178"/>
      <c r="R918" s="178"/>
      <c r="S918" s="178"/>
      <c r="T918" s="178"/>
      <c r="U918" s="178"/>
      <c r="V918" s="178"/>
      <c r="W918" s="178"/>
      <c r="X918" s="178"/>
      <c r="Y918" s="178"/>
      <c r="Z918" s="178"/>
      <c r="AA918" s="178"/>
      <c r="AB918" s="178"/>
      <c r="AC918" s="178"/>
      <c r="AD918" s="178"/>
      <c r="AE918" s="178"/>
      <c r="AF918" s="178"/>
      <c r="AG918" s="178"/>
      <c r="AH918" s="178"/>
      <c r="AI918" s="178"/>
      <c r="AJ918" s="178"/>
      <c r="AK918" s="178"/>
      <c r="AL918" s="178"/>
      <c r="AM918" s="178"/>
      <c r="AN918" s="178"/>
      <c r="AO918" s="178"/>
      <c r="AP918" s="178"/>
      <c r="AQ918" s="178"/>
      <c r="AR918" s="178"/>
      <c r="AS918" s="178"/>
      <c r="AT918" s="178"/>
      <c r="AU918" s="178"/>
      <c r="AV918" s="178"/>
      <c r="AW918" s="178"/>
      <c r="AX918" s="178"/>
      <c r="AY918" s="517"/>
      <c r="AZ918" s="131"/>
    </row>
    <row r="919" spans="1:52" ht="15.75" customHeight="1">
      <c r="A919" s="131"/>
      <c r="B919" s="178"/>
      <c r="C919" s="178"/>
      <c r="D919" s="178"/>
      <c r="E919" s="178"/>
      <c r="F919" s="178"/>
      <c r="G919" s="178"/>
      <c r="H919" s="178"/>
      <c r="I919" s="178"/>
      <c r="J919" s="178"/>
      <c r="K919" s="178"/>
      <c r="L919" s="178"/>
      <c r="M919" s="178"/>
      <c r="N919" s="178"/>
      <c r="O919" s="178"/>
      <c r="P919" s="178"/>
      <c r="Q919" s="178"/>
      <c r="R919" s="178"/>
      <c r="S919" s="178"/>
      <c r="T919" s="178"/>
      <c r="U919" s="178"/>
      <c r="V919" s="178"/>
      <c r="W919" s="178"/>
      <c r="X919" s="178"/>
      <c r="Y919" s="178"/>
      <c r="Z919" s="178"/>
      <c r="AA919" s="178"/>
      <c r="AB919" s="178"/>
      <c r="AC919" s="178"/>
      <c r="AD919" s="178"/>
      <c r="AE919" s="178"/>
      <c r="AF919" s="178"/>
      <c r="AG919" s="178"/>
      <c r="AH919" s="178"/>
      <c r="AI919" s="178"/>
      <c r="AJ919" s="178"/>
      <c r="AK919" s="178"/>
      <c r="AL919" s="178"/>
      <c r="AM919" s="178"/>
      <c r="AN919" s="178"/>
      <c r="AO919" s="178"/>
      <c r="AP919" s="178"/>
      <c r="AQ919" s="178"/>
      <c r="AR919" s="178"/>
      <c r="AS919" s="178"/>
      <c r="AT919" s="178"/>
      <c r="AU919" s="178"/>
      <c r="AV919" s="178"/>
      <c r="AW919" s="178"/>
      <c r="AX919" s="178"/>
      <c r="AY919" s="517"/>
      <c r="AZ919" s="131"/>
    </row>
    <row r="920" spans="1:52" ht="15.75" customHeight="1">
      <c r="A920" s="131"/>
      <c r="B920" s="178"/>
      <c r="C920" s="178"/>
      <c r="D920" s="178"/>
      <c r="E920" s="178"/>
      <c r="F920" s="178"/>
      <c r="G920" s="178"/>
      <c r="H920" s="178"/>
      <c r="I920" s="178"/>
      <c r="J920" s="178"/>
      <c r="K920" s="178"/>
      <c r="L920" s="178"/>
      <c r="M920" s="178"/>
      <c r="N920" s="178"/>
      <c r="O920" s="178"/>
      <c r="P920" s="178"/>
      <c r="Q920" s="178"/>
      <c r="R920" s="178"/>
      <c r="S920" s="178"/>
      <c r="T920" s="178"/>
      <c r="U920" s="178"/>
      <c r="V920" s="178"/>
      <c r="W920" s="178"/>
      <c r="X920" s="178"/>
      <c r="Y920" s="178"/>
      <c r="Z920" s="178"/>
      <c r="AA920" s="178"/>
      <c r="AB920" s="178"/>
      <c r="AC920" s="178"/>
      <c r="AD920" s="178"/>
      <c r="AE920" s="178"/>
      <c r="AF920" s="178"/>
      <c r="AG920" s="178"/>
      <c r="AH920" s="178"/>
      <c r="AI920" s="178"/>
      <c r="AJ920" s="178"/>
      <c r="AK920" s="178"/>
      <c r="AL920" s="178"/>
      <c r="AM920" s="178"/>
      <c r="AN920" s="178"/>
      <c r="AO920" s="178"/>
      <c r="AP920" s="178"/>
      <c r="AQ920" s="178"/>
      <c r="AR920" s="178"/>
      <c r="AS920" s="178"/>
      <c r="AT920" s="178"/>
      <c r="AU920" s="178"/>
      <c r="AV920" s="178"/>
      <c r="AW920" s="178"/>
      <c r="AX920" s="178"/>
      <c r="AY920" s="517"/>
      <c r="AZ920" s="131"/>
    </row>
    <row r="921" spans="1:52" ht="15.75" customHeight="1">
      <c r="A921" s="131"/>
      <c r="B921" s="178"/>
      <c r="C921" s="178"/>
      <c r="D921" s="178"/>
      <c r="E921" s="178"/>
      <c r="F921" s="178"/>
      <c r="G921" s="178"/>
      <c r="H921" s="178"/>
      <c r="I921" s="178"/>
      <c r="J921" s="178"/>
      <c r="K921" s="178"/>
      <c r="L921" s="178"/>
      <c r="M921" s="178"/>
      <c r="N921" s="178"/>
      <c r="O921" s="178"/>
      <c r="P921" s="178"/>
      <c r="Q921" s="178"/>
      <c r="R921" s="178"/>
      <c r="S921" s="178"/>
      <c r="T921" s="178"/>
      <c r="U921" s="178"/>
      <c r="V921" s="178"/>
      <c r="W921" s="178"/>
      <c r="X921" s="178"/>
      <c r="Y921" s="178"/>
      <c r="Z921" s="178"/>
      <c r="AA921" s="178"/>
      <c r="AB921" s="178"/>
      <c r="AC921" s="178"/>
      <c r="AD921" s="178"/>
      <c r="AE921" s="178"/>
      <c r="AF921" s="178"/>
      <c r="AG921" s="178"/>
      <c r="AH921" s="178"/>
      <c r="AI921" s="178"/>
      <c r="AJ921" s="178"/>
      <c r="AK921" s="178"/>
      <c r="AL921" s="178"/>
      <c r="AM921" s="178"/>
      <c r="AN921" s="178"/>
      <c r="AO921" s="178"/>
      <c r="AP921" s="178"/>
      <c r="AQ921" s="178"/>
      <c r="AR921" s="178"/>
      <c r="AS921" s="178"/>
      <c r="AT921" s="178"/>
      <c r="AU921" s="178"/>
      <c r="AV921" s="178"/>
      <c r="AW921" s="178"/>
      <c r="AX921" s="178"/>
      <c r="AY921" s="517"/>
      <c r="AZ921" s="131"/>
    </row>
    <row r="922" spans="1:52" ht="15.75" customHeight="1">
      <c r="A922" s="131"/>
      <c r="B922" s="178"/>
      <c r="C922" s="178"/>
      <c r="D922" s="178"/>
      <c r="E922" s="178"/>
      <c r="F922" s="178"/>
      <c r="G922" s="178"/>
      <c r="H922" s="178"/>
      <c r="I922" s="178"/>
      <c r="J922" s="178"/>
      <c r="K922" s="178"/>
      <c r="L922" s="178"/>
      <c r="M922" s="178"/>
      <c r="N922" s="178"/>
      <c r="O922" s="178"/>
      <c r="P922" s="178"/>
      <c r="Q922" s="178"/>
      <c r="R922" s="178"/>
      <c r="S922" s="178"/>
      <c r="T922" s="178"/>
      <c r="U922" s="178"/>
      <c r="V922" s="178"/>
      <c r="W922" s="178"/>
      <c r="X922" s="178"/>
      <c r="Y922" s="178"/>
      <c r="Z922" s="178"/>
      <c r="AA922" s="178"/>
      <c r="AB922" s="178"/>
      <c r="AC922" s="178"/>
      <c r="AD922" s="178"/>
      <c r="AE922" s="178"/>
      <c r="AF922" s="178"/>
      <c r="AG922" s="178"/>
      <c r="AH922" s="178"/>
      <c r="AI922" s="178"/>
      <c r="AJ922" s="178"/>
      <c r="AK922" s="178"/>
      <c r="AL922" s="178"/>
      <c r="AM922" s="178"/>
      <c r="AN922" s="178"/>
      <c r="AO922" s="178"/>
      <c r="AP922" s="178"/>
      <c r="AQ922" s="178"/>
      <c r="AR922" s="178"/>
      <c r="AS922" s="178"/>
      <c r="AT922" s="178"/>
      <c r="AU922" s="178"/>
      <c r="AV922" s="178"/>
      <c r="AW922" s="178"/>
      <c r="AX922" s="178"/>
      <c r="AY922" s="517"/>
      <c r="AZ922" s="131"/>
    </row>
    <row r="923" spans="1:52" ht="15.75" customHeight="1">
      <c r="A923" s="131"/>
      <c r="B923" s="178"/>
      <c r="C923" s="178"/>
      <c r="D923" s="178"/>
      <c r="E923" s="178"/>
      <c r="F923" s="178"/>
      <c r="G923" s="178"/>
      <c r="H923" s="178"/>
      <c r="I923" s="178"/>
      <c r="J923" s="178"/>
      <c r="K923" s="178"/>
      <c r="L923" s="178"/>
      <c r="M923" s="178"/>
      <c r="N923" s="178"/>
      <c r="O923" s="178"/>
      <c r="P923" s="178"/>
      <c r="Q923" s="178"/>
      <c r="R923" s="178"/>
      <c r="S923" s="178"/>
      <c r="T923" s="178"/>
      <c r="U923" s="178"/>
      <c r="V923" s="178"/>
      <c r="W923" s="178"/>
      <c r="X923" s="178"/>
      <c r="Y923" s="178"/>
      <c r="Z923" s="178"/>
      <c r="AA923" s="178"/>
      <c r="AB923" s="178"/>
      <c r="AC923" s="178"/>
      <c r="AD923" s="178"/>
      <c r="AE923" s="178"/>
      <c r="AF923" s="178"/>
      <c r="AG923" s="178"/>
      <c r="AH923" s="178"/>
      <c r="AI923" s="178"/>
      <c r="AJ923" s="178"/>
      <c r="AK923" s="178"/>
      <c r="AL923" s="178"/>
      <c r="AM923" s="178"/>
      <c r="AN923" s="178"/>
      <c r="AO923" s="178"/>
      <c r="AP923" s="178"/>
      <c r="AQ923" s="178"/>
      <c r="AR923" s="178"/>
      <c r="AS923" s="178"/>
      <c r="AT923" s="178"/>
      <c r="AU923" s="178"/>
      <c r="AV923" s="178"/>
      <c r="AW923" s="178"/>
      <c r="AX923" s="178"/>
      <c r="AY923" s="517"/>
      <c r="AZ923" s="131"/>
    </row>
    <row r="924" spans="1:52" ht="15.75" customHeight="1">
      <c r="A924" s="131"/>
      <c r="B924" s="178"/>
      <c r="C924" s="178"/>
      <c r="D924" s="178"/>
      <c r="E924" s="178"/>
      <c r="F924" s="178"/>
      <c r="G924" s="178"/>
      <c r="H924" s="178"/>
      <c r="I924" s="178"/>
      <c r="J924" s="178"/>
      <c r="K924" s="178"/>
      <c r="L924" s="178"/>
      <c r="M924" s="178"/>
      <c r="N924" s="178"/>
      <c r="O924" s="178"/>
      <c r="P924" s="178"/>
      <c r="Q924" s="178"/>
      <c r="R924" s="178"/>
      <c r="S924" s="178"/>
      <c r="T924" s="178"/>
      <c r="U924" s="178"/>
      <c r="V924" s="178"/>
      <c r="W924" s="178"/>
      <c r="X924" s="178"/>
      <c r="Y924" s="178"/>
      <c r="Z924" s="178"/>
      <c r="AA924" s="178"/>
      <c r="AB924" s="178"/>
      <c r="AC924" s="178"/>
      <c r="AD924" s="178"/>
      <c r="AE924" s="178"/>
      <c r="AF924" s="178"/>
      <c r="AG924" s="178"/>
      <c r="AH924" s="178"/>
      <c r="AI924" s="178"/>
      <c r="AJ924" s="178"/>
      <c r="AK924" s="178"/>
      <c r="AL924" s="178"/>
      <c r="AM924" s="178"/>
      <c r="AN924" s="178"/>
      <c r="AO924" s="178"/>
      <c r="AP924" s="178"/>
      <c r="AQ924" s="178"/>
      <c r="AR924" s="178"/>
      <c r="AS924" s="178"/>
      <c r="AT924" s="178"/>
      <c r="AU924" s="178"/>
      <c r="AV924" s="178"/>
      <c r="AW924" s="178"/>
      <c r="AX924" s="178"/>
      <c r="AY924" s="517"/>
      <c r="AZ924" s="131"/>
    </row>
    <row r="925" spans="1:52" ht="15.75" customHeight="1">
      <c r="A925" s="131"/>
      <c r="B925" s="178"/>
      <c r="C925" s="178"/>
      <c r="D925" s="178"/>
      <c r="E925" s="178"/>
      <c r="F925" s="178"/>
      <c r="G925" s="178"/>
      <c r="H925" s="178"/>
      <c r="I925" s="178"/>
      <c r="J925" s="178"/>
      <c r="K925" s="178"/>
      <c r="L925" s="178"/>
      <c r="M925" s="178"/>
      <c r="N925" s="178"/>
      <c r="O925" s="178"/>
      <c r="P925" s="178"/>
      <c r="Q925" s="178"/>
      <c r="R925" s="178"/>
      <c r="S925" s="178"/>
      <c r="T925" s="178"/>
      <c r="U925" s="178"/>
      <c r="V925" s="178"/>
      <c r="W925" s="178"/>
      <c r="X925" s="178"/>
      <c r="Y925" s="178"/>
      <c r="Z925" s="178"/>
      <c r="AA925" s="178"/>
      <c r="AB925" s="178"/>
      <c r="AC925" s="178"/>
      <c r="AD925" s="178"/>
      <c r="AE925" s="178"/>
      <c r="AF925" s="178"/>
      <c r="AG925" s="178"/>
      <c r="AH925" s="178"/>
      <c r="AI925" s="178"/>
      <c r="AJ925" s="178"/>
      <c r="AK925" s="178"/>
      <c r="AL925" s="178"/>
      <c r="AM925" s="178"/>
      <c r="AN925" s="178"/>
      <c r="AO925" s="178"/>
      <c r="AP925" s="178"/>
      <c r="AQ925" s="178"/>
      <c r="AR925" s="178"/>
      <c r="AS925" s="178"/>
      <c r="AT925" s="178"/>
      <c r="AU925" s="178"/>
      <c r="AV925" s="178"/>
      <c r="AW925" s="178"/>
      <c r="AX925" s="178"/>
      <c r="AY925" s="517"/>
      <c r="AZ925" s="131"/>
    </row>
    <row r="926" spans="1:52" ht="15.75" customHeight="1">
      <c r="A926" s="131"/>
      <c r="B926" s="178"/>
      <c r="C926" s="178"/>
      <c r="D926" s="178"/>
      <c r="E926" s="178"/>
      <c r="F926" s="178"/>
      <c r="G926" s="178"/>
      <c r="H926" s="178"/>
      <c r="I926" s="178"/>
      <c r="J926" s="178"/>
      <c r="K926" s="178"/>
      <c r="L926" s="178"/>
      <c r="M926" s="178"/>
      <c r="N926" s="178"/>
      <c r="O926" s="178"/>
      <c r="P926" s="178"/>
      <c r="Q926" s="178"/>
      <c r="R926" s="178"/>
      <c r="S926" s="178"/>
      <c r="T926" s="178"/>
      <c r="U926" s="178"/>
      <c r="V926" s="178"/>
      <c r="W926" s="178"/>
      <c r="X926" s="178"/>
      <c r="Y926" s="178"/>
      <c r="Z926" s="178"/>
      <c r="AA926" s="178"/>
      <c r="AB926" s="178"/>
      <c r="AC926" s="178"/>
      <c r="AD926" s="178"/>
      <c r="AE926" s="178"/>
      <c r="AF926" s="178"/>
      <c r="AG926" s="178"/>
      <c r="AH926" s="178"/>
      <c r="AI926" s="178"/>
      <c r="AJ926" s="178"/>
      <c r="AK926" s="178"/>
      <c r="AL926" s="178"/>
      <c r="AM926" s="178"/>
      <c r="AN926" s="178"/>
      <c r="AO926" s="178"/>
      <c r="AP926" s="178"/>
      <c r="AQ926" s="178"/>
      <c r="AR926" s="178"/>
      <c r="AS926" s="178"/>
      <c r="AT926" s="178"/>
      <c r="AU926" s="178"/>
      <c r="AV926" s="178"/>
      <c r="AW926" s="178"/>
      <c r="AX926" s="178"/>
      <c r="AY926" s="517"/>
      <c r="AZ926" s="131"/>
    </row>
    <row r="927" spans="1:52" ht="15.75" customHeight="1">
      <c r="A927" s="131"/>
      <c r="B927" s="178"/>
      <c r="C927" s="178"/>
      <c r="D927" s="178"/>
      <c r="E927" s="178"/>
      <c r="F927" s="178"/>
      <c r="G927" s="178"/>
      <c r="H927" s="178"/>
      <c r="I927" s="178"/>
      <c r="J927" s="178"/>
      <c r="K927" s="178"/>
      <c r="L927" s="178"/>
      <c r="M927" s="178"/>
      <c r="N927" s="178"/>
      <c r="O927" s="178"/>
      <c r="P927" s="178"/>
      <c r="Q927" s="178"/>
      <c r="R927" s="178"/>
      <c r="S927" s="178"/>
      <c r="T927" s="178"/>
      <c r="U927" s="178"/>
      <c r="V927" s="178"/>
      <c r="W927" s="178"/>
      <c r="X927" s="178"/>
      <c r="Y927" s="178"/>
      <c r="Z927" s="178"/>
      <c r="AA927" s="178"/>
      <c r="AB927" s="178"/>
      <c r="AC927" s="178"/>
      <c r="AD927" s="178"/>
      <c r="AE927" s="178"/>
      <c r="AF927" s="178"/>
      <c r="AG927" s="178"/>
      <c r="AH927" s="178"/>
      <c r="AI927" s="178"/>
      <c r="AJ927" s="178"/>
      <c r="AK927" s="178"/>
      <c r="AL927" s="178"/>
      <c r="AM927" s="178"/>
      <c r="AN927" s="178"/>
      <c r="AO927" s="178"/>
      <c r="AP927" s="178"/>
      <c r="AQ927" s="178"/>
      <c r="AR927" s="178"/>
      <c r="AS927" s="178"/>
      <c r="AT927" s="178"/>
      <c r="AU927" s="178"/>
      <c r="AV927" s="178"/>
      <c r="AW927" s="178"/>
      <c r="AX927" s="178"/>
      <c r="AY927" s="517"/>
      <c r="AZ927" s="131"/>
    </row>
    <row r="928" spans="1:52" ht="15.75" customHeight="1">
      <c r="A928" s="131"/>
      <c r="B928" s="178"/>
      <c r="C928" s="178"/>
      <c r="D928" s="178"/>
      <c r="E928" s="178"/>
      <c r="F928" s="178"/>
      <c r="G928" s="178"/>
      <c r="H928" s="178"/>
      <c r="I928" s="178"/>
      <c r="J928" s="178"/>
      <c r="K928" s="178"/>
      <c r="L928" s="178"/>
      <c r="M928" s="178"/>
      <c r="N928" s="178"/>
      <c r="O928" s="178"/>
      <c r="P928" s="178"/>
      <c r="Q928" s="178"/>
      <c r="R928" s="178"/>
      <c r="S928" s="178"/>
      <c r="T928" s="178"/>
      <c r="U928" s="178"/>
      <c r="V928" s="178"/>
      <c r="W928" s="178"/>
      <c r="X928" s="178"/>
      <c r="Y928" s="178"/>
      <c r="Z928" s="178"/>
      <c r="AA928" s="178"/>
      <c r="AB928" s="178"/>
      <c r="AC928" s="178"/>
      <c r="AD928" s="178"/>
      <c r="AE928" s="178"/>
      <c r="AF928" s="178"/>
      <c r="AG928" s="178"/>
      <c r="AH928" s="178"/>
      <c r="AI928" s="178"/>
      <c r="AJ928" s="178"/>
      <c r="AK928" s="178"/>
      <c r="AL928" s="178"/>
      <c r="AM928" s="178"/>
      <c r="AN928" s="178"/>
      <c r="AO928" s="178"/>
      <c r="AP928" s="178"/>
      <c r="AQ928" s="178"/>
      <c r="AR928" s="178"/>
      <c r="AS928" s="178"/>
      <c r="AT928" s="178"/>
      <c r="AU928" s="178"/>
      <c r="AV928" s="178"/>
      <c r="AW928" s="178"/>
      <c r="AX928" s="178"/>
      <c r="AY928" s="517"/>
      <c r="AZ928" s="131"/>
    </row>
    <row r="929" spans="1:52" ht="15.75" customHeight="1">
      <c r="A929" s="131"/>
      <c r="B929" s="178"/>
      <c r="C929" s="178"/>
      <c r="D929" s="178"/>
      <c r="E929" s="178"/>
      <c r="F929" s="178"/>
      <c r="G929" s="178"/>
      <c r="H929" s="178"/>
      <c r="I929" s="178"/>
      <c r="J929" s="178"/>
      <c r="K929" s="178"/>
      <c r="L929" s="178"/>
      <c r="M929" s="178"/>
      <c r="N929" s="178"/>
      <c r="O929" s="178"/>
      <c r="P929" s="178"/>
      <c r="Q929" s="178"/>
      <c r="R929" s="178"/>
      <c r="S929" s="178"/>
      <c r="T929" s="178"/>
      <c r="U929" s="178"/>
      <c r="V929" s="178"/>
      <c r="W929" s="178"/>
      <c r="X929" s="178"/>
      <c r="Y929" s="178"/>
      <c r="Z929" s="178"/>
      <c r="AA929" s="178"/>
      <c r="AB929" s="178"/>
      <c r="AC929" s="178"/>
      <c r="AD929" s="178"/>
      <c r="AE929" s="178"/>
      <c r="AF929" s="178"/>
      <c r="AG929" s="178"/>
      <c r="AH929" s="178"/>
      <c r="AI929" s="178"/>
      <c r="AJ929" s="178"/>
      <c r="AK929" s="178"/>
      <c r="AL929" s="178"/>
      <c r="AM929" s="178"/>
      <c r="AN929" s="178"/>
      <c r="AO929" s="178"/>
      <c r="AP929" s="178"/>
      <c r="AQ929" s="178"/>
      <c r="AR929" s="178"/>
      <c r="AS929" s="178"/>
      <c r="AT929" s="178"/>
      <c r="AU929" s="178"/>
      <c r="AV929" s="178"/>
      <c r="AW929" s="178"/>
      <c r="AX929" s="178"/>
      <c r="AY929" s="517"/>
      <c r="AZ929" s="131"/>
    </row>
    <row r="930" spans="1:52" ht="15.75" customHeight="1">
      <c r="A930" s="131"/>
      <c r="B930" s="178"/>
      <c r="C930" s="178"/>
      <c r="D930" s="178"/>
      <c r="E930" s="178"/>
      <c r="F930" s="178"/>
      <c r="G930" s="178"/>
      <c r="H930" s="178"/>
      <c r="I930" s="178"/>
      <c r="J930" s="178"/>
      <c r="K930" s="178"/>
      <c r="L930" s="178"/>
      <c r="M930" s="178"/>
      <c r="N930" s="178"/>
      <c r="O930" s="178"/>
      <c r="P930" s="178"/>
      <c r="Q930" s="178"/>
      <c r="R930" s="178"/>
      <c r="S930" s="178"/>
      <c r="T930" s="178"/>
      <c r="U930" s="178"/>
      <c r="V930" s="178"/>
      <c r="W930" s="178"/>
      <c r="X930" s="178"/>
      <c r="Y930" s="178"/>
      <c r="Z930" s="178"/>
      <c r="AA930" s="178"/>
      <c r="AB930" s="178"/>
      <c r="AC930" s="178"/>
      <c r="AD930" s="178"/>
      <c r="AE930" s="178"/>
      <c r="AF930" s="178"/>
      <c r="AG930" s="178"/>
      <c r="AH930" s="178"/>
      <c r="AI930" s="178"/>
      <c r="AJ930" s="178"/>
      <c r="AK930" s="178"/>
      <c r="AL930" s="178"/>
      <c r="AM930" s="178"/>
      <c r="AN930" s="178"/>
      <c r="AO930" s="178"/>
      <c r="AP930" s="178"/>
      <c r="AQ930" s="178"/>
      <c r="AR930" s="178"/>
      <c r="AS930" s="178"/>
      <c r="AT930" s="178"/>
      <c r="AU930" s="178"/>
      <c r="AV930" s="178"/>
      <c r="AW930" s="178"/>
      <c r="AX930" s="178"/>
      <c r="AY930" s="517"/>
      <c r="AZ930" s="131"/>
    </row>
    <row r="931" spans="1:52" ht="15.75" customHeight="1">
      <c r="A931" s="131"/>
      <c r="B931" s="178"/>
      <c r="C931" s="178"/>
      <c r="D931" s="178"/>
      <c r="E931" s="178"/>
      <c r="F931" s="178"/>
      <c r="G931" s="178"/>
      <c r="H931" s="178"/>
      <c r="I931" s="178"/>
      <c r="J931" s="178"/>
      <c r="K931" s="178"/>
      <c r="L931" s="178"/>
      <c r="M931" s="178"/>
      <c r="N931" s="178"/>
      <c r="O931" s="178"/>
      <c r="P931" s="178"/>
      <c r="Q931" s="178"/>
      <c r="R931" s="178"/>
      <c r="S931" s="178"/>
      <c r="T931" s="178"/>
      <c r="U931" s="178"/>
      <c r="V931" s="178"/>
      <c r="W931" s="178"/>
      <c r="X931" s="178"/>
      <c r="Y931" s="178"/>
      <c r="Z931" s="178"/>
      <c r="AA931" s="178"/>
      <c r="AB931" s="178"/>
      <c r="AC931" s="178"/>
      <c r="AD931" s="178"/>
      <c r="AE931" s="178"/>
      <c r="AF931" s="178"/>
      <c r="AG931" s="178"/>
      <c r="AH931" s="178"/>
      <c r="AI931" s="178"/>
      <c r="AJ931" s="178"/>
      <c r="AK931" s="178"/>
      <c r="AL931" s="178"/>
      <c r="AM931" s="178"/>
      <c r="AN931" s="178"/>
      <c r="AO931" s="178"/>
      <c r="AP931" s="178"/>
      <c r="AQ931" s="178"/>
      <c r="AR931" s="178"/>
      <c r="AS931" s="178"/>
      <c r="AT931" s="178"/>
      <c r="AU931" s="178"/>
      <c r="AV931" s="178"/>
      <c r="AW931" s="178"/>
      <c r="AX931" s="178"/>
      <c r="AY931" s="517"/>
      <c r="AZ931" s="131"/>
    </row>
    <row r="932" spans="1:52" ht="15.75" customHeight="1">
      <c r="A932" s="131"/>
      <c r="B932" s="178"/>
      <c r="C932" s="178"/>
      <c r="D932" s="178"/>
      <c r="E932" s="178"/>
      <c r="F932" s="178"/>
      <c r="G932" s="178"/>
      <c r="H932" s="178"/>
      <c r="I932" s="178"/>
      <c r="J932" s="178"/>
      <c r="K932" s="178"/>
      <c r="L932" s="178"/>
      <c r="M932" s="178"/>
      <c r="N932" s="178"/>
      <c r="O932" s="178"/>
      <c r="P932" s="178"/>
      <c r="Q932" s="178"/>
      <c r="R932" s="178"/>
      <c r="S932" s="178"/>
      <c r="T932" s="178"/>
      <c r="U932" s="178"/>
      <c r="V932" s="178"/>
      <c r="W932" s="178"/>
      <c r="X932" s="178"/>
      <c r="Y932" s="178"/>
      <c r="Z932" s="178"/>
      <c r="AA932" s="178"/>
      <c r="AB932" s="178"/>
      <c r="AC932" s="178"/>
      <c r="AD932" s="178"/>
      <c r="AE932" s="178"/>
      <c r="AF932" s="178"/>
      <c r="AG932" s="178"/>
      <c r="AH932" s="178"/>
      <c r="AI932" s="178"/>
      <c r="AJ932" s="178"/>
      <c r="AK932" s="178"/>
      <c r="AL932" s="178"/>
      <c r="AM932" s="178"/>
      <c r="AN932" s="178"/>
      <c r="AO932" s="178"/>
      <c r="AP932" s="178"/>
      <c r="AQ932" s="178"/>
      <c r="AR932" s="178"/>
      <c r="AS932" s="178"/>
      <c r="AT932" s="178"/>
      <c r="AU932" s="178"/>
      <c r="AV932" s="178"/>
      <c r="AW932" s="178"/>
      <c r="AX932" s="178"/>
      <c r="AY932" s="517"/>
      <c r="AZ932" s="131"/>
    </row>
    <row r="933" spans="1:52" ht="15.75" customHeight="1">
      <c r="A933" s="131"/>
      <c r="B933" s="178"/>
      <c r="C933" s="178"/>
      <c r="D933" s="178"/>
      <c r="E933" s="178"/>
      <c r="F933" s="178"/>
      <c r="G933" s="178"/>
      <c r="H933" s="178"/>
      <c r="I933" s="178"/>
      <c r="J933" s="178"/>
      <c r="K933" s="178"/>
      <c r="L933" s="178"/>
      <c r="M933" s="178"/>
      <c r="N933" s="178"/>
      <c r="O933" s="178"/>
      <c r="P933" s="178"/>
      <c r="Q933" s="178"/>
      <c r="R933" s="178"/>
      <c r="S933" s="178"/>
      <c r="T933" s="178"/>
      <c r="U933" s="178"/>
      <c r="V933" s="178"/>
      <c r="W933" s="178"/>
      <c r="X933" s="178"/>
      <c r="Y933" s="178"/>
      <c r="Z933" s="178"/>
      <c r="AA933" s="178"/>
      <c r="AB933" s="178"/>
      <c r="AC933" s="178"/>
      <c r="AD933" s="178"/>
      <c r="AE933" s="178"/>
      <c r="AF933" s="178"/>
      <c r="AG933" s="178"/>
      <c r="AH933" s="178"/>
      <c r="AI933" s="178"/>
      <c r="AJ933" s="178"/>
      <c r="AK933" s="178"/>
      <c r="AL933" s="178"/>
      <c r="AM933" s="178"/>
      <c r="AN933" s="178"/>
      <c r="AO933" s="178"/>
      <c r="AP933" s="178"/>
      <c r="AQ933" s="178"/>
      <c r="AR933" s="178"/>
      <c r="AS933" s="178"/>
      <c r="AT933" s="178"/>
      <c r="AU933" s="178"/>
      <c r="AV933" s="178"/>
      <c r="AW933" s="178"/>
      <c r="AX933" s="178"/>
      <c r="AY933" s="517"/>
      <c r="AZ933" s="131"/>
    </row>
    <row r="934" spans="1:52" ht="15.75" customHeight="1">
      <c r="A934" s="131"/>
      <c r="B934" s="178"/>
      <c r="C934" s="178"/>
      <c r="D934" s="178"/>
      <c r="E934" s="178"/>
      <c r="F934" s="178"/>
      <c r="G934" s="178"/>
      <c r="H934" s="178"/>
      <c r="I934" s="178"/>
      <c r="J934" s="178"/>
      <c r="K934" s="178"/>
      <c r="L934" s="178"/>
      <c r="M934" s="178"/>
      <c r="N934" s="178"/>
      <c r="O934" s="178"/>
      <c r="P934" s="178"/>
      <c r="Q934" s="178"/>
      <c r="R934" s="178"/>
      <c r="S934" s="178"/>
      <c r="T934" s="178"/>
      <c r="U934" s="178"/>
      <c r="V934" s="178"/>
      <c r="W934" s="178"/>
      <c r="X934" s="178"/>
      <c r="Y934" s="178"/>
      <c r="Z934" s="178"/>
      <c r="AA934" s="178"/>
      <c r="AB934" s="178"/>
      <c r="AC934" s="178"/>
      <c r="AD934" s="178"/>
      <c r="AE934" s="178"/>
      <c r="AF934" s="178"/>
      <c r="AG934" s="178"/>
      <c r="AH934" s="178"/>
      <c r="AI934" s="178"/>
      <c r="AJ934" s="178"/>
      <c r="AK934" s="178"/>
      <c r="AL934" s="178"/>
      <c r="AM934" s="178"/>
      <c r="AN934" s="178"/>
      <c r="AO934" s="178"/>
      <c r="AP934" s="178"/>
      <c r="AQ934" s="178"/>
      <c r="AR934" s="178"/>
      <c r="AS934" s="178"/>
      <c r="AT934" s="178"/>
      <c r="AU934" s="178"/>
      <c r="AV934" s="178"/>
      <c r="AW934" s="178"/>
      <c r="AX934" s="178"/>
      <c r="AY934" s="517"/>
      <c r="AZ934" s="131"/>
    </row>
    <row r="935" spans="1:52" ht="15.75" customHeight="1">
      <c r="A935" s="131"/>
      <c r="B935" s="178"/>
      <c r="C935" s="178"/>
      <c r="D935" s="178"/>
      <c r="E935" s="178"/>
      <c r="F935" s="178"/>
      <c r="G935" s="178"/>
      <c r="H935" s="178"/>
      <c r="I935" s="178"/>
      <c r="J935" s="178"/>
      <c r="K935" s="178"/>
      <c r="L935" s="178"/>
      <c r="M935" s="178"/>
      <c r="N935" s="178"/>
      <c r="O935" s="178"/>
      <c r="P935" s="178"/>
      <c r="Q935" s="178"/>
      <c r="R935" s="178"/>
      <c r="S935" s="178"/>
      <c r="T935" s="178"/>
      <c r="U935" s="178"/>
      <c r="V935" s="178"/>
      <c r="W935" s="178"/>
      <c r="X935" s="178"/>
      <c r="Y935" s="178"/>
      <c r="Z935" s="178"/>
      <c r="AA935" s="178"/>
      <c r="AB935" s="178"/>
      <c r="AC935" s="178"/>
      <c r="AD935" s="178"/>
      <c r="AE935" s="178"/>
      <c r="AF935" s="178"/>
      <c r="AG935" s="178"/>
      <c r="AH935" s="178"/>
      <c r="AI935" s="178"/>
      <c r="AJ935" s="178"/>
      <c r="AK935" s="178"/>
      <c r="AL935" s="178"/>
      <c r="AM935" s="178"/>
      <c r="AN935" s="178"/>
      <c r="AO935" s="178"/>
      <c r="AP935" s="178"/>
      <c r="AQ935" s="178"/>
      <c r="AR935" s="178"/>
      <c r="AS935" s="178"/>
      <c r="AT935" s="178"/>
      <c r="AU935" s="178"/>
      <c r="AV935" s="178"/>
      <c r="AW935" s="178"/>
      <c r="AX935" s="178"/>
      <c r="AY935" s="517"/>
      <c r="AZ935" s="131"/>
    </row>
    <row r="936" spans="1:52" ht="15.75" customHeight="1">
      <c r="A936" s="131"/>
      <c r="B936" s="178"/>
      <c r="C936" s="178"/>
      <c r="D936" s="178"/>
      <c r="E936" s="178"/>
      <c r="F936" s="178"/>
      <c r="G936" s="178"/>
      <c r="H936" s="178"/>
      <c r="I936" s="178"/>
      <c r="J936" s="178"/>
      <c r="K936" s="178"/>
      <c r="L936" s="178"/>
      <c r="M936" s="178"/>
      <c r="N936" s="178"/>
      <c r="O936" s="178"/>
      <c r="P936" s="178"/>
      <c r="Q936" s="178"/>
      <c r="R936" s="178"/>
      <c r="S936" s="178"/>
      <c r="T936" s="178"/>
      <c r="U936" s="178"/>
      <c r="V936" s="178"/>
      <c r="W936" s="178"/>
      <c r="X936" s="178"/>
      <c r="Y936" s="178"/>
      <c r="Z936" s="178"/>
      <c r="AA936" s="178"/>
      <c r="AB936" s="178"/>
      <c r="AC936" s="178"/>
      <c r="AD936" s="178"/>
      <c r="AE936" s="178"/>
      <c r="AF936" s="178"/>
      <c r="AG936" s="178"/>
      <c r="AH936" s="178"/>
      <c r="AI936" s="178"/>
      <c r="AJ936" s="178"/>
      <c r="AK936" s="178"/>
      <c r="AL936" s="178"/>
      <c r="AM936" s="178"/>
      <c r="AN936" s="178"/>
      <c r="AO936" s="178"/>
      <c r="AP936" s="178"/>
      <c r="AQ936" s="178"/>
      <c r="AR936" s="178"/>
      <c r="AS936" s="178"/>
      <c r="AT936" s="178"/>
      <c r="AU936" s="178"/>
      <c r="AV936" s="178"/>
      <c r="AW936" s="178"/>
      <c r="AX936" s="178"/>
      <c r="AY936" s="517"/>
      <c r="AZ936" s="131"/>
    </row>
    <row r="937" spans="1:52" ht="15.75" customHeight="1">
      <c r="A937" s="131"/>
      <c r="B937" s="178"/>
      <c r="C937" s="178"/>
      <c r="D937" s="178"/>
      <c r="E937" s="178"/>
      <c r="F937" s="178"/>
      <c r="G937" s="178"/>
      <c r="H937" s="178"/>
      <c r="I937" s="178"/>
      <c r="J937" s="178"/>
      <c r="K937" s="178"/>
      <c r="L937" s="178"/>
      <c r="M937" s="178"/>
      <c r="N937" s="178"/>
      <c r="O937" s="178"/>
      <c r="P937" s="178"/>
      <c r="Q937" s="178"/>
      <c r="R937" s="178"/>
      <c r="S937" s="178"/>
      <c r="T937" s="178"/>
      <c r="U937" s="178"/>
      <c r="V937" s="178"/>
      <c r="W937" s="178"/>
      <c r="X937" s="178"/>
      <c r="Y937" s="178"/>
      <c r="Z937" s="178"/>
      <c r="AA937" s="178"/>
      <c r="AB937" s="178"/>
      <c r="AC937" s="178"/>
      <c r="AD937" s="178"/>
      <c r="AE937" s="178"/>
      <c r="AF937" s="178"/>
      <c r="AG937" s="178"/>
      <c r="AH937" s="178"/>
      <c r="AI937" s="178"/>
      <c r="AJ937" s="178"/>
      <c r="AK937" s="178"/>
      <c r="AL937" s="178"/>
      <c r="AM937" s="178"/>
      <c r="AN937" s="178"/>
      <c r="AO937" s="178"/>
      <c r="AP937" s="178"/>
      <c r="AQ937" s="178"/>
      <c r="AR937" s="178"/>
      <c r="AS937" s="178"/>
      <c r="AT937" s="178"/>
      <c r="AU937" s="178"/>
      <c r="AV937" s="178"/>
      <c r="AW937" s="178"/>
      <c r="AX937" s="178"/>
      <c r="AY937" s="517"/>
      <c r="AZ937" s="131"/>
    </row>
    <row r="938" spans="1:52" ht="15.75" customHeight="1">
      <c r="A938" s="131"/>
      <c r="B938" s="178"/>
      <c r="C938" s="178"/>
      <c r="D938" s="178"/>
      <c r="E938" s="178"/>
      <c r="F938" s="178"/>
      <c r="G938" s="178"/>
      <c r="H938" s="178"/>
      <c r="I938" s="178"/>
      <c r="J938" s="178"/>
      <c r="K938" s="178"/>
      <c r="L938" s="178"/>
      <c r="M938" s="178"/>
      <c r="N938" s="178"/>
      <c r="O938" s="178"/>
      <c r="P938" s="178"/>
      <c r="Q938" s="178"/>
      <c r="R938" s="178"/>
      <c r="S938" s="178"/>
      <c r="T938" s="178"/>
      <c r="U938" s="178"/>
      <c r="V938" s="178"/>
      <c r="W938" s="178"/>
      <c r="X938" s="178"/>
      <c r="Y938" s="178"/>
      <c r="Z938" s="178"/>
      <c r="AA938" s="178"/>
      <c r="AB938" s="178"/>
      <c r="AC938" s="178"/>
      <c r="AD938" s="178"/>
      <c r="AE938" s="178"/>
      <c r="AF938" s="178"/>
      <c r="AG938" s="178"/>
      <c r="AH938" s="178"/>
      <c r="AI938" s="178"/>
      <c r="AJ938" s="178"/>
      <c r="AK938" s="178"/>
      <c r="AL938" s="178"/>
      <c r="AM938" s="178"/>
      <c r="AN938" s="178"/>
      <c r="AO938" s="178"/>
      <c r="AP938" s="178"/>
      <c r="AQ938" s="178"/>
      <c r="AR938" s="178"/>
      <c r="AS938" s="178"/>
      <c r="AT938" s="178"/>
      <c r="AU938" s="178"/>
      <c r="AV938" s="178"/>
      <c r="AW938" s="178"/>
      <c r="AX938" s="178"/>
      <c r="AY938" s="517"/>
      <c r="AZ938" s="131"/>
    </row>
    <row r="939" spans="1:52" ht="15.75" customHeight="1">
      <c r="A939" s="131"/>
      <c r="B939" s="178"/>
      <c r="C939" s="178"/>
      <c r="D939" s="178"/>
      <c r="E939" s="178"/>
      <c r="F939" s="178"/>
      <c r="G939" s="178"/>
      <c r="H939" s="178"/>
      <c r="I939" s="178"/>
      <c r="J939" s="178"/>
      <c r="K939" s="178"/>
      <c r="L939" s="178"/>
      <c r="M939" s="178"/>
      <c r="N939" s="178"/>
      <c r="O939" s="178"/>
      <c r="P939" s="178"/>
      <c r="Q939" s="178"/>
      <c r="R939" s="178"/>
      <c r="S939" s="178"/>
      <c r="T939" s="178"/>
      <c r="U939" s="178"/>
      <c r="V939" s="178"/>
      <c r="W939" s="178"/>
      <c r="X939" s="178"/>
      <c r="Y939" s="178"/>
      <c r="Z939" s="178"/>
      <c r="AA939" s="178"/>
      <c r="AB939" s="178"/>
      <c r="AC939" s="178"/>
      <c r="AD939" s="178"/>
      <c r="AE939" s="178"/>
      <c r="AF939" s="178"/>
      <c r="AG939" s="178"/>
      <c r="AH939" s="178"/>
      <c r="AI939" s="178"/>
      <c r="AJ939" s="178"/>
      <c r="AK939" s="178"/>
      <c r="AL939" s="178"/>
      <c r="AM939" s="178"/>
      <c r="AN939" s="178"/>
      <c r="AO939" s="178"/>
      <c r="AP939" s="178"/>
      <c r="AQ939" s="178"/>
      <c r="AR939" s="178"/>
      <c r="AS939" s="178"/>
      <c r="AT939" s="178"/>
      <c r="AU939" s="178"/>
      <c r="AV939" s="178"/>
      <c r="AW939" s="178"/>
      <c r="AX939" s="178"/>
      <c r="AY939" s="517"/>
      <c r="AZ939" s="131"/>
    </row>
    <row r="940" spans="1:52" ht="15.75" customHeight="1">
      <c r="A940" s="131"/>
      <c r="B940" s="178"/>
      <c r="C940" s="178"/>
      <c r="D940" s="178"/>
      <c r="E940" s="178"/>
      <c r="F940" s="178"/>
      <c r="G940" s="178"/>
      <c r="H940" s="178"/>
      <c r="I940" s="178"/>
      <c r="J940" s="178"/>
      <c r="K940" s="178"/>
      <c r="L940" s="178"/>
      <c r="M940" s="178"/>
      <c r="N940" s="178"/>
      <c r="O940" s="178"/>
      <c r="P940" s="178"/>
      <c r="Q940" s="178"/>
      <c r="R940" s="178"/>
      <c r="S940" s="178"/>
      <c r="T940" s="178"/>
      <c r="U940" s="178"/>
      <c r="V940" s="178"/>
      <c r="W940" s="178"/>
      <c r="X940" s="178"/>
      <c r="Y940" s="178"/>
      <c r="Z940" s="178"/>
      <c r="AA940" s="178"/>
      <c r="AB940" s="178"/>
      <c r="AC940" s="178"/>
      <c r="AD940" s="178"/>
      <c r="AE940" s="178"/>
      <c r="AF940" s="178"/>
      <c r="AG940" s="178"/>
      <c r="AH940" s="178"/>
      <c r="AI940" s="178"/>
      <c r="AJ940" s="178"/>
      <c r="AK940" s="178"/>
      <c r="AL940" s="178"/>
      <c r="AM940" s="178"/>
      <c r="AN940" s="178"/>
      <c r="AO940" s="178"/>
      <c r="AP940" s="178"/>
      <c r="AQ940" s="178"/>
      <c r="AR940" s="178"/>
      <c r="AS940" s="178"/>
      <c r="AT940" s="178"/>
      <c r="AU940" s="178"/>
      <c r="AV940" s="178"/>
      <c r="AW940" s="178"/>
      <c r="AX940" s="178"/>
      <c r="AY940" s="517"/>
      <c r="AZ940" s="131"/>
    </row>
    <row r="941" spans="1:52" ht="15.75" customHeight="1">
      <c r="A941" s="131"/>
      <c r="B941" s="178"/>
      <c r="C941" s="178"/>
      <c r="D941" s="178"/>
      <c r="E941" s="178"/>
      <c r="F941" s="178"/>
      <c r="G941" s="178"/>
      <c r="H941" s="178"/>
      <c r="I941" s="178"/>
      <c r="J941" s="178"/>
      <c r="K941" s="178"/>
      <c r="L941" s="178"/>
      <c r="M941" s="178"/>
      <c r="N941" s="178"/>
      <c r="O941" s="178"/>
      <c r="P941" s="178"/>
      <c r="Q941" s="178"/>
      <c r="R941" s="178"/>
      <c r="S941" s="178"/>
      <c r="T941" s="178"/>
      <c r="U941" s="178"/>
      <c r="V941" s="178"/>
      <c r="W941" s="178"/>
      <c r="X941" s="178"/>
      <c r="Y941" s="178"/>
      <c r="Z941" s="178"/>
      <c r="AA941" s="178"/>
      <c r="AB941" s="178"/>
      <c r="AC941" s="178"/>
      <c r="AD941" s="178"/>
      <c r="AE941" s="178"/>
      <c r="AF941" s="178"/>
      <c r="AG941" s="178"/>
      <c r="AH941" s="178"/>
      <c r="AI941" s="178"/>
      <c r="AJ941" s="178"/>
      <c r="AK941" s="178"/>
      <c r="AL941" s="178"/>
      <c r="AM941" s="178"/>
      <c r="AN941" s="178"/>
      <c r="AO941" s="178"/>
      <c r="AP941" s="178"/>
      <c r="AQ941" s="178"/>
      <c r="AR941" s="178"/>
      <c r="AS941" s="178"/>
      <c r="AT941" s="178"/>
      <c r="AU941" s="178"/>
      <c r="AV941" s="178"/>
      <c r="AW941" s="178"/>
      <c r="AX941" s="178"/>
      <c r="AY941" s="517"/>
      <c r="AZ941" s="131"/>
    </row>
    <row r="942" spans="1:52" ht="15.75" customHeight="1">
      <c r="A942" s="131"/>
      <c r="B942" s="178"/>
      <c r="C942" s="178"/>
      <c r="D942" s="178"/>
      <c r="E942" s="178"/>
      <c r="F942" s="178"/>
      <c r="G942" s="178"/>
      <c r="H942" s="178"/>
      <c r="I942" s="178"/>
      <c r="J942" s="178"/>
      <c r="K942" s="178"/>
      <c r="L942" s="178"/>
      <c r="M942" s="178"/>
      <c r="N942" s="178"/>
      <c r="O942" s="178"/>
      <c r="P942" s="178"/>
      <c r="Q942" s="178"/>
      <c r="R942" s="178"/>
      <c r="S942" s="178"/>
      <c r="T942" s="178"/>
      <c r="U942" s="178"/>
      <c r="V942" s="178"/>
      <c r="W942" s="178"/>
      <c r="X942" s="178"/>
      <c r="Y942" s="178"/>
      <c r="Z942" s="178"/>
      <c r="AA942" s="178"/>
      <c r="AB942" s="178"/>
      <c r="AC942" s="178"/>
      <c r="AD942" s="178"/>
      <c r="AE942" s="178"/>
      <c r="AF942" s="178"/>
      <c r="AG942" s="178"/>
      <c r="AH942" s="178"/>
      <c r="AI942" s="178"/>
      <c r="AJ942" s="178"/>
      <c r="AK942" s="178"/>
      <c r="AL942" s="178"/>
      <c r="AM942" s="178"/>
      <c r="AN942" s="178"/>
      <c r="AO942" s="178"/>
      <c r="AP942" s="178"/>
      <c r="AQ942" s="178"/>
      <c r="AR942" s="178"/>
      <c r="AS942" s="178"/>
      <c r="AT942" s="178"/>
      <c r="AU942" s="178"/>
      <c r="AV942" s="178"/>
      <c r="AW942" s="178"/>
      <c r="AX942" s="178"/>
      <c r="AY942" s="517"/>
      <c r="AZ942" s="131"/>
    </row>
    <row r="943" spans="1:52" ht="15.75" customHeight="1">
      <c r="A943" s="131"/>
      <c r="B943" s="178"/>
      <c r="C943" s="178"/>
      <c r="D943" s="178"/>
      <c r="E943" s="178"/>
      <c r="F943" s="178"/>
      <c r="G943" s="178"/>
      <c r="H943" s="178"/>
      <c r="I943" s="178"/>
      <c r="J943" s="178"/>
      <c r="K943" s="178"/>
      <c r="L943" s="178"/>
      <c r="M943" s="178"/>
      <c r="N943" s="178"/>
      <c r="O943" s="178"/>
      <c r="P943" s="178"/>
      <c r="Q943" s="178"/>
      <c r="R943" s="178"/>
      <c r="S943" s="178"/>
      <c r="T943" s="178"/>
      <c r="U943" s="178"/>
      <c r="V943" s="178"/>
      <c r="W943" s="178"/>
      <c r="X943" s="178"/>
      <c r="Y943" s="178"/>
      <c r="Z943" s="178"/>
      <c r="AA943" s="178"/>
      <c r="AB943" s="178"/>
      <c r="AC943" s="178"/>
      <c r="AD943" s="178"/>
      <c r="AE943" s="178"/>
      <c r="AF943" s="178"/>
      <c r="AG943" s="178"/>
      <c r="AH943" s="178"/>
      <c r="AI943" s="178"/>
      <c r="AJ943" s="178"/>
      <c r="AK943" s="178"/>
      <c r="AL943" s="178"/>
      <c r="AM943" s="178"/>
      <c r="AN943" s="178"/>
      <c r="AO943" s="178"/>
      <c r="AP943" s="178"/>
      <c r="AQ943" s="178"/>
      <c r="AR943" s="178"/>
      <c r="AS943" s="178"/>
      <c r="AT943" s="178"/>
      <c r="AU943" s="178"/>
      <c r="AV943" s="178"/>
      <c r="AW943" s="178"/>
      <c r="AX943" s="178"/>
      <c r="AY943" s="517"/>
      <c r="AZ943" s="131"/>
    </row>
    <row r="944" spans="1:52" ht="15.75" customHeight="1">
      <c r="A944" s="131"/>
      <c r="B944" s="178"/>
      <c r="C944" s="178"/>
      <c r="D944" s="178"/>
      <c r="E944" s="178"/>
      <c r="F944" s="178"/>
      <c r="G944" s="178"/>
      <c r="H944" s="178"/>
      <c r="I944" s="178"/>
      <c r="J944" s="178"/>
      <c r="K944" s="178"/>
      <c r="L944" s="178"/>
      <c r="M944" s="178"/>
      <c r="N944" s="178"/>
      <c r="O944" s="178"/>
      <c r="P944" s="178"/>
      <c r="Q944" s="178"/>
      <c r="R944" s="178"/>
      <c r="S944" s="178"/>
      <c r="T944" s="178"/>
      <c r="U944" s="178"/>
      <c r="V944" s="178"/>
      <c r="W944" s="178"/>
      <c r="X944" s="178"/>
      <c r="Y944" s="178"/>
      <c r="Z944" s="178"/>
      <c r="AA944" s="178"/>
      <c r="AB944" s="178"/>
      <c r="AC944" s="178"/>
      <c r="AD944" s="178"/>
      <c r="AE944" s="178"/>
      <c r="AF944" s="178"/>
      <c r="AG944" s="178"/>
      <c r="AH944" s="178"/>
      <c r="AI944" s="178"/>
      <c r="AJ944" s="178"/>
      <c r="AK944" s="178"/>
      <c r="AL944" s="178"/>
      <c r="AM944" s="178"/>
      <c r="AN944" s="178"/>
      <c r="AO944" s="178"/>
      <c r="AP944" s="178"/>
      <c r="AQ944" s="178"/>
      <c r="AR944" s="178"/>
      <c r="AS944" s="178"/>
      <c r="AT944" s="178"/>
      <c r="AU944" s="178"/>
      <c r="AV944" s="178"/>
      <c r="AW944" s="178"/>
      <c r="AX944" s="178"/>
      <c r="AY944" s="517"/>
      <c r="AZ944" s="131"/>
    </row>
    <row r="945" spans="1:52" ht="15.75" customHeight="1">
      <c r="A945" s="131"/>
      <c r="B945" s="178"/>
      <c r="C945" s="178"/>
      <c r="D945" s="178"/>
      <c r="E945" s="178"/>
      <c r="F945" s="178"/>
      <c r="G945" s="178"/>
      <c r="H945" s="178"/>
      <c r="I945" s="178"/>
      <c r="J945" s="178"/>
      <c r="K945" s="178"/>
      <c r="L945" s="178"/>
      <c r="M945" s="178"/>
      <c r="N945" s="178"/>
      <c r="O945" s="178"/>
      <c r="P945" s="178"/>
      <c r="Q945" s="178"/>
      <c r="R945" s="178"/>
      <c r="S945" s="178"/>
      <c r="T945" s="178"/>
      <c r="U945" s="178"/>
      <c r="V945" s="178"/>
      <c r="W945" s="178"/>
      <c r="X945" s="178"/>
      <c r="Y945" s="178"/>
      <c r="Z945" s="178"/>
      <c r="AA945" s="178"/>
      <c r="AB945" s="178"/>
      <c r="AC945" s="178"/>
      <c r="AD945" s="178"/>
      <c r="AE945" s="178"/>
      <c r="AF945" s="178"/>
      <c r="AG945" s="178"/>
      <c r="AH945" s="178"/>
      <c r="AI945" s="178"/>
      <c r="AJ945" s="178"/>
      <c r="AK945" s="178"/>
      <c r="AL945" s="178"/>
      <c r="AM945" s="178"/>
      <c r="AN945" s="178"/>
      <c r="AO945" s="178"/>
      <c r="AP945" s="178"/>
      <c r="AQ945" s="178"/>
      <c r="AR945" s="178"/>
      <c r="AS945" s="178"/>
      <c r="AT945" s="178"/>
      <c r="AU945" s="178"/>
      <c r="AV945" s="178"/>
      <c r="AW945" s="178"/>
      <c r="AX945" s="178"/>
      <c r="AY945" s="517"/>
      <c r="AZ945" s="131"/>
    </row>
    <row r="946" spans="1:52" ht="15.75" customHeight="1">
      <c r="A946" s="131"/>
      <c r="B946" s="178"/>
      <c r="C946" s="178"/>
      <c r="D946" s="178"/>
      <c r="E946" s="178"/>
      <c r="F946" s="178"/>
      <c r="G946" s="178"/>
      <c r="H946" s="178"/>
      <c r="I946" s="178"/>
      <c r="J946" s="178"/>
      <c r="K946" s="178"/>
      <c r="L946" s="178"/>
      <c r="M946" s="178"/>
      <c r="N946" s="178"/>
      <c r="O946" s="178"/>
      <c r="P946" s="178"/>
      <c r="Q946" s="178"/>
      <c r="R946" s="178"/>
      <c r="S946" s="178"/>
      <c r="T946" s="178"/>
      <c r="U946" s="178"/>
      <c r="V946" s="178"/>
      <c r="W946" s="178"/>
      <c r="X946" s="178"/>
      <c r="Y946" s="178"/>
      <c r="Z946" s="178"/>
      <c r="AA946" s="178"/>
      <c r="AB946" s="178"/>
      <c r="AC946" s="178"/>
      <c r="AD946" s="178"/>
      <c r="AE946" s="178"/>
      <c r="AF946" s="178"/>
      <c r="AG946" s="178"/>
      <c r="AH946" s="178"/>
      <c r="AI946" s="178"/>
      <c r="AJ946" s="178"/>
      <c r="AK946" s="178"/>
      <c r="AL946" s="178"/>
      <c r="AM946" s="178"/>
      <c r="AN946" s="178"/>
      <c r="AO946" s="178"/>
      <c r="AP946" s="178"/>
      <c r="AQ946" s="178"/>
      <c r="AR946" s="178"/>
      <c r="AS946" s="178"/>
      <c r="AT946" s="178"/>
      <c r="AU946" s="178"/>
      <c r="AV946" s="178"/>
      <c r="AW946" s="178"/>
      <c r="AX946" s="178"/>
      <c r="AY946" s="517"/>
      <c r="AZ946" s="131"/>
    </row>
    <row r="947" spans="1:52" ht="15.75" customHeight="1">
      <c r="A947" s="131"/>
      <c r="B947" s="178"/>
      <c r="C947" s="178"/>
      <c r="D947" s="178"/>
      <c r="E947" s="178"/>
      <c r="F947" s="178"/>
      <c r="G947" s="178"/>
      <c r="H947" s="178"/>
      <c r="I947" s="178"/>
      <c r="J947" s="178"/>
      <c r="K947" s="178"/>
      <c r="L947" s="178"/>
      <c r="M947" s="178"/>
      <c r="N947" s="178"/>
      <c r="O947" s="178"/>
      <c r="P947" s="178"/>
      <c r="Q947" s="178"/>
      <c r="R947" s="178"/>
      <c r="S947" s="178"/>
      <c r="T947" s="178"/>
      <c r="U947" s="178"/>
      <c r="V947" s="178"/>
      <c r="W947" s="178"/>
      <c r="X947" s="178"/>
      <c r="Y947" s="178"/>
      <c r="Z947" s="178"/>
      <c r="AA947" s="178"/>
      <c r="AB947" s="178"/>
      <c r="AC947" s="178"/>
      <c r="AD947" s="178"/>
      <c r="AE947" s="178"/>
      <c r="AF947" s="178"/>
      <c r="AG947" s="178"/>
      <c r="AH947" s="178"/>
      <c r="AI947" s="178"/>
      <c r="AJ947" s="178"/>
      <c r="AK947" s="178"/>
      <c r="AL947" s="178"/>
      <c r="AM947" s="178"/>
      <c r="AN947" s="178"/>
      <c r="AO947" s="178"/>
      <c r="AP947" s="178"/>
      <c r="AQ947" s="178"/>
      <c r="AR947" s="178"/>
      <c r="AS947" s="178"/>
      <c r="AT947" s="178"/>
      <c r="AU947" s="178"/>
      <c r="AV947" s="178"/>
      <c r="AW947" s="178"/>
      <c r="AX947" s="178"/>
      <c r="AY947" s="517"/>
      <c r="AZ947" s="131"/>
    </row>
    <row r="948" spans="1:52" ht="15.75" customHeight="1">
      <c r="A948" s="131"/>
      <c r="B948" s="178"/>
      <c r="C948" s="178"/>
      <c r="D948" s="178"/>
      <c r="E948" s="178"/>
      <c r="F948" s="178"/>
      <c r="G948" s="178"/>
      <c r="H948" s="178"/>
      <c r="I948" s="178"/>
      <c r="J948" s="178"/>
      <c r="K948" s="178"/>
      <c r="L948" s="178"/>
      <c r="M948" s="178"/>
      <c r="N948" s="178"/>
      <c r="O948" s="178"/>
      <c r="P948" s="178"/>
      <c r="Q948" s="178"/>
      <c r="R948" s="178"/>
      <c r="S948" s="178"/>
      <c r="T948" s="178"/>
      <c r="U948" s="178"/>
      <c r="V948" s="178"/>
      <c r="W948" s="178"/>
      <c r="X948" s="178"/>
      <c r="Y948" s="178"/>
      <c r="Z948" s="178"/>
      <c r="AA948" s="178"/>
      <c r="AB948" s="178"/>
      <c r="AC948" s="178"/>
      <c r="AD948" s="178"/>
      <c r="AE948" s="178"/>
      <c r="AF948" s="178"/>
      <c r="AG948" s="178"/>
      <c r="AH948" s="178"/>
      <c r="AI948" s="178"/>
      <c r="AJ948" s="178"/>
      <c r="AK948" s="178"/>
      <c r="AL948" s="178"/>
      <c r="AM948" s="178"/>
      <c r="AN948" s="178"/>
      <c r="AO948" s="178"/>
      <c r="AP948" s="178"/>
      <c r="AQ948" s="178"/>
      <c r="AR948" s="178"/>
      <c r="AS948" s="178"/>
      <c r="AT948" s="178"/>
      <c r="AU948" s="178"/>
      <c r="AV948" s="178"/>
      <c r="AW948" s="178"/>
      <c r="AX948" s="178"/>
      <c r="AY948" s="517"/>
      <c r="AZ948" s="131"/>
    </row>
    <row r="949" spans="1:52" ht="15.75" customHeight="1">
      <c r="A949" s="131"/>
      <c r="B949" s="178"/>
      <c r="C949" s="178"/>
      <c r="D949" s="178"/>
      <c r="E949" s="178"/>
      <c r="F949" s="178"/>
      <c r="G949" s="178"/>
      <c r="H949" s="178"/>
      <c r="I949" s="178"/>
      <c r="J949" s="178"/>
      <c r="K949" s="178"/>
      <c r="L949" s="178"/>
      <c r="M949" s="178"/>
      <c r="N949" s="178"/>
      <c r="O949" s="178"/>
      <c r="P949" s="178"/>
      <c r="Q949" s="178"/>
      <c r="R949" s="178"/>
      <c r="S949" s="178"/>
      <c r="T949" s="178"/>
      <c r="U949" s="178"/>
      <c r="V949" s="178"/>
      <c r="W949" s="178"/>
      <c r="X949" s="178"/>
      <c r="Y949" s="178"/>
      <c r="Z949" s="178"/>
      <c r="AA949" s="178"/>
      <c r="AB949" s="178"/>
      <c r="AC949" s="178"/>
      <c r="AD949" s="178"/>
      <c r="AE949" s="178"/>
      <c r="AF949" s="178"/>
      <c r="AG949" s="178"/>
      <c r="AH949" s="178"/>
      <c r="AI949" s="178"/>
      <c r="AJ949" s="178"/>
      <c r="AK949" s="178"/>
      <c r="AL949" s="178"/>
      <c r="AM949" s="178"/>
      <c r="AN949" s="178"/>
      <c r="AO949" s="178"/>
      <c r="AP949" s="178"/>
      <c r="AQ949" s="178"/>
      <c r="AR949" s="178"/>
      <c r="AS949" s="178"/>
      <c r="AT949" s="178"/>
      <c r="AU949" s="178"/>
      <c r="AV949" s="178"/>
      <c r="AW949" s="178"/>
      <c r="AX949" s="178"/>
      <c r="AY949" s="517"/>
      <c r="AZ949" s="131"/>
    </row>
    <row r="950" spans="1:52" ht="15.75" customHeight="1">
      <c r="A950" s="131"/>
      <c r="B950" s="178"/>
      <c r="C950" s="178"/>
      <c r="D950" s="178"/>
      <c r="E950" s="178"/>
      <c r="F950" s="178"/>
      <c r="G950" s="178"/>
      <c r="H950" s="178"/>
      <c r="I950" s="178"/>
      <c r="J950" s="178"/>
      <c r="K950" s="178"/>
      <c r="L950" s="178"/>
      <c r="M950" s="178"/>
      <c r="N950" s="178"/>
      <c r="O950" s="178"/>
      <c r="P950" s="178"/>
      <c r="Q950" s="178"/>
      <c r="R950" s="178"/>
      <c r="S950" s="178"/>
      <c r="T950" s="178"/>
      <c r="U950" s="178"/>
      <c r="V950" s="178"/>
      <c r="W950" s="178"/>
      <c r="X950" s="178"/>
      <c r="Y950" s="178"/>
      <c r="Z950" s="178"/>
      <c r="AA950" s="178"/>
      <c r="AB950" s="178"/>
      <c r="AC950" s="178"/>
      <c r="AD950" s="178"/>
      <c r="AE950" s="178"/>
      <c r="AF950" s="178"/>
      <c r="AG950" s="178"/>
      <c r="AH950" s="178"/>
      <c r="AI950" s="178"/>
      <c r="AJ950" s="178"/>
      <c r="AK950" s="178"/>
      <c r="AL950" s="178"/>
      <c r="AM950" s="178"/>
      <c r="AN950" s="178"/>
      <c r="AO950" s="178"/>
      <c r="AP950" s="178"/>
      <c r="AQ950" s="178"/>
      <c r="AR950" s="178"/>
      <c r="AS950" s="178"/>
      <c r="AT950" s="178"/>
      <c r="AU950" s="178"/>
      <c r="AV950" s="178"/>
      <c r="AW950" s="178"/>
      <c r="AX950" s="178"/>
      <c r="AY950" s="517"/>
      <c r="AZ950" s="131"/>
    </row>
    <row r="951" spans="1:52" ht="15.75" customHeight="1">
      <c r="A951" s="131"/>
      <c r="B951" s="178"/>
      <c r="C951" s="178"/>
      <c r="D951" s="178"/>
      <c r="E951" s="178"/>
      <c r="F951" s="178"/>
      <c r="G951" s="178"/>
      <c r="H951" s="178"/>
      <c r="I951" s="178"/>
      <c r="J951" s="178"/>
      <c r="K951" s="178"/>
      <c r="L951" s="178"/>
      <c r="M951" s="178"/>
      <c r="N951" s="178"/>
      <c r="O951" s="178"/>
      <c r="P951" s="178"/>
      <c r="Q951" s="178"/>
      <c r="R951" s="178"/>
      <c r="S951" s="178"/>
      <c r="T951" s="178"/>
      <c r="U951" s="178"/>
      <c r="V951" s="178"/>
      <c r="W951" s="178"/>
      <c r="X951" s="178"/>
      <c r="Y951" s="178"/>
      <c r="Z951" s="178"/>
      <c r="AA951" s="178"/>
      <c r="AB951" s="178"/>
      <c r="AC951" s="178"/>
      <c r="AD951" s="178"/>
      <c r="AE951" s="178"/>
      <c r="AF951" s="178"/>
      <c r="AG951" s="178"/>
      <c r="AH951" s="178"/>
      <c r="AI951" s="178"/>
      <c r="AJ951" s="178"/>
      <c r="AK951" s="178"/>
      <c r="AL951" s="178"/>
      <c r="AM951" s="178"/>
      <c r="AN951" s="178"/>
      <c r="AO951" s="178"/>
      <c r="AP951" s="178"/>
      <c r="AQ951" s="178"/>
      <c r="AR951" s="178"/>
      <c r="AS951" s="178"/>
      <c r="AT951" s="178"/>
      <c r="AU951" s="178"/>
      <c r="AV951" s="178"/>
      <c r="AW951" s="178"/>
      <c r="AX951" s="178"/>
      <c r="AY951" s="517"/>
      <c r="AZ951" s="131"/>
    </row>
    <row r="952" spans="1:52" ht="15.75" customHeight="1">
      <c r="A952" s="131"/>
      <c r="B952" s="178"/>
      <c r="C952" s="178"/>
      <c r="D952" s="178"/>
      <c r="E952" s="178"/>
      <c r="F952" s="178"/>
      <c r="G952" s="178"/>
      <c r="H952" s="178"/>
      <c r="I952" s="178"/>
      <c r="J952" s="178"/>
      <c r="K952" s="178"/>
      <c r="L952" s="178"/>
      <c r="M952" s="178"/>
      <c r="N952" s="178"/>
      <c r="O952" s="178"/>
      <c r="P952" s="178"/>
      <c r="Q952" s="178"/>
      <c r="R952" s="178"/>
      <c r="S952" s="178"/>
      <c r="T952" s="178"/>
      <c r="U952" s="178"/>
      <c r="V952" s="178"/>
      <c r="W952" s="178"/>
      <c r="X952" s="178"/>
      <c r="Y952" s="178"/>
      <c r="Z952" s="178"/>
      <c r="AA952" s="178"/>
      <c r="AB952" s="178"/>
      <c r="AC952" s="178"/>
      <c r="AD952" s="178"/>
      <c r="AE952" s="178"/>
      <c r="AF952" s="178"/>
      <c r="AG952" s="178"/>
      <c r="AH952" s="178"/>
      <c r="AI952" s="178"/>
      <c r="AJ952" s="178"/>
      <c r="AK952" s="178"/>
      <c r="AL952" s="178"/>
      <c r="AM952" s="178"/>
      <c r="AN952" s="178"/>
      <c r="AO952" s="178"/>
      <c r="AP952" s="178"/>
      <c r="AQ952" s="178"/>
      <c r="AR952" s="178"/>
      <c r="AS952" s="178"/>
      <c r="AT952" s="178"/>
      <c r="AU952" s="178"/>
      <c r="AV952" s="178"/>
      <c r="AW952" s="178"/>
      <c r="AX952" s="178"/>
      <c r="AY952" s="517"/>
      <c r="AZ952" s="131"/>
    </row>
    <row r="953" spans="1:52" ht="15.75" customHeight="1">
      <c r="A953" s="131"/>
      <c r="B953" s="178"/>
      <c r="C953" s="178"/>
      <c r="D953" s="178"/>
      <c r="E953" s="178"/>
      <c r="F953" s="178"/>
      <c r="G953" s="178"/>
      <c r="H953" s="178"/>
      <c r="I953" s="178"/>
      <c r="J953" s="178"/>
      <c r="K953" s="178"/>
      <c r="L953" s="178"/>
      <c r="M953" s="178"/>
      <c r="N953" s="178"/>
      <c r="O953" s="178"/>
      <c r="P953" s="178"/>
      <c r="Q953" s="178"/>
      <c r="R953" s="178"/>
      <c r="S953" s="178"/>
      <c r="T953" s="178"/>
      <c r="U953" s="178"/>
      <c r="V953" s="178"/>
      <c r="W953" s="178"/>
      <c r="X953" s="178"/>
      <c r="Y953" s="178"/>
      <c r="Z953" s="178"/>
      <c r="AA953" s="178"/>
      <c r="AB953" s="178"/>
      <c r="AC953" s="178"/>
      <c r="AD953" s="178"/>
      <c r="AE953" s="178"/>
      <c r="AF953" s="178"/>
      <c r="AG953" s="178"/>
      <c r="AH953" s="178"/>
      <c r="AI953" s="178"/>
      <c r="AJ953" s="178"/>
      <c r="AK953" s="178"/>
      <c r="AL953" s="178"/>
      <c r="AM953" s="178"/>
      <c r="AN953" s="178"/>
      <c r="AO953" s="178"/>
      <c r="AP953" s="178"/>
      <c r="AQ953" s="178"/>
      <c r="AR953" s="178"/>
      <c r="AS953" s="178"/>
      <c r="AT953" s="178"/>
      <c r="AU953" s="178"/>
      <c r="AV953" s="178"/>
      <c r="AW953" s="178"/>
      <c r="AX953" s="178"/>
      <c r="AY953" s="517"/>
      <c r="AZ953" s="131"/>
    </row>
    <row r="954" spans="1:52" ht="15.75" customHeight="1">
      <c r="A954" s="131"/>
      <c r="B954" s="178"/>
      <c r="C954" s="178"/>
      <c r="D954" s="178"/>
      <c r="E954" s="178"/>
      <c r="F954" s="178"/>
      <c r="G954" s="178"/>
      <c r="H954" s="178"/>
      <c r="I954" s="178"/>
      <c r="J954" s="178"/>
      <c r="K954" s="178"/>
      <c r="L954" s="178"/>
      <c r="M954" s="178"/>
      <c r="N954" s="178"/>
      <c r="O954" s="178"/>
      <c r="P954" s="178"/>
      <c r="Q954" s="178"/>
      <c r="R954" s="178"/>
      <c r="S954" s="178"/>
      <c r="T954" s="178"/>
      <c r="U954" s="178"/>
      <c r="V954" s="178"/>
      <c r="W954" s="178"/>
      <c r="X954" s="178"/>
      <c r="Y954" s="178"/>
      <c r="Z954" s="178"/>
      <c r="AA954" s="178"/>
      <c r="AB954" s="178"/>
      <c r="AC954" s="178"/>
      <c r="AD954" s="178"/>
      <c r="AE954" s="178"/>
      <c r="AF954" s="178"/>
      <c r="AG954" s="178"/>
      <c r="AH954" s="178"/>
      <c r="AI954" s="178"/>
      <c r="AJ954" s="178"/>
      <c r="AK954" s="178"/>
      <c r="AL954" s="178"/>
      <c r="AM954" s="178"/>
      <c r="AN954" s="178"/>
      <c r="AO954" s="178"/>
      <c r="AP954" s="178"/>
      <c r="AQ954" s="178"/>
      <c r="AR954" s="178"/>
      <c r="AS954" s="178"/>
      <c r="AT954" s="178"/>
      <c r="AU954" s="178"/>
      <c r="AV954" s="178"/>
      <c r="AW954" s="178"/>
      <c r="AX954" s="178"/>
      <c r="AY954" s="517"/>
      <c r="AZ954" s="131"/>
    </row>
    <row r="955" spans="1:52" ht="15.75" customHeight="1">
      <c r="A955" s="131"/>
      <c r="B955" s="178"/>
      <c r="C955" s="178"/>
      <c r="D955" s="178"/>
      <c r="E955" s="178"/>
      <c r="F955" s="178"/>
      <c r="G955" s="178"/>
      <c r="H955" s="178"/>
      <c r="I955" s="178"/>
      <c r="J955" s="178"/>
      <c r="K955" s="178"/>
      <c r="L955" s="178"/>
      <c r="M955" s="178"/>
      <c r="N955" s="178"/>
      <c r="O955" s="178"/>
      <c r="P955" s="178"/>
      <c r="Q955" s="178"/>
      <c r="R955" s="178"/>
      <c r="S955" s="178"/>
      <c r="T955" s="178"/>
      <c r="U955" s="178"/>
      <c r="V955" s="178"/>
      <c r="W955" s="178"/>
      <c r="X955" s="178"/>
      <c r="Y955" s="178"/>
      <c r="Z955" s="178"/>
      <c r="AA955" s="178"/>
      <c r="AB955" s="178"/>
      <c r="AC955" s="178"/>
      <c r="AD955" s="178"/>
      <c r="AE955" s="178"/>
      <c r="AF955" s="178"/>
      <c r="AG955" s="178"/>
      <c r="AH955" s="178"/>
      <c r="AI955" s="178"/>
      <c r="AJ955" s="178"/>
      <c r="AK955" s="178"/>
      <c r="AL955" s="178"/>
      <c r="AM955" s="178"/>
      <c r="AN955" s="178"/>
      <c r="AO955" s="178"/>
      <c r="AP955" s="178"/>
      <c r="AQ955" s="178"/>
      <c r="AR955" s="178"/>
      <c r="AS955" s="178"/>
      <c r="AT955" s="178"/>
      <c r="AU955" s="178"/>
      <c r="AV955" s="178"/>
      <c r="AW955" s="178"/>
      <c r="AX955" s="178"/>
      <c r="AY955" s="517"/>
      <c r="AZ955" s="131"/>
    </row>
    <row r="956" spans="1:52" ht="15.75" customHeight="1">
      <c r="A956" s="131"/>
      <c r="B956" s="178"/>
      <c r="C956" s="178"/>
      <c r="D956" s="178"/>
      <c r="E956" s="178"/>
      <c r="F956" s="178"/>
      <c r="G956" s="178"/>
      <c r="H956" s="178"/>
      <c r="I956" s="178"/>
      <c r="J956" s="178"/>
      <c r="K956" s="178"/>
      <c r="L956" s="178"/>
      <c r="M956" s="178"/>
      <c r="N956" s="178"/>
      <c r="O956" s="178"/>
      <c r="P956" s="178"/>
      <c r="Q956" s="178"/>
      <c r="R956" s="178"/>
      <c r="S956" s="178"/>
      <c r="T956" s="178"/>
      <c r="U956" s="178"/>
      <c r="V956" s="178"/>
      <c r="W956" s="178"/>
      <c r="X956" s="178"/>
      <c r="Y956" s="178"/>
      <c r="Z956" s="178"/>
      <c r="AA956" s="178"/>
      <c r="AB956" s="178"/>
      <c r="AC956" s="178"/>
      <c r="AD956" s="178"/>
      <c r="AE956" s="178"/>
      <c r="AF956" s="178"/>
      <c r="AG956" s="178"/>
      <c r="AH956" s="178"/>
      <c r="AI956" s="178"/>
      <c r="AJ956" s="178"/>
      <c r="AK956" s="178"/>
      <c r="AL956" s="178"/>
      <c r="AM956" s="178"/>
      <c r="AN956" s="178"/>
      <c r="AO956" s="178"/>
      <c r="AP956" s="178"/>
      <c r="AQ956" s="178"/>
      <c r="AR956" s="178"/>
      <c r="AS956" s="178"/>
      <c r="AT956" s="178"/>
      <c r="AU956" s="178"/>
      <c r="AV956" s="178"/>
      <c r="AW956" s="178"/>
      <c r="AX956" s="178"/>
      <c r="AY956" s="517"/>
      <c r="AZ956" s="131"/>
    </row>
    <row r="957" spans="1:52" ht="15.75" customHeight="1">
      <c r="A957" s="131"/>
      <c r="B957" s="178"/>
      <c r="C957" s="178"/>
      <c r="D957" s="178"/>
      <c r="E957" s="178"/>
      <c r="F957" s="178"/>
      <c r="G957" s="178"/>
      <c r="H957" s="178"/>
      <c r="I957" s="178"/>
      <c r="J957" s="178"/>
      <c r="K957" s="178"/>
      <c r="L957" s="178"/>
      <c r="M957" s="178"/>
      <c r="N957" s="178"/>
      <c r="O957" s="178"/>
      <c r="P957" s="178"/>
      <c r="Q957" s="178"/>
      <c r="R957" s="178"/>
      <c r="S957" s="178"/>
      <c r="T957" s="178"/>
      <c r="U957" s="178"/>
      <c r="V957" s="178"/>
      <c r="W957" s="178"/>
      <c r="X957" s="178"/>
      <c r="Y957" s="178"/>
      <c r="Z957" s="178"/>
      <c r="AA957" s="178"/>
      <c r="AB957" s="178"/>
      <c r="AC957" s="178"/>
      <c r="AD957" s="178"/>
      <c r="AE957" s="178"/>
      <c r="AF957" s="178"/>
      <c r="AG957" s="178"/>
      <c r="AH957" s="178"/>
      <c r="AI957" s="178"/>
      <c r="AJ957" s="178"/>
      <c r="AK957" s="178"/>
      <c r="AL957" s="178"/>
      <c r="AM957" s="178"/>
      <c r="AN957" s="178"/>
      <c r="AO957" s="178"/>
      <c r="AP957" s="178"/>
      <c r="AQ957" s="178"/>
      <c r="AR957" s="178"/>
      <c r="AS957" s="178"/>
      <c r="AT957" s="178"/>
      <c r="AU957" s="178"/>
      <c r="AV957" s="178"/>
      <c r="AW957" s="178"/>
      <c r="AX957" s="178"/>
      <c r="AY957" s="517"/>
      <c r="AZ957" s="131"/>
    </row>
    <row r="958" spans="1:52" ht="15.75" customHeight="1">
      <c r="A958" s="131"/>
      <c r="B958" s="178"/>
      <c r="C958" s="178"/>
      <c r="D958" s="178"/>
      <c r="E958" s="178"/>
      <c r="F958" s="178"/>
      <c r="G958" s="178"/>
      <c r="H958" s="178"/>
      <c r="I958" s="178"/>
      <c r="J958" s="178"/>
      <c r="K958" s="178"/>
      <c r="L958" s="178"/>
      <c r="M958" s="178"/>
      <c r="N958" s="178"/>
      <c r="O958" s="178"/>
      <c r="P958" s="178"/>
      <c r="Q958" s="178"/>
      <c r="R958" s="178"/>
      <c r="S958" s="178"/>
      <c r="T958" s="178"/>
      <c r="U958" s="178"/>
      <c r="V958" s="178"/>
      <c r="W958" s="178"/>
      <c r="X958" s="178"/>
      <c r="Y958" s="178"/>
      <c r="Z958" s="178"/>
      <c r="AA958" s="178"/>
      <c r="AB958" s="178"/>
      <c r="AC958" s="178"/>
      <c r="AD958" s="178"/>
      <c r="AE958" s="178"/>
      <c r="AF958" s="178"/>
      <c r="AG958" s="178"/>
      <c r="AH958" s="178"/>
      <c r="AI958" s="178"/>
      <c r="AJ958" s="178"/>
      <c r="AK958" s="178"/>
      <c r="AL958" s="178"/>
      <c r="AM958" s="178"/>
      <c r="AN958" s="178"/>
      <c r="AO958" s="178"/>
      <c r="AP958" s="178"/>
      <c r="AQ958" s="178"/>
      <c r="AR958" s="178"/>
      <c r="AS958" s="178"/>
      <c r="AT958" s="178"/>
      <c r="AU958" s="178"/>
      <c r="AV958" s="178"/>
      <c r="AW958" s="178"/>
      <c r="AX958" s="178"/>
      <c r="AY958" s="517"/>
      <c r="AZ958" s="131"/>
    </row>
    <row r="959" spans="1:52" ht="15.75" customHeight="1">
      <c r="A959" s="131"/>
      <c r="B959" s="178"/>
      <c r="C959" s="178"/>
      <c r="D959" s="178"/>
      <c r="E959" s="178"/>
      <c r="F959" s="178"/>
      <c r="G959" s="178"/>
      <c r="H959" s="178"/>
      <c r="I959" s="178"/>
      <c r="J959" s="178"/>
      <c r="K959" s="178"/>
      <c r="L959" s="178"/>
      <c r="M959" s="178"/>
      <c r="N959" s="178"/>
      <c r="O959" s="178"/>
      <c r="P959" s="178"/>
      <c r="Q959" s="178"/>
      <c r="R959" s="178"/>
      <c r="S959" s="178"/>
      <c r="T959" s="178"/>
      <c r="U959" s="178"/>
      <c r="V959" s="178"/>
      <c r="W959" s="178"/>
      <c r="X959" s="178"/>
      <c r="Y959" s="178"/>
      <c r="Z959" s="178"/>
      <c r="AA959" s="178"/>
      <c r="AB959" s="178"/>
      <c r="AC959" s="178"/>
      <c r="AD959" s="178"/>
      <c r="AE959" s="178"/>
      <c r="AF959" s="178"/>
      <c r="AG959" s="178"/>
      <c r="AH959" s="178"/>
      <c r="AI959" s="178"/>
      <c r="AJ959" s="178"/>
      <c r="AK959" s="178"/>
      <c r="AL959" s="178"/>
      <c r="AM959" s="178"/>
      <c r="AN959" s="178"/>
      <c r="AO959" s="178"/>
      <c r="AP959" s="178"/>
      <c r="AQ959" s="178"/>
      <c r="AR959" s="178"/>
      <c r="AS959" s="178"/>
      <c r="AT959" s="178"/>
      <c r="AU959" s="178"/>
      <c r="AV959" s="178"/>
      <c r="AW959" s="178"/>
      <c r="AX959" s="178"/>
      <c r="AY959" s="517"/>
      <c r="AZ959" s="131"/>
    </row>
    <row r="960" spans="1:52" ht="15.75" customHeight="1">
      <c r="A960" s="131"/>
      <c r="B960" s="178"/>
      <c r="C960" s="178"/>
      <c r="D960" s="178"/>
      <c r="E960" s="178"/>
      <c r="F960" s="178"/>
      <c r="G960" s="178"/>
      <c r="H960" s="178"/>
      <c r="I960" s="178"/>
      <c r="J960" s="178"/>
      <c r="K960" s="178"/>
      <c r="L960" s="178"/>
      <c r="M960" s="178"/>
      <c r="N960" s="178"/>
      <c r="O960" s="178"/>
      <c r="P960" s="178"/>
      <c r="Q960" s="178"/>
      <c r="R960" s="178"/>
      <c r="S960" s="178"/>
      <c r="T960" s="178"/>
      <c r="U960" s="178"/>
      <c r="V960" s="178"/>
      <c r="W960" s="178"/>
      <c r="X960" s="178"/>
      <c r="Y960" s="178"/>
      <c r="Z960" s="178"/>
      <c r="AA960" s="178"/>
      <c r="AB960" s="178"/>
      <c r="AC960" s="178"/>
      <c r="AD960" s="178"/>
      <c r="AE960" s="178"/>
      <c r="AF960" s="178"/>
      <c r="AG960" s="178"/>
      <c r="AH960" s="178"/>
      <c r="AI960" s="178"/>
      <c r="AJ960" s="178"/>
      <c r="AK960" s="178"/>
      <c r="AL960" s="178"/>
      <c r="AM960" s="178"/>
      <c r="AN960" s="178"/>
      <c r="AO960" s="178"/>
      <c r="AP960" s="178"/>
      <c r="AQ960" s="178"/>
      <c r="AR960" s="178"/>
      <c r="AS960" s="178"/>
      <c r="AT960" s="178"/>
      <c r="AU960" s="178"/>
      <c r="AV960" s="178"/>
      <c r="AW960" s="178"/>
      <c r="AX960" s="178"/>
      <c r="AY960" s="517"/>
      <c r="AZ960" s="131"/>
    </row>
    <row r="961" spans="1:52" ht="15.75" customHeight="1">
      <c r="A961" s="131"/>
      <c r="B961" s="178"/>
      <c r="C961" s="178"/>
      <c r="D961" s="178"/>
      <c r="E961" s="178"/>
      <c r="F961" s="178"/>
      <c r="G961" s="178"/>
      <c r="H961" s="178"/>
      <c r="I961" s="178"/>
      <c r="J961" s="178"/>
      <c r="K961" s="178"/>
      <c r="L961" s="178"/>
      <c r="M961" s="178"/>
      <c r="N961" s="178"/>
      <c r="O961" s="178"/>
      <c r="P961" s="178"/>
      <c r="Q961" s="178"/>
      <c r="R961" s="178"/>
      <c r="S961" s="178"/>
      <c r="T961" s="178"/>
      <c r="U961" s="178"/>
      <c r="V961" s="178"/>
      <c r="W961" s="178"/>
      <c r="X961" s="178"/>
      <c r="Y961" s="178"/>
      <c r="Z961" s="178"/>
      <c r="AA961" s="178"/>
      <c r="AB961" s="178"/>
      <c r="AC961" s="178"/>
      <c r="AD961" s="178"/>
      <c r="AE961" s="178"/>
      <c r="AF961" s="178"/>
      <c r="AG961" s="178"/>
      <c r="AH961" s="178"/>
      <c r="AI961" s="178"/>
      <c r="AJ961" s="178"/>
      <c r="AK961" s="178"/>
      <c r="AL961" s="178"/>
      <c r="AM961" s="178"/>
      <c r="AN961" s="178"/>
      <c r="AO961" s="178"/>
      <c r="AP961" s="178"/>
      <c r="AQ961" s="178"/>
      <c r="AR961" s="178"/>
      <c r="AS961" s="178"/>
      <c r="AT961" s="178"/>
      <c r="AU961" s="178"/>
      <c r="AV961" s="178"/>
      <c r="AW961" s="178"/>
      <c r="AX961" s="178"/>
      <c r="AY961" s="517"/>
      <c r="AZ961" s="131"/>
    </row>
    <row r="962" spans="1:52" ht="15.75" customHeight="1">
      <c r="A962" s="131"/>
      <c r="B962" s="178"/>
      <c r="C962" s="178"/>
      <c r="D962" s="178"/>
      <c r="E962" s="178"/>
      <c r="F962" s="178"/>
      <c r="G962" s="178"/>
      <c r="H962" s="178"/>
      <c r="I962" s="178"/>
      <c r="J962" s="178"/>
      <c r="K962" s="178"/>
      <c r="L962" s="178"/>
      <c r="M962" s="178"/>
      <c r="N962" s="178"/>
      <c r="O962" s="178"/>
      <c r="P962" s="178"/>
      <c r="Q962" s="178"/>
      <c r="R962" s="178"/>
      <c r="S962" s="178"/>
      <c r="T962" s="178"/>
      <c r="U962" s="178"/>
      <c r="V962" s="178"/>
      <c r="W962" s="178"/>
      <c r="X962" s="178"/>
      <c r="Y962" s="178"/>
      <c r="Z962" s="178"/>
      <c r="AA962" s="178"/>
      <c r="AB962" s="178"/>
      <c r="AC962" s="178"/>
      <c r="AD962" s="178"/>
      <c r="AE962" s="178"/>
      <c r="AF962" s="178"/>
      <c r="AG962" s="178"/>
      <c r="AH962" s="178"/>
      <c r="AI962" s="178"/>
      <c r="AJ962" s="178"/>
      <c r="AK962" s="178"/>
      <c r="AL962" s="178"/>
      <c r="AM962" s="178"/>
      <c r="AN962" s="178"/>
      <c r="AO962" s="178"/>
      <c r="AP962" s="178"/>
      <c r="AQ962" s="178"/>
      <c r="AR962" s="178"/>
      <c r="AS962" s="178"/>
      <c r="AT962" s="178"/>
      <c r="AU962" s="178"/>
      <c r="AV962" s="178"/>
      <c r="AW962" s="178"/>
      <c r="AX962" s="178"/>
      <c r="AY962" s="517"/>
      <c r="AZ962" s="131"/>
    </row>
    <row r="963" spans="1:52" ht="15.75" customHeight="1">
      <c r="A963" s="131"/>
      <c r="B963" s="178"/>
      <c r="C963" s="178"/>
      <c r="D963" s="178"/>
      <c r="E963" s="178"/>
      <c r="F963" s="178"/>
      <c r="G963" s="178"/>
      <c r="H963" s="178"/>
      <c r="I963" s="178"/>
      <c r="J963" s="178"/>
      <c r="K963" s="178"/>
      <c r="L963" s="178"/>
      <c r="M963" s="178"/>
      <c r="N963" s="178"/>
      <c r="O963" s="178"/>
      <c r="P963" s="178"/>
      <c r="Q963" s="178"/>
      <c r="R963" s="178"/>
      <c r="S963" s="178"/>
      <c r="T963" s="178"/>
      <c r="U963" s="178"/>
      <c r="V963" s="178"/>
      <c r="W963" s="178"/>
      <c r="X963" s="178"/>
      <c r="Y963" s="178"/>
      <c r="Z963" s="178"/>
      <c r="AA963" s="178"/>
      <c r="AB963" s="178"/>
      <c r="AC963" s="178"/>
      <c r="AD963" s="178"/>
      <c r="AE963" s="178"/>
      <c r="AF963" s="178"/>
      <c r="AG963" s="178"/>
      <c r="AH963" s="178"/>
      <c r="AI963" s="178"/>
      <c r="AJ963" s="178"/>
      <c r="AK963" s="178"/>
      <c r="AL963" s="178"/>
      <c r="AM963" s="178"/>
      <c r="AN963" s="178"/>
      <c r="AO963" s="178"/>
      <c r="AP963" s="178"/>
      <c r="AQ963" s="178"/>
      <c r="AR963" s="178"/>
      <c r="AS963" s="178"/>
      <c r="AT963" s="178"/>
      <c r="AU963" s="178"/>
      <c r="AV963" s="178"/>
      <c r="AW963" s="178"/>
      <c r="AX963" s="178"/>
      <c r="AY963" s="517"/>
      <c r="AZ963" s="131"/>
    </row>
    <row r="964" spans="1:52" ht="15.75" customHeight="1">
      <c r="A964" s="131"/>
      <c r="B964" s="178"/>
      <c r="C964" s="178"/>
      <c r="D964" s="178"/>
      <c r="E964" s="178"/>
      <c r="F964" s="178"/>
      <c r="G964" s="178"/>
      <c r="H964" s="178"/>
      <c r="I964" s="178"/>
      <c r="J964" s="178"/>
      <c r="K964" s="178"/>
      <c r="L964" s="178"/>
      <c r="M964" s="178"/>
      <c r="N964" s="178"/>
      <c r="O964" s="178"/>
      <c r="P964" s="178"/>
      <c r="Q964" s="178"/>
      <c r="R964" s="178"/>
      <c r="S964" s="178"/>
      <c r="T964" s="178"/>
      <c r="U964" s="178"/>
      <c r="V964" s="178"/>
      <c r="W964" s="178"/>
      <c r="X964" s="178"/>
      <c r="Y964" s="178"/>
      <c r="Z964" s="178"/>
      <c r="AA964" s="178"/>
      <c r="AB964" s="178"/>
      <c r="AC964" s="178"/>
      <c r="AD964" s="178"/>
      <c r="AE964" s="178"/>
      <c r="AF964" s="178"/>
      <c r="AG964" s="178"/>
      <c r="AH964" s="178"/>
      <c r="AI964" s="178"/>
      <c r="AJ964" s="178"/>
      <c r="AK964" s="178"/>
      <c r="AL964" s="178"/>
      <c r="AM964" s="178"/>
      <c r="AN964" s="178"/>
      <c r="AO964" s="178"/>
      <c r="AP964" s="178"/>
      <c r="AQ964" s="178"/>
      <c r="AR964" s="178"/>
      <c r="AS964" s="178"/>
      <c r="AT964" s="178"/>
      <c r="AU964" s="178"/>
      <c r="AV964" s="178"/>
      <c r="AW964" s="178"/>
      <c r="AX964" s="178"/>
      <c r="AY964" s="517"/>
      <c r="AZ964" s="131"/>
    </row>
    <row r="965" spans="1:52" ht="15.75" customHeight="1">
      <c r="A965" s="131"/>
      <c r="B965" s="178"/>
      <c r="C965" s="178"/>
      <c r="D965" s="178"/>
      <c r="E965" s="178"/>
      <c r="F965" s="178"/>
      <c r="G965" s="178"/>
      <c r="H965" s="178"/>
      <c r="I965" s="178"/>
      <c r="J965" s="178"/>
      <c r="K965" s="178"/>
      <c r="L965" s="178"/>
      <c r="M965" s="178"/>
      <c r="N965" s="178"/>
      <c r="O965" s="178"/>
      <c r="P965" s="178"/>
      <c r="Q965" s="178"/>
      <c r="R965" s="178"/>
      <c r="S965" s="178"/>
      <c r="T965" s="178"/>
      <c r="U965" s="178"/>
      <c r="V965" s="178"/>
      <c r="W965" s="178"/>
      <c r="X965" s="178"/>
      <c r="Y965" s="178"/>
      <c r="Z965" s="178"/>
      <c r="AA965" s="178"/>
      <c r="AB965" s="178"/>
      <c r="AC965" s="178"/>
      <c r="AD965" s="178"/>
      <c r="AE965" s="178"/>
      <c r="AF965" s="178"/>
      <c r="AG965" s="178"/>
      <c r="AH965" s="178"/>
      <c r="AI965" s="178"/>
      <c r="AJ965" s="178"/>
      <c r="AK965" s="178"/>
      <c r="AL965" s="178"/>
      <c r="AM965" s="178"/>
      <c r="AN965" s="178"/>
      <c r="AO965" s="178"/>
      <c r="AP965" s="178"/>
      <c r="AQ965" s="178"/>
      <c r="AR965" s="178"/>
      <c r="AS965" s="178"/>
      <c r="AT965" s="178"/>
      <c r="AU965" s="178"/>
      <c r="AV965" s="178"/>
      <c r="AW965" s="178"/>
      <c r="AX965" s="178"/>
      <c r="AY965" s="517"/>
      <c r="AZ965" s="131"/>
    </row>
    <row r="966" spans="1:52" ht="15.75" customHeight="1">
      <c r="A966" s="131"/>
      <c r="B966" s="178"/>
      <c r="C966" s="178"/>
      <c r="D966" s="178"/>
      <c r="E966" s="178"/>
      <c r="F966" s="178"/>
      <c r="G966" s="178"/>
      <c r="H966" s="178"/>
      <c r="I966" s="178"/>
      <c r="J966" s="178"/>
      <c r="K966" s="178"/>
      <c r="L966" s="178"/>
      <c r="M966" s="178"/>
      <c r="N966" s="178"/>
      <c r="O966" s="178"/>
      <c r="P966" s="178"/>
      <c r="Q966" s="178"/>
      <c r="R966" s="178"/>
      <c r="S966" s="178"/>
      <c r="T966" s="178"/>
      <c r="U966" s="178"/>
      <c r="V966" s="178"/>
      <c r="W966" s="178"/>
      <c r="X966" s="178"/>
      <c r="Y966" s="178"/>
      <c r="Z966" s="178"/>
      <c r="AA966" s="178"/>
      <c r="AB966" s="178"/>
      <c r="AC966" s="178"/>
      <c r="AD966" s="178"/>
      <c r="AE966" s="178"/>
      <c r="AF966" s="178"/>
      <c r="AG966" s="178"/>
      <c r="AH966" s="178"/>
      <c r="AI966" s="178"/>
      <c r="AJ966" s="178"/>
      <c r="AK966" s="178"/>
      <c r="AL966" s="178"/>
      <c r="AM966" s="178"/>
      <c r="AN966" s="178"/>
      <c r="AO966" s="178"/>
      <c r="AP966" s="178"/>
      <c r="AQ966" s="178"/>
      <c r="AR966" s="178"/>
      <c r="AS966" s="178"/>
      <c r="AT966" s="178"/>
      <c r="AU966" s="178"/>
      <c r="AV966" s="178"/>
      <c r="AW966" s="178"/>
      <c r="AX966" s="178"/>
      <c r="AY966" s="517"/>
      <c r="AZ966" s="131"/>
    </row>
    <row r="967" spans="1:52" ht="15.75" customHeight="1">
      <c r="A967" s="131"/>
      <c r="B967" s="178"/>
      <c r="C967" s="178"/>
      <c r="D967" s="178"/>
      <c r="E967" s="178"/>
      <c r="F967" s="178"/>
      <c r="G967" s="178"/>
      <c r="H967" s="178"/>
      <c r="I967" s="178"/>
      <c r="J967" s="178"/>
      <c r="K967" s="178"/>
      <c r="L967" s="178"/>
      <c r="M967" s="178"/>
      <c r="N967" s="178"/>
      <c r="O967" s="178"/>
      <c r="P967" s="178"/>
      <c r="Q967" s="178"/>
      <c r="R967" s="178"/>
      <c r="S967" s="178"/>
      <c r="T967" s="178"/>
      <c r="U967" s="178"/>
      <c r="V967" s="178"/>
      <c r="W967" s="178"/>
      <c r="X967" s="178"/>
      <c r="Y967" s="178"/>
      <c r="Z967" s="178"/>
      <c r="AA967" s="178"/>
      <c r="AB967" s="178"/>
      <c r="AC967" s="178"/>
      <c r="AD967" s="178"/>
      <c r="AE967" s="178"/>
      <c r="AF967" s="178"/>
      <c r="AG967" s="178"/>
      <c r="AH967" s="178"/>
      <c r="AI967" s="178"/>
      <c r="AJ967" s="178"/>
      <c r="AK967" s="178"/>
      <c r="AL967" s="178"/>
      <c r="AM967" s="178"/>
      <c r="AN967" s="178"/>
      <c r="AO967" s="178"/>
      <c r="AP967" s="178"/>
      <c r="AQ967" s="178"/>
      <c r="AR967" s="178"/>
      <c r="AS967" s="178"/>
      <c r="AT967" s="178"/>
      <c r="AU967" s="178"/>
      <c r="AV967" s="178"/>
      <c r="AW967" s="178"/>
      <c r="AX967" s="178"/>
      <c r="AY967" s="517"/>
      <c r="AZ967" s="131"/>
    </row>
    <row r="968" spans="1:52" ht="15.75" customHeight="1">
      <c r="A968" s="131"/>
      <c r="B968" s="178"/>
      <c r="C968" s="178"/>
      <c r="D968" s="178"/>
      <c r="E968" s="178"/>
      <c r="F968" s="178"/>
      <c r="G968" s="178"/>
      <c r="H968" s="178"/>
      <c r="I968" s="178"/>
      <c r="J968" s="178"/>
      <c r="K968" s="178"/>
      <c r="L968" s="178"/>
      <c r="M968" s="178"/>
      <c r="N968" s="178"/>
      <c r="O968" s="178"/>
      <c r="P968" s="178"/>
      <c r="Q968" s="178"/>
      <c r="R968" s="178"/>
      <c r="S968" s="178"/>
      <c r="T968" s="178"/>
      <c r="U968" s="178"/>
      <c r="V968" s="178"/>
      <c r="W968" s="178"/>
      <c r="X968" s="178"/>
      <c r="Y968" s="178"/>
      <c r="Z968" s="178"/>
      <c r="AA968" s="178"/>
      <c r="AB968" s="178"/>
      <c r="AC968" s="178"/>
      <c r="AD968" s="178"/>
      <c r="AE968" s="178"/>
      <c r="AF968" s="178"/>
      <c r="AG968" s="178"/>
      <c r="AH968" s="178"/>
      <c r="AI968" s="178"/>
      <c r="AJ968" s="178"/>
      <c r="AK968" s="178"/>
      <c r="AL968" s="178"/>
      <c r="AM968" s="178"/>
      <c r="AN968" s="178"/>
      <c r="AO968" s="178"/>
      <c r="AP968" s="178"/>
      <c r="AQ968" s="178"/>
      <c r="AR968" s="178"/>
      <c r="AS968" s="178"/>
      <c r="AT968" s="178"/>
      <c r="AU968" s="178"/>
      <c r="AV968" s="178"/>
      <c r="AW968" s="178"/>
      <c r="AX968" s="178"/>
      <c r="AY968" s="517"/>
      <c r="AZ968" s="131"/>
    </row>
    <row r="969" spans="1:52" ht="15.75" customHeight="1">
      <c r="A969" s="131"/>
      <c r="B969" s="178"/>
      <c r="C969" s="178"/>
      <c r="D969" s="178"/>
      <c r="E969" s="178"/>
      <c r="F969" s="178"/>
      <c r="G969" s="178"/>
      <c r="H969" s="178"/>
      <c r="I969" s="178"/>
      <c r="J969" s="178"/>
      <c r="K969" s="178"/>
      <c r="L969" s="178"/>
      <c r="M969" s="178"/>
      <c r="N969" s="178"/>
      <c r="O969" s="178"/>
      <c r="P969" s="178"/>
      <c r="Q969" s="178"/>
      <c r="R969" s="178"/>
      <c r="S969" s="178"/>
      <c r="T969" s="178"/>
      <c r="U969" s="178"/>
      <c r="V969" s="178"/>
      <c r="W969" s="178"/>
      <c r="X969" s="178"/>
      <c r="Y969" s="178"/>
      <c r="Z969" s="178"/>
      <c r="AA969" s="178"/>
      <c r="AB969" s="178"/>
      <c r="AC969" s="178"/>
      <c r="AD969" s="178"/>
      <c r="AE969" s="178"/>
      <c r="AF969" s="178"/>
      <c r="AG969" s="178"/>
      <c r="AH969" s="178"/>
      <c r="AI969" s="178"/>
      <c r="AJ969" s="178"/>
      <c r="AK969" s="178"/>
      <c r="AL969" s="178"/>
      <c r="AM969" s="178"/>
      <c r="AN969" s="178"/>
      <c r="AO969" s="178"/>
      <c r="AP969" s="178"/>
      <c r="AQ969" s="178"/>
      <c r="AR969" s="178"/>
      <c r="AS969" s="178"/>
      <c r="AT969" s="178"/>
      <c r="AU969" s="178"/>
      <c r="AV969" s="178"/>
      <c r="AW969" s="178"/>
      <c r="AX969" s="178"/>
      <c r="AY969" s="517"/>
      <c r="AZ969" s="131"/>
    </row>
    <row r="970" spans="1:52" ht="15.75" customHeight="1">
      <c r="A970" s="131"/>
      <c r="B970" s="178"/>
      <c r="C970" s="178"/>
      <c r="D970" s="178"/>
      <c r="E970" s="178"/>
      <c r="F970" s="178"/>
      <c r="G970" s="178"/>
      <c r="H970" s="178"/>
      <c r="I970" s="178"/>
      <c r="J970" s="178"/>
      <c r="K970" s="178"/>
      <c r="L970" s="178"/>
      <c r="M970" s="178"/>
      <c r="N970" s="178"/>
      <c r="O970" s="178"/>
      <c r="P970" s="178"/>
      <c r="Q970" s="178"/>
      <c r="R970" s="178"/>
      <c r="S970" s="178"/>
      <c r="T970" s="178"/>
      <c r="U970" s="178"/>
      <c r="V970" s="178"/>
      <c r="W970" s="178"/>
      <c r="X970" s="178"/>
      <c r="Y970" s="178"/>
      <c r="Z970" s="178"/>
      <c r="AA970" s="178"/>
      <c r="AB970" s="178"/>
      <c r="AC970" s="178"/>
      <c r="AD970" s="178"/>
      <c r="AE970" s="178"/>
      <c r="AF970" s="178"/>
      <c r="AG970" s="178"/>
      <c r="AH970" s="178"/>
      <c r="AI970" s="178"/>
      <c r="AJ970" s="178"/>
      <c r="AK970" s="178"/>
      <c r="AL970" s="178"/>
      <c r="AM970" s="178"/>
      <c r="AN970" s="178"/>
      <c r="AO970" s="178"/>
      <c r="AP970" s="178"/>
      <c r="AQ970" s="178"/>
      <c r="AR970" s="178"/>
      <c r="AS970" s="178"/>
      <c r="AT970" s="178"/>
      <c r="AU970" s="178"/>
      <c r="AV970" s="178"/>
      <c r="AW970" s="178"/>
      <c r="AX970" s="178"/>
      <c r="AY970" s="517"/>
      <c r="AZ970" s="131"/>
    </row>
    <row r="971" spans="1:52" ht="15.75" customHeight="1">
      <c r="A971" s="131"/>
      <c r="B971" s="178"/>
      <c r="C971" s="178"/>
      <c r="D971" s="178"/>
      <c r="E971" s="178"/>
      <c r="F971" s="178"/>
      <c r="G971" s="178"/>
      <c r="H971" s="178"/>
      <c r="I971" s="178"/>
      <c r="J971" s="178"/>
      <c r="K971" s="178"/>
      <c r="L971" s="178"/>
      <c r="M971" s="178"/>
      <c r="N971" s="178"/>
      <c r="O971" s="178"/>
      <c r="P971" s="178"/>
      <c r="Q971" s="178"/>
      <c r="R971" s="178"/>
      <c r="S971" s="178"/>
      <c r="T971" s="178"/>
      <c r="U971" s="178"/>
      <c r="V971" s="178"/>
      <c r="W971" s="178"/>
      <c r="X971" s="178"/>
      <c r="Y971" s="178"/>
      <c r="Z971" s="178"/>
      <c r="AA971" s="178"/>
      <c r="AB971" s="178"/>
      <c r="AC971" s="178"/>
      <c r="AD971" s="178"/>
      <c r="AE971" s="178"/>
      <c r="AF971" s="178"/>
      <c r="AG971" s="178"/>
      <c r="AH971" s="178"/>
      <c r="AI971" s="178"/>
      <c r="AJ971" s="178"/>
      <c r="AK971" s="178"/>
      <c r="AL971" s="178"/>
      <c r="AM971" s="178"/>
      <c r="AN971" s="178"/>
      <c r="AO971" s="178"/>
      <c r="AP971" s="178"/>
      <c r="AQ971" s="178"/>
      <c r="AR971" s="178"/>
      <c r="AS971" s="178"/>
      <c r="AT971" s="178"/>
      <c r="AU971" s="178"/>
      <c r="AV971" s="178"/>
      <c r="AW971" s="178"/>
      <c r="AX971" s="178"/>
      <c r="AY971" s="517"/>
      <c r="AZ971" s="131"/>
    </row>
    <row r="972" spans="1:52" ht="15.75" customHeight="1">
      <c r="A972" s="131"/>
      <c r="B972" s="178"/>
      <c r="C972" s="178"/>
      <c r="D972" s="178"/>
      <c r="E972" s="178"/>
      <c r="F972" s="178"/>
      <c r="G972" s="178"/>
      <c r="H972" s="178"/>
      <c r="I972" s="178"/>
      <c r="J972" s="178"/>
      <c r="K972" s="178"/>
      <c r="L972" s="178"/>
      <c r="M972" s="178"/>
      <c r="N972" s="178"/>
      <c r="O972" s="178"/>
      <c r="P972" s="178"/>
      <c r="Q972" s="178"/>
      <c r="R972" s="178"/>
      <c r="S972" s="178"/>
      <c r="T972" s="178"/>
      <c r="U972" s="178"/>
      <c r="V972" s="178"/>
      <c r="W972" s="178"/>
      <c r="X972" s="178"/>
      <c r="Y972" s="178"/>
      <c r="Z972" s="178"/>
      <c r="AA972" s="178"/>
      <c r="AB972" s="178"/>
      <c r="AC972" s="178"/>
      <c r="AD972" s="178"/>
      <c r="AE972" s="178"/>
      <c r="AF972" s="178"/>
      <c r="AG972" s="178"/>
      <c r="AH972" s="178"/>
      <c r="AI972" s="178"/>
      <c r="AJ972" s="178"/>
      <c r="AK972" s="178"/>
      <c r="AL972" s="178"/>
      <c r="AM972" s="178"/>
      <c r="AN972" s="178"/>
      <c r="AO972" s="178"/>
      <c r="AP972" s="178"/>
      <c r="AQ972" s="178"/>
      <c r="AR972" s="178"/>
      <c r="AS972" s="178"/>
      <c r="AT972" s="178"/>
      <c r="AU972" s="178"/>
      <c r="AV972" s="178"/>
      <c r="AW972" s="178"/>
      <c r="AX972" s="178"/>
      <c r="AY972" s="517"/>
      <c r="AZ972" s="131"/>
    </row>
    <row r="973" spans="1:52" ht="15.75" customHeight="1">
      <c r="A973" s="131"/>
      <c r="B973" s="178"/>
      <c r="C973" s="178"/>
      <c r="D973" s="178"/>
      <c r="E973" s="178"/>
      <c r="F973" s="178"/>
      <c r="G973" s="178"/>
      <c r="H973" s="178"/>
      <c r="I973" s="178"/>
      <c r="J973" s="178"/>
      <c r="K973" s="178"/>
      <c r="L973" s="178"/>
      <c r="M973" s="178"/>
      <c r="N973" s="178"/>
      <c r="O973" s="178"/>
      <c r="P973" s="178"/>
      <c r="Q973" s="178"/>
      <c r="R973" s="178"/>
      <c r="S973" s="178"/>
      <c r="T973" s="178"/>
      <c r="U973" s="178"/>
      <c r="V973" s="178"/>
      <c r="W973" s="178"/>
      <c r="X973" s="178"/>
      <c r="Y973" s="178"/>
      <c r="Z973" s="178"/>
      <c r="AA973" s="178"/>
      <c r="AB973" s="178"/>
      <c r="AC973" s="178"/>
      <c r="AD973" s="178"/>
      <c r="AE973" s="178"/>
      <c r="AF973" s="178"/>
      <c r="AG973" s="178"/>
      <c r="AH973" s="178"/>
      <c r="AI973" s="178"/>
      <c r="AJ973" s="178"/>
      <c r="AK973" s="178"/>
      <c r="AL973" s="178"/>
      <c r="AM973" s="178"/>
      <c r="AN973" s="178"/>
      <c r="AO973" s="178"/>
      <c r="AP973" s="178"/>
      <c r="AQ973" s="178"/>
      <c r="AR973" s="178"/>
      <c r="AS973" s="178"/>
      <c r="AT973" s="178"/>
      <c r="AU973" s="178"/>
      <c r="AV973" s="178"/>
      <c r="AW973" s="178"/>
      <c r="AX973" s="178"/>
      <c r="AY973" s="517"/>
      <c r="AZ973" s="131"/>
    </row>
    <row r="974" spans="1:52" ht="15.75" customHeight="1">
      <c r="A974" s="131"/>
      <c r="B974" s="178"/>
      <c r="C974" s="178"/>
      <c r="D974" s="178"/>
      <c r="E974" s="178"/>
      <c r="F974" s="178"/>
      <c r="G974" s="178"/>
      <c r="H974" s="178"/>
      <c r="I974" s="178"/>
      <c r="J974" s="178"/>
      <c r="K974" s="178"/>
      <c r="L974" s="178"/>
      <c r="M974" s="178"/>
      <c r="N974" s="178"/>
      <c r="O974" s="178"/>
      <c r="P974" s="178"/>
      <c r="Q974" s="178"/>
      <c r="R974" s="178"/>
      <c r="S974" s="178"/>
      <c r="T974" s="178"/>
      <c r="U974" s="178"/>
      <c r="V974" s="178"/>
      <c r="W974" s="178"/>
      <c r="X974" s="178"/>
      <c r="Y974" s="178"/>
      <c r="Z974" s="178"/>
      <c r="AA974" s="178"/>
      <c r="AB974" s="178"/>
      <c r="AC974" s="178"/>
      <c r="AD974" s="178"/>
      <c r="AE974" s="178"/>
      <c r="AF974" s="178"/>
      <c r="AG974" s="178"/>
      <c r="AH974" s="178"/>
      <c r="AI974" s="178"/>
      <c r="AJ974" s="178"/>
      <c r="AK974" s="178"/>
      <c r="AL974" s="178"/>
      <c r="AM974" s="178"/>
      <c r="AN974" s="178"/>
      <c r="AO974" s="178"/>
      <c r="AP974" s="178"/>
      <c r="AQ974" s="178"/>
      <c r="AR974" s="178"/>
      <c r="AS974" s="178"/>
      <c r="AT974" s="178"/>
      <c r="AU974" s="178"/>
      <c r="AV974" s="178"/>
      <c r="AW974" s="178"/>
      <c r="AX974" s="178"/>
      <c r="AY974" s="517"/>
      <c r="AZ974" s="131"/>
    </row>
    <row r="975" spans="1:52" ht="15.75" customHeight="1">
      <c r="A975" s="131"/>
      <c r="B975" s="178"/>
      <c r="C975" s="178"/>
      <c r="D975" s="178"/>
      <c r="E975" s="178"/>
      <c r="F975" s="178"/>
      <c r="G975" s="178"/>
      <c r="H975" s="178"/>
      <c r="I975" s="178"/>
      <c r="J975" s="178"/>
      <c r="K975" s="178"/>
      <c r="L975" s="178"/>
      <c r="M975" s="178"/>
      <c r="N975" s="178"/>
      <c r="O975" s="178"/>
      <c r="P975" s="178"/>
      <c r="Q975" s="178"/>
      <c r="R975" s="178"/>
      <c r="S975" s="178"/>
      <c r="T975" s="178"/>
      <c r="U975" s="178"/>
      <c r="V975" s="178"/>
      <c r="W975" s="178"/>
      <c r="X975" s="178"/>
      <c r="Y975" s="178"/>
      <c r="Z975" s="178"/>
      <c r="AA975" s="178"/>
      <c r="AB975" s="178"/>
      <c r="AC975" s="178"/>
      <c r="AD975" s="178"/>
      <c r="AE975" s="178"/>
      <c r="AF975" s="178"/>
      <c r="AG975" s="178"/>
      <c r="AH975" s="178"/>
      <c r="AI975" s="178"/>
      <c r="AJ975" s="178"/>
      <c r="AK975" s="178"/>
      <c r="AL975" s="178"/>
      <c r="AM975" s="178"/>
      <c r="AN975" s="178"/>
      <c r="AO975" s="178"/>
      <c r="AP975" s="178"/>
      <c r="AQ975" s="178"/>
      <c r="AR975" s="178"/>
      <c r="AS975" s="178"/>
      <c r="AT975" s="178"/>
      <c r="AU975" s="178"/>
      <c r="AV975" s="178"/>
      <c r="AW975" s="178"/>
      <c r="AX975" s="178"/>
      <c r="AY975" s="517"/>
      <c r="AZ975" s="131"/>
    </row>
    <row r="976" spans="1:52" ht="15.75" customHeight="1">
      <c r="A976" s="131"/>
      <c r="B976" s="178"/>
      <c r="C976" s="178"/>
      <c r="D976" s="178"/>
      <c r="E976" s="178"/>
      <c r="F976" s="178"/>
      <c r="G976" s="178"/>
      <c r="H976" s="178"/>
      <c r="I976" s="178"/>
      <c r="J976" s="178"/>
      <c r="K976" s="178"/>
      <c r="L976" s="178"/>
      <c r="M976" s="178"/>
      <c r="N976" s="178"/>
      <c r="O976" s="178"/>
      <c r="P976" s="178"/>
      <c r="Q976" s="178"/>
      <c r="R976" s="178"/>
      <c r="S976" s="178"/>
      <c r="T976" s="178"/>
      <c r="U976" s="178"/>
      <c r="V976" s="178"/>
      <c r="W976" s="178"/>
      <c r="X976" s="178"/>
      <c r="Y976" s="178"/>
      <c r="Z976" s="178"/>
      <c r="AA976" s="178"/>
      <c r="AB976" s="178"/>
      <c r="AC976" s="178"/>
      <c r="AD976" s="178"/>
      <c r="AE976" s="178"/>
      <c r="AF976" s="178"/>
      <c r="AG976" s="178"/>
      <c r="AH976" s="178"/>
      <c r="AI976" s="178"/>
      <c r="AJ976" s="178"/>
      <c r="AK976" s="178"/>
      <c r="AL976" s="178"/>
      <c r="AM976" s="178"/>
      <c r="AN976" s="178"/>
      <c r="AO976" s="178"/>
      <c r="AP976" s="178"/>
      <c r="AQ976" s="178"/>
      <c r="AR976" s="178"/>
      <c r="AS976" s="178"/>
      <c r="AT976" s="178"/>
      <c r="AU976" s="178"/>
      <c r="AV976" s="178"/>
      <c r="AW976" s="178"/>
      <c r="AX976" s="178"/>
      <c r="AY976" s="517"/>
      <c r="AZ976" s="131"/>
    </row>
    <row r="977" spans="1:52" ht="15.75" customHeight="1">
      <c r="A977" s="131"/>
      <c r="B977" s="178"/>
      <c r="C977" s="178"/>
      <c r="D977" s="178"/>
      <c r="E977" s="178"/>
      <c r="F977" s="178"/>
      <c r="G977" s="178"/>
      <c r="H977" s="178"/>
      <c r="I977" s="178"/>
      <c r="J977" s="178"/>
      <c r="K977" s="178"/>
      <c r="L977" s="178"/>
      <c r="M977" s="178"/>
      <c r="N977" s="178"/>
      <c r="O977" s="178"/>
      <c r="P977" s="178"/>
      <c r="Q977" s="178"/>
      <c r="R977" s="178"/>
      <c r="S977" s="178"/>
      <c r="T977" s="178"/>
      <c r="U977" s="178"/>
      <c r="V977" s="178"/>
      <c r="W977" s="178"/>
      <c r="X977" s="178"/>
      <c r="Y977" s="178"/>
      <c r="Z977" s="178"/>
      <c r="AA977" s="178"/>
      <c r="AB977" s="178"/>
      <c r="AC977" s="178"/>
      <c r="AD977" s="178"/>
      <c r="AE977" s="178"/>
      <c r="AF977" s="178"/>
      <c r="AG977" s="178"/>
      <c r="AH977" s="178"/>
      <c r="AI977" s="178"/>
      <c r="AJ977" s="178"/>
      <c r="AK977" s="178"/>
      <c r="AL977" s="178"/>
      <c r="AM977" s="178"/>
      <c r="AN977" s="178"/>
      <c r="AO977" s="178"/>
      <c r="AP977" s="178"/>
      <c r="AQ977" s="178"/>
      <c r="AR977" s="178"/>
      <c r="AS977" s="178"/>
      <c r="AT977" s="178"/>
      <c r="AU977" s="178"/>
      <c r="AV977" s="178"/>
      <c r="AW977" s="178"/>
      <c r="AX977" s="178"/>
      <c r="AY977" s="517"/>
      <c r="AZ977" s="131"/>
    </row>
    <row r="978" spans="1:52" ht="15.75" customHeight="1">
      <c r="A978" s="131"/>
      <c r="B978" s="178"/>
      <c r="C978" s="178"/>
      <c r="D978" s="178"/>
      <c r="E978" s="178"/>
      <c r="F978" s="178"/>
      <c r="G978" s="178"/>
      <c r="H978" s="178"/>
      <c r="I978" s="178"/>
      <c r="J978" s="178"/>
      <c r="K978" s="178"/>
      <c r="L978" s="178"/>
      <c r="M978" s="178"/>
      <c r="N978" s="178"/>
      <c r="O978" s="178"/>
      <c r="P978" s="178"/>
      <c r="Q978" s="178"/>
      <c r="R978" s="178"/>
      <c r="S978" s="178"/>
      <c r="T978" s="178"/>
      <c r="U978" s="178"/>
      <c r="V978" s="178"/>
      <c r="W978" s="178"/>
      <c r="X978" s="178"/>
      <c r="Y978" s="178"/>
      <c r="Z978" s="178"/>
      <c r="AA978" s="178"/>
      <c r="AB978" s="178"/>
      <c r="AC978" s="178"/>
      <c r="AD978" s="178"/>
      <c r="AE978" s="178"/>
      <c r="AF978" s="178"/>
      <c r="AG978" s="178"/>
      <c r="AH978" s="178"/>
      <c r="AI978" s="178"/>
      <c r="AJ978" s="178"/>
      <c r="AK978" s="178"/>
      <c r="AL978" s="178"/>
      <c r="AM978" s="178"/>
      <c r="AN978" s="178"/>
      <c r="AO978" s="178"/>
      <c r="AP978" s="178"/>
      <c r="AQ978" s="178"/>
      <c r="AR978" s="178"/>
      <c r="AS978" s="178"/>
      <c r="AT978" s="178"/>
      <c r="AU978" s="178"/>
      <c r="AV978" s="178"/>
      <c r="AW978" s="178"/>
      <c r="AX978" s="178"/>
      <c r="AY978" s="517"/>
      <c r="AZ978" s="131"/>
    </row>
    <row r="979" spans="1:52" ht="15.75" customHeight="1">
      <c r="A979" s="131"/>
      <c r="B979" s="178"/>
      <c r="C979" s="178"/>
      <c r="D979" s="178"/>
      <c r="E979" s="178"/>
      <c r="F979" s="178"/>
      <c r="G979" s="178"/>
      <c r="H979" s="178"/>
      <c r="I979" s="178"/>
      <c r="J979" s="178"/>
      <c r="K979" s="178"/>
      <c r="L979" s="178"/>
      <c r="M979" s="178"/>
      <c r="N979" s="178"/>
      <c r="O979" s="178"/>
      <c r="P979" s="178"/>
      <c r="Q979" s="178"/>
      <c r="R979" s="178"/>
      <c r="S979" s="178"/>
      <c r="T979" s="178"/>
      <c r="U979" s="178"/>
      <c r="V979" s="178"/>
      <c r="W979" s="178"/>
      <c r="X979" s="178"/>
      <c r="Y979" s="178"/>
      <c r="Z979" s="178"/>
      <c r="AA979" s="178"/>
      <c r="AB979" s="178"/>
      <c r="AC979" s="178"/>
      <c r="AD979" s="178"/>
      <c r="AE979" s="178"/>
      <c r="AF979" s="178"/>
      <c r="AG979" s="178"/>
      <c r="AH979" s="178"/>
      <c r="AI979" s="178"/>
      <c r="AJ979" s="178"/>
      <c r="AK979" s="178"/>
      <c r="AL979" s="178"/>
      <c r="AM979" s="178"/>
      <c r="AN979" s="178"/>
      <c r="AO979" s="178"/>
      <c r="AP979" s="178"/>
      <c r="AQ979" s="178"/>
      <c r="AR979" s="178"/>
      <c r="AS979" s="178"/>
      <c r="AT979" s="178"/>
      <c r="AU979" s="178"/>
      <c r="AV979" s="178"/>
      <c r="AW979" s="178"/>
      <c r="AX979" s="178"/>
      <c r="AY979" s="517"/>
      <c r="AZ979" s="131"/>
    </row>
    <row r="980" spans="1:52" ht="15.75" customHeight="1">
      <c r="A980" s="131"/>
      <c r="B980" s="178"/>
      <c r="C980" s="178"/>
      <c r="D980" s="178"/>
      <c r="E980" s="178"/>
      <c r="F980" s="178"/>
      <c r="G980" s="178"/>
      <c r="H980" s="178"/>
      <c r="I980" s="178"/>
      <c r="J980" s="178"/>
      <c r="K980" s="178"/>
      <c r="L980" s="178"/>
      <c r="M980" s="178"/>
      <c r="N980" s="178"/>
      <c r="O980" s="178"/>
      <c r="P980" s="178"/>
      <c r="Q980" s="178"/>
      <c r="R980" s="178"/>
      <c r="S980" s="178"/>
      <c r="T980" s="178"/>
      <c r="U980" s="178"/>
      <c r="V980" s="178"/>
      <c r="W980" s="178"/>
      <c r="X980" s="178"/>
      <c r="Y980" s="178"/>
      <c r="Z980" s="178"/>
      <c r="AA980" s="178"/>
      <c r="AB980" s="178"/>
      <c r="AC980" s="178"/>
      <c r="AD980" s="178"/>
      <c r="AE980" s="178"/>
      <c r="AF980" s="178"/>
      <c r="AG980" s="178"/>
      <c r="AH980" s="178"/>
      <c r="AI980" s="178"/>
      <c r="AJ980" s="178"/>
      <c r="AK980" s="178"/>
      <c r="AL980" s="178"/>
      <c r="AM980" s="178"/>
      <c r="AN980" s="178"/>
      <c r="AO980" s="178"/>
      <c r="AP980" s="178"/>
      <c r="AQ980" s="178"/>
      <c r="AR980" s="178"/>
      <c r="AS980" s="178"/>
      <c r="AT980" s="178"/>
      <c r="AU980" s="178"/>
      <c r="AV980" s="178"/>
      <c r="AW980" s="178"/>
      <c r="AX980" s="178"/>
      <c r="AY980" s="517"/>
      <c r="AZ980" s="131"/>
    </row>
    <row r="981" spans="1:52" ht="15.75" customHeight="1">
      <c r="A981" s="131"/>
      <c r="B981" s="178"/>
      <c r="C981" s="178"/>
      <c r="D981" s="178"/>
      <c r="E981" s="178"/>
      <c r="F981" s="178"/>
      <c r="G981" s="178"/>
      <c r="H981" s="178"/>
      <c r="I981" s="178"/>
      <c r="J981" s="178"/>
      <c r="K981" s="178"/>
      <c r="L981" s="178"/>
      <c r="M981" s="178"/>
      <c r="N981" s="178"/>
      <c r="O981" s="178"/>
      <c r="P981" s="178"/>
      <c r="Q981" s="178"/>
      <c r="R981" s="178"/>
      <c r="S981" s="178"/>
      <c r="T981" s="178"/>
      <c r="U981" s="178"/>
      <c r="V981" s="178"/>
      <c r="W981" s="178"/>
      <c r="X981" s="178"/>
      <c r="Y981" s="178"/>
      <c r="Z981" s="178"/>
      <c r="AA981" s="178"/>
      <c r="AB981" s="178"/>
      <c r="AC981" s="178"/>
      <c r="AD981" s="178"/>
      <c r="AE981" s="178"/>
      <c r="AF981" s="178"/>
      <c r="AG981" s="178"/>
      <c r="AH981" s="178"/>
      <c r="AI981" s="178"/>
      <c r="AJ981" s="178"/>
      <c r="AK981" s="178"/>
      <c r="AL981" s="178"/>
      <c r="AM981" s="178"/>
      <c r="AN981" s="178"/>
      <c r="AO981" s="178"/>
      <c r="AP981" s="178"/>
      <c r="AQ981" s="178"/>
      <c r="AR981" s="178"/>
      <c r="AS981" s="178"/>
      <c r="AT981" s="178"/>
      <c r="AU981" s="178"/>
      <c r="AV981" s="178"/>
      <c r="AW981" s="178"/>
      <c r="AX981" s="178"/>
      <c r="AY981" s="517"/>
      <c r="AZ981" s="131"/>
    </row>
    <row r="982" spans="1:52" ht="15.75" customHeight="1">
      <c r="A982" s="131"/>
      <c r="B982" s="178"/>
      <c r="C982" s="178"/>
      <c r="D982" s="178"/>
      <c r="E982" s="178"/>
      <c r="F982" s="178"/>
      <c r="G982" s="178"/>
      <c r="H982" s="178"/>
      <c r="I982" s="178"/>
      <c r="J982" s="178"/>
      <c r="K982" s="178"/>
      <c r="L982" s="178"/>
      <c r="M982" s="178"/>
      <c r="N982" s="178"/>
      <c r="O982" s="178"/>
      <c r="P982" s="178"/>
      <c r="Q982" s="178"/>
      <c r="R982" s="178"/>
      <c r="S982" s="178"/>
      <c r="T982" s="178"/>
      <c r="U982" s="178"/>
      <c r="V982" s="178"/>
      <c r="W982" s="178"/>
      <c r="X982" s="178"/>
      <c r="Y982" s="178"/>
      <c r="Z982" s="178"/>
      <c r="AA982" s="178"/>
      <c r="AB982" s="178"/>
      <c r="AC982" s="178"/>
      <c r="AD982" s="178"/>
      <c r="AE982" s="178"/>
      <c r="AF982" s="178"/>
      <c r="AG982" s="178"/>
      <c r="AH982" s="178"/>
      <c r="AI982" s="178"/>
      <c r="AJ982" s="178"/>
      <c r="AK982" s="178"/>
      <c r="AL982" s="178"/>
      <c r="AM982" s="178"/>
      <c r="AN982" s="178"/>
      <c r="AO982" s="178"/>
      <c r="AP982" s="178"/>
      <c r="AQ982" s="178"/>
      <c r="AR982" s="178"/>
      <c r="AS982" s="178"/>
      <c r="AT982" s="178"/>
      <c r="AU982" s="178"/>
      <c r="AV982" s="178"/>
      <c r="AW982" s="178"/>
      <c r="AX982" s="178"/>
      <c r="AY982" s="517"/>
      <c r="AZ982" s="131"/>
    </row>
    <row r="983" spans="1:52" ht="15.75" customHeight="1">
      <c r="A983" s="131"/>
      <c r="B983" s="178"/>
      <c r="C983" s="178"/>
      <c r="D983" s="178"/>
      <c r="E983" s="178"/>
      <c r="F983" s="178"/>
      <c r="G983" s="178"/>
      <c r="H983" s="178"/>
      <c r="I983" s="178"/>
      <c r="J983" s="178"/>
      <c r="K983" s="178"/>
      <c r="L983" s="178"/>
      <c r="M983" s="178"/>
      <c r="N983" s="178"/>
      <c r="O983" s="178"/>
      <c r="P983" s="178"/>
      <c r="Q983" s="178"/>
      <c r="R983" s="178"/>
      <c r="S983" s="178"/>
      <c r="T983" s="178"/>
      <c r="U983" s="178"/>
      <c r="V983" s="178"/>
      <c r="W983" s="178"/>
      <c r="X983" s="178"/>
      <c r="Y983" s="178"/>
      <c r="Z983" s="178"/>
      <c r="AA983" s="178"/>
      <c r="AB983" s="178"/>
      <c r="AC983" s="178"/>
      <c r="AD983" s="178"/>
      <c r="AE983" s="178"/>
      <c r="AF983" s="178"/>
      <c r="AG983" s="178"/>
      <c r="AH983" s="178"/>
      <c r="AI983" s="178"/>
      <c r="AJ983" s="178"/>
      <c r="AK983" s="178"/>
      <c r="AL983" s="178"/>
      <c r="AM983" s="178"/>
      <c r="AN983" s="178"/>
      <c r="AO983" s="178"/>
      <c r="AP983" s="178"/>
      <c r="AQ983" s="178"/>
      <c r="AR983" s="178"/>
      <c r="AS983" s="178"/>
      <c r="AT983" s="178"/>
      <c r="AU983" s="178"/>
      <c r="AV983" s="178"/>
      <c r="AW983" s="178"/>
      <c r="AX983" s="178"/>
      <c r="AY983" s="517"/>
      <c r="AZ983" s="131"/>
    </row>
    <row r="984" spans="1:52" ht="15.75" customHeight="1">
      <c r="A984" s="131"/>
      <c r="B984" s="178"/>
      <c r="C984" s="178"/>
      <c r="D984" s="178"/>
      <c r="E984" s="178"/>
      <c r="F984" s="178"/>
      <c r="G984" s="178"/>
      <c r="H984" s="178"/>
      <c r="I984" s="178"/>
      <c r="J984" s="178"/>
      <c r="K984" s="178"/>
      <c r="L984" s="178"/>
      <c r="M984" s="178"/>
      <c r="N984" s="178"/>
      <c r="O984" s="178"/>
      <c r="P984" s="178"/>
      <c r="Q984" s="178"/>
      <c r="R984" s="178"/>
      <c r="S984" s="178"/>
      <c r="T984" s="178"/>
      <c r="U984" s="178"/>
      <c r="V984" s="178"/>
      <c r="W984" s="178"/>
      <c r="X984" s="178"/>
      <c r="Y984" s="178"/>
      <c r="Z984" s="178"/>
      <c r="AA984" s="178"/>
      <c r="AB984" s="178"/>
      <c r="AC984" s="178"/>
      <c r="AD984" s="178"/>
      <c r="AE984" s="178"/>
      <c r="AF984" s="178"/>
      <c r="AG984" s="178"/>
      <c r="AH984" s="178"/>
      <c r="AI984" s="178"/>
      <c r="AJ984" s="178"/>
      <c r="AK984" s="178"/>
      <c r="AL984" s="178"/>
      <c r="AM984" s="178"/>
      <c r="AN984" s="178"/>
      <c r="AO984" s="178"/>
      <c r="AP984" s="178"/>
      <c r="AQ984" s="178"/>
      <c r="AR984" s="178"/>
      <c r="AS984" s="178"/>
      <c r="AT984" s="178"/>
      <c r="AU984" s="178"/>
      <c r="AV984" s="178"/>
      <c r="AW984" s="178"/>
      <c r="AX984" s="178"/>
      <c r="AY984" s="517"/>
      <c r="AZ984" s="131"/>
    </row>
    <row r="985" spans="1:52" ht="15.75" customHeight="1">
      <c r="A985" s="131"/>
      <c r="B985" s="178"/>
      <c r="C985" s="178"/>
      <c r="D985" s="178"/>
      <c r="E985" s="178"/>
      <c r="F985" s="178"/>
      <c r="G985" s="178"/>
      <c r="H985" s="178"/>
      <c r="I985" s="178"/>
      <c r="J985" s="178"/>
      <c r="K985" s="178"/>
      <c r="L985" s="178"/>
      <c r="M985" s="178"/>
      <c r="N985" s="178"/>
      <c r="O985" s="178"/>
      <c r="P985" s="178"/>
      <c r="Q985" s="178"/>
      <c r="R985" s="178"/>
      <c r="S985" s="178"/>
      <c r="T985" s="178"/>
      <c r="U985" s="178"/>
      <c r="V985" s="178"/>
      <c r="W985" s="178"/>
      <c r="X985" s="178"/>
      <c r="Y985" s="178"/>
      <c r="Z985" s="178"/>
      <c r="AA985" s="178"/>
      <c r="AB985" s="178"/>
      <c r="AC985" s="178"/>
      <c r="AD985" s="178"/>
      <c r="AE985" s="178"/>
      <c r="AF985" s="178"/>
      <c r="AG985" s="178"/>
      <c r="AH985" s="178"/>
      <c r="AI985" s="178"/>
      <c r="AJ985" s="178"/>
      <c r="AK985" s="178"/>
      <c r="AL985" s="178"/>
      <c r="AM985" s="178"/>
      <c r="AN985" s="178"/>
      <c r="AO985" s="178"/>
      <c r="AP985" s="178"/>
      <c r="AQ985" s="178"/>
      <c r="AR985" s="178"/>
      <c r="AS985" s="178"/>
      <c r="AT985" s="178"/>
      <c r="AU985" s="178"/>
      <c r="AV985" s="178"/>
      <c r="AW985" s="178"/>
      <c r="AX985" s="178"/>
      <c r="AY985" s="517"/>
      <c r="AZ985" s="131"/>
    </row>
    <row r="986" spans="1:52" ht="15.75" customHeight="1">
      <c r="A986" s="131"/>
      <c r="B986" s="178"/>
      <c r="C986" s="178"/>
      <c r="D986" s="178"/>
      <c r="E986" s="178"/>
      <c r="F986" s="178"/>
      <c r="G986" s="178"/>
      <c r="H986" s="178"/>
      <c r="I986" s="178"/>
      <c r="J986" s="178"/>
      <c r="K986" s="178"/>
      <c r="L986" s="178"/>
      <c r="M986" s="178"/>
      <c r="N986" s="178"/>
      <c r="O986" s="178"/>
      <c r="P986" s="178"/>
      <c r="Q986" s="178"/>
      <c r="R986" s="178"/>
      <c r="S986" s="178"/>
      <c r="T986" s="178"/>
      <c r="U986" s="178"/>
      <c r="V986" s="178"/>
      <c r="W986" s="178"/>
      <c r="X986" s="178"/>
      <c r="Y986" s="178"/>
      <c r="Z986" s="178"/>
      <c r="AA986" s="178"/>
      <c r="AB986" s="178"/>
      <c r="AC986" s="178"/>
      <c r="AD986" s="178"/>
      <c r="AE986" s="178"/>
      <c r="AF986" s="178"/>
      <c r="AG986" s="178"/>
      <c r="AH986" s="178"/>
      <c r="AI986" s="178"/>
      <c r="AJ986" s="178"/>
      <c r="AK986" s="178"/>
      <c r="AL986" s="178"/>
      <c r="AM986" s="178"/>
      <c r="AN986" s="178"/>
      <c r="AO986" s="178"/>
      <c r="AP986" s="178"/>
      <c r="AQ986" s="178"/>
      <c r="AR986" s="178"/>
      <c r="AS986" s="178"/>
      <c r="AT986" s="178"/>
      <c r="AU986" s="178"/>
      <c r="AV986" s="178"/>
      <c r="AW986" s="178"/>
      <c r="AX986" s="178"/>
      <c r="AY986" s="517"/>
      <c r="AZ986" s="131"/>
    </row>
    <row r="987" spans="1:52" ht="15.75" customHeight="1">
      <c r="A987" s="131"/>
      <c r="B987" s="178"/>
      <c r="C987" s="178"/>
      <c r="D987" s="178"/>
      <c r="E987" s="178"/>
      <c r="F987" s="178"/>
      <c r="G987" s="178"/>
      <c r="H987" s="178"/>
      <c r="I987" s="178"/>
      <c r="J987" s="178"/>
      <c r="K987" s="178"/>
      <c r="L987" s="178"/>
      <c r="M987" s="178"/>
      <c r="N987" s="178"/>
      <c r="O987" s="178"/>
      <c r="P987" s="178"/>
      <c r="Q987" s="178"/>
      <c r="R987" s="178"/>
      <c r="S987" s="178"/>
      <c r="T987" s="178"/>
      <c r="U987" s="178"/>
      <c r="V987" s="178"/>
      <c r="W987" s="178"/>
      <c r="X987" s="178"/>
      <c r="Y987" s="178"/>
      <c r="Z987" s="178"/>
      <c r="AA987" s="178"/>
      <c r="AB987" s="178"/>
      <c r="AC987" s="178"/>
      <c r="AD987" s="178"/>
      <c r="AE987" s="178"/>
      <c r="AF987" s="178"/>
      <c r="AG987" s="178"/>
      <c r="AH987" s="178"/>
      <c r="AI987" s="178"/>
      <c r="AJ987" s="178"/>
      <c r="AK987" s="178"/>
      <c r="AL987" s="178"/>
      <c r="AM987" s="178"/>
      <c r="AN987" s="178"/>
      <c r="AO987" s="178"/>
      <c r="AP987" s="178"/>
      <c r="AQ987" s="178"/>
      <c r="AR987" s="178"/>
      <c r="AS987" s="178"/>
      <c r="AT987" s="178"/>
      <c r="AU987" s="178"/>
      <c r="AV987" s="178"/>
      <c r="AW987" s="178"/>
      <c r="AX987" s="178"/>
      <c r="AY987" s="517"/>
      <c r="AZ987" s="131"/>
    </row>
    <row r="988" spans="1:52" ht="15.75" customHeight="1">
      <c r="A988" s="131"/>
      <c r="B988" s="178"/>
      <c r="C988" s="178"/>
      <c r="D988" s="178"/>
      <c r="E988" s="178"/>
      <c r="F988" s="178"/>
      <c r="G988" s="178"/>
      <c r="H988" s="178"/>
      <c r="I988" s="178"/>
      <c r="J988" s="178"/>
      <c r="K988" s="178"/>
      <c r="L988" s="178"/>
      <c r="M988" s="178"/>
      <c r="N988" s="178"/>
      <c r="O988" s="178"/>
      <c r="P988" s="178"/>
      <c r="Q988" s="178"/>
      <c r="R988" s="178"/>
      <c r="S988" s="178"/>
      <c r="T988" s="178"/>
      <c r="U988" s="178"/>
      <c r="V988" s="178"/>
      <c r="W988" s="178"/>
      <c r="X988" s="178"/>
      <c r="Y988" s="178"/>
      <c r="Z988" s="178"/>
      <c r="AA988" s="178"/>
      <c r="AB988" s="178"/>
      <c r="AC988" s="178"/>
      <c r="AD988" s="178"/>
      <c r="AE988" s="178"/>
      <c r="AF988" s="178"/>
      <c r="AG988" s="178"/>
      <c r="AH988" s="178"/>
      <c r="AI988" s="178"/>
      <c r="AJ988" s="178"/>
      <c r="AK988" s="178"/>
      <c r="AL988" s="178"/>
      <c r="AM988" s="178"/>
      <c r="AN988" s="178"/>
      <c r="AO988" s="178"/>
      <c r="AP988" s="178"/>
      <c r="AQ988" s="178"/>
      <c r="AR988" s="178"/>
      <c r="AS988" s="178"/>
      <c r="AT988" s="178"/>
      <c r="AU988" s="178"/>
      <c r="AV988" s="178"/>
      <c r="AW988" s="178"/>
      <c r="AX988" s="178"/>
      <c r="AY988" s="517"/>
      <c r="AZ988" s="131"/>
    </row>
    <row r="989" spans="1:52" ht="15.75" customHeight="1">
      <c r="A989" s="131"/>
      <c r="B989" s="178"/>
      <c r="C989" s="178"/>
      <c r="D989" s="178"/>
      <c r="E989" s="178"/>
      <c r="F989" s="178"/>
      <c r="G989" s="178"/>
      <c r="H989" s="178"/>
      <c r="I989" s="178"/>
      <c r="J989" s="178"/>
      <c r="K989" s="178"/>
      <c r="L989" s="178"/>
      <c r="M989" s="178"/>
      <c r="N989" s="178"/>
      <c r="O989" s="178"/>
      <c r="P989" s="178"/>
      <c r="Q989" s="178"/>
      <c r="R989" s="178"/>
      <c r="S989" s="178"/>
      <c r="T989" s="178"/>
      <c r="U989" s="178"/>
      <c r="V989" s="178"/>
      <c r="W989" s="178"/>
      <c r="X989" s="178"/>
      <c r="Y989" s="178"/>
      <c r="Z989" s="178"/>
      <c r="AA989" s="178"/>
      <c r="AB989" s="178"/>
      <c r="AC989" s="178"/>
      <c r="AD989" s="178"/>
      <c r="AE989" s="178"/>
      <c r="AF989" s="178"/>
      <c r="AG989" s="178"/>
      <c r="AH989" s="178"/>
      <c r="AI989" s="178"/>
      <c r="AJ989" s="178"/>
      <c r="AK989" s="178"/>
      <c r="AL989" s="178"/>
      <c r="AM989" s="178"/>
      <c r="AN989" s="178"/>
      <c r="AO989" s="178"/>
      <c r="AP989" s="178"/>
      <c r="AQ989" s="178"/>
      <c r="AR989" s="178"/>
      <c r="AS989" s="178"/>
      <c r="AT989" s="178"/>
      <c r="AU989" s="178"/>
      <c r="AV989" s="178"/>
      <c r="AW989" s="178"/>
      <c r="AX989" s="178"/>
      <c r="AY989" s="517"/>
      <c r="AZ989" s="131"/>
    </row>
    <row r="990" spans="1:52" ht="15.75" customHeight="1">
      <c r="A990" s="131"/>
      <c r="B990" s="178"/>
      <c r="C990" s="178"/>
      <c r="D990" s="178"/>
      <c r="E990" s="178"/>
      <c r="F990" s="178"/>
      <c r="G990" s="178"/>
      <c r="H990" s="178"/>
      <c r="I990" s="178"/>
      <c r="J990" s="178"/>
      <c r="K990" s="178"/>
      <c r="L990" s="178"/>
      <c r="M990" s="178"/>
      <c r="N990" s="178"/>
      <c r="O990" s="178"/>
      <c r="P990" s="178"/>
      <c r="Q990" s="178"/>
      <c r="R990" s="178"/>
      <c r="S990" s="178"/>
      <c r="T990" s="178"/>
      <c r="U990" s="178"/>
      <c r="V990" s="178"/>
      <c r="W990" s="178"/>
      <c r="X990" s="178"/>
      <c r="Y990" s="178"/>
      <c r="Z990" s="178"/>
      <c r="AA990" s="178"/>
      <c r="AB990" s="178"/>
      <c r="AC990" s="178"/>
      <c r="AD990" s="178"/>
      <c r="AE990" s="178"/>
      <c r="AF990" s="178"/>
      <c r="AG990" s="178"/>
      <c r="AH990" s="178"/>
      <c r="AI990" s="178"/>
      <c r="AJ990" s="178"/>
      <c r="AK990" s="178"/>
      <c r="AL990" s="178"/>
      <c r="AM990" s="178"/>
      <c r="AN990" s="178"/>
      <c r="AO990" s="178"/>
      <c r="AP990" s="178"/>
      <c r="AQ990" s="178"/>
      <c r="AR990" s="178"/>
      <c r="AS990" s="178"/>
      <c r="AT990" s="178"/>
      <c r="AU990" s="178"/>
      <c r="AV990" s="178"/>
      <c r="AW990" s="178"/>
      <c r="AX990" s="178"/>
      <c r="AY990" s="517"/>
      <c r="AZ990" s="131"/>
    </row>
    <row r="991" spans="1:52" ht="15.75" customHeight="1">
      <c r="A991" s="131"/>
      <c r="B991" s="178"/>
      <c r="C991" s="178"/>
      <c r="D991" s="178"/>
      <c r="E991" s="178"/>
      <c r="F991" s="178"/>
      <c r="G991" s="178"/>
      <c r="H991" s="178"/>
      <c r="I991" s="178"/>
      <c r="J991" s="178"/>
      <c r="K991" s="178"/>
      <c r="L991" s="178"/>
      <c r="M991" s="178"/>
      <c r="N991" s="178"/>
      <c r="O991" s="178"/>
      <c r="P991" s="178"/>
      <c r="Q991" s="178"/>
      <c r="R991" s="178"/>
      <c r="S991" s="178"/>
      <c r="T991" s="178"/>
      <c r="U991" s="178"/>
      <c r="V991" s="178"/>
      <c r="W991" s="178"/>
      <c r="X991" s="178"/>
      <c r="Y991" s="178"/>
      <c r="Z991" s="178"/>
      <c r="AA991" s="178"/>
      <c r="AB991" s="178"/>
      <c r="AC991" s="178"/>
      <c r="AD991" s="178"/>
      <c r="AE991" s="178"/>
      <c r="AF991" s="178"/>
      <c r="AG991" s="178"/>
      <c r="AH991" s="178"/>
      <c r="AI991" s="178"/>
      <c r="AJ991" s="178"/>
      <c r="AK991" s="178"/>
      <c r="AL991" s="178"/>
      <c r="AM991" s="178"/>
      <c r="AN991" s="178"/>
      <c r="AO991" s="178"/>
      <c r="AP991" s="178"/>
      <c r="AQ991" s="178"/>
      <c r="AR991" s="178"/>
      <c r="AS991" s="178"/>
      <c r="AT991" s="178"/>
      <c r="AU991" s="178"/>
      <c r="AV991" s="178"/>
      <c r="AW991" s="178"/>
      <c r="AX991" s="178"/>
      <c r="AY991" s="517"/>
      <c r="AZ991" s="131"/>
    </row>
    <row r="992" spans="1:52" ht="15.75" customHeight="1">
      <c r="A992" s="131"/>
      <c r="B992" s="178"/>
      <c r="C992" s="178"/>
      <c r="D992" s="178"/>
      <c r="E992" s="178"/>
      <c r="F992" s="178"/>
      <c r="G992" s="178"/>
      <c r="H992" s="178"/>
      <c r="I992" s="178"/>
      <c r="J992" s="178"/>
      <c r="K992" s="178"/>
      <c r="L992" s="178"/>
      <c r="M992" s="178"/>
      <c r="N992" s="178"/>
      <c r="O992" s="178"/>
      <c r="P992" s="178"/>
      <c r="Q992" s="178"/>
      <c r="R992" s="178"/>
      <c r="S992" s="178"/>
      <c r="T992" s="178"/>
      <c r="U992" s="178"/>
      <c r="V992" s="178"/>
      <c r="W992" s="178"/>
      <c r="X992" s="178"/>
      <c r="Y992" s="178"/>
      <c r="Z992" s="178"/>
      <c r="AA992" s="178"/>
      <c r="AB992" s="178"/>
      <c r="AC992" s="178"/>
      <c r="AD992" s="178"/>
      <c r="AE992" s="178"/>
      <c r="AF992" s="178"/>
      <c r="AG992" s="178"/>
      <c r="AH992" s="178"/>
      <c r="AI992" s="178"/>
      <c r="AJ992" s="178"/>
      <c r="AK992" s="178"/>
      <c r="AL992" s="178"/>
      <c r="AM992" s="178"/>
      <c r="AN992" s="178"/>
      <c r="AO992" s="178"/>
      <c r="AP992" s="178"/>
      <c r="AQ992" s="178"/>
      <c r="AR992" s="178"/>
      <c r="AS992" s="178"/>
      <c r="AT992" s="178"/>
      <c r="AU992" s="178"/>
      <c r="AV992" s="178"/>
      <c r="AW992" s="178"/>
      <c r="AX992" s="178"/>
      <c r="AY992" s="517"/>
      <c r="AZ992" s="131"/>
    </row>
    <row r="993" spans="1:52" ht="15.75" customHeight="1">
      <c r="A993" s="131"/>
      <c r="B993" s="178"/>
      <c r="C993" s="178"/>
      <c r="D993" s="178"/>
      <c r="E993" s="178"/>
      <c r="F993" s="178"/>
      <c r="G993" s="178"/>
      <c r="H993" s="178"/>
      <c r="I993" s="178"/>
      <c r="J993" s="178"/>
      <c r="K993" s="178"/>
      <c r="L993" s="178"/>
      <c r="M993" s="178"/>
      <c r="N993" s="178"/>
      <c r="O993" s="178"/>
      <c r="P993" s="178"/>
      <c r="Q993" s="178"/>
      <c r="R993" s="178"/>
      <c r="S993" s="178"/>
      <c r="T993" s="178"/>
      <c r="U993" s="178"/>
      <c r="V993" s="178"/>
      <c r="W993" s="178"/>
      <c r="X993" s="178"/>
      <c r="Y993" s="178"/>
      <c r="Z993" s="178"/>
      <c r="AA993" s="178"/>
      <c r="AB993" s="178"/>
      <c r="AC993" s="178"/>
      <c r="AD993" s="178"/>
      <c r="AE993" s="178"/>
      <c r="AF993" s="178"/>
      <c r="AG993" s="178"/>
      <c r="AH993" s="178"/>
      <c r="AI993" s="178"/>
      <c r="AJ993" s="178"/>
      <c r="AK993" s="178"/>
      <c r="AL993" s="178"/>
      <c r="AM993" s="178"/>
      <c r="AN993" s="178"/>
      <c r="AO993" s="178"/>
      <c r="AP993" s="178"/>
      <c r="AQ993" s="178"/>
      <c r="AR993" s="178"/>
      <c r="AS993" s="178"/>
      <c r="AT993" s="178"/>
      <c r="AU993" s="178"/>
      <c r="AV993" s="178"/>
      <c r="AW993" s="178"/>
      <c r="AX993" s="178"/>
      <c r="AY993" s="517"/>
      <c r="AZ993" s="131"/>
    </row>
    <row r="994" spans="1:52" ht="15.75" customHeight="1">
      <c r="A994" s="131"/>
      <c r="B994" s="178"/>
      <c r="C994" s="178"/>
      <c r="D994" s="178"/>
      <c r="E994" s="178"/>
      <c r="F994" s="178"/>
      <c r="G994" s="178"/>
      <c r="H994" s="178"/>
      <c r="I994" s="178"/>
      <c r="J994" s="178"/>
      <c r="K994" s="178"/>
      <c r="L994" s="178"/>
      <c r="M994" s="178"/>
      <c r="N994" s="178"/>
      <c r="O994" s="178"/>
      <c r="P994" s="178"/>
      <c r="Q994" s="178"/>
      <c r="R994" s="178"/>
      <c r="S994" s="178"/>
      <c r="T994" s="178"/>
      <c r="U994" s="178"/>
      <c r="V994" s="178"/>
      <c r="W994" s="178"/>
      <c r="X994" s="178"/>
      <c r="Y994" s="178"/>
      <c r="Z994" s="178"/>
      <c r="AA994" s="178"/>
      <c r="AB994" s="178"/>
      <c r="AC994" s="178"/>
      <c r="AD994" s="178"/>
      <c r="AE994" s="178"/>
      <c r="AF994" s="178"/>
      <c r="AG994" s="178"/>
      <c r="AH994" s="178"/>
      <c r="AI994" s="178"/>
      <c r="AJ994" s="178"/>
      <c r="AK994" s="178"/>
      <c r="AL994" s="178"/>
      <c r="AM994" s="178"/>
      <c r="AN994" s="178"/>
      <c r="AO994" s="178"/>
      <c r="AP994" s="178"/>
      <c r="AQ994" s="178"/>
      <c r="AR994" s="178"/>
      <c r="AS994" s="178"/>
      <c r="AT994" s="178"/>
      <c r="AU994" s="178"/>
      <c r="AV994" s="178"/>
      <c r="AW994" s="178"/>
      <c r="AX994" s="178"/>
      <c r="AY994" s="517"/>
      <c r="AZ994" s="131"/>
    </row>
    <row r="995" spans="1:52" ht="15.75" customHeight="1">
      <c r="A995" s="131"/>
      <c r="B995" s="178"/>
      <c r="C995" s="178"/>
      <c r="D995" s="178"/>
      <c r="E995" s="178"/>
      <c r="F995" s="178"/>
      <c r="G995" s="178"/>
      <c r="H995" s="178"/>
      <c r="I995" s="178"/>
      <c r="J995" s="178"/>
      <c r="K995" s="178"/>
      <c r="L995" s="178"/>
      <c r="M995" s="178"/>
      <c r="N995" s="178"/>
      <c r="O995" s="178"/>
      <c r="P995" s="178"/>
      <c r="Q995" s="178"/>
      <c r="R995" s="178"/>
      <c r="S995" s="178"/>
      <c r="T995" s="178"/>
      <c r="U995" s="178"/>
      <c r="V995" s="178"/>
      <c r="W995" s="178"/>
      <c r="X995" s="178"/>
      <c r="Y995" s="178"/>
      <c r="Z995" s="178"/>
      <c r="AA995" s="178"/>
      <c r="AB995" s="178"/>
      <c r="AC995" s="178"/>
      <c r="AD995" s="178"/>
      <c r="AE995" s="178"/>
      <c r="AF995" s="178"/>
      <c r="AG995" s="178"/>
      <c r="AH995" s="178"/>
      <c r="AI995" s="178"/>
      <c r="AJ995" s="178"/>
      <c r="AK995" s="178"/>
      <c r="AL995" s="178"/>
      <c r="AM995" s="178"/>
      <c r="AN995" s="178"/>
      <c r="AO995" s="178"/>
      <c r="AP995" s="178"/>
      <c r="AQ995" s="178"/>
      <c r="AR995" s="178"/>
      <c r="AS995" s="178"/>
      <c r="AT995" s="178"/>
      <c r="AU995" s="178"/>
      <c r="AV995" s="178"/>
      <c r="AW995" s="178"/>
      <c r="AX995" s="178"/>
      <c r="AY995" s="517"/>
      <c r="AZ995" s="131"/>
    </row>
    <row r="996" spans="1:52" ht="15.75" customHeight="1">
      <c r="A996" s="131"/>
      <c r="B996" s="178"/>
      <c r="C996" s="178"/>
      <c r="D996" s="178"/>
      <c r="E996" s="178"/>
      <c r="F996" s="178"/>
      <c r="G996" s="178"/>
      <c r="H996" s="178"/>
      <c r="I996" s="178"/>
      <c r="J996" s="178"/>
      <c r="K996" s="178"/>
      <c r="L996" s="178"/>
      <c r="M996" s="178"/>
      <c r="N996" s="178"/>
      <c r="O996" s="178"/>
      <c r="P996" s="178"/>
      <c r="Q996" s="178"/>
      <c r="R996" s="178"/>
      <c r="S996" s="178"/>
      <c r="T996" s="178"/>
      <c r="U996" s="178"/>
      <c r="V996" s="178"/>
      <c r="W996" s="178"/>
      <c r="X996" s="178"/>
      <c r="Y996" s="178"/>
      <c r="Z996" s="178"/>
      <c r="AA996" s="178"/>
      <c r="AB996" s="178"/>
      <c r="AC996" s="178"/>
      <c r="AD996" s="178"/>
      <c r="AE996" s="178"/>
      <c r="AF996" s="178"/>
      <c r="AG996" s="178"/>
      <c r="AH996" s="178"/>
      <c r="AI996" s="178"/>
      <c r="AJ996" s="178"/>
      <c r="AK996" s="178"/>
      <c r="AL996" s="178"/>
      <c r="AM996" s="178"/>
      <c r="AN996" s="178"/>
      <c r="AO996" s="178"/>
      <c r="AP996" s="178"/>
      <c r="AQ996" s="178"/>
      <c r="AR996" s="178"/>
      <c r="AS996" s="178"/>
      <c r="AT996" s="178"/>
      <c r="AU996" s="178"/>
      <c r="AV996" s="178"/>
      <c r="AW996" s="178"/>
      <c r="AX996" s="178"/>
      <c r="AY996" s="517"/>
      <c r="AZ996" s="131"/>
    </row>
    <row r="997" spans="1:52" ht="15.75" customHeight="1">
      <c r="A997" s="131"/>
      <c r="B997" s="178"/>
      <c r="C997" s="178"/>
      <c r="D997" s="178"/>
      <c r="E997" s="178"/>
      <c r="F997" s="178"/>
      <c r="G997" s="178"/>
      <c r="H997" s="178"/>
      <c r="I997" s="178"/>
      <c r="J997" s="178"/>
      <c r="K997" s="178"/>
      <c r="L997" s="178"/>
      <c r="M997" s="178"/>
      <c r="N997" s="178"/>
      <c r="O997" s="178"/>
      <c r="P997" s="178"/>
      <c r="Q997" s="178"/>
      <c r="R997" s="178"/>
      <c r="S997" s="178"/>
      <c r="T997" s="178"/>
      <c r="U997" s="178"/>
      <c r="V997" s="178"/>
      <c r="W997" s="178"/>
      <c r="X997" s="178"/>
      <c r="Y997" s="178"/>
      <c r="Z997" s="178"/>
      <c r="AA997" s="178"/>
      <c r="AB997" s="178"/>
      <c r="AC997" s="178"/>
      <c r="AD997" s="178"/>
      <c r="AE997" s="178"/>
      <c r="AF997" s="178"/>
      <c r="AG997" s="178"/>
      <c r="AH997" s="178"/>
      <c r="AI997" s="178"/>
      <c r="AJ997" s="178"/>
      <c r="AK997" s="178"/>
      <c r="AL997" s="178"/>
      <c r="AM997" s="178"/>
      <c r="AN997" s="178"/>
      <c r="AO997" s="178"/>
      <c r="AP997" s="178"/>
      <c r="AQ997" s="178"/>
      <c r="AR997" s="178"/>
      <c r="AS997" s="178"/>
      <c r="AT997" s="178"/>
      <c r="AU997" s="178"/>
      <c r="AV997" s="178"/>
      <c r="AW997" s="178"/>
      <c r="AX997" s="178"/>
      <c r="AY997" s="517"/>
      <c r="AZ997" s="131"/>
    </row>
    <row r="998" spans="1:52" ht="15.75" customHeight="1">
      <c r="A998" s="131"/>
      <c r="B998" s="178"/>
      <c r="C998" s="178"/>
      <c r="D998" s="178"/>
      <c r="E998" s="178"/>
      <c r="F998" s="178"/>
      <c r="G998" s="178"/>
      <c r="H998" s="178"/>
      <c r="I998" s="178"/>
      <c r="J998" s="178"/>
      <c r="K998" s="178"/>
      <c r="L998" s="178"/>
      <c r="M998" s="178"/>
      <c r="N998" s="178"/>
      <c r="O998" s="178"/>
      <c r="P998" s="178"/>
      <c r="Q998" s="178"/>
      <c r="R998" s="178"/>
      <c r="S998" s="178"/>
      <c r="T998" s="178"/>
      <c r="U998" s="178"/>
      <c r="V998" s="178"/>
      <c r="W998" s="178"/>
      <c r="X998" s="178"/>
      <c r="Y998" s="178"/>
      <c r="Z998" s="178"/>
      <c r="AA998" s="178"/>
      <c r="AB998" s="178"/>
      <c r="AC998" s="178"/>
      <c r="AD998" s="178"/>
      <c r="AE998" s="178"/>
      <c r="AF998" s="178"/>
      <c r="AG998" s="178"/>
      <c r="AH998" s="178"/>
      <c r="AI998" s="178"/>
      <c r="AJ998" s="178"/>
      <c r="AK998" s="178"/>
      <c r="AL998" s="178"/>
      <c r="AM998" s="178"/>
      <c r="AN998" s="178"/>
      <c r="AO998" s="178"/>
      <c r="AP998" s="178"/>
      <c r="AQ998" s="178"/>
      <c r="AR998" s="178"/>
      <c r="AS998" s="178"/>
      <c r="AT998" s="178"/>
      <c r="AU998" s="178"/>
      <c r="AV998" s="178"/>
      <c r="AW998" s="178"/>
      <c r="AX998" s="178"/>
      <c r="AY998" s="517"/>
      <c r="AZ998" s="131"/>
    </row>
    <row r="999" spans="1:52" ht="15.75" customHeight="1">
      <c r="A999" s="131"/>
      <c r="B999" s="178"/>
      <c r="C999" s="178"/>
      <c r="D999" s="178"/>
      <c r="E999" s="178"/>
      <c r="F999" s="178"/>
      <c r="G999" s="178"/>
      <c r="H999" s="178"/>
      <c r="I999" s="178"/>
      <c r="J999" s="178"/>
      <c r="K999" s="178"/>
      <c r="L999" s="178"/>
      <c r="M999" s="178"/>
      <c r="N999" s="178"/>
      <c r="O999" s="178"/>
      <c r="P999" s="178"/>
      <c r="Q999" s="178"/>
      <c r="R999" s="178"/>
      <c r="S999" s="178"/>
      <c r="T999" s="178"/>
      <c r="U999" s="178"/>
      <c r="V999" s="178"/>
      <c r="W999" s="178"/>
      <c r="X999" s="178"/>
      <c r="Y999" s="178"/>
      <c r="Z999" s="178"/>
      <c r="AA999" s="178"/>
      <c r="AB999" s="178"/>
      <c r="AC999" s="178"/>
      <c r="AD999" s="178"/>
      <c r="AE999" s="178"/>
      <c r="AF999" s="178"/>
      <c r="AG999" s="178"/>
      <c r="AH999" s="178"/>
      <c r="AI999" s="178"/>
      <c r="AJ999" s="178"/>
      <c r="AK999" s="178"/>
      <c r="AL999" s="178"/>
      <c r="AM999" s="178"/>
      <c r="AN999" s="178"/>
      <c r="AO999" s="178"/>
      <c r="AP999" s="178"/>
      <c r="AQ999" s="178"/>
      <c r="AR999" s="178"/>
      <c r="AS999" s="178"/>
      <c r="AT999" s="178"/>
      <c r="AU999" s="178"/>
      <c r="AV999" s="178"/>
      <c r="AW999" s="178"/>
      <c r="AX999" s="178"/>
      <c r="AY999" s="517"/>
      <c r="AZ999" s="131"/>
    </row>
    <row r="1000" spans="1:52" ht="15.75" customHeight="1">
      <c r="A1000" s="131"/>
      <c r="B1000" s="178"/>
      <c r="C1000" s="178"/>
      <c r="D1000" s="178"/>
      <c r="E1000" s="178"/>
      <c r="F1000" s="178"/>
      <c r="G1000" s="178"/>
      <c r="H1000" s="178"/>
      <c r="I1000" s="178"/>
      <c r="J1000" s="178"/>
      <c r="K1000" s="178"/>
      <c r="L1000" s="178"/>
      <c r="M1000" s="178"/>
      <c r="N1000" s="178"/>
      <c r="O1000" s="178"/>
      <c r="P1000" s="178"/>
      <c r="Q1000" s="178"/>
      <c r="R1000" s="178"/>
      <c r="S1000" s="178"/>
      <c r="T1000" s="178"/>
      <c r="U1000" s="178"/>
      <c r="V1000" s="178"/>
      <c r="W1000" s="178"/>
      <c r="X1000" s="178"/>
      <c r="Y1000" s="178"/>
      <c r="Z1000" s="178"/>
      <c r="AA1000" s="178"/>
      <c r="AB1000" s="178"/>
      <c r="AC1000" s="178"/>
      <c r="AD1000" s="178"/>
      <c r="AE1000" s="178"/>
      <c r="AF1000" s="178"/>
      <c r="AG1000" s="178"/>
      <c r="AH1000" s="178"/>
      <c r="AI1000" s="178"/>
      <c r="AJ1000" s="178"/>
      <c r="AK1000" s="178"/>
      <c r="AL1000" s="178"/>
      <c r="AM1000" s="178"/>
      <c r="AN1000" s="178"/>
      <c r="AO1000" s="178"/>
      <c r="AP1000" s="178"/>
      <c r="AQ1000" s="178"/>
      <c r="AR1000" s="178"/>
      <c r="AS1000" s="178"/>
      <c r="AT1000" s="178"/>
      <c r="AU1000" s="178"/>
      <c r="AV1000" s="178"/>
      <c r="AW1000" s="178"/>
      <c r="AX1000" s="178"/>
      <c r="AY1000" s="517"/>
      <c r="AZ1000" s="131"/>
    </row>
  </sheetData>
  <mergeCells count="16">
    <mergeCell ref="A1:AY1"/>
    <mergeCell ref="A2:AY2"/>
    <mergeCell ref="A3:AY3"/>
    <mergeCell ref="A4:AY4"/>
    <mergeCell ref="B5:AW5"/>
    <mergeCell ref="B15:AW15"/>
    <mergeCell ref="B24:AW24"/>
    <mergeCell ref="P67:AF68"/>
    <mergeCell ref="W70:AP73"/>
    <mergeCell ref="B57:AW57"/>
    <mergeCell ref="B58:AW58"/>
    <mergeCell ref="P64:AF64"/>
    <mergeCell ref="AV64:AY64"/>
    <mergeCell ref="P65:AF66"/>
    <mergeCell ref="AV65:AY66"/>
    <mergeCell ref="AV67:AY68"/>
  </mergeCells>
  <printOptions horizontalCentered="1"/>
  <pageMargins left="0.59055118110236227" right="0.59055118110236227" top="0.59055118110236227" bottom="0.59055118110236227" header="0" footer="0"/>
  <pageSetup orientation="portrait"/>
  <headerFooter>
    <oddFooter>&amp;REstado de Actividades Página &amp;P de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3" customWidth="1"/>
    <col min="2" max="2" width="96.5703125" customWidth="1"/>
    <col min="3" max="7" width="18" customWidth="1"/>
    <col min="8" max="26" width="10.7109375" customWidth="1"/>
  </cols>
  <sheetData>
    <row r="1" spans="1:26" ht="45" customHeight="1">
      <c r="A1" s="745" t="str">
        <f>"Nombre del Ente Público: "&amp;Validacion!A2</f>
        <v>Nombre del Ente Público: Guadalajara</v>
      </c>
      <c r="B1" s="746"/>
      <c r="C1" s="746"/>
      <c r="D1" s="746"/>
      <c r="E1" s="746"/>
      <c r="F1" s="746"/>
      <c r="G1" s="747"/>
      <c r="H1" s="131"/>
      <c r="I1" s="131"/>
      <c r="J1" s="131"/>
      <c r="K1" s="131"/>
      <c r="L1" s="131"/>
      <c r="M1" s="131"/>
      <c r="N1" s="131"/>
      <c r="O1" s="131"/>
      <c r="P1" s="131"/>
      <c r="Q1" s="131"/>
      <c r="R1" s="131"/>
      <c r="S1" s="131"/>
      <c r="T1" s="131"/>
      <c r="U1" s="131"/>
      <c r="V1" s="131"/>
      <c r="W1" s="131"/>
      <c r="X1" s="131"/>
      <c r="Y1" s="131"/>
      <c r="Z1" s="131"/>
    </row>
    <row r="2" spans="1:26" ht="21" customHeight="1">
      <c r="A2" s="748" t="s">
        <v>7115</v>
      </c>
      <c r="B2" s="749"/>
      <c r="C2" s="749"/>
      <c r="D2" s="749"/>
      <c r="E2" s="749"/>
      <c r="F2" s="749"/>
      <c r="G2" s="750"/>
      <c r="H2" s="131"/>
      <c r="I2" s="131"/>
      <c r="J2" s="131"/>
      <c r="K2" s="131"/>
      <c r="L2" s="131"/>
      <c r="M2" s="131"/>
      <c r="N2" s="131"/>
      <c r="O2" s="131"/>
      <c r="P2" s="131"/>
      <c r="Q2" s="131"/>
      <c r="R2" s="131"/>
      <c r="S2" s="131"/>
      <c r="T2" s="131"/>
      <c r="U2" s="131"/>
      <c r="V2" s="131"/>
      <c r="W2" s="131"/>
      <c r="X2" s="131"/>
      <c r="Y2" s="131"/>
      <c r="Z2" s="131"/>
    </row>
    <row r="3" spans="1:26" ht="19.5" customHeight="1">
      <c r="A3" s="751" t="e">
        <f>'F6'!A3</f>
        <v>#REF!</v>
      </c>
      <c r="B3" s="749"/>
      <c r="C3" s="749"/>
      <c r="D3" s="749"/>
      <c r="E3" s="749"/>
      <c r="F3" s="749"/>
      <c r="G3" s="750"/>
      <c r="H3" s="131"/>
      <c r="I3" s="131"/>
      <c r="J3" s="131"/>
      <c r="K3" s="131"/>
      <c r="L3" s="131"/>
      <c r="M3" s="131"/>
      <c r="N3" s="131"/>
      <c r="O3" s="131"/>
      <c r="P3" s="131"/>
      <c r="Q3" s="131"/>
      <c r="R3" s="131"/>
      <c r="S3" s="131"/>
      <c r="T3" s="131"/>
      <c r="U3" s="131"/>
      <c r="V3" s="131"/>
      <c r="W3" s="131"/>
      <c r="X3" s="131"/>
      <c r="Y3" s="131"/>
      <c r="Z3" s="131"/>
    </row>
    <row r="4" spans="1:26" ht="15" customHeight="1">
      <c r="A4" s="776" t="s">
        <v>4378</v>
      </c>
      <c r="B4" s="753"/>
      <c r="C4" s="753"/>
      <c r="D4" s="753"/>
      <c r="E4" s="753"/>
      <c r="F4" s="753"/>
      <c r="G4" s="754"/>
      <c r="H4" s="131"/>
      <c r="I4" s="131"/>
      <c r="J4" s="131"/>
      <c r="K4" s="131"/>
      <c r="L4" s="131"/>
      <c r="M4" s="131"/>
      <c r="N4" s="131"/>
      <c r="O4" s="131"/>
      <c r="P4" s="131"/>
      <c r="Q4" s="131"/>
      <c r="R4" s="131"/>
      <c r="S4" s="131"/>
      <c r="T4" s="131"/>
      <c r="U4" s="131"/>
      <c r="V4" s="131"/>
      <c r="W4" s="131"/>
      <c r="X4" s="131"/>
      <c r="Y4" s="131"/>
      <c r="Z4" s="131"/>
    </row>
    <row r="5" spans="1:26" ht="90">
      <c r="A5" s="536"/>
      <c r="B5" s="537" t="s">
        <v>4379</v>
      </c>
      <c r="C5" s="226" t="s">
        <v>7116</v>
      </c>
      <c r="D5" s="226" t="s">
        <v>7117</v>
      </c>
      <c r="E5" s="226" t="s">
        <v>7118</v>
      </c>
      <c r="F5" s="226" t="s">
        <v>6608</v>
      </c>
      <c r="G5" s="538" t="s">
        <v>4437</v>
      </c>
      <c r="H5" s="131"/>
      <c r="I5" s="131"/>
      <c r="J5" s="131"/>
      <c r="K5" s="131"/>
      <c r="L5" s="131"/>
      <c r="M5" s="131"/>
      <c r="N5" s="131"/>
      <c r="O5" s="131"/>
      <c r="P5" s="131"/>
      <c r="Q5" s="131"/>
      <c r="R5" s="131"/>
      <c r="S5" s="131"/>
      <c r="T5" s="131"/>
      <c r="U5" s="131"/>
      <c r="V5" s="131"/>
      <c r="W5" s="131"/>
      <c r="X5" s="131"/>
      <c r="Y5" s="131"/>
      <c r="Z5" s="131"/>
    </row>
    <row r="6" spans="1:26" ht="15.75">
      <c r="A6" s="908" t="str">
        <f>"Hacienda Pública/Patrimonio Contribuido Neto de "&amp;Validacion!F186</f>
        <v>Hacienda Pública/Patrimonio Contribuido Neto de 2024</v>
      </c>
      <c r="B6" s="744"/>
      <c r="C6" s="539">
        <f>SUM(C7:C9)</f>
        <v>70029434.019999996</v>
      </c>
      <c r="D6" s="539"/>
      <c r="E6" s="539"/>
      <c r="F6" s="539"/>
      <c r="G6" s="539">
        <f t="shared" ref="G6:G33" si="0">SUM(C6:F6)</f>
        <v>70029434.019999996</v>
      </c>
      <c r="H6" s="131"/>
      <c r="I6" s="131"/>
      <c r="J6" s="131"/>
      <c r="K6" s="131"/>
      <c r="L6" s="131"/>
      <c r="M6" s="131"/>
      <c r="N6" s="131"/>
      <c r="O6" s="131"/>
      <c r="P6" s="131"/>
      <c r="Q6" s="131"/>
      <c r="R6" s="131"/>
      <c r="S6" s="131"/>
      <c r="T6" s="131"/>
      <c r="U6" s="131"/>
      <c r="V6" s="131"/>
      <c r="W6" s="131"/>
      <c r="X6" s="131"/>
      <c r="Y6" s="131"/>
      <c r="Z6" s="131"/>
    </row>
    <row r="7" spans="1:26">
      <c r="A7" s="119"/>
      <c r="B7" s="540" t="s">
        <v>1119</v>
      </c>
      <c r="C7" s="121">
        <f>Balanza!D175</f>
        <v>0</v>
      </c>
      <c r="D7" s="541"/>
      <c r="E7" s="541"/>
      <c r="F7" s="541"/>
      <c r="G7" s="541">
        <f t="shared" si="0"/>
        <v>0</v>
      </c>
      <c r="H7" s="131"/>
      <c r="I7" s="131"/>
      <c r="J7" s="131"/>
      <c r="K7" s="131"/>
      <c r="L7" s="131"/>
      <c r="M7" s="131"/>
      <c r="N7" s="131"/>
      <c r="O7" s="131"/>
      <c r="P7" s="131"/>
      <c r="Q7" s="131"/>
      <c r="R7" s="131"/>
      <c r="S7" s="131"/>
      <c r="T7" s="131"/>
      <c r="U7" s="131"/>
      <c r="V7" s="131"/>
      <c r="W7" s="131"/>
      <c r="X7" s="131"/>
      <c r="Y7" s="131"/>
      <c r="Z7" s="131"/>
    </row>
    <row r="8" spans="1:26">
      <c r="A8" s="119"/>
      <c r="B8" s="540" t="s">
        <v>7119</v>
      </c>
      <c r="C8" s="121">
        <f>Balanza!D176</f>
        <v>0</v>
      </c>
      <c r="D8" s="541"/>
      <c r="E8" s="541"/>
      <c r="F8" s="541"/>
      <c r="G8" s="541">
        <f t="shared" si="0"/>
        <v>0</v>
      </c>
      <c r="H8" s="131"/>
      <c r="I8" s="131"/>
      <c r="J8" s="131"/>
      <c r="K8" s="131"/>
      <c r="L8" s="131"/>
      <c r="M8" s="131"/>
      <c r="N8" s="131"/>
      <c r="O8" s="131"/>
      <c r="P8" s="131"/>
      <c r="Q8" s="131"/>
      <c r="R8" s="131"/>
      <c r="S8" s="131"/>
      <c r="T8" s="131"/>
      <c r="U8" s="131"/>
      <c r="V8" s="131"/>
      <c r="W8" s="131"/>
      <c r="X8" s="131"/>
      <c r="Y8" s="131"/>
      <c r="Z8" s="131"/>
    </row>
    <row r="9" spans="1:26">
      <c r="A9" s="119"/>
      <c r="B9" s="540" t="s">
        <v>7120</v>
      </c>
      <c r="C9" s="121">
        <f>Balanza!D177</f>
        <v>70029434.019999996</v>
      </c>
      <c r="D9" s="541"/>
      <c r="E9" s="541"/>
      <c r="F9" s="541"/>
      <c r="G9" s="541">
        <f t="shared" si="0"/>
        <v>70029434.019999996</v>
      </c>
      <c r="H9" s="131"/>
      <c r="I9" s="131"/>
      <c r="J9" s="131"/>
      <c r="K9" s="131"/>
      <c r="L9" s="131"/>
      <c r="M9" s="131"/>
      <c r="N9" s="131"/>
      <c r="O9" s="131"/>
      <c r="P9" s="131"/>
      <c r="Q9" s="131"/>
      <c r="R9" s="131"/>
      <c r="S9" s="131"/>
      <c r="T9" s="131"/>
      <c r="U9" s="131"/>
      <c r="V9" s="131"/>
      <c r="W9" s="131"/>
      <c r="X9" s="131"/>
      <c r="Y9" s="131"/>
      <c r="Z9" s="131"/>
    </row>
    <row r="10" spans="1:26">
      <c r="A10" s="904" t="str">
        <f>"Hacienda Pública/Patrimonio Generado Neto de "&amp;Validacion!F186</f>
        <v>Hacienda Pública/Patrimonio Generado Neto de 2024</v>
      </c>
      <c r="B10" s="737"/>
      <c r="C10" s="542"/>
      <c r="D10" s="542">
        <f>SUM(D12:D15)</f>
        <v>8155086909.2900009</v>
      </c>
      <c r="E10" s="542">
        <f>SUM(E11)</f>
        <v>2121149963.2400017</v>
      </c>
      <c r="F10" s="542"/>
      <c r="G10" s="542">
        <f t="shared" si="0"/>
        <v>10276236872.530003</v>
      </c>
      <c r="H10" s="131"/>
      <c r="I10" s="131"/>
      <c r="J10" s="131"/>
      <c r="K10" s="131"/>
      <c r="L10" s="131"/>
      <c r="M10" s="131"/>
      <c r="N10" s="131"/>
      <c r="O10" s="131"/>
      <c r="P10" s="131"/>
      <c r="Q10" s="131"/>
      <c r="R10" s="131"/>
      <c r="S10" s="131"/>
      <c r="T10" s="131"/>
      <c r="U10" s="131"/>
      <c r="V10" s="131"/>
      <c r="W10" s="131"/>
      <c r="X10" s="131"/>
      <c r="Y10" s="131"/>
      <c r="Z10" s="131"/>
    </row>
    <row r="11" spans="1:26">
      <c r="A11" s="119"/>
      <c r="B11" s="540" t="s">
        <v>7121</v>
      </c>
      <c r="C11" s="541"/>
      <c r="D11" s="541"/>
      <c r="E11" s="121">
        <f>Balanza!D179</f>
        <v>2121149963.2400017</v>
      </c>
      <c r="F11" s="541"/>
      <c r="G11" s="541">
        <f t="shared" si="0"/>
        <v>2121149963.2400017</v>
      </c>
      <c r="H11" s="131"/>
      <c r="I11" s="131"/>
      <c r="J11" s="131"/>
      <c r="K11" s="131"/>
      <c r="L11" s="131"/>
      <c r="M11" s="131"/>
      <c r="N11" s="131"/>
      <c r="O11" s="131"/>
      <c r="P11" s="131"/>
      <c r="Q11" s="131"/>
      <c r="R11" s="131"/>
      <c r="S11" s="131"/>
      <c r="T11" s="131"/>
      <c r="U11" s="131"/>
      <c r="V11" s="131"/>
      <c r="W11" s="131"/>
      <c r="X11" s="131"/>
      <c r="Y11" s="131"/>
      <c r="Z11" s="131"/>
    </row>
    <row r="12" spans="1:26">
      <c r="A12" s="119"/>
      <c r="B12" s="540" t="s">
        <v>7122</v>
      </c>
      <c r="C12" s="541"/>
      <c r="D12" s="121">
        <f>Balanza!D180</f>
        <v>7921795339.7700005</v>
      </c>
      <c r="E12" s="541"/>
      <c r="F12" s="541"/>
      <c r="G12" s="541">
        <f t="shared" si="0"/>
        <v>7921795339.7700005</v>
      </c>
      <c r="H12" s="131"/>
      <c r="I12" s="131"/>
      <c r="J12" s="131"/>
      <c r="K12" s="131"/>
      <c r="L12" s="131"/>
      <c r="M12" s="131"/>
      <c r="N12" s="131"/>
      <c r="O12" s="131"/>
      <c r="P12" s="131"/>
      <c r="Q12" s="131"/>
      <c r="R12" s="131"/>
      <c r="S12" s="131"/>
      <c r="T12" s="131"/>
      <c r="U12" s="131"/>
      <c r="V12" s="131"/>
      <c r="W12" s="131"/>
      <c r="X12" s="131"/>
      <c r="Y12" s="131"/>
      <c r="Z12" s="131"/>
    </row>
    <row r="13" spans="1:26">
      <c r="A13" s="119"/>
      <c r="B13" s="540" t="s">
        <v>7123</v>
      </c>
      <c r="C13" s="541"/>
      <c r="D13" s="121">
        <f>Balanza!D181</f>
        <v>0</v>
      </c>
      <c r="E13" s="541"/>
      <c r="F13" s="541"/>
      <c r="G13" s="541">
        <f t="shared" si="0"/>
        <v>0</v>
      </c>
      <c r="H13" s="131"/>
      <c r="I13" s="131"/>
      <c r="J13" s="131"/>
      <c r="K13" s="131"/>
      <c r="L13" s="131"/>
      <c r="M13" s="131"/>
      <c r="N13" s="131"/>
      <c r="O13" s="131"/>
      <c r="P13" s="131"/>
      <c r="Q13" s="131"/>
      <c r="R13" s="131"/>
      <c r="S13" s="131"/>
      <c r="T13" s="131"/>
      <c r="U13" s="131"/>
      <c r="V13" s="131"/>
      <c r="W13" s="131"/>
      <c r="X13" s="131"/>
      <c r="Y13" s="131"/>
      <c r="Z13" s="131"/>
    </row>
    <row r="14" spans="1:26">
      <c r="A14" s="119"/>
      <c r="B14" s="540" t="s">
        <v>7124</v>
      </c>
      <c r="C14" s="541"/>
      <c r="D14" s="121">
        <f>Balanza!D186</f>
        <v>0</v>
      </c>
      <c r="E14" s="541"/>
      <c r="F14" s="541"/>
      <c r="G14" s="541">
        <f t="shared" si="0"/>
        <v>0</v>
      </c>
      <c r="H14" s="131"/>
      <c r="I14" s="131"/>
      <c r="J14" s="131"/>
      <c r="K14" s="131"/>
      <c r="L14" s="131"/>
      <c r="M14" s="131"/>
      <c r="N14" s="131"/>
      <c r="O14" s="131"/>
      <c r="P14" s="131"/>
      <c r="Q14" s="131"/>
      <c r="R14" s="131"/>
      <c r="S14" s="131"/>
      <c r="T14" s="131"/>
      <c r="U14" s="131"/>
      <c r="V14" s="131"/>
      <c r="W14" s="131"/>
      <c r="X14" s="131"/>
      <c r="Y14" s="131"/>
      <c r="Z14" s="131"/>
    </row>
    <row r="15" spans="1:26">
      <c r="A15" s="119"/>
      <c r="B15" s="540" t="s">
        <v>7125</v>
      </c>
      <c r="C15" s="541"/>
      <c r="D15" s="121">
        <f>Balanza!D190</f>
        <v>233291569.52000001</v>
      </c>
      <c r="E15" s="541"/>
      <c r="F15" s="541"/>
      <c r="G15" s="541">
        <f t="shared" si="0"/>
        <v>233291569.52000001</v>
      </c>
      <c r="H15" s="131"/>
      <c r="I15" s="131"/>
      <c r="J15" s="131"/>
      <c r="K15" s="131"/>
      <c r="L15" s="131"/>
      <c r="M15" s="131"/>
      <c r="N15" s="131"/>
      <c r="O15" s="131"/>
      <c r="P15" s="131"/>
      <c r="Q15" s="131"/>
      <c r="R15" s="131"/>
      <c r="S15" s="131"/>
      <c r="T15" s="131"/>
      <c r="U15" s="131"/>
      <c r="V15" s="131"/>
      <c r="W15" s="131"/>
      <c r="X15" s="131"/>
      <c r="Y15" s="131"/>
      <c r="Z15" s="131"/>
    </row>
    <row r="16" spans="1:26">
      <c r="A16" s="905" t="str">
        <f>"Exceso o Insuficiencia en la Actualización de la Hacienda Pública/Patrimonio Neto de "&amp;Validacion!F186</f>
        <v>Exceso o Insuficiencia en la Actualización de la Hacienda Pública/Patrimonio Neto de 2024</v>
      </c>
      <c r="B16" s="737"/>
      <c r="C16" s="542"/>
      <c r="D16" s="542"/>
      <c r="E16" s="542"/>
      <c r="F16" s="542">
        <f>SUM(F17:F18)</f>
        <v>1229456417.52</v>
      </c>
      <c r="G16" s="542">
        <f t="shared" si="0"/>
        <v>1229456417.52</v>
      </c>
      <c r="H16" s="131"/>
      <c r="I16" s="131"/>
      <c r="J16" s="131"/>
      <c r="K16" s="131"/>
      <c r="L16" s="131"/>
      <c r="M16" s="131"/>
      <c r="N16" s="131"/>
      <c r="O16" s="131"/>
      <c r="P16" s="131"/>
      <c r="Q16" s="131"/>
      <c r="R16" s="131"/>
      <c r="S16" s="131"/>
      <c r="T16" s="131"/>
      <c r="U16" s="131"/>
      <c r="V16" s="131"/>
      <c r="W16" s="131"/>
      <c r="X16" s="131"/>
      <c r="Y16" s="131"/>
      <c r="Z16" s="131"/>
    </row>
    <row r="17" spans="1:26">
      <c r="A17" s="119"/>
      <c r="B17" s="540" t="s">
        <v>7126</v>
      </c>
      <c r="C17" s="541"/>
      <c r="D17" s="541"/>
      <c r="E17" s="541"/>
      <c r="F17" s="121">
        <f>Balanza!D195</f>
        <v>0</v>
      </c>
      <c r="G17" s="541">
        <f t="shared" si="0"/>
        <v>0</v>
      </c>
      <c r="H17" s="131"/>
      <c r="I17" s="131"/>
      <c r="J17" s="131"/>
      <c r="K17" s="131"/>
      <c r="L17" s="131"/>
      <c r="M17" s="131"/>
      <c r="N17" s="131"/>
      <c r="O17" s="131"/>
      <c r="P17" s="131"/>
      <c r="Q17" s="131"/>
      <c r="R17" s="131"/>
      <c r="S17" s="131"/>
      <c r="T17" s="131"/>
      <c r="U17" s="131"/>
      <c r="V17" s="131"/>
      <c r="W17" s="131"/>
      <c r="X17" s="131"/>
      <c r="Y17" s="131"/>
      <c r="Z17" s="131"/>
    </row>
    <row r="18" spans="1:26">
      <c r="A18" s="119"/>
      <c r="B18" s="540" t="s">
        <v>7127</v>
      </c>
      <c r="C18" s="541"/>
      <c r="D18" s="541"/>
      <c r="E18" s="541"/>
      <c r="F18" s="121">
        <f>Balanza!D196</f>
        <v>1229456417.52</v>
      </c>
      <c r="G18" s="541">
        <f t="shared" si="0"/>
        <v>1229456417.52</v>
      </c>
      <c r="H18" s="131"/>
      <c r="I18" s="131"/>
      <c r="J18" s="131"/>
      <c r="K18" s="131"/>
      <c r="L18" s="131"/>
      <c r="M18" s="131"/>
      <c r="N18" s="131"/>
      <c r="O18" s="131"/>
      <c r="P18" s="131"/>
      <c r="Q18" s="131"/>
      <c r="R18" s="131"/>
      <c r="S18" s="131"/>
      <c r="T18" s="131"/>
      <c r="U18" s="131"/>
      <c r="V18" s="131"/>
      <c r="W18" s="131"/>
      <c r="X18" s="131"/>
      <c r="Y18" s="131"/>
      <c r="Z18" s="131"/>
    </row>
    <row r="19" spans="1:26">
      <c r="A19" s="904" t="str">
        <f>"Hacienda Pública/Patrimonio Neto Final de "&amp;Validacion!F186</f>
        <v>Hacienda Pública/Patrimonio Neto Final de 2024</v>
      </c>
      <c r="B19" s="737"/>
      <c r="C19" s="542">
        <f>C6</f>
        <v>70029434.019999996</v>
      </c>
      <c r="D19" s="542">
        <f t="shared" ref="D19:E19" si="1">D10</f>
        <v>8155086909.2900009</v>
      </c>
      <c r="E19" s="542">
        <f t="shared" si="1"/>
        <v>2121149963.2400017</v>
      </c>
      <c r="F19" s="542">
        <f>F16</f>
        <v>1229456417.52</v>
      </c>
      <c r="G19" s="542">
        <f t="shared" si="0"/>
        <v>11575722724.070004</v>
      </c>
      <c r="H19" s="131"/>
      <c r="I19" s="131"/>
      <c r="J19" s="131"/>
      <c r="K19" s="131"/>
      <c r="L19" s="131"/>
      <c r="M19" s="131"/>
      <c r="N19" s="131"/>
      <c r="O19" s="131"/>
      <c r="P19" s="131"/>
      <c r="Q19" s="131"/>
      <c r="R19" s="131"/>
      <c r="S19" s="131"/>
      <c r="T19" s="131"/>
      <c r="U19" s="131"/>
      <c r="V19" s="131"/>
      <c r="W19" s="131"/>
      <c r="X19" s="131"/>
      <c r="Y19" s="131"/>
      <c r="Z19" s="131"/>
    </row>
    <row r="20" spans="1:26">
      <c r="A20" s="905" t="str">
        <f>"Cambios en la Hacienda Pública/Patrimonio Contribuido Neto de "&amp;Validacion!F185</f>
        <v>Cambios en la Hacienda Pública/Patrimonio Contribuido Neto de 2025</v>
      </c>
      <c r="B20" s="737"/>
      <c r="C20" s="542">
        <f>SUM(C21:C23)</f>
        <v>0</v>
      </c>
      <c r="D20" s="542"/>
      <c r="E20" s="542"/>
      <c r="F20" s="542"/>
      <c r="G20" s="542">
        <f t="shared" si="0"/>
        <v>0</v>
      </c>
      <c r="H20" s="131"/>
      <c r="I20" s="131"/>
      <c r="J20" s="131"/>
      <c r="K20" s="131"/>
      <c r="L20" s="131"/>
      <c r="M20" s="131"/>
      <c r="N20" s="131"/>
      <c r="O20" s="131"/>
      <c r="P20" s="131"/>
      <c r="Q20" s="131"/>
      <c r="R20" s="131"/>
      <c r="S20" s="131"/>
      <c r="T20" s="131"/>
      <c r="U20" s="131"/>
      <c r="V20" s="131"/>
      <c r="W20" s="131"/>
      <c r="X20" s="131"/>
      <c r="Y20" s="131"/>
      <c r="Z20" s="131"/>
    </row>
    <row r="21" spans="1:26" ht="15.75" customHeight="1">
      <c r="A21" s="119"/>
      <c r="B21" s="540" t="s">
        <v>1119</v>
      </c>
      <c r="C21" s="121">
        <f>Balanza!F175-Balanza!E175</f>
        <v>0</v>
      </c>
      <c r="D21" s="541"/>
      <c r="E21" s="541"/>
      <c r="F21" s="541"/>
      <c r="G21" s="541">
        <f t="shared" si="0"/>
        <v>0</v>
      </c>
      <c r="H21" s="131"/>
      <c r="I21" s="131"/>
      <c r="J21" s="131"/>
      <c r="K21" s="131"/>
      <c r="L21" s="131"/>
      <c r="M21" s="131"/>
      <c r="N21" s="131"/>
      <c r="O21" s="131"/>
      <c r="P21" s="131"/>
      <c r="Q21" s="131"/>
      <c r="R21" s="131"/>
      <c r="S21" s="131"/>
      <c r="T21" s="131"/>
      <c r="U21" s="131"/>
      <c r="V21" s="131"/>
      <c r="W21" s="131"/>
      <c r="X21" s="131"/>
      <c r="Y21" s="131"/>
      <c r="Z21" s="131"/>
    </row>
    <row r="22" spans="1:26" ht="15.75" customHeight="1">
      <c r="A22" s="119"/>
      <c r="B22" s="540" t="s">
        <v>7119</v>
      </c>
      <c r="C22" s="121">
        <f>Balanza!F176-Balanza!E176</f>
        <v>0</v>
      </c>
      <c r="D22" s="541"/>
      <c r="E22" s="541"/>
      <c r="F22" s="541"/>
      <c r="G22" s="541">
        <f t="shared" si="0"/>
        <v>0</v>
      </c>
      <c r="H22" s="131"/>
      <c r="I22" s="131"/>
      <c r="J22" s="131"/>
      <c r="K22" s="131"/>
      <c r="L22" s="131"/>
      <c r="M22" s="131"/>
      <c r="N22" s="131"/>
      <c r="O22" s="131"/>
      <c r="P22" s="131"/>
      <c r="Q22" s="131"/>
      <c r="R22" s="131"/>
      <c r="S22" s="131"/>
      <c r="T22" s="131"/>
      <c r="U22" s="131"/>
      <c r="V22" s="131"/>
      <c r="W22" s="131"/>
      <c r="X22" s="131"/>
      <c r="Y22" s="131"/>
      <c r="Z22" s="131"/>
    </row>
    <row r="23" spans="1:26" ht="15.75" customHeight="1">
      <c r="A23" s="119"/>
      <c r="B23" s="540" t="s">
        <v>7120</v>
      </c>
      <c r="C23" s="121">
        <f>Balanza!F177-Balanza!E177</f>
        <v>0</v>
      </c>
      <c r="D23" s="541"/>
      <c r="E23" s="541"/>
      <c r="F23" s="541"/>
      <c r="G23" s="541">
        <f t="shared" si="0"/>
        <v>0</v>
      </c>
      <c r="H23" s="131"/>
      <c r="I23" s="131"/>
      <c r="J23" s="131"/>
      <c r="K23" s="131"/>
      <c r="L23" s="131"/>
      <c r="M23" s="131"/>
      <c r="N23" s="131"/>
      <c r="O23" s="131"/>
      <c r="P23" s="131"/>
      <c r="Q23" s="131"/>
      <c r="R23" s="131"/>
      <c r="S23" s="131"/>
      <c r="T23" s="131"/>
      <c r="U23" s="131"/>
      <c r="V23" s="131"/>
      <c r="W23" s="131"/>
      <c r="X23" s="131"/>
      <c r="Y23" s="131"/>
      <c r="Z23" s="131"/>
    </row>
    <row r="24" spans="1:26" ht="15.75" customHeight="1">
      <c r="A24" s="904" t="str">
        <f>"Variaciones de la Hacienda Pública/Patrimonio Generado Neto de "&amp;Validacion!F185</f>
        <v>Variaciones de la Hacienda Pública/Patrimonio Generado Neto de 2025</v>
      </c>
      <c r="B24" s="737"/>
      <c r="C24" s="542"/>
      <c r="D24" s="542">
        <f>SUM(D26)</f>
        <v>2096789042.4699993</v>
      </c>
      <c r="E24" s="542">
        <f>SUM(E25:E29)</f>
        <v>2058245966.7299981</v>
      </c>
      <c r="F24" s="542"/>
      <c r="G24" s="542">
        <f t="shared" si="0"/>
        <v>4155035009.1999974</v>
      </c>
      <c r="H24" s="131"/>
      <c r="I24" s="131"/>
      <c r="J24" s="131"/>
      <c r="K24" s="131"/>
      <c r="L24" s="131"/>
      <c r="M24" s="131"/>
      <c r="N24" s="131"/>
      <c r="O24" s="131"/>
      <c r="P24" s="131"/>
      <c r="Q24" s="131"/>
      <c r="R24" s="131"/>
      <c r="S24" s="131"/>
      <c r="T24" s="131"/>
      <c r="U24" s="131"/>
      <c r="V24" s="131"/>
      <c r="W24" s="131"/>
      <c r="X24" s="131"/>
      <c r="Y24" s="131"/>
      <c r="Z24" s="131"/>
    </row>
    <row r="25" spans="1:26" ht="15.75" customHeight="1">
      <c r="A25" s="119"/>
      <c r="B25" s="540" t="s">
        <v>7121</v>
      </c>
      <c r="C25" s="541"/>
      <c r="D25" s="541"/>
      <c r="E25" s="121">
        <f>Balanza!H179</f>
        <v>4179415006.9699998</v>
      </c>
      <c r="F25" s="541"/>
      <c r="G25" s="541">
        <f t="shared" si="0"/>
        <v>4179415006.9699998</v>
      </c>
      <c r="H25" s="131"/>
      <c r="I25" s="131"/>
      <c r="J25" s="131"/>
      <c r="K25" s="131"/>
      <c r="L25" s="131"/>
      <c r="M25" s="131"/>
      <c r="N25" s="131"/>
      <c r="O25" s="131"/>
      <c r="P25" s="131"/>
      <c r="Q25" s="131"/>
      <c r="R25" s="131"/>
      <c r="S25" s="131"/>
      <c r="T25" s="131"/>
      <c r="U25" s="131"/>
      <c r="V25" s="131"/>
      <c r="W25" s="131"/>
      <c r="X25" s="131"/>
      <c r="Y25" s="131"/>
      <c r="Z25" s="131"/>
    </row>
    <row r="26" spans="1:26" ht="15.75" customHeight="1">
      <c r="A26" s="119"/>
      <c r="B26" s="540" t="s">
        <v>7122</v>
      </c>
      <c r="C26" s="541"/>
      <c r="D26" s="121">
        <f>Balanza!H180-Balanza!D180</f>
        <v>2096789042.4699993</v>
      </c>
      <c r="E26" s="121">
        <f>(Balanza!D179)*-1</f>
        <v>-2121149963.2400017</v>
      </c>
      <c r="F26" s="541"/>
      <c r="G26" s="541">
        <f t="shared" si="0"/>
        <v>-24360920.770002365</v>
      </c>
      <c r="H26" s="131"/>
      <c r="I26" s="131"/>
      <c r="J26" s="131"/>
      <c r="K26" s="131"/>
      <c r="L26" s="131"/>
      <c r="M26" s="131"/>
      <c r="N26" s="131"/>
      <c r="O26" s="131"/>
      <c r="P26" s="131"/>
      <c r="Q26" s="131"/>
      <c r="R26" s="131"/>
      <c r="S26" s="131"/>
      <c r="T26" s="131"/>
      <c r="U26" s="131"/>
      <c r="V26" s="131"/>
      <c r="W26" s="131"/>
      <c r="X26" s="131"/>
      <c r="Y26" s="131"/>
      <c r="Z26" s="131"/>
    </row>
    <row r="27" spans="1:26" ht="15.75" customHeight="1">
      <c r="A27" s="119"/>
      <c r="B27" s="540" t="s">
        <v>7123</v>
      </c>
      <c r="C27" s="541"/>
      <c r="D27" s="541"/>
      <c r="E27" s="121">
        <f>Balanza!F181-Balanza!E181</f>
        <v>0</v>
      </c>
      <c r="F27" s="541"/>
      <c r="G27" s="541">
        <f t="shared" si="0"/>
        <v>0</v>
      </c>
      <c r="H27" s="131"/>
      <c r="I27" s="131"/>
      <c r="J27" s="131"/>
      <c r="K27" s="131"/>
      <c r="L27" s="131"/>
      <c r="M27" s="131"/>
      <c r="N27" s="131"/>
      <c r="O27" s="131"/>
      <c r="P27" s="131"/>
      <c r="Q27" s="131"/>
      <c r="R27" s="131"/>
      <c r="S27" s="131"/>
      <c r="T27" s="131"/>
      <c r="U27" s="131"/>
      <c r="V27" s="131"/>
      <c r="W27" s="131"/>
      <c r="X27" s="131"/>
      <c r="Y27" s="131"/>
      <c r="Z27" s="131"/>
    </row>
    <row r="28" spans="1:26" ht="15.75" customHeight="1">
      <c r="A28" s="119"/>
      <c r="B28" s="540" t="s">
        <v>7124</v>
      </c>
      <c r="C28" s="541"/>
      <c r="D28" s="541"/>
      <c r="E28" s="121">
        <f>Balanza!F186-Balanza!E186</f>
        <v>0</v>
      </c>
      <c r="F28" s="541"/>
      <c r="G28" s="541">
        <f t="shared" si="0"/>
        <v>0</v>
      </c>
      <c r="H28" s="131"/>
      <c r="I28" s="131"/>
      <c r="J28" s="131"/>
      <c r="K28" s="131"/>
      <c r="L28" s="131"/>
      <c r="M28" s="131"/>
      <c r="N28" s="131"/>
      <c r="O28" s="131"/>
      <c r="P28" s="131"/>
      <c r="Q28" s="131"/>
      <c r="R28" s="131"/>
      <c r="S28" s="131"/>
      <c r="T28" s="131"/>
      <c r="U28" s="131"/>
      <c r="V28" s="131"/>
      <c r="W28" s="131"/>
      <c r="X28" s="131"/>
      <c r="Y28" s="131"/>
      <c r="Z28" s="131"/>
    </row>
    <row r="29" spans="1:26" ht="15.75" customHeight="1">
      <c r="A29" s="119"/>
      <c r="B29" s="540" t="s">
        <v>7125</v>
      </c>
      <c r="C29" s="541"/>
      <c r="D29" s="541"/>
      <c r="E29" s="121">
        <f>Balanza!F190-Balanza!E190</f>
        <v>-19077</v>
      </c>
      <c r="F29" s="541"/>
      <c r="G29" s="541">
        <f t="shared" si="0"/>
        <v>-19077</v>
      </c>
      <c r="H29" s="131"/>
      <c r="I29" s="131"/>
      <c r="J29" s="131"/>
      <c r="K29" s="131"/>
      <c r="L29" s="131"/>
      <c r="M29" s="131"/>
      <c r="N29" s="131"/>
      <c r="O29" s="131"/>
      <c r="P29" s="131"/>
      <c r="Q29" s="131"/>
      <c r="R29" s="131"/>
      <c r="S29" s="131"/>
      <c r="T29" s="131"/>
      <c r="U29" s="131"/>
      <c r="V29" s="131"/>
      <c r="W29" s="131"/>
      <c r="X29" s="131"/>
      <c r="Y29" s="131"/>
      <c r="Z29" s="131"/>
    </row>
    <row r="30" spans="1:26" ht="15.75" customHeight="1">
      <c r="A30" s="904" t="str">
        <f>"Cambios en el Exceso o Insuficiencia en la Actualización de la Hacienda Pública/Patrimonio Neto de "&amp;Validacion!F185</f>
        <v>Cambios en el Exceso o Insuficiencia en la Actualización de la Hacienda Pública/Patrimonio Neto de 2025</v>
      </c>
      <c r="B30" s="737"/>
      <c r="C30" s="542"/>
      <c r="D30" s="542"/>
      <c r="E30" s="542"/>
      <c r="F30" s="542">
        <f>SUM(F31:F32)</f>
        <v>0</v>
      </c>
      <c r="G30" s="542">
        <f t="shared" si="0"/>
        <v>0</v>
      </c>
      <c r="H30" s="131"/>
      <c r="I30" s="131"/>
      <c r="J30" s="131"/>
      <c r="K30" s="131"/>
      <c r="L30" s="131"/>
      <c r="M30" s="131"/>
      <c r="N30" s="131"/>
      <c r="O30" s="131"/>
      <c r="P30" s="131"/>
      <c r="Q30" s="131"/>
      <c r="R30" s="131"/>
      <c r="S30" s="131"/>
      <c r="T30" s="131"/>
      <c r="U30" s="131"/>
      <c r="V30" s="131"/>
      <c r="W30" s="131"/>
      <c r="X30" s="131"/>
      <c r="Y30" s="131"/>
      <c r="Z30" s="131"/>
    </row>
    <row r="31" spans="1:26" ht="15.75" customHeight="1">
      <c r="A31" s="119"/>
      <c r="B31" s="540" t="s">
        <v>7128</v>
      </c>
      <c r="C31" s="541"/>
      <c r="D31" s="541"/>
      <c r="E31" s="541"/>
      <c r="F31" s="121">
        <f>Balanza!F195-Balanza!E195</f>
        <v>0</v>
      </c>
      <c r="G31" s="541">
        <f t="shared" si="0"/>
        <v>0</v>
      </c>
      <c r="H31" s="131"/>
      <c r="I31" s="131"/>
      <c r="J31" s="131"/>
      <c r="K31" s="131"/>
      <c r="L31" s="131"/>
      <c r="M31" s="131"/>
      <c r="N31" s="131"/>
      <c r="O31" s="131"/>
      <c r="P31" s="131"/>
      <c r="Q31" s="131"/>
      <c r="R31" s="131"/>
      <c r="S31" s="131"/>
      <c r="T31" s="131"/>
      <c r="U31" s="131"/>
      <c r="V31" s="131"/>
      <c r="W31" s="131"/>
      <c r="X31" s="131"/>
      <c r="Y31" s="131"/>
      <c r="Z31" s="131"/>
    </row>
    <row r="32" spans="1:26" ht="15.75" customHeight="1">
      <c r="A32" s="119"/>
      <c r="B32" s="540" t="s">
        <v>7129</v>
      </c>
      <c r="C32" s="541"/>
      <c r="D32" s="541"/>
      <c r="E32" s="541"/>
      <c r="F32" s="121">
        <f>Balanza!F196-Balanza!E196</f>
        <v>0</v>
      </c>
      <c r="G32" s="541">
        <f t="shared" si="0"/>
        <v>0</v>
      </c>
      <c r="H32" s="131"/>
      <c r="I32" s="131"/>
      <c r="J32" s="131"/>
      <c r="K32" s="131"/>
      <c r="L32" s="131"/>
      <c r="M32" s="131"/>
      <c r="N32" s="131"/>
      <c r="O32" s="131"/>
      <c r="P32" s="131"/>
      <c r="Q32" s="131"/>
      <c r="R32" s="131"/>
      <c r="S32" s="131"/>
      <c r="T32" s="131"/>
      <c r="U32" s="131"/>
      <c r="V32" s="131"/>
      <c r="W32" s="131"/>
      <c r="X32" s="131"/>
      <c r="Y32" s="131"/>
      <c r="Z32" s="131"/>
    </row>
    <row r="33" spans="1:26" ht="15.75" customHeight="1">
      <c r="A33" s="907" t="str">
        <f>"Hacienda Pública/Patrimonio Neto Final de "&amp;Validacion!F185</f>
        <v>Hacienda Pública/Patrimonio Neto Final de 2025</v>
      </c>
      <c r="B33" s="765"/>
      <c r="C33" s="543">
        <f>C19+C20</f>
        <v>70029434.019999996</v>
      </c>
      <c r="D33" s="543">
        <f t="shared" ref="D33:E33" si="2">D19+D24</f>
        <v>10251875951.76</v>
      </c>
      <c r="E33" s="543">
        <f t="shared" si="2"/>
        <v>4179395929.9699998</v>
      </c>
      <c r="F33" s="543">
        <f>F19+F30</f>
        <v>1229456417.52</v>
      </c>
      <c r="G33" s="543">
        <f t="shared" si="0"/>
        <v>15730757733.27</v>
      </c>
      <c r="H33" s="131"/>
      <c r="I33" s="131"/>
      <c r="J33" s="131"/>
      <c r="K33" s="131"/>
      <c r="L33" s="131"/>
      <c r="M33" s="131"/>
      <c r="N33" s="131"/>
      <c r="O33" s="131"/>
      <c r="P33" s="131"/>
      <c r="Q33" s="131"/>
      <c r="R33" s="131"/>
      <c r="S33" s="131"/>
      <c r="T33" s="131"/>
      <c r="U33" s="131"/>
      <c r="V33" s="131"/>
      <c r="W33" s="131"/>
      <c r="X33" s="131"/>
      <c r="Y33" s="131"/>
      <c r="Z33" s="131"/>
    </row>
    <row r="34" spans="1:26" ht="15.75" customHeight="1">
      <c r="A34" s="131"/>
      <c r="B34" s="131"/>
      <c r="C34" s="146"/>
      <c r="D34" s="146"/>
      <c r="E34" s="146"/>
      <c r="F34" s="146"/>
      <c r="G34" s="146"/>
      <c r="H34" s="131"/>
      <c r="I34" s="131"/>
      <c r="J34" s="131"/>
      <c r="K34" s="131"/>
      <c r="L34" s="131"/>
      <c r="M34" s="131"/>
      <c r="N34" s="131"/>
      <c r="O34" s="131"/>
      <c r="P34" s="131"/>
      <c r="Q34" s="131"/>
      <c r="R34" s="131"/>
      <c r="S34" s="131"/>
      <c r="T34" s="131"/>
      <c r="U34" s="131"/>
      <c r="V34" s="131"/>
      <c r="W34" s="131"/>
      <c r="X34" s="131"/>
      <c r="Y34" s="131"/>
      <c r="Z34" s="131"/>
    </row>
    <row r="35" spans="1:26" ht="15.75" customHeight="1">
      <c r="A35" s="131"/>
      <c r="B35" s="308" t="s">
        <v>4422</v>
      </c>
      <c r="C35" s="146"/>
      <c r="D35" s="146"/>
      <c r="E35" s="146"/>
      <c r="F35" s="146"/>
      <c r="G35" s="146"/>
      <c r="H35" s="131"/>
      <c r="I35" s="131"/>
      <c r="J35" s="131"/>
      <c r="K35" s="131"/>
      <c r="L35" s="131"/>
      <c r="M35" s="131"/>
      <c r="N35" s="131"/>
      <c r="O35" s="131"/>
      <c r="P35" s="131"/>
      <c r="Q35" s="131"/>
      <c r="R35" s="131"/>
      <c r="S35" s="131"/>
      <c r="T35" s="131"/>
      <c r="U35" s="131"/>
      <c r="V35" s="131"/>
      <c r="W35" s="131"/>
      <c r="X35" s="131"/>
      <c r="Y35" s="131"/>
      <c r="Z35" s="131"/>
    </row>
    <row r="36" spans="1:26" ht="15.75" customHeight="1">
      <c r="A36" s="131"/>
      <c r="B36" s="131"/>
      <c r="C36" s="146"/>
      <c r="D36" s="146"/>
      <c r="E36" s="146"/>
      <c r="F36" s="146"/>
      <c r="G36" s="146"/>
      <c r="H36" s="131"/>
      <c r="I36" s="131"/>
      <c r="J36" s="131"/>
      <c r="K36" s="131"/>
      <c r="L36" s="131"/>
      <c r="M36" s="131"/>
      <c r="N36" s="131"/>
      <c r="O36" s="131"/>
      <c r="P36" s="131"/>
      <c r="Q36" s="131"/>
      <c r="R36" s="131"/>
      <c r="S36" s="131"/>
      <c r="T36" s="131"/>
      <c r="U36" s="131"/>
      <c r="V36" s="131"/>
      <c r="W36" s="131"/>
      <c r="X36" s="131"/>
      <c r="Y36" s="131"/>
      <c r="Z36" s="131"/>
    </row>
    <row r="37" spans="1:26" ht="15.75" customHeight="1">
      <c r="A37" s="131"/>
      <c r="B37" s="131"/>
      <c r="C37" s="146"/>
      <c r="D37" s="146"/>
      <c r="E37" s="146"/>
      <c r="F37" s="146"/>
      <c r="G37" s="146"/>
      <c r="H37" s="131"/>
      <c r="I37" s="131"/>
      <c r="J37" s="131"/>
      <c r="K37" s="131"/>
      <c r="L37" s="131"/>
      <c r="M37" s="131"/>
      <c r="N37" s="131"/>
      <c r="O37" s="131"/>
      <c r="P37" s="131"/>
      <c r="Q37" s="131"/>
      <c r="R37" s="131"/>
      <c r="S37" s="131"/>
      <c r="T37" s="131"/>
      <c r="U37" s="131"/>
      <c r="V37" s="131"/>
      <c r="W37" s="131"/>
      <c r="X37" s="131"/>
      <c r="Y37" s="131"/>
      <c r="Z37" s="131"/>
    </row>
    <row r="38" spans="1:26" ht="15.75" customHeight="1">
      <c r="A38" s="131"/>
      <c r="B38" s="131"/>
      <c r="C38" s="146"/>
      <c r="D38" s="146"/>
      <c r="E38" s="146"/>
      <c r="F38" s="146"/>
      <c r="G38" s="146"/>
      <c r="H38" s="131"/>
      <c r="I38" s="131"/>
      <c r="J38" s="131"/>
      <c r="K38" s="131"/>
      <c r="L38" s="131"/>
      <c r="M38" s="131"/>
      <c r="N38" s="131"/>
      <c r="O38" s="131"/>
      <c r="P38" s="131"/>
      <c r="Q38" s="131"/>
      <c r="R38" s="131"/>
      <c r="S38" s="131"/>
      <c r="T38" s="131"/>
      <c r="U38" s="131"/>
      <c r="V38" s="131"/>
      <c r="W38" s="131"/>
      <c r="X38" s="131"/>
      <c r="Y38" s="131"/>
      <c r="Z38" s="131"/>
    </row>
    <row r="39" spans="1:26" ht="15.75" customHeight="1">
      <c r="A39" s="131"/>
      <c r="B39" s="1"/>
      <c r="C39" s="146"/>
      <c r="D39" s="544"/>
      <c r="E39" s="544"/>
      <c r="F39" s="544"/>
      <c r="G39" s="544"/>
      <c r="H39" s="131"/>
      <c r="I39" s="131"/>
      <c r="J39" s="131"/>
      <c r="K39" s="131"/>
      <c r="L39" s="131"/>
      <c r="M39" s="131"/>
      <c r="N39" s="131"/>
      <c r="O39" s="131"/>
      <c r="P39" s="131"/>
      <c r="Q39" s="131"/>
      <c r="R39" s="131"/>
      <c r="S39" s="131"/>
      <c r="T39" s="131"/>
      <c r="U39" s="131"/>
      <c r="V39" s="131"/>
      <c r="W39" s="131"/>
      <c r="X39" s="131"/>
      <c r="Y39" s="131"/>
      <c r="Z39" s="131"/>
    </row>
    <row r="40" spans="1:26" ht="15" customHeight="1">
      <c r="A40" s="131"/>
      <c r="B40" s="786" t="str">
        <f>Validacion!A7</f>
        <v>Vero</v>
      </c>
      <c r="C40" s="146"/>
      <c r="D40" s="822" t="str">
        <f>Validacion!A9</f>
        <v>Irlanda</v>
      </c>
      <c r="E40" s="725"/>
      <c r="F40" s="725"/>
      <c r="G40" s="725"/>
      <c r="H40" s="131"/>
      <c r="I40" s="131"/>
      <c r="J40" s="131"/>
      <c r="K40" s="131"/>
      <c r="L40" s="131"/>
      <c r="M40" s="131"/>
      <c r="N40" s="131"/>
      <c r="O40" s="131"/>
      <c r="P40" s="131"/>
      <c r="Q40" s="131"/>
      <c r="R40" s="131"/>
      <c r="S40" s="131"/>
      <c r="T40" s="131"/>
      <c r="U40" s="131"/>
      <c r="V40" s="131"/>
      <c r="W40" s="131"/>
      <c r="X40" s="131"/>
      <c r="Y40" s="131"/>
      <c r="Z40" s="131"/>
    </row>
    <row r="41" spans="1:26" ht="15.75" customHeight="1">
      <c r="A41" s="131"/>
      <c r="B41" s="725"/>
      <c r="C41" s="146"/>
      <c r="D41" s="725"/>
      <c r="E41" s="725"/>
      <c r="F41" s="725"/>
      <c r="G41" s="725"/>
      <c r="H41" s="131"/>
      <c r="I41" s="131"/>
      <c r="J41" s="131"/>
      <c r="K41" s="131"/>
      <c r="L41" s="131"/>
      <c r="M41" s="131"/>
      <c r="N41" s="131"/>
      <c r="O41" s="131"/>
      <c r="P41" s="131"/>
      <c r="Q41" s="131"/>
      <c r="R41" s="131"/>
      <c r="S41" s="131"/>
      <c r="T41" s="131"/>
      <c r="U41" s="131"/>
      <c r="V41" s="131"/>
      <c r="W41" s="131"/>
      <c r="X41" s="131"/>
      <c r="Y41" s="131"/>
      <c r="Z41" s="131"/>
    </row>
    <row r="42" spans="1:26" ht="15.75" customHeight="1">
      <c r="A42" s="131"/>
      <c r="B42" s="773" t="s">
        <v>4443</v>
      </c>
      <c r="C42" s="146"/>
      <c r="D42" s="906" t="s">
        <v>7130</v>
      </c>
      <c r="E42" s="725"/>
      <c r="F42" s="725"/>
      <c r="G42" s="725"/>
      <c r="H42" s="131"/>
      <c r="I42" s="131"/>
      <c r="J42" s="131"/>
      <c r="K42" s="131"/>
      <c r="L42" s="131"/>
      <c r="M42" s="131"/>
      <c r="N42" s="131"/>
      <c r="O42" s="131"/>
      <c r="P42" s="131"/>
      <c r="Q42" s="131"/>
      <c r="R42" s="131"/>
      <c r="S42" s="131"/>
      <c r="T42" s="131"/>
      <c r="U42" s="131"/>
      <c r="V42" s="131"/>
      <c r="W42" s="131"/>
      <c r="X42" s="131"/>
      <c r="Y42" s="131"/>
      <c r="Z42" s="131"/>
    </row>
    <row r="43" spans="1:26" ht="15" customHeight="1">
      <c r="A43" s="131"/>
      <c r="B43" s="725"/>
      <c r="C43" s="146"/>
      <c r="D43" s="725"/>
      <c r="E43" s="725"/>
      <c r="F43" s="725"/>
      <c r="G43" s="725"/>
      <c r="H43" s="131"/>
      <c r="I43" s="131"/>
      <c r="J43" s="131"/>
      <c r="K43" s="131"/>
      <c r="L43" s="131"/>
      <c r="M43" s="131"/>
      <c r="N43" s="131"/>
      <c r="O43" s="131"/>
      <c r="P43" s="131"/>
      <c r="Q43" s="131"/>
      <c r="R43" s="131"/>
      <c r="S43" s="131"/>
      <c r="T43" s="131"/>
      <c r="U43" s="131"/>
      <c r="V43" s="131"/>
      <c r="W43" s="131"/>
      <c r="X43" s="131"/>
      <c r="Y43" s="131"/>
      <c r="Z43" s="131"/>
    </row>
    <row r="44" spans="1:26" ht="15.75" customHeight="1">
      <c r="A44" s="131"/>
      <c r="B44" s="131"/>
      <c r="C44" s="146"/>
      <c r="D44" s="146"/>
      <c r="E44" s="146"/>
      <c r="F44" s="146"/>
      <c r="G44" s="146"/>
      <c r="H44" s="131"/>
      <c r="I44" s="131"/>
      <c r="J44" s="131"/>
      <c r="K44" s="131"/>
      <c r="L44" s="131"/>
      <c r="M44" s="131"/>
      <c r="N44" s="131"/>
      <c r="O44" s="131"/>
      <c r="P44" s="131"/>
      <c r="Q44" s="131"/>
      <c r="R44" s="131"/>
      <c r="S44" s="131"/>
      <c r="T44" s="131"/>
      <c r="U44" s="131"/>
      <c r="V44" s="131"/>
      <c r="W44" s="131"/>
      <c r="X44" s="131"/>
      <c r="Y44" s="131"/>
      <c r="Z44" s="131"/>
    </row>
    <row r="45" spans="1:26" ht="15" customHeight="1">
      <c r="A45" s="131"/>
      <c r="B45" s="131"/>
      <c r="C45" s="545"/>
      <c r="D45" s="545"/>
      <c r="E45" s="545"/>
      <c r="F45" s="146"/>
      <c r="G45" s="146"/>
      <c r="H45" s="131"/>
      <c r="I45" s="131"/>
      <c r="J45" s="131"/>
      <c r="K45" s="131"/>
      <c r="L45" s="131"/>
      <c r="M45" s="131"/>
      <c r="N45" s="131"/>
      <c r="O45" s="131"/>
      <c r="P45" s="131"/>
      <c r="Q45" s="131"/>
      <c r="R45" s="131"/>
      <c r="S45" s="131"/>
      <c r="T45" s="131"/>
      <c r="U45" s="131"/>
      <c r="V45" s="131"/>
      <c r="W45" s="131"/>
      <c r="X45" s="131"/>
      <c r="Y45" s="131"/>
      <c r="Z45" s="131"/>
    </row>
    <row r="46" spans="1:26" ht="15" hidden="1" customHeight="1">
      <c r="A46" s="131"/>
      <c r="B46" s="131"/>
      <c r="C46" s="545"/>
      <c r="D46" s="545"/>
      <c r="E46" s="545"/>
      <c r="F46" s="146"/>
      <c r="G46" s="146"/>
      <c r="H46" s="131"/>
      <c r="I46" s="131"/>
      <c r="J46" s="131"/>
      <c r="K46" s="131"/>
      <c r="L46" s="131"/>
      <c r="M46" s="131"/>
      <c r="N46" s="131"/>
      <c r="O46" s="131"/>
      <c r="P46" s="131"/>
      <c r="Q46" s="131"/>
      <c r="R46" s="131"/>
      <c r="S46" s="131"/>
      <c r="T46" s="131"/>
      <c r="U46" s="131"/>
      <c r="V46" s="131"/>
      <c r="W46" s="131"/>
      <c r="X46" s="131"/>
      <c r="Y46" s="131"/>
      <c r="Z46" s="131"/>
    </row>
    <row r="47" spans="1:26" ht="15" hidden="1" customHeight="1">
      <c r="A47" s="131"/>
      <c r="B47" s="131"/>
      <c r="C47" s="545"/>
      <c r="D47" s="545"/>
      <c r="E47" s="545"/>
      <c r="F47" s="146"/>
      <c r="G47" s="146"/>
      <c r="H47" s="131"/>
      <c r="I47" s="131"/>
      <c r="J47" s="131"/>
      <c r="K47" s="131"/>
      <c r="L47" s="131"/>
      <c r="M47" s="131"/>
      <c r="N47" s="131"/>
      <c r="O47" s="131"/>
      <c r="P47" s="131"/>
      <c r="Q47" s="131"/>
      <c r="R47" s="131"/>
      <c r="S47" s="131"/>
      <c r="T47" s="131"/>
      <c r="U47" s="131"/>
      <c r="V47" s="131"/>
      <c r="W47" s="131"/>
      <c r="X47" s="131"/>
      <c r="Y47" s="131"/>
      <c r="Z47" s="131"/>
    </row>
    <row r="48" spans="1:26" ht="15" hidden="1" customHeight="1">
      <c r="A48" s="131"/>
      <c r="B48" s="131"/>
      <c r="C48" s="545"/>
      <c r="D48" s="545"/>
      <c r="E48" s="545"/>
      <c r="F48" s="146"/>
      <c r="G48" s="146"/>
      <c r="H48" s="131"/>
      <c r="I48" s="131"/>
      <c r="J48" s="131"/>
      <c r="K48" s="131"/>
      <c r="L48" s="131"/>
      <c r="M48" s="131"/>
      <c r="N48" s="131"/>
      <c r="O48" s="131"/>
      <c r="P48" s="131"/>
      <c r="Q48" s="131"/>
      <c r="R48" s="131"/>
      <c r="S48" s="131"/>
      <c r="T48" s="131"/>
      <c r="U48" s="131"/>
      <c r="V48" s="131"/>
      <c r="W48" s="131"/>
      <c r="X48" s="131"/>
      <c r="Y48" s="131"/>
      <c r="Z48" s="131"/>
    </row>
    <row r="49" spans="1:26" ht="15.75" customHeight="1">
      <c r="A49" s="131"/>
      <c r="B49" s="131"/>
      <c r="C49" s="146"/>
      <c r="D49" s="146"/>
      <c r="E49" s="146"/>
      <c r="F49" s="146"/>
      <c r="G49" s="146"/>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31"/>
      <c r="B50" s="131"/>
      <c r="C50" s="146"/>
      <c r="D50" s="146"/>
      <c r="E50" s="146"/>
      <c r="F50" s="146"/>
      <c r="G50" s="146"/>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31"/>
      <c r="B51" s="131"/>
      <c r="C51" s="146"/>
      <c r="D51" s="146"/>
      <c r="E51" s="146"/>
      <c r="F51" s="146"/>
      <c r="G51" s="146"/>
      <c r="H51" s="131"/>
      <c r="I51" s="131"/>
      <c r="J51" s="131"/>
      <c r="K51" s="131"/>
      <c r="L51" s="131"/>
      <c r="M51" s="131"/>
      <c r="N51" s="131"/>
      <c r="O51" s="131"/>
      <c r="P51" s="131"/>
      <c r="Q51" s="131"/>
      <c r="R51" s="131"/>
      <c r="S51" s="131"/>
      <c r="T51" s="131"/>
      <c r="U51" s="131"/>
      <c r="V51" s="131"/>
      <c r="W51" s="131"/>
      <c r="X51" s="131"/>
      <c r="Y51" s="131"/>
      <c r="Z51" s="131"/>
    </row>
    <row r="52" spans="1:26" ht="15.75" customHeight="1">
      <c r="A52" s="131"/>
      <c r="B52" s="131"/>
      <c r="C52" s="146"/>
      <c r="D52" s="146"/>
      <c r="E52" s="146"/>
      <c r="F52" s="146"/>
      <c r="G52" s="146"/>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31"/>
      <c r="B53" s="131"/>
      <c r="C53" s="146"/>
      <c r="D53" s="146"/>
      <c r="E53" s="146"/>
      <c r="F53" s="146"/>
      <c r="G53" s="146"/>
      <c r="H53" s="131"/>
      <c r="I53" s="131"/>
      <c r="J53" s="131"/>
      <c r="K53" s="131"/>
      <c r="L53" s="131"/>
      <c r="M53" s="131"/>
      <c r="N53" s="131"/>
      <c r="O53" s="131"/>
      <c r="P53" s="131"/>
      <c r="Q53" s="131"/>
      <c r="R53" s="131"/>
      <c r="S53" s="131"/>
      <c r="T53" s="131"/>
      <c r="U53" s="131"/>
      <c r="V53" s="131"/>
      <c r="W53" s="131"/>
      <c r="X53" s="131"/>
      <c r="Y53" s="131"/>
      <c r="Z53" s="131"/>
    </row>
    <row r="54" spans="1:26" ht="15.75" customHeight="1">
      <c r="A54" s="131"/>
      <c r="B54" s="131"/>
      <c r="C54" s="146"/>
      <c r="D54" s="146"/>
      <c r="E54" s="146"/>
      <c r="F54" s="146"/>
      <c r="G54" s="146"/>
      <c r="H54" s="131"/>
      <c r="I54" s="131"/>
      <c r="J54" s="131"/>
      <c r="K54" s="131"/>
      <c r="L54" s="131"/>
      <c r="M54" s="131"/>
      <c r="N54" s="131"/>
      <c r="O54" s="131"/>
      <c r="P54" s="131"/>
      <c r="Q54" s="131"/>
      <c r="R54" s="131"/>
      <c r="S54" s="131"/>
      <c r="T54" s="131"/>
      <c r="U54" s="131"/>
      <c r="V54" s="131"/>
      <c r="W54" s="131"/>
      <c r="X54" s="131"/>
      <c r="Y54" s="131"/>
      <c r="Z54" s="131"/>
    </row>
    <row r="55" spans="1:26" ht="15.75" customHeight="1">
      <c r="A55" s="131"/>
      <c r="B55" s="131"/>
      <c r="C55" s="146"/>
      <c r="D55" s="146"/>
      <c r="E55" s="146"/>
      <c r="F55" s="146"/>
      <c r="G55" s="146"/>
      <c r="H55" s="131"/>
      <c r="I55" s="131"/>
      <c r="J55" s="131"/>
      <c r="K55" s="131"/>
      <c r="L55" s="131"/>
      <c r="M55" s="131"/>
      <c r="N55" s="131"/>
      <c r="O55" s="131"/>
      <c r="P55" s="131"/>
      <c r="Q55" s="131"/>
      <c r="R55" s="131"/>
      <c r="S55" s="131"/>
      <c r="T55" s="131"/>
      <c r="U55" s="131"/>
      <c r="V55" s="131"/>
      <c r="W55" s="131"/>
      <c r="X55" s="131"/>
      <c r="Y55" s="131"/>
      <c r="Z55" s="131"/>
    </row>
    <row r="56" spans="1:26" ht="15.75" customHeight="1">
      <c r="A56" s="131"/>
      <c r="B56" s="131"/>
      <c r="C56" s="146"/>
      <c r="D56" s="146"/>
      <c r="E56" s="146"/>
      <c r="F56" s="146"/>
      <c r="G56" s="146"/>
      <c r="H56" s="131"/>
      <c r="I56" s="131"/>
      <c r="J56" s="131"/>
      <c r="K56" s="131"/>
      <c r="L56" s="131"/>
      <c r="M56" s="131"/>
      <c r="N56" s="131"/>
      <c r="O56" s="131"/>
      <c r="P56" s="131"/>
      <c r="Q56" s="131"/>
      <c r="R56" s="131"/>
      <c r="S56" s="131"/>
      <c r="T56" s="131"/>
      <c r="U56" s="131"/>
      <c r="V56" s="131"/>
      <c r="W56" s="131"/>
      <c r="X56" s="131"/>
      <c r="Y56" s="131"/>
      <c r="Z56" s="131"/>
    </row>
    <row r="57" spans="1:26" ht="15.75" customHeight="1">
      <c r="A57" s="131"/>
      <c r="B57" s="131"/>
      <c r="C57" s="146"/>
      <c r="D57" s="146"/>
      <c r="E57" s="146"/>
      <c r="F57" s="146"/>
      <c r="G57" s="146"/>
      <c r="H57" s="131"/>
      <c r="I57" s="131"/>
      <c r="J57" s="131"/>
      <c r="K57" s="131"/>
      <c r="L57" s="131"/>
      <c r="M57" s="131"/>
      <c r="N57" s="131"/>
      <c r="O57" s="131"/>
      <c r="P57" s="131"/>
      <c r="Q57" s="131"/>
      <c r="R57" s="131"/>
      <c r="S57" s="131"/>
      <c r="T57" s="131"/>
      <c r="U57" s="131"/>
      <c r="V57" s="131"/>
      <c r="W57" s="131"/>
      <c r="X57" s="131"/>
      <c r="Y57" s="131"/>
      <c r="Z57" s="131"/>
    </row>
    <row r="58" spans="1:26" ht="15.75" customHeight="1">
      <c r="A58" s="131"/>
      <c r="B58" s="131"/>
      <c r="C58" s="146"/>
      <c r="D58" s="146"/>
      <c r="E58" s="146"/>
      <c r="F58" s="146"/>
      <c r="G58" s="146"/>
      <c r="H58" s="131"/>
      <c r="I58" s="131"/>
      <c r="J58" s="131"/>
      <c r="K58" s="131"/>
      <c r="L58" s="131"/>
      <c r="M58" s="131"/>
      <c r="N58" s="131"/>
      <c r="O58" s="131"/>
      <c r="P58" s="131"/>
      <c r="Q58" s="131"/>
      <c r="R58" s="131"/>
      <c r="S58" s="131"/>
      <c r="T58" s="131"/>
      <c r="U58" s="131"/>
      <c r="V58" s="131"/>
      <c r="W58" s="131"/>
      <c r="X58" s="131"/>
      <c r="Y58" s="131"/>
      <c r="Z58" s="131"/>
    </row>
    <row r="59" spans="1:26" ht="15.75" customHeight="1">
      <c r="A59" s="131"/>
      <c r="B59" s="131"/>
      <c r="C59" s="146"/>
      <c r="D59" s="146"/>
      <c r="E59" s="146"/>
      <c r="F59" s="146"/>
      <c r="G59" s="146"/>
      <c r="H59" s="131"/>
      <c r="I59" s="131"/>
      <c r="J59" s="131"/>
      <c r="K59" s="131"/>
      <c r="L59" s="131"/>
      <c r="M59" s="131"/>
      <c r="N59" s="131"/>
      <c r="O59" s="131"/>
      <c r="P59" s="131"/>
      <c r="Q59" s="131"/>
      <c r="R59" s="131"/>
      <c r="S59" s="131"/>
      <c r="T59" s="131"/>
      <c r="U59" s="131"/>
      <c r="V59" s="131"/>
      <c r="W59" s="131"/>
      <c r="X59" s="131"/>
      <c r="Y59" s="131"/>
      <c r="Z59" s="131"/>
    </row>
    <row r="60" spans="1:26" ht="15.75" customHeight="1">
      <c r="A60" s="131"/>
      <c r="B60" s="131"/>
      <c r="C60" s="146"/>
      <c r="D60" s="146"/>
      <c r="E60" s="146"/>
      <c r="F60" s="146"/>
      <c r="G60" s="146"/>
      <c r="H60" s="131"/>
      <c r="I60" s="131"/>
      <c r="J60" s="131"/>
      <c r="K60" s="131"/>
      <c r="L60" s="131"/>
      <c r="M60" s="131"/>
      <c r="N60" s="131"/>
      <c r="O60" s="131"/>
      <c r="P60" s="131"/>
      <c r="Q60" s="131"/>
      <c r="R60" s="131"/>
      <c r="S60" s="131"/>
      <c r="T60" s="131"/>
      <c r="U60" s="131"/>
      <c r="V60" s="131"/>
      <c r="W60" s="131"/>
      <c r="X60" s="131"/>
      <c r="Y60" s="131"/>
      <c r="Z60" s="131"/>
    </row>
    <row r="61" spans="1:26" ht="15.75" customHeight="1">
      <c r="A61" s="131"/>
      <c r="B61" s="131"/>
      <c r="C61" s="146"/>
      <c r="D61" s="146"/>
      <c r="E61" s="146"/>
      <c r="F61" s="146"/>
      <c r="G61" s="146"/>
      <c r="H61" s="131"/>
      <c r="I61" s="131"/>
      <c r="J61" s="131"/>
      <c r="K61" s="131"/>
      <c r="L61" s="131"/>
      <c r="M61" s="131"/>
      <c r="N61" s="131"/>
      <c r="O61" s="131"/>
      <c r="P61" s="131"/>
      <c r="Q61" s="131"/>
      <c r="R61" s="131"/>
      <c r="S61" s="131"/>
      <c r="T61" s="131"/>
      <c r="U61" s="131"/>
      <c r="V61" s="131"/>
      <c r="W61" s="131"/>
      <c r="X61" s="131"/>
      <c r="Y61" s="131"/>
      <c r="Z61" s="131"/>
    </row>
    <row r="62" spans="1:26" ht="15.75" customHeight="1">
      <c r="A62" s="131"/>
      <c r="B62" s="131"/>
      <c r="C62" s="146"/>
      <c r="D62" s="146"/>
      <c r="E62" s="146"/>
      <c r="F62" s="146"/>
      <c r="G62" s="146"/>
      <c r="H62" s="131"/>
      <c r="I62" s="131"/>
      <c r="J62" s="131"/>
      <c r="K62" s="131"/>
      <c r="L62" s="131"/>
      <c r="M62" s="131"/>
      <c r="N62" s="131"/>
      <c r="O62" s="131"/>
      <c r="P62" s="131"/>
      <c r="Q62" s="131"/>
      <c r="R62" s="131"/>
      <c r="S62" s="131"/>
      <c r="T62" s="131"/>
      <c r="U62" s="131"/>
      <c r="V62" s="131"/>
      <c r="W62" s="131"/>
      <c r="X62" s="131"/>
      <c r="Y62" s="131"/>
      <c r="Z62" s="131"/>
    </row>
    <row r="63" spans="1:26" ht="15.75" customHeight="1">
      <c r="A63" s="131"/>
      <c r="B63" s="131"/>
      <c r="C63" s="146"/>
      <c r="D63" s="146"/>
      <c r="E63" s="146"/>
      <c r="F63" s="146"/>
      <c r="G63" s="146"/>
      <c r="H63" s="131"/>
      <c r="I63" s="131"/>
      <c r="J63" s="131"/>
      <c r="K63" s="131"/>
      <c r="L63" s="131"/>
      <c r="M63" s="131"/>
      <c r="N63" s="131"/>
      <c r="O63" s="131"/>
      <c r="P63" s="131"/>
      <c r="Q63" s="131"/>
      <c r="R63" s="131"/>
      <c r="S63" s="131"/>
      <c r="T63" s="131"/>
      <c r="U63" s="131"/>
      <c r="V63" s="131"/>
      <c r="W63" s="131"/>
      <c r="X63" s="131"/>
      <c r="Y63" s="131"/>
      <c r="Z63" s="131"/>
    </row>
    <row r="64" spans="1:26" ht="15.75" customHeight="1">
      <c r="A64" s="131"/>
      <c r="B64" s="131"/>
      <c r="C64" s="146"/>
      <c r="D64" s="146"/>
      <c r="E64" s="146"/>
      <c r="F64" s="146"/>
      <c r="G64" s="146"/>
      <c r="H64" s="131"/>
      <c r="I64" s="131"/>
      <c r="J64" s="131"/>
      <c r="K64" s="131"/>
      <c r="L64" s="131"/>
      <c r="M64" s="131"/>
      <c r="N64" s="131"/>
      <c r="O64" s="131"/>
      <c r="P64" s="131"/>
      <c r="Q64" s="131"/>
      <c r="R64" s="131"/>
      <c r="S64" s="131"/>
      <c r="T64" s="131"/>
      <c r="U64" s="131"/>
      <c r="V64" s="131"/>
      <c r="W64" s="131"/>
      <c r="X64" s="131"/>
      <c r="Y64" s="131"/>
      <c r="Z64" s="131"/>
    </row>
    <row r="65" spans="1:26" ht="15.75" customHeight="1">
      <c r="A65" s="131"/>
      <c r="B65" s="131"/>
      <c r="C65" s="146"/>
      <c r="D65" s="146"/>
      <c r="E65" s="146"/>
      <c r="F65" s="146"/>
      <c r="G65" s="146"/>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131"/>
      <c r="C66" s="146"/>
      <c r="D66" s="146"/>
      <c r="E66" s="146"/>
      <c r="F66" s="146"/>
      <c r="G66" s="146"/>
      <c r="H66" s="131"/>
      <c r="I66" s="131"/>
      <c r="J66" s="131"/>
      <c r="K66" s="131"/>
      <c r="L66" s="131"/>
      <c r="M66" s="131"/>
      <c r="N66" s="131"/>
      <c r="O66" s="131"/>
      <c r="P66" s="131"/>
      <c r="Q66" s="131"/>
      <c r="R66" s="131"/>
      <c r="S66" s="131"/>
      <c r="T66" s="131"/>
      <c r="U66" s="131"/>
      <c r="V66" s="131"/>
      <c r="W66" s="131"/>
      <c r="X66" s="131"/>
      <c r="Y66" s="131"/>
      <c r="Z66" s="131"/>
    </row>
    <row r="67" spans="1:26" ht="15.75" customHeight="1">
      <c r="A67" s="131"/>
      <c r="B67" s="131"/>
      <c r="C67" s="146"/>
      <c r="D67" s="146"/>
      <c r="E67" s="146"/>
      <c r="F67" s="146"/>
      <c r="G67" s="146"/>
      <c r="H67" s="131"/>
      <c r="I67" s="131"/>
      <c r="J67" s="131"/>
      <c r="K67" s="131"/>
      <c r="L67" s="131"/>
      <c r="M67" s="131"/>
      <c r="N67" s="131"/>
      <c r="O67" s="131"/>
      <c r="P67" s="131"/>
      <c r="Q67" s="131"/>
      <c r="R67" s="131"/>
      <c r="S67" s="131"/>
      <c r="T67" s="131"/>
      <c r="U67" s="131"/>
      <c r="V67" s="131"/>
      <c r="W67" s="131"/>
      <c r="X67" s="131"/>
      <c r="Y67" s="131"/>
      <c r="Z67" s="131"/>
    </row>
    <row r="68" spans="1:26" ht="15.75" customHeight="1">
      <c r="A68" s="131"/>
      <c r="B68" s="131"/>
      <c r="C68" s="146"/>
      <c r="D68" s="146"/>
      <c r="E68" s="146"/>
      <c r="F68" s="146"/>
      <c r="G68" s="146"/>
      <c r="H68" s="131"/>
      <c r="I68" s="131"/>
      <c r="J68" s="131"/>
      <c r="K68" s="131"/>
      <c r="L68" s="131"/>
      <c r="M68" s="131"/>
      <c r="N68" s="131"/>
      <c r="O68" s="131"/>
      <c r="P68" s="131"/>
      <c r="Q68" s="131"/>
      <c r="R68" s="131"/>
      <c r="S68" s="131"/>
      <c r="T68" s="131"/>
      <c r="U68" s="131"/>
      <c r="V68" s="131"/>
      <c r="W68" s="131"/>
      <c r="X68" s="131"/>
      <c r="Y68" s="131"/>
      <c r="Z68" s="131"/>
    </row>
    <row r="69" spans="1:26" ht="15.75" customHeight="1">
      <c r="A69" s="131"/>
      <c r="B69" s="131"/>
      <c r="C69" s="146"/>
      <c r="D69" s="146"/>
      <c r="E69" s="146"/>
      <c r="F69" s="146"/>
      <c r="G69" s="146"/>
      <c r="H69" s="131"/>
      <c r="I69" s="131"/>
      <c r="J69" s="131"/>
      <c r="K69" s="131"/>
      <c r="L69" s="131"/>
      <c r="M69" s="131"/>
      <c r="N69" s="131"/>
      <c r="O69" s="131"/>
      <c r="P69" s="131"/>
      <c r="Q69" s="131"/>
      <c r="R69" s="131"/>
      <c r="S69" s="131"/>
      <c r="T69" s="131"/>
      <c r="U69" s="131"/>
      <c r="V69" s="131"/>
      <c r="W69" s="131"/>
      <c r="X69" s="131"/>
      <c r="Y69" s="131"/>
      <c r="Z69" s="131"/>
    </row>
    <row r="70" spans="1:26" ht="15.75" customHeight="1">
      <c r="A70" s="131"/>
      <c r="B70" s="131"/>
      <c r="C70" s="146"/>
      <c r="D70" s="146"/>
      <c r="E70" s="146"/>
      <c r="F70" s="146"/>
      <c r="G70" s="146"/>
      <c r="H70" s="131"/>
      <c r="I70" s="131"/>
      <c r="J70" s="131"/>
      <c r="K70" s="131"/>
      <c r="L70" s="131"/>
      <c r="M70" s="131"/>
      <c r="N70" s="131"/>
      <c r="O70" s="131"/>
      <c r="P70" s="131"/>
      <c r="Q70" s="131"/>
      <c r="R70" s="131"/>
      <c r="S70" s="131"/>
      <c r="T70" s="131"/>
      <c r="U70" s="131"/>
      <c r="V70" s="131"/>
      <c r="W70" s="131"/>
      <c r="X70" s="131"/>
      <c r="Y70" s="131"/>
      <c r="Z70" s="131"/>
    </row>
    <row r="71" spans="1:26" ht="15.75" customHeight="1">
      <c r="A71" s="131"/>
      <c r="B71" s="131"/>
      <c r="C71" s="146"/>
      <c r="D71" s="146"/>
      <c r="E71" s="146"/>
      <c r="F71" s="146"/>
      <c r="G71" s="146"/>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1"/>
      <c r="B72" s="131"/>
      <c r="C72" s="146"/>
      <c r="D72" s="146"/>
      <c r="E72" s="146"/>
      <c r="F72" s="146"/>
      <c r="G72" s="146"/>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46"/>
      <c r="D73" s="146"/>
      <c r="E73" s="146"/>
      <c r="F73" s="146"/>
      <c r="G73" s="146"/>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46"/>
      <c r="D74" s="146"/>
      <c r="E74" s="146"/>
      <c r="F74" s="146"/>
      <c r="G74" s="146"/>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46"/>
      <c r="D75" s="146"/>
      <c r="E75" s="146"/>
      <c r="F75" s="146"/>
      <c r="G75" s="146"/>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46"/>
      <c r="D76" s="146"/>
      <c r="E76" s="146"/>
      <c r="F76" s="146"/>
      <c r="G76" s="146"/>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46"/>
      <c r="D77" s="146"/>
      <c r="E77" s="146"/>
      <c r="F77" s="146"/>
      <c r="G77" s="146"/>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46"/>
      <c r="D78" s="146"/>
      <c r="E78" s="146"/>
      <c r="F78" s="146"/>
      <c r="G78" s="146"/>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46"/>
      <c r="D79" s="146"/>
      <c r="E79" s="146"/>
      <c r="F79" s="146"/>
      <c r="G79" s="146"/>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46"/>
      <c r="D80" s="146"/>
      <c r="E80" s="146"/>
      <c r="F80" s="146"/>
      <c r="G80" s="146"/>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46"/>
      <c r="D81" s="146"/>
      <c r="E81" s="146"/>
      <c r="F81" s="146"/>
      <c r="G81" s="146"/>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46"/>
      <c r="D82" s="146"/>
      <c r="E82" s="146"/>
      <c r="F82" s="146"/>
      <c r="G82" s="146"/>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46"/>
      <c r="D83" s="146"/>
      <c r="E83" s="146"/>
      <c r="F83" s="146"/>
      <c r="G83" s="146"/>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46"/>
      <c r="D84" s="146"/>
      <c r="E84" s="146"/>
      <c r="F84" s="146"/>
      <c r="G84" s="146"/>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46"/>
      <c r="D85" s="146"/>
      <c r="E85" s="146"/>
      <c r="F85" s="146"/>
      <c r="G85" s="146"/>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46"/>
      <c r="D86" s="146"/>
      <c r="E86" s="146"/>
      <c r="F86" s="146"/>
      <c r="G86" s="146"/>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46"/>
      <c r="D87" s="146"/>
      <c r="E87" s="146"/>
      <c r="F87" s="146"/>
      <c r="G87" s="146"/>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46"/>
      <c r="D88" s="146"/>
      <c r="E88" s="146"/>
      <c r="F88" s="146"/>
      <c r="G88" s="146"/>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46"/>
      <c r="D89" s="146"/>
      <c r="E89" s="146"/>
      <c r="F89" s="146"/>
      <c r="G89" s="146"/>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46"/>
      <c r="D90" s="146"/>
      <c r="E90" s="146"/>
      <c r="F90" s="146"/>
      <c r="G90" s="146"/>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46"/>
      <c r="D91" s="146"/>
      <c r="E91" s="146"/>
      <c r="F91" s="146"/>
      <c r="G91" s="146"/>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46"/>
      <c r="D92" s="146"/>
      <c r="E92" s="146"/>
      <c r="F92" s="146"/>
      <c r="G92" s="146"/>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46"/>
      <c r="D93" s="146"/>
      <c r="E93" s="146"/>
      <c r="F93" s="146"/>
      <c r="G93" s="146"/>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46"/>
      <c r="D94" s="146"/>
      <c r="E94" s="146"/>
      <c r="F94" s="146"/>
      <c r="G94" s="146"/>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46"/>
      <c r="D95" s="146"/>
      <c r="E95" s="146"/>
      <c r="F95" s="146"/>
      <c r="G95" s="146"/>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46"/>
      <c r="D96" s="146"/>
      <c r="E96" s="146"/>
      <c r="F96" s="146"/>
      <c r="G96" s="146"/>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46"/>
      <c r="D97" s="146"/>
      <c r="E97" s="146"/>
      <c r="F97" s="146"/>
      <c r="G97" s="146"/>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46"/>
      <c r="D98" s="146"/>
      <c r="E98" s="146"/>
      <c r="F98" s="146"/>
      <c r="G98" s="146"/>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46"/>
      <c r="D99" s="146"/>
      <c r="E99" s="146"/>
      <c r="F99" s="146"/>
      <c r="G99" s="146"/>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46"/>
      <c r="D100" s="146"/>
      <c r="E100" s="146"/>
      <c r="F100" s="146"/>
      <c r="G100" s="146"/>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46"/>
      <c r="D101" s="146"/>
      <c r="E101" s="146"/>
      <c r="F101" s="146"/>
      <c r="G101" s="146"/>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46"/>
      <c r="D102" s="146"/>
      <c r="E102" s="146"/>
      <c r="F102" s="146"/>
      <c r="G102" s="146"/>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46"/>
      <c r="D103" s="146"/>
      <c r="E103" s="146"/>
      <c r="F103" s="146"/>
      <c r="G103" s="146"/>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46"/>
      <c r="D104" s="146"/>
      <c r="E104" s="146"/>
      <c r="F104" s="146"/>
      <c r="G104" s="146"/>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46"/>
      <c r="D105" s="146"/>
      <c r="E105" s="146"/>
      <c r="F105" s="146"/>
      <c r="G105" s="146"/>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46"/>
      <c r="D106" s="146"/>
      <c r="E106" s="146"/>
      <c r="F106" s="146"/>
      <c r="G106" s="146"/>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46"/>
      <c r="D107" s="146"/>
      <c r="E107" s="146"/>
      <c r="F107" s="146"/>
      <c r="G107" s="146"/>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46"/>
      <c r="D108" s="146"/>
      <c r="E108" s="146"/>
      <c r="F108" s="146"/>
      <c r="G108" s="146"/>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46"/>
      <c r="D109" s="146"/>
      <c r="E109" s="146"/>
      <c r="F109" s="146"/>
      <c r="G109" s="146"/>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46"/>
      <c r="D110" s="146"/>
      <c r="E110" s="146"/>
      <c r="F110" s="146"/>
      <c r="G110" s="146"/>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46"/>
      <c r="D111" s="146"/>
      <c r="E111" s="146"/>
      <c r="F111" s="146"/>
      <c r="G111" s="146"/>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46"/>
      <c r="D112" s="146"/>
      <c r="E112" s="146"/>
      <c r="F112" s="146"/>
      <c r="G112" s="146"/>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46"/>
      <c r="D113" s="146"/>
      <c r="E113" s="146"/>
      <c r="F113" s="146"/>
      <c r="G113" s="146"/>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46"/>
      <c r="D114" s="146"/>
      <c r="E114" s="146"/>
      <c r="F114" s="146"/>
      <c r="G114" s="146"/>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46"/>
      <c r="D115" s="146"/>
      <c r="E115" s="146"/>
      <c r="F115" s="146"/>
      <c r="G115" s="146"/>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46"/>
      <c r="D116" s="146"/>
      <c r="E116" s="146"/>
      <c r="F116" s="146"/>
      <c r="G116" s="146"/>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46"/>
      <c r="D117" s="146"/>
      <c r="E117" s="146"/>
      <c r="F117" s="146"/>
      <c r="G117" s="146"/>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46"/>
      <c r="D118" s="146"/>
      <c r="E118" s="146"/>
      <c r="F118" s="146"/>
      <c r="G118" s="146"/>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46"/>
      <c r="D119" s="146"/>
      <c r="E119" s="146"/>
      <c r="F119" s="146"/>
      <c r="G119" s="146"/>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46"/>
      <c r="D120" s="146"/>
      <c r="E120" s="146"/>
      <c r="F120" s="146"/>
      <c r="G120" s="146"/>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46"/>
      <c r="D121" s="146"/>
      <c r="E121" s="146"/>
      <c r="F121" s="146"/>
      <c r="G121" s="146"/>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46"/>
      <c r="D122" s="146"/>
      <c r="E122" s="146"/>
      <c r="F122" s="146"/>
      <c r="G122" s="146"/>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46"/>
      <c r="D123" s="146"/>
      <c r="E123" s="146"/>
      <c r="F123" s="146"/>
      <c r="G123" s="146"/>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46"/>
      <c r="D124" s="146"/>
      <c r="E124" s="146"/>
      <c r="F124" s="146"/>
      <c r="G124" s="146"/>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46"/>
      <c r="D125" s="146"/>
      <c r="E125" s="146"/>
      <c r="F125" s="146"/>
      <c r="G125" s="146"/>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46"/>
      <c r="D126" s="146"/>
      <c r="E126" s="146"/>
      <c r="F126" s="146"/>
      <c r="G126" s="146"/>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46"/>
      <c r="D127" s="146"/>
      <c r="E127" s="146"/>
      <c r="F127" s="146"/>
      <c r="G127" s="146"/>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46"/>
      <c r="D128" s="146"/>
      <c r="E128" s="146"/>
      <c r="F128" s="146"/>
      <c r="G128" s="146"/>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46"/>
      <c r="D129" s="146"/>
      <c r="E129" s="146"/>
      <c r="F129" s="146"/>
      <c r="G129" s="146"/>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46"/>
      <c r="D130" s="146"/>
      <c r="E130" s="146"/>
      <c r="F130" s="146"/>
      <c r="G130" s="146"/>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46"/>
      <c r="D131" s="146"/>
      <c r="E131" s="146"/>
      <c r="F131" s="146"/>
      <c r="G131" s="146"/>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46"/>
      <c r="D132" s="146"/>
      <c r="E132" s="146"/>
      <c r="F132" s="146"/>
      <c r="G132" s="146"/>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46"/>
      <c r="D133" s="146"/>
      <c r="E133" s="146"/>
      <c r="F133" s="146"/>
      <c r="G133" s="146"/>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46"/>
      <c r="D134" s="146"/>
      <c r="E134" s="146"/>
      <c r="F134" s="146"/>
      <c r="G134" s="146"/>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46"/>
      <c r="D135" s="146"/>
      <c r="E135" s="146"/>
      <c r="F135" s="146"/>
      <c r="G135" s="146"/>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46"/>
      <c r="D136" s="146"/>
      <c r="E136" s="146"/>
      <c r="F136" s="146"/>
      <c r="G136" s="146"/>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46"/>
      <c r="D137" s="146"/>
      <c r="E137" s="146"/>
      <c r="F137" s="146"/>
      <c r="G137" s="146"/>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46"/>
      <c r="D138" s="146"/>
      <c r="E138" s="146"/>
      <c r="F138" s="146"/>
      <c r="G138" s="146"/>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46"/>
      <c r="D139" s="146"/>
      <c r="E139" s="146"/>
      <c r="F139" s="146"/>
      <c r="G139" s="146"/>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46"/>
      <c r="D140" s="146"/>
      <c r="E140" s="146"/>
      <c r="F140" s="146"/>
      <c r="G140" s="146"/>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46"/>
      <c r="D141" s="146"/>
      <c r="E141" s="146"/>
      <c r="F141" s="146"/>
      <c r="G141" s="146"/>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46"/>
      <c r="D142" s="146"/>
      <c r="E142" s="146"/>
      <c r="F142" s="146"/>
      <c r="G142" s="146"/>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46"/>
      <c r="D143" s="146"/>
      <c r="E143" s="146"/>
      <c r="F143" s="146"/>
      <c r="G143" s="146"/>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46"/>
      <c r="D144" s="146"/>
      <c r="E144" s="146"/>
      <c r="F144" s="146"/>
      <c r="G144" s="146"/>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46"/>
      <c r="D145" s="146"/>
      <c r="E145" s="146"/>
      <c r="F145" s="146"/>
      <c r="G145" s="146"/>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46"/>
      <c r="D146" s="146"/>
      <c r="E146" s="146"/>
      <c r="F146" s="146"/>
      <c r="G146" s="146"/>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46"/>
      <c r="D147" s="146"/>
      <c r="E147" s="146"/>
      <c r="F147" s="146"/>
      <c r="G147" s="146"/>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46"/>
      <c r="D148" s="146"/>
      <c r="E148" s="146"/>
      <c r="F148" s="146"/>
      <c r="G148" s="146"/>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46"/>
      <c r="D149" s="146"/>
      <c r="E149" s="146"/>
      <c r="F149" s="146"/>
      <c r="G149" s="146"/>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46"/>
      <c r="D150" s="146"/>
      <c r="E150" s="146"/>
      <c r="F150" s="146"/>
      <c r="G150" s="146"/>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46"/>
      <c r="D151" s="146"/>
      <c r="E151" s="146"/>
      <c r="F151" s="146"/>
      <c r="G151" s="146"/>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46"/>
      <c r="D152" s="146"/>
      <c r="E152" s="146"/>
      <c r="F152" s="146"/>
      <c r="G152" s="146"/>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46"/>
      <c r="D153" s="146"/>
      <c r="E153" s="146"/>
      <c r="F153" s="146"/>
      <c r="G153" s="146"/>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46"/>
      <c r="D154" s="146"/>
      <c r="E154" s="146"/>
      <c r="F154" s="146"/>
      <c r="G154" s="146"/>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46"/>
      <c r="D155" s="146"/>
      <c r="E155" s="146"/>
      <c r="F155" s="146"/>
      <c r="G155" s="146"/>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46"/>
      <c r="D156" s="146"/>
      <c r="E156" s="146"/>
      <c r="F156" s="146"/>
      <c r="G156" s="146"/>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46"/>
      <c r="D157" s="146"/>
      <c r="E157" s="146"/>
      <c r="F157" s="146"/>
      <c r="G157" s="146"/>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46"/>
      <c r="D158" s="146"/>
      <c r="E158" s="146"/>
      <c r="F158" s="146"/>
      <c r="G158" s="146"/>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46"/>
      <c r="D159" s="146"/>
      <c r="E159" s="146"/>
      <c r="F159" s="146"/>
      <c r="G159" s="146"/>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46"/>
      <c r="D160" s="146"/>
      <c r="E160" s="146"/>
      <c r="F160" s="146"/>
      <c r="G160" s="146"/>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46"/>
      <c r="D161" s="146"/>
      <c r="E161" s="146"/>
      <c r="F161" s="146"/>
      <c r="G161" s="146"/>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46"/>
      <c r="D162" s="146"/>
      <c r="E162" s="146"/>
      <c r="F162" s="146"/>
      <c r="G162" s="146"/>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46"/>
      <c r="D163" s="146"/>
      <c r="E163" s="146"/>
      <c r="F163" s="146"/>
      <c r="G163" s="146"/>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46"/>
      <c r="D164" s="146"/>
      <c r="E164" s="146"/>
      <c r="F164" s="146"/>
      <c r="G164" s="146"/>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46"/>
      <c r="D165" s="146"/>
      <c r="E165" s="146"/>
      <c r="F165" s="146"/>
      <c r="G165" s="146"/>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46"/>
      <c r="D166" s="146"/>
      <c r="E166" s="146"/>
      <c r="F166" s="146"/>
      <c r="G166" s="146"/>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46"/>
      <c r="D167" s="146"/>
      <c r="E167" s="146"/>
      <c r="F167" s="146"/>
      <c r="G167" s="146"/>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46"/>
      <c r="D168" s="146"/>
      <c r="E168" s="146"/>
      <c r="F168" s="146"/>
      <c r="G168" s="146"/>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46"/>
      <c r="D169" s="146"/>
      <c r="E169" s="146"/>
      <c r="F169" s="146"/>
      <c r="G169" s="146"/>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46"/>
      <c r="D170" s="146"/>
      <c r="E170" s="146"/>
      <c r="F170" s="146"/>
      <c r="G170" s="146"/>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46"/>
      <c r="D171" s="146"/>
      <c r="E171" s="146"/>
      <c r="F171" s="146"/>
      <c r="G171" s="146"/>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46"/>
      <c r="D172" s="146"/>
      <c r="E172" s="146"/>
      <c r="F172" s="146"/>
      <c r="G172" s="146"/>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46"/>
      <c r="D173" s="146"/>
      <c r="E173" s="146"/>
      <c r="F173" s="146"/>
      <c r="G173" s="146"/>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46"/>
      <c r="D174" s="146"/>
      <c r="E174" s="146"/>
      <c r="F174" s="146"/>
      <c r="G174" s="146"/>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46"/>
      <c r="D175" s="146"/>
      <c r="E175" s="146"/>
      <c r="F175" s="146"/>
      <c r="G175" s="146"/>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46"/>
      <c r="D176" s="146"/>
      <c r="E176" s="146"/>
      <c r="F176" s="146"/>
      <c r="G176" s="146"/>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46"/>
      <c r="D177" s="146"/>
      <c r="E177" s="146"/>
      <c r="F177" s="146"/>
      <c r="G177" s="146"/>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46"/>
      <c r="D178" s="146"/>
      <c r="E178" s="146"/>
      <c r="F178" s="146"/>
      <c r="G178" s="146"/>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46"/>
      <c r="D179" s="146"/>
      <c r="E179" s="146"/>
      <c r="F179" s="146"/>
      <c r="G179" s="146"/>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46"/>
      <c r="D180" s="146"/>
      <c r="E180" s="146"/>
      <c r="F180" s="146"/>
      <c r="G180" s="146"/>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46"/>
      <c r="D181" s="146"/>
      <c r="E181" s="146"/>
      <c r="F181" s="146"/>
      <c r="G181" s="146"/>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46"/>
      <c r="D182" s="146"/>
      <c r="E182" s="146"/>
      <c r="F182" s="146"/>
      <c r="G182" s="146"/>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46"/>
      <c r="D183" s="146"/>
      <c r="E183" s="146"/>
      <c r="F183" s="146"/>
      <c r="G183" s="146"/>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46"/>
      <c r="D184" s="146"/>
      <c r="E184" s="146"/>
      <c r="F184" s="146"/>
      <c r="G184" s="146"/>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46"/>
      <c r="D185" s="146"/>
      <c r="E185" s="146"/>
      <c r="F185" s="146"/>
      <c r="G185" s="146"/>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46"/>
      <c r="D186" s="146"/>
      <c r="E186" s="146"/>
      <c r="F186" s="146"/>
      <c r="G186" s="146"/>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46"/>
      <c r="D187" s="146"/>
      <c r="E187" s="146"/>
      <c r="F187" s="146"/>
      <c r="G187" s="146"/>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46"/>
      <c r="D188" s="146"/>
      <c r="E188" s="146"/>
      <c r="F188" s="146"/>
      <c r="G188" s="146"/>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46"/>
      <c r="D189" s="146"/>
      <c r="E189" s="146"/>
      <c r="F189" s="146"/>
      <c r="G189" s="146"/>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46"/>
      <c r="D190" s="146"/>
      <c r="E190" s="146"/>
      <c r="F190" s="146"/>
      <c r="G190" s="146"/>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46"/>
      <c r="D191" s="146"/>
      <c r="E191" s="146"/>
      <c r="F191" s="146"/>
      <c r="G191" s="146"/>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46"/>
      <c r="D192" s="146"/>
      <c r="E192" s="146"/>
      <c r="F192" s="146"/>
      <c r="G192" s="146"/>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46"/>
      <c r="D193" s="146"/>
      <c r="E193" s="146"/>
      <c r="F193" s="146"/>
      <c r="G193" s="146"/>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46"/>
      <c r="D194" s="146"/>
      <c r="E194" s="146"/>
      <c r="F194" s="146"/>
      <c r="G194" s="146"/>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46"/>
      <c r="D195" s="146"/>
      <c r="E195" s="146"/>
      <c r="F195" s="146"/>
      <c r="G195" s="146"/>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46"/>
      <c r="D196" s="146"/>
      <c r="E196" s="146"/>
      <c r="F196" s="146"/>
      <c r="G196" s="146"/>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46"/>
      <c r="D197" s="146"/>
      <c r="E197" s="146"/>
      <c r="F197" s="146"/>
      <c r="G197" s="146"/>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46"/>
      <c r="D198" s="146"/>
      <c r="E198" s="146"/>
      <c r="F198" s="146"/>
      <c r="G198" s="146"/>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46"/>
      <c r="D199" s="146"/>
      <c r="E199" s="146"/>
      <c r="F199" s="146"/>
      <c r="G199" s="146"/>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46"/>
      <c r="D200" s="146"/>
      <c r="E200" s="146"/>
      <c r="F200" s="146"/>
      <c r="G200" s="146"/>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46"/>
      <c r="D201" s="146"/>
      <c r="E201" s="146"/>
      <c r="F201" s="146"/>
      <c r="G201" s="146"/>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46"/>
      <c r="D202" s="146"/>
      <c r="E202" s="146"/>
      <c r="F202" s="146"/>
      <c r="G202" s="146"/>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46"/>
      <c r="D203" s="146"/>
      <c r="E203" s="146"/>
      <c r="F203" s="146"/>
      <c r="G203" s="146"/>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46"/>
      <c r="D204" s="146"/>
      <c r="E204" s="146"/>
      <c r="F204" s="146"/>
      <c r="G204" s="146"/>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46"/>
      <c r="D205" s="146"/>
      <c r="E205" s="146"/>
      <c r="F205" s="146"/>
      <c r="G205" s="146"/>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46"/>
      <c r="D206" s="146"/>
      <c r="E206" s="146"/>
      <c r="F206" s="146"/>
      <c r="G206" s="146"/>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46"/>
      <c r="D207" s="146"/>
      <c r="E207" s="146"/>
      <c r="F207" s="146"/>
      <c r="G207" s="146"/>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46"/>
      <c r="D208" s="146"/>
      <c r="E208" s="146"/>
      <c r="F208" s="146"/>
      <c r="G208" s="146"/>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46"/>
      <c r="D209" s="146"/>
      <c r="E209" s="146"/>
      <c r="F209" s="146"/>
      <c r="G209" s="146"/>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46"/>
      <c r="D210" s="146"/>
      <c r="E210" s="146"/>
      <c r="F210" s="146"/>
      <c r="G210" s="146"/>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46"/>
      <c r="D211" s="146"/>
      <c r="E211" s="146"/>
      <c r="F211" s="146"/>
      <c r="G211" s="146"/>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46"/>
      <c r="D212" s="146"/>
      <c r="E212" s="146"/>
      <c r="F212" s="146"/>
      <c r="G212" s="146"/>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46"/>
      <c r="D213" s="146"/>
      <c r="E213" s="146"/>
      <c r="F213" s="146"/>
      <c r="G213" s="146"/>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46"/>
      <c r="D214" s="146"/>
      <c r="E214" s="146"/>
      <c r="F214" s="146"/>
      <c r="G214" s="146"/>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46"/>
      <c r="D215" s="146"/>
      <c r="E215" s="146"/>
      <c r="F215" s="146"/>
      <c r="G215" s="146"/>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46"/>
      <c r="D216" s="146"/>
      <c r="E216" s="146"/>
      <c r="F216" s="146"/>
      <c r="G216" s="146"/>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46"/>
      <c r="D217" s="146"/>
      <c r="E217" s="146"/>
      <c r="F217" s="146"/>
      <c r="G217" s="146"/>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46"/>
      <c r="D218" s="146"/>
      <c r="E218" s="146"/>
      <c r="F218" s="146"/>
      <c r="G218" s="146"/>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46"/>
      <c r="D219" s="146"/>
      <c r="E219" s="146"/>
      <c r="F219" s="146"/>
      <c r="G219" s="146"/>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46"/>
      <c r="D220" s="146"/>
      <c r="E220" s="146"/>
      <c r="F220" s="146"/>
      <c r="G220" s="146"/>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46"/>
      <c r="D221" s="146"/>
      <c r="E221" s="146"/>
      <c r="F221" s="146"/>
      <c r="G221" s="146"/>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46"/>
      <c r="D222" s="146"/>
      <c r="E222" s="146"/>
      <c r="F222" s="146"/>
      <c r="G222" s="146"/>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46"/>
      <c r="D223" s="146"/>
      <c r="E223" s="146"/>
      <c r="F223" s="146"/>
      <c r="G223" s="146"/>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46"/>
      <c r="D224" s="146"/>
      <c r="E224" s="146"/>
      <c r="F224" s="146"/>
      <c r="G224" s="146"/>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46"/>
      <c r="D225" s="146"/>
      <c r="E225" s="146"/>
      <c r="F225" s="146"/>
      <c r="G225" s="146"/>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46"/>
      <c r="D226" s="146"/>
      <c r="E226" s="146"/>
      <c r="F226" s="146"/>
      <c r="G226" s="146"/>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46"/>
      <c r="D227" s="146"/>
      <c r="E227" s="146"/>
      <c r="F227" s="146"/>
      <c r="G227" s="146"/>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46"/>
      <c r="D228" s="146"/>
      <c r="E228" s="146"/>
      <c r="F228" s="146"/>
      <c r="G228" s="146"/>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46"/>
      <c r="D229" s="146"/>
      <c r="E229" s="146"/>
      <c r="F229" s="146"/>
      <c r="G229" s="146"/>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46"/>
      <c r="D230" s="146"/>
      <c r="E230" s="146"/>
      <c r="F230" s="146"/>
      <c r="G230" s="146"/>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46"/>
      <c r="D231" s="146"/>
      <c r="E231" s="146"/>
      <c r="F231" s="146"/>
      <c r="G231" s="146"/>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46"/>
      <c r="D232" s="146"/>
      <c r="E232" s="146"/>
      <c r="F232" s="146"/>
      <c r="G232" s="146"/>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46"/>
      <c r="D233" s="146"/>
      <c r="E233" s="146"/>
      <c r="F233" s="146"/>
      <c r="G233" s="146"/>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46"/>
      <c r="D234" s="146"/>
      <c r="E234" s="146"/>
      <c r="F234" s="146"/>
      <c r="G234" s="146"/>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46"/>
      <c r="D235" s="146"/>
      <c r="E235" s="146"/>
      <c r="F235" s="146"/>
      <c r="G235" s="146"/>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46"/>
      <c r="D236" s="146"/>
      <c r="E236" s="146"/>
      <c r="F236" s="146"/>
      <c r="G236" s="146"/>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46"/>
      <c r="D237" s="146"/>
      <c r="E237" s="146"/>
      <c r="F237" s="146"/>
      <c r="G237" s="146"/>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46"/>
      <c r="D238" s="146"/>
      <c r="E238" s="146"/>
      <c r="F238" s="146"/>
      <c r="G238" s="146"/>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46"/>
      <c r="D239" s="146"/>
      <c r="E239" s="146"/>
      <c r="F239" s="146"/>
      <c r="G239" s="146"/>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46"/>
      <c r="D240" s="146"/>
      <c r="E240" s="146"/>
      <c r="F240" s="146"/>
      <c r="G240" s="146"/>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46"/>
      <c r="D241" s="146"/>
      <c r="E241" s="146"/>
      <c r="F241" s="146"/>
      <c r="G241" s="146"/>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46"/>
      <c r="D242" s="146"/>
      <c r="E242" s="146"/>
      <c r="F242" s="146"/>
      <c r="G242" s="146"/>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46"/>
      <c r="D243" s="146"/>
      <c r="E243" s="146"/>
      <c r="F243" s="146"/>
      <c r="G243" s="146"/>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46"/>
      <c r="D244" s="146"/>
      <c r="E244" s="146"/>
      <c r="F244" s="146"/>
      <c r="G244" s="146"/>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46"/>
      <c r="D245" s="146"/>
      <c r="E245" s="146"/>
      <c r="F245" s="146"/>
      <c r="G245" s="146"/>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46"/>
      <c r="D246" s="146"/>
      <c r="E246" s="146"/>
      <c r="F246" s="146"/>
      <c r="G246" s="146"/>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46"/>
      <c r="D247" s="146"/>
      <c r="E247" s="146"/>
      <c r="F247" s="146"/>
      <c r="G247" s="146"/>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46"/>
      <c r="D248" s="146"/>
      <c r="E248" s="146"/>
      <c r="F248" s="146"/>
      <c r="G248" s="146"/>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46"/>
      <c r="D249" s="146"/>
      <c r="E249" s="146"/>
      <c r="F249" s="146"/>
      <c r="G249" s="146"/>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46"/>
      <c r="D250" s="146"/>
      <c r="E250" s="146"/>
      <c r="F250" s="146"/>
      <c r="G250" s="146"/>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46"/>
      <c r="D251" s="146"/>
      <c r="E251" s="146"/>
      <c r="F251" s="146"/>
      <c r="G251" s="146"/>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46"/>
      <c r="D252" s="146"/>
      <c r="E252" s="146"/>
      <c r="F252" s="146"/>
      <c r="G252" s="146"/>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46"/>
      <c r="D253" s="146"/>
      <c r="E253" s="146"/>
      <c r="F253" s="146"/>
      <c r="G253" s="146"/>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46"/>
      <c r="D254" s="146"/>
      <c r="E254" s="146"/>
      <c r="F254" s="146"/>
      <c r="G254" s="146"/>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46"/>
      <c r="D255" s="146"/>
      <c r="E255" s="146"/>
      <c r="F255" s="146"/>
      <c r="G255" s="146"/>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46"/>
      <c r="D256" s="146"/>
      <c r="E256" s="146"/>
      <c r="F256" s="146"/>
      <c r="G256" s="146"/>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46"/>
      <c r="D257" s="146"/>
      <c r="E257" s="146"/>
      <c r="F257" s="146"/>
      <c r="G257" s="146"/>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46"/>
      <c r="D258" s="146"/>
      <c r="E258" s="146"/>
      <c r="F258" s="146"/>
      <c r="G258" s="146"/>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46"/>
      <c r="D259" s="146"/>
      <c r="E259" s="146"/>
      <c r="F259" s="146"/>
      <c r="G259" s="146"/>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46"/>
      <c r="D260" s="146"/>
      <c r="E260" s="146"/>
      <c r="F260" s="146"/>
      <c r="G260" s="146"/>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46"/>
      <c r="D261" s="146"/>
      <c r="E261" s="146"/>
      <c r="F261" s="146"/>
      <c r="G261" s="146"/>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46"/>
      <c r="D262" s="146"/>
      <c r="E262" s="146"/>
      <c r="F262" s="146"/>
      <c r="G262" s="146"/>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46"/>
      <c r="D263" s="146"/>
      <c r="E263" s="146"/>
      <c r="F263" s="146"/>
      <c r="G263" s="146"/>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46"/>
      <c r="D264" s="146"/>
      <c r="E264" s="146"/>
      <c r="F264" s="146"/>
      <c r="G264" s="146"/>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46"/>
      <c r="D265" s="146"/>
      <c r="E265" s="146"/>
      <c r="F265" s="146"/>
      <c r="G265" s="146"/>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46"/>
      <c r="D266" s="146"/>
      <c r="E266" s="146"/>
      <c r="F266" s="146"/>
      <c r="G266" s="146"/>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46"/>
      <c r="D267" s="146"/>
      <c r="E267" s="146"/>
      <c r="F267" s="146"/>
      <c r="G267" s="146"/>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46"/>
      <c r="D268" s="146"/>
      <c r="E268" s="146"/>
      <c r="F268" s="146"/>
      <c r="G268" s="146"/>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46"/>
      <c r="D269" s="146"/>
      <c r="E269" s="146"/>
      <c r="F269" s="146"/>
      <c r="G269" s="146"/>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46"/>
      <c r="D270" s="146"/>
      <c r="E270" s="146"/>
      <c r="F270" s="146"/>
      <c r="G270" s="146"/>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46"/>
      <c r="D271" s="146"/>
      <c r="E271" s="146"/>
      <c r="F271" s="146"/>
      <c r="G271" s="146"/>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46"/>
      <c r="D272" s="146"/>
      <c r="E272" s="146"/>
      <c r="F272" s="146"/>
      <c r="G272" s="146"/>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46"/>
      <c r="D273" s="146"/>
      <c r="E273" s="146"/>
      <c r="F273" s="146"/>
      <c r="G273" s="146"/>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46"/>
      <c r="D274" s="146"/>
      <c r="E274" s="146"/>
      <c r="F274" s="146"/>
      <c r="G274" s="146"/>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46"/>
      <c r="D275" s="146"/>
      <c r="E275" s="146"/>
      <c r="F275" s="146"/>
      <c r="G275" s="146"/>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46"/>
      <c r="D276" s="146"/>
      <c r="E276" s="146"/>
      <c r="F276" s="146"/>
      <c r="G276" s="146"/>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46"/>
      <c r="D277" s="146"/>
      <c r="E277" s="146"/>
      <c r="F277" s="146"/>
      <c r="G277" s="146"/>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46"/>
      <c r="D278" s="146"/>
      <c r="E278" s="146"/>
      <c r="F278" s="146"/>
      <c r="G278" s="146"/>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46"/>
      <c r="D279" s="146"/>
      <c r="E279" s="146"/>
      <c r="F279" s="146"/>
      <c r="G279" s="146"/>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46"/>
      <c r="D280" s="146"/>
      <c r="E280" s="146"/>
      <c r="F280" s="146"/>
      <c r="G280" s="146"/>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46"/>
      <c r="D281" s="146"/>
      <c r="E281" s="146"/>
      <c r="F281" s="146"/>
      <c r="G281" s="146"/>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46"/>
      <c r="D282" s="146"/>
      <c r="E282" s="146"/>
      <c r="F282" s="146"/>
      <c r="G282" s="146"/>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46"/>
      <c r="D283" s="146"/>
      <c r="E283" s="146"/>
      <c r="F283" s="146"/>
      <c r="G283" s="146"/>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46"/>
      <c r="D284" s="146"/>
      <c r="E284" s="146"/>
      <c r="F284" s="146"/>
      <c r="G284" s="146"/>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46"/>
      <c r="D285" s="146"/>
      <c r="E285" s="146"/>
      <c r="F285" s="146"/>
      <c r="G285" s="146"/>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46"/>
      <c r="D286" s="146"/>
      <c r="E286" s="146"/>
      <c r="F286" s="146"/>
      <c r="G286" s="146"/>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46"/>
      <c r="D287" s="146"/>
      <c r="E287" s="146"/>
      <c r="F287" s="146"/>
      <c r="G287" s="146"/>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46"/>
      <c r="D288" s="146"/>
      <c r="E288" s="146"/>
      <c r="F288" s="146"/>
      <c r="G288" s="146"/>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46"/>
      <c r="D289" s="146"/>
      <c r="E289" s="146"/>
      <c r="F289" s="146"/>
      <c r="G289" s="146"/>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46"/>
      <c r="D290" s="146"/>
      <c r="E290" s="146"/>
      <c r="F290" s="146"/>
      <c r="G290" s="146"/>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46"/>
      <c r="D291" s="146"/>
      <c r="E291" s="146"/>
      <c r="F291" s="146"/>
      <c r="G291" s="146"/>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46"/>
      <c r="D292" s="146"/>
      <c r="E292" s="146"/>
      <c r="F292" s="146"/>
      <c r="G292" s="146"/>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46"/>
      <c r="D293" s="146"/>
      <c r="E293" s="146"/>
      <c r="F293" s="146"/>
      <c r="G293" s="146"/>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46"/>
      <c r="D294" s="146"/>
      <c r="E294" s="146"/>
      <c r="F294" s="146"/>
      <c r="G294" s="146"/>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46"/>
      <c r="D295" s="146"/>
      <c r="E295" s="146"/>
      <c r="F295" s="146"/>
      <c r="G295" s="146"/>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46"/>
      <c r="D296" s="146"/>
      <c r="E296" s="146"/>
      <c r="F296" s="146"/>
      <c r="G296" s="146"/>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46"/>
      <c r="D297" s="146"/>
      <c r="E297" s="146"/>
      <c r="F297" s="146"/>
      <c r="G297" s="146"/>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46"/>
      <c r="D298" s="146"/>
      <c r="E298" s="146"/>
      <c r="F298" s="146"/>
      <c r="G298" s="146"/>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46"/>
      <c r="D299" s="146"/>
      <c r="E299" s="146"/>
      <c r="F299" s="146"/>
      <c r="G299" s="146"/>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46"/>
      <c r="D300" s="146"/>
      <c r="E300" s="146"/>
      <c r="F300" s="146"/>
      <c r="G300" s="146"/>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46"/>
      <c r="D301" s="146"/>
      <c r="E301" s="146"/>
      <c r="F301" s="146"/>
      <c r="G301" s="146"/>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46"/>
      <c r="D302" s="146"/>
      <c r="E302" s="146"/>
      <c r="F302" s="146"/>
      <c r="G302" s="146"/>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46"/>
      <c r="D303" s="146"/>
      <c r="E303" s="146"/>
      <c r="F303" s="146"/>
      <c r="G303" s="146"/>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46"/>
      <c r="D304" s="146"/>
      <c r="E304" s="146"/>
      <c r="F304" s="146"/>
      <c r="G304" s="146"/>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46"/>
      <c r="D305" s="146"/>
      <c r="E305" s="146"/>
      <c r="F305" s="146"/>
      <c r="G305" s="146"/>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46"/>
      <c r="D306" s="146"/>
      <c r="E306" s="146"/>
      <c r="F306" s="146"/>
      <c r="G306" s="146"/>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46"/>
      <c r="D307" s="146"/>
      <c r="E307" s="146"/>
      <c r="F307" s="146"/>
      <c r="G307" s="146"/>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46"/>
      <c r="D308" s="146"/>
      <c r="E308" s="146"/>
      <c r="F308" s="146"/>
      <c r="G308" s="146"/>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46"/>
      <c r="D309" s="146"/>
      <c r="E309" s="146"/>
      <c r="F309" s="146"/>
      <c r="G309" s="146"/>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46"/>
      <c r="D310" s="146"/>
      <c r="E310" s="146"/>
      <c r="F310" s="146"/>
      <c r="G310" s="146"/>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46"/>
      <c r="D311" s="146"/>
      <c r="E311" s="146"/>
      <c r="F311" s="146"/>
      <c r="G311" s="146"/>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46"/>
      <c r="D312" s="146"/>
      <c r="E312" s="146"/>
      <c r="F312" s="146"/>
      <c r="G312" s="146"/>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46"/>
      <c r="D313" s="146"/>
      <c r="E313" s="146"/>
      <c r="F313" s="146"/>
      <c r="G313" s="146"/>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46"/>
      <c r="D314" s="146"/>
      <c r="E314" s="146"/>
      <c r="F314" s="146"/>
      <c r="G314" s="146"/>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46"/>
      <c r="D315" s="146"/>
      <c r="E315" s="146"/>
      <c r="F315" s="146"/>
      <c r="G315" s="146"/>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46"/>
      <c r="D316" s="146"/>
      <c r="E316" s="146"/>
      <c r="F316" s="146"/>
      <c r="G316" s="146"/>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46"/>
      <c r="D317" s="146"/>
      <c r="E317" s="146"/>
      <c r="F317" s="146"/>
      <c r="G317" s="146"/>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46"/>
      <c r="D318" s="146"/>
      <c r="E318" s="146"/>
      <c r="F318" s="146"/>
      <c r="G318" s="146"/>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46"/>
      <c r="D319" s="146"/>
      <c r="E319" s="146"/>
      <c r="F319" s="146"/>
      <c r="G319" s="146"/>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46"/>
      <c r="D320" s="146"/>
      <c r="E320" s="146"/>
      <c r="F320" s="146"/>
      <c r="G320" s="146"/>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46"/>
      <c r="D321" s="146"/>
      <c r="E321" s="146"/>
      <c r="F321" s="146"/>
      <c r="G321" s="146"/>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46"/>
      <c r="D322" s="146"/>
      <c r="E322" s="146"/>
      <c r="F322" s="146"/>
      <c r="G322" s="146"/>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46"/>
      <c r="D323" s="146"/>
      <c r="E323" s="146"/>
      <c r="F323" s="146"/>
      <c r="G323" s="146"/>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46"/>
      <c r="D324" s="146"/>
      <c r="E324" s="146"/>
      <c r="F324" s="146"/>
      <c r="G324" s="146"/>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46"/>
      <c r="D325" s="146"/>
      <c r="E325" s="146"/>
      <c r="F325" s="146"/>
      <c r="G325" s="146"/>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46"/>
      <c r="D326" s="146"/>
      <c r="E326" s="146"/>
      <c r="F326" s="146"/>
      <c r="G326" s="146"/>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46"/>
      <c r="D327" s="146"/>
      <c r="E327" s="146"/>
      <c r="F327" s="146"/>
      <c r="G327" s="146"/>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46"/>
      <c r="D328" s="146"/>
      <c r="E328" s="146"/>
      <c r="F328" s="146"/>
      <c r="G328" s="146"/>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46"/>
      <c r="D329" s="146"/>
      <c r="E329" s="146"/>
      <c r="F329" s="146"/>
      <c r="G329" s="146"/>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46"/>
      <c r="D330" s="146"/>
      <c r="E330" s="146"/>
      <c r="F330" s="146"/>
      <c r="G330" s="146"/>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46"/>
      <c r="D331" s="146"/>
      <c r="E331" s="146"/>
      <c r="F331" s="146"/>
      <c r="G331" s="146"/>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46"/>
      <c r="D332" s="146"/>
      <c r="E332" s="146"/>
      <c r="F332" s="146"/>
      <c r="G332" s="146"/>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46"/>
      <c r="D333" s="146"/>
      <c r="E333" s="146"/>
      <c r="F333" s="146"/>
      <c r="G333" s="146"/>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46"/>
      <c r="D334" s="146"/>
      <c r="E334" s="146"/>
      <c r="F334" s="146"/>
      <c r="G334" s="146"/>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46"/>
      <c r="D335" s="146"/>
      <c r="E335" s="146"/>
      <c r="F335" s="146"/>
      <c r="G335" s="146"/>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46"/>
      <c r="D336" s="146"/>
      <c r="E336" s="146"/>
      <c r="F336" s="146"/>
      <c r="G336" s="146"/>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46"/>
      <c r="D337" s="146"/>
      <c r="E337" s="146"/>
      <c r="F337" s="146"/>
      <c r="G337" s="146"/>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46"/>
      <c r="D338" s="146"/>
      <c r="E338" s="146"/>
      <c r="F338" s="146"/>
      <c r="G338" s="146"/>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46"/>
      <c r="D339" s="146"/>
      <c r="E339" s="146"/>
      <c r="F339" s="146"/>
      <c r="G339" s="146"/>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46"/>
      <c r="D340" s="146"/>
      <c r="E340" s="146"/>
      <c r="F340" s="146"/>
      <c r="G340" s="146"/>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46"/>
      <c r="D341" s="146"/>
      <c r="E341" s="146"/>
      <c r="F341" s="146"/>
      <c r="G341" s="146"/>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46"/>
      <c r="D342" s="146"/>
      <c r="E342" s="146"/>
      <c r="F342" s="146"/>
      <c r="G342" s="146"/>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46"/>
      <c r="D343" s="146"/>
      <c r="E343" s="146"/>
      <c r="F343" s="146"/>
      <c r="G343" s="146"/>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46"/>
      <c r="D344" s="146"/>
      <c r="E344" s="146"/>
      <c r="F344" s="146"/>
      <c r="G344" s="146"/>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46"/>
      <c r="D345" s="146"/>
      <c r="E345" s="146"/>
      <c r="F345" s="146"/>
      <c r="G345" s="146"/>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46"/>
      <c r="D346" s="146"/>
      <c r="E346" s="146"/>
      <c r="F346" s="146"/>
      <c r="G346" s="146"/>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46"/>
      <c r="D347" s="146"/>
      <c r="E347" s="146"/>
      <c r="F347" s="146"/>
      <c r="G347" s="146"/>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46"/>
      <c r="D348" s="146"/>
      <c r="E348" s="146"/>
      <c r="F348" s="146"/>
      <c r="G348" s="146"/>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46"/>
      <c r="D349" s="146"/>
      <c r="E349" s="146"/>
      <c r="F349" s="146"/>
      <c r="G349" s="146"/>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46"/>
      <c r="D350" s="146"/>
      <c r="E350" s="146"/>
      <c r="F350" s="146"/>
      <c r="G350" s="146"/>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46"/>
      <c r="D351" s="146"/>
      <c r="E351" s="146"/>
      <c r="F351" s="146"/>
      <c r="G351" s="146"/>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46"/>
      <c r="D352" s="146"/>
      <c r="E352" s="146"/>
      <c r="F352" s="146"/>
      <c r="G352" s="146"/>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46"/>
      <c r="D353" s="146"/>
      <c r="E353" s="146"/>
      <c r="F353" s="146"/>
      <c r="G353" s="146"/>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46"/>
      <c r="D354" s="146"/>
      <c r="E354" s="146"/>
      <c r="F354" s="146"/>
      <c r="G354" s="146"/>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46"/>
      <c r="D355" s="146"/>
      <c r="E355" s="146"/>
      <c r="F355" s="146"/>
      <c r="G355" s="146"/>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46"/>
      <c r="D356" s="146"/>
      <c r="E356" s="146"/>
      <c r="F356" s="146"/>
      <c r="G356" s="146"/>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46"/>
      <c r="D357" s="146"/>
      <c r="E357" s="146"/>
      <c r="F357" s="146"/>
      <c r="G357" s="146"/>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46"/>
      <c r="D358" s="146"/>
      <c r="E358" s="146"/>
      <c r="F358" s="146"/>
      <c r="G358" s="146"/>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46"/>
      <c r="D359" s="146"/>
      <c r="E359" s="146"/>
      <c r="F359" s="146"/>
      <c r="G359" s="146"/>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46"/>
      <c r="D360" s="146"/>
      <c r="E360" s="146"/>
      <c r="F360" s="146"/>
      <c r="G360" s="146"/>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46"/>
      <c r="D361" s="146"/>
      <c r="E361" s="146"/>
      <c r="F361" s="146"/>
      <c r="G361" s="146"/>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46"/>
      <c r="D362" s="146"/>
      <c r="E362" s="146"/>
      <c r="F362" s="146"/>
      <c r="G362" s="146"/>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46"/>
      <c r="D363" s="146"/>
      <c r="E363" s="146"/>
      <c r="F363" s="146"/>
      <c r="G363" s="146"/>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46"/>
      <c r="D364" s="146"/>
      <c r="E364" s="146"/>
      <c r="F364" s="146"/>
      <c r="G364" s="146"/>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46"/>
      <c r="D365" s="146"/>
      <c r="E365" s="146"/>
      <c r="F365" s="146"/>
      <c r="G365" s="146"/>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46"/>
      <c r="D366" s="146"/>
      <c r="E366" s="146"/>
      <c r="F366" s="146"/>
      <c r="G366" s="146"/>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46"/>
      <c r="D367" s="146"/>
      <c r="E367" s="146"/>
      <c r="F367" s="146"/>
      <c r="G367" s="146"/>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46"/>
      <c r="D368" s="146"/>
      <c r="E368" s="146"/>
      <c r="F368" s="146"/>
      <c r="G368" s="146"/>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46"/>
      <c r="D369" s="146"/>
      <c r="E369" s="146"/>
      <c r="F369" s="146"/>
      <c r="G369" s="146"/>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46"/>
      <c r="D370" s="146"/>
      <c r="E370" s="146"/>
      <c r="F370" s="146"/>
      <c r="G370" s="146"/>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46"/>
      <c r="D371" s="146"/>
      <c r="E371" s="146"/>
      <c r="F371" s="146"/>
      <c r="G371" s="146"/>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46"/>
      <c r="D372" s="146"/>
      <c r="E372" s="146"/>
      <c r="F372" s="146"/>
      <c r="G372" s="146"/>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46"/>
      <c r="D373" s="146"/>
      <c r="E373" s="146"/>
      <c r="F373" s="146"/>
      <c r="G373" s="146"/>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46"/>
      <c r="D374" s="146"/>
      <c r="E374" s="146"/>
      <c r="F374" s="146"/>
      <c r="G374" s="146"/>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46"/>
      <c r="D375" s="146"/>
      <c r="E375" s="146"/>
      <c r="F375" s="146"/>
      <c r="G375" s="146"/>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46"/>
      <c r="D376" s="146"/>
      <c r="E376" s="146"/>
      <c r="F376" s="146"/>
      <c r="G376" s="146"/>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46"/>
      <c r="D377" s="146"/>
      <c r="E377" s="146"/>
      <c r="F377" s="146"/>
      <c r="G377" s="146"/>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46"/>
      <c r="D378" s="146"/>
      <c r="E378" s="146"/>
      <c r="F378" s="146"/>
      <c r="G378" s="146"/>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46"/>
      <c r="D379" s="146"/>
      <c r="E379" s="146"/>
      <c r="F379" s="146"/>
      <c r="G379" s="146"/>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46"/>
      <c r="D380" s="146"/>
      <c r="E380" s="146"/>
      <c r="F380" s="146"/>
      <c r="G380" s="146"/>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46"/>
      <c r="D381" s="146"/>
      <c r="E381" s="146"/>
      <c r="F381" s="146"/>
      <c r="G381" s="146"/>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46"/>
      <c r="D382" s="146"/>
      <c r="E382" s="146"/>
      <c r="F382" s="146"/>
      <c r="G382" s="146"/>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46"/>
      <c r="D383" s="146"/>
      <c r="E383" s="146"/>
      <c r="F383" s="146"/>
      <c r="G383" s="146"/>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46"/>
      <c r="D384" s="146"/>
      <c r="E384" s="146"/>
      <c r="F384" s="146"/>
      <c r="G384" s="146"/>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46"/>
      <c r="D385" s="146"/>
      <c r="E385" s="146"/>
      <c r="F385" s="146"/>
      <c r="G385" s="146"/>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46"/>
      <c r="D386" s="146"/>
      <c r="E386" s="146"/>
      <c r="F386" s="146"/>
      <c r="G386" s="146"/>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46"/>
      <c r="D387" s="146"/>
      <c r="E387" s="146"/>
      <c r="F387" s="146"/>
      <c r="G387" s="146"/>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46"/>
      <c r="D388" s="146"/>
      <c r="E388" s="146"/>
      <c r="F388" s="146"/>
      <c r="G388" s="146"/>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46"/>
      <c r="D389" s="146"/>
      <c r="E389" s="146"/>
      <c r="F389" s="146"/>
      <c r="G389" s="146"/>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46"/>
      <c r="D390" s="146"/>
      <c r="E390" s="146"/>
      <c r="F390" s="146"/>
      <c r="G390" s="146"/>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46"/>
      <c r="D391" s="146"/>
      <c r="E391" s="146"/>
      <c r="F391" s="146"/>
      <c r="G391" s="146"/>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46"/>
      <c r="D392" s="146"/>
      <c r="E392" s="146"/>
      <c r="F392" s="146"/>
      <c r="G392" s="146"/>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46"/>
      <c r="D393" s="146"/>
      <c r="E393" s="146"/>
      <c r="F393" s="146"/>
      <c r="G393" s="146"/>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46"/>
      <c r="D394" s="146"/>
      <c r="E394" s="146"/>
      <c r="F394" s="146"/>
      <c r="G394" s="146"/>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46"/>
      <c r="D395" s="146"/>
      <c r="E395" s="146"/>
      <c r="F395" s="146"/>
      <c r="G395" s="146"/>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46"/>
      <c r="D396" s="146"/>
      <c r="E396" s="146"/>
      <c r="F396" s="146"/>
      <c r="G396" s="146"/>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46"/>
      <c r="D397" s="146"/>
      <c r="E397" s="146"/>
      <c r="F397" s="146"/>
      <c r="G397" s="146"/>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46"/>
      <c r="D398" s="146"/>
      <c r="E398" s="146"/>
      <c r="F398" s="146"/>
      <c r="G398" s="146"/>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46"/>
      <c r="D399" s="146"/>
      <c r="E399" s="146"/>
      <c r="F399" s="146"/>
      <c r="G399" s="146"/>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46"/>
      <c r="D400" s="146"/>
      <c r="E400" s="146"/>
      <c r="F400" s="146"/>
      <c r="G400" s="146"/>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46"/>
      <c r="D401" s="146"/>
      <c r="E401" s="146"/>
      <c r="F401" s="146"/>
      <c r="G401" s="146"/>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46"/>
      <c r="D402" s="146"/>
      <c r="E402" s="146"/>
      <c r="F402" s="146"/>
      <c r="G402" s="146"/>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46"/>
      <c r="D403" s="146"/>
      <c r="E403" s="146"/>
      <c r="F403" s="146"/>
      <c r="G403" s="146"/>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46"/>
      <c r="D404" s="146"/>
      <c r="E404" s="146"/>
      <c r="F404" s="146"/>
      <c r="G404" s="146"/>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46"/>
      <c r="D405" s="146"/>
      <c r="E405" s="146"/>
      <c r="F405" s="146"/>
      <c r="G405" s="146"/>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46"/>
      <c r="D406" s="146"/>
      <c r="E406" s="146"/>
      <c r="F406" s="146"/>
      <c r="G406" s="146"/>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46"/>
      <c r="D407" s="146"/>
      <c r="E407" s="146"/>
      <c r="F407" s="146"/>
      <c r="G407" s="146"/>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46"/>
      <c r="D408" s="146"/>
      <c r="E408" s="146"/>
      <c r="F408" s="146"/>
      <c r="G408" s="146"/>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46"/>
      <c r="D409" s="146"/>
      <c r="E409" s="146"/>
      <c r="F409" s="146"/>
      <c r="G409" s="146"/>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46"/>
      <c r="D410" s="146"/>
      <c r="E410" s="146"/>
      <c r="F410" s="146"/>
      <c r="G410" s="146"/>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46"/>
      <c r="D411" s="146"/>
      <c r="E411" s="146"/>
      <c r="F411" s="146"/>
      <c r="G411" s="146"/>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46"/>
      <c r="D412" s="146"/>
      <c r="E412" s="146"/>
      <c r="F412" s="146"/>
      <c r="G412" s="146"/>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46"/>
      <c r="D413" s="146"/>
      <c r="E413" s="146"/>
      <c r="F413" s="146"/>
      <c r="G413" s="146"/>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46"/>
      <c r="D414" s="146"/>
      <c r="E414" s="146"/>
      <c r="F414" s="146"/>
      <c r="G414" s="146"/>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46"/>
      <c r="D415" s="146"/>
      <c r="E415" s="146"/>
      <c r="F415" s="146"/>
      <c r="G415" s="146"/>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46"/>
      <c r="D416" s="146"/>
      <c r="E416" s="146"/>
      <c r="F416" s="146"/>
      <c r="G416" s="146"/>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46"/>
      <c r="D417" s="146"/>
      <c r="E417" s="146"/>
      <c r="F417" s="146"/>
      <c r="G417" s="146"/>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46"/>
      <c r="D418" s="146"/>
      <c r="E418" s="146"/>
      <c r="F418" s="146"/>
      <c r="G418" s="146"/>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46"/>
      <c r="D419" s="146"/>
      <c r="E419" s="146"/>
      <c r="F419" s="146"/>
      <c r="G419" s="146"/>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46"/>
      <c r="D420" s="146"/>
      <c r="E420" s="146"/>
      <c r="F420" s="146"/>
      <c r="G420" s="146"/>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46"/>
      <c r="D421" s="146"/>
      <c r="E421" s="146"/>
      <c r="F421" s="146"/>
      <c r="G421" s="146"/>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46"/>
      <c r="D422" s="146"/>
      <c r="E422" s="146"/>
      <c r="F422" s="146"/>
      <c r="G422" s="146"/>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46"/>
      <c r="D423" s="146"/>
      <c r="E423" s="146"/>
      <c r="F423" s="146"/>
      <c r="G423" s="146"/>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46"/>
      <c r="D424" s="146"/>
      <c r="E424" s="146"/>
      <c r="F424" s="146"/>
      <c r="G424" s="146"/>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46"/>
      <c r="D425" s="146"/>
      <c r="E425" s="146"/>
      <c r="F425" s="146"/>
      <c r="G425" s="146"/>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46"/>
      <c r="D426" s="146"/>
      <c r="E426" s="146"/>
      <c r="F426" s="146"/>
      <c r="G426" s="146"/>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46"/>
      <c r="D427" s="146"/>
      <c r="E427" s="146"/>
      <c r="F427" s="146"/>
      <c r="G427" s="146"/>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46"/>
      <c r="D428" s="146"/>
      <c r="E428" s="146"/>
      <c r="F428" s="146"/>
      <c r="G428" s="146"/>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46"/>
      <c r="D429" s="146"/>
      <c r="E429" s="146"/>
      <c r="F429" s="146"/>
      <c r="G429" s="146"/>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46"/>
      <c r="D430" s="146"/>
      <c r="E430" s="146"/>
      <c r="F430" s="146"/>
      <c r="G430" s="146"/>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46"/>
      <c r="D431" s="146"/>
      <c r="E431" s="146"/>
      <c r="F431" s="146"/>
      <c r="G431" s="146"/>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46"/>
      <c r="D432" s="146"/>
      <c r="E432" s="146"/>
      <c r="F432" s="146"/>
      <c r="G432" s="146"/>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46"/>
      <c r="D433" s="146"/>
      <c r="E433" s="146"/>
      <c r="F433" s="146"/>
      <c r="G433" s="146"/>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46"/>
      <c r="D434" s="146"/>
      <c r="E434" s="146"/>
      <c r="F434" s="146"/>
      <c r="G434" s="146"/>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46"/>
      <c r="D435" s="146"/>
      <c r="E435" s="146"/>
      <c r="F435" s="146"/>
      <c r="G435" s="146"/>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46"/>
      <c r="D436" s="146"/>
      <c r="E436" s="146"/>
      <c r="F436" s="146"/>
      <c r="G436" s="146"/>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46"/>
      <c r="D437" s="146"/>
      <c r="E437" s="146"/>
      <c r="F437" s="146"/>
      <c r="G437" s="146"/>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46"/>
      <c r="D438" s="146"/>
      <c r="E438" s="146"/>
      <c r="F438" s="146"/>
      <c r="G438" s="146"/>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46"/>
      <c r="D439" s="146"/>
      <c r="E439" s="146"/>
      <c r="F439" s="146"/>
      <c r="G439" s="146"/>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46"/>
      <c r="D440" s="146"/>
      <c r="E440" s="146"/>
      <c r="F440" s="146"/>
      <c r="G440" s="146"/>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46"/>
      <c r="D441" s="146"/>
      <c r="E441" s="146"/>
      <c r="F441" s="146"/>
      <c r="G441" s="146"/>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46"/>
      <c r="D442" s="146"/>
      <c r="E442" s="146"/>
      <c r="F442" s="146"/>
      <c r="G442" s="146"/>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46"/>
      <c r="D443" s="146"/>
      <c r="E443" s="146"/>
      <c r="F443" s="146"/>
      <c r="G443" s="146"/>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46"/>
      <c r="D444" s="146"/>
      <c r="E444" s="146"/>
      <c r="F444" s="146"/>
      <c r="G444" s="146"/>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46"/>
      <c r="D445" s="146"/>
      <c r="E445" s="146"/>
      <c r="F445" s="146"/>
      <c r="G445" s="146"/>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46"/>
      <c r="D446" s="146"/>
      <c r="E446" s="146"/>
      <c r="F446" s="146"/>
      <c r="G446" s="146"/>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46"/>
      <c r="D447" s="146"/>
      <c r="E447" s="146"/>
      <c r="F447" s="146"/>
      <c r="G447" s="146"/>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46"/>
      <c r="D448" s="146"/>
      <c r="E448" s="146"/>
      <c r="F448" s="146"/>
      <c r="G448" s="146"/>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46"/>
      <c r="D449" s="146"/>
      <c r="E449" s="146"/>
      <c r="F449" s="146"/>
      <c r="G449" s="146"/>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46"/>
      <c r="D450" s="146"/>
      <c r="E450" s="146"/>
      <c r="F450" s="146"/>
      <c r="G450" s="146"/>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46"/>
      <c r="D451" s="146"/>
      <c r="E451" s="146"/>
      <c r="F451" s="146"/>
      <c r="G451" s="146"/>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46"/>
      <c r="D452" s="146"/>
      <c r="E452" s="146"/>
      <c r="F452" s="146"/>
      <c r="G452" s="146"/>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46"/>
      <c r="D453" s="146"/>
      <c r="E453" s="146"/>
      <c r="F453" s="146"/>
      <c r="G453" s="146"/>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46"/>
      <c r="D454" s="146"/>
      <c r="E454" s="146"/>
      <c r="F454" s="146"/>
      <c r="G454" s="146"/>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46"/>
      <c r="D455" s="146"/>
      <c r="E455" s="146"/>
      <c r="F455" s="146"/>
      <c r="G455" s="146"/>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46"/>
      <c r="D456" s="146"/>
      <c r="E456" s="146"/>
      <c r="F456" s="146"/>
      <c r="G456" s="146"/>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46"/>
      <c r="D457" s="146"/>
      <c r="E457" s="146"/>
      <c r="F457" s="146"/>
      <c r="G457" s="146"/>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46"/>
      <c r="D458" s="146"/>
      <c r="E458" s="146"/>
      <c r="F458" s="146"/>
      <c r="G458" s="146"/>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46"/>
      <c r="D459" s="146"/>
      <c r="E459" s="146"/>
      <c r="F459" s="146"/>
      <c r="G459" s="146"/>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46"/>
      <c r="D460" s="146"/>
      <c r="E460" s="146"/>
      <c r="F460" s="146"/>
      <c r="G460" s="146"/>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46"/>
      <c r="D461" s="146"/>
      <c r="E461" s="146"/>
      <c r="F461" s="146"/>
      <c r="G461" s="146"/>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46"/>
      <c r="D462" s="146"/>
      <c r="E462" s="146"/>
      <c r="F462" s="146"/>
      <c r="G462" s="146"/>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46"/>
      <c r="D463" s="146"/>
      <c r="E463" s="146"/>
      <c r="F463" s="146"/>
      <c r="G463" s="146"/>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46"/>
      <c r="D464" s="146"/>
      <c r="E464" s="146"/>
      <c r="F464" s="146"/>
      <c r="G464" s="146"/>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46"/>
      <c r="D465" s="146"/>
      <c r="E465" s="146"/>
      <c r="F465" s="146"/>
      <c r="G465" s="146"/>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46"/>
      <c r="D466" s="146"/>
      <c r="E466" s="146"/>
      <c r="F466" s="146"/>
      <c r="G466" s="146"/>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46"/>
      <c r="D467" s="146"/>
      <c r="E467" s="146"/>
      <c r="F467" s="146"/>
      <c r="G467" s="146"/>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46"/>
      <c r="D468" s="146"/>
      <c r="E468" s="146"/>
      <c r="F468" s="146"/>
      <c r="G468" s="146"/>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46"/>
      <c r="D469" s="146"/>
      <c r="E469" s="146"/>
      <c r="F469" s="146"/>
      <c r="G469" s="146"/>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46"/>
      <c r="D470" s="146"/>
      <c r="E470" s="146"/>
      <c r="F470" s="146"/>
      <c r="G470" s="146"/>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46"/>
      <c r="D471" s="146"/>
      <c r="E471" s="146"/>
      <c r="F471" s="146"/>
      <c r="G471" s="146"/>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46"/>
      <c r="D472" s="146"/>
      <c r="E472" s="146"/>
      <c r="F472" s="146"/>
      <c r="G472" s="146"/>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46"/>
      <c r="D473" s="146"/>
      <c r="E473" s="146"/>
      <c r="F473" s="146"/>
      <c r="G473" s="146"/>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46"/>
      <c r="D474" s="146"/>
      <c r="E474" s="146"/>
      <c r="F474" s="146"/>
      <c r="G474" s="146"/>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46"/>
      <c r="D475" s="146"/>
      <c r="E475" s="146"/>
      <c r="F475" s="146"/>
      <c r="G475" s="146"/>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46"/>
      <c r="D476" s="146"/>
      <c r="E476" s="146"/>
      <c r="F476" s="146"/>
      <c r="G476" s="146"/>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46"/>
      <c r="D477" s="146"/>
      <c r="E477" s="146"/>
      <c r="F477" s="146"/>
      <c r="G477" s="146"/>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46"/>
      <c r="D478" s="146"/>
      <c r="E478" s="146"/>
      <c r="F478" s="146"/>
      <c r="G478" s="146"/>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46"/>
      <c r="D479" s="146"/>
      <c r="E479" s="146"/>
      <c r="F479" s="146"/>
      <c r="G479" s="146"/>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46"/>
      <c r="D480" s="146"/>
      <c r="E480" s="146"/>
      <c r="F480" s="146"/>
      <c r="G480" s="146"/>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46"/>
      <c r="D481" s="146"/>
      <c r="E481" s="146"/>
      <c r="F481" s="146"/>
      <c r="G481" s="146"/>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46"/>
      <c r="D482" s="146"/>
      <c r="E482" s="146"/>
      <c r="F482" s="146"/>
      <c r="G482" s="146"/>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46"/>
      <c r="D483" s="146"/>
      <c r="E483" s="146"/>
      <c r="F483" s="146"/>
      <c r="G483" s="146"/>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46"/>
      <c r="D484" s="146"/>
      <c r="E484" s="146"/>
      <c r="F484" s="146"/>
      <c r="G484" s="146"/>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46"/>
      <c r="D485" s="146"/>
      <c r="E485" s="146"/>
      <c r="F485" s="146"/>
      <c r="G485" s="146"/>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46"/>
      <c r="D486" s="146"/>
      <c r="E486" s="146"/>
      <c r="F486" s="146"/>
      <c r="G486" s="146"/>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46"/>
      <c r="D487" s="146"/>
      <c r="E487" s="146"/>
      <c r="F487" s="146"/>
      <c r="G487" s="146"/>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46"/>
      <c r="D488" s="146"/>
      <c r="E488" s="146"/>
      <c r="F488" s="146"/>
      <c r="G488" s="146"/>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46"/>
      <c r="D489" s="146"/>
      <c r="E489" s="146"/>
      <c r="F489" s="146"/>
      <c r="G489" s="146"/>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46"/>
      <c r="D490" s="146"/>
      <c r="E490" s="146"/>
      <c r="F490" s="146"/>
      <c r="G490" s="146"/>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46"/>
      <c r="D491" s="146"/>
      <c r="E491" s="146"/>
      <c r="F491" s="146"/>
      <c r="G491" s="146"/>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46"/>
      <c r="D492" s="146"/>
      <c r="E492" s="146"/>
      <c r="F492" s="146"/>
      <c r="G492" s="146"/>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46"/>
      <c r="D493" s="146"/>
      <c r="E493" s="146"/>
      <c r="F493" s="146"/>
      <c r="G493" s="146"/>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46"/>
      <c r="D494" s="146"/>
      <c r="E494" s="146"/>
      <c r="F494" s="146"/>
      <c r="G494" s="146"/>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46"/>
      <c r="D495" s="146"/>
      <c r="E495" s="146"/>
      <c r="F495" s="146"/>
      <c r="G495" s="146"/>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46"/>
      <c r="D496" s="146"/>
      <c r="E496" s="146"/>
      <c r="F496" s="146"/>
      <c r="G496" s="146"/>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46"/>
      <c r="D497" s="146"/>
      <c r="E497" s="146"/>
      <c r="F497" s="146"/>
      <c r="G497" s="146"/>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46"/>
      <c r="D498" s="146"/>
      <c r="E498" s="146"/>
      <c r="F498" s="146"/>
      <c r="G498" s="146"/>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46"/>
      <c r="D499" s="146"/>
      <c r="E499" s="146"/>
      <c r="F499" s="146"/>
      <c r="G499" s="146"/>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46"/>
      <c r="D500" s="146"/>
      <c r="E500" s="146"/>
      <c r="F500" s="146"/>
      <c r="G500" s="146"/>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46"/>
      <c r="D501" s="146"/>
      <c r="E501" s="146"/>
      <c r="F501" s="146"/>
      <c r="G501" s="146"/>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46"/>
      <c r="D502" s="146"/>
      <c r="E502" s="146"/>
      <c r="F502" s="146"/>
      <c r="G502" s="146"/>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46"/>
      <c r="D503" s="146"/>
      <c r="E503" s="146"/>
      <c r="F503" s="146"/>
      <c r="G503" s="146"/>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46"/>
      <c r="D504" s="146"/>
      <c r="E504" s="146"/>
      <c r="F504" s="146"/>
      <c r="G504" s="146"/>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46"/>
      <c r="D505" s="146"/>
      <c r="E505" s="146"/>
      <c r="F505" s="146"/>
      <c r="G505" s="146"/>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46"/>
      <c r="D506" s="146"/>
      <c r="E506" s="146"/>
      <c r="F506" s="146"/>
      <c r="G506" s="146"/>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46"/>
      <c r="D507" s="146"/>
      <c r="E507" s="146"/>
      <c r="F507" s="146"/>
      <c r="G507" s="146"/>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46"/>
      <c r="D508" s="146"/>
      <c r="E508" s="146"/>
      <c r="F508" s="146"/>
      <c r="G508" s="146"/>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46"/>
      <c r="D509" s="146"/>
      <c r="E509" s="146"/>
      <c r="F509" s="146"/>
      <c r="G509" s="146"/>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46"/>
      <c r="D510" s="146"/>
      <c r="E510" s="146"/>
      <c r="F510" s="146"/>
      <c r="G510" s="146"/>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46"/>
      <c r="D511" s="146"/>
      <c r="E511" s="146"/>
      <c r="F511" s="146"/>
      <c r="G511" s="146"/>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46"/>
      <c r="D512" s="146"/>
      <c r="E512" s="146"/>
      <c r="F512" s="146"/>
      <c r="G512" s="146"/>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46"/>
      <c r="D513" s="146"/>
      <c r="E513" s="146"/>
      <c r="F513" s="146"/>
      <c r="G513" s="146"/>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46"/>
      <c r="D514" s="146"/>
      <c r="E514" s="146"/>
      <c r="F514" s="146"/>
      <c r="G514" s="146"/>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46"/>
      <c r="D515" s="146"/>
      <c r="E515" s="146"/>
      <c r="F515" s="146"/>
      <c r="G515" s="146"/>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46"/>
      <c r="D516" s="146"/>
      <c r="E516" s="146"/>
      <c r="F516" s="146"/>
      <c r="G516" s="146"/>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46"/>
      <c r="D517" s="146"/>
      <c r="E517" s="146"/>
      <c r="F517" s="146"/>
      <c r="G517" s="146"/>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46"/>
      <c r="D518" s="146"/>
      <c r="E518" s="146"/>
      <c r="F518" s="146"/>
      <c r="G518" s="146"/>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46"/>
      <c r="D519" s="146"/>
      <c r="E519" s="146"/>
      <c r="F519" s="146"/>
      <c r="G519" s="146"/>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46"/>
      <c r="D520" s="146"/>
      <c r="E520" s="146"/>
      <c r="F520" s="146"/>
      <c r="G520" s="146"/>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46"/>
      <c r="D521" s="146"/>
      <c r="E521" s="146"/>
      <c r="F521" s="146"/>
      <c r="G521" s="146"/>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46"/>
      <c r="D522" s="146"/>
      <c r="E522" s="146"/>
      <c r="F522" s="146"/>
      <c r="G522" s="146"/>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46"/>
      <c r="D523" s="146"/>
      <c r="E523" s="146"/>
      <c r="F523" s="146"/>
      <c r="G523" s="146"/>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46"/>
      <c r="D524" s="146"/>
      <c r="E524" s="146"/>
      <c r="F524" s="146"/>
      <c r="G524" s="146"/>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46"/>
      <c r="D525" s="146"/>
      <c r="E525" s="146"/>
      <c r="F525" s="146"/>
      <c r="G525" s="146"/>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46"/>
      <c r="D526" s="146"/>
      <c r="E526" s="146"/>
      <c r="F526" s="146"/>
      <c r="G526" s="146"/>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46"/>
      <c r="D527" s="146"/>
      <c r="E527" s="146"/>
      <c r="F527" s="146"/>
      <c r="G527" s="146"/>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46"/>
      <c r="D528" s="146"/>
      <c r="E528" s="146"/>
      <c r="F528" s="146"/>
      <c r="G528" s="146"/>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46"/>
      <c r="D529" s="146"/>
      <c r="E529" s="146"/>
      <c r="F529" s="146"/>
      <c r="G529" s="146"/>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46"/>
      <c r="D530" s="146"/>
      <c r="E530" s="146"/>
      <c r="F530" s="146"/>
      <c r="G530" s="146"/>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46"/>
      <c r="D531" s="146"/>
      <c r="E531" s="146"/>
      <c r="F531" s="146"/>
      <c r="G531" s="146"/>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46"/>
      <c r="D532" s="146"/>
      <c r="E532" s="146"/>
      <c r="F532" s="146"/>
      <c r="G532" s="146"/>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46"/>
      <c r="D533" s="146"/>
      <c r="E533" s="146"/>
      <c r="F533" s="146"/>
      <c r="G533" s="146"/>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46"/>
      <c r="D534" s="146"/>
      <c r="E534" s="146"/>
      <c r="F534" s="146"/>
      <c r="G534" s="146"/>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46"/>
      <c r="D535" s="146"/>
      <c r="E535" s="146"/>
      <c r="F535" s="146"/>
      <c r="G535" s="146"/>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46"/>
      <c r="D536" s="146"/>
      <c r="E536" s="146"/>
      <c r="F536" s="146"/>
      <c r="G536" s="146"/>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46"/>
      <c r="D537" s="146"/>
      <c r="E537" s="146"/>
      <c r="F537" s="146"/>
      <c r="G537" s="146"/>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46"/>
      <c r="D538" s="146"/>
      <c r="E538" s="146"/>
      <c r="F538" s="146"/>
      <c r="G538" s="146"/>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46"/>
      <c r="D539" s="146"/>
      <c r="E539" s="146"/>
      <c r="F539" s="146"/>
      <c r="G539" s="146"/>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46"/>
      <c r="D540" s="146"/>
      <c r="E540" s="146"/>
      <c r="F540" s="146"/>
      <c r="G540" s="146"/>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46"/>
      <c r="D541" s="146"/>
      <c r="E541" s="146"/>
      <c r="F541" s="146"/>
      <c r="G541" s="146"/>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46"/>
      <c r="D542" s="146"/>
      <c r="E542" s="146"/>
      <c r="F542" s="146"/>
      <c r="G542" s="146"/>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46"/>
      <c r="D543" s="146"/>
      <c r="E543" s="146"/>
      <c r="F543" s="146"/>
      <c r="G543" s="146"/>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46"/>
      <c r="D544" s="146"/>
      <c r="E544" s="146"/>
      <c r="F544" s="146"/>
      <c r="G544" s="146"/>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46"/>
      <c r="D545" s="146"/>
      <c r="E545" s="146"/>
      <c r="F545" s="146"/>
      <c r="G545" s="146"/>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46"/>
      <c r="D546" s="146"/>
      <c r="E546" s="146"/>
      <c r="F546" s="146"/>
      <c r="G546" s="146"/>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46"/>
      <c r="D547" s="146"/>
      <c r="E547" s="146"/>
      <c r="F547" s="146"/>
      <c r="G547" s="146"/>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46"/>
      <c r="D548" s="146"/>
      <c r="E548" s="146"/>
      <c r="F548" s="146"/>
      <c r="G548" s="146"/>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46"/>
      <c r="D549" s="146"/>
      <c r="E549" s="146"/>
      <c r="F549" s="146"/>
      <c r="G549" s="146"/>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46"/>
      <c r="D550" s="146"/>
      <c r="E550" s="146"/>
      <c r="F550" s="146"/>
      <c r="G550" s="146"/>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46"/>
      <c r="D551" s="146"/>
      <c r="E551" s="146"/>
      <c r="F551" s="146"/>
      <c r="G551" s="146"/>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46"/>
      <c r="D552" s="146"/>
      <c r="E552" s="146"/>
      <c r="F552" s="146"/>
      <c r="G552" s="146"/>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46"/>
      <c r="D553" s="146"/>
      <c r="E553" s="146"/>
      <c r="F553" s="146"/>
      <c r="G553" s="146"/>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46"/>
      <c r="D554" s="146"/>
      <c r="E554" s="146"/>
      <c r="F554" s="146"/>
      <c r="G554" s="146"/>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46"/>
      <c r="D555" s="146"/>
      <c r="E555" s="146"/>
      <c r="F555" s="146"/>
      <c r="G555" s="146"/>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46"/>
      <c r="D556" s="146"/>
      <c r="E556" s="146"/>
      <c r="F556" s="146"/>
      <c r="G556" s="146"/>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46"/>
      <c r="D557" s="146"/>
      <c r="E557" s="146"/>
      <c r="F557" s="146"/>
      <c r="G557" s="146"/>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46"/>
      <c r="D558" s="146"/>
      <c r="E558" s="146"/>
      <c r="F558" s="146"/>
      <c r="G558" s="146"/>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46"/>
      <c r="D559" s="146"/>
      <c r="E559" s="146"/>
      <c r="F559" s="146"/>
      <c r="G559" s="146"/>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46"/>
      <c r="D560" s="146"/>
      <c r="E560" s="146"/>
      <c r="F560" s="146"/>
      <c r="G560" s="146"/>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46"/>
      <c r="D561" s="146"/>
      <c r="E561" s="146"/>
      <c r="F561" s="146"/>
      <c r="G561" s="146"/>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46"/>
      <c r="D562" s="146"/>
      <c r="E562" s="146"/>
      <c r="F562" s="146"/>
      <c r="G562" s="146"/>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46"/>
      <c r="D563" s="146"/>
      <c r="E563" s="146"/>
      <c r="F563" s="146"/>
      <c r="G563" s="146"/>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46"/>
      <c r="D564" s="146"/>
      <c r="E564" s="146"/>
      <c r="F564" s="146"/>
      <c r="G564" s="146"/>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46"/>
      <c r="D565" s="146"/>
      <c r="E565" s="146"/>
      <c r="F565" s="146"/>
      <c r="G565" s="146"/>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46"/>
      <c r="D566" s="146"/>
      <c r="E566" s="146"/>
      <c r="F566" s="146"/>
      <c r="G566" s="146"/>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46"/>
      <c r="D567" s="146"/>
      <c r="E567" s="146"/>
      <c r="F567" s="146"/>
      <c r="G567" s="146"/>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46"/>
      <c r="D568" s="146"/>
      <c r="E568" s="146"/>
      <c r="F568" s="146"/>
      <c r="G568" s="146"/>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46"/>
      <c r="D569" s="146"/>
      <c r="E569" s="146"/>
      <c r="F569" s="146"/>
      <c r="G569" s="146"/>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46"/>
      <c r="D570" s="146"/>
      <c r="E570" s="146"/>
      <c r="F570" s="146"/>
      <c r="G570" s="146"/>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46"/>
      <c r="D571" s="146"/>
      <c r="E571" s="146"/>
      <c r="F571" s="146"/>
      <c r="G571" s="146"/>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46"/>
      <c r="D572" s="146"/>
      <c r="E572" s="146"/>
      <c r="F572" s="146"/>
      <c r="G572" s="146"/>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46"/>
      <c r="D573" s="146"/>
      <c r="E573" s="146"/>
      <c r="F573" s="146"/>
      <c r="G573" s="146"/>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46"/>
      <c r="D574" s="146"/>
      <c r="E574" s="146"/>
      <c r="F574" s="146"/>
      <c r="G574" s="146"/>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46"/>
      <c r="D575" s="146"/>
      <c r="E575" s="146"/>
      <c r="F575" s="146"/>
      <c r="G575" s="146"/>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46"/>
      <c r="D576" s="146"/>
      <c r="E576" s="146"/>
      <c r="F576" s="146"/>
      <c r="G576" s="146"/>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46"/>
      <c r="D577" s="146"/>
      <c r="E577" s="146"/>
      <c r="F577" s="146"/>
      <c r="G577" s="146"/>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46"/>
      <c r="D578" s="146"/>
      <c r="E578" s="146"/>
      <c r="F578" s="146"/>
      <c r="G578" s="146"/>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46"/>
      <c r="D579" s="146"/>
      <c r="E579" s="146"/>
      <c r="F579" s="146"/>
      <c r="G579" s="146"/>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46"/>
      <c r="D580" s="146"/>
      <c r="E580" s="146"/>
      <c r="F580" s="146"/>
      <c r="G580" s="146"/>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46"/>
      <c r="D581" s="146"/>
      <c r="E581" s="146"/>
      <c r="F581" s="146"/>
      <c r="G581" s="146"/>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46"/>
      <c r="D582" s="146"/>
      <c r="E582" s="146"/>
      <c r="F582" s="146"/>
      <c r="G582" s="146"/>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46"/>
      <c r="D583" s="146"/>
      <c r="E583" s="146"/>
      <c r="F583" s="146"/>
      <c r="G583" s="146"/>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46"/>
      <c r="D584" s="146"/>
      <c r="E584" s="146"/>
      <c r="F584" s="146"/>
      <c r="G584" s="146"/>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46"/>
      <c r="D585" s="146"/>
      <c r="E585" s="146"/>
      <c r="F585" s="146"/>
      <c r="G585" s="146"/>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46"/>
      <c r="D586" s="146"/>
      <c r="E586" s="146"/>
      <c r="F586" s="146"/>
      <c r="G586" s="146"/>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46"/>
      <c r="D587" s="146"/>
      <c r="E587" s="146"/>
      <c r="F587" s="146"/>
      <c r="G587" s="146"/>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46"/>
      <c r="D588" s="146"/>
      <c r="E588" s="146"/>
      <c r="F588" s="146"/>
      <c r="G588" s="146"/>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46"/>
      <c r="D589" s="146"/>
      <c r="E589" s="146"/>
      <c r="F589" s="146"/>
      <c r="G589" s="146"/>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46"/>
      <c r="D590" s="146"/>
      <c r="E590" s="146"/>
      <c r="F590" s="146"/>
      <c r="G590" s="146"/>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46"/>
      <c r="D591" s="146"/>
      <c r="E591" s="146"/>
      <c r="F591" s="146"/>
      <c r="G591" s="146"/>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46"/>
      <c r="D592" s="146"/>
      <c r="E592" s="146"/>
      <c r="F592" s="146"/>
      <c r="G592" s="146"/>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46"/>
      <c r="D593" s="146"/>
      <c r="E593" s="146"/>
      <c r="F593" s="146"/>
      <c r="G593" s="146"/>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46"/>
      <c r="D594" s="146"/>
      <c r="E594" s="146"/>
      <c r="F594" s="146"/>
      <c r="G594" s="146"/>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46"/>
      <c r="D595" s="146"/>
      <c r="E595" s="146"/>
      <c r="F595" s="146"/>
      <c r="G595" s="146"/>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46"/>
      <c r="D596" s="146"/>
      <c r="E596" s="146"/>
      <c r="F596" s="146"/>
      <c r="G596" s="146"/>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46"/>
      <c r="D597" s="146"/>
      <c r="E597" s="146"/>
      <c r="F597" s="146"/>
      <c r="G597" s="146"/>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46"/>
      <c r="D598" s="146"/>
      <c r="E598" s="146"/>
      <c r="F598" s="146"/>
      <c r="G598" s="146"/>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46"/>
      <c r="D599" s="146"/>
      <c r="E599" s="146"/>
      <c r="F599" s="146"/>
      <c r="G599" s="146"/>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46"/>
      <c r="D600" s="146"/>
      <c r="E600" s="146"/>
      <c r="F600" s="146"/>
      <c r="G600" s="146"/>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46"/>
      <c r="D601" s="146"/>
      <c r="E601" s="146"/>
      <c r="F601" s="146"/>
      <c r="G601" s="146"/>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46"/>
      <c r="D602" s="146"/>
      <c r="E602" s="146"/>
      <c r="F602" s="146"/>
      <c r="G602" s="146"/>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46"/>
      <c r="D603" s="146"/>
      <c r="E603" s="146"/>
      <c r="F603" s="146"/>
      <c r="G603" s="146"/>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46"/>
      <c r="D604" s="146"/>
      <c r="E604" s="146"/>
      <c r="F604" s="146"/>
      <c r="G604" s="146"/>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46"/>
      <c r="D605" s="146"/>
      <c r="E605" s="146"/>
      <c r="F605" s="146"/>
      <c r="G605" s="146"/>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46"/>
      <c r="D606" s="146"/>
      <c r="E606" s="146"/>
      <c r="F606" s="146"/>
      <c r="G606" s="146"/>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46"/>
      <c r="D607" s="146"/>
      <c r="E607" s="146"/>
      <c r="F607" s="146"/>
      <c r="G607" s="146"/>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46"/>
      <c r="D608" s="146"/>
      <c r="E608" s="146"/>
      <c r="F608" s="146"/>
      <c r="G608" s="146"/>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46"/>
      <c r="D609" s="146"/>
      <c r="E609" s="146"/>
      <c r="F609" s="146"/>
      <c r="G609" s="146"/>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46"/>
      <c r="D610" s="146"/>
      <c r="E610" s="146"/>
      <c r="F610" s="146"/>
      <c r="G610" s="146"/>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46"/>
      <c r="D611" s="146"/>
      <c r="E611" s="146"/>
      <c r="F611" s="146"/>
      <c r="G611" s="146"/>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46"/>
      <c r="D612" s="146"/>
      <c r="E612" s="146"/>
      <c r="F612" s="146"/>
      <c r="G612" s="146"/>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46"/>
      <c r="D613" s="146"/>
      <c r="E613" s="146"/>
      <c r="F613" s="146"/>
      <c r="G613" s="146"/>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46"/>
      <c r="D614" s="146"/>
      <c r="E614" s="146"/>
      <c r="F614" s="146"/>
      <c r="G614" s="146"/>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46"/>
      <c r="D615" s="146"/>
      <c r="E615" s="146"/>
      <c r="F615" s="146"/>
      <c r="G615" s="146"/>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46"/>
      <c r="D616" s="146"/>
      <c r="E616" s="146"/>
      <c r="F616" s="146"/>
      <c r="G616" s="146"/>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46"/>
      <c r="D617" s="146"/>
      <c r="E617" s="146"/>
      <c r="F617" s="146"/>
      <c r="G617" s="146"/>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46"/>
      <c r="D618" s="146"/>
      <c r="E618" s="146"/>
      <c r="F618" s="146"/>
      <c r="G618" s="146"/>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46"/>
      <c r="D619" s="146"/>
      <c r="E619" s="146"/>
      <c r="F619" s="146"/>
      <c r="G619" s="146"/>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46"/>
      <c r="D620" s="146"/>
      <c r="E620" s="146"/>
      <c r="F620" s="146"/>
      <c r="G620" s="146"/>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46"/>
      <c r="D621" s="146"/>
      <c r="E621" s="146"/>
      <c r="F621" s="146"/>
      <c r="G621" s="146"/>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46"/>
      <c r="D622" s="146"/>
      <c r="E622" s="146"/>
      <c r="F622" s="146"/>
      <c r="G622" s="146"/>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46"/>
      <c r="D623" s="146"/>
      <c r="E623" s="146"/>
      <c r="F623" s="146"/>
      <c r="G623" s="146"/>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46"/>
      <c r="D624" s="146"/>
      <c r="E624" s="146"/>
      <c r="F624" s="146"/>
      <c r="G624" s="146"/>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46"/>
      <c r="D625" s="146"/>
      <c r="E625" s="146"/>
      <c r="F625" s="146"/>
      <c r="G625" s="146"/>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46"/>
      <c r="D626" s="146"/>
      <c r="E626" s="146"/>
      <c r="F626" s="146"/>
      <c r="G626" s="146"/>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46"/>
      <c r="D627" s="146"/>
      <c r="E627" s="146"/>
      <c r="F627" s="146"/>
      <c r="G627" s="146"/>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46"/>
      <c r="D628" s="146"/>
      <c r="E628" s="146"/>
      <c r="F628" s="146"/>
      <c r="G628" s="146"/>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46"/>
      <c r="D629" s="146"/>
      <c r="E629" s="146"/>
      <c r="F629" s="146"/>
      <c r="G629" s="146"/>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46"/>
      <c r="D630" s="146"/>
      <c r="E630" s="146"/>
      <c r="F630" s="146"/>
      <c r="G630" s="146"/>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46"/>
      <c r="D631" s="146"/>
      <c r="E631" s="146"/>
      <c r="F631" s="146"/>
      <c r="G631" s="146"/>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46"/>
      <c r="D632" s="146"/>
      <c r="E632" s="146"/>
      <c r="F632" s="146"/>
      <c r="G632" s="146"/>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46"/>
      <c r="D633" s="146"/>
      <c r="E633" s="146"/>
      <c r="F633" s="146"/>
      <c r="G633" s="146"/>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46"/>
      <c r="D634" s="146"/>
      <c r="E634" s="146"/>
      <c r="F634" s="146"/>
      <c r="G634" s="146"/>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46"/>
      <c r="D635" s="146"/>
      <c r="E635" s="146"/>
      <c r="F635" s="146"/>
      <c r="G635" s="146"/>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46"/>
      <c r="D636" s="146"/>
      <c r="E636" s="146"/>
      <c r="F636" s="146"/>
      <c r="G636" s="146"/>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46"/>
      <c r="D637" s="146"/>
      <c r="E637" s="146"/>
      <c r="F637" s="146"/>
      <c r="G637" s="146"/>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46"/>
      <c r="D638" s="146"/>
      <c r="E638" s="146"/>
      <c r="F638" s="146"/>
      <c r="G638" s="146"/>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46"/>
      <c r="D639" s="146"/>
      <c r="E639" s="146"/>
      <c r="F639" s="146"/>
      <c r="G639" s="146"/>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46"/>
      <c r="D640" s="146"/>
      <c r="E640" s="146"/>
      <c r="F640" s="146"/>
      <c r="G640" s="146"/>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46"/>
      <c r="D641" s="146"/>
      <c r="E641" s="146"/>
      <c r="F641" s="146"/>
      <c r="G641" s="146"/>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46"/>
      <c r="D642" s="146"/>
      <c r="E642" s="146"/>
      <c r="F642" s="146"/>
      <c r="G642" s="146"/>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46"/>
      <c r="D643" s="146"/>
      <c r="E643" s="146"/>
      <c r="F643" s="146"/>
      <c r="G643" s="146"/>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46"/>
      <c r="D644" s="146"/>
      <c r="E644" s="146"/>
      <c r="F644" s="146"/>
      <c r="G644" s="146"/>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46"/>
      <c r="D645" s="146"/>
      <c r="E645" s="146"/>
      <c r="F645" s="146"/>
      <c r="G645" s="146"/>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46"/>
      <c r="D646" s="146"/>
      <c r="E646" s="146"/>
      <c r="F646" s="146"/>
      <c r="G646" s="146"/>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46"/>
      <c r="D647" s="146"/>
      <c r="E647" s="146"/>
      <c r="F647" s="146"/>
      <c r="G647" s="146"/>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46"/>
      <c r="D648" s="146"/>
      <c r="E648" s="146"/>
      <c r="F648" s="146"/>
      <c r="G648" s="146"/>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46"/>
      <c r="D649" s="146"/>
      <c r="E649" s="146"/>
      <c r="F649" s="146"/>
      <c r="G649" s="146"/>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46"/>
      <c r="D650" s="146"/>
      <c r="E650" s="146"/>
      <c r="F650" s="146"/>
      <c r="G650" s="146"/>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46"/>
      <c r="D651" s="146"/>
      <c r="E651" s="146"/>
      <c r="F651" s="146"/>
      <c r="G651" s="146"/>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46"/>
      <c r="D652" s="146"/>
      <c r="E652" s="146"/>
      <c r="F652" s="146"/>
      <c r="G652" s="146"/>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46"/>
      <c r="D653" s="146"/>
      <c r="E653" s="146"/>
      <c r="F653" s="146"/>
      <c r="G653" s="146"/>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46"/>
      <c r="D654" s="146"/>
      <c r="E654" s="146"/>
      <c r="F654" s="146"/>
      <c r="G654" s="146"/>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46"/>
      <c r="D655" s="146"/>
      <c r="E655" s="146"/>
      <c r="F655" s="146"/>
      <c r="G655" s="146"/>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46"/>
      <c r="D656" s="146"/>
      <c r="E656" s="146"/>
      <c r="F656" s="146"/>
      <c r="G656" s="146"/>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46"/>
      <c r="D657" s="146"/>
      <c r="E657" s="146"/>
      <c r="F657" s="146"/>
      <c r="G657" s="146"/>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46"/>
      <c r="D658" s="146"/>
      <c r="E658" s="146"/>
      <c r="F658" s="146"/>
      <c r="G658" s="146"/>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46"/>
      <c r="D659" s="146"/>
      <c r="E659" s="146"/>
      <c r="F659" s="146"/>
      <c r="G659" s="146"/>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46"/>
      <c r="D660" s="146"/>
      <c r="E660" s="146"/>
      <c r="F660" s="146"/>
      <c r="G660" s="146"/>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46"/>
      <c r="D661" s="146"/>
      <c r="E661" s="146"/>
      <c r="F661" s="146"/>
      <c r="G661" s="146"/>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46"/>
      <c r="D662" s="146"/>
      <c r="E662" s="146"/>
      <c r="F662" s="146"/>
      <c r="G662" s="146"/>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46"/>
      <c r="D663" s="146"/>
      <c r="E663" s="146"/>
      <c r="F663" s="146"/>
      <c r="G663" s="146"/>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46"/>
      <c r="D664" s="146"/>
      <c r="E664" s="146"/>
      <c r="F664" s="146"/>
      <c r="G664" s="146"/>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46"/>
      <c r="D665" s="146"/>
      <c r="E665" s="146"/>
      <c r="F665" s="146"/>
      <c r="G665" s="146"/>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46"/>
      <c r="D666" s="146"/>
      <c r="E666" s="146"/>
      <c r="F666" s="146"/>
      <c r="G666" s="146"/>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46"/>
      <c r="D667" s="146"/>
      <c r="E667" s="146"/>
      <c r="F667" s="146"/>
      <c r="G667" s="146"/>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46"/>
      <c r="D668" s="146"/>
      <c r="E668" s="146"/>
      <c r="F668" s="146"/>
      <c r="G668" s="146"/>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46"/>
      <c r="D669" s="146"/>
      <c r="E669" s="146"/>
      <c r="F669" s="146"/>
      <c r="G669" s="146"/>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46"/>
      <c r="D670" s="146"/>
      <c r="E670" s="146"/>
      <c r="F670" s="146"/>
      <c r="G670" s="146"/>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46"/>
      <c r="D671" s="146"/>
      <c r="E671" s="146"/>
      <c r="F671" s="146"/>
      <c r="G671" s="146"/>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46"/>
      <c r="D672" s="146"/>
      <c r="E672" s="146"/>
      <c r="F672" s="146"/>
      <c r="G672" s="146"/>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46"/>
      <c r="D673" s="146"/>
      <c r="E673" s="146"/>
      <c r="F673" s="146"/>
      <c r="G673" s="146"/>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46"/>
      <c r="D674" s="146"/>
      <c r="E674" s="146"/>
      <c r="F674" s="146"/>
      <c r="G674" s="146"/>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46"/>
      <c r="D675" s="146"/>
      <c r="E675" s="146"/>
      <c r="F675" s="146"/>
      <c r="G675" s="146"/>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46"/>
      <c r="D676" s="146"/>
      <c r="E676" s="146"/>
      <c r="F676" s="146"/>
      <c r="G676" s="146"/>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46"/>
      <c r="D677" s="146"/>
      <c r="E677" s="146"/>
      <c r="F677" s="146"/>
      <c r="G677" s="146"/>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46"/>
      <c r="D678" s="146"/>
      <c r="E678" s="146"/>
      <c r="F678" s="146"/>
      <c r="G678" s="146"/>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46"/>
      <c r="D679" s="146"/>
      <c r="E679" s="146"/>
      <c r="F679" s="146"/>
      <c r="G679" s="146"/>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46"/>
      <c r="D680" s="146"/>
      <c r="E680" s="146"/>
      <c r="F680" s="146"/>
      <c r="G680" s="146"/>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46"/>
      <c r="D681" s="146"/>
      <c r="E681" s="146"/>
      <c r="F681" s="146"/>
      <c r="G681" s="146"/>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46"/>
      <c r="D682" s="146"/>
      <c r="E682" s="146"/>
      <c r="F682" s="146"/>
      <c r="G682" s="146"/>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46"/>
      <c r="D683" s="146"/>
      <c r="E683" s="146"/>
      <c r="F683" s="146"/>
      <c r="G683" s="146"/>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46"/>
      <c r="D684" s="146"/>
      <c r="E684" s="146"/>
      <c r="F684" s="146"/>
      <c r="G684" s="146"/>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46"/>
      <c r="D685" s="146"/>
      <c r="E685" s="146"/>
      <c r="F685" s="146"/>
      <c r="G685" s="146"/>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46"/>
      <c r="D686" s="146"/>
      <c r="E686" s="146"/>
      <c r="F686" s="146"/>
      <c r="G686" s="146"/>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46"/>
      <c r="D687" s="146"/>
      <c r="E687" s="146"/>
      <c r="F687" s="146"/>
      <c r="G687" s="146"/>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46"/>
      <c r="D688" s="146"/>
      <c r="E688" s="146"/>
      <c r="F688" s="146"/>
      <c r="G688" s="146"/>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46"/>
      <c r="D689" s="146"/>
      <c r="E689" s="146"/>
      <c r="F689" s="146"/>
      <c r="G689" s="146"/>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46"/>
      <c r="D690" s="146"/>
      <c r="E690" s="146"/>
      <c r="F690" s="146"/>
      <c r="G690" s="146"/>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46"/>
      <c r="D691" s="146"/>
      <c r="E691" s="146"/>
      <c r="F691" s="146"/>
      <c r="G691" s="146"/>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46"/>
      <c r="D692" s="146"/>
      <c r="E692" s="146"/>
      <c r="F692" s="146"/>
      <c r="G692" s="146"/>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46"/>
      <c r="D693" s="146"/>
      <c r="E693" s="146"/>
      <c r="F693" s="146"/>
      <c r="G693" s="146"/>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46"/>
      <c r="D694" s="146"/>
      <c r="E694" s="146"/>
      <c r="F694" s="146"/>
      <c r="G694" s="146"/>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46"/>
      <c r="D695" s="146"/>
      <c r="E695" s="146"/>
      <c r="F695" s="146"/>
      <c r="G695" s="146"/>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46"/>
      <c r="D696" s="146"/>
      <c r="E696" s="146"/>
      <c r="F696" s="146"/>
      <c r="G696" s="146"/>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46"/>
      <c r="D697" s="146"/>
      <c r="E697" s="146"/>
      <c r="F697" s="146"/>
      <c r="G697" s="146"/>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46"/>
      <c r="D698" s="146"/>
      <c r="E698" s="146"/>
      <c r="F698" s="146"/>
      <c r="G698" s="146"/>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46"/>
      <c r="D699" s="146"/>
      <c r="E699" s="146"/>
      <c r="F699" s="146"/>
      <c r="G699" s="146"/>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46"/>
      <c r="D700" s="146"/>
      <c r="E700" s="146"/>
      <c r="F700" s="146"/>
      <c r="G700" s="146"/>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46"/>
      <c r="D701" s="146"/>
      <c r="E701" s="146"/>
      <c r="F701" s="146"/>
      <c r="G701" s="146"/>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46"/>
      <c r="D702" s="146"/>
      <c r="E702" s="146"/>
      <c r="F702" s="146"/>
      <c r="G702" s="146"/>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46"/>
      <c r="D703" s="146"/>
      <c r="E703" s="146"/>
      <c r="F703" s="146"/>
      <c r="G703" s="146"/>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46"/>
      <c r="D704" s="146"/>
      <c r="E704" s="146"/>
      <c r="F704" s="146"/>
      <c r="G704" s="146"/>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46"/>
      <c r="D705" s="146"/>
      <c r="E705" s="146"/>
      <c r="F705" s="146"/>
      <c r="G705" s="146"/>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46"/>
      <c r="D706" s="146"/>
      <c r="E706" s="146"/>
      <c r="F706" s="146"/>
      <c r="G706" s="146"/>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46"/>
      <c r="D707" s="146"/>
      <c r="E707" s="146"/>
      <c r="F707" s="146"/>
      <c r="G707" s="146"/>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46"/>
      <c r="D708" s="146"/>
      <c r="E708" s="146"/>
      <c r="F708" s="146"/>
      <c r="G708" s="146"/>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46"/>
      <c r="D709" s="146"/>
      <c r="E709" s="146"/>
      <c r="F709" s="146"/>
      <c r="G709" s="146"/>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46"/>
      <c r="D710" s="146"/>
      <c r="E710" s="146"/>
      <c r="F710" s="146"/>
      <c r="G710" s="146"/>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46"/>
      <c r="D711" s="146"/>
      <c r="E711" s="146"/>
      <c r="F711" s="146"/>
      <c r="G711" s="146"/>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46"/>
      <c r="D712" s="146"/>
      <c r="E712" s="146"/>
      <c r="F712" s="146"/>
      <c r="G712" s="146"/>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46"/>
      <c r="D713" s="146"/>
      <c r="E713" s="146"/>
      <c r="F713" s="146"/>
      <c r="G713" s="146"/>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46"/>
      <c r="D714" s="146"/>
      <c r="E714" s="146"/>
      <c r="F714" s="146"/>
      <c r="G714" s="146"/>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46"/>
      <c r="D715" s="146"/>
      <c r="E715" s="146"/>
      <c r="F715" s="146"/>
      <c r="G715" s="146"/>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46"/>
      <c r="D716" s="146"/>
      <c r="E716" s="146"/>
      <c r="F716" s="146"/>
      <c r="G716" s="146"/>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46"/>
      <c r="D717" s="146"/>
      <c r="E717" s="146"/>
      <c r="F717" s="146"/>
      <c r="G717" s="146"/>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46"/>
      <c r="D718" s="146"/>
      <c r="E718" s="146"/>
      <c r="F718" s="146"/>
      <c r="G718" s="146"/>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46"/>
      <c r="D719" s="146"/>
      <c r="E719" s="146"/>
      <c r="F719" s="146"/>
      <c r="G719" s="146"/>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46"/>
      <c r="D720" s="146"/>
      <c r="E720" s="146"/>
      <c r="F720" s="146"/>
      <c r="G720" s="146"/>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46"/>
      <c r="D721" s="146"/>
      <c r="E721" s="146"/>
      <c r="F721" s="146"/>
      <c r="G721" s="146"/>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46"/>
      <c r="D722" s="146"/>
      <c r="E722" s="146"/>
      <c r="F722" s="146"/>
      <c r="G722" s="146"/>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46"/>
      <c r="D723" s="146"/>
      <c r="E723" s="146"/>
      <c r="F723" s="146"/>
      <c r="G723" s="146"/>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46"/>
      <c r="D724" s="146"/>
      <c r="E724" s="146"/>
      <c r="F724" s="146"/>
      <c r="G724" s="146"/>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46"/>
      <c r="D725" s="146"/>
      <c r="E725" s="146"/>
      <c r="F725" s="146"/>
      <c r="G725" s="146"/>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46"/>
      <c r="D726" s="146"/>
      <c r="E726" s="146"/>
      <c r="F726" s="146"/>
      <c r="G726" s="146"/>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46"/>
      <c r="D727" s="146"/>
      <c r="E727" s="146"/>
      <c r="F727" s="146"/>
      <c r="G727" s="146"/>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46"/>
      <c r="D728" s="146"/>
      <c r="E728" s="146"/>
      <c r="F728" s="146"/>
      <c r="G728" s="146"/>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46"/>
      <c r="D729" s="146"/>
      <c r="E729" s="146"/>
      <c r="F729" s="146"/>
      <c r="G729" s="146"/>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46"/>
      <c r="D730" s="146"/>
      <c r="E730" s="146"/>
      <c r="F730" s="146"/>
      <c r="G730" s="146"/>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46"/>
      <c r="D731" s="146"/>
      <c r="E731" s="146"/>
      <c r="F731" s="146"/>
      <c r="G731" s="146"/>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46"/>
      <c r="D732" s="146"/>
      <c r="E732" s="146"/>
      <c r="F732" s="146"/>
      <c r="G732" s="146"/>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46"/>
      <c r="D733" s="146"/>
      <c r="E733" s="146"/>
      <c r="F733" s="146"/>
      <c r="G733" s="146"/>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46"/>
      <c r="D734" s="146"/>
      <c r="E734" s="146"/>
      <c r="F734" s="146"/>
      <c r="G734" s="146"/>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46"/>
      <c r="D735" s="146"/>
      <c r="E735" s="146"/>
      <c r="F735" s="146"/>
      <c r="G735" s="146"/>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46"/>
      <c r="D736" s="146"/>
      <c r="E736" s="146"/>
      <c r="F736" s="146"/>
      <c r="G736" s="146"/>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46"/>
      <c r="D737" s="146"/>
      <c r="E737" s="146"/>
      <c r="F737" s="146"/>
      <c r="G737" s="146"/>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46"/>
      <c r="D738" s="146"/>
      <c r="E738" s="146"/>
      <c r="F738" s="146"/>
      <c r="G738" s="146"/>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46"/>
      <c r="D739" s="146"/>
      <c r="E739" s="146"/>
      <c r="F739" s="146"/>
      <c r="G739" s="146"/>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46"/>
      <c r="D740" s="146"/>
      <c r="E740" s="146"/>
      <c r="F740" s="146"/>
      <c r="G740" s="146"/>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46"/>
      <c r="D741" s="146"/>
      <c r="E741" s="146"/>
      <c r="F741" s="146"/>
      <c r="G741" s="146"/>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46"/>
      <c r="D742" s="146"/>
      <c r="E742" s="146"/>
      <c r="F742" s="146"/>
      <c r="G742" s="146"/>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46"/>
      <c r="D743" s="146"/>
      <c r="E743" s="146"/>
      <c r="F743" s="146"/>
      <c r="G743" s="146"/>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46"/>
      <c r="D744" s="146"/>
      <c r="E744" s="146"/>
      <c r="F744" s="146"/>
      <c r="G744" s="146"/>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46"/>
      <c r="D745" s="146"/>
      <c r="E745" s="146"/>
      <c r="F745" s="146"/>
      <c r="G745" s="146"/>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46"/>
      <c r="D746" s="146"/>
      <c r="E746" s="146"/>
      <c r="F746" s="146"/>
      <c r="G746" s="146"/>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46"/>
      <c r="D747" s="146"/>
      <c r="E747" s="146"/>
      <c r="F747" s="146"/>
      <c r="G747" s="146"/>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46"/>
      <c r="D748" s="146"/>
      <c r="E748" s="146"/>
      <c r="F748" s="146"/>
      <c r="G748" s="146"/>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46"/>
      <c r="D749" s="146"/>
      <c r="E749" s="146"/>
      <c r="F749" s="146"/>
      <c r="G749" s="146"/>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46"/>
      <c r="D750" s="146"/>
      <c r="E750" s="146"/>
      <c r="F750" s="146"/>
      <c r="G750" s="146"/>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46"/>
      <c r="D751" s="146"/>
      <c r="E751" s="146"/>
      <c r="F751" s="146"/>
      <c r="G751" s="146"/>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46"/>
      <c r="D752" s="146"/>
      <c r="E752" s="146"/>
      <c r="F752" s="146"/>
      <c r="G752" s="146"/>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46"/>
      <c r="D753" s="146"/>
      <c r="E753" s="146"/>
      <c r="F753" s="146"/>
      <c r="G753" s="146"/>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46"/>
      <c r="D754" s="146"/>
      <c r="E754" s="146"/>
      <c r="F754" s="146"/>
      <c r="G754" s="146"/>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46"/>
      <c r="D755" s="146"/>
      <c r="E755" s="146"/>
      <c r="F755" s="146"/>
      <c r="G755" s="146"/>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46"/>
      <c r="D756" s="146"/>
      <c r="E756" s="146"/>
      <c r="F756" s="146"/>
      <c r="G756" s="146"/>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46"/>
      <c r="D757" s="146"/>
      <c r="E757" s="146"/>
      <c r="F757" s="146"/>
      <c r="G757" s="146"/>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46"/>
      <c r="D758" s="146"/>
      <c r="E758" s="146"/>
      <c r="F758" s="146"/>
      <c r="G758" s="146"/>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46"/>
      <c r="D759" s="146"/>
      <c r="E759" s="146"/>
      <c r="F759" s="146"/>
      <c r="G759" s="146"/>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46"/>
      <c r="D760" s="146"/>
      <c r="E760" s="146"/>
      <c r="F760" s="146"/>
      <c r="G760" s="146"/>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46"/>
      <c r="D761" s="146"/>
      <c r="E761" s="146"/>
      <c r="F761" s="146"/>
      <c r="G761" s="146"/>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46"/>
      <c r="D762" s="146"/>
      <c r="E762" s="146"/>
      <c r="F762" s="146"/>
      <c r="G762" s="146"/>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46"/>
      <c r="D763" s="146"/>
      <c r="E763" s="146"/>
      <c r="F763" s="146"/>
      <c r="G763" s="146"/>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46"/>
      <c r="D764" s="146"/>
      <c r="E764" s="146"/>
      <c r="F764" s="146"/>
      <c r="G764" s="146"/>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46"/>
      <c r="D765" s="146"/>
      <c r="E765" s="146"/>
      <c r="F765" s="146"/>
      <c r="G765" s="146"/>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46"/>
      <c r="D766" s="146"/>
      <c r="E766" s="146"/>
      <c r="F766" s="146"/>
      <c r="G766" s="146"/>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46"/>
      <c r="D767" s="146"/>
      <c r="E767" s="146"/>
      <c r="F767" s="146"/>
      <c r="G767" s="146"/>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46"/>
      <c r="D768" s="146"/>
      <c r="E768" s="146"/>
      <c r="F768" s="146"/>
      <c r="G768" s="146"/>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46"/>
      <c r="D769" s="146"/>
      <c r="E769" s="146"/>
      <c r="F769" s="146"/>
      <c r="G769" s="146"/>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46"/>
      <c r="D770" s="146"/>
      <c r="E770" s="146"/>
      <c r="F770" s="146"/>
      <c r="G770" s="146"/>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46"/>
      <c r="D771" s="146"/>
      <c r="E771" s="146"/>
      <c r="F771" s="146"/>
      <c r="G771" s="146"/>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46"/>
      <c r="D772" s="146"/>
      <c r="E772" s="146"/>
      <c r="F772" s="146"/>
      <c r="G772" s="146"/>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46"/>
      <c r="D773" s="146"/>
      <c r="E773" s="146"/>
      <c r="F773" s="146"/>
      <c r="G773" s="146"/>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46"/>
      <c r="D774" s="146"/>
      <c r="E774" s="146"/>
      <c r="F774" s="146"/>
      <c r="G774" s="146"/>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46"/>
      <c r="D775" s="146"/>
      <c r="E775" s="146"/>
      <c r="F775" s="146"/>
      <c r="G775" s="146"/>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46"/>
      <c r="D776" s="146"/>
      <c r="E776" s="146"/>
      <c r="F776" s="146"/>
      <c r="G776" s="146"/>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46"/>
      <c r="D777" s="146"/>
      <c r="E777" s="146"/>
      <c r="F777" s="146"/>
      <c r="G777" s="146"/>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46"/>
      <c r="D778" s="146"/>
      <c r="E778" s="146"/>
      <c r="F778" s="146"/>
      <c r="G778" s="146"/>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46"/>
      <c r="D779" s="146"/>
      <c r="E779" s="146"/>
      <c r="F779" s="146"/>
      <c r="G779" s="146"/>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46"/>
      <c r="D780" s="146"/>
      <c r="E780" s="146"/>
      <c r="F780" s="146"/>
      <c r="G780" s="146"/>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46"/>
      <c r="D781" s="146"/>
      <c r="E781" s="146"/>
      <c r="F781" s="146"/>
      <c r="G781" s="146"/>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46"/>
      <c r="D782" s="146"/>
      <c r="E782" s="146"/>
      <c r="F782" s="146"/>
      <c r="G782" s="146"/>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46"/>
      <c r="D783" s="146"/>
      <c r="E783" s="146"/>
      <c r="F783" s="146"/>
      <c r="G783" s="146"/>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46"/>
      <c r="D784" s="146"/>
      <c r="E784" s="146"/>
      <c r="F784" s="146"/>
      <c r="G784" s="146"/>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46"/>
      <c r="D785" s="146"/>
      <c r="E785" s="146"/>
      <c r="F785" s="146"/>
      <c r="G785" s="146"/>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46"/>
      <c r="D786" s="146"/>
      <c r="E786" s="146"/>
      <c r="F786" s="146"/>
      <c r="G786" s="146"/>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46"/>
      <c r="D787" s="146"/>
      <c r="E787" s="146"/>
      <c r="F787" s="146"/>
      <c r="G787" s="146"/>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46"/>
      <c r="D788" s="146"/>
      <c r="E788" s="146"/>
      <c r="F788" s="146"/>
      <c r="G788" s="146"/>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46"/>
      <c r="D789" s="146"/>
      <c r="E789" s="146"/>
      <c r="F789" s="146"/>
      <c r="G789" s="146"/>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46"/>
      <c r="D790" s="146"/>
      <c r="E790" s="146"/>
      <c r="F790" s="146"/>
      <c r="G790" s="146"/>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46"/>
      <c r="D791" s="146"/>
      <c r="E791" s="146"/>
      <c r="F791" s="146"/>
      <c r="G791" s="146"/>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46"/>
      <c r="D792" s="146"/>
      <c r="E792" s="146"/>
      <c r="F792" s="146"/>
      <c r="G792" s="146"/>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46"/>
      <c r="D793" s="146"/>
      <c r="E793" s="146"/>
      <c r="F793" s="146"/>
      <c r="G793" s="146"/>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46"/>
      <c r="D794" s="146"/>
      <c r="E794" s="146"/>
      <c r="F794" s="146"/>
      <c r="G794" s="146"/>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46"/>
      <c r="D795" s="146"/>
      <c r="E795" s="146"/>
      <c r="F795" s="146"/>
      <c r="G795" s="146"/>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46"/>
      <c r="D796" s="146"/>
      <c r="E796" s="146"/>
      <c r="F796" s="146"/>
      <c r="G796" s="146"/>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46"/>
      <c r="D797" s="146"/>
      <c r="E797" s="146"/>
      <c r="F797" s="146"/>
      <c r="G797" s="146"/>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46"/>
      <c r="D798" s="146"/>
      <c r="E798" s="146"/>
      <c r="F798" s="146"/>
      <c r="G798" s="146"/>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46"/>
      <c r="D799" s="146"/>
      <c r="E799" s="146"/>
      <c r="F799" s="146"/>
      <c r="G799" s="146"/>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46"/>
      <c r="D800" s="146"/>
      <c r="E800" s="146"/>
      <c r="F800" s="146"/>
      <c r="G800" s="146"/>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46"/>
      <c r="D801" s="146"/>
      <c r="E801" s="146"/>
      <c r="F801" s="146"/>
      <c r="G801" s="146"/>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46"/>
      <c r="D802" s="146"/>
      <c r="E802" s="146"/>
      <c r="F802" s="146"/>
      <c r="G802" s="146"/>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46"/>
      <c r="D803" s="146"/>
      <c r="E803" s="146"/>
      <c r="F803" s="146"/>
      <c r="G803" s="146"/>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46"/>
      <c r="D804" s="146"/>
      <c r="E804" s="146"/>
      <c r="F804" s="146"/>
      <c r="G804" s="146"/>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46"/>
      <c r="D805" s="146"/>
      <c r="E805" s="146"/>
      <c r="F805" s="146"/>
      <c r="G805" s="146"/>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46"/>
      <c r="D806" s="146"/>
      <c r="E806" s="146"/>
      <c r="F806" s="146"/>
      <c r="G806" s="146"/>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46"/>
      <c r="D807" s="146"/>
      <c r="E807" s="146"/>
      <c r="F807" s="146"/>
      <c r="G807" s="146"/>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46"/>
      <c r="D808" s="146"/>
      <c r="E808" s="146"/>
      <c r="F808" s="146"/>
      <c r="G808" s="146"/>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46"/>
      <c r="D809" s="146"/>
      <c r="E809" s="146"/>
      <c r="F809" s="146"/>
      <c r="G809" s="146"/>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46"/>
      <c r="D810" s="146"/>
      <c r="E810" s="146"/>
      <c r="F810" s="146"/>
      <c r="G810" s="146"/>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46"/>
      <c r="D811" s="146"/>
      <c r="E811" s="146"/>
      <c r="F811" s="146"/>
      <c r="G811" s="146"/>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46"/>
      <c r="D812" s="146"/>
      <c r="E812" s="146"/>
      <c r="F812" s="146"/>
      <c r="G812" s="146"/>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46"/>
      <c r="D813" s="146"/>
      <c r="E813" s="146"/>
      <c r="F813" s="146"/>
      <c r="G813" s="146"/>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46"/>
      <c r="D814" s="146"/>
      <c r="E814" s="146"/>
      <c r="F814" s="146"/>
      <c r="G814" s="146"/>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46"/>
      <c r="D815" s="146"/>
      <c r="E815" s="146"/>
      <c r="F815" s="146"/>
      <c r="G815" s="146"/>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46"/>
      <c r="D816" s="146"/>
      <c r="E816" s="146"/>
      <c r="F816" s="146"/>
      <c r="G816" s="146"/>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46"/>
      <c r="D817" s="146"/>
      <c r="E817" s="146"/>
      <c r="F817" s="146"/>
      <c r="G817" s="146"/>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46"/>
      <c r="D818" s="146"/>
      <c r="E818" s="146"/>
      <c r="F818" s="146"/>
      <c r="G818" s="146"/>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46"/>
      <c r="D819" s="146"/>
      <c r="E819" s="146"/>
      <c r="F819" s="146"/>
      <c r="G819" s="146"/>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46"/>
      <c r="D820" s="146"/>
      <c r="E820" s="146"/>
      <c r="F820" s="146"/>
      <c r="G820" s="146"/>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46"/>
      <c r="D821" s="146"/>
      <c r="E821" s="146"/>
      <c r="F821" s="146"/>
      <c r="G821" s="146"/>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46"/>
      <c r="D822" s="146"/>
      <c r="E822" s="146"/>
      <c r="F822" s="146"/>
      <c r="G822" s="146"/>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46"/>
      <c r="D823" s="146"/>
      <c r="E823" s="146"/>
      <c r="F823" s="146"/>
      <c r="G823" s="146"/>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46"/>
      <c r="D824" s="146"/>
      <c r="E824" s="146"/>
      <c r="F824" s="146"/>
      <c r="G824" s="146"/>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46"/>
      <c r="D825" s="146"/>
      <c r="E825" s="146"/>
      <c r="F825" s="146"/>
      <c r="G825" s="146"/>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46"/>
      <c r="D826" s="146"/>
      <c r="E826" s="146"/>
      <c r="F826" s="146"/>
      <c r="G826" s="146"/>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46"/>
      <c r="D827" s="146"/>
      <c r="E827" s="146"/>
      <c r="F827" s="146"/>
      <c r="G827" s="146"/>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46"/>
      <c r="D828" s="146"/>
      <c r="E828" s="146"/>
      <c r="F828" s="146"/>
      <c r="G828" s="146"/>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46"/>
      <c r="D829" s="146"/>
      <c r="E829" s="146"/>
      <c r="F829" s="146"/>
      <c r="G829" s="146"/>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46"/>
      <c r="D830" s="146"/>
      <c r="E830" s="146"/>
      <c r="F830" s="146"/>
      <c r="G830" s="146"/>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46"/>
      <c r="D831" s="146"/>
      <c r="E831" s="146"/>
      <c r="F831" s="146"/>
      <c r="G831" s="146"/>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46"/>
      <c r="D832" s="146"/>
      <c r="E832" s="146"/>
      <c r="F832" s="146"/>
      <c r="G832" s="146"/>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46"/>
      <c r="D833" s="146"/>
      <c r="E833" s="146"/>
      <c r="F833" s="146"/>
      <c r="G833" s="146"/>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46"/>
      <c r="D834" s="146"/>
      <c r="E834" s="146"/>
      <c r="F834" s="146"/>
      <c r="G834" s="146"/>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46"/>
      <c r="D835" s="146"/>
      <c r="E835" s="146"/>
      <c r="F835" s="146"/>
      <c r="G835" s="146"/>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46"/>
      <c r="D836" s="146"/>
      <c r="E836" s="146"/>
      <c r="F836" s="146"/>
      <c r="G836" s="146"/>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46"/>
      <c r="D837" s="146"/>
      <c r="E837" s="146"/>
      <c r="F837" s="146"/>
      <c r="G837" s="146"/>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46"/>
      <c r="D838" s="146"/>
      <c r="E838" s="146"/>
      <c r="F838" s="146"/>
      <c r="G838" s="146"/>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46"/>
      <c r="D839" s="146"/>
      <c r="E839" s="146"/>
      <c r="F839" s="146"/>
      <c r="G839" s="146"/>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46"/>
      <c r="D840" s="146"/>
      <c r="E840" s="146"/>
      <c r="F840" s="146"/>
      <c r="G840" s="146"/>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46"/>
      <c r="D841" s="146"/>
      <c r="E841" s="146"/>
      <c r="F841" s="146"/>
      <c r="G841" s="146"/>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46"/>
      <c r="D842" s="146"/>
      <c r="E842" s="146"/>
      <c r="F842" s="146"/>
      <c r="G842" s="146"/>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46"/>
      <c r="D843" s="146"/>
      <c r="E843" s="146"/>
      <c r="F843" s="146"/>
      <c r="G843" s="146"/>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46"/>
      <c r="D844" s="146"/>
      <c r="E844" s="146"/>
      <c r="F844" s="146"/>
      <c r="G844" s="146"/>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46"/>
      <c r="D845" s="146"/>
      <c r="E845" s="146"/>
      <c r="F845" s="146"/>
      <c r="G845" s="146"/>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46"/>
      <c r="D846" s="146"/>
      <c r="E846" s="146"/>
      <c r="F846" s="146"/>
      <c r="G846" s="146"/>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46"/>
      <c r="D847" s="146"/>
      <c r="E847" s="146"/>
      <c r="F847" s="146"/>
      <c r="G847" s="146"/>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46"/>
      <c r="D848" s="146"/>
      <c r="E848" s="146"/>
      <c r="F848" s="146"/>
      <c r="G848" s="146"/>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46"/>
      <c r="D849" s="146"/>
      <c r="E849" s="146"/>
      <c r="F849" s="146"/>
      <c r="G849" s="146"/>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46"/>
      <c r="D850" s="146"/>
      <c r="E850" s="146"/>
      <c r="F850" s="146"/>
      <c r="G850" s="146"/>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46"/>
      <c r="D851" s="146"/>
      <c r="E851" s="146"/>
      <c r="F851" s="146"/>
      <c r="G851" s="146"/>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46"/>
      <c r="D852" s="146"/>
      <c r="E852" s="146"/>
      <c r="F852" s="146"/>
      <c r="G852" s="146"/>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46"/>
      <c r="D853" s="146"/>
      <c r="E853" s="146"/>
      <c r="F853" s="146"/>
      <c r="G853" s="146"/>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46"/>
      <c r="D854" s="146"/>
      <c r="E854" s="146"/>
      <c r="F854" s="146"/>
      <c r="G854" s="146"/>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46"/>
      <c r="D855" s="146"/>
      <c r="E855" s="146"/>
      <c r="F855" s="146"/>
      <c r="G855" s="146"/>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46"/>
      <c r="D856" s="146"/>
      <c r="E856" s="146"/>
      <c r="F856" s="146"/>
      <c r="G856" s="146"/>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46"/>
      <c r="D857" s="146"/>
      <c r="E857" s="146"/>
      <c r="F857" s="146"/>
      <c r="G857" s="146"/>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46"/>
      <c r="D858" s="146"/>
      <c r="E858" s="146"/>
      <c r="F858" s="146"/>
      <c r="G858" s="146"/>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46"/>
      <c r="D859" s="146"/>
      <c r="E859" s="146"/>
      <c r="F859" s="146"/>
      <c r="G859" s="146"/>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46"/>
      <c r="D860" s="146"/>
      <c r="E860" s="146"/>
      <c r="F860" s="146"/>
      <c r="G860" s="146"/>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46"/>
      <c r="D861" s="146"/>
      <c r="E861" s="146"/>
      <c r="F861" s="146"/>
      <c r="G861" s="146"/>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46"/>
      <c r="D862" s="146"/>
      <c r="E862" s="146"/>
      <c r="F862" s="146"/>
      <c r="G862" s="146"/>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46"/>
      <c r="D863" s="146"/>
      <c r="E863" s="146"/>
      <c r="F863" s="146"/>
      <c r="G863" s="146"/>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46"/>
      <c r="D864" s="146"/>
      <c r="E864" s="146"/>
      <c r="F864" s="146"/>
      <c r="G864" s="146"/>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46"/>
      <c r="D865" s="146"/>
      <c r="E865" s="146"/>
      <c r="F865" s="146"/>
      <c r="G865" s="146"/>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46"/>
      <c r="D866" s="146"/>
      <c r="E866" s="146"/>
      <c r="F866" s="146"/>
      <c r="G866" s="146"/>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46"/>
      <c r="D867" s="146"/>
      <c r="E867" s="146"/>
      <c r="F867" s="146"/>
      <c r="G867" s="146"/>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46"/>
      <c r="D868" s="146"/>
      <c r="E868" s="146"/>
      <c r="F868" s="146"/>
      <c r="G868" s="146"/>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46"/>
      <c r="D869" s="146"/>
      <c r="E869" s="146"/>
      <c r="F869" s="146"/>
      <c r="G869" s="146"/>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46"/>
      <c r="D870" s="146"/>
      <c r="E870" s="146"/>
      <c r="F870" s="146"/>
      <c r="G870" s="146"/>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46"/>
      <c r="D871" s="146"/>
      <c r="E871" s="146"/>
      <c r="F871" s="146"/>
      <c r="G871" s="146"/>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46"/>
      <c r="D872" s="146"/>
      <c r="E872" s="146"/>
      <c r="F872" s="146"/>
      <c r="G872" s="146"/>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46"/>
      <c r="D873" s="146"/>
      <c r="E873" s="146"/>
      <c r="F873" s="146"/>
      <c r="G873" s="146"/>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46"/>
      <c r="D874" s="146"/>
      <c r="E874" s="146"/>
      <c r="F874" s="146"/>
      <c r="G874" s="146"/>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46"/>
      <c r="D875" s="146"/>
      <c r="E875" s="146"/>
      <c r="F875" s="146"/>
      <c r="G875" s="146"/>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46"/>
      <c r="D876" s="146"/>
      <c r="E876" s="146"/>
      <c r="F876" s="146"/>
      <c r="G876" s="146"/>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46"/>
      <c r="D877" s="146"/>
      <c r="E877" s="146"/>
      <c r="F877" s="146"/>
      <c r="G877" s="146"/>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46"/>
      <c r="D878" s="146"/>
      <c r="E878" s="146"/>
      <c r="F878" s="146"/>
      <c r="G878" s="146"/>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46"/>
      <c r="D879" s="146"/>
      <c r="E879" s="146"/>
      <c r="F879" s="146"/>
      <c r="G879" s="146"/>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46"/>
      <c r="D880" s="146"/>
      <c r="E880" s="146"/>
      <c r="F880" s="146"/>
      <c r="G880" s="146"/>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46"/>
      <c r="D881" s="146"/>
      <c r="E881" s="146"/>
      <c r="F881" s="146"/>
      <c r="G881" s="146"/>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46"/>
      <c r="D882" s="146"/>
      <c r="E882" s="146"/>
      <c r="F882" s="146"/>
      <c r="G882" s="146"/>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46"/>
      <c r="D883" s="146"/>
      <c r="E883" s="146"/>
      <c r="F883" s="146"/>
      <c r="G883" s="146"/>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46"/>
      <c r="D884" s="146"/>
      <c r="E884" s="146"/>
      <c r="F884" s="146"/>
      <c r="G884" s="146"/>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46"/>
      <c r="D885" s="146"/>
      <c r="E885" s="146"/>
      <c r="F885" s="146"/>
      <c r="G885" s="146"/>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46"/>
      <c r="D886" s="146"/>
      <c r="E886" s="146"/>
      <c r="F886" s="146"/>
      <c r="G886" s="146"/>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46"/>
      <c r="D887" s="146"/>
      <c r="E887" s="146"/>
      <c r="F887" s="146"/>
      <c r="G887" s="146"/>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46"/>
      <c r="D888" s="146"/>
      <c r="E888" s="146"/>
      <c r="F888" s="146"/>
      <c r="G888" s="146"/>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46"/>
      <c r="D889" s="146"/>
      <c r="E889" s="146"/>
      <c r="F889" s="146"/>
      <c r="G889" s="146"/>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46"/>
      <c r="D890" s="146"/>
      <c r="E890" s="146"/>
      <c r="F890" s="146"/>
      <c r="G890" s="146"/>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46"/>
      <c r="D891" s="146"/>
      <c r="E891" s="146"/>
      <c r="F891" s="146"/>
      <c r="G891" s="146"/>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46"/>
      <c r="D892" s="146"/>
      <c r="E892" s="146"/>
      <c r="F892" s="146"/>
      <c r="G892" s="146"/>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46"/>
      <c r="D893" s="146"/>
      <c r="E893" s="146"/>
      <c r="F893" s="146"/>
      <c r="G893" s="146"/>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46"/>
      <c r="D894" s="146"/>
      <c r="E894" s="146"/>
      <c r="F894" s="146"/>
      <c r="G894" s="146"/>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46"/>
      <c r="D895" s="146"/>
      <c r="E895" s="146"/>
      <c r="F895" s="146"/>
      <c r="G895" s="146"/>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46"/>
      <c r="D896" s="146"/>
      <c r="E896" s="146"/>
      <c r="F896" s="146"/>
      <c r="G896" s="146"/>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46"/>
      <c r="D897" s="146"/>
      <c r="E897" s="146"/>
      <c r="F897" s="146"/>
      <c r="G897" s="146"/>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46"/>
      <c r="D898" s="146"/>
      <c r="E898" s="146"/>
      <c r="F898" s="146"/>
      <c r="G898" s="146"/>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46"/>
      <c r="D899" s="146"/>
      <c r="E899" s="146"/>
      <c r="F899" s="146"/>
      <c r="G899" s="146"/>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46"/>
      <c r="D900" s="146"/>
      <c r="E900" s="146"/>
      <c r="F900" s="146"/>
      <c r="G900" s="146"/>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46"/>
      <c r="D901" s="146"/>
      <c r="E901" s="146"/>
      <c r="F901" s="146"/>
      <c r="G901" s="146"/>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46"/>
      <c r="D902" s="146"/>
      <c r="E902" s="146"/>
      <c r="F902" s="146"/>
      <c r="G902" s="146"/>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46"/>
      <c r="D903" s="146"/>
      <c r="E903" s="146"/>
      <c r="F903" s="146"/>
      <c r="G903" s="146"/>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46"/>
      <c r="D904" s="146"/>
      <c r="E904" s="146"/>
      <c r="F904" s="146"/>
      <c r="G904" s="146"/>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46"/>
      <c r="D905" s="146"/>
      <c r="E905" s="146"/>
      <c r="F905" s="146"/>
      <c r="G905" s="146"/>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46"/>
      <c r="D906" s="146"/>
      <c r="E906" s="146"/>
      <c r="F906" s="146"/>
      <c r="G906" s="146"/>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46"/>
      <c r="D907" s="146"/>
      <c r="E907" s="146"/>
      <c r="F907" s="146"/>
      <c r="G907" s="146"/>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46"/>
      <c r="D908" s="146"/>
      <c r="E908" s="146"/>
      <c r="F908" s="146"/>
      <c r="G908" s="146"/>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46"/>
      <c r="D909" s="146"/>
      <c r="E909" s="146"/>
      <c r="F909" s="146"/>
      <c r="G909" s="146"/>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46"/>
      <c r="D910" s="146"/>
      <c r="E910" s="146"/>
      <c r="F910" s="146"/>
      <c r="G910" s="146"/>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46"/>
      <c r="D911" s="146"/>
      <c r="E911" s="146"/>
      <c r="F911" s="146"/>
      <c r="G911" s="146"/>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46"/>
      <c r="D912" s="146"/>
      <c r="E912" s="146"/>
      <c r="F912" s="146"/>
      <c r="G912" s="146"/>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46"/>
      <c r="D913" s="146"/>
      <c r="E913" s="146"/>
      <c r="F913" s="146"/>
      <c r="G913" s="146"/>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46"/>
      <c r="D914" s="146"/>
      <c r="E914" s="146"/>
      <c r="F914" s="146"/>
      <c r="G914" s="146"/>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46"/>
      <c r="D915" s="146"/>
      <c r="E915" s="146"/>
      <c r="F915" s="146"/>
      <c r="G915" s="146"/>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46"/>
      <c r="D916" s="146"/>
      <c r="E916" s="146"/>
      <c r="F916" s="146"/>
      <c r="G916" s="146"/>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46"/>
      <c r="D917" s="146"/>
      <c r="E917" s="146"/>
      <c r="F917" s="146"/>
      <c r="G917" s="146"/>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46"/>
      <c r="D918" s="146"/>
      <c r="E918" s="146"/>
      <c r="F918" s="146"/>
      <c r="G918" s="146"/>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46"/>
      <c r="D919" s="146"/>
      <c r="E919" s="146"/>
      <c r="F919" s="146"/>
      <c r="G919" s="146"/>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46"/>
      <c r="D920" s="146"/>
      <c r="E920" s="146"/>
      <c r="F920" s="146"/>
      <c r="G920" s="146"/>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46"/>
      <c r="D921" s="146"/>
      <c r="E921" s="146"/>
      <c r="F921" s="146"/>
      <c r="G921" s="146"/>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46"/>
      <c r="D922" s="146"/>
      <c r="E922" s="146"/>
      <c r="F922" s="146"/>
      <c r="G922" s="146"/>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46"/>
      <c r="D923" s="146"/>
      <c r="E923" s="146"/>
      <c r="F923" s="146"/>
      <c r="G923" s="146"/>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46"/>
      <c r="D924" s="146"/>
      <c r="E924" s="146"/>
      <c r="F924" s="146"/>
      <c r="G924" s="146"/>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46"/>
      <c r="D925" s="146"/>
      <c r="E925" s="146"/>
      <c r="F925" s="146"/>
      <c r="G925" s="146"/>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46"/>
      <c r="D926" s="146"/>
      <c r="E926" s="146"/>
      <c r="F926" s="146"/>
      <c r="G926" s="146"/>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46"/>
      <c r="D927" s="146"/>
      <c r="E927" s="146"/>
      <c r="F927" s="146"/>
      <c r="G927" s="146"/>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46"/>
      <c r="D928" s="146"/>
      <c r="E928" s="146"/>
      <c r="F928" s="146"/>
      <c r="G928" s="146"/>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46"/>
      <c r="D929" s="146"/>
      <c r="E929" s="146"/>
      <c r="F929" s="146"/>
      <c r="G929" s="146"/>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46"/>
      <c r="D930" s="146"/>
      <c r="E930" s="146"/>
      <c r="F930" s="146"/>
      <c r="G930" s="146"/>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46"/>
      <c r="D931" s="146"/>
      <c r="E931" s="146"/>
      <c r="F931" s="146"/>
      <c r="G931" s="146"/>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46"/>
      <c r="D932" s="146"/>
      <c r="E932" s="146"/>
      <c r="F932" s="146"/>
      <c r="G932" s="146"/>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46"/>
      <c r="D933" s="146"/>
      <c r="E933" s="146"/>
      <c r="F933" s="146"/>
      <c r="G933" s="146"/>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46"/>
      <c r="D934" s="146"/>
      <c r="E934" s="146"/>
      <c r="F934" s="146"/>
      <c r="G934" s="146"/>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46"/>
      <c r="D935" s="146"/>
      <c r="E935" s="146"/>
      <c r="F935" s="146"/>
      <c r="G935" s="146"/>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46"/>
      <c r="D936" s="146"/>
      <c r="E936" s="146"/>
      <c r="F936" s="146"/>
      <c r="G936" s="146"/>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46"/>
      <c r="D937" s="146"/>
      <c r="E937" s="146"/>
      <c r="F937" s="146"/>
      <c r="G937" s="146"/>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46"/>
      <c r="D938" s="146"/>
      <c r="E938" s="146"/>
      <c r="F938" s="146"/>
      <c r="G938" s="146"/>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46"/>
      <c r="D939" s="146"/>
      <c r="E939" s="146"/>
      <c r="F939" s="146"/>
      <c r="G939" s="146"/>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46"/>
      <c r="D940" s="146"/>
      <c r="E940" s="146"/>
      <c r="F940" s="146"/>
      <c r="G940" s="146"/>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46"/>
      <c r="D941" s="146"/>
      <c r="E941" s="146"/>
      <c r="F941" s="146"/>
      <c r="G941" s="146"/>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46"/>
      <c r="D942" s="146"/>
      <c r="E942" s="146"/>
      <c r="F942" s="146"/>
      <c r="G942" s="146"/>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46"/>
      <c r="D943" s="146"/>
      <c r="E943" s="146"/>
      <c r="F943" s="146"/>
      <c r="G943" s="146"/>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46"/>
      <c r="D944" s="146"/>
      <c r="E944" s="146"/>
      <c r="F944" s="146"/>
      <c r="G944" s="146"/>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46"/>
      <c r="D945" s="146"/>
      <c r="E945" s="146"/>
      <c r="F945" s="146"/>
      <c r="G945" s="146"/>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46"/>
      <c r="D946" s="146"/>
      <c r="E946" s="146"/>
      <c r="F946" s="146"/>
      <c r="G946" s="146"/>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46"/>
      <c r="D947" s="146"/>
      <c r="E947" s="146"/>
      <c r="F947" s="146"/>
      <c r="G947" s="146"/>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46"/>
      <c r="D948" s="146"/>
      <c r="E948" s="146"/>
      <c r="F948" s="146"/>
      <c r="G948" s="146"/>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46"/>
      <c r="D949" s="146"/>
      <c r="E949" s="146"/>
      <c r="F949" s="146"/>
      <c r="G949" s="146"/>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46"/>
      <c r="D950" s="146"/>
      <c r="E950" s="146"/>
      <c r="F950" s="146"/>
      <c r="G950" s="146"/>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46"/>
      <c r="D951" s="146"/>
      <c r="E951" s="146"/>
      <c r="F951" s="146"/>
      <c r="G951" s="146"/>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46"/>
      <c r="D952" s="146"/>
      <c r="E952" s="146"/>
      <c r="F952" s="146"/>
      <c r="G952" s="146"/>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46"/>
      <c r="D953" s="146"/>
      <c r="E953" s="146"/>
      <c r="F953" s="146"/>
      <c r="G953" s="146"/>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46"/>
      <c r="D954" s="146"/>
      <c r="E954" s="146"/>
      <c r="F954" s="146"/>
      <c r="G954" s="146"/>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46"/>
      <c r="D955" s="146"/>
      <c r="E955" s="146"/>
      <c r="F955" s="146"/>
      <c r="G955" s="146"/>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46"/>
      <c r="D956" s="146"/>
      <c r="E956" s="146"/>
      <c r="F956" s="146"/>
      <c r="G956" s="146"/>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46"/>
      <c r="D957" s="146"/>
      <c r="E957" s="146"/>
      <c r="F957" s="146"/>
      <c r="G957" s="146"/>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46"/>
      <c r="D958" s="146"/>
      <c r="E958" s="146"/>
      <c r="F958" s="146"/>
      <c r="G958" s="146"/>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46"/>
      <c r="D959" s="146"/>
      <c r="E959" s="146"/>
      <c r="F959" s="146"/>
      <c r="G959" s="146"/>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46"/>
      <c r="D960" s="146"/>
      <c r="E960" s="146"/>
      <c r="F960" s="146"/>
      <c r="G960" s="146"/>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46"/>
      <c r="D961" s="146"/>
      <c r="E961" s="146"/>
      <c r="F961" s="146"/>
      <c r="G961" s="146"/>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46"/>
      <c r="D962" s="146"/>
      <c r="E962" s="146"/>
      <c r="F962" s="146"/>
      <c r="G962" s="146"/>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46"/>
      <c r="D963" s="146"/>
      <c r="E963" s="146"/>
      <c r="F963" s="146"/>
      <c r="G963" s="146"/>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46"/>
      <c r="D964" s="146"/>
      <c r="E964" s="146"/>
      <c r="F964" s="146"/>
      <c r="G964" s="146"/>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46"/>
      <c r="D965" s="146"/>
      <c r="E965" s="146"/>
      <c r="F965" s="146"/>
      <c r="G965" s="146"/>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46"/>
      <c r="D966" s="146"/>
      <c r="E966" s="146"/>
      <c r="F966" s="146"/>
      <c r="G966" s="146"/>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46"/>
      <c r="D967" s="146"/>
      <c r="E967" s="146"/>
      <c r="F967" s="146"/>
      <c r="G967" s="146"/>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46"/>
      <c r="D968" s="146"/>
      <c r="E968" s="146"/>
      <c r="F968" s="146"/>
      <c r="G968" s="146"/>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46"/>
      <c r="D969" s="146"/>
      <c r="E969" s="146"/>
      <c r="F969" s="146"/>
      <c r="G969" s="146"/>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46"/>
      <c r="D970" s="146"/>
      <c r="E970" s="146"/>
      <c r="F970" s="146"/>
      <c r="G970" s="146"/>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46"/>
      <c r="D971" s="146"/>
      <c r="E971" s="146"/>
      <c r="F971" s="146"/>
      <c r="G971" s="146"/>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46"/>
      <c r="D972" s="146"/>
      <c r="E972" s="146"/>
      <c r="F972" s="146"/>
      <c r="G972" s="146"/>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46"/>
      <c r="D973" s="146"/>
      <c r="E973" s="146"/>
      <c r="F973" s="146"/>
      <c r="G973" s="146"/>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46"/>
      <c r="D974" s="146"/>
      <c r="E974" s="146"/>
      <c r="F974" s="146"/>
      <c r="G974" s="146"/>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46"/>
      <c r="D975" s="146"/>
      <c r="E975" s="146"/>
      <c r="F975" s="146"/>
      <c r="G975" s="146"/>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46"/>
      <c r="D976" s="146"/>
      <c r="E976" s="146"/>
      <c r="F976" s="146"/>
      <c r="G976" s="146"/>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46"/>
      <c r="D977" s="146"/>
      <c r="E977" s="146"/>
      <c r="F977" s="146"/>
      <c r="G977" s="146"/>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46"/>
      <c r="D978" s="146"/>
      <c r="E978" s="146"/>
      <c r="F978" s="146"/>
      <c r="G978" s="146"/>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46"/>
      <c r="D979" s="146"/>
      <c r="E979" s="146"/>
      <c r="F979" s="146"/>
      <c r="G979" s="146"/>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46"/>
      <c r="D980" s="146"/>
      <c r="E980" s="146"/>
      <c r="F980" s="146"/>
      <c r="G980" s="146"/>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46"/>
      <c r="D981" s="146"/>
      <c r="E981" s="146"/>
      <c r="F981" s="146"/>
      <c r="G981" s="146"/>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46"/>
      <c r="D982" s="146"/>
      <c r="E982" s="146"/>
      <c r="F982" s="146"/>
      <c r="G982" s="146"/>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46"/>
      <c r="D983" s="146"/>
      <c r="E983" s="146"/>
      <c r="F983" s="146"/>
      <c r="G983" s="146"/>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46"/>
      <c r="D984" s="146"/>
      <c r="E984" s="146"/>
      <c r="F984" s="146"/>
      <c r="G984" s="146"/>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46"/>
      <c r="D985" s="146"/>
      <c r="E985" s="146"/>
      <c r="F985" s="146"/>
      <c r="G985" s="146"/>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46"/>
      <c r="D986" s="146"/>
      <c r="E986" s="146"/>
      <c r="F986" s="146"/>
      <c r="G986" s="146"/>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46"/>
      <c r="D987" s="146"/>
      <c r="E987" s="146"/>
      <c r="F987" s="146"/>
      <c r="G987" s="146"/>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46"/>
      <c r="D988" s="146"/>
      <c r="E988" s="146"/>
      <c r="F988" s="146"/>
      <c r="G988" s="146"/>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46"/>
      <c r="D989" s="146"/>
      <c r="E989" s="146"/>
      <c r="F989" s="146"/>
      <c r="G989" s="146"/>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46"/>
      <c r="D990" s="146"/>
      <c r="E990" s="146"/>
      <c r="F990" s="146"/>
      <c r="G990" s="146"/>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46"/>
      <c r="D991" s="146"/>
      <c r="E991" s="146"/>
      <c r="F991" s="146"/>
      <c r="G991" s="146"/>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46"/>
      <c r="D992" s="146"/>
      <c r="E992" s="146"/>
      <c r="F992" s="146"/>
      <c r="G992" s="146"/>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46"/>
      <c r="D993" s="146"/>
      <c r="E993" s="146"/>
      <c r="F993" s="146"/>
      <c r="G993" s="146"/>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46"/>
      <c r="D994" s="146"/>
      <c r="E994" s="146"/>
      <c r="F994" s="146"/>
      <c r="G994" s="146"/>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46"/>
      <c r="D995" s="146"/>
      <c r="E995" s="146"/>
      <c r="F995" s="146"/>
      <c r="G995" s="146"/>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46"/>
      <c r="D996" s="146"/>
      <c r="E996" s="146"/>
      <c r="F996" s="146"/>
      <c r="G996" s="146"/>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46"/>
      <c r="D997" s="146"/>
      <c r="E997" s="146"/>
      <c r="F997" s="146"/>
      <c r="G997" s="146"/>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46"/>
      <c r="D998" s="146"/>
      <c r="E998" s="146"/>
      <c r="F998" s="146"/>
      <c r="G998" s="146"/>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46"/>
      <c r="D999" s="146"/>
      <c r="E999" s="146"/>
      <c r="F999" s="146"/>
      <c r="G999" s="146"/>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46"/>
      <c r="D1000" s="146"/>
      <c r="E1000" s="146"/>
      <c r="F1000" s="146"/>
      <c r="G1000" s="146"/>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6">
    <mergeCell ref="A1:G1"/>
    <mergeCell ref="A2:G2"/>
    <mergeCell ref="A3:G3"/>
    <mergeCell ref="A4:G4"/>
    <mergeCell ref="A6:B6"/>
    <mergeCell ref="A10:B10"/>
    <mergeCell ref="A16:B16"/>
    <mergeCell ref="D40:G41"/>
    <mergeCell ref="D42:G43"/>
    <mergeCell ref="A19:B19"/>
    <mergeCell ref="A20:B20"/>
    <mergeCell ref="A24:B24"/>
    <mergeCell ref="A30:B30"/>
    <mergeCell ref="A33:B33"/>
    <mergeCell ref="B40:B41"/>
    <mergeCell ref="B42:B43"/>
  </mergeCells>
  <dataValidations count="1">
    <dataValidation type="decimal" allowBlank="1" showErrorMessage="1" sqref="C7:C9 E11 C12:D15 F17:F18 C21:C23 C25 E25 C26:E26 C27:C29 E27:E29 C31:C32 F31:F32">
      <formula1>-20000000000</formula1>
      <formula2>20000000000</formula2>
    </dataValidation>
  </dataValidations>
  <printOptions horizontalCentered="1"/>
  <pageMargins left="0.39370078740157483" right="0.39370078740157483" top="0.55118110236220474" bottom="0.55118110236220474" header="0" footer="0"/>
  <pageSetup orientation="landscape"/>
  <headerFooter>
    <oddFooter>&amp;REstado de Variación en la Hacienda Pública Página &amp;P de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1.140625" customWidth="1"/>
    <col min="5" max="5" width="0.85546875" customWidth="1"/>
    <col min="6" max="23" width="11.42578125" hidden="1" customWidth="1"/>
    <col min="24" max="26" width="10.7109375" customWidth="1"/>
  </cols>
  <sheetData>
    <row r="1" spans="1:26" ht="42.75" customHeight="1">
      <c r="A1" s="892" t="str">
        <f>"Nombre del Ente Público: "&amp;Validacion!A2</f>
        <v>Nombre del Ente Público: Guadalajara</v>
      </c>
      <c r="B1" s="746"/>
      <c r="C1" s="746"/>
      <c r="D1" s="747"/>
      <c r="E1" s="126"/>
      <c r="F1" s="126"/>
      <c r="G1" s="126"/>
      <c r="H1" s="126"/>
      <c r="I1" s="126"/>
      <c r="J1" s="126"/>
      <c r="K1" s="126"/>
      <c r="L1" s="126"/>
      <c r="M1" s="126"/>
      <c r="N1" s="126"/>
      <c r="O1" s="126"/>
      <c r="P1" s="126"/>
      <c r="Q1" s="126"/>
      <c r="R1" s="126"/>
      <c r="S1" s="126"/>
      <c r="T1" s="126"/>
      <c r="U1" s="126"/>
      <c r="V1" s="126"/>
      <c r="W1" s="126"/>
      <c r="X1" s="126"/>
      <c r="Y1" s="126"/>
      <c r="Z1" s="126"/>
    </row>
    <row r="2" spans="1:26" ht="15.75" customHeight="1">
      <c r="A2" s="775" t="s">
        <v>7131</v>
      </c>
      <c r="B2" s="749"/>
      <c r="C2" s="749"/>
      <c r="D2" s="750"/>
      <c r="E2" s="126"/>
      <c r="F2" s="126"/>
      <c r="G2" s="126"/>
      <c r="H2" s="126"/>
      <c r="I2" s="126"/>
      <c r="J2" s="126"/>
      <c r="K2" s="126"/>
      <c r="L2" s="126"/>
      <c r="M2" s="126"/>
      <c r="N2" s="126"/>
      <c r="O2" s="126"/>
      <c r="P2" s="126"/>
      <c r="Q2" s="126"/>
      <c r="R2" s="126"/>
      <c r="S2" s="126"/>
      <c r="T2" s="126"/>
      <c r="U2" s="126"/>
      <c r="V2" s="126"/>
      <c r="W2" s="126"/>
      <c r="X2" s="126"/>
      <c r="Y2" s="126"/>
      <c r="Z2" s="126"/>
    </row>
    <row r="3" spans="1:26" ht="15.75" customHeight="1">
      <c r="A3" s="751" t="e">
        <f>'F6'!A3</f>
        <v>#REF!</v>
      </c>
      <c r="B3" s="749"/>
      <c r="C3" s="749"/>
      <c r="D3" s="750"/>
      <c r="E3" s="126"/>
      <c r="F3" s="126"/>
      <c r="G3" s="126"/>
      <c r="H3" s="126"/>
      <c r="I3" s="126"/>
      <c r="J3" s="126"/>
      <c r="K3" s="126"/>
      <c r="L3" s="126"/>
      <c r="M3" s="126"/>
      <c r="N3" s="126"/>
      <c r="O3" s="126"/>
      <c r="P3" s="126"/>
      <c r="Q3" s="126"/>
      <c r="R3" s="126"/>
      <c r="S3" s="126"/>
      <c r="T3" s="126"/>
      <c r="U3" s="126"/>
      <c r="V3" s="126"/>
      <c r="W3" s="126"/>
      <c r="X3" s="126"/>
      <c r="Y3" s="126"/>
      <c r="Z3" s="126"/>
    </row>
    <row r="4" spans="1:26" ht="15.75" customHeight="1">
      <c r="A4" s="776" t="s">
        <v>4378</v>
      </c>
      <c r="B4" s="753"/>
      <c r="C4" s="753"/>
      <c r="D4" s="754"/>
      <c r="E4" s="126"/>
      <c r="F4" s="126"/>
      <c r="G4" s="126"/>
      <c r="H4" s="126"/>
      <c r="I4" s="126"/>
      <c r="J4" s="126"/>
      <c r="K4" s="126"/>
      <c r="L4" s="126"/>
      <c r="M4" s="126"/>
      <c r="N4" s="126"/>
      <c r="O4" s="126"/>
      <c r="P4" s="126"/>
      <c r="Q4" s="126"/>
      <c r="R4" s="126"/>
      <c r="S4" s="126"/>
      <c r="T4" s="126"/>
      <c r="U4" s="126"/>
      <c r="V4" s="126"/>
      <c r="W4" s="126"/>
      <c r="X4" s="126"/>
      <c r="Y4" s="126"/>
      <c r="Z4" s="126"/>
    </row>
    <row r="5" spans="1:26" ht="30" customHeight="1">
      <c r="A5" s="915" t="s">
        <v>4379</v>
      </c>
      <c r="B5" s="733"/>
      <c r="C5" s="916">
        <f>Validacion!F185</f>
        <v>2025</v>
      </c>
      <c r="D5" s="733"/>
      <c r="E5" s="126"/>
      <c r="F5" s="126"/>
      <c r="G5" s="126"/>
      <c r="H5" s="126"/>
      <c r="I5" s="126"/>
      <c r="J5" s="126"/>
      <c r="K5" s="126"/>
      <c r="L5" s="126"/>
      <c r="M5" s="126"/>
      <c r="N5" s="126"/>
      <c r="O5" s="126"/>
      <c r="P5" s="126"/>
      <c r="Q5" s="126"/>
      <c r="R5" s="126"/>
      <c r="S5" s="126"/>
      <c r="T5" s="126"/>
      <c r="U5" s="126"/>
      <c r="V5" s="126"/>
      <c r="W5" s="126"/>
      <c r="X5" s="126"/>
      <c r="Y5" s="126"/>
      <c r="Z5" s="126"/>
    </row>
    <row r="6" spans="1:26" ht="30" customHeight="1">
      <c r="A6" s="913" t="s">
        <v>7132</v>
      </c>
      <c r="B6" s="733"/>
      <c r="C6" s="914">
        <f>'F7'!F17</f>
        <v>7057759731.4099998</v>
      </c>
      <c r="D6" s="733"/>
      <c r="E6" s="126"/>
      <c r="F6" s="126"/>
      <c r="G6" s="126"/>
      <c r="H6" s="126"/>
      <c r="I6" s="126"/>
      <c r="J6" s="126"/>
      <c r="K6" s="126"/>
      <c r="L6" s="126"/>
      <c r="M6" s="126"/>
      <c r="N6" s="126"/>
      <c r="O6" s="126"/>
      <c r="P6" s="126"/>
      <c r="Q6" s="126"/>
      <c r="R6" s="126"/>
      <c r="S6" s="126"/>
      <c r="T6" s="126"/>
      <c r="U6" s="126"/>
      <c r="V6" s="126"/>
      <c r="W6" s="126"/>
      <c r="X6" s="126"/>
      <c r="Y6" s="126"/>
      <c r="Z6" s="126"/>
    </row>
    <row r="7" spans="1:26" ht="30" customHeight="1">
      <c r="A7" s="546" t="s">
        <v>7133</v>
      </c>
      <c r="B7" s="547"/>
      <c r="C7" s="910">
        <f>SUM(C8:D13)</f>
        <v>0</v>
      </c>
      <c r="D7" s="733"/>
      <c r="E7" s="126"/>
      <c r="F7" s="126"/>
      <c r="G7" s="126"/>
      <c r="H7" s="126"/>
      <c r="I7" s="126"/>
      <c r="J7" s="126"/>
      <c r="K7" s="126"/>
      <c r="L7" s="126"/>
      <c r="M7" s="126"/>
      <c r="N7" s="126"/>
      <c r="O7" s="126"/>
      <c r="P7" s="126"/>
      <c r="Q7" s="126"/>
      <c r="R7" s="126"/>
      <c r="S7" s="126"/>
      <c r="T7" s="126"/>
      <c r="U7" s="126"/>
      <c r="V7" s="126"/>
      <c r="W7" s="126"/>
      <c r="X7" s="126"/>
      <c r="Y7" s="126"/>
      <c r="Z7" s="126"/>
    </row>
    <row r="8" spans="1:26" ht="30" customHeight="1">
      <c r="A8" s="546"/>
      <c r="B8" s="548" t="s">
        <v>7134</v>
      </c>
      <c r="C8" s="911">
        <f>'F6'!AX162</f>
        <v>0</v>
      </c>
      <c r="D8" s="733"/>
      <c r="E8" s="126"/>
      <c r="F8" s="126"/>
      <c r="G8" s="126"/>
      <c r="H8" s="126"/>
      <c r="I8" s="126"/>
      <c r="J8" s="126"/>
      <c r="K8" s="126"/>
      <c r="L8" s="126"/>
      <c r="M8" s="126"/>
      <c r="N8" s="126"/>
      <c r="O8" s="126"/>
      <c r="P8" s="126"/>
      <c r="Q8" s="126"/>
      <c r="R8" s="126"/>
      <c r="S8" s="126"/>
      <c r="T8" s="126"/>
      <c r="U8" s="126"/>
      <c r="V8" s="126"/>
      <c r="W8" s="126"/>
      <c r="X8" s="126"/>
      <c r="Y8" s="126"/>
      <c r="Z8" s="126"/>
    </row>
    <row r="9" spans="1:26" ht="30" customHeight="1">
      <c r="A9" s="546"/>
      <c r="B9" s="548" t="s">
        <v>7135</v>
      </c>
      <c r="C9" s="911">
        <f>'F6'!AX165</f>
        <v>0</v>
      </c>
      <c r="D9" s="733"/>
      <c r="E9" s="126"/>
      <c r="F9" s="126"/>
      <c r="G9" s="126"/>
      <c r="H9" s="126"/>
      <c r="I9" s="126"/>
      <c r="J9" s="126"/>
      <c r="K9" s="126"/>
      <c r="L9" s="126"/>
      <c r="M9" s="126"/>
      <c r="N9" s="126"/>
      <c r="O9" s="126"/>
      <c r="P9" s="126"/>
      <c r="Q9" s="126"/>
      <c r="R9" s="126"/>
      <c r="S9" s="126"/>
      <c r="T9" s="126"/>
      <c r="U9" s="126"/>
      <c r="V9" s="126"/>
      <c r="W9" s="126"/>
      <c r="X9" s="126"/>
      <c r="Y9" s="126"/>
      <c r="Z9" s="126"/>
    </row>
    <row r="10" spans="1:26" ht="30" customHeight="1">
      <c r="A10" s="546"/>
      <c r="B10" s="548" t="s">
        <v>7136</v>
      </c>
      <c r="C10" s="911">
        <f>'F6'!AX171</f>
        <v>0</v>
      </c>
      <c r="D10" s="733"/>
      <c r="E10" s="126"/>
      <c r="F10" s="126"/>
      <c r="G10" s="126"/>
      <c r="H10" s="126"/>
      <c r="I10" s="126"/>
      <c r="J10" s="126"/>
      <c r="K10" s="126"/>
      <c r="L10" s="126"/>
      <c r="M10" s="126"/>
      <c r="N10" s="126"/>
      <c r="O10" s="126"/>
      <c r="P10" s="126"/>
      <c r="Q10" s="126"/>
      <c r="R10" s="126"/>
      <c r="S10" s="126"/>
      <c r="T10" s="126"/>
      <c r="U10" s="126"/>
      <c r="V10" s="126"/>
      <c r="W10" s="126"/>
      <c r="X10" s="126"/>
      <c r="Y10" s="126"/>
      <c r="Z10" s="126"/>
    </row>
    <row r="11" spans="1:26" ht="30" customHeight="1">
      <c r="A11" s="546"/>
      <c r="B11" s="548" t="s">
        <v>7137</v>
      </c>
      <c r="C11" s="911">
        <f>'F6'!AX173</f>
        <v>0</v>
      </c>
      <c r="D11" s="733"/>
      <c r="E11" s="126"/>
      <c r="F11" s="126"/>
      <c r="G11" s="126"/>
      <c r="H11" s="126"/>
      <c r="I11" s="126"/>
      <c r="J11" s="126"/>
      <c r="K11" s="126"/>
      <c r="L11" s="126"/>
      <c r="M11" s="126"/>
      <c r="N11" s="126"/>
      <c r="O11" s="126"/>
      <c r="P11" s="126"/>
      <c r="Q11" s="126"/>
      <c r="R11" s="126"/>
      <c r="S11" s="126"/>
      <c r="T11" s="126"/>
      <c r="U11" s="126"/>
      <c r="V11" s="126"/>
      <c r="W11" s="126"/>
      <c r="X11" s="126"/>
      <c r="Y11" s="126"/>
      <c r="Z11" s="126"/>
    </row>
    <row r="12" spans="1:26" ht="30" customHeight="1">
      <c r="A12" s="546"/>
      <c r="B12" s="548" t="s">
        <v>7138</v>
      </c>
      <c r="C12" s="911">
        <f>'F6'!AX175</f>
        <v>0</v>
      </c>
      <c r="D12" s="733"/>
      <c r="E12" s="126"/>
      <c r="F12" s="126"/>
      <c r="G12" s="126"/>
      <c r="H12" s="126"/>
      <c r="I12" s="126"/>
      <c r="J12" s="126"/>
      <c r="K12" s="126"/>
      <c r="L12" s="126"/>
      <c r="M12" s="126"/>
      <c r="N12" s="126"/>
      <c r="O12" s="126"/>
      <c r="P12" s="126"/>
      <c r="Q12" s="126"/>
      <c r="R12" s="126"/>
      <c r="S12" s="126"/>
      <c r="T12" s="126"/>
      <c r="U12" s="126"/>
      <c r="V12" s="126"/>
      <c r="W12" s="126"/>
      <c r="X12" s="126"/>
      <c r="Y12" s="126"/>
      <c r="Z12" s="126"/>
    </row>
    <row r="13" spans="1:26" ht="30" customHeight="1">
      <c r="A13" s="546"/>
      <c r="B13" s="548" t="s">
        <v>7139</v>
      </c>
      <c r="C13" s="909">
        <v>0</v>
      </c>
      <c r="D13" s="733"/>
      <c r="E13" s="126"/>
      <c r="F13" s="126"/>
      <c r="G13" s="126"/>
      <c r="H13" s="126"/>
      <c r="I13" s="126"/>
      <c r="J13" s="126"/>
      <c r="K13" s="126"/>
      <c r="L13" s="126"/>
      <c r="M13" s="126"/>
      <c r="N13" s="126"/>
      <c r="O13" s="126"/>
      <c r="P13" s="126"/>
      <c r="Q13" s="126"/>
      <c r="R13" s="126"/>
      <c r="S13" s="126"/>
      <c r="T13" s="126"/>
      <c r="U13" s="126"/>
      <c r="V13" s="126"/>
      <c r="W13" s="126"/>
      <c r="X13" s="126"/>
      <c r="Y13" s="126"/>
      <c r="Z13" s="126"/>
    </row>
    <row r="14" spans="1:26" ht="30" customHeight="1">
      <c r="A14" s="546" t="s">
        <v>7140</v>
      </c>
      <c r="B14" s="547"/>
      <c r="C14" s="910">
        <f>SUM(C15:D17)</f>
        <v>0</v>
      </c>
      <c r="D14" s="733"/>
      <c r="E14" s="126"/>
      <c r="F14" s="126"/>
      <c r="G14" s="126"/>
      <c r="H14" s="126"/>
      <c r="I14" s="126"/>
      <c r="J14" s="126"/>
      <c r="K14" s="126"/>
      <c r="L14" s="126"/>
      <c r="M14" s="126"/>
      <c r="N14" s="126"/>
      <c r="O14" s="126"/>
      <c r="P14" s="126"/>
      <c r="Q14" s="126"/>
      <c r="R14" s="126"/>
      <c r="S14" s="126"/>
      <c r="T14" s="126"/>
      <c r="U14" s="126"/>
      <c r="V14" s="126"/>
      <c r="W14" s="126"/>
      <c r="X14" s="126"/>
      <c r="Y14" s="126"/>
      <c r="Z14" s="126"/>
    </row>
    <row r="15" spans="1:26" ht="30" customHeight="1">
      <c r="A15" s="546"/>
      <c r="B15" s="548" t="s">
        <v>7141</v>
      </c>
      <c r="C15" s="911">
        <f>F7A!F39</f>
        <v>0</v>
      </c>
      <c r="D15" s="733"/>
      <c r="E15" s="126"/>
      <c r="F15" s="126"/>
      <c r="G15" s="126"/>
      <c r="H15" s="126"/>
      <c r="I15" s="126"/>
      <c r="J15" s="126"/>
      <c r="K15" s="126"/>
      <c r="L15" s="126"/>
      <c r="M15" s="126"/>
      <c r="N15" s="126"/>
      <c r="O15" s="126"/>
      <c r="P15" s="126"/>
      <c r="Q15" s="126"/>
      <c r="R15" s="126"/>
      <c r="S15" s="126"/>
      <c r="T15" s="126"/>
      <c r="U15" s="126"/>
      <c r="V15" s="126"/>
      <c r="W15" s="126"/>
      <c r="X15" s="126"/>
      <c r="Y15" s="126"/>
      <c r="Z15" s="126"/>
    </row>
    <row r="16" spans="1:26" ht="30" customHeight="1">
      <c r="A16" s="546"/>
      <c r="B16" s="548" t="s">
        <v>7142</v>
      </c>
      <c r="C16" s="909">
        <f>'F7'!F16</f>
        <v>0</v>
      </c>
      <c r="D16" s="733"/>
      <c r="E16" s="126"/>
      <c r="F16" s="126"/>
      <c r="G16" s="126"/>
      <c r="H16" s="126"/>
      <c r="I16" s="126"/>
      <c r="J16" s="126"/>
      <c r="K16" s="126"/>
      <c r="L16" s="126"/>
      <c r="M16" s="126"/>
      <c r="N16" s="126"/>
      <c r="O16" s="126"/>
      <c r="P16" s="126"/>
      <c r="Q16" s="126"/>
      <c r="R16" s="126"/>
      <c r="S16" s="126"/>
      <c r="T16" s="126"/>
      <c r="U16" s="126"/>
      <c r="V16" s="126"/>
      <c r="W16" s="126"/>
      <c r="X16" s="126"/>
      <c r="Y16" s="126"/>
      <c r="Z16" s="126"/>
    </row>
    <row r="17" spans="1:26" ht="30" customHeight="1">
      <c r="A17" s="546"/>
      <c r="B17" s="548" t="s">
        <v>7143</v>
      </c>
      <c r="C17" s="909">
        <v>0</v>
      </c>
      <c r="D17" s="733"/>
      <c r="E17" s="126"/>
      <c r="F17" s="126"/>
      <c r="G17" s="126"/>
      <c r="H17" s="126"/>
      <c r="I17" s="126"/>
      <c r="J17" s="126"/>
      <c r="K17" s="126"/>
      <c r="L17" s="126"/>
      <c r="M17" s="126"/>
      <c r="N17" s="126"/>
      <c r="O17" s="126"/>
      <c r="P17" s="126"/>
      <c r="Q17" s="126"/>
      <c r="R17" s="126"/>
      <c r="S17" s="126"/>
      <c r="T17" s="126"/>
      <c r="U17" s="126"/>
      <c r="V17" s="126"/>
      <c r="W17" s="126"/>
      <c r="X17" s="126"/>
      <c r="Y17" s="126"/>
      <c r="Z17" s="126"/>
    </row>
    <row r="18" spans="1:26" ht="30" customHeight="1">
      <c r="A18" s="549" t="s">
        <v>7144</v>
      </c>
      <c r="B18" s="550"/>
      <c r="C18" s="912">
        <f>C6+C7-C14</f>
        <v>7057759731.4099998</v>
      </c>
      <c r="D18" s="733"/>
      <c r="E18" s="126"/>
      <c r="F18" s="126"/>
      <c r="G18" s="126"/>
      <c r="H18" s="126"/>
      <c r="I18" s="126"/>
      <c r="J18" s="126"/>
      <c r="K18" s="126"/>
      <c r="L18" s="126"/>
      <c r="M18" s="126"/>
      <c r="N18" s="126"/>
      <c r="O18" s="126"/>
      <c r="P18" s="126"/>
      <c r="Q18" s="126"/>
      <c r="R18" s="126"/>
      <c r="S18" s="126"/>
      <c r="T18" s="126"/>
      <c r="U18" s="126"/>
      <c r="V18" s="126"/>
      <c r="W18" s="126"/>
      <c r="X18" s="126"/>
      <c r="Y18" s="126"/>
      <c r="Z18" s="126"/>
    </row>
    <row r="19" spans="1:26" ht="15.75" customHeight="1">
      <c r="A19" s="144"/>
      <c r="B19" s="142"/>
      <c r="C19" s="145"/>
      <c r="D19" s="145"/>
      <c r="E19" s="131"/>
      <c r="F19" s="131"/>
      <c r="G19" s="131"/>
      <c r="H19" s="131"/>
      <c r="I19" s="131"/>
      <c r="J19" s="131"/>
      <c r="K19" s="131"/>
      <c r="L19" s="131"/>
      <c r="M19" s="131"/>
      <c r="N19" s="131"/>
      <c r="O19" s="131"/>
      <c r="P19" s="131"/>
      <c r="Q19" s="131"/>
      <c r="R19" s="131"/>
      <c r="S19" s="131"/>
      <c r="T19" s="131"/>
      <c r="U19" s="131"/>
      <c r="V19" s="131"/>
      <c r="W19" s="131"/>
      <c r="X19" s="131"/>
      <c r="Y19" s="131"/>
      <c r="Z19" s="131"/>
    </row>
    <row r="20" spans="1:26" ht="18.75" customHeight="1">
      <c r="A20" s="820" t="s">
        <v>4422</v>
      </c>
      <c r="B20" s="725"/>
      <c r="C20" s="725"/>
      <c r="D20" s="725"/>
      <c r="E20" s="126"/>
      <c r="F20" s="126"/>
      <c r="G20" s="126"/>
      <c r="H20" s="126"/>
      <c r="I20" s="126"/>
      <c r="J20" s="126"/>
      <c r="K20" s="126"/>
      <c r="L20" s="126"/>
      <c r="M20" s="126"/>
      <c r="N20" s="126"/>
      <c r="O20" s="126"/>
      <c r="P20" s="126"/>
      <c r="Q20" s="126"/>
      <c r="R20" s="126"/>
      <c r="S20" s="126"/>
      <c r="T20" s="126"/>
      <c r="U20" s="126"/>
      <c r="V20" s="126"/>
      <c r="W20" s="126"/>
      <c r="X20" s="126"/>
      <c r="Y20" s="126"/>
      <c r="Z20" s="126"/>
    </row>
    <row r="21" spans="1:26" ht="15.75" customHeight="1">
      <c r="A21" s="725"/>
      <c r="B21" s="725"/>
      <c r="C21" s="725"/>
      <c r="D21" s="725"/>
      <c r="E21" s="126"/>
      <c r="F21" s="126"/>
      <c r="G21" s="126"/>
      <c r="H21" s="126"/>
      <c r="I21" s="126"/>
      <c r="J21" s="126"/>
      <c r="K21" s="126"/>
      <c r="L21" s="126"/>
      <c r="M21" s="126"/>
      <c r="N21" s="126"/>
      <c r="O21" s="126"/>
      <c r="P21" s="126"/>
      <c r="Q21" s="126"/>
      <c r="R21" s="126"/>
      <c r="S21" s="126"/>
      <c r="T21" s="126"/>
      <c r="U21" s="126"/>
      <c r="V21" s="126"/>
      <c r="W21" s="126"/>
      <c r="X21" s="126"/>
      <c r="Y21" s="126"/>
      <c r="Z21" s="126"/>
    </row>
    <row r="22" spans="1:26" ht="15.75" customHeight="1">
      <c r="A22" s="265"/>
      <c r="B22" s="265"/>
      <c r="C22" s="265"/>
      <c r="D22" s="265"/>
      <c r="E22" s="126"/>
      <c r="F22" s="126"/>
      <c r="G22" s="126"/>
      <c r="H22" s="126"/>
      <c r="I22" s="126"/>
      <c r="J22" s="126"/>
      <c r="K22" s="126"/>
      <c r="L22" s="126"/>
      <c r="M22" s="126"/>
      <c r="N22" s="126"/>
      <c r="O22" s="126"/>
      <c r="P22" s="126"/>
      <c r="Q22" s="126"/>
      <c r="R22" s="126"/>
      <c r="S22" s="126"/>
      <c r="T22" s="126"/>
      <c r="U22" s="126"/>
      <c r="V22" s="126"/>
      <c r="W22" s="126"/>
      <c r="X22" s="126"/>
      <c r="Y22" s="126"/>
      <c r="Z22" s="126"/>
    </row>
    <row r="23" spans="1:26" ht="15.75" customHeight="1">
      <c r="A23" s="178"/>
      <c r="B23" s="126"/>
      <c r="C23" s="176"/>
      <c r="D23" s="176"/>
      <c r="E23" s="126"/>
      <c r="F23" s="126"/>
      <c r="G23" s="126"/>
      <c r="H23" s="126"/>
      <c r="I23" s="126"/>
      <c r="J23" s="126"/>
      <c r="K23" s="126"/>
      <c r="L23" s="126"/>
      <c r="M23" s="126"/>
      <c r="N23" s="126"/>
      <c r="O23" s="126"/>
      <c r="P23" s="126"/>
      <c r="Q23" s="126"/>
      <c r="R23" s="126"/>
      <c r="S23" s="126"/>
      <c r="T23" s="126"/>
      <c r="U23" s="126"/>
      <c r="V23" s="126"/>
      <c r="W23" s="126"/>
      <c r="X23" s="126"/>
      <c r="Y23" s="126"/>
      <c r="Z23" s="126"/>
    </row>
    <row r="24" spans="1:26" ht="15.75" customHeight="1">
      <c r="A24" s="126"/>
      <c r="B24" s="786" t="str">
        <f>Validacion!A7</f>
        <v>Vero</v>
      </c>
      <c r="C24" s="551"/>
      <c r="D24" s="551"/>
      <c r="E24" s="126"/>
      <c r="F24" s="126"/>
      <c r="G24" s="126"/>
      <c r="H24" s="126"/>
      <c r="I24" s="126"/>
      <c r="J24" s="126"/>
      <c r="K24" s="126"/>
      <c r="L24" s="126"/>
      <c r="M24" s="126"/>
      <c r="N24" s="126"/>
      <c r="O24" s="126"/>
      <c r="P24" s="126"/>
      <c r="Q24" s="126"/>
      <c r="R24" s="126"/>
      <c r="S24" s="126"/>
      <c r="T24" s="126"/>
      <c r="U24" s="126"/>
      <c r="V24" s="126"/>
      <c r="W24" s="126"/>
      <c r="X24" s="126"/>
      <c r="Y24" s="126"/>
      <c r="Z24" s="126"/>
    </row>
    <row r="25" spans="1:26" ht="15.75" customHeight="1">
      <c r="A25" s="126"/>
      <c r="B25" s="725"/>
      <c r="C25" s="551"/>
      <c r="D25" s="551"/>
      <c r="E25" s="126"/>
      <c r="F25" s="126"/>
      <c r="G25" s="126"/>
      <c r="H25" s="126"/>
      <c r="I25" s="126"/>
      <c r="J25" s="126"/>
      <c r="K25" s="126"/>
      <c r="L25" s="126"/>
      <c r="M25" s="126"/>
      <c r="N25" s="126"/>
      <c r="O25" s="126"/>
      <c r="P25" s="126"/>
      <c r="Q25" s="126"/>
      <c r="R25" s="126"/>
      <c r="S25" s="126"/>
      <c r="T25" s="126"/>
      <c r="U25" s="126"/>
      <c r="V25" s="126"/>
      <c r="W25" s="126"/>
      <c r="X25" s="126"/>
      <c r="Y25" s="126"/>
      <c r="Z25" s="126"/>
    </row>
    <row r="26" spans="1:26" ht="15.75" customHeight="1">
      <c r="A26" s="126"/>
      <c r="B26" s="773" t="s">
        <v>4443</v>
      </c>
      <c r="C26" s="519"/>
      <c r="D26" s="519"/>
      <c r="E26" s="126"/>
      <c r="F26" s="126"/>
      <c r="G26" s="126"/>
      <c r="H26" s="126"/>
      <c r="I26" s="126"/>
      <c r="J26" s="126"/>
      <c r="K26" s="126"/>
      <c r="L26" s="126"/>
      <c r="M26" s="126"/>
      <c r="N26" s="126"/>
      <c r="O26" s="126"/>
      <c r="P26" s="126"/>
      <c r="Q26" s="126"/>
      <c r="R26" s="126"/>
      <c r="S26" s="126"/>
      <c r="T26" s="126"/>
      <c r="U26" s="126"/>
      <c r="V26" s="126"/>
      <c r="W26" s="126"/>
      <c r="X26" s="126"/>
      <c r="Y26" s="126"/>
      <c r="Z26" s="126"/>
    </row>
    <row r="27" spans="1:26" ht="15" customHeight="1">
      <c r="A27" s="126"/>
      <c r="B27" s="725"/>
      <c r="C27" s="519"/>
      <c r="D27" s="519"/>
      <c r="E27" s="126"/>
      <c r="F27" s="126"/>
      <c r="G27" s="126"/>
      <c r="H27" s="126"/>
      <c r="I27" s="126"/>
      <c r="J27" s="126"/>
      <c r="K27" s="126"/>
      <c r="L27" s="126"/>
      <c r="M27" s="126"/>
      <c r="N27" s="126"/>
      <c r="O27" s="126"/>
      <c r="P27" s="126"/>
      <c r="Q27" s="126"/>
      <c r="R27" s="126"/>
      <c r="S27" s="126"/>
      <c r="T27" s="126"/>
      <c r="U27" s="126"/>
      <c r="V27" s="126"/>
      <c r="W27" s="126"/>
      <c r="X27" s="126"/>
      <c r="Y27" s="126"/>
      <c r="Z27" s="126"/>
    </row>
    <row r="28" spans="1:26" ht="15" customHeight="1">
      <c r="A28" s="126"/>
      <c r="B28" s="126"/>
      <c r="C28" s="176"/>
      <c r="D28" s="181"/>
      <c r="E28" s="126"/>
      <c r="F28" s="126"/>
      <c r="G28" s="126"/>
      <c r="H28" s="126"/>
      <c r="I28" s="126"/>
      <c r="J28" s="126"/>
      <c r="K28" s="126"/>
      <c r="L28" s="126"/>
      <c r="M28" s="126"/>
      <c r="N28" s="126"/>
      <c r="O28" s="126"/>
      <c r="P28" s="126"/>
      <c r="Q28" s="126"/>
      <c r="R28" s="126"/>
      <c r="S28" s="126"/>
      <c r="T28" s="126"/>
      <c r="U28" s="126"/>
      <c r="V28" s="126"/>
      <c r="W28" s="126"/>
      <c r="X28" s="126"/>
      <c r="Y28" s="126"/>
      <c r="Z28" s="126"/>
    </row>
    <row r="29" spans="1:26" ht="15" customHeight="1">
      <c r="A29" s="126"/>
      <c r="B29" s="126"/>
      <c r="C29" s="176"/>
      <c r="D29" s="181"/>
      <c r="E29" s="126"/>
      <c r="F29" s="126"/>
      <c r="G29" s="126"/>
      <c r="H29" s="126"/>
      <c r="I29" s="126"/>
      <c r="J29" s="126"/>
      <c r="K29" s="126"/>
      <c r="L29" s="126"/>
      <c r="M29" s="126"/>
      <c r="N29" s="126"/>
      <c r="O29" s="126"/>
      <c r="P29" s="126"/>
      <c r="Q29" s="126"/>
      <c r="R29" s="126"/>
      <c r="S29" s="126"/>
      <c r="T29" s="126"/>
      <c r="U29" s="126"/>
      <c r="V29" s="126"/>
      <c r="W29" s="126"/>
      <c r="X29" s="126"/>
      <c r="Y29" s="126"/>
      <c r="Z29" s="126"/>
    </row>
    <row r="30" spans="1:26" ht="15.75" customHeight="1">
      <c r="A30" s="126"/>
      <c r="B30" s="786" t="str">
        <f>Validacion!A9</f>
        <v>Irlanda</v>
      </c>
      <c r="C30" s="551"/>
      <c r="D30" s="551"/>
      <c r="E30" s="126"/>
      <c r="F30" s="126"/>
      <c r="G30" s="126"/>
      <c r="H30" s="126"/>
      <c r="I30" s="126"/>
      <c r="J30" s="126"/>
      <c r="K30" s="126"/>
      <c r="L30" s="126"/>
      <c r="M30" s="126"/>
      <c r="N30" s="126"/>
      <c r="O30" s="126"/>
      <c r="P30" s="126"/>
      <c r="Q30" s="126"/>
      <c r="R30" s="126"/>
      <c r="S30" s="126"/>
      <c r="T30" s="126"/>
      <c r="U30" s="126"/>
      <c r="V30" s="126"/>
      <c r="W30" s="126"/>
      <c r="X30" s="126"/>
      <c r="Y30" s="126"/>
      <c r="Z30" s="126"/>
    </row>
    <row r="31" spans="1:26" ht="15.75" customHeight="1">
      <c r="A31" s="126"/>
      <c r="B31" s="725"/>
      <c r="C31" s="551"/>
      <c r="D31" s="551"/>
      <c r="E31" s="126"/>
      <c r="F31" s="126"/>
      <c r="G31" s="126"/>
      <c r="H31" s="126"/>
      <c r="I31" s="126"/>
      <c r="J31" s="126"/>
      <c r="K31" s="126"/>
      <c r="L31" s="126"/>
      <c r="M31" s="126"/>
      <c r="N31" s="126"/>
      <c r="O31" s="126"/>
      <c r="P31" s="126"/>
      <c r="Q31" s="126"/>
      <c r="R31" s="126"/>
      <c r="S31" s="126"/>
      <c r="T31" s="126"/>
      <c r="U31" s="126"/>
      <c r="V31" s="126"/>
      <c r="W31" s="126"/>
      <c r="X31" s="126"/>
      <c r="Y31" s="126"/>
      <c r="Z31" s="126"/>
    </row>
    <row r="32" spans="1:26" ht="15.75" customHeight="1">
      <c r="A32" s="126"/>
      <c r="B32" s="816" t="s">
        <v>4444</v>
      </c>
      <c r="C32" s="552"/>
      <c r="D32" s="552"/>
      <c r="E32" s="126"/>
      <c r="F32" s="126"/>
      <c r="G32" s="126"/>
      <c r="H32" s="126"/>
      <c r="I32" s="126"/>
      <c r="J32" s="126"/>
      <c r="K32" s="126"/>
      <c r="L32" s="126"/>
      <c r="M32" s="126"/>
      <c r="N32" s="126"/>
      <c r="O32" s="126"/>
      <c r="P32" s="126"/>
      <c r="Q32" s="126"/>
      <c r="R32" s="126"/>
      <c r="S32" s="126"/>
      <c r="T32" s="126"/>
      <c r="U32" s="126"/>
      <c r="V32" s="126"/>
      <c r="W32" s="126"/>
      <c r="X32" s="126"/>
      <c r="Y32" s="126"/>
      <c r="Z32" s="126"/>
    </row>
    <row r="33" spans="1:26" ht="15.75" customHeight="1">
      <c r="A33" s="126"/>
      <c r="B33" s="725"/>
      <c r="C33" s="552"/>
      <c r="D33" s="552"/>
      <c r="E33" s="126"/>
      <c r="F33" s="126"/>
      <c r="G33" s="126"/>
      <c r="H33" s="126"/>
      <c r="I33" s="126"/>
      <c r="J33" s="126"/>
      <c r="K33" s="126"/>
      <c r="L33" s="126"/>
      <c r="M33" s="126"/>
      <c r="N33" s="126"/>
      <c r="O33" s="126"/>
      <c r="P33" s="126"/>
      <c r="Q33" s="126"/>
      <c r="R33" s="126"/>
      <c r="S33" s="126"/>
      <c r="T33" s="126"/>
      <c r="U33" s="126"/>
      <c r="V33" s="126"/>
      <c r="W33" s="126"/>
      <c r="X33" s="126"/>
      <c r="Y33" s="126"/>
      <c r="Z33" s="126"/>
    </row>
    <row r="34" spans="1:26" ht="15.75" customHeight="1">
      <c r="A34" s="126"/>
      <c r="B34" s="126"/>
      <c r="C34" s="176"/>
      <c r="D34" s="176"/>
      <c r="E34" s="126"/>
      <c r="F34" s="126"/>
      <c r="G34" s="126"/>
      <c r="H34" s="126"/>
      <c r="I34" s="126"/>
      <c r="J34" s="126"/>
      <c r="K34" s="126"/>
      <c r="L34" s="126"/>
      <c r="M34" s="126"/>
      <c r="N34" s="126"/>
      <c r="O34" s="126"/>
      <c r="P34" s="126"/>
      <c r="Q34" s="126"/>
      <c r="R34" s="126"/>
      <c r="S34" s="126"/>
      <c r="T34" s="126"/>
      <c r="U34" s="126"/>
      <c r="V34" s="126"/>
      <c r="W34" s="126"/>
      <c r="X34" s="126"/>
      <c r="Y34" s="126"/>
      <c r="Z34" s="126"/>
    </row>
    <row r="35" spans="1:26" ht="15.75" customHeight="1">
      <c r="A35" s="126"/>
      <c r="B35" s="126"/>
      <c r="C35" s="176"/>
      <c r="D35" s="176"/>
      <c r="E35" s="126"/>
      <c r="F35" s="126"/>
      <c r="G35" s="126"/>
      <c r="H35" s="126"/>
      <c r="I35" s="126"/>
      <c r="J35" s="126"/>
      <c r="K35" s="126"/>
      <c r="L35" s="126"/>
      <c r="M35" s="126"/>
      <c r="N35" s="126"/>
      <c r="O35" s="126"/>
      <c r="P35" s="126"/>
      <c r="Q35" s="126"/>
      <c r="R35" s="126"/>
      <c r="S35" s="126"/>
      <c r="T35" s="126"/>
      <c r="U35" s="126"/>
      <c r="V35" s="126"/>
      <c r="W35" s="126"/>
      <c r="X35" s="126"/>
      <c r="Y35" s="126"/>
      <c r="Z35" s="126"/>
    </row>
    <row r="36" spans="1:26" ht="15.75" customHeight="1">
      <c r="A36" s="126"/>
      <c r="B36" s="126"/>
      <c r="C36" s="176"/>
      <c r="D36" s="176"/>
      <c r="E36" s="126"/>
      <c r="F36" s="126"/>
      <c r="G36" s="126"/>
      <c r="H36" s="126"/>
      <c r="I36" s="126"/>
      <c r="J36" s="126"/>
      <c r="K36" s="126"/>
      <c r="L36" s="126"/>
      <c r="M36" s="126"/>
      <c r="N36" s="126"/>
      <c r="O36" s="126"/>
      <c r="P36" s="126"/>
      <c r="Q36" s="126"/>
      <c r="R36" s="126"/>
      <c r="S36" s="126"/>
      <c r="T36" s="126"/>
      <c r="U36" s="126"/>
      <c r="V36" s="126"/>
      <c r="W36" s="126"/>
      <c r="X36" s="126"/>
      <c r="Y36" s="126"/>
      <c r="Z36" s="126"/>
    </row>
    <row r="37" spans="1:26" ht="15.75" customHeight="1">
      <c r="A37" s="126"/>
      <c r="B37" s="126"/>
      <c r="C37" s="176"/>
      <c r="D37" s="176"/>
      <c r="E37" s="126"/>
      <c r="F37" s="126"/>
      <c r="G37" s="126"/>
      <c r="H37" s="126"/>
      <c r="I37" s="126"/>
      <c r="J37" s="126"/>
      <c r="K37" s="126"/>
      <c r="L37" s="126"/>
      <c r="M37" s="126"/>
      <c r="N37" s="126"/>
      <c r="O37" s="126"/>
      <c r="P37" s="126"/>
      <c r="Q37" s="126"/>
      <c r="R37" s="126"/>
      <c r="S37" s="126"/>
      <c r="T37" s="126"/>
      <c r="U37" s="126"/>
      <c r="V37" s="126"/>
      <c r="W37" s="126"/>
      <c r="X37" s="126"/>
      <c r="Y37" s="126"/>
      <c r="Z37" s="126"/>
    </row>
    <row r="38" spans="1:26" ht="15.75" customHeight="1">
      <c r="A38" s="126"/>
      <c r="B38" s="126"/>
      <c r="C38" s="176"/>
      <c r="D38" s="176"/>
      <c r="E38" s="126"/>
      <c r="F38" s="126"/>
      <c r="G38" s="126"/>
      <c r="H38" s="126"/>
      <c r="I38" s="126"/>
      <c r="J38" s="126"/>
      <c r="K38" s="126"/>
      <c r="L38" s="126"/>
      <c r="M38" s="126"/>
      <c r="N38" s="126"/>
      <c r="O38" s="126"/>
      <c r="P38" s="126"/>
      <c r="Q38" s="126"/>
      <c r="R38" s="126"/>
      <c r="S38" s="126"/>
      <c r="T38" s="126"/>
      <c r="U38" s="126"/>
      <c r="V38" s="126"/>
      <c r="W38" s="126"/>
      <c r="X38" s="126"/>
      <c r="Y38" s="126"/>
      <c r="Z38" s="126"/>
    </row>
    <row r="39" spans="1:26" ht="15.75" customHeight="1">
      <c r="A39" s="126"/>
      <c r="B39" s="126"/>
      <c r="C39" s="176"/>
      <c r="D39" s="176"/>
      <c r="E39" s="126"/>
      <c r="F39" s="126"/>
      <c r="G39" s="126"/>
      <c r="H39" s="126"/>
      <c r="I39" s="126"/>
      <c r="J39" s="126"/>
      <c r="K39" s="126"/>
      <c r="L39" s="126"/>
      <c r="M39" s="126"/>
      <c r="N39" s="126"/>
      <c r="O39" s="126"/>
      <c r="P39" s="126"/>
      <c r="Q39" s="126"/>
      <c r="R39" s="126"/>
      <c r="S39" s="126"/>
      <c r="T39" s="126"/>
      <c r="U39" s="126"/>
      <c r="V39" s="126"/>
      <c r="W39" s="126"/>
      <c r="X39" s="126"/>
      <c r="Y39" s="126"/>
      <c r="Z39" s="126"/>
    </row>
    <row r="40" spans="1:26" ht="15.75" customHeight="1">
      <c r="A40" s="126"/>
      <c r="B40" s="126"/>
      <c r="C40" s="176"/>
      <c r="D40" s="176"/>
      <c r="E40" s="126"/>
      <c r="F40" s="126"/>
      <c r="G40" s="126"/>
      <c r="H40" s="126"/>
      <c r="I40" s="126"/>
      <c r="J40" s="126"/>
      <c r="K40" s="126"/>
      <c r="L40" s="126"/>
      <c r="M40" s="126"/>
      <c r="N40" s="126"/>
      <c r="O40" s="126"/>
      <c r="P40" s="126"/>
      <c r="Q40" s="126"/>
      <c r="R40" s="126"/>
      <c r="S40" s="126"/>
      <c r="T40" s="126"/>
      <c r="U40" s="126"/>
      <c r="V40" s="126"/>
      <c r="W40" s="126"/>
      <c r="X40" s="126"/>
      <c r="Y40" s="126"/>
      <c r="Z40" s="126"/>
    </row>
    <row r="41" spans="1:26" ht="15.75" customHeight="1">
      <c r="A41" s="126"/>
      <c r="B41" s="126"/>
      <c r="C41" s="176"/>
      <c r="D41" s="176"/>
      <c r="E41" s="126"/>
      <c r="F41" s="126"/>
      <c r="G41" s="126"/>
      <c r="H41" s="126"/>
      <c r="I41" s="126"/>
      <c r="J41" s="126"/>
      <c r="K41" s="126"/>
      <c r="L41" s="126"/>
      <c r="M41" s="126"/>
      <c r="N41" s="126"/>
      <c r="O41" s="126"/>
      <c r="P41" s="126"/>
      <c r="Q41" s="126"/>
      <c r="R41" s="126"/>
      <c r="S41" s="126"/>
      <c r="T41" s="126"/>
      <c r="U41" s="126"/>
      <c r="V41" s="126"/>
      <c r="W41" s="126"/>
      <c r="X41" s="126"/>
      <c r="Y41" s="126"/>
      <c r="Z41" s="126"/>
    </row>
    <row r="42" spans="1:26" ht="15.75" customHeight="1">
      <c r="A42" s="126"/>
      <c r="B42" s="126"/>
      <c r="C42" s="176"/>
      <c r="D42" s="176"/>
      <c r="E42" s="126"/>
      <c r="F42" s="126"/>
      <c r="G42" s="126"/>
      <c r="H42" s="126"/>
      <c r="I42" s="126"/>
      <c r="J42" s="126"/>
      <c r="K42" s="126"/>
      <c r="L42" s="126"/>
      <c r="M42" s="126"/>
      <c r="N42" s="126"/>
      <c r="O42" s="126"/>
      <c r="P42" s="126"/>
      <c r="Q42" s="126"/>
      <c r="R42" s="126"/>
      <c r="S42" s="126"/>
      <c r="T42" s="126"/>
      <c r="U42" s="126"/>
      <c r="V42" s="126"/>
      <c r="W42" s="126"/>
      <c r="X42" s="126"/>
      <c r="Y42" s="126"/>
      <c r="Z42" s="126"/>
    </row>
    <row r="43" spans="1:26" ht="15.75" customHeight="1">
      <c r="A43" s="126"/>
      <c r="B43" s="126"/>
      <c r="C43" s="176"/>
      <c r="D43" s="176"/>
      <c r="E43" s="126"/>
      <c r="F43" s="126"/>
      <c r="G43" s="126"/>
      <c r="H43" s="126"/>
      <c r="I43" s="126"/>
      <c r="J43" s="126"/>
      <c r="K43" s="126"/>
      <c r="L43" s="126"/>
      <c r="M43" s="126"/>
      <c r="N43" s="126"/>
      <c r="O43" s="126"/>
      <c r="P43" s="126"/>
      <c r="Q43" s="126"/>
      <c r="R43" s="126"/>
      <c r="S43" s="126"/>
      <c r="T43" s="126"/>
      <c r="U43" s="126"/>
      <c r="V43" s="126"/>
      <c r="W43" s="126"/>
      <c r="X43" s="126"/>
      <c r="Y43" s="126"/>
      <c r="Z43" s="126"/>
    </row>
    <row r="44" spans="1:26" ht="15.75" hidden="1" customHeight="1">
      <c r="A44" s="126"/>
      <c r="B44" s="126"/>
      <c r="C44" s="176"/>
      <c r="D44" s="176"/>
      <c r="E44" s="126"/>
      <c r="F44" s="126"/>
      <c r="G44" s="126"/>
      <c r="H44" s="126"/>
      <c r="I44" s="126"/>
      <c r="J44" s="126"/>
      <c r="K44" s="126"/>
      <c r="L44" s="126"/>
      <c r="M44" s="126"/>
      <c r="N44" s="126"/>
      <c r="O44" s="126"/>
      <c r="P44" s="126"/>
      <c r="Q44" s="126"/>
      <c r="R44" s="126"/>
      <c r="S44" s="126"/>
      <c r="T44" s="126"/>
      <c r="U44" s="126"/>
      <c r="V44" s="126"/>
      <c r="W44" s="126"/>
      <c r="X44" s="126"/>
      <c r="Y44" s="126"/>
      <c r="Z44" s="126"/>
    </row>
    <row r="45" spans="1:26" ht="15.75" hidden="1" customHeight="1">
      <c r="A45" s="126"/>
      <c r="B45" s="126"/>
      <c r="C45" s="176"/>
      <c r="D45" s="176"/>
      <c r="E45" s="126"/>
      <c r="F45" s="126"/>
      <c r="G45" s="126"/>
      <c r="H45" s="126"/>
      <c r="I45" s="126"/>
      <c r="J45" s="126"/>
      <c r="K45" s="126"/>
      <c r="L45" s="126"/>
      <c r="M45" s="126"/>
      <c r="N45" s="126"/>
      <c r="O45" s="126"/>
      <c r="P45" s="126"/>
      <c r="Q45" s="126"/>
      <c r="R45" s="126"/>
      <c r="S45" s="126"/>
      <c r="T45" s="126"/>
      <c r="U45" s="126"/>
      <c r="V45" s="126"/>
      <c r="W45" s="126"/>
      <c r="X45" s="126"/>
      <c r="Y45" s="126"/>
      <c r="Z45" s="126"/>
    </row>
    <row r="46" spans="1:26" ht="15.75" hidden="1" customHeight="1">
      <c r="A46" s="126"/>
      <c r="B46" s="126"/>
      <c r="C46" s="176"/>
      <c r="D46" s="176"/>
      <c r="E46" s="126"/>
      <c r="F46" s="126"/>
      <c r="G46" s="126"/>
      <c r="H46" s="126"/>
      <c r="I46" s="126"/>
      <c r="J46" s="126"/>
      <c r="K46" s="126"/>
      <c r="L46" s="126"/>
      <c r="M46" s="126"/>
      <c r="N46" s="126"/>
      <c r="O46" s="126"/>
      <c r="P46" s="126"/>
      <c r="Q46" s="126"/>
      <c r="R46" s="126"/>
      <c r="S46" s="126"/>
      <c r="T46" s="126"/>
      <c r="U46" s="126"/>
      <c r="V46" s="126"/>
      <c r="W46" s="126"/>
      <c r="X46" s="126"/>
      <c r="Y46" s="126"/>
      <c r="Z46" s="126"/>
    </row>
    <row r="47" spans="1:26" ht="15.75" hidden="1" customHeight="1">
      <c r="A47" s="126"/>
      <c r="B47" s="126"/>
      <c r="C47" s="176"/>
      <c r="D47" s="176"/>
      <c r="E47" s="126"/>
      <c r="F47" s="126"/>
      <c r="G47" s="126"/>
      <c r="H47" s="126"/>
      <c r="I47" s="126"/>
      <c r="J47" s="126"/>
      <c r="K47" s="126"/>
      <c r="L47" s="126"/>
      <c r="M47" s="126"/>
      <c r="N47" s="126"/>
      <c r="O47" s="126"/>
      <c r="P47" s="126"/>
      <c r="Q47" s="126"/>
      <c r="R47" s="126"/>
      <c r="S47" s="126"/>
      <c r="T47" s="126"/>
      <c r="U47" s="126"/>
      <c r="V47" s="126"/>
      <c r="W47" s="126"/>
      <c r="X47" s="126"/>
      <c r="Y47" s="126"/>
      <c r="Z47" s="126"/>
    </row>
    <row r="48" spans="1:26" ht="15.75" hidden="1" customHeight="1">
      <c r="A48" s="126"/>
      <c r="B48" s="126"/>
      <c r="C48" s="176"/>
      <c r="D48" s="176"/>
      <c r="E48" s="126"/>
      <c r="F48" s="126"/>
      <c r="G48" s="126"/>
      <c r="H48" s="126"/>
      <c r="I48" s="126"/>
      <c r="J48" s="126"/>
      <c r="K48" s="126"/>
      <c r="L48" s="126"/>
      <c r="M48" s="126"/>
      <c r="N48" s="126"/>
      <c r="O48" s="126"/>
      <c r="P48" s="126"/>
      <c r="Q48" s="126"/>
      <c r="R48" s="126"/>
      <c r="S48" s="126"/>
      <c r="T48" s="126"/>
      <c r="U48" s="126"/>
      <c r="V48" s="126"/>
      <c r="W48" s="126"/>
      <c r="X48" s="126"/>
      <c r="Y48" s="126"/>
      <c r="Z48" s="126"/>
    </row>
    <row r="49" spans="1:26" ht="15.75" hidden="1" customHeight="1">
      <c r="A49" s="126"/>
      <c r="B49" s="126"/>
      <c r="C49" s="176"/>
      <c r="D49" s="176"/>
      <c r="E49" s="126"/>
      <c r="F49" s="126"/>
      <c r="G49" s="126"/>
      <c r="H49" s="126"/>
      <c r="I49" s="126"/>
      <c r="J49" s="126"/>
      <c r="K49" s="126"/>
      <c r="L49" s="126"/>
      <c r="M49" s="126"/>
      <c r="N49" s="126"/>
      <c r="O49" s="126"/>
      <c r="P49" s="126"/>
      <c r="Q49" s="126"/>
      <c r="R49" s="126"/>
      <c r="S49" s="126"/>
      <c r="T49" s="126"/>
      <c r="U49" s="126"/>
      <c r="V49" s="126"/>
      <c r="W49" s="126"/>
      <c r="X49" s="126"/>
      <c r="Y49" s="126"/>
      <c r="Z49" s="126"/>
    </row>
    <row r="50" spans="1:26" ht="15.75" hidden="1" customHeight="1">
      <c r="A50" s="126"/>
      <c r="B50" s="126"/>
      <c r="C50" s="176"/>
      <c r="D50" s="176"/>
      <c r="E50" s="126"/>
      <c r="F50" s="126"/>
      <c r="G50" s="126"/>
      <c r="H50" s="126"/>
      <c r="I50" s="126"/>
      <c r="J50" s="126"/>
      <c r="K50" s="126"/>
      <c r="L50" s="126"/>
      <c r="M50" s="126"/>
      <c r="N50" s="126"/>
      <c r="O50" s="126"/>
      <c r="P50" s="126"/>
      <c r="Q50" s="126"/>
      <c r="R50" s="126"/>
      <c r="S50" s="126"/>
      <c r="T50" s="126"/>
      <c r="U50" s="126"/>
      <c r="V50" s="126"/>
      <c r="W50" s="126"/>
      <c r="X50" s="126"/>
      <c r="Y50" s="126"/>
      <c r="Z50" s="126"/>
    </row>
    <row r="51" spans="1:26" ht="15.75" hidden="1" customHeight="1">
      <c r="A51" s="126"/>
      <c r="B51" s="126"/>
      <c r="C51" s="176"/>
      <c r="D51" s="176"/>
      <c r="E51" s="126"/>
      <c r="F51" s="126"/>
      <c r="G51" s="126"/>
      <c r="H51" s="126"/>
      <c r="I51" s="126"/>
      <c r="J51" s="126"/>
      <c r="K51" s="126"/>
      <c r="L51" s="126"/>
      <c r="M51" s="126"/>
      <c r="N51" s="126"/>
      <c r="O51" s="126"/>
      <c r="P51" s="126"/>
      <c r="Q51" s="126"/>
      <c r="R51" s="126"/>
      <c r="S51" s="126"/>
      <c r="T51" s="126"/>
      <c r="U51" s="126"/>
      <c r="V51" s="126"/>
      <c r="W51" s="126"/>
      <c r="X51" s="126"/>
      <c r="Y51" s="126"/>
      <c r="Z51" s="126"/>
    </row>
    <row r="52" spans="1:26" ht="15.75" hidden="1" customHeight="1">
      <c r="A52" s="126"/>
      <c r="B52" s="126"/>
      <c r="C52" s="176"/>
      <c r="D52" s="176"/>
      <c r="E52" s="126"/>
      <c r="F52" s="126"/>
      <c r="G52" s="126"/>
      <c r="H52" s="126"/>
      <c r="I52" s="126"/>
      <c r="J52" s="126"/>
      <c r="K52" s="126"/>
      <c r="L52" s="126"/>
      <c r="M52" s="126"/>
      <c r="N52" s="126"/>
      <c r="O52" s="126"/>
      <c r="P52" s="126"/>
      <c r="Q52" s="126"/>
      <c r="R52" s="126"/>
      <c r="S52" s="126"/>
      <c r="T52" s="126"/>
      <c r="U52" s="126"/>
      <c r="V52" s="126"/>
      <c r="W52" s="126"/>
      <c r="X52" s="126"/>
      <c r="Y52" s="126"/>
      <c r="Z52" s="126"/>
    </row>
    <row r="53" spans="1:26" ht="15.75" hidden="1" customHeight="1">
      <c r="A53" s="126"/>
      <c r="B53" s="126"/>
      <c r="C53" s="176"/>
      <c r="D53" s="176"/>
      <c r="E53" s="126"/>
      <c r="F53" s="126"/>
      <c r="G53" s="126"/>
      <c r="H53" s="126"/>
      <c r="I53" s="126"/>
      <c r="J53" s="126"/>
      <c r="K53" s="126"/>
      <c r="L53" s="126"/>
      <c r="M53" s="126"/>
      <c r="N53" s="126"/>
      <c r="O53" s="126"/>
      <c r="P53" s="126"/>
      <c r="Q53" s="126"/>
      <c r="R53" s="126"/>
      <c r="S53" s="126"/>
      <c r="T53" s="126"/>
      <c r="U53" s="126"/>
      <c r="V53" s="126"/>
      <c r="W53" s="126"/>
      <c r="X53" s="126"/>
      <c r="Y53" s="126"/>
      <c r="Z53" s="126"/>
    </row>
    <row r="54" spans="1:26" ht="15.75" hidden="1" customHeight="1">
      <c r="A54" s="126"/>
      <c r="B54" s="126"/>
      <c r="C54" s="176"/>
      <c r="D54" s="176"/>
      <c r="E54" s="126"/>
      <c r="F54" s="126"/>
      <c r="G54" s="126"/>
      <c r="H54" s="126"/>
      <c r="I54" s="126"/>
      <c r="J54" s="126"/>
      <c r="K54" s="126"/>
      <c r="L54" s="126"/>
      <c r="M54" s="126"/>
      <c r="N54" s="126"/>
      <c r="O54" s="126"/>
      <c r="P54" s="126"/>
      <c r="Q54" s="126"/>
      <c r="R54" s="126"/>
      <c r="S54" s="126"/>
      <c r="T54" s="126"/>
      <c r="U54" s="126"/>
      <c r="V54" s="126"/>
      <c r="W54" s="126"/>
      <c r="X54" s="126"/>
      <c r="Y54" s="126"/>
      <c r="Z54" s="126"/>
    </row>
    <row r="55" spans="1:26" ht="15.75" hidden="1" customHeight="1">
      <c r="A55" s="126"/>
      <c r="B55" s="126"/>
      <c r="C55" s="176"/>
      <c r="D55" s="176"/>
      <c r="E55" s="126"/>
      <c r="F55" s="126"/>
      <c r="G55" s="126"/>
      <c r="H55" s="126"/>
      <c r="I55" s="126"/>
      <c r="J55" s="126"/>
      <c r="K55" s="126"/>
      <c r="L55" s="126"/>
      <c r="M55" s="126"/>
      <c r="N55" s="126"/>
      <c r="O55" s="126"/>
      <c r="P55" s="126"/>
      <c r="Q55" s="126"/>
      <c r="R55" s="126"/>
      <c r="S55" s="126"/>
      <c r="T55" s="126"/>
      <c r="U55" s="126"/>
      <c r="V55" s="126"/>
      <c r="W55" s="126"/>
      <c r="X55" s="126"/>
      <c r="Y55" s="126"/>
      <c r="Z55" s="126"/>
    </row>
    <row r="56" spans="1:26" ht="15.75" hidden="1" customHeight="1">
      <c r="A56" s="126"/>
      <c r="B56" s="126"/>
      <c r="C56" s="176"/>
      <c r="D56" s="176"/>
      <c r="E56" s="126"/>
      <c r="F56" s="126"/>
      <c r="G56" s="126"/>
      <c r="H56" s="126"/>
      <c r="I56" s="126"/>
      <c r="J56" s="126"/>
      <c r="K56" s="126"/>
      <c r="L56" s="126"/>
      <c r="M56" s="126"/>
      <c r="N56" s="126"/>
      <c r="O56" s="126"/>
      <c r="P56" s="126"/>
      <c r="Q56" s="126"/>
      <c r="R56" s="126"/>
      <c r="S56" s="126"/>
      <c r="T56" s="126"/>
      <c r="U56" s="126"/>
      <c r="V56" s="126"/>
      <c r="W56" s="126"/>
      <c r="X56" s="126"/>
      <c r="Y56" s="126"/>
      <c r="Z56" s="126"/>
    </row>
    <row r="57" spans="1:26" ht="15.75" hidden="1" customHeight="1">
      <c r="A57" s="126"/>
      <c r="B57" s="126"/>
      <c r="C57" s="176"/>
      <c r="D57" s="176"/>
      <c r="E57" s="126"/>
      <c r="F57" s="126"/>
      <c r="G57" s="126"/>
      <c r="H57" s="126"/>
      <c r="I57" s="126"/>
      <c r="J57" s="126"/>
      <c r="K57" s="126"/>
      <c r="L57" s="126"/>
      <c r="M57" s="126"/>
      <c r="N57" s="126"/>
      <c r="O57" s="126"/>
      <c r="P57" s="126"/>
      <c r="Q57" s="126"/>
      <c r="R57" s="126"/>
      <c r="S57" s="126"/>
      <c r="T57" s="126"/>
      <c r="U57" s="126"/>
      <c r="V57" s="126"/>
      <c r="W57" s="126"/>
      <c r="X57" s="126"/>
      <c r="Y57" s="126"/>
      <c r="Z57" s="126"/>
    </row>
    <row r="58" spans="1:26" ht="15.75" hidden="1" customHeight="1">
      <c r="A58" s="126"/>
      <c r="B58" s="126"/>
      <c r="C58" s="176"/>
      <c r="D58" s="176"/>
      <c r="E58" s="126"/>
      <c r="F58" s="126"/>
      <c r="G58" s="126"/>
      <c r="H58" s="126"/>
      <c r="I58" s="126"/>
      <c r="J58" s="126"/>
      <c r="K58" s="126"/>
      <c r="L58" s="126"/>
      <c r="M58" s="126"/>
      <c r="N58" s="126"/>
      <c r="O58" s="126"/>
      <c r="P58" s="126"/>
      <c r="Q58" s="126"/>
      <c r="R58" s="126"/>
      <c r="S58" s="126"/>
      <c r="T58" s="126"/>
      <c r="U58" s="126"/>
      <c r="V58" s="126"/>
      <c r="W58" s="126"/>
      <c r="X58" s="126"/>
      <c r="Y58" s="126"/>
      <c r="Z58" s="126"/>
    </row>
    <row r="59" spans="1:26" ht="15.75" hidden="1" customHeight="1">
      <c r="A59" s="126"/>
      <c r="B59" s="126"/>
      <c r="C59" s="176"/>
      <c r="D59" s="176"/>
      <c r="E59" s="126"/>
      <c r="F59" s="126"/>
      <c r="G59" s="126"/>
      <c r="H59" s="126"/>
      <c r="I59" s="126"/>
      <c r="J59" s="126"/>
      <c r="K59" s="126"/>
      <c r="L59" s="126"/>
      <c r="M59" s="126"/>
      <c r="N59" s="126"/>
      <c r="O59" s="126"/>
      <c r="P59" s="126"/>
      <c r="Q59" s="126"/>
      <c r="R59" s="126"/>
      <c r="S59" s="126"/>
      <c r="T59" s="126"/>
      <c r="U59" s="126"/>
      <c r="V59" s="126"/>
      <c r="W59" s="126"/>
      <c r="X59" s="126"/>
      <c r="Y59" s="126"/>
      <c r="Z59" s="126"/>
    </row>
    <row r="60" spans="1:26" ht="15.75" hidden="1" customHeight="1">
      <c r="A60" s="126"/>
      <c r="B60" s="126"/>
      <c r="C60" s="176"/>
      <c r="D60" s="176"/>
      <c r="E60" s="126"/>
      <c r="F60" s="126"/>
      <c r="G60" s="126"/>
      <c r="H60" s="126"/>
      <c r="I60" s="126"/>
      <c r="J60" s="126"/>
      <c r="K60" s="126"/>
      <c r="L60" s="126"/>
      <c r="M60" s="126"/>
      <c r="N60" s="126"/>
      <c r="O60" s="126"/>
      <c r="P60" s="126"/>
      <c r="Q60" s="126"/>
      <c r="R60" s="126"/>
      <c r="S60" s="126"/>
      <c r="T60" s="126"/>
      <c r="U60" s="126"/>
      <c r="V60" s="126"/>
      <c r="W60" s="126"/>
      <c r="X60" s="126"/>
      <c r="Y60" s="126"/>
      <c r="Z60" s="126"/>
    </row>
    <row r="61" spans="1:26" ht="15.75" hidden="1" customHeight="1">
      <c r="A61" s="126"/>
      <c r="B61" s="126"/>
      <c r="C61" s="176"/>
      <c r="D61" s="176"/>
      <c r="E61" s="126"/>
      <c r="F61" s="126"/>
      <c r="G61" s="126"/>
      <c r="H61" s="126"/>
      <c r="I61" s="126"/>
      <c r="J61" s="126"/>
      <c r="K61" s="126"/>
      <c r="L61" s="126"/>
      <c r="M61" s="126"/>
      <c r="N61" s="126"/>
      <c r="O61" s="126"/>
      <c r="P61" s="126"/>
      <c r="Q61" s="126"/>
      <c r="R61" s="126"/>
      <c r="S61" s="126"/>
      <c r="T61" s="126"/>
      <c r="U61" s="126"/>
      <c r="V61" s="126"/>
      <c r="W61" s="126"/>
      <c r="X61" s="126"/>
      <c r="Y61" s="126"/>
      <c r="Z61" s="126"/>
    </row>
    <row r="62" spans="1:26" ht="15.75" hidden="1" customHeight="1">
      <c r="A62" s="126"/>
      <c r="B62" s="126"/>
      <c r="C62" s="176"/>
      <c r="D62" s="176"/>
      <c r="E62" s="126"/>
      <c r="F62" s="126"/>
      <c r="G62" s="126"/>
      <c r="H62" s="126"/>
      <c r="I62" s="126"/>
      <c r="J62" s="126"/>
      <c r="K62" s="126"/>
      <c r="L62" s="126"/>
      <c r="M62" s="126"/>
      <c r="N62" s="126"/>
      <c r="O62" s="126"/>
      <c r="P62" s="126"/>
      <c r="Q62" s="126"/>
      <c r="R62" s="126"/>
      <c r="S62" s="126"/>
      <c r="T62" s="126"/>
      <c r="U62" s="126"/>
      <c r="V62" s="126"/>
      <c r="W62" s="126"/>
      <c r="X62" s="126"/>
      <c r="Y62" s="126"/>
      <c r="Z62" s="126"/>
    </row>
    <row r="63" spans="1:26" ht="15.75" hidden="1" customHeight="1">
      <c r="A63" s="126"/>
      <c r="B63" s="126"/>
      <c r="C63" s="176"/>
      <c r="D63" s="176"/>
      <c r="E63" s="126"/>
      <c r="F63" s="126"/>
      <c r="G63" s="126"/>
      <c r="H63" s="126"/>
      <c r="I63" s="126"/>
      <c r="J63" s="126"/>
      <c r="K63" s="126"/>
      <c r="L63" s="126"/>
      <c r="M63" s="126"/>
      <c r="N63" s="126"/>
      <c r="O63" s="126"/>
      <c r="P63" s="126"/>
      <c r="Q63" s="126"/>
      <c r="R63" s="126"/>
      <c r="S63" s="126"/>
      <c r="T63" s="126"/>
      <c r="U63" s="126"/>
      <c r="V63" s="126"/>
      <c r="W63" s="126"/>
      <c r="X63" s="126"/>
      <c r="Y63" s="126"/>
      <c r="Z63" s="126"/>
    </row>
    <row r="64" spans="1:26" ht="15.75" hidden="1" customHeight="1">
      <c r="A64" s="126"/>
      <c r="B64" s="126"/>
      <c r="C64" s="176"/>
      <c r="D64" s="176"/>
      <c r="E64" s="126"/>
      <c r="F64" s="126"/>
      <c r="G64" s="126"/>
      <c r="H64" s="126"/>
      <c r="I64" s="126"/>
      <c r="J64" s="126"/>
      <c r="K64" s="126"/>
      <c r="L64" s="126"/>
      <c r="M64" s="126"/>
      <c r="N64" s="126"/>
      <c r="O64" s="126"/>
      <c r="P64" s="126"/>
      <c r="Q64" s="126"/>
      <c r="R64" s="126"/>
      <c r="S64" s="126"/>
      <c r="T64" s="126"/>
      <c r="U64" s="126"/>
      <c r="V64" s="126"/>
      <c r="W64" s="126"/>
      <c r="X64" s="126"/>
      <c r="Y64" s="126"/>
      <c r="Z64" s="126"/>
    </row>
    <row r="65" spans="1:26" ht="15.75" hidden="1" customHeight="1">
      <c r="A65" s="126"/>
      <c r="B65" s="126"/>
      <c r="C65" s="176"/>
      <c r="D65" s="176"/>
      <c r="E65" s="126"/>
      <c r="F65" s="126"/>
      <c r="G65" s="126"/>
      <c r="H65" s="126"/>
      <c r="I65" s="126"/>
      <c r="J65" s="126"/>
      <c r="K65" s="126"/>
      <c r="L65" s="126"/>
      <c r="M65" s="126"/>
      <c r="N65" s="126"/>
      <c r="O65" s="126"/>
      <c r="P65" s="126"/>
      <c r="Q65" s="126"/>
      <c r="R65" s="126"/>
      <c r="S65" s="126"/>
      <c r="T65" s="126"/>
      <c r="U65" s="126"/>
      <c r="V65" s="126"/>
      <c r="W65" s="126"/>
      <c r="X65" s="126"/>
      <c r="Y65" s="126"/>
      <c r="Z65" s="126"/>
    </row>
    <row r="66" spans="1:26" ht="15.75" customHeight="1">
      <c r="A66" s="126"/>
      <c r="B66" s="126"/>
      <c r="C66" s="176"/>
      <c r="D66" s="176"/>
      <c r="E66" s="126"/>
      <c r="F66" s="126"/>
      <c r="G66" s="126"/>
      <c r="H66" s="126"/>
      <c r="I66" s="126"/>
      <c r="J66" s="126"/>
      <c r="K66" s="126"/>
      <c r="L66" s="126"/>
      <c r="M66" s="126"/>
      <c r="N66" s="126"/>
      <c r="O66" s="126"/>
      <c r="P66" s="126"/>
      <c r="Q66" s="126"/>
      <c r="R66" s="126"/>
      <c r="S66" s="126"/>
      <c r="T66" s="126"/>
      <c r="U66" s="126"/>
      <c r="V66" s="126"/>
      <c r="W66" s="126"/>
      <c r="X66" s="126"/>
      <c r="Y66" s="126"/>
      <c r="Z66" s="126"/>
    </row>
    <row r="67" spans="1:26" ht="15.75" customHeight="1">
      <c r="A67" s="126"/>
      <c r="B67" s="126"/>
      <c r="C67" s="176"/>
      <c r="D67" s="176"/>
      <c r="E67" s="126"/>
      <c r="F67" s="126"/>
      <c r="G67" s="126"/>
      <c r="H67" s="126"/>
      <c r="I67" s="126"/>
      <c r="J67" s="126"/>
      <c r="K67" s="126"/>
      <c r="L67" s="126"/>
      <c r="M67" s="126"/>
      <c r="N67" s="126"/>
      <c r="O67" s="126"/>
      <c r="P67" s="126"/>
      <c r="Q67" s="126"/>
      <c r="R67" s="126"/>
      <c r="S67" s="126"/>
      <c r="T67" s="126"/>
      <c r="U67" s="126"/>
      <c r="V67" s="126"/>
      <c r="W67" s="126"/>
      <c r="X67" s="126"/>
      <c r="Y67" s="126"/>
      <c r="Z67" s="126"/>
    </row>
    <row r="68" spans="1:26" ht="15.75" customHeight="1">
      <c r="A68" s="126"/>
      <c r="B68" s="126"/>
      <c r="C68" s="176"/>
      <c r="D68" s="176"/>
      <c r="E68" s="126"/>
      <c r="F68" s="126"/>
      <c r="G68" s="126"/>
      <c r="H68" s="126"/>
      <c r="I68" s="126"/>
      <c r="J68" s="126"/>
      <c r="K68" s="126"/>
      <c r="L68" s="126"/>
      <c r="M68" s="126"/>
      <c r="N68" s="126"/>
      <c r="O68" s="126"/>
      <c r="P68" s="126"/>
      <c r="Q68" s="126"/>
      <c r="R68" s="126"/>
      <c r="S68" s="126"/>
      <c r="T68" s="126"/>
      <c r="U68" s="126"/>
      <c r="V68" s="126"/>
      <c r="W68" s="126"/>
      <c r="X68" s="126"/>
      <c r="Y68" s="126"/>
      <c r="Z68" s="126"/>
    </row>
    <row r="69" spans="1:26" ht="15.75" customHeight="1">
      <c r="A69" s="126"/>
      <c r="B69" s="126"/>
      <c r="C69" s="176"/>
      <c r="D69" s="176"/>
      <c r="E69" s="126"/>
      <c r="F69" s="126"/>
      <c r="G69" s="126"/>
      <c r="H69" s="126"/>
      <c r="I69" s="126"/>
      <c r="J69" s="126"/>
      <c r="K69" s="126"/>
      <c r="L69" s="126"/>
      <c r="M69" s="126"/>
      <c r="N69" s="126"/>
      <c r="O69" s="126"/>
      <c r="P69" s="126"/>
      <c r="Q69" s="126"/>
      <c r="R69" s="126"/>
      <c r="S69" s="126"/>
      <c r="T69" s="126"/>
      <c r="U69" s="126"/>
      <c r="V69" s="126"/>
      <c r="W69" s="126"/>
      <c r="X69" s="126"/>
      <c r="Y69" s="126"/>
      <c r="Z69" s="126"/>
    </row>
    <row r="70" spans="1:26" ht="15.75" customHeight="1">
      <c r="A70" s="126"/>
      <c r="B70" s="126"/>
      <c r="C70" s="176"/>
      <c r="D70" s="176"/>
      <c r="E70" s="126"/>
      <c r="F70" s="126"/>
      <c r="G70" s="126"/>
      <c r="H70" s="126"/>
      <c r="I70" s="126"/>
      <c r="J70" s="126"/>
      <c r="K70" s="126"/>
      <c r="L70" s="126"/>
      <c r="M70" s="126"/>
      <c r="N70" s="126"/>
      <c r="O70" s="126"/>
      <c r="P70" s="126"/>
      <c r="Q70" s="126"/>
      <c r="R70" s="126"/>
      <c r="S70" s="126"/>
      <c r="T70" s="126"/>
      <c r="U70" s="126"/>
      <c r="V70" s="126"/>
      <c r="W70" s="126"/>
      <c r="X70" s="126"/>
      <c r="Y70" s="126"/>
      <c r="Z70" s="126"/>
    </row>
    <row r="71" spans="1:26" ht="15.75" customHeight="1">
      <c r="A71" s="126"/>
      <c r="B71" s="126"/>
      <c r="C71" s="176"/>
      <c r="D71" s="176"/>
      <c r="E71" s="126"/>
      <c r="F71" s="126"/>
      <c r="G71" s="126"/>
      <c r="H71" s="126"/>
      <c r="I71" s="126"/>
      <c r="J71" s="126"/>
      <c r="K71" s="126"/>
      <c r="L71" s="126"/>
      <c r="M71" s="126"/>
      <c r="N71" s="126"/>
      <c r="O71" s="126"/>
      <c r="P71" s="126"/>
      <c r="Q71" s="126"/>
      <c r="R71" s="126"/>
      <c r="S71" s="126"/>
      <c r="T71" s="126"/>
      <c r="U71" s="126"/>
      <c r="V71" s="126"/>
      <c r="W71" s="126"/>
      <c r="X71" s="126"/>
      <c r="Y71" s="126"/>
      <c r="Z71" s="126"/>
    </row>
    <row r="72" spans="1:26" ht="15.75" customHeight="1">
      <c r="A72" s="126"/>
      <c r="B72" s="126"/>
      <c r="C72" s="176"/>
      <c r="D72" s="176"/>
      <c r="E72" s="126"/>
      <c r="F72" s="126"/>
      <c r="G72" s="126"/>
      <c r="H72" s="126"/>
      <c r="I72" s="126"/>
      <c r="J72" s="126"/>
      <c r="K72" s="126"/>
      <c r="L72" s="126"/>
      <c r="M72" s="126"/>
      <c r="N72" s="126"/>
      <c r="O72" s="126"/>
      <c r="P72" s="126"/>
      <c r="Q72" s="126"/>
      <c r="R72" s="126"/>
      <c r="S72" s="126"/>
      <c r="T72" s="126"/>
      <c r="U72" s="126"/>
      <c r="V72" s="126"/>
      <c r="W72" s="126"/>
      <c r="X72" s="126"/>
      <c r="Y72" s="126"/>
      <c r="Z72" s="126"/>
    </row>
    <row r="73" spans="1:26" ht="15.75" customHeight="1">
      <c r="A73" s="126"/>
      <c r="B73" s="126"/>
      <c r="C73" s="176"/>
      <c r="D73" s="176"/>
      <c r="E73" s="126"/>
      <c r="F73" s="126"/>
      <c r="G73" s="126"/>
      <c r="H73" s="126"/>
      <c r="I73" s="126"/>
      <c r="J73" s="126"/>
      <c r="K73" s="126"/>
      <c r="L73" s="126"/>
      <c r="M73" s="126"/>
      <c r="N73" s="126"/>
      <c r="O73" s="126"/>
      <c r="P73" s="126"/>
      <c r="Q73" s="126"/>
      <c r="R73" s="126"/>
      <c r="S73" s="126"/>
      <c r="T73" s="126"/>
      <c r="U73" s="126"/>
      <c r="V73" s="126"/>
      <c r="W73" s="126"/>
      <c r="X73" s="126"/>
      <c r="Y73" s="126"/>
      <c r="Z73" s="126"/>
    </row>
    <row r="74" spans="1:26" ht="15.75" customHeight="1">
      <c r="A74" s="126"/>
      <c r="B74" s="126"/>
      <c r="C74" s="176"/>
      <c r="D74" s="176"/>
      <c r="E74" s="126"/>
      <c r="F74" s="126"/>
      <c r="G74" s="126"/>
      <c r="H74" s="126"/>
      <c r="I74" s="126"/>
      <c r="J74" s="126"/>
      <c r="K74" s="126"/>
      <c r="L74" s="126"/>
      <c r="M74" s="126"/>
      <c r="N74" s="126"/>
      <c r="O74" s="126"/>
      <c r="P74" s="126"/>
      <c r="Q74" s="126"/>
      <c r="R74" s="126"/>
      <c r="S74" s="126"/>
      <c r="T74" s="126"/>
      <c r="U74" s="126"/>
      <c r="V74" s="126"/>
      <c r="W74" s="126"/>
      <c r="X74" s="126"/>
      <c r="Y74" s="126"/>
      <c r="Z74" s="126"/>
    </row>
    <row r="75" spans="1:26" ht="15.75" customHeight="1">
      <c r="A75" s="126"/>
      <c r="B75" s="126"/>
      <c r="C75" s="176"/>
      <c r="D75" s="176"/>
      <c r="E75" s="126"/>
      <c r="F75" s="126"/>
      <c r="G75" s="126"/>
      <c r="H75" s="126"/>
      <c r="I75" s="126"/>
      <c r="J75" s="126"/>
      <c r="K75" s="126"/>
      <c r="L75" s="126"/>
      <c r="M75" s="126"/>
      <c r="N75" s="126"/>
      <c r="O75" s="126"/>
      <c r="P75" s="126"/>
      <c r="Q75" s="126"/>
      <c r="R75" s="126"/>
      <c r="S75" s="126"/>
      <c r="T75" s="126"/>
      <c r="U75" s="126"/>
      <c r="V75" s="126"/>
      <c r="W75" s="126"/>
      <c r="X75" s="126"/>
      <c r="Y75" s="126"/>
      <c r="Z75" s="126"/>
    </row>
    <row r="76" spans="1:26" ht="15.75" customHeight="1">
      <c r="A76" s="126"/>
      <c r="B76" s="126"/>
      <c r="C76" s="176"/>
      <c r="D76" s="176"/>
      <c r="E76" s="126"/>
      <c r="F76" s="126"/>
      <c r="G76" s="126"/>
      <c r="H76" s="126"/>
      <c r="I76" s="126"/>
      <c r="J76" s="126"/>
      <c r="K76" s="126"/>
      <c r="L76" s="126"/>
      <c r="M76" s="126"/>
      <c r="N76" s="126"/>
      <c r="O76" s="126"/>
      <c r="P76" s="126"/>
      <c r="Q76" s="126"/>
      <c r="R76" s="126"/>
      <c r="S76" s="126"/>
      <c r="T76" s="126"/>
      <c r="U76" s="126"/>
      <c r="V76" s="126"/>
      <c r="W76" s="126"/>
      <c r="X76" s="126"/>
      <c r="Y76" s="126"/>
      <c r="Z76" s="126"/>
    </row>
    <row r="77" spans="1:26" ht="15.75" customHeight="1">
      <c r="A77" s="126"/>
      <c r="B77" s="126"/>
      <c r="C77" s="176"/>
      <c r="D77" s="176"/>
      <c r="E77" s="126"/>
      <c r="F77" s="126"/>
      <c r="G77" s="126"/>
      <c r="H77" s="126"/>
      <c r="I77" s="126"/>
      <c r="J77" s="126"/>
      <c r="K77" s="126"/>
      <c r="L77" s="126"/>
      <c r="M77" s="126"/>
      <c r="N77" s="126"/>
      <c r="O77" s="126"/>
      <c r="P77" s="126"/>
      <c r="Q77" s="126"/>
      <c r="R77" s="126"/>
      <c r="S77" s="126"/>
      <c r="T77" s="126"/>
      <c r="U77" s="126"/>
      <c r="V77" s="126"/>
      <c r="W77" s="126"/>
      <c r="X77" s="126"/>
      <c r="Y77" s="126"/>
      <c r="Z77" s="126"/>
    </row>
    <row r="78" spans="1:26" ht="15.75" customHeight="1">
      <c r="A78" s="126"/>
      <c r="B78" s="126"/>
      <c r="C78" s="176"/>
      <c r="D78" s="176"/>
      <c r="E78" s="126"/>
      <c r="F78" s="126"/>
      <c r="G78" s="126"/>
      <c r="H78" s="126"/>
      <c r="I78" s="126"/>
      <c r="J78" s="126"/>
      <c r="K78" s="126"/>
      <c r="L78" s="126"/>
      <c r="M78" s="126"/>
      <c r="N78" s="126"/>
      <c r="O78" s="126"/>
      <c r="P78" s="126"/>
      <c r="Q78" s="126"/>
      <c r="R78" s="126"/>
      <c r="S78" s="126"/>
      <c r="T78" s="126"/>
      <c r="U78" s="126"/>
      <c r="V78" s="126"/>
      <c r="W78" s="126"/>
      <c r="X78" s="126"/>
      <c r="Y78" s="126"/>
      <c r="Z78" s="126"/>
    </row>
    <row r="79" spans="1:26" ht="15.75" customHeight="1">
      <c r="A79" s="126"/>
      <c r="B79" s="126"/>
      <c r="C79" s="176"/>
      <c r="D79" s="176"/>
      <c r="E79" s="126"/>
      <c r="F79" s="126"/>
      <c r="G79" s="126"/>
      <c r="H79" s="126"/>
      <c r="I79" s="126"/>
      <c r="J79" s="126"/>
      <c r="K79" s="126"/>
      <c r="L79" s="126"/>
      <c r="M79" s="126"/>
      <c r="N79" s="126"/>
      <c r="O79" s="126"/>
      <c r="P79" s="126"/>
      <c r="Q79" s="126"/>
      <c r="R79" s="126"/>
      <c r="S79" s="126"/>
      <c r="T79" s="126"/>
      <c r="U79" s="126"/>
      <c r="V79" s="126"/>
      <c r="W79" s="126"/>
      <c r="X79" s="126"/>
      <c r="Y79" s="126"/>
      <c r="Z79" s="126"/>
    </row>
    <row r="80" spans="1:26" ht="15.75" customHeight="1">
      <c r="A80" s="126"/>
      <c r="B80" s="126"/>
      <c r="C80" s="176"/>
      <c r="D80" s="176"/>
      <c r="E80" s="126"/>
      <c r="F80" s="126"/>
      <c r="G80" s="126"/>
      <c r="H80" s="126"/>
      <c r="I80" s="126"/>
      <c r="J80" s="126"/>
      <c r="K80" s="126"/>
      <c r="L80" s="126"/>
      <c r="M80" s="126"/>
      <c r="N80" s="126"/>
      <c r="O80" s="126"/>
      <c r="P80" s="126"/>
      <c r="Q80" s="126"/>
      <c r="R80" s="126"/>
      <c r="S80" s="126"/>
      <c r="T80" s="126"/>
      <c r="U80" s="126"/>
      <c r="V80" s="126"/>
      <c r="W80" s="126"/>
      <c r="X80" s="126"/>
      <c r="Y80" s="126"/>
      <c r="Z80" s="126"/>
    </row>
    <row r="81" spans="1:26" ht="15.75" customHeight="1">
      <c r="A81" s="126"/>
      <c r="B81" s="126"/>
      <c r="C81" s="176"/>
      <c r="D81" s="176"/>
      <c r="E81" s="126"/>
      <c r="F81" s="126"/>
      <c r="G81" s="126"/>
      <c r="H81" s="126"/>
      <c r="I81" s="126"/>
      <c r="J81" s="126"/>
      <c r="K81" s="126"/>
      <c r="L81" s="126"/>
      <c r="M81" s="126"/>
      <c r="N81" s="126"/>
      <c r="O81" s="126"/>
      <c r="P81" s="126"/>
      <c r="Q81" s="126"/>
      <c r="R81" s="126"/>
      <c r="S81" s="126"/>
      <c r="T81" s="126"/>
      <c r="U81" s="126"/>
      <c r="V81" s="126"/>
      <c r="W81" s="126"/>
      <c r="X81" s="126"/>
      <c r="Y81" s="126"/>
      <c r="Z81" s="126"/>
    </row>
    <row r="82" spans="1:26" ht="15.75" customHeight="1">
      <c r="A82" s="126"/>
      <c r="B82" s="126"/>
      <c r="C82" s="176"/>
      <c r="D82" s="176"/>
      <c r="E82" s="126"/>
      <c r="F82" s="126"/>
      <c r="G82" s="126"/>
      <c r="H82" s="126"/>
      <c r="I82" s="126"/>
      <c r="J82" s="126"/>
      <c r="K82" s="126"/>
      <c r="L82" s="126"/>
      <c r="M82" s="126"/>
      <c r="N82" s="126"/>
      <c r="O82" s="126"/>
      <c r="P82" s="126"/>
      <c r="Q82" s="126"/>
      <c r="R82" s="126"/>
      <c r="S82" s="126"/>
      <c r="T82" s="126"/>
      <c r="U82" s="126"/>
      <c r="V82" s="126"/>
      <c r="W82" s="126"/>
      <c r="X82" s="126"/>
      <c r="Y82" s="126"/>
      <c r="Z82" s="126"/>
    </row>
    <row r="83" spans="1:26" ht="15.75" customHeight="1">
      <c r="A83" s="126"/>
      <c r="B83" s="126"/>
      <c r="C83" s="176"/>
      <c r="D83" s="176"/>
      <c r="E83" s="126"/>
      <c r="F83" s="126"/>
      <c r="G83" s="126"/>
      <c r="H83" s="126"/>
      <c r="I83" s="126"/>
      <c r="J83" s="126"/>
      <c r="K83" s="126"/>
      <c r="L83" s="126"/>
      <c r="M83" s="126"/>
      <c r="N83" s="126"/>
      <c r="O83" s="126"/>
      <c r="P83" s="126"/>
      <c r="Q83" s="126"/>
      <c r="R83" s="126"/>
      <c r="S83" s="126"/>
      <c r="T83" s="126"/>
      <c r="U83" s="126"/>
      <c r="V83" s="126"/>
      <c r="W83" s="126"/>
      <c r="X83" s="126"/>
      <c r="Y83" s="126"/>
      <c r="Z83" s="126"/>
    </row>
    <row r="84" spans="1:26" ht="15.75" customHeight="1">
      <c r="A84" s="126"/>
      <c r="B84" s="126"/>
      <c r="C84" s="176"/>
      <c r="D84" s="176"/>
      <c r="E84" s="126"/>
      <c r="F84" s="126"/>
      <c r="G84" s="126"/>
      <c r="H84" s="126"/>
      <c r="I84" s="126"/>
      <c r="J84" s="126"/>
      <c r="K84" s="126"/>
      <c r="L84" s="126"/>
      <c r="M84" s="126"/>
      <c r="N84" s="126"/>
      <c r="O84" s="126"/>
      <c r="P84" s="126"/>
      <c r="Q84" s="126"/>
      <c r="R84" s="126"/>
      <c r="S84" s="126"/>
      <c r="T84" s="126"/>
      <c r="U84" s="126"/>
      <c r="V84" s="126"/>
      <c r="W84" s="126"/>
      <c r="X84" s="126"/>
      <c r="Y84" s="126"/>
      <c r="Z84" s="126"/>
    </row>
    <row r="85" spans="1:26" ht="15.75" customHeight="1">
      <c r="A85" s="126"/>
      <c r="B85" s="126"/>
      <c r="C85" s="176"/>
      <c r="D85" s="176"/>
      <c r="E85" s="126"/>
      <c r="F85" s="126"/>
      <c r="G85" s="126"/>
      <c r="H85" s="126"/>
      <c r="I85" s="126"/>
      <c r="J85" s="126"/>
      <c r="K85" s="126"/>
      <c r="L85" s="126"/>
      <c r="M85" s="126"/>
      <c r="N85" s="126"/>
      <c r="O85" s="126"/>
      <c r="P85" s="126"/>
      <c r="Q85" s="126"/>
      <c r="R85" s="126"/>
      <c r="S85" s="126"/>
      <c r="T85" s="126"/>
      <c r="U85" s="126"/>
      <c r="V85" s="126"/>
      <c r="W85" s="126"/>
      <c r="X85" s="126"/>
      <c r="Y85" s="126"/>
      <c r="Z85" s="126"/>
    </row>
    <row r="86" spans="1:26" ht="15.75" customHeight="1">
      <c r="A86" s="126"/>
      <c r="B86" s="126"/>
      <c r="C86" s="176"/>
      <c r="D86" s="176"/>
      <c r="E86" s="126"/>
      <c r="F86" s="126"/>
      <c r="G86" s="126"/>
      <c r="H86" s="126"/>
      <c r="I86" s="126"/>
      <c r="J86" s="126"/>
      <c r="K86" s="126"/>
      <c r="L86" s="126"/>
      <c r="M86" s="126"/>
      <c r="N86" s="126"/>
      <c r="O86" s="126"/>
      <c r="P86" s="126"/>
      <c r="Q86" s="126"/>
      <c r="R86" s="126"/>
      <c r="S86" s="126"/>
      <c r="T86" s="126"/>
      <c r="U86" s="126"/>
      <c r="V86" s="126"/>
      <c r="W86" s="126"/>
      <c r="X86" s="126"/>
      <c r="Y86" s="126"/>
      <c r="Z86" s="126"/>
    </row>
    <row r="87" spans="1:26" ht="15.75" customHeight="1">
      <c r="A87" s="126"/>
      <c r="B87" s="126"/>
      <c r="C87" s="176"/>
      <c r="D87" s="176"/>
      <c r="E87" s="126"/>
      <c r="F87" s="126"/>
      <c r="G87" s="126"/>
      <c r="H87" s="126"/>
      <c r="I87" s="126"/>
      <c r="J87" s="126"/>
      <c r="K87" s="126"/>
      <c r="L87" s="126"/>
      <c r="M87" s="126"/>
      <c r="N87" s="126"/>
      <c r="O87" s="126"/>
      <c r="P87" s="126"/>
      <c r="Q87" s="126"/>
      <c r="R87" s="126"/>
      <c r="S87" s="126"/>
      <c r="T87" s="126"/>
      <c r="U87" s="126"/>
      <c r="V87" s="126"/>
      <c r="W87" s="126"/>
      <c r="X87" s="126"/>
      <c r="Y87" s="126"/>
      <c r="Z87" s="126"/>
    </row>
    <row r="88" spans="1:26" ht="15.75" customHeight="1">
      <c r="A88" s="126"/>
      <c r="B88" s="126"/>
      <c r="C88" s="176"/>
      <c r="D88" s="176"/>
      <c r="E88" s="126"/>
      <c r="F88" s="126"/>
      <c r="G88" s="126"/>
      <c r="H88" s="126"/>
      <c r="I88" s="126"/>
      <c r="J88" s="126"/>
      <c r="K88" s="126"/>
      <c r="L88" s="126"/>
      <c r="M88" s="126"/>
      <c r="N88" s="126"/>
      <c r="O88" s="126"/>
      <c r="P88" s="126"/>
      <c r="Q88" s="126"/>
      <c r="R88" s="126"/>
      <c r="S88" s="126"/>
      <c r="T88" s="126"/>
      <c r="U88" s="126"/>
      <c r="V88" s="126"/>
      <c r="W88" s="126"/>
      <c r="X88" s="126"/>
      <c r="Y88" s="126"/>
      <c r="Z88" s="126"/>
    </row>
    <row r="89" spans="1:26" ht="15.75" customHeight="1">
      <c r="A89" s="126"/>
      <c r="B89" s="126"/>
      <c r="C89" s="176"/>
      <c r="D89" s="176"/>
      <c r="E89" s="126"/>
      <c r="F89" s="126"/>
      <c r="G89" s="126"/>
      <c r="H89" s="126"/>
      <c r="I89" s="126"/>
      <c r="J89" s="126"/>
      <c r="K89" s="126"/>
      <c r="L89" s="126"/>
      <c r="M89" s="126"/>
      <c r="N89" s="126"/>
      <c r="O89" s="126"/>
      <c r="P89" s="126"/>
      <c r="Q89" s="126"/>
      <c r="R89" s="126"/>
      <c r="S89" s="126"/>
      <c r="T89" s="126"/>
      <c r="U89" s="126"/>
      <c r="V89" s="126"/>
      <c r="W89" s="126"/>
      <c r="X89" s="126"/>
      <c r="Y89" s="126"/>
      <c r="Z89" s="126"/>
    </row>
    <row r="90" spans="1:26" ht="15.75" customHeight="1">
      <c r="A90" s="126"/>
      <c r="B90" s="126"/>
      <c r="C90" s="176"/>
      <c r="D90" s="176"/>
      <c r="E90" s="126"/>
      <c r="F90" s="126"/>
      <c r="G90" s="126"/>
      <c r="H90" s="126"/>
      <c r="I90" s="126"/>
      <c r="J90" s="126"/>
      <c r="K90" s="126"/>
      <c r="L90" s="126"/>
      <c r="M90" s="126"/>
      <c r="N90" s="126"/>
      <c r="O90" s="126"/>
      <c r="P90" s="126"/>
      <c r="Q90" s="126"/>
      <c r="R90" s="126"/>
      <c r="S90" s="126"/>
      <c r="T90" s="126"/>
      <c r="U90" s="126"/>
      <c r="V90" s="126"/>
      <c r="W90" s="126"/>
      <c r="X90" s="126"/>
      <c r="Y90" s="126"/>
      <c r="Z90" s="126"/>
    </row>
    <row r="91" spans="1:26" ht="15.75" customHeight="1">
      <c r="A91" s="126"/>
      <c r="B91" s="126"/>
      <c r="C91" s="176"/>
      <c r="D91" s="176"/>
      <c r="E91" s="126"/>
      <c r="F91" s="126"/>
      <c r="G91" s="126"/>
      <c r="H91" s="126"/>
      <c r="I91" s="126"/>
      <c r="J91" s="126"/>
      <c r="K91" s="126"/>
      <c r="L91" s="126"/>
      <c r="M91" s="126"/>
      <c r="N91" s="126"/>
      <c r="O91" s="126"/>
      <c r="P91" s="126"/>
      <c r="Q91" s="126"/>
      <c r="R91" s="126"/>
      <c r="S91" s="126"/>
      <c r="T91" s="126"/>
      <c r="U91" s="126"/>
      <c r="V91" s="126"/>
      <c r="W91" s="126"/>
      <c r="X91" s="126"/>
      <c r="Y91" s="126"/>
      <c r="Z91" s="126"/>
    </row>
    <row r="92" spans="1:26" ht="15.75" customHeight="1">
      <c r="A92" s="126"/>
      <c r="B92" s="126"/>
      <c r="C92" s="176"/>
      <c r="D92" s="176"/>
      <c r="E92" s="126"/>
      <c r="F92" s="126"/>
      <c r="G92" s="126"/>
      <c r="H92" s="126"/>
      <c r="I92" s="126"/>
      <c r="J92" s="126"/>
      <c r="K92" s="126"/>
      <c r="L92" s="126"/>
      <c r="M92" s="126"/>
      <c r="N92" s="126"/>
      <c r="O92" s="126"/>
      <c r="P92" s="126"/>
      <c r="Q92" s="126"/>
      <c r="R92" s="126"/>
      <c r="S92" s="126"/>
      <c r="T92" s="126"/>
      <c r="U92" s="126"/>
      <c r="V92" s="126"/>
      <c r="W92" s="126"/>
      <c r="X92" s="126"/>
      <c r="Y92" s="126"/>
      <c r="Z92" s="126"/>
    </row>
    <row r="93" spans="1:26" ht="15.75" customHeight="1">
      <c r="A93" s="126"/>
      <c r="B93" s="126"/>
      <c r="C93" s="176"/>
      <c r="D93" s="176"/>
      <c r="E93" s="126"/>
      <c r="F93" s="126"/>
      <c r="G93" s="126"/>
      <c r="H93" s="126"/>
      <c r="I93" s="126"/>
      <c r="J93" s="126"/>
      <c r="K93" s="126"/>
      <c r="L93" s="126"/>
      <c r="M93" s="126"/>
      <c r="N93" s="126"/>
      <c r="O93" s="126"/>
      <c r="P93" s="126"/>
      <c r="Q93" s="126"/>
      <c r="R93" s="126"/>
      <c r="S93" s="126"/>
      <c r="T93" s="126"/>
      <c r="U93" s="126"/>
      <c r="V93" s="126"/>
      <c r="W93" s="126"/>
      <c r="X93" s="126"/>
      <c r="Y93" s="126"/>
      <c r="Z93" s="126"/>
    </row>
    <row r="94" spans="1:26" ht="15.75" customHeight="1">
      <c r="A94" s="126"/>
      <c r="B94" s="126"/>
      <c r="C94" s="176"/>
      <c r="D94" s="176"/>
      <c r="E94" s="126"/>
      <c r="F94" s="126"/>
      <c r="G94" s="126"/>
      <c r="H94" s="126"/>
      <c r="I94" s="126"/>
      <c r="J94" s="126"/>
      <c r="K94" s="126"/>
      <c r="L94" s="126"/>
      <c r="M94" s="126"/>
      <c r="N94" s="126"/>
      <c r="O94" s="126"/>
      <c r="P94" s="126"/>
      <c r="Q94" s="126"/>
      <c r="R94" s="126"/>
      <c r="S94" s="126"/>
      <c r="T94" s="126"/>
      <c r="U94" s="126"/>
      <c r="V94" s="126"/>
      <c r="W94" s="126"/>
      <c r="X94" s="126"/>
      <c r="Y94" s="126"/>
      <c r="Z94" s="126"/>
    </row>
    <row r="95" spans="1:26" ht="15.75" customHeight="1">
      <c r="A95" s="126"/>
      <c r="B95" s="126"/>
      <c r="C95" s="176"/>
      <c r="D95" s="176"/>
      <c r="E95" s="126"/>
      <c r="F95" s="126"/>
      <c r="G95" s="126"/>
      <c r="H95" s="126"/>
      <c r="I95" s="126"/>
      <c r="J95" s="126"/>
      <c r="K95" s="126"/>
      <c r="L95" s="126"/>
      <c r="M95" s="126"/>
      <c r="N95" s="126"/>
      <c r="O95" s="126"/>
      <c r="P95" s="126"/>
      <c r="Q95" s="126"/>
      <c r="R95" s="126"/>
      <c r="S95" s="126"/>
      <c r="T95" s="126"/>
      <c r="U95" s="126"/>
      <c r="V95" s="126"/>
      <c r="W95" s="126"/>
      <c r="X95" s="126"/>
      <c r="Y95" s="126"/>
      <c r="Z95" s="126"/>
    </row>
    <row r="96" spans="1:26" ht="15.75" customHeight="1">
      <c r="A96" s="126"/>
      <c r="B96" s="126"/>
      <c r="C96" s="176"/>
      <c r="D96" s="176"/>
      <c r="E96" s="126"/>
      <c r="F96" s="126"/>
      <c r="G96" s="126"/>
      <c r="H96" s="126"/>
      <c r="I96" s="126"/>
      <c r="J96" s="126"/>
      <c r="K96" s="126"/>
      <c r="L96" s="126"/>
      <c r="M96" s="126"/>
      <c r="N96" s="126"/>
      <c r="O96" s="126"/>
      <c r="P96" s="126"/>
      <c r="Q96" s="126"/>
      <c r="R96" s="126"/>
      <c r="S96" s="126"/>
      <c r="T96" s="126"/>
      <c r="U96" s="126"/>
      <c r="V96" s="126"/>
      <c r="W96" s="126"/>
      <c r="X96" s="126"/>
      <c r="Y96" s="126"/>
      <c r="Z96" s="126"/>
    </row>
    <row r="97" spans="1:26" ht="15.75" customHeight="1">
      <c r="A97" s="126"/>
      <c r="B97" s="126"/>
      <c r="C97" s="176"/>
      <c r="D97" s="176"/>
      <c r="E97" s="126"/>
      <c r="F97" s="126"/>
      <c r="G97" s="126"/>
      <c r="H97" s="126"/>
      <c r="I97" s="126"/>
      <c r="J97" s="126"/>
      <c r="K97" s="126"/>
      <c r="L97" s="126"/>
      <c r="M97" s="126"/>
      <c r="N97" s="126"/>
      <c r="O97" s="126"/>
      <c r="P97" s="126"/>
      <c r="Q97" s="126"/>
      <c r="R97" s="126"/>
      <c r="S97" s="126"/>
      <c r="T97" s="126"/>
      <c r="U97" s="126"/>
      <c r="V97" s="126"/>
      <c r="W97" s="126"/>
      <c r="X97" s="126"/>
      <c r="Y97" s="126"/>
      <c r="Z97" s="126"/>
    </row>
    <row r="98" spans="1:26" ht="15.75" customHeight="1">
      <c r="A98" s="126"/>
      <c r="B98" s="126"/>
      <c r="C98" s="176"/>
      <c r="D98" s="176"/>
      <c r="E98" s="126"/>
      <c r="F98" s="126"/>
      <c r="G98" s="126"/>
      <c r="H98" s="126"/>
      <c r="I98" s="126"/>
      <c r="J98" s="126"/>
      <c r="K98" s="126"/>
      <c r="L98" s="126"/>
      <c r="M98" s="126"/>
      <c r="N98" s="126"/>
      <c r="O98" s="126"/>
      <c r="P98" s="126"/>
      <c r="Q98" s="126"/>
      <c r="R98" s="126"/>
      <c r="S98" s="126"/>
      <c r="T98" s="126"/>
      <c r="U98" s="126"/>
      <c r="V98" s="126"/>
      <c r="W98" s="126"/>
      <c r="X98" s="126"/>
      <c r="Y98" s="126"/>
      <c r="Z98" s="126"/>
    </row>
    <row r="99" spans="1:26" ht="15.75" customHeight="1">
      <c r="A99" s="126"/>
      <c r="B99" s="126"/>
      <c r="C99" s="176"/>
      <c r="D99" s="176"/>
      <c r="E99" s="126"/>
      <c r="F99" s="126"/>
      <c r="G99" s="126"/>
      <c r="H99" s="126"/>
      <c r="I99" s="126"/>
      <c r="J99" s="126"/>
      <c r="K99" s="126"/>
      <c r="L99" s="126"/>
      <c r="M99" s="126"/>
      <c r="N99" s="126"/>
      <c r="O99" s="126"/>
      <c r="P99" s="126"/>
      <c r="Q99" s="126"/>
      <c r="R99" s="126"/>
      <c r="S99" s="126"/>
      <c r="T99" s="126"/>
      <c r="U99" s="126"/>
      <c r="V99" s="126"/>
      <c r="W99" s="126"/>
      <c r="X99" s="126"/>
      <c r="Y99" s="126"/>
      <c r="Z99" s="126"/>
    </row>
    <row r="100" spans="1:26" ht="15.75" customHeight="1">
      <c r="A100" s="126"/>
      <c r="B100" s="126"/>
      <c r="C100" s="176"/>
      <c r="D100" s="17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row>
    <row r="101" spans="1:26" ht="15.75" customHeight="1">
      <c r="A101" s="126"/>
      <c r="B101" s="126"/>
      <c r="C101" s="176"/>
      <c r="D101" s="17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row>
    <row r="102" spans="1:26" ht="15.75" customHeight="1">
      <c r="A102" s="126"/>
      <c r="B102" s="126"/>
      <c r="C102" s="176"/>
      <c r="D102" s="17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row>
    <row r="103" spans="1:26" ht="15.75" customHeight="1">
      <c r="A103" s="126"/>
      <c r="B103" s="126"/>
      <c r="C103" s="176"/>
      <c r="D103" s="17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row>
    <row r="104" spans="1:26" ht="15.75" customHeight="1">
      <c r="A104" s="126"/>
      <c r="B104" s="126"/>
      <c r="C104" s="176"/>
      <c r="D104" s="17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row>
    <row r="105" spans="1:26" ht="15.75" customHeight="1">
      <c r="A105" s="126"/>
      <c r="B105" s="126"/>
      <c r="C105" s="176"/>
      <c r="D105" s="17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row>
    <row r="106" spans="1:26" ht="15.75" customHeight="1">
      <c r="A106" s="126"/>
      <c r="B106" s="126"/>
      <c r="C106" s="176"/>
      <c r="D106" s="17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row>
    <row r="107" spans="1:26" ht="15.75" customHeight="1">
      <c r="A107" s="126"/>
      <c r="B107" s="126"/>
      <c r="C107" s="176"/>
      <c r="D107" s="17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row>
    <row r="108" spans="1:26" ht="15.75" customHeight="1">
      <c r="A108" s="126"/>
      <c r="B108" s="126"/>
      <c r="C108" s="176"/>
      <c r="D108" s="17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row>
    <row r="109" spans="1:26" ht="15.75" customHeight="1">
      <c r="A109" s="126"/>
      <c r="B109" s="126"/>
      <c r="C109" s="176"/>
      <c r="D109" s="17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row>
    <row r="110" spans="1:26" ht="15.75" customHeight="1">
      <c r="A110" s="126"/>
      <c r="B110" s="126"/>
      <c r="C110" s="176"/>
      <c r="D110" s="17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row>
    <row r="111" spans="1:26" ht="15.75" customHeight="1">
      <c r="A111" s="126"/>
      <c r="B111" s="126"/>
      <c r="C111" s="176"/>
      <c r="D111" s="17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row>
    <row r="112" spans="1:26" ht="15.75" customHeight="1">
      <c r="A112" s="126"/>
      <c r="B112" s="126"/>
      <c r="C112" s="176"/>
      <c r="D112" s="17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row>
    <row r="113" spans="1:26" ht="15.75" customHeight="1">
      <c r="A113" s="126"/>
      <c r="B113" s="126"/>
      <c r="C113" s="176"/>
      <c r="D113" s="17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row>
    <row r="114" spans="1:26" ht="15.75" customHeight="1">
      <c r="A114" s="126"/>
      <c r="B114" s="126"/>
      <c r="C114" s="176"/>
      <c r="D114" s="17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row>
    <row r="115" spans="1:26" ht="15.75" customHeight="1">
      <c r="A115" s="126"/>
      <c r="B115" s="126"/>
      <c r="C115" s="176"/>
      <c r="D115" s="17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row>
    <row r="116" spans="1:26" ht="15.75" customHeight="1">
      <c r="A116" s="126"/>
      <c r="B116" s="126"/>
      <c r="C116" s="176"/>
      <c r="D116" s="17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row>
    <row r="117" spans="1:26" ht="15.75" customHeight="1">
      <c r="A117" s="126"/>
      <c r="B117" s="126"/>
      <c r="C117" s="176"/>
      <c r="D117" s="17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row>
    <row r="118" spans="1:26" ht="15.75" customHeight="1">
      <c r="A118" s="126"/>
      <c r="B118" s="126"/>
      <c r="C118" s="176"/>
      <c r="D118" s="17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row>
    <row r="119" spans="1:26" ht="15.75" customHeight="1">
      <c r="A119" s="126"/>
      <c r="B119" s="126"/>
      <c r="C119" s="176"/>
      <c r="D119" s="17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row>
    <row r="120" spans="1:26" ht="15.75" customHeight="1">
      <c r="A120" s="126"/>
      <c r="B120" s="126"/>
      <c r="C120" s="176"/>
      <c r="D120" s="17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row>
    <row r="121" spans="1:26" ht="15.75" customHeight="1">
      <c r="A121" s="126"/>
      <c r="B121" s="126"/>
      <c r="C121" s="176"/>
      <c r="D121" s="17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row>
    <row r="122" spans="1:26" ht="15.75" customHeight="1">
      <c r="A122" s="126"/>
      <c r="B122" s="126"/>
      <c r="C122" s="176"/>
      <c r="D122" s="17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row>
    <row r="123" spans="1:26" ht="15.75" customHeight="1">
      <c r="A123" s="126"/>
      <c r="B123" s="126"/>
      <c r="C123" s="176"/>
      <c r="D123" s="17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row>
    <row r="124" spans="1:26" ht="15.75" customHeight="1">
      <c r="A124" s="126"/>
      <c r="B124" s="126"/>
      <c r="C124" s="176"/>
      <c r="D124" s="17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row>
    <row r="125" spans="1:26" ht="15.75" customHeight="1">
      <c r="A125" s="126"/>
      <c r="B125" s="126"/>
      <c r="C125" s="176"/>
      <c r="D125" s="17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row>
    <row r="126" spans="1:26" ht="15.75" customHeight="1">
      <c r="A126" s="126"/>
      <c r="B126" s="126"/>
      <c r="C126" s="176"/>
      <c r="D126" s="17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row>
    <row r="127" spans="1:26" ht="15.75" customHeight="1">
      <c r="A127" s="126"/>
      <c r="B127" s="126"/>
      <c r="C127" s="176"/>
      <c r="D127" s="17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row>
    <row r="128" spans="1:26" ht="15.75" customHeight="1">
      <c r="A128" s="126"/>
      <c r="B128" s="126"/>
      <c r="C128" s="176"/>
      <c r="D128" s="17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row>
    <row r="129" spans="1:26" ht="15.75" customHeight="1">
      <c r="A129" s="126"/>
      <c r="B129" s="126"/>
      <c r="C129" s="176"/>
      <c r="D129" s="17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row>
    <row r="130" spans="1:26" ht="15.75" customHeight="1">
      <c r="A130" s="126"/>
      <c r="B130" s="126"/>
      <c r="C130" s="176"/>
      <c r="D130" s="17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row>
    <row r="131" spans="1:26" ht="15.75" customHeight="1">
      <c r="A131" s="126"/>
      <c r="B131" s="126"/>
      <c r="C131" s="176"/>
      <c r="D131" s="17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row>
    <row r="132" spans="1:26" ht="15.75" customHeight="1">
      <c r="A132" s="126"/>
      <c r="B132" s="126"/>
      <c r="C132" s="176"/>
      <c r="D132" s="17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row>
    <row r="133" spans="1:26" ht="15.75" customHeight="1">
      <c r="A133" s="126"/>
      <c r="B133" s="126"/>
      <c r="C133" s="176"/>
      <c r="D133" s="17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row>
    <row r="134" spans="1:26" ht="15.75" customHeight="1">
      <c r="A134" s="126"/>
      <c r="B134" s="126"/>
      <c r="C134" s="176"/>
      <c r="D134" s="17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row>
    <row r="135" spans="1:26" ht="15.75" customHeight="1">
      <c r="A135" s="126"/>
      <c r="B135" s="126"/>
      <c r="C135" s="176"/>
      <c r="D135" s="17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row>
    <row r="136" spans="1:26" ht="15.75" customHeight="1">
      <c r="A136" s="126"/>
      <c r="B136" s="126"/>
      <c r="C136" s="176"/>
      <c r="D136" s="17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row>
    <row r="137" spans="1:26" ht="15.75" customHeight="1">
      <c r="A137" s="126"/>
      <c r="B137" s="126"/>
      <c r="C137" s="176"/>
      <c r="D137" s="17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row>
    <row r="138" spans="1:26" ht="15.75" customHeight="1">
      <c r="A138" s="126"/>
      <c r="B138" s="126"/>
      <c r="C138" s="176"/>
      <c r="D138" s="17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row>
    <row r="139" spans="1:26" ht="15.75" customHeight="1">
      <c r="A139" s="126"/>
      <c r="B139" s="126"/>
      <c r="C139" s="176"/>
      <c r="D139" s="17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row>
    <row r="140" spans="1:26" ht="15.75" customHeight="1">
      <c r="A140" s="126"/>
      <c r="B140" s="126"/>
      <c r="C140" s="176"/>
      <c r="D140" s="17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row>
    <row r="141" spans="1:26" ht="15.75" customHeight="1">
      <c r="A141" s="126"/>
      <c r="B141" s="126"/>
      <c r="C141" s="176"/>
      <c r="D141" s="17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row>
    <row r="142" spans="1:26" ht="15.75" customHeight="1">
      <c r="A142" s="126"/>
      <c r="B142" s="126"/>
      <c r="C142" s="176"/>
      <c r="D142" s="17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row>
    <row r="143" spans="1:26" ht="15.75" customHeight="1">
      <c r="A143" s="126"/>
      <c r="B143" s="126"/>
      <c r="C143" s="176"/>
      <c r="D143" s="17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row>
    <row r="144" spans="1:26" ht="15.75" customHeight="1">
      <c r="A144" s="126"/>
      <c r="B144" s="126"/>
      <c r="C144" s="176"/>
      <c r="D144" s="17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row>
    <row r="145" spans="1:26" ht="15.75" customHeight="1">
      <c r="A145" s="126"/>
      <c r="B145" s="126"/>
      <c r="C145" s="176"/>
      <c r="D145" s="17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row>
    <row r="146" spans="1:26" ht="15.75" customHeight="1">
      <c r="A146" s="126"/>
      <c r="B146" s="126"/>
      <c r="C146" s="176"/>
      <c r="D146" s="17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row>
    <row r="147" spans="1:26" ht="15.75" customHeight="1">
      <c r="A147" s="126"/>
      <c r="B147" s="126"/>
      <c r="C147" s="176"/>
      <c r="D147" s="17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row>
    <row r="148" spans="1:26" ht="15.75" customHeight="1">
      <c r="A148" s="126"/>
      <c r="B148" s="126"/>
      <c r="C148" s="176"/>
      <c r="D148" s="17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row>
    <row r="149" spans="1:26" ht="15.75" customHeight="1">
      <c r="A149" s="126"/>
      <c r="B149" s="126"/>
      <c r="C149" s="176"/>
      <c r="D149" s="17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row>
    <row r="150" spans="1:26" ht="15.75" customHeight="1">
      <c r="A150" s="126"/>
      <c r="B150" s="126"/>
      <c r="C150" s="176"/>
      <c r="D150" s="17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row>
    <row r="151" spans="1:26" ht="15.75" customHeight="1">
      <c r="A151" s="126"/>
      <c r="B151" s="126"/>
      <c r="C151" s="176"/>
      <c r="D151" s="17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row>
    <row r="152" spans="1:26" ht="15.75" customHeight="1">
      <c r="A152" s="126"/>
      <c r="B152" s="126"/>
      <c r="C152" s="176"/>
      <c r="D152" s="17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row>
    <row r="153" spans="1:26" ht="15.75" customHeight="1">
      <c r="A153" s="126"/>
      <c r="B153" s="126"/>
      <c r="C153" s="176"/>
      <c r="D153" s="17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row>
    <row r="154" spans="1:26" ht="15.75" customHeight="1">
      <c r="A154" s="126"/>
      <c r="B154" s="126"/>
      <c r="C154" s="176"/>
      <c r="D154" s="17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row>
    <row r="155" spans="1:26" ht="15.75" customHeight="1">
      <c r="A155" s="126"/>
      <c r="B155" s="126"/>
      <c r="C155" s="176"/>
      <c r="D155" s="17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row>
    <row r="156" spans="1:26" ht="15.75" customHeight="1">
      <c r="A156" s="126"/>
      <c r="B156" s="126"/>
      <c r="C156" s="176"/>
      <c r="D156" s="17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row>
    <row r="157" spans="1:26" ht="15.75" customHeight="1">
      <c r="A157" s="126"/>
      <c r="B157" s="126"/>
      <c r="C157" s="176"/>
      <c r="D157" s="17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row>
    <row r="158" spans="1:26" ht="15.75" customHeight="1">
      <c r="A158" s="126"/>
      <c r="B158" s="126"/>
      <c r="C158" s="176"/>
      <c r="D158" s="17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row>
    <row r="159" spans="1:26" ht="15.75" customHeight="1">
      <c r="A159" s="126"/>
      <c r="B159" s="126"/>
      <c r="C159" s="176"/>
      <c r="D159" s="17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row>
    <row r="160" spans="1:26" ht="15.75" customHeight="1">
      <c r="A160" s="126"/>
      <c r="B160" s="126"/>
      <c r="C160" s="176"/>
      <c r="D160" s="17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row>
    <row r="161" spans="1:26" ht="15.75" customHeight="1">
      <c r="A161" s="126"/>
      <c r="B161" s="126"/>
      <c r="C161" s="176"/>
      <c r="D161" s="17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row>
    <row r="162" spans="1:26" ht="15.75" customHeight="1">
      <c r="A162" s="126"/>
      <c r="B162" s="126"/>
      <c r="C162" s="176"/>
      <c r="D162" s="17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row>
    <row r="163" spans="1:26" ht="15.75" customHeight="1">
      <c r="A163" s="126"/>
      <c r="B163" s="126"/>
      <c r="C163" s="176"/>
      <c r="D163" s="17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row>
    <row r="164" spans="1:26" ht="15.75" customHeight="1">
      <c r="A164" s="126"/>
      <c r="B164" s="126"/>
      <c r="C164" s="176"/>
      <c r="D164" s="17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row>
    <row r="165" spans="1:26" ht="15.75" customHeight="1">
      <c r="A165" s="126"/>
      <c r="B165" s="126"/>
      <c r="C165" s="176"/>
      <c r="D165" s="17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row>
    <row r="166" spans="1:26" ht="15.75" customHeight="1">
      <c r="A166" s="126"/>
      <c r="B166" s="126"/>
      <c r="C166" s="176"/>
      <c r="D166" s="17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row>
    <row r="167" spans="1:26" ht="15.75" customHeight="1">
      <c r="A167" s="126"/>
      <c r="B167" s="126"/>
      <c r="C167" s="176"/>
      <c r="D167" s="17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row>
    <row r="168" spans="1:26" ht="15.75" customHeight="1">
      <c r="A168" s="126"/>
      <c r="B168" s="126"/>
      <c r="C168" s="176"/>
      <c r="D168" s="17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row>
    <row r="169" spans="1:26" ht="15.75" customHeight="1">
      <c r="A169" s="126"/>
      <c r="B169" s="126"/>
      <c r="C169" s="176"/>
      <c r="D169" s="17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row>
    <row r="170" spans="1:26" ht="15.75" customHeight="1">
      <c r="A170" s="126"/>
      <c r="B170" s="126"/>
      <c r="C170" s="176"/>
      <c r="D170" s="17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row>
    <row r="171" spans="1:26" ht="15.75" customHeight="1">
      <c r="A171" s="126"/>
      <c r="B171" s="126"/>
      <c r="C171" s="176"/>
      <c r="D171" s="17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row>
    <row r="172" spans="1:26" ht="15.75" customHeight="1">
      <c r="A172" s="126"/>
      <c r="B172" s="126"/>
      <c r="C172" s="176"/>
      <c r="D172" s="17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row>
    <row r="173" spans="1:26" ht="15.75" customHeight="1">
      <c r="A173" s="126"/>
      <c r="B173" s="126"/>
      <c r="C173" s="176"/>
      <c r="D173" s="17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row>
    <row r="174" spans="1:26" ht="15.75" customHeight="1">
      <c r="A174" s="126"/>
      <c r="B174" s="126"/>
      <c r="C174" s="176"/>
      <c r="D174" s="17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row>
    <row r="175" spans="1:26" ht="15.75" customHeight="1">
      <c r="A175" s="126"/>
      <c r="B175" s="126"/>
      <c r="C175" s="176"/>
      <c r="D175" s="17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row>
    <row r="176" spans="1:26" ht="15.75" customHeight="1">
      <c r="A176" s="126"/>
      <c r="B176" s="126"/>
      <c r="C176" s="176"/>
      <c r="D176" s="17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row>
    <row r="177" spans="1:26" ht="15.75" customHeight="1">
      <c r="A177" s="126"/>
      <c r="B177" s="126"/>
      <c r="C177" s="176"/>
      <c r="D177" s="17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row>
    <row r="178" spans="1:26" ht="15.75" customHeight="1">
      <c r="A178" s="126"/>
      <c r="B178" s="126"/>
      <c r="C178" s="176"/>
      <c r="D178" s="17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row>
    <row r="179" spans="1:26" ht="15.75" customHeight="1">
      <c r="A179" s="126"/>
      <c r="B179" s="126"/>
      <c r="C179" s="176"/>
      <c r="D179" s="17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row>
    <row r="180" spans="1:26" ht="15.75" customHeight="1">
      <c r="A180" s="126"/>
      <c r="B180" s="126"/>
      <c r="C180" s="176"/>
      <c r="D180" s="17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row>
    <row r="181" spans="1:26" ht="15.75" customHeight="1">
      <c r="A181" s="126"/>
      <c r="B181" s="126"/>
      <c r="C181" s="176"/>
      <c r="D181" s="17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row>
    <row r="182" spans="1:26" ht="15.75" customHeight="1">
      <c r="A182" s="126"/>
      <c r="B182" s="126"/>
      <c r="C182" s="176"/>
      <c r="D182" s="17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row>
    <row r="183" spans="1:26" ht="15.75" customHeight="1">
      <c r="A183" s="126"/>
      <c r="B183" s="126"/>
      <c r="C183" s="176"/>
      <c r="D183" s="17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row>
    <row r="184" spans="1:26" ht="15.75" customHeight="1">
      <c r="A184" s="126"/>
      <c r="B184" s="126"/>
      <c r="C184" s="176"/>
      <c r="D184" s="17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row>
    <row r="185" spans="1:26" ht="15.75" customHeight="1">
      <c r="A185" s="126"/>
      <c r="B185" s="126"/>
      <c r="C185" s="176"/>
      <c r="D185" s="17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row>
    <row r="186" spans="1:26" ht="15.75" customHeight="1">
      <c r="A186" s="126"/>
      <c r="B186" s="126"/>
      <c r="C186" s="176"/>
      <c r="D186" s="17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row>
    <row r="187" spans="1:26" ht="15.75" customHeight="1">
      <c r="A187" s="126"/>
      <c r="B187" s="126"/>
      <c r="C187" s="176"/>
      <c r="D187" s="17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row>
    <row r="188" spans="1:26" ht="15.75" customHeight="1">
      <c r="A188" s="126"/>
      <c r="B188" s="126"/>
      <c r="C188" s="176"/>
      <c r="D188" s="17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row>
    <row r="189" spans="1:26" ht="15.75" customHeight="1">
      <c r="A189" s="126"/>
      <c r="B189" s="126"/>
      <c r="C189" s="176"/>
      <c r="D189" s="17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row>
    <row r="190" spans="1:26" ht="15.75" customHeight="1">
      <c r="A190" s="126"/>
      <c r="B190" s="126"/>
      <c r="C190" s="176"/>
      <c r="D190" s="17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row>
    <row r="191" spans="1:26" ht="15.75" customHeight="1">
      <c r="A191" s="126"/>
      <c r="B191" s="126"/>
      <c r="C191" s="176"/>
      <c r="D191" s="17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row>
    <row r="192" spans="1:26" ht="15.75" customHeight="1">
      <c r="A192" s="126"/>
      <c r="B192" s="126"/>
      <c r="C192" s="176"/>
      <c r="D192" s="17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row>
    <row r="193" spans="1:26" ht="15.75" customHeight="1">
      <c r="A193" s="126"/>
      <c r="B193" s="126"/>
      <c r="C193" s="176"/>
      <c r="D193" s="17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row>
    <row r="194" spans="1:26" ht="15.75" customHeight="1">
      <c r="A194" s="126"/>
      <c r="B194" s="126"/>
      <c r="C194" s="176"/>
      <c r="D194" s="17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row>
    <row r="195" spans="1:26" ht="15.75" customHeight="1">
      <c r="A195" s="126"/>
      <c r="B195" s="126"/>
      <c r="C195" s="176"/>
      <c r="D195" s="17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row>
    <row r="196" spans="1:26" ht="15.75" customHeight="1">
      <c r="A196" s="126"/>
      <c r="B196" s="126"/>
      <c r="C196" s="176"/>
      <c r="D196" s="17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row>
    <row r="197" spans="1:26" ht="15.75" customHeight="1">
      <c r="A197" s="126"/>
      <c r="B197" s="126"/>
      <c r="C197" s="176"/>
      <c r="D197" s="17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row>
    <row r="198" spans="1:26" ht="15.75" customHeight="1">
      <c r="A198" s="126"/>
      <c r="B198" s="126"/>
      <c r="C198" s="176"/>
      <c r="D198" s="17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row>
    <row r="199" spans="1:26" ht="15.75" customHeight="1">
      <c r="A199" s="126"/>
      <c r="B199" s="126"/>
      <c r="C199" s="176"/>
      <c r="D199" s="17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row>
    <row r="200" spans="1:26" ht="15.75" customHeight="1">
      <c r="A200" s="126"/>
      <c r="B200" s="126"/>
      <c r="C200" s="176"/>
      <c r="D200" s="17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row>
    <row r="201" spans="1:26" ht="15.75" customHeight="1">
      <c r="A201" s="126"/>
      <c r="B201" s="126"/>
      <c r="C201" s="176"/>
      <c r="D201" s="17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row>
    <row r="202" spans="1:26" ht="15.75" customHeight="1">
      <c r="A202" s="126"/>
      <c r="B202" s="126"/>
      <c r="C202" s="176"/>
      <c r="D202" s="17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row>
    <row r="203" spans="1:26" ht="15.75" customHeight="1">
      <c r="A203" s="126"/>
      <c r="B203" s="126"/>
      <c r="C203" s="176"/>
      <c r="D203" s="17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row>
    <row r="204" spans="1:26" ht="15.75" customHeight="1">
      <c r="A204" s="126"/>
      <c r="B204" s="126"/>
      <c r="C204" s="176"/>
      <c r="D204" s="17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row>
    <row r="205" spans="1:26" ht="15.75" customHeight="1">
      <c r="A205" s="126"/>
      <c r="B205" s="126"/>
      <c r="C205" s="176"/>
      <c r="D205" s="17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row>
    <row r="206" spans="1:26" ht="15.75" customHeight="1">
      <c r="A206" s="126"/>
      <c r="B206" s="126"/>
      <c r="C206" s="176"/>
      <c r="D206" s="17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row>
    <row r="207" spans="1:26" ht="15.75" customHeight="1">
      <c r="A207" s="126"/>
      <c r="B207" s="126"/>
      <c r="C207" s="176"/>
      <c r="D207" s="17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row>
    <row r="208" spans="1:26" ht="15.75" customHeight="1">
      <c r="A208" s="126"/>
      <c r="B208" s="126"/>
      <c r="C208" s="176"/>
      <c r="D208" s="17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row>
    <row r="209" spans="1:26" ht="15.75" customHeight="1">
      <c r="A209" s="126"/>
      <c r="B209" s="126"/>
      <c r="C209" s="176"/>
      <c r="D209" s="17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row>
    <row r="210" spans="1:26" ht="15.75" customHeight="1">
      <c r="A210" s="126"/>
      <c r="B210" s="126"/>
      <c r="C210" s="176"/>
      <c r="D210" s="17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5.75" customHeight="1">
      <c r="A211" s="126"/>
      <c r="B211" s="126"/>
      <c r="C211" s="176"/>
      <c r="D211" s="17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5.75" customHeight="1">
      <c r="A212" s="126"/>
      <c r="B212" s="126"/>
      <c r="C212" s="176"/>
      <c r="D212" s="17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176"/>
      <c r="D213" s="17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176"/>
      <c r="D214" s="17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176"/>
      <c r="D215" s="17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176"/>
      <c r="D216" s="17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176"/>
      <c r="D217" s="17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176"/>
      <c r="D218" s="17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176"/>
      <c r="D219" s="17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176"/>
      <c r="D220" s="17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c r="A221" s="126"/>
      <c r="B221" s="126"/>
      <c r="C221" s="176"/>
      <c r="D221" s="17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row>
    <row r="222" spans="1:26" ht="15.75" customHeight="1">
      <c r="A222" s="126"/>
      <c r="B222" s="126"/>
      <c r="C222" s="176"/>
      <c r="D222" s="17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row>
    <row r="223" spans="1:26" ht="15.75" customHeight="1">
      <c r="A223" s="126"/>
      <c r="B223" s="126"/>
      <c r="C223" s="176"/>
      <c r="D223" s="17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row>
    <row r="224" spans="1:26" ht="15.75" customHeight="1">
      <c r="A224" s="126"/>
      <c r="B224" s="126"/>
      <c r="C224" s="176"/>
      <c r="D224" s="17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row>
    <row r="225" spans="1:26" ht="15.75" customHeight="1">
      <c r="A225" s="126"/>
      <c r="B225" s="126"/>
      <c r="C225" s="176"/>
      <c r="D225" s="17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row>
    <row r="226" spans="1:26" ht="15.75" customHeight="1">
      <c r="A226" s="126"/>
      <c r="B226" s="126"/>
      <c r="C226" s="176"/>
      <c r="D226" s="17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row>
    <row r="227" spans="1:26" ht="15.75" customHeight="1">
      <c r="A227" s="126"/>
      <c r="B227" s="126"/>
      <c r="C227" s="176"/>
      <c r="D227" s="17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row>
    <row r="228" spans="1:26" ht="15.75" customHeight="1">
      <c r="A228" s="126"/>
      <c r="B228" s="126"/>
      <c r="C228" s="176"/>
      <c r="D228" s="17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row>
    <row r="229" spans="1:26" ht="15.75" customHeight="1">
      <c r="A229" s="126"/>
      <c r="B229" s="126"/>
      <c r="C229" s="176"/>
      <c r="D229" s="17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row>
    <row r="230" spans="1:26" ht="15.75" customHeight="1">
      <c r="A230" s="126"/>
      <c r="B230" s="126"/>
      <c r="C230" s="176"/>
      <c r="D230" s="17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row>
    <row r="231" spans="1:26" ht="15.75" customHeight="1">
      <c r="A231" s="126"/>
      <c r="B231" s="126"/>
      <c r="C231" s="176"/>
      <c r="D231" s="17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row>
    <row r="232" spans="1:26" ht="15.75" customHeight="1">
      <c r="A232" s="126"/>
      <c r="B232" s="126"/>
      <c r="C232" s="176"/>
      <c r="D232" s="17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row>
    <row r="233" spans="1:26" ht="15.75" customHeight="1">
      <c r="A233" s="126"/>
      <c r="B233" s="126"/>
      <c r="C233" s="176"/>
      <c r="D233" s="17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row>
    <row r="234" spans="1:26" ht="15.75" customHeight="1">
      <c r="A234" s="126"/>
      <c r="B234" s="126"/>
      <c r="C234" s="176"/>
      <c r="D234" s="17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row>
    <row r="235" spans="1:26" ht="15.75" customHeight="1">
      <c r="A235" s="126"/>
      <c r="B235" s="126"/>
      <c r="C235" s="176"/>
      <c r="D235" s="17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row>
    <row r="236" spans="1:26" ht="15.75" customHeight="1">
      <c r="A236" s="126"/>
      <c r="B236" s="126"/>
      <c r="C236" s="176"/>
      <c r="D236" s="17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row>
    <row r="237" spans="1:26" ht="15.75" customHeight="1">
      <c r="A237" s="126"/>
      <c r="B237" s="126"/>
      <c r="C237" s="176"/>
      <c r="D237" s="17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row>
    <row r="238" spans="1:26" ht="15.75" customHeight="1">
      <c r="A238" s="126"/>
      <c r="B238" s="126"/>
      <c r="C238" s="176"/>
      <c r="D238" s="17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row>
    <row r="239" spans="1:26" ht="15.75" customHeight="1">
      <c r="A239" s="126"/>
      <c r="B239" s="126"/>
      <c r="C239" s="176"/>
      <c r="D239" s="17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row>
    <row r="240" spans="1:26" ht="15.75" customHeight="1">
      <c r="A240" s="126"/>
      <c r="B240" s="126"/>
      <c r="C240" s="176"/>
      <c r="D240" s="17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row>
    <row r="241" spans="1:26" ht="15.75" customHeight="1">
      <c r="A241" s="126"/>
      <c r="B241" s="126"/>
      <c r="C241" s="176"/>
      <c r="D241" s="17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row>
    <row r="242" spans="1:26" ht="15.75" customHeight="1">
      <c r="A242" s="126"/>
      <c r="B242" s="126"/>
      <c r="C242" s="176"/>
      <c r="D242" s="17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row>
    <row r="243" spans="1:26" ht="15.75" customHeight="1">
      <c r="A243" s="126"/>
      <c r="B243" s="126"/>
      <c r="C243" s="176"/>
      <c r="D243" s="17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row>
    <row r="244" spans="1:26" ht="15.75" customHeight="1">
      <c r="A244" s="126"/>
      <c r="B244" s="126"/>
      <c r="C244" s="176"/>
      <c r="D244" s="17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row>
    <row r="245" spans="1:26" ht="15.75" customHeight="1">
      <c r="A245" s="126"/>
      <c r="B245" s="126"/>
      <c r="C245" s="176"/>
      <c r="D245" s="17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row>
    <row r="246" spans="1:26" ht="15.75" customHeight="1">
      <c r="A246" s="126"/>
      <c r="B246" s="126"/>
      <c r="C246" s="176"/>
      <c r="D246" s="17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row>
    <row r="247" spans="1:26" ht="15.75" customHeight="1">
      <c r="A247" s="126"/>
      <c r="B247" s="126"/>
      <c r="C247" s="176"/>
      <c r="D247" s="17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row>
    <row r="248" spans="1:26" ht="15.75" customHeight="1">
      <c r="A248" s="126"/>
      <c r="B248" s="126"/>
      <c r="C248" s="176"/>
      <c r="D248" s="17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row>
    <row r="249" spans="1:26" ht="15.75" customHeight="1">
      <c r="A249" s="126"/>
      <c r="B249" s="126"/>
      <c r="C249" s="176"/>
      <c r="D249" s="17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row>
    <row r="250" spans="1:26" ht="15.75" customHeight="1">
      <c r="A250" s="126"/>
      <c r="B250" s="126"/>
      <c r="C250" s="176"/>
      <c r="D250" s="17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row>
    <row r="251" spans="1:26" ht="15.75" customHeight="1">
      <c r="A251" s="126"/>
      <c r="B251" s="126"/>
      <c r="C251" s="176"/>
      <c r="D251" s="17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row>
    <row r="252" spans="1:26" ht="15.75" customHeight="1">
      <c r="A252" s="126"/>
      <c r="B252" s="126"/>
      <c r="C252" s="176"/>
      <c r="D252" s="17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row>
    <row r="253" spans="1:26" ht="15.75" customHeight="1">
      <c r="A253" s="126"/>
      <c r="B253" s="126"/>
      <c r="C253" s="176"/>
      <c r="D253" s="17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row>
    <row r="254" spans="1:26" ht="15.75" customHeight="1">
      <c r="A254" s="126"/>
      <c r="B254" s="126"/>
      <c r="C254" s="176"/>
      <c r="D254" s="17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row>
    <row r="255" spans="1:26" ht="15.75" customHeight="1">
      <c r="A255" s="126"/>
      <c r="B255" s="126"/>
      <c r="C255" s="176"/>
      <c r="D255" s="17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row>
    <row r="256" spans="1:26" ht="15.75" customHeight="1">
      <c r="A256" s="126"/>
      <c r="B256" s="126"/>
      <c r="C256" s="176"/>
      <c r="D256" s="17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row>
    <row r="257" spans="1:26" ht="15.75" customHeight="1">
      <c r="A257" s="126"/>
      <c r="B257" s="126"/>
      <c r="C257" s="176"/>
      <c r="D257" s="17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row>
    <row r="258" spans="1:26" ht="15.75" customHeight="1">
      <c r="A258" s="126"/>
      <c r="B258" s="126"/>
      <c r="C258" s="176"/>
      <c r="D258" s="17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row>
    <row r="259" spans="1:26" ht="15.75" customHeight="1">
      <c r="A259" s="126"/>
      <c r="B259" s="126"/>
      <c r="C259" s="176"/>
      <c r="D259" s="17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row>
    <row r="260" spans="1:26" ht="15.75" customHeight="1">
      <c r="A260" s="126"/>
      <c r="B260" s="126"/>
      <c r="C260" s="176"/>
      <c r="D260" s="17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row>
    <row r="261" spans="1:26" ht="15.75" customHeight="1">
      <c r="A261" s="126"/>
      <c r="B261" s="126"/>
      <c r="C261" s="176"/>
      <c r="D261" s="17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row>
    <row r="262" spans="1:26" ht="15.75" customHeight="1">
      <c r="A262" s="126"/>
      <c r="B262" s="126"/>
      <c r="C262" s="176"/>
      <c r="D262" s="17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row>
    <row r="263" spans="1:26" ht="15.75" customHeight="1">
      <c r="A263" s="126"/>
      <c r="B263" s="126"/>
      <c r="C263" s="176"/>
      <c r="D263" s="17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row>
    <row r="264" spans="1:26" ht="15.75" customHeight="1">
      <c r="A264" s="126"/>
      <c r="B264" s="126"/>
      <c r="C264" s="176"/>
      <c r="D264" s="17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row>
    <row r="265" spans="1:26" ht="15.75" customHeight="1">
      <c r="A265" s="126"/>
      <c r="B265" s="126"/>
      <c r="C265" s="176"/>
      <c r="D265" s="17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row>
    <row r="266" spans="1:26" ht="15.75" customHeight="1">
      <c r="A266" s="126"/>
      <c r="B266" s="126"/>
      <c r="C266" s="176"/>
      <c r="D266" s="17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row>
    <row r="267" spans="1:26" ht="15.75" customHeight="1">
      <c r="A267" s="126"/>
      <c r="B267" s="126"/>
      <c r="C267" s="176"/>
      <c r="D267" s="17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row>
    <row r="268" spans="1:26" ht="15.75" customHeight="1">
      <c r="A268" s="126"/>
      <c r="B268" s="126"/>
      <c r="C268" s="176"/>
      <c r="D268" s="17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row>
    <row r="269" spans="1:26" ht="15.75" customHeight="1">
      <c r="A269" s="126"/>
      <c r="B269" s="126"/>
      <c r="C269" s="176"/>
      <c r="D269" s="17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row>
    <row r="270" spans="1:26" ht="15.75" customHeight="1">
      <c r="A270" s="126"/>
      <c r="B270" s="126"/>
      <c r="C270" s="176"/>
      <c r="D270" s="17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row>
    <row r="271" spans="1:26" ht="15.75" customHeight="1">
      <c r="A271" s="126"/>
      <c r="B271" s="126"/>
      <c r="C271" s="176"/>
      <c r="D271" s="17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row>
    <row r="272" spans="1:26" ht="15.75" customHeight="1">
      <c r="A272" s="126"/>
      <c r="B272" s="126"/>
      <c r="C272" s="176"/>
      <c r="D272" s="17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row>
    <row r="273" spans="1:26" ht="15.75" customHeight="1">
      <c r="A273" s="126"/>
      <c r="B273" s="126"/>
      <c r="C273" s="176"/>
      <c r="D273" s="17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row>
    <row r="274" spans="1:26" ht="15.75" customHeight="1">
      <c r="A274" s="126"/>
      <c r="B274" s="126"/>
      <c r="C274" s="176"/>
      <c r="D274" s="17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row>
    <row r="275" spans="1:26" ht="15.75" customHeight="1">
      <c r="A275" s="126"/>
      <c r="B275" s="126"/>
      <c r="C275" s="176"/>
      <c r="D275" s="17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row>
    <row r="276" spans="1:26" ht="15.75" customHeight="1">
      <c r="A276" s="126"/>
      <c r="B276" s="126"/>
      <c r="C276" s="176"/>
      <c r="D276" s="17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row>
    <row r="277" spans="1:26" ht="15.75" customHeight="1">
      <c r="A277" s="126"/>
      <c r="B277" s="126"/>
      <c r="C277" s="176"/>
      <c r="D277" s="17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row>
    <row r="278" spans="1:26" ht="15.75" customHeight="1">
      <c r="A278" s="126"/>
      <c r="B278" s="126"/>
      <c r="C278" s="176"/>
      <c r="D278" s="17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row>
    <row r="279" spans="1:26" ht="15.75" customHeight="1">
      <c r="A279" s="126"/>
      <c r="B279" s="126"/>
      <c r="C279" s="176"/>
      <c r="D279" s="17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row>
    <row r="280" spans="1:26" ht="15.75" customHeight="1">
      <c r="A280" s="126"/>
      <c r="B280" s="126"/>
      <c r="C280" s="176"/>
      <c r="D280" s="17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row>
    <row r="281" spans="1:26" ht="15.75" customHeight="1">
      <c r="A281" s="126"/>
      <c r="B281" s="126"/>
      <c r="C281" s="176"/>
      <c r="D281" s="17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row>
    <row r="282" spans="1:26" ht="15.75" customHeight="1">
      <c r="A282" s="126"/>
      <c r="B282" s="126"/>
      <c r="C282" s="176"/>
      <c r="D282" s="17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row>
    <row r="283" spans="1:26" ht="15.75" customHeight="1">
      <c r="A283" s="126"/>
      <c r="B283" s="126"/>
      <c r="C283" s="176"/>
      <c r="D283" s="17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row>
    <row r="284" spans="1:26" ht="15.75" customHeight="1">
      <c r="A284" s="126"/>
      <c r="B284" s="126"/>
      <c r="C284" s="176"/>
      <c r="D284" s="17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row>
    <row r="285" spans="1:26" ht="15.75" customHeight="1">
      <c r="A285" s="126"/>
      <c r="B285" s="126"/>
      <c r="C285" s="176"/>
      <c r="D285" s="17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row>
    <row r="286" spans="1:26" ht="15.75" customHeight="1">
      <c r="A286" s="126"/>
      <c r="B286" s="126"/>
      <c r="C286" s="176"/>
      <c r="D286" s="17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row>
    <row r="287" spans="1:26" ht="15.75" customHeight="1">
      <c r="A287" s="126"/>
      <c r="B287" s="126"/>
      <c r="C287" s="176"/>
      <c r="D287" s="17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row>
    <row r="288" spans="1:26" ht="15.75" customHeight="1">
      <c r="A288" s="126"/>
      <c r="B288" s="126"/>
      <c r="C288" s="176"/>
      <c r="D288" s="17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row>
    <row r="289" spans="1:26" ht="15.75" customHeight="1">
      <c r="A289" s="126"/>
      <c r="B289" s="126"/>
      <c r="C289" s="176"/>
      <c r="D289" s="17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row>
    <row r="290" spans="1:26" ht="15.75" customHeight="1">
      <c r="A290" s="126"/>
      <c r="B290" s="126"/>
      <c r="C290" s="176"/>
      <c r="D290" s="17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row>
    <row r="291" spans="1:26" ht="15.75" customHeight="1">
      <c r="A291" s="126"/>
      <c r="B291" s="126"/>
      <c r="C291" s="176"/>
      <c r="D291" s="17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row>
    <row r="292" spans="1:26" ht="15.75" customHeight="1">
      <c r="A292" s="126"/>
      <c r="B292" s="126"/>
      <c r="C292" s="176"/>
      <c r="D292" s="17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row>
    <row r="293" spans="1:26" ht="15.75" customHeight="1">
      <c r="A293" s="126"/>
      <c r="B293" s="126"/>
      <c r="C293" s="176"/>
      <c r="D293" s="17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row>
    <row r="294" spans="1:26" ht="15.75" customHeight="1">
      <c r="A294" s="126"/>
      <c r="B294" s="126"/>
      <c r="C294" s="176"/>
      <c r="D294" s="17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row>
    <row r="295" spans="1:26" ht="15.75" customHeight="1">
      <c r="A295" s="126"/>
      <c r="B295" s="126"/>
      <c r="C295" s="176"/>
      <c r="D295" s="17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row>
    <row r="296" spans="1:26" ht="15.75" customHeight="1">
      <c r="A296" s="126"/>
      <c r="B296" s="126"/>
      <c r="C296" s="176"/>
      <c r="D296" s="17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row>
    <row r="297" spans="1:26" ht="15.75" customHeight="1">
      <c r="A297" s="126"/>
      <c r="B297" s="126"/>
      <c r="C297" s="176"/>
      <c r="D297" s="17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row>
    <row r="298" spans="1:26" ht="15.75" customHeight="1">
      <c r="A298" s="126"/>
      <c r="B298" s="126"/>
      <c r="C298" s="176"/>
      <c r="D298" s="17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row>
    <row r="299" spans="1:26" ht="15.75" customHeight="1">
      <c r="A299" s="126"/>
      <c r="B299" s="126"/>
      <c r="C299" s="176"/>
      <c r="D299" s="17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row>
    <row r="300" spans="1:26" ht="15.75" customHeight="1">
      <c r="A300" s="126"/>
      <c r="B300" s="126"/>
      <c r="C300" s="176"/>
      <c r="D300" s="17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row>
    <row r="301" spans="1:26" ht="15.75" customHeight="1">
      <c r="A301" s="126"/>
      <c r="B301" s="126"/>
      <c r="C301" s="176"/>
      <c r="D301" s="17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row>
    <row r="302" spans="1:26" ht="15.75" customHeight="1">
      <c r="A302" s="126"/>
      <c r="B302" s="126"/>
      <c r="C302" s="176"/>
      <c r="D302" s="17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row>
    <row r="303" spans="1:26" ht="15.75" customHeight="1">
      <c r="A303" s="126"/>
      <c r="B303" s="126"/>
      <c r="C303" s="176"/>
      <c r="D303" s="17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row>
    <row r="304" spans="1:26" ht="15.75" customHeight="1">
      <c r="A304" s="126"/>
      <c r="B304" s="126"/>
      <c r="C304" s="176"/>
      <c r="D304" s="17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row>
    <row r="305" spans="1:26" ht="15.75" customHeight="1">
      <c r="A305" s="126"/>
      <c r="B305" s="126"/>
      <c r="C305" s="176"/>
      <c r="D305" s="17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row>
    <row r="306" spans="1:26" ht="15.75" customHeight="1">
      <c r="A306" s="126"/>
      <c r="B306" s="126"/>
      <c r="C306" s="176"/>
      <c r="D306" s="17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row>
    <row r="307" spans="1:26" ht="15.75" customHeight="1">
      <c r="A307" s="126"/>
      <c r="B307" s="126"/>
      <c r="C307" s="176"/>
      <c r="D307" s="17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row>
    <row r="308" spans="1:26" ht="15.75" customHeight="1">
      <c r="A308" s="126"/>
      <c r="B308" s="126"/>
      <c r="C308" s="176"/>
      <c r="D308" s="17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row>
    <row r="309" spans="1:26" ht="15.75" customHeight="1">
      <c r="A309" s="126"/>
      <c r="B309" s="126"/>
      <c r="C309" s="176"/>
      <c r="D309" s="17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row>
    <row r="310" spans="1:26" ht="15.75" customHeight="1">
      <c r="A310" s="126"/>
      <c r="B310" s="126"/>
      <c r="C310" s="176"/>
      <c r="D310" s="17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row>
    <row r="311" spans="1:26" ht="15.75" customHeight="1">
      <c r="A311" s="126"/>
      <c r="B311" s="126"/>
      <c r="C311" s="176"/>
      <c r="D311" s="17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row>
    <row r="312" spans="1:26" ht="15.75" customHeight="1">
      <c r="A312" s="126"/>
      <c r="B312" s="126"/>
      <c r="C312" s="176"/>
      <c r="D312" s="17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row>
    <row r="313" spans="1:26" ht="15.75" customHeight="1">
      <c r="A313" s="126"/>
      <c r="B313" s="126"/>
      <c r="C313" s="176"/>
      <c r="D313" s="17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row>
    <row r="314" spans="1:26" ht="15.75" customHeight="1">
      <c r="A314" s="126"/>
      <c r="B314" s="126"/>
      <c r="C314" s="176"/>
      <c r="D314" s="17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row>
    <row r="315" spans="1:26" ht="15.75" customHeight="1">
      <c r="A315" s="126"/>
      <c r="B315" s="126"/>
      <c r="C315" s="176"/>
      <c r="D315" s="17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row>
    <row r="316" spans="1:26" ht="15.75" customHeight="1">
      <c r="A316" s="126"/>
      <c r="B316" s="126"/>
      <c r="C316" s="176"/>
      <c r="D316" s="17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row>
    <row r="317" spans="1:26" ht="15.75" customHeight="1">
      <c r="A317" s="126"/>
      <c r="B317" s="126"/>
      <c r="C317" s="176"/>
      <c r="D317" s="17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row>
    <row r="318" spans="1:26" ht="15.75" customHeight="1">
      <c r="A318" s="126"/>
      <c r="B318" s="126"/>
      <c r="C318" s="176"/>
      <c r="D318" s="17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row>
    <row r="319" spans="1:26" ht="15.75" customHeight="1">
      <c r="A319" s="126"/>
      <c r="B319" s="126"/>
      <c r="C319" s="176"/>
      <c r="D319" s="17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row>
    <row r="320" spans="1:26" ht="15.75" customHeight="1">
      <c r="A320" s="126"/>
      <c r="B320" s="126"/>
      <c r="C320" s="176"/>
      <c r="D320" s="17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row>
    <row r="321" spans="1:26" ht="15.75" customHeight="1">
      <c r="A321" s="126"/>
      <c r="B321" s="126"/>
      <c r="C321" s="176"/>
      <c r="D321" s="17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row>
    <row r="322" spans="1:26" ht="15.75" customHeight="1">
      <c r="A322" s="126"/>
      <c r="B322" s="126"/>
      <c r="C322" s="176"/>
      <c r="D322" s="17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row>
    <row r="323" spans="1:26" ht="15.75" customHeight="1">
      <c r="A323" s="126"/>
      <c r="B323" s="126"/>
      <c r="C323" s="176"/>
      <c r="D323" s="17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row>
    <row r="324" spans="1:26" ht="15.75" customHeight="1">
      <c r="A324" s="126"/>
      <c r="B324" s="126"/>
      <c r="C324" s="176"/>
      <c r="D324" s="17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row>
    <row r="325" spans="1:26" ht="15.75" customHeight="1">
      <c r="A325" s="126"/>
      <c r="B325" s="126"/>
      <c r="C325" s="176"/>
      <c r="D325" s="17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row>
    <row r="326" spans="1:26" ht="15.75" customHeight="1">
      <c r="A326" s="126"/>
      <c r="B326" s="126"/>
      <c r="C326" s="176"/>
      <c r="D326" s="17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row>
    <row r="327" spans="1:26" ht="15.75" customHeight="1">
      <c r="A327" s="126"/>
      <c r="B327" s="126"/>
      <c r="C327" s="176"/>
      <c r="D327" s="17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row>
    <row r="328" spans="1:26" ht="15.75" customHeight="1">
      <c r="A328" s="126"/>
      <c r="B328" s="126"/>
      <c r="C328" s="176"/>
      <c r="D328" s="17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row>
    <row r="329" spans="1:26" ht="15.75" customHeight="1">
      <c r="A329" s="126"/>
      <c r="B329" s="126"/>
      <c r="C329" s="176"/>
      <c r="D329" s="17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row>
    <row r="330" spans="1:26" ht="15.75" customHeight="1">
      <c r="A330" s="126"/>
      <c r="B330" s="126"/>
      <c r="C330" s="176"/>
      <c r="D330" s="17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row>
    <row r="331" spans="1:26" ht="15.75" customHeight="1">
      <c r="A331" s="126"/>
      <c r="B331" s="126"/>
      <c r="C331" s="176"/>
      <c r="D331" s="17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row>
    <row r="332" spans="1:26" ht="15.75" customHeight="1">
      <c r="A332" s="126"/>
      <c r="B332" s="126"/>
      <c r="C332" s="176"/>
      <c r="D332" s="17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row>
    <row r="333" spans="1:26" ht="15.75" customHeight="1">
      <c r="A333" s="126"/>
      <c r="B333" s="126"/>
      <c r="C333" s="176"/>
      <c r="D333" s="17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row>
    <row r="334" spans="1:26" ht="15.75" customHeight="1">
      <c r="A334" s="126"/>
      <c r="B334" s="126"/>
      <c r="C334" s="176"/>
      <c r="D334" s="17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row>
    <row r="335" spans="1:26" ht="15.75" customHeight="1">
      <c r="A335" s="126"/>
      <c r="B335" s="126"/>
      <c r="C335" s="176"/>
      <c r="D335" s="17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row>
    <row r="336" spans="1:26" ht="15.75" customHeight="1">
      <c r="A336" s="126"/>
      <c r="B336" s="126"/>
      <c r="C336" s="176"/>
      <c r="D336" s="17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row>
    <row r="337" spans="1:26" ht="15.75" customHeight="1">
      <c r="A337" s="126"/>
      <c r="B337" s="126"/>
      <c r="C337" s="176"/>
      <c r="D337" s="17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row>
    <row r="338" spans="1:26" ht="15.75" customHeight="1">
      <c r="A338" s="126"/>
      <c r="B338" s="126"/>
      <c r="C338" s="176"/>
      <c r="D338" s="17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row>
    <row r="339" spans="1:26" ht="15.75" customHeight="1">
      <c r="A339" s="126"/>
      <c r="B339" s="126"/>
      <c r="C339" s="176"/>
      <c r="D339" s="17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row>
    <row r="340" spans="1:26" ht="15.75" customHeight="1">
      <c r="A340" s="126"/>
      <c r="B340" s="126"/>
      <c r="C340" s="176"/>
      <c r="D340" s="17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row>
    <row r="341" spans="1:26" ht="15.75" customHeight="1">
      <c r="A341" s="126"/>
      <c r="B341" s="126"/>
      <c r="C341" s="176"/>
      <c r="D341" s="17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row>
    <row r="342" spans="1:26" ht="15.75" customHeight="1">
      <c r="A342" s="126"/>
      <c r="B342" s="126"/>
      <c r="C342" s="176"/>
      <c r="D342" s="17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row>
    <row r="343" spans="1:26" ht="15.75" customHeight="1">
      <c r="A343" s="126"/>
      <c r="B343" s="126"/>
      <c r="C343" s="176"/>
      <c r="D343" s="17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row>
    <row r="344" spans="1:26" ht="15.75" customHeight="1">
      <c r="A344" s="126"/>
      <c r="B344" s="126"/>
      <c r="C344" s="176"/>
      <c r="D344" s="17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row>
    <row r="345" spans="1:26" ht="15.75" customHeight="1">
      <c r="A345" s="126"/>
      <c r="B345" s="126"/>
      <c r="C345" s="176"/>
      <c r="D345" s="17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row>
    <row r="346" spans="1:26" ht="15.75" customHeight="1">
      <c r="A346" s="126"/>
      <c r="B346" s="126"/>
      <c r="C346" s="176"/>
      <c r="D346" s="17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row>
    <row r="347" spans="1:26" ht="15.75" customHeight="1">
      <c r="A347" s="126"/>
      <c r="B347" s="126"/>
      <c r="C347" s="176"/>
      <c r="D347" s="17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row>
    <row r="348" spans="1:26" ht="15.75" customHeight="1">
      <c r="A348" s="126"/>
      <c r="B348" s="126"/>
      <c r="C348" s="176"/>
      <c r="D348" s="17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row>
    <row r="349" spans="1:26" ht="15.75" customHeight="1">
      <c r="A349" s="126"/>
      <c r="B349" s="126"/>
      <c r="C349" s="176"/>
      <c r="D349" s="17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row>
    <row r="350" spans="1:26" ht="15.75" customHeight="1">
      <c r="A350" s="126"/>
      <c r="B350" s="126"/>
      <c r="C350" s="176"/>
      <c r="D350" s="17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row>
    <row r="351" spans="1:26" ht="15.75" customHeight="1">
      <c r="A351" s="126"/>
      <c r="B351" s="126"/>
      <c r="C351" s="176"/>
      <c r="D351" s="17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row>
    <row r="352" spans="1:26" ht="15.75" customHeight="1">
      <c r="A352" s="126"/>
      <c r="B352" s="126"/>
      <c r="C352" s="176"/>
      <c r="D352" s="17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row>
    <row r="353" spans="1:26" ht="15.75" customHeight="1">
      <c r="A353" s="126"/>
      <c r="B353" s="126"/>
      <c r="C353" s="176"/>
      <c r="D353" s="17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row>
    <row r="354" spans="1:26" ht="15.75" customHeight="1">
      <c r="A354" s="126"/>
      <c r="B354" s="126"/>
      <c r="C354" s="176"/>
      <c r="D354" s="17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row>
    <row r="355" spans="1:26" ht="15.75" customHeight="1">
      <c r="A355" s="126"/>
      <c r="B355" s="126"/>
      <c r="C355" s="176"/>
      <c r="D355" s="17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row>
    <row r="356" spans="1:26" ht="15.75" customHeight="1">
      <c r="A356" s="126"/>
      <c r="B356" s="126"/>
      <c r="C356" s="176"/>
      <c r="D356" s="17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row>
    <row r="357" spans="1:26" ht="15.75" customHeight="1">
      <c r="A357" s="126"/>
      <c r="B357" s="126"/>
      <c r="C357" s="176"/>
      <c r="D357" s="17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row>
    <row r="358" spans="1:26" ht="15.75" customHeight="1">
      <c r="A358" s="126"/>
      <c r="B358" s="126"/>
      <c r="C358" s="176"/>
      <c r="D358" s="17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row>
    <row r="359" spans="1:26" ht="15.75" customHeight="1">
      <c r="A359" s="126"/>
      <c r="B359" s="126"/>
      <c r="C359" s="176"/>
      <c r="D359" s="17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row>
    <row r="360" spans="1:26" ht="15.75" customHeight="1">
      <c r="A360" s="126"/>
      <c r="B360" s="126"/>
      <c r="C360" s="176"/>
      <c r="D360" s="17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row>
    <row r="361" spans="1:26" ht="15.75" customHeight="1">
      <c r="A361" s="126"/>
      <c r="B361" s="126"/>
      <c r="C361" s="176"/>
      <c r="D361" s="17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row>
    <row r="362" spans="1:26" ht="15.75" customHeight="1">
      <c r="A362" s="126"/>
      <c r="B362" s="126"/>
      <c r="C362" s="176"/>
      <c r="D362" s="17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row>
    <row r="363" spans="1:26" ht="15.75" customHeight="1">
      <c r="A363" s="126"/>
      <c r="B363" s="126"/>
      <c r="C363" s="176"/>
      <c r="D363" s="17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row>
    <row r="364" spans="1:26" ht="15.75" customHeight="1">
      <c r="A364" s="126"/>
      <c r="B364" s="126"/>
      <c r="C364" s="176"/>
      <c r="D364" s="17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row>
    <row r="365" spans="1:26" ht="15.75" customHeight="1">
      <c r="A365" s="126"/>
      <c r="B365" s="126"/>
      <c r="C365" s="176"/>
      <c r="D365" s="17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row>
    <row r="366" spans="1:26" ht="15.75" customHeight="1">
      <c r="A366" s="126"/>
      <c r="B366" s="126"/>
      <c r="C366" s="176"/>
      <c r="D366" s="17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row>
    <row r="367" spans="1:26" ht="15.75" customHeight="1">
      <c r="A367" s="126"/>
      <c r="B367" s="126"/>
      <c r="C367" s="176"/>
      <c r="D367" s="17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row>
    <row r="368" spans="1:26" ht="15.75" customHeight="1">
      <c r="A368" s="126"/>
      <c r="B368" s="126"/>
      <c r="C368" s="176"/>
      <c r="D368" s="17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row>
    <row r="369" spans="1:26" ht="15.75" customHeight="1">
      <c r="A369" s="126"/>
      <c r="B369" s="126"/>
      <c r="C369" s="176"/>
      <c r="D369" s="17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row>
    <row r="370" spans="1:26" ht="15.75" customHeight="1">
      <c r="A370" s="126"/>
      <c r="B370" s="126"/>
      <c r="C370" s="176"/>
      <c r="D370" s="17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row>
    <row r="371" spans="1:26" ht="15.75" customHeight="1">
      <c r="A371" s="126"/>
      <c r="B371" s="126"/>
      <c r="C371" s="176"/>
      <c r="D371" s="17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row>
    <row r="372" spans="1:26" ht="15.75" customHeight="1">
      <c r="A372" s="126"/>
      <c r="B372" s="126"/>
      <c r="C372" s="176"/>
      <c r="D372" s="17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row>
    <row r="373" spans="1:26" ht="15.75" customHeight="1">
      <c r="A373" s="126"/>
      <c r="B373" s="126"/>
      <c r="C373" s="176"/>
      <c r="D373" s="17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row>
    <row r="374" spans="1:26" ht="15.75" customHeight="1">
      <c r="A374" s="126"/>
      <c r="B374" s="126"/>
      <c r="C374" s="176"/>
      <c r="D374" s="17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row>
    <row r="375" spans="1:26" ht="15.75" customHeight="1">
      <c r="A375" s="126"/>
      <c r="B375" s="126"/>
      <c r="C375" s="176"/>
      <c r="D375" s="17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row>
    <row r="376" spans="1:26" ht="15.75" customHeight="1">
      <c r="A376" s="126"/>
      <c r="B376" s="126"/>
      <c r="C376" s="176"/>
      <c r="D376" s="17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row>
    <row r="377" spans="1:26" ht="15.75" customHeight="1">
      <c r="A377" s="126"/>
      <c r="B377" s="126"/>
      <c r="C377" s="176"/>
      <c r="D377" s="17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row>
    <row r="378" spans="1:26" ht="15.75" customHeight="1">
      <c r="A378" s="126"/>
      <c r="B378" s="126"/>
      <c r="C378" s="176"/>
      <c r="D378" s="17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row>
    <row r="379" spans="1:26" ht="15.75" customHeight="1">
      <c r="A379" s="126"/>
      <c r="B379" s="126"/>
      <c r="C379" s="176"/>
      <c r="D379" s="17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row>
    <row r="380" spans="1:26" ht="15.75" customHeight="1">
      <c r="A380" s="126"/>
      <c r="B380" s="126"/>
      <c r="C380" s="176"/>
      <c r="D380" s="17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row>
    <row r="381" spans="1:26" ht="15.75" customHeight="1">
      <c r="A381" s="126"/>
      <c r="B381" s="126"/>
      <c r="C381" s="176"/>
      <c r="D381" s="17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row>
    <row r="382" spans="1:26" ht="15.75" customHeight="1">
      <c r="A382" s="126"/>
      <c r="B382" s="126"/>
      <c r="C382" s="176"/>
      <c r="D382" s="17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row>
    <row r="383" spans="1:26" ht="15.75" customHeight="1">
      <c r="A383" s="126"/>
      <c r="B383" s="126"/>
      <c r="C383" s="176"/>
      <c r="D383" s="17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row>
    <row r="384" spans="1:26" ht="15.75" customHeight="1">
      <c r="A384" s="126"/>
      <c r="B384" s="126"/>
      <c r="C384" s="176"/>
      <c r="D384" s="17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row>
    <row r="385" spans="1:26" ht="15.75" customHeight="1">
      <c r="A385" s="126"/>
      <c r="B385" s="126"/>
      <c r="C385" s="176"/>
      <c r="D385" s="17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row>
    <row r="386" spans="1:26" ht="15.75" customHeight="1">
      <c r="A386" s="126"/>
      <c r="B386" s="126"/>
      <c r="C386" s="176"/>
      <c r="D386" s="17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row>
    <row r="387" spans="1:26" ht="15.75" customHeight="1">
      <c r="A387" s="126"/>
      <c r="B387" s="126"/>
      <c r="C387" s="176"/>
      <c r="D387" s="17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row>
    <row r="388" spans="1:26" ht="15.75" customHeight="1">
      <c r="A388" s="126"/>
      <c r="B388" s="126"/>
      <c r="C388" s="176"/>
      <c r="D388" s="17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row>
    <row r="389" spans="1:26" ht="15.75" customHeight="1">
      <c r="A389" s="126"/>
      <c r="B389" s="126"/>
      <c r="C389" s="176"/>
      <c r="D389" s="17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row>
    <row r="390" spans="1:26" ht="15.75" customHeight="1">
      <c r="A390" s="126"/>
      <c r="B390" s="126"/>
      <c r="C390" s="176"/>
      <c r="D390" s="17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row>
    <row r="391" spans="1:26" ht="15.75" customHeight="1">
      <c r="A391" s="126"/>
      <c r="B391" s="126"/>
      <c r="C391" s="176"/>
      <c r="D391" s="17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row>
    <row r="392" spans="1:26" ht="15.75" customHeight="1">
      <c r="A392" s="126"/>
      <c r="B392" s="126"/>
      <c r="C392" s="176"/>
      <c r="D392" s="17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row>
    <row r="393" spans="1:26" ht="15.75" customHeight="1">
      <c r="A393" s="126"/>
      <c r="B393" s="126"/>
      <c r="C393" s="176"/>
      <c r="D393" s="17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row>
    <row r="394" spans="1:26" ht="15.75" customHeight="1">
      <c r="A394" s="126"/>
      <c r="B394" s="126"/>
      <c r="C394" s="176"/>
      <c r="D394" s="17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row>
    <row r="395" spans="1:26" ht="15.75" customHeight="1">
      <c r="A395" s="126"/>
      <c r="B395" s="126"/>
      <c r="C395" s="176"/>
      <c r="D395" s="17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row>
    <row r="396" spans="1:26" ht="15.75" customHeight="1">
      <c r="A396" s="126"/>
      <c r="B396" s="126"/>
      <c r="C396" s="176"/>
      <c r="D396" s="17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row>
    <row r="397" spans="1:26" ht="15.75" customHeight="1">
      <c r="A397" s="126"/>
      <c r="B397" s="126"/>
      <c r="C397" s="176"/>
      <c r="D397" s="17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row>
    <row r="398" spans="1:26" ht="15.75" customHeight="1">
      <c r="A398" s="126"/>
      <c r="B398" s="126"/>
      <c r="C398" s="176"/>
      <c r="D398" s="17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row>
    <row r="399" spans="1:26" ht="15.75" customHeight="1">
      <c r="A399" s="126"/>
      <c r="B399" s="126"/>
      <c r="C399" s="176"/>
      <c r="D399" s="17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row>
    <row r="400" spans="1:26" ht="15.75" customHeight="1">
      <c r="A400" s="126"/>
      <c r="B400" s="126"/>
      <c r="C400" s="176"/>
      <c r="D400" s="17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row>
    <row r="401" spans="1:26" ht="15.75" customHeight="1">
      <c r="A401" s="126"/>
      <c r="B401" s="126"/>
      <c r="C401" s="176"/>
      <c r="D401" s="17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row>
    <row r="402" spans="1:26" ht="15.75" customHeight="1">
      <c r="A402" s="126"/>
      <c r="B402" s="126"/>
      <c r="C402" s="176"/>
      <c r="D402" s="17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row>
    <row r="403" spans="1:26" ht="15.75" customHeight="1">
      <c r="A403" s="126"/>
      <c r="B403" s="126"/>
      <c r="C403" s="176"/>
      <c r="D403" s="17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row>
    <row r="404" spans="1:26" ht="15.75" customHeight="1">
      <c r="A404" s="126"/>
      <c r="B404" s="126"/>
      <c r="C404" s="176"/>
      <c r="D404" s="17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row>
    <row r="405" spans="1:26" ht="15.75" customHeight="1">
      <c r="A405" s="126"/>
      <c r="B405" s="126"/>
      <c r="C405" s="176"/>
      <c r="D405" s="17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row>
    <row r="406" spans="1:26" ht="15.75" customHeight="1">
      <c r="A406" s="126"/>
      <c r="B406" s="126"/>
      <c r="C406" s="176"/>
      <c r="D406" s="17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row>
    <row r="407" spans="1:26" ht="15.75" customHeight="1">
      <c r="A407" s="126"/>
      <c r="B407" s="126"/>
      <c r="C407" s="176"/>
      <c r="D407" s="17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row>
    <row r="408" spans="1:26" ht="15.75" customHeight="1">
      <c r="A408" s="126"/>
      <c r="B408" s="126"/>
      <c r="C408" s="176"/>
      <c r="D408" s="17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row>
    <row r="409" spans="1:26" ht="15.75" customHeight="1">
      <c r="A409" s="126"/>
      <c r="B409" s="126"/>
      <c r="C409" s="176"/>
      <c r="D409" s="17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row>
    <row r="410" spans="1:26" ht="15.75" customHeight="1">
      <c r="A410" s="126"/>
      <c r="B410" s="126"/>
      <c r="C410" s="176"/>
      <c r="D410" s="17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row>
    <row r="411" spans="1:26" ht="15.75" customHeight="1">
      <c r="A411" s="126"/>
      <c r="B411" s="126"/>
      <c r="C411" s="176"/>
      <c r="D411" s="17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row>
    <row r="412" spans="1:26" ht="15.75" customHeight="1">
      <c r="A412" s="126"/>
      <c r="B412" s="126"/>
      <c r="C412" s="176"/>
      <c r="D412" s="17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row>
    <row r="413" spans="1:26" ht="15.75" customHeight="1">
      <c r="A413" s="126"/>
      <c r="B413" s="126"/>
      <c r="C413" s="176"/>
      <c r="D413" s="17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row>
    <row r="414" spans="1:26" ht="15.75" customHeight="1">
      <c r="A414" s="126"/>
      <c r="B414" s="126"/>
      <c r="C414" s="176"/>
      <c r="D414" s="17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row>
    <row r="415" spans="1:26" ht="15.75" customHeight="1">
      <c r="A415" s="126"/>
      <c r="B415" s="126"/>
      <c r="C415" s="176"/>
      <c r="D415" s="17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row>
    <row r="416" spans="1:26" ht="15.75" customHeight="1">
      <c r="A416" s="126"/>
      <c r="B416" s="126"/>
      <c r="C416" s="176"/>
      <c r="D416" s="17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row>
    <row r="417" spans="1:26" ht="15.75" customHeight="1">
      <c r="A417" s="126"/>
      <c r="B417" s="126"/>
      <c r="C417" s="176"/>
      <c r="D417" s="17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row>
    <row r="418" spans="1:26" ht="15.75" customHeight="1">
      <c r="A418" s="126"/>
      <c r="B418" s="126"/>
      <c r="C418" s="176"/>
      <c r="D418" s="17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row>
    <row r="419" spans="1:26" ht="15.75" customHeight="1">
      <c r="A419" s="126"/>
      <c r="B419" s="126"/>
      <c r="C419" s="176"/>
      <c r="D419" s="17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row>
    <row r="420" spans="1:26" ht="15.75" customHeight="1">
      <c r="A420" s="126"/>
      <c r="B420" s="126"/>
      <c r="C420" s="176"/>
      <c r="D420" s="17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row>
    <row r="421" spans="1:26" ht="15.75" customHeight="1">
      <c r="A421" s="126"/>
      <c r="B421" s="126"/>
      <c r="C421" s="176"/>
      <c r="D421" s="17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row>
    <row r="422" spans="1:26" ht="15.75" customHeight="1">
      <c r="A422" s="126"/>
      <c r="B422" s="126"/>
      <c r="C422" s="176"/>
      <c r="D422" s="17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row>
    <row r="423" spans="1:26" ht="15.75" customHeight="1">
      <c r="A423" s="126"/>
      <c r="B423" s="126"/>
      <c r="C423" s="176"/>
      <c r="D423" s="17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row>
    <row r="424" spans="1:26" ht="15.75" customHeight="1">
      <c r="A424" s="126"/>
      <c r="B424" s="126"/>
      <c r="C424" s="176"/>
      <c r="D424" s="17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row>
    <row r="425" spans="1:26" ht="15.75" customHeight="1">
      <c r="A425" s="126"/>
      <c r="B425" s="126"/>
      <c r="C425" s="176"/>
      <c r="D425" s="17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row>
    <row r="426" spans="1:26" ht="15.75" customHeight="1">
      <c r="A426" s="126"/>
      <c r="B426" s="126"/>
      <c r="C426" s="176"/>
      <c r="D426" s="17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row>
    <row r="427" spans="1:26" ht="15.75" customHeight="1">
      <c r="A427" s="126"/>
      <c r="B427" s="126"/>
      <c r="C427" s="176"/>
      <c r="D427" s="17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row>
    <row r="428" spans="1:26" ht="15.75" customHeight="1">
      <c r="A428" s="126"/>
      <c r="B428" s="126"/>
      <c r="C428" s="176"/>
      <c r="D428" s="17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row>
    <row r="429" spans="1:26" ht="15.75" customHeight="1">
      <c r="A429" s="126"/>
      <c r="B429" s="126"/>
      <c r="C429" s="176"/>
      <c r="D429" s="17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row>
    <row r="430" spans="1:26" ht="15.75" customHeight="1">
      <c r="A430" s="126"/>
      <c r="B430" s="126"/>
      <c r="C430" s="176"/>
      <c r="D430" s="17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row>
    <row r="431" spans="1:26" ht="15.75" customHeight="1">
      <c r="A431" s="126"/>
      <c r="B431" s="126"/>
      <c r="C431" s="176"/>
      <c r="D431" s="17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row>
    <row r="432" spans="1:26" ht="15.75" customHeight="1">
      <c r="A432" s="126"/>
      <c r="B432" s="126"/>
      <c r="C432" s="176"/>
      <c r="D432" s="17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row>
    <row r="433" spans="1:26" ht="15.75" customHeight="1">
      <c r="A433" s="126"/>
      <c r="B433" s="126"/>
      <c r="C433" s="176"/>
      <c r="D433" s="17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row>
    <row r="434" spans="1:26" ht="15.75" customHeight="1">
      <c r="A434" s="126"/>
      <c r="B434" s="126"/>
      <c r="C434" s="176"/>
      <c r="D434" s="17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row>
    <row r="435" spans="1:26" ht="15.75" customHeight="1">
      <c r="A435" s="126"/>
      <c r="B435" s="126"/>
      <c r="C435" s="176"/>
      <c r="D435" s="17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row>
    <row r="436" spans="1:26" ht="15.75" customHeight="1">
      <c r="A436" s="126"/>
      <c r="B436" s="126"/>
      <c r="C436" s="176"/>
      <c r="D436" s="17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row>
    <row r="437" spans="1:26" ht="15.75" customHeight="1">
      <c r="A437" s="126"/>
      <c r="B437" s="126"/>
      <c r="C437" s="176"/>
      <c r="D437" s="17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row>
    <row r="438" spans="1:26" ht="15.75" customHeight="1">
      <c r="A438" s="126"/>
      <c r="B438" s="126"/>
      <c r="C438" s="176"/>
      <c r="D438" s="17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row>
    <row r="439" spans="1:26" ht="15.75" customHeight="1">
      <c r="A439" s="126"/>
      <c r="B439" s="126"/>
      <c r="C439" s="176"/>
      <c r="D439" s="17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row>
    <row r="440" spans="1:26" ht="15.75" customHeight="1">
      <c r="A440" s="126"/>
      <c r="B440" s="126"/>
      <c r="C440" s="176"/>
      <c r="D440" s="17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row>
    <row r="441" spans="1:26" ht="15.75" customHeight="1">
      <c r="A441" s="126"/>
      <c r="B441" s="126"/>
      <c r="C441" s="176"/>
      <c r="D441" s="17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row>
    <row r="442" spans="1:26" ht="15.75" customHeight="1">
      <c r="A442" s="126"/>
      <c r="B442" s="126"/>
      <c r="C442" s="176"/>
      <c r="D442" s="17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row>
    <row r="443" spans="1:26" ht="15.75" customHeight="1">
      <c r="A443" s="126"/>
      <c r="B443" s="126"/>
      <c r="C443" s="176"/>
      <c r="D443" s="17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row>
    <row r="444" spans="1:26" ht="15.75" customHeight="1">
      <c r="A444" s="126"/>
      <c r="B444" s="126"/>
      <c r="C444" s="176"/>
      <c r="D444" s="17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row>
    <row r="445" spans="1:26" ht="15.75" customHeight="1">
      <c r="A445" s="126"/>
      <c r="B445" s="126"/>
      <c r="C445" s="176"/>
      <c r="D445" s="17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row>
    <row r="446" spans="1:26" ht="15.75" customHeight="1">
      <c r="A446" s="126"/>
      <c r="B446" s="126"/>
      <c r="C446" s="176"/>
      <c r="D446" s="17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row>
    <row r="447" spans="1:26" ht="15.75" customHeight="1">
      <c r="A447" s="126"/>
      <c r="B447" s="126"/>
      <c r="C447" s="176"/>
      <c r="D447" s="17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row>
    <row r="448" spans="1:26" ht="15.75" customHeight="1">
      <c r="A448" s="126"/>
      <c r="B448" s="126"/>
      <c r="C448" s="176"/>
      <c r="D448" s="17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row>
    <row r="449" spans="1:26" ht="15.75" customHeight="1">
      <c r="A449" s="126"/>
      <c r="B449" s="126"/>
      <c r="C449" s="176"/>
      <c r="D449" s="17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row>
    <row r="450" spans="1:26" ht="15.75" customHeight="1">
      <c r="A450" s="126"/>
      <c r="B450" s="126"/>
      <c r="C450" s="176"/>
      <c r="D450" s="17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row>
    <row r="451" spans="1:26" ht="15.75" customHeight="1">
      <c r="A451" s="126"/>
      <c r="B451" s="126"/>
      <c r="C451" s="176"/>
      <c r="D451" s="17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row>
    <row r="452" spans="1:26" ht="15.75" customHeight="1">
      <c r="A452" s="126"/>
      <c r="B452" s="126"/>
      <c r="C452" s="176"/>
      <c r="D452" s="17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row>
    <row r="453" spans="1:26" ht="15.75" customHeight="1">
      <c r="A453" s="126"/>
      <c r="B453" s="126"/>
      <c r="C453" s="176"/>
      <c r="D453" s="17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row>
    <row r="454" spans="1:26" ht="15.75" customHeight="1">
      <c r="A454" s="126"/>
      <c r="B454" s="126"/>
      <c r="C454" s="176"/>
      <c r="D454" s="17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row>
    <row r="455" spans="1:26" ht="15.75" customHeight="1">
      <c r="A455" s="126"/>
      <c r="B455" s="126"/>
      <c r="C455" s="176"/>
      <c r="D455" s="17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row>
    <row r="456" spans="1:26" ht="15.75" customHeight="1">
      <c r="A456" s="126"/>
      <c r="B456" s="126"/>
      <c r="C456" s="176"/>
      <c r="D456" s="17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row>
    <row r="457" spans="1:26" ht="15.75" customHeight="1">
      <c r="A457" s="126"/>
      <c r="B457" s="126"/>
      <c r="C457" s="176"/>
      <c r="D457" s="17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row>
    <row r="458" spans="1:26" ht="15.75" customHeight="1">
      <c r="A458" s="126"/>
      <c r="B458" s="126"/>
      <c r="C458" s="176"/>
      <c r="D458" s="17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row>
    <row r="459" spans="1:26" ht="15.75" customHeight="1">
      <c r="A459" s="126"/>
      <c r="B459" s="126"/>
      <c r="C459" s="176"/>
      <c r="D459" s="17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row>
    <row r="460" spans="1:26" ht="15.75" customHeight="1">
      <c r="A460" s="126"/>
      <c r="B460" s="126"/>
      <c r="C460" s="176"/>
      <c r="D460" s="17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row>
    <row r="461" spans="1:26" ht="15.75" customHeight="1">
      <c r="A461" s="126"/>
      <c r="B461" s="126"/>
      <c r="C461" s="176"/>
      <c r="D461" s="17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row>
    <row r="462" spans="1:26" ht="15.75" customHeight="1">
      <c r="A462" s="126"/>
      <c r="B462" s="126"/>
      <c r="C462" s="176"/>
      <c r="D462" s="17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row>
    <row r="463" spans="1:26" ht="15.75" customHeight="1">
      <c r="A463" s="126"/>
      <c r="B463" s="126"/>
      <c r="C463" s="176"/>
      <c r="D463" s="17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row>
    <row r="464" spans="1:26" ht="15.75" customHeight="1">
      <c r="A464" s="126"/>
      <c r="B464" s="126"/>
      <c r="C464" s="176"/>
      <c r="D464" s="17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row>
    <row r="465" spans="1:26" ht="15.75" customHeight="1">
      <c r="A465" s="126"/>
      <c r="B465" s="126"/>
      <c r="C465" s="176"/>
      <c r="D465" s="17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row>
    <row r="466" spans="1:26" ht="15.75" customHeight="1">
      <c r="A466" s="126"/>
      <c r="B466" s="126"/>
      <c r="C466" s="176"/>
      <c r="D466" s="17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row>
    <row r="467" spans="1:26" ht="15.75" customHeight="1">
      <c r="A467" s="126"/>
      <c r="B467" s="126"/>
      <c r="C467" s="176"/>
      <c r="D467" s="17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row>
    <row r="468" spans="1:26" ht="15.75" customHeight="1">
      <c r="A468" s="126"/>
      <c r="B468" s="126"/>
      <c r="C468" s="176"/>
      <c r="D468" s="17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row>
    <row r="469" spans="1:26" ht="15.75" customHeight="1">
      <c r="A469" s="126"/>
      <c r="B469" s="126"/>
      <c r="C469" s="176"/>
      <c r="D469" s="17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row>
    <row r="470" spans="1:26" ht="15.75" customHeight="1">
      <c r="A470" s="126"/>
      <c r="B470" s="126"/>
      <c r="C470" s="176"/>
      <c r="D470" s="17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row>
    <row r="471" spans="1:26" ht="15.75" customHeight="1">
      <c r="A471" s="126"/>
      <c r="B471" s="126"/>
      <c r="C471" s="176"/>
      <c r="D471" s="17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row>
    <row r="472" spans="1:26" ht="15.75" customHeight="1">
      <c r="A472" s="126"/>
      <c r="B472" s="126"/>
      <c r="C472" s="176"/>
      <c r="D472" s="17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row>
    <row r="473" spans="1:26" ht="15.75" customHeight="1">
      <c r="A473" s="126"/>
      <c r="B473" s="126"/>
      <c r="C473" s="176"/>
      <c r="D473" s="17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row>
    <row r="474" spans="1:26" ht="15.75" customHeight="1">
      <c r="A474" s="126"/>
      <c r="B474" s="126"/>
      <c r="C474" s="176"/>
      <c r="D474" s="17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row>
    <row r="475" spans="1:26" ht="15.75" customHeight="1">
      <c r="A475" s="126"/>
      <c r="B475" s="126"/>
      <c r="C475" s="176"/>
      <c r="D475" s="17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row>
    <row r="476" spans="1:26" ht="15.75" customHeight="1">
      <c r="A476" s="126"/>
      <c r="B476" s="126"/>
      <c r="C476" s="176"/>
      <c r="D476" s="17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row>
    <row r="477" spans="1:26" ht="15.75" customHeight="1">
      <c r="A477" s="126"/>
      <c r="B477" s="126"/>
      <c r="C477" s="176"/>
      <c r="D477" s="17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row>
    <row r="478" spans="1:26" ht="15.75" customHeight="1">
      <c r="A478" s="126"/>
      <c r="B478" s="126"/>
      <c r="C478" s="176"/>
      <c r="D478" s="17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row>
    <row r="479" spans="1:26" ht="15.75" customHeight="1">
      <c r="A479" s="126"/>
      <c r="B479" s="126"/>
      <c r="C479" s="176"/>
      <c r="D479" s="17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row>
    <row r="480" spans="1:26" ht="15.75" customHeight="1">
      <c r="A480" s="126"/>
      <c r="B480" s="126"/>
      <c r="C480" s="176"/>
      <c r="D480" s="17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row>
    <row r="481" spans="1:26" ht="15.75" customHeight="1">
      <c r="A481" s="126"/>
      <c r="B481" s="126"/>
      <c r="C481" s="176"/>
      <c r="D481" s="17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row>
    <row r="482" spans="1:26" ht="15.75" customHeight="1">
      <c r="A482" s="126"/>
      <c r="B482" s="126"/>
      <c r="C482" s="176"/>
      <c r="D482" s="17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row>
    <row r="483" spans="1:26" ht="15.75" customHeight="1">
      <c r="A483" s="126"/>
      <c r="B483" s="126"/>
      <c r="C483" s="176"/>
      <c r="D483" s="17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row>
    <row r="484" spans="1:26" ht="15.75" customHeight="1">
      <c r="A484" s="126"/>
      <c r="B484" s="126"/>
      <c r="C484" s="176"/>
      <c r="D484" s="17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row>
    <row r="485" spans="1:26" ht="15.75" customHeight="1">
      <c r="A485" s="126"/>
      <c r="B485" s="126"/>
      <c r="C485" s="176"/>
      <c r="D485" s="17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row>
    <row r="486" spans="1:26" ht="15.75" customHeight="1">
      <c r="A486" s="126"/>
      <c r="B486" s="126"/>
      <c r="C486" s="176"/>
      <c r="D486" s="17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row>
    <row r="487" spans="1:26" ht="15.75" customHeight="1">
      <c r="A487" s="126"/>
      <c r="B487" s="126"/>
      <c r="C487" s="176"/>
      <c r="D487" s="17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row>
    <row r="488" spans="1:26" ht="15.75" customHeight="1">
      <c r="A488" s="126"/>
      <c r="B488" s="126"/>
      <c r="C488" s="176"/>
      <c r="D488" s="17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row>
    <row r="489" spans="1:26" ht="15.75" customHeight="1">
      <c r="A489" s="126"/>
      <c r="B489" s="126"/>
      <c r="C489" s="176"/>
      <c r="D489" s="17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row>
    <row r="490" spans="1:26" ht="15.75" customHeight="1">
      <c r="A490" s="126"/>
      <c r="B490" s="126"/>
      <c r="C490" s="176"/>
      <c r="D490" s="17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row>
    <row r="491" spans="1:26" ht="15.75" customHeight="1">
      <c r="A491" s="126"/>
      <c r="B491" s="126"/>
      <c r="C491" s="176"/>
      <c r="D491" s="17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row>
    <row r="492" spans="1:26" ht="15.75" customHeight="1">
      <c r="A492" s="126"/>
      <c r="B492" s="126"/>
      <c r="C492" s="176"/>
      <c r="D492" s="17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row>
    <row r="493" spans="1:26" ht="15.75" customHeight="1">
      <c r="A493" s="126"/>
      <c r="B493" s="126"/>
      <c r="C493" s="176"/>
      <c r="D493" s="17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row>
    <row r="494" spans="1:26" ht="15.75" customHeight="1">
      <c r="A494" s="126"/>
      <c r="B494" s="126"/>
      <c r="C494" s="176"/>
      <c r="D494" s="17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row>
    <row r="495" spans="1:26" ht="15.75" customHeight="1">
      <c r="A495" s="126"/>
      <c r="B495" s="126"/>
      <c r="C495" s="176"/>
      <c r="D495" s="17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row>
    <row r="496" spans="1:26" ht="15.75" customHeight="1">
      <c r="A496" s="126"/>
      <c r="B496" s="126"/>
      <c r="C496" s="176"/>
      <c r="D496" s="17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row>
    <row r="497" spans="1:26" ht="15.75" customHeight="1">
      <c r="A497" s="126"/>
      <c r="B497" s="126"/>
      <c r="C497" s="176"/>
      <c r="D497" s="17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row>
    <row r="498" spans="1:26" ht="15.75" customHeight="1">
      <c r="A498" s="126"/>
      <c r="B498" s="126"/>
      <c r="C498" s="176"/>
      <c r="D498" s="17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row>
    <row r="499" spans="1:26" ht="15.75" customHeight="1">
      <c r="A499" s="126"/>
      <c r="B499" s="126"/>
      <c r="C499" s="176"/>
      <c r="D499" s="17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row>
    <row r="500" spans="1:26" ht="15.75" customHeight="1">
      <c r="A500" s="126"/>
      <c r="B500" s="126"/>
      <c r="C500" s="176"/>
      <c r="D500" s="17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row>
    <row r="501" spans="1:26" ht="15.75" customHeight="1">
      <c r="A501" s="126"/>
      <c r="B501" s="126"/>
      <c r="C501" s="176"/>
      <c r="D501" s="17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row>
    <row r="502" spans="1:26" ht="15.75" customHeight="1">
      <c r="A502" s="126"/>
      <c r="B502" s="126"/>
      <c r="C502" s="176"/>
      <c r="D502" s="17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row>
    <row r="503" spans="1:26" ht="15.75" customHeight="1">
      <c r="A503" s="126"/>
      <c r="B503" s="126"/>
      <c r="C503" s="176"/>
      <c r="D503" s="17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row>
    <row r="504" spans="1:26" ht="15.75" customHeight="1">
      <c r="A504" s="126"/>
      <c r="B504" s="126"/>
      <c r="C504" s="176"/>
      <c r="D504" s="17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row>
    <row r="505" spans="1:26" ht="15.75" customHeight="1">
      <c r="A505" s="126"/>
      <c r="B505" s="126"/>
      <c r="C505" s="176"/>
      <c r="D505" s="17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row>
    <row r="506" spans="1:26" ht="15.75" customHeight="1">
      <c r="A506" s="126"/>
      <c r="B506" s="126"/>
      <c r="C506" s="176"/>
      <c r="D506" s="17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row>
    <row r="507" spans="1:26" ht="15.75" customHeight="1">
      <c r="A507" s="126"/>
      <c r="B507" s="126"/>
      <c r="C507" s="176"/>
      <c r="D507" s="17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row>
    <row r="508" spans="1:26" ht="15.75" customHeight="1">
      <c r="A508" s="126"/>
      <c r="B508" s="126"/>
      <c r="C508" s="176"/>
      <c r="D508" s="17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row>
    <row r="509" spans="1:26" ht="15.75" customHeight="1">
      <c r="A509" s="126"/>
      <c r="B509" s="126"/>
      <c r="C509" s="176"/>
      <c r="D509" s="17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row>
    <row r="510" spans="1:26" ht="15.75" customHeight="1">
      <c r="A510" s="126"/>
      <c r="B510" s="126"/>
      <c r="C510" s="176"/>
      <c r="D510" s="17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row>
    <row r="511" spans="1:26" ht="15.75" customHeight="1">
      <c r="A511" s="126"/>
      <c r="B511" s="126"/>
      <c r="C511" s="176"/>
      <c r="D511" s="17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row>
    <row r="512" spans="1:26" ht="15.75" customHeight="1">
      <c r="A512" s="126"/>
      <c r="B512" s="126"/>
      <c r="C512" s="176"/>
      <c r="D512" s="17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row>
    <row r="513" spans="1:26" ht="15.75" customHeight="1">
      <c r="A513" s="126"/>
      <c r="B513" s="126"/>
      <c r="C513" s="176"/>
      <c r="D513" s="17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row>
    <row r="514" spans="1:26" ht="15.75" customHeight="1">
      <c r="A514" s="126"/>
      <c r="B514" s="126"/>
      <c r="C514" s="176"/>
      <c r="D514" s="17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row>
    <row r="515" spans="1:26" ht="15.75" customHeight="1">
      <c r="A515" s="126"/>
      <c r="B515" s="126"/>
      <c r="C515" s="176"/>
      <c r="D515" s="17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row>
    <row r="516" spans="1:26" ht="15.75" customHeight="1">
      <c r="A516" s="126"/>
      <c r="B516" s="126"/>
      <c r="C516" s="176"/>
      <c r="D516" s="17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row>
    <row r="517" spans="1:26" ht="15.75" customHeight="1">
      <c r="A517" s="126"/>
      <c r="B517" s="126"/>
      <c r="C517" s="176"/>
      <c r="D517" s="17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row>
    <row r="518" spans="1:26" ht="15.75" customHeight="1">
      <c r="A518" s="126"/>
      <c r="B518" s="126"/>
      <c r="C518" s="176"/>
      <c r="D518" s="17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row>
    <row r="519" spans="1:26" ht="15.75" customHeight="1">
      <c r="A519" s="126"/>
      <c r="B519" s="126"/>
      <c r="C519" s="176"/>
      <c r="D519" s="17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row>
    <row r="520" spans="1:26" ht="15.75" customHeight="1">
      <c r="A520" s="126"/>
      <c r="B520" s="126"/>
      <c r="C520" s="176"/>
      <c r="D520" s="17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row>
    <row r="521" spans="1:26" ht="15.75" customHeight="1">
      <c r="A521" s="126"/>
      <c r="B521" s="126"/>
      <c r="C521" s="176"/>
      <c r="D521" s="17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row>
    <row r="522" spans="1:26" ht="15.75" customHeight="1">
      <c r="A522" s="126"/>
      <c r="B522" s="126"/>
      <c r="C522" s="176"/>
      <c r="D522" s="17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row>
    <row r="523" spans="1:26" ht="15.75" customHeight="1">
      <c r="A523" s="126"/>
      <c r="B523" s="126"/>
      <c r="C523" s="176"/>
      <c r="D523" s="17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row>
    <row r="524" spans="1:26" ht="15.75" customHeight="1">
      <c r="A524" s="126"/>
      <c r="B524" s="126"/>
      <c r="C524" s="176"/>
      <c r="D524" s="17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row>
    <row r="525" spans="1:26" ht="15.75" customHeight="1">
      <c r="A525" s="126"/>
      <c r="B525" s="126"/>
      <c r="C525" s="176"/>
      <c r="D525" s="17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row>
    <row r="526" spans="1:26" ht="15.75" customHeight="1">
      <c r="A526" s="126"/>
      <c r="B526" s="126"/>
      <c r="C526" s="176"/>
      <c r="D526" s="17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row>
    <row r="527" spans="1:26" ht="15.75" customHeight="1">
      <c r="A527" s="126"/>
      <c r="B527" s="126"/>
      <c r="C527" s="176"/>
      <c r="D527" s="17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row>
    <row r="528" spans="1:26" ht="15.75" customHeight="1">
      <c r="A528" s="126"/>
      <c r="B528" s="126"/>
      <c r="C528" s="176"/>
      <c r="D528" s="17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row>
    <row r="529" spans="1:26" ht="15.75" customHeight="1">
      <c r="A529" s="126"/>
      <c r="B529" s="126"/>
      <c r="C529" s="176"/>
      <c r="D529" s="17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row>
    <row r="530" spans="1:26" ht="15.75" customHeight="1">
      <c r="A530" s="126"/>
      <c r="B530" s="126"/>
      <c r="C530" s="176"/>
      <c r="D530" s="17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row>
    <row r="531" spans="1:26" ht="15.75" customHeight="1">
      <c r="A531" s="126"/>
      <c r="B531" s="126"/>
      <c r="C531" s="176"/>
      <c r="D531" s="17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row>
    <row r="532" spans="1:26" ht="15.75" customHeight="1">
      <c r="A532" s="126"/>
      <c r="B532" s="126"/>
      <c r="C532" s="176"/>
      <c r="D532" s="17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row>
    <row r="533" spans="1:26" ht="15.75" customHeight="1">
      <c r="A533" s="126"/>
      <c r="B533" s="126"/>
      <c r="C533" s="176"/>
      <c r="D533" s="17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row>
    <row r="534" spans="1:26" ht="15.75" customHeight="1">
      <c r="A534" s="126"/>
      <c r="B534" s="126"/>
      <c r="C534" s="176"/>
      <c r="D534" s="17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row>
    <row r="535" spans="1:26" ht="15.75" customHeight="1">
      <c r="A535" s="126"/>
      <c r="B535" s="126"/>
      <c r="C535" s="176"/>
      <c r="D535" s="17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row>
    <row r="536" spans="1:26" ht="15.75" customHeight="1">
      <c r="A536" s="126"/>
      <c r="B536" s="126"/>
      <c r="C536" s="176"/>
      <c r="D536" s="17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row>
    <row r="537" spans="1:26" ht="15.75" customHeight="1">
      <c r="A537" s="126"/>
      <c r="B537" s="126"/>
      <c r="C537" s="176"/>
      <c r="D537" s="17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row>
    <row r="538" spans="1:26" ht="15.75" customHeight="1">
      <c r="A538" s="126"/>
      <c r="B538" s="126"/>
      <c r="C538" s="176"/>
      <c r="D538" s="17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row>
    <row r="539" spans="1:26" ht="15.75" customHeight="1">
      <c r="A539" s="126"/>
      <c r="B539" s="126"/>
      <c r="C539" s="176"/>
      <c r="D539" s="17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row>
    <row r="540" spans="1:26" ht="15.75" customHeight="1">
      <c r="A540" s="126"/>
      <c r="B540" s="126"/>
      <c r="C540" s="176"/>
      <c r="D540" s="17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row>
    <row r="541" spans="1:26" ht="15.75" customHeight="1">
      <c r="A541" s="126"/>
      <c r="B541" s="126"/>
      <c r="C541" s="176"/>
      <c r="D541" s="17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row>
    <row r="542" spans="1:26" ht="15.75" customHeight="1">
      <c r="A542" s="126"/>
      <c r="B542" s="126"/>
      <c r="C542" s="176"/>
      <c r="D542" s="17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row>
    <row r="543" spans="1:26" ht="15.75" customHeight="1">
      <c r="A543" s="126"/>
      <c r="B543" s="126"/>
      <c r="C543" s="176"/>
      <c r="D543" s="17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row>
    <row r="544" spans="1:26" ht="15.75" customHeight="1">
      <c r="A544" s="126"/>
      <c r="B544" s="126"/>
      <c r="C544" s="176"/>
      <c r="D544" s="17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row>
    <row r="545" spans="1:26" ht="15.75" customHeight="1">
      <c r="A545" s="126"/>
      <c r="B545" s="126"/>
      <c r="C545" s="176"/>
      <c r="D545" s="17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row>
    <row r="546" spans="1:26" ht="15.75" customHeight="1">
      <c r="A546" s="126"/>
      <c r="B546" s="126"/>
      <c r="C546" s="176"/>
      <c r="D546" s="17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row>
    <row r="547" spans="1:26" ht="15.75" customHeight="1">
      <c r="A547" s="126"/>
      <c r="B547" s="126"/>
      <c r="C547" s="176"/>
      <c r="D547" s="17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row>
    <row r="548" spans="1:26" ht="15.75" customHeight="1">
      <c r="A548" s="126"/>
      <c r="B548" s="126"/>
      <c r="C548" s="176"/>
      <c r="D548" s="17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row>
    <row r="549" spans="1:26" ht="15.75" customHeight="1">
      <c r="A549" s="126"/>
      <c r="B549" s="126"/>
      <c r="C549" s="176"/>
      <c r="D549" s="17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row>
    <row r="550" spans="1:26" ht="15.75" customHeight="1">
      <c r="A550" s="126"/>
      <c r="B550" s="126"/>
      <c r="C550" s="176"/>
      <c r="D550" s="17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row>
    <row r="551" spans="1:26" ht="15.75" customHeight="1">
      <c r="A551" s="126"/>
      <c r="B551" s="126"/>
      <c r="C551" s="176"/>
      <c r="D551" s="17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row>
    <row r="552" spans="1:26" ht="15.75" customHeight="1">
      <c r="A552" s="126"/>
      <c r="B552" s="126"/>
      <c r="C552" s="176"/>
      <c r="D552" s="17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row>
    <row r="553" spans="1:26" ht="15.75" customHeight="1">
      <c r="A553" s="126"/>
      <c r="B553" s="126"/>
      <c r="C553" s="176"/>
      <c r="D553" s="17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row>
    <row r="554" spans="1:26" ht="15.75" customHeight="1">
      <c r="A554" s="126"/>
      <c r="B554" s="126"/>
      <c r="C554" s="176"/>
      <c r="D554" s="17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row>
    <row r="555" spans="1:26" ht="15.75" customHeight="1">
      <c r="A555" s="126"/>
      <c r="B555" s="126"/>
      <c r="C555" s="176"/>
      <c r="D555" s="17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row>
    <row r="556" spans="1:26" ht="15.75" customHeight="1">
      <c r="A556" s="126"/>
      <c r="B556" s="126"/>
      <c r="C556" s="176"/>
      <c r="D556" s="17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row>
    <row r="557" spans="1:26" ht="15.75" customHeight="1">
      <c r="A557" s="126"/>
      <c r="B557" s="126"/>
      <c r="C557" s="176"/>
      <c r="D557" s="17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row>
    <row r="558" spans="1:26" ht="15.75" customHeight="1">
      <c r="A558" s="126"/>
      <c r="B558" s="126"/>
      <c r="C558" s="176"/>
      <c r="D558" s="17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row>
    <row r="559" spans="1:26" ht="15.75" customHeight="1">
      <c r="A559" s="126"/>
      <c r="B559" s="126"/>
      <c r="C559" s="176"/>
      <c r="D559" s="17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row>
    <row r="560" spans="1:26" ht="15.75" customHeight="1">
      <c r="A560" s="126"/>
      <c r="B560" s="126"/>
      <c r="C560" s="176"/>
      <c r="D560" s="17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row>
    <row r="561" spans="1:26" ht="15.75" customHeight="1">
      <c r="A561" s="126"/>
      <c r="B561" s="126"/>
      <c r="C561" s="176"/>
      <c r="D561" s="17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row>
    <row r="562" spans="1:26" ht="15.75" customHeight="1">
      <c r="A562" s="126"/>
      <c r="B562" s="126"/>
      <c r="C562" s="176"/>
      <c r="D562" s="17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row>
    <row r="563" spans="1:26" ht="15.75" customHeight="1">
      <c r="A563" s="126"/>
      <c r="B563" s="126"/>
      <c r="C563" s="176"/>
      <c r="D563" s="17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row>
    <row r="564" spans="1:26" ht="15.75" customHeight="1">
      <c r="A564" s="126"/>
      <c r="B564" s="126"/>
      <c r="C564" s="176"/>
      <c r="D564" s="17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row>
    <row r="565" spans="1:26" ht="15.75" customHeight="1">
      <c r="A565" s="126"/>
      <c r="B565" s="126"/>
      <c r="C565" s="176"/>
      <c r="D565" s="17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row>
    <row r="566" spans="1:26" ht="15.75" customHeight="1">
      <c r="A566" s="126"/>
      <c r="B566" s="126"/>
      <c r="C566" s="176"/>
      <c r="D566" s="17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row>
    <row r="567" spans="1:26" ht="15.75" customHeight="1">
      <c r="A567" s="126"/>
      <c r="B567" s="126"/>
      <c r="C567" s="176"/>
      <c r="D567" s="17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row>
    <row r="568" spans="1:26" ht="15.75" customHeight="1">
      <c r="A568" s="126"/>
      <c r="B568" s="126"/>
      <c r="C568" s="176"/>
      <c r="D568" s="17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row>
    <row r="569" spans="1:26" ht="15.75" customHeight="1">
      <c r="A569" s="126"/>
      <c r="B569" s="126"/>
      <c r="C569" s="176"/>
      <c r="D569" s="17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row>
    <row r="570" spans="1:26" ht="15.75" customHeight="1">
      <c r="A570" s="126"/>
      <c r="B570" s="126"/>
      <c r="C570" s="176"/>
      <c r="D570" s="17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row>
    <row r="571" spans="1:26" ht="15.75" customHeight="1">
      <c r="A571" s="126"/>
      <c r="B571" s="126"/>
      <c r="C571" s="176"/>
      <c r="D571" s="17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row>
    <row r="572" spans="1:26" ht="15.75" customHeight="1">
      <c r="A572" s="126"/>
      <c r="B572" s="126"/>
      <c r="C572" s="176"/>
      <c r="D572" s="17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row>
    <row r="573" spans="1:26" ht="15.75" customHeight="1">
      <c r="A573" s="126"/>
      <c r="B573" s="126"/>
      <c r="C573" s="176"/>
      <c r="D573" s="17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row>
    <row r="574" spans="1:26" ht="15.75" customHeight="1">
      <c r="A574" s="126"/>
      <c r="B574" s="126"/>
      <c r="C574" s="176"/>
      <c r="D574" s="17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row>
    <row r="575" spans="1:26" ht="15.75" customHeight="1">
      <c r="A575" s="126"/>
      <c r="B575" s="126"/>
      <c r="C575" s="176"/>
      <c r="D575" s="17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row>
    <row r="576" spans="1:26" ht="15.75" customHeight="1">
      <c r="A576" s="126"/>
      <c r="B576" s="126"/>
      <c r="C576" s="176"/>
      <c r="D576" s="17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row>
    <row r="577" spans="1:26" ht="15.75" customHeight="1">
      <c r="A577" s="126"/>
      <c r="B577" s="126"/>
      <c r="C577" s="176"/>
      <c r="D577" s="17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row>
    <row r="578" spans="1:26" ht="15.75" customHeight="1">
      <c r="A578" s="126"/>
      <c r="B578" s="126"/>
      <c r="C578" s="176"/>
      <c r="D578" s="17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row>
    <row r="579" spans="1:26" ht="15.75" customHeight="1">
      <c r="A579" s="126"/>
      <c r="B579" s="126"/>
      <c r="C579" s="176"/>
      <c r="D579" s="17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row>
    <row r="580" spans="1:26" ht="15.75" customHeight="1">
      <c r="A580" s="126"/>
      <c r="B580" s="126"/>
      <c r="C580" s="176"/>
      <c r="D580" s="17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row>
    <row r="581" spans="1:26" ht="15.75" customHeight="1">
      <c r="A581" s="126"/>
      <c r="B581" s="126"/>
      <c r="C581" s="176"/>
      <c r="D581" s="17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row>
    <row r="582" spans="1:26" ht="15.75" customHeight="1">
      <c r="A582" s="126"/>
      <c r="B582" s="126"/>
      <c r="C582" s="176"/>
      <c r="D582" s="17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row>
    <row r="583" spans="1:26" ht="15.75" customHeight="1">
      <c r="A583" s="126"/>
      <c r="B583" s="126"/>
      <c r="C583" s="176"/>
      <c r="D583" s="17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row>
    <row r="584" spans="1:26" ht="15.75" customHeight="1">
      <c r="A584" s="126"/>
      <c r="B584" s="126"/>
      <c r="C584" s="176"/>
      <c r="D584" s="17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row>
    <row r="585" spans="1:26" ht="15.75" customHeight="1">
      <c r="A585" s="126"/>
      <c r="B585" s="126"/>
      <c r="C585" s="176"/>
      <c r="D585" s="17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row>
    <row r="586" spans="1:26" ht="15.75" customHeight="1">
      <c r="A586" s="126"/>
      <c r="B586" s="126"/>
      <c r="C586" s="176"/>
      <c r="D586" s="17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row>
    <row r="587" spans="1:26" ht="15.75" customHeight="1">
      <c r="A587" s="126"/>
      <c r="B587" s="126"/>
      <c r="C587" s="176"/>
      <c r="D587" s="17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row>
    <row r="588" spans="1:26" ht="15.75" customHeight="1">
      <c r="A588" s="126"/>
      <c r="B588" s="126"/>
      <c r="C588" s="176"/>
      <c r="D588" s="17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row>
    <row r="589" spans="1:26" ht="15.75" customHeight="1">
      <c r="A589" s="126"/>
      <c r="B589" s="126"/>
      <c r="C589" s="176"/>
      <c r="D589" s="17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row>
    <row r="590" spans="1:26" ht="15.75" customHeight="1">
      <c r="A590" s="126"/>
      <c r="B590" s="126"/>
      <c r="C590" s="176"/>
      <c r="D590" s="17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row>
    <row r="591" spans="1:26" ht="15.75" customHeight="1">
      <c r="A591" s="126"/>
      <c r="B591" s="126"/>
      <c r="C591" s="176"/>
      <c r="D591" s="17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row>
    <row r="592" spans="1:26" ht="15.75" customHeight="1">
      <c r="A592" s="126"/>
      <c r="B592" s="126"/>
      <c r="C592" s="176"/>
      <c r="D592" s="17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row>
    <row r="593" spans="1:26" ht="15.75" customHeight="1">
      <c r="A593" s="126"/>
      <c r="B593" s="126"/>
      <c r="C593" s="176"/>
      <c r="D593" s="17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row>
    <row r="594" spans="1:26" ht="15.75" customHeight="1">
      <c r="A594" s="126"/>
      <c r="B594" s="126"/>
      <c r="C594" s="176"/>
      <c r="D594" s="17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row>
    <row r="595" spans="1:26" ht="15.75" customHeight="1">
      <c r="A595" s="126"/>
      <c r="B595" s="126"/>
      <c r="C595" s="176"/>
      <c r="D595" s="17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row>
    <row r="596" spans="1:26" ht="15.75" customHeight="1">
      <c r="A596" s="126"/>
      <c r="B596" s="126"/>
      <c r="C596" s="176"/>
      <c r="D596" s="17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row>
    <row r="597" spans="1:26" ht="15.75" customHeight="1">
      <c r="A597" s="126"/>
      <c r="B597" s="126"/>
      <c r="C597" s="176"/>
      <c r="D597" s="17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row>
    <row r="598" spans="1:26" ht="15.75" customHeight="1">
      <c r="A598" s="126"/>
      <c r="B598" s="126"/>
      <c r="C598" s="176"/>
      <c r="D598" s="17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row>
    <row r="599" spans="1:26" ht="15.75" customHeight="1">
      <c r="A599" s="126"/>
      <c r="B599" s="126"/>
      <c r="C599" s="176"/>
      <c r="D599" s="17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row>
    <row r="600" spans="1:26" ht="15.75" customHeight="1">
      <c r="A600" s="126"/>
      <c r="B600" s="126"/>
      <c r="C600" s="176"/>
      <c r="D600" s="17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row>
    <row r="601" spans="1:26" ht="15.75" customHeight="1">
      <c r="A601" s="126"/>
      <c r="B601" s="126"/>
      <c r="C601" s="176"/>
      <c r="D601" s="17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row>
    <row r="602" spans="1:26" ht="15.75" customHeight="1">
      <c r="A602" s="126"/>
      <c r="B602" s="126"/>
      <c r="C602" s="176"/>
      <c r="D602" s="17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row>
    <row r="603" spans="1:26" ht="15.75" customHeight="1">
      <c r="A603" s="126"/>
      <c r="B603" s="126"/>
      <c r="C603" s="176"/>
      <c r="D603" s="17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row>
    <row r="604" spans="1:26" ht="15.75" customHeight="1">
      <c r="A604" s="126"/>
      <c r="B604" s="126"/>
      <c r="C604" s="176"/>
      <c r="D604" s="17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row>
    <row r="605" spans="1:26" ht="15.75" customHeight="1">
      <c r="A605" s="126"/>
      <c r="B605" s="126"/>
      <c r="C605" s="176"/>
      <c r="D605" s="17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row>
    <row r="606" spans="1:26" ht="15.75" customHeight="1">
      <c r="A606" s="126"/>
      <c r="B606" s="126"/>
      <c r="C606" s="176"/>
      <c r="D606" s="17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row>
    <row r="607" spans="1:26" ht="15.75" customHeight="1">
      <c r="A607" s="126"/>
      <c r="B607" s="126"/>
      <c r="C607" s="176"/>
      <c r="D607" s="17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row>
    <row r="608" spans="1:26" ht="15.75" customHeight="1">
      <c r="A608" s="126"/>
      <c r="B608" s="126"/>
      <c r="C608" s="176"/>
      <c r="D608" s="17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row>
    <row r="609" spans="1:26" ht="15.75" customHeight="1">
      <c r="A609" s="126"/>
      <c r="B609" s="126"/>
      <c r="C609" s="176"/>
      <c r="D609" s="17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row>
    <row r="610" spans="1:26" ht="15.75" customHeight="1">
      <c r="A610" s="126"/>
      <c r="B610" s="126"/>
      <c r="C610" s="176"/>
      <c r="D610" s="17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row>
    <row r="611" spans="1:26" ht="15.75" customHeight="1">
      <c r="A611" s="126"/>
      <c r="B611" s="126"/>
      <c r="C611" s="176"/>
      <c r="D611" s="17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row>
    <row r="612" spans="1:26" ht="15.75" customHeight="1">
      <c r="A612" s="126"/>
      <c r="B612" s="126"/>
      <c r="C612" s="176"/>
      <c r="D612" s="17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row>
    <row r="613" spans="1:26" ht="15.75" customHeight="1">
      <c r="A613" s="126"/>
      <c r="B613" s="126"/>
      <c r="C613" s="176"/>
      <c r="D613" s="17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row>
    <row r="614" spans="1:26" ht="15.75" customHeight="1">
      <c r="A614" s="126"/>
      <c r="B614" s="126"/>
      <c r="C614" s="176"/>
      <c r="D614" s="17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row>
    <row r="615" spans="1:26" ht="15.75" customHeight="1">
      <c r="A615" s="126"/>
      <c r="B615" s="126"/>
      <c r="C615" s="176"/>
      <c r="D615" s="17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row>
    <row r="616" spans="1:26" ht="15.75" customHeight="1">
      <c r="A616" s="126"/>
      <c r="B616" s="126"/>
      <c r="C616" s="176"/>
      <c r="D616" s="17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row>
    <row r="617" spans="1:26" ht="15.75" customHeight="1">
      <c r="A617" s="126"/>
      <c r="B617" s="126"/>
      <c r="C617" s="176"/>
      <c r="D617" s="17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row>
    <row r="618" spans="1:26" ht="15.75" customHeight="1">
      <c r="A618" s="126"/>
      <c r="B618" s="126"/>
      <c r="C618" s="176"/>
      <c r="D618" s="17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row>
    <row r="619" spans="1:26" ht="15.75" customHeight="1">
      <c r="A619" s="126"/>
      <c r="B619" s="126"/>
      <c r="C619" s="176"/>
      <c r="D619" s="17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row>
    <row r="620" spans="1:26" ht="15.75" customHeight="1">
      <c r="A620" s="126"/>
      <c r="B620" s="126"/>
      <c r="C620" s="176"/>
      <c r="D620" s="17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row>
    <row r="621" spans="1:26" ht="15.75" customHeight="1">
      <c r="A621" s="126"/>
      <c r="B621" s="126"/>
      <c r="C621" s="176"/>
      <c r="D621" s="17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row>
    <row r="622" spans="1:26" ht="15.75" customHeight="1">
      <c r="A622" s="126"/>
      <c r="B622" s="126"/>
      <c r="C622" s="176"/>
      <c r="D622" s="17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row>
    <row r="623" spans="1:26" ht="15.75" customHeight="1">
      <c r="A623" s="126"/>
      <c r="B623" s="126"/>
      <c r="C623" s="176"/>
      <c r="D623" s="17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row>
    <row r="624" spans="1:26" ht="15.75" customHeight="1">
      <c r="A624" s="126"/>
      <c r="B624" s="126"/>
      <c r="C624" s="176"/>
      <c r="D624" s="17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row>
    <row r="625" spans="1:26" ht="15.75" customHeight="1">
      <c r="A625" s="126"/>
      <c r="B625" s="126"/>
      <c r="C625" s="176"/>
      <c r="D625" s="17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row>
    <row r="626" spans="1:26" ht="15.75" customHeight="1">
      <c r="A626" s="126"/>
      <c r="B626" s="126"/>
      <c r="C626" s="176"/>
      <c r="D626" s="17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row>
    <row r="627" spans="1:26" ht="15.75" customHeight="1">
      <c r="A627" s="126"/>
      <c r="B627" s="126"/>
      <c r="C627" s="176"/>
      <c r="D627" s="17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row>
    <row r="628" spans="1:26" ht="15.75" customHeight="1">
      <c r="A628" s="126"/>
      <c r="B628" s="126"/>
      <c r="C628" s="176"/>
      <c r="D628" s="17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row>
    <row r="629" spans="1:26" ht="15.75" customHeight="1">
      <c r="A629" s="126"/>
      <c r="B629" s="126"/>
      <c r="C629" s="176"/>
      <c r="D629" s="17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row>
    <row r="630" spans="1:26" ht="15.75" customHeight="1">
      <c r="A630" s="126"/>
      <c r="B630" s="126"/>
      <c r="C630" s="176"/>
      <c r="D630" s="17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row>
    <row r="631" spans="1:26" ht="15.75" customHeight="1">
      <c r="A631" s="126"/>
      <c r="B631" s="126"/>
      <c r="C631" s="176"/>
      <c r="D631" s="17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row>
    <row r="632" spans="1:26" ht="15.75" customHeight="1">
      <c r="A632" s="126"/>
      <c r="B632" s="126"/>
      <c r="C632" s="176"/>
      <c r="D632" s="17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row>
    <row r="633" spans="1:26" ht="15.75" customHeight="1">
      <c r="A633" s="126"/>
      <c r="B633" s="126"/>
      <c r="C633" s="176"/>
      <c r="D633" s="17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row>
    <row r="634" spans="1:26" ht="15.75" customHeight="1">
      <c r="A634" s="126"/>
      <c r="B634" s="126"/>
      <c r="C634" s="176"/>
      <c r="D634" s="17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row>
    <row r="635" spans="1:26" ht="15.75" customHeight="1">
      <c r="A635" s="126"/>
      <c r="B635" s="126"/>
      <c r="C635" s="176"/>
      <c r="D635" s="17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row>
    <row r="636" spans="1:26" ht="15.75" customHeight="1">
      <c r="A636" s="126"/>
      <c r="B636" s="126"/>
      <c r="C636" s="176"/>
      <c r="D636" s="17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row>
    <row r="637" spans="1:26" ht="15.75" customHeight="1">
      <c r="A637" s="126"/>
      <c r="B637" s="126"/>
      <c r="C637" s="176"/>
      <c r="D637" s="17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row>
    <row r="638" spans="1:26" ht="15.75" customHeight="1">
      <c r="A638" s="126"/>
      <c r="B638" s="126"/>
      <c r="C638" s="176"/>
      <c r="D638" s="17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row>
    <row r="639" spans="1:26" ht="15.75" customHeight="1">
      <c r="A639" s="126"/>
      <c r="B639" s="126"/>
      <c r="C639" s="176"/>
      <c r="D639" s="17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row>
    <row r="640" spans="1:26" ht="15.75" customHeight="1">
      <c r="A640" s="126"/>
      <c r="B640" s="126"/>
      <c r="C640" s="176"/>
      <c r="D640" s="17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row>
    <row r="641" spans="1:26" ht="15.75" customHeight="1">
      <c r="A641" s="126"/>
      <c r="B641" s="126"/>
      <c r="C641" s="176"/>
      <c r="D641" s="17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row>
    <row r="642" spans="1:26" ht="15.75" customHeight="1">
      <c r="A642" s="126"/>
      <c r="B642" s="126"/>
      <c r="C642" s="176"/>
      <c r="D642" s="17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row>
    <row r="643" spans="1:26" ht="15.75" customHeight="1">
      <c r="A643" s="126"/>
      <c r="B643" s="126"/>
      <c r="C643" s="176"/>
      <c r="D643" s="17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row>
    <row r="644" spans="1:26" ht="15.75" customHeight="1">
      <c r="A644" s="126"/>
      <c r="B644" s="126"/>
      <c r="C644" s="176"/>
      <c r="D644" s="17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row>
    <row r="645" spans="1:26" ht="15.75" customHeight="1">
      <c r="A645" s="126"/>
      <c r="B645" s="126"/>
      <c r="C645" s="176"/>
      <c r="D645" s="17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row>
    <row r="646" spans="1:26" ht="15.75" customHeight="1">
      <c r="A646" s="126"/>
      <c r="B646" s="126"/>
      <c r="C646" s="176"/>
      <c r="D646" s="17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row>
    <row r="647" spans="1:26" ht="15.75" customHeight="1">
      <c r="A647" s="126"/>
      <c r="B647" s="126"/>
      <c r="C647" s="176"/>
      <c r="D647" s="17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row>
    <row r="648" spans="1:26" ht="15.75" customHeight="1">
      <c r="A648" s="126"/>
      <c r="B648" s="126"/>
      <c r="C648" s="176"/>
      <c r="D648" s="17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row>
    <row r="649" spans="1:26" ht="15.75" customHeight="1">
      <c r="A649" s="126"/>
      <c r="B649" s="126"/>
      <c r="C649" s="176"/>
      <c r="D649" s="17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row>
    <row r="650" spans="1:26" ht="15.75" customHeight="1">
      <c r="A650" s="126"/>
      <c r="B650" s="126"/>
      <c r="C650" s="176"/>
      <c r="D650" s="17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row>
    <row r="651" spans="1:26" ht="15.75" customHeight="1">
      <c r="A651" s="126"/>
      <c r="B651" s="126"/>
      <c r="C651" s="176"/>
      <c r="D651" s="17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row>
    <row r="652" spans="1:26" ht="15.75" customHeight="1">
      <c r="A652" s="126"/>
      <c r="B652" s="126"/>
      <c r="C652" s="176"/>
      <c r="D652" s="17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row>
    <row r="653" spans="1:26" ht="15.75" customHeight="1">
      <c r="A653" s="126"/>
      <c r="B653" s="126"/>
      <c r="C653" s="176"/>
      <c r="D653" s="17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row>
    <row r="654" spans="1:26" ht="15.75" customHeight="1">
      <c r="A654" s="126"/>
      <c r="B654" s="126"/>
      <c r="C654" s="176"/>
      <c r="D654" s="17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row>
    <row r="655" spans="1:26" ht="15.75" customHeight="1">
      <c r="A655" s="126"/>
      <c r="B655" s="126"/>
      <c r="C655" s="176"/>
      <c r="D655" s="17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row>
    <row r="656" spans="1:26" ht="15.75" customHeight="1">
      <c r="A656" s="126"/>
      <c r="B656" s="126"/>
      <c r="C656" s="176"/>
      <c r="D656" s="17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row>
    <row r="657" spans="1:26" ht="15.75" customHeight="1">
      <c r="A657" s="126"/>
      <c r="B657" s="126"/>
      <c r="C657" s="176"/>
      <c r="D657" s="17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row>
    <row r="658" spans="1:26" ht="15.75" customHeight="1">
      <c r="A658" s="126"/>
      <c r="B658" s="126"/>
      <c r="C658" s="176"/>
      <c r="D658" s="17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row>
    <row r="659" spans="1:26" ht="15.75" customHeight="1">
      <c r="A659" s="126"/>
      <c r="B659" s="126"/>
      <c r="C659" s="176"/>
      <c r="D659" s="17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row>
    <row r="660" spans="1:26" ht="15.75" customHeight="1">
      <c r="A660" s="126"/>
      <c r="B660" s="126"/>
      <c r="C660" s="176"/>
      <c r="D660" s="17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row>
    <row r="661" spans="1:26" ht="15.75" customHeight="1">
      <c r="A661" s="126"/>
      <c r="B661" s="126"/>
      <c r="C661" s="176"/>
      <c r="D661" s="17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row>
    <row r="662" spans="1:26" ht="15.75" customHeight="1">
      <c r="A662" s="126"/>
      <c r="B662" s="126"/>
      <c r="C662" s="176"/>
      <c r="D662" s="17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row>
    <row r="663" spans="1:26" ht="15.75" customHeight="1">
      <c r="A663" s="126"/>
      <c r="B663" s="126"/>
      <c r="C663" s="176"/>
      <c r="D663" s="17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row>
    <row r="664" spans="1:26" ht="15.75" customHeight="1">
      <c r="A664" s="126"/>
      <c r="B664" s="126"/>
      <c r="C664" s="176"/>
      <c r="D664" s="17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row>
    <row r="665" spans="1:26" ht="15.75" customHeight="1">
      <c r="A665" s="126"/>
      <c r="B665" s="126"/>
      <c r="C665" s="176"/>
      <c r="D665" s="17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row>
    <row r="666" spans="1:26" ht="15.75" customHeight="1">
      <c r="A666" s="126"/>
      <c r="B666" s="126"/>
      <c r="C666" s="176"/>
      <c r="D666" s="17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row>
    <row r="667" spans="1:26" ht="15.75" customHeight="1">
      <c r="A667" s="126"/>
      <c r="B667" s="126"/>
      <c r="C667" s="176"/>
      <c r="D667" s="17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row>
    <row r="668" spans="1:26" ht="15.75" customHeight="1">
      <c r="A668" s="126"/>
      <c r="B668" s="126"/>
      <c r="C668" s="176"/>
      <c r="D668" s="17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row>
    <row r="669" spans="1:26" ht="15.75" customHeight="1">
      <c r="A669" s="126"/>
      <c r="B669" s="126"/>
      <c r="C669" s="176"/>
      <c r="D669" s="17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row>
    <row r="670" spans="1:26" ht="15.75" customHeight="1">
      <c r="A670" s="126"/>
      <c r="B670" s="126"/>
      <c r="C670" s="176"/>
      <c r="D670" s="17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row>
    <row r="671" spans="1:26" ht="15.75" customHeight="1">
      <c r="A671" s="126"/>
      <c r="B671" s="126"/>
      <c r="C671" s="176"/>
      <c r="D671" s="17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row>
    <row r="672" spans="1:26" ht="15.75" customHeight="1">
      <c r="A672" s="126"/>
      <c r="B672" s="126"/>
      <c r="C672" s="176"/>
      <c r="D672" s="17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row>
    <row r="673" spans="1:26" ht="15.75" customHeight="1">
      <c r="A673" s="126"/>
      <c r="B673" s="126"/>
      <c r="C673" s="176"/>
      <c r="D673" s="17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row>
    <row r="674" spans="1:26" ht="15.75" customHeight="1">
      <c r="A674" s="126"/>
      <c r="B674" s="126"/>
      <c r="C674" s="176"/>
      <c r="D674" s="17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row>
    <row r="675" spans="1:26" ht="15.75" customHeight="1">
      <c r="A675" s="126"/>
      <c r="B675" s="126"/>
      <c r="C675" s="176"/>
      <c r="D675" s="17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row>
    <row r="676" spans="1:26" ht="15.75" customHeight="1">
      <c r="A676" s="126"/>
      <c r="B676" s="126"/>
      <c r="C676" s="176"/>
      <c r="D676" s="17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row>
    <row r="677" spans="1:26" ht="15.75" customHeight="1">
      <c r="A677" s="126"/>
      <c r="B677" s="126"/>
      <c r="C677" s="176"/>
      <c r="D677" s="17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row>
    <row r="678" spans="1:26" ht="15.75" customHeight="1">
      <c r="A678" s="126"/>
      <c r="B678" s="126"/>
      <c r="C678" s="176"/>
      <c r="D678" s="17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row>
    <row r="679" spans="1:26" ht="15.75" customHeight="1">
      <c r="A679" s="126"/>
      <c r="B679" s="126"/>
      <c r="C679" s="176"/>
      <c r="D679" s="17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row>
    <row r="680" spans="1:26" ht="15.75" customHeight="1">
      <c r="A680" s="126"/>
      <c r="B680" s="126"/>
      <c r="C680" s="176"/>
      <c r="D680" s="17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row>
    <row r="681" spans="1:26" ht="15.75" customHeight="1">
      <c r="A681" s="126"/>
      <c r="B681" s="126"/>
      <c r="C681" s="176"/>
      <c r="D681" s="17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row>
    <row r="682" spans="1:26" ht="15.75" customHeight="1">
      <c r="A682" s="126"/>
      <c r="B682" s="126"/>
      <c r="C682" s="176"/>
      <c r="D682" s="17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row>
    <row r="683" spans="1:26" ht="15.75" customHeight="1">
      <c r="A683" s="126"/>
      <c r="B683" s="126"/>
      <c r="C683" s="176"/>
      <c r="D683" s="17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row>
    <row r="684" spans="1:26" ht="15.75" customHeight="1">
      <c r="A684" s="126"/>
      <c r="B684" s="126"/>
      <c r="C684" s="176"/>
      <c r="D684" s="17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row>
    <row r="685" spans="1:26" ht="15.75" customHeight="1">
      <c r="A685" s="126"/>
      <c r="B685" s="126"/>
      <c r="C685" s="176"/>
      <c r="D685" s="17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row>
    <row r="686" spans="1:26" ht="15.75" customHeight="1">
      <c r="A686" s="126"/>
      <c r="B686" s="126"/>
      <c r="C686" s="176"/>
      <c r="D686" s="17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row>
    <row r="687" spans="1:26" ht="15.75" customHeight="1">
      <c r="A687" s="126"/>
      <c r="B687" s="126"/>
      <c r="C687" s="176"/>
      <c r="D687" s="17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row>
    <row r="688" spans="1:26" ht="15.75" customHeight="1">
      <c r="A688" s="126"/>
      <c r="B688" s="126"/>
      <c r="C688" s="176"/>
      <c r="D688" s="17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row>
    <row r="689" spans="1:26" ht="15.75" customHeight="1">
      <c r="A689" s="126"/>
      <c r="B689" s="126"/>
      <c r="C689" s="176"/>
      <c r="D689" s="17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row>
    <row r="690" spans="1:26" ht="15.75" customHeight="1">
      <c r="A690" s="126"/>
      <c r="B690" s="126"/>
      <c r="C690" s="176"/>
      <c r="D690" s="17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row>
    <row r="691" spans="1:26" ht="15.75" customHeight="1">
      <c r="A691" s="126"/>
      <c r="B691" s="126"/>
      <c r="C691" s="176"/>
      <c r="D691" s="17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row>
    <row r="692" spans="1:26" ht="15.75" customHeight="1">
      <c r="A692" s="126"/>
      <c r="B692" s="126"/>
      <c r="C692" s="176"/>
      <c r="D692" s="17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row>
    <row r="693" spans="1:26" ht="15.75" customHeight="1">
      <c r="A693" s="126"/>
      <c r="B693" s="126"/>
      <c r="C693" s="176"/>
      <c r="D693" s="17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row>
    <row r="694" spans="1:26" ht="15.75" customHeight="1">
      <c r="A694" s="126"/>
      <c r="B694" s="126"/>
      <c r="C694" s="176"/>
      <c r="D694" s="17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row>
    <row r="695" spans="1:26" ht="15.75" customHeight="1">
      <c r="A695" s="126"/>
      <c r="B695" s="126"/>
      <c r="C695" s="176"/>
      <c r="D695" s="17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row>
    <row r="696" spans="1:26" ht="15.75" customHeight="1">
      <c r="A696" s="126"/>
      <c r="B696" s="126"/>
      <c r="C696" s="176"/>
      <c r="D696" s="17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row>
    <row r="697" spans="1:26" ht="15.75" customHeight="1">
      <c r="A697" s="126"/>
      <c r="B697" s="126"/>
      <c r="C697" s="176"/>
      <c r="D697" s="17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row>
    <row r="698" spans="1:26" ht="15.75" customHeight="1">
      <c r="A698" s="126"/>
      <c r="B698" s="126"/>
      <c r="C698" s="176"/>
      <c r="D698" s="17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row>
    <row r="699" spans="1:26" ht="15.75" customHeight="1">
      <c r="A699" s="126"/>
      <c r="B699" s="126"/>
      <c r="C699" s="176"/>
      <c r="D699" s="17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row>
    <row r="700" spans="1:26" ht="15.75" customHeight="1">
      <c r="A700" s="126"/>
      <c r="B700" s="126"/>
      <c r="C700" s="176"/>
      <c r="D700" s="17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row>
    <row r="701" spans="1:26" ht="15.75" customHeight="1">
      <c r="A701" s="126"/>
      <c r="B701" s="126"/>
      <c r="C701" s="176"/>
      <c r="D701" s="17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row>
    <row r="702" spans="1:26" ht="15.75" customHeight="1">
      <c r="A702" s="126"/>
      <c r="B702" s="126"/>
      <c r="C702" s="176"/>
      <c r="D702" s="17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row>
    <row r="703" spans="1:26" ht="15.75" customHeight="1">
      <c r="A703" s="126"/>
      <c r="B703" s="126"/>
      <c r="C703" s="176"/>
      <c r="D703" s="17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row>
    <row r="704" spans="1:26" ht="15.75" customHeight="1">
      <c r="A704" s="126"/>
      <c r="B704" s="126"/>
      <c r="C704" s="176"/>
      <c r="D704" s="17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row>
    <row r="705" spans="1:26" ht="15.75" customHeight="1">
      <c r="A705" s="126"/>
      <c r="B705" s="126"/>
      <c r="C705" s="176"/>
      <c r="D705" s="17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row>
    <row r="706" spans="1:26" ht="15.75" customHeight="1">
      <c r="A706" s="126"/>
      <c r="B706" s="126"/>
      <c r="C706" s="176"/>
      <c r="D706" s="17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row>
    <row r="707" spans="1:26" ht="15.75" customHeight="1">
      <c r="A707" s="126"/>
      <c r="B707" s="126"/>
      <c r="C707" s="176"/>
      <c r="D707" s="17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row>
    <row r="708" spans="1:26" ht="15.75" customHeight="1">
      <c r="A708" s="126"/>
      <c r="B708" s="126"/>
      <c r="C708" s="176"/>
      <c r="D708" s="17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row>
    <row r="709" spans="1:26" ht="15.75" customHeight="1">
      <c r="A709" s="126"/>
      <c r="B709" s="126"/>
      <c r="C709" s="176"/>
      <c r="D709" s="17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row>
    <row r="710" spans="1:26" ht="15.75" customHeight="1">
      <c r="A710" s="126"/>
      <c r="B710" s="126"/>
      <c r="C710" s="176"/>
      <c r="D710" s="17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row>
    <row r="711" spans="1:26" ht="15.75" customHeight="1">
      <c r="A711" s="126"/>
      <c r="B711" s="126"/>
      <c r="C711" s="176"/>
      <c r="D711" s="17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row>
    <row r="712" spans="1:26" ht="15.75" customHeight="1">
      <c r="A712" s="126"/>
      <c r="B712" s="126"/>
      <c r="C712" s="176"/>
      <c r="D712" s="17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row>
    <row r="713" spans="1:26" ht="15.75" customHeight="1">
      <c r="A713" s="126"/>
      <c r="B713" s="126"/>
      <c r="C713" s="176"/>
      <c r="D713" s="17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row>
    <row r="714" spans="1:26" ht="15.75" customHeight="1">
      <c r="A714" s="126"/>
      <c r="B714" s="126"/>
      <c r="C714" s="176"/>
      <c r="D714" s="17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row>
    <row r="715" spans="1:26" ht="15.75" customHeight="1">
      <c r="A715" s="126"/>
      <c r="B715" s="126"/>
      <c r="C715" s="176"/>
      <c r="D715" s="17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row>
    <row r="716" spans="1:26" ht="15.75" customHeight="1">
      <c r="A716" s="126"/>
      <c r="B716" s="126"/>
      <c r="C716" s="176"/>
      <c r="D716" s="17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row>
    <row r="717" spans="1:26" ht="15.75" customHeight="1">
      <c r="A717" s="126"/>
      <c r="B717" s="126"/>
      <c r="C717" s="176"/>
      <c r="D717" s="17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row>
    <row r="718" spans="1:26" ht="15.75" customHeight="1">
      <c r="A718" s="126"/>
      <c r="B718" s="126"/>
      <c r="C718" s="176"/>
      <c r="D718" s="17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row>
    <row r="719" spans="1:26" ht="15.75" customHeight="1">
      <c r="A719" s="126"/>
      <c r="B719" s="126"/>
      <c r="C719" s="176"/>
      <c r="D719" s="17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row>
    <row r="720" spans="1:26" ht="15.75" customHeight="1">
      <c r="A720" s="126"/>
      <c r="B720" s="126"/>
      <c r="C720" s="176"/>
      <c r="D720" s="17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row>
    <row r="721" spans="1:26" ht="15.75" customHeight="1">
      <c r="A721" s="126"/>
      <c r="B721" s="126"/>
      <c r="C721" s="176"/>
      <c r="D721" s="17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row>
    <row r="722" spans="1:26" ht="15.75" customHeight="1">
      <c r="A722" s="126"/>
      <c r="B722" s="126"/>
      <c r="C722" s="176"/>
      <c r="D722" s="17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row>
    <row r="723" spans="1:26" ht="15.75" customHeight="1">
      <c r="A723" s="126"/>
      <c r="B723" s="126"/>
      <c r="C723" s="176"/>
      <c r="D723" s="17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row>
    <row r="724" spans="1:26" ht="15.75" customHeight="1">
      <c r="A724" s="126"/>
      <c r="B724" s="126"/>
      <c r="C724" s="176"/>
      <c r="D724" s="17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row>
    <row r="725" spans="1:26" ht="15.75" customHeight="1">
      <c r="A725" s="126"/>
      <c r="B725" s="126"/>
      <c r="C725" s="176"/>
      <c r="D725" s="17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row>
    <row r="726" spans="1:26" ht="15.75" customHeight="1">
      <c r="A726" s="126"/>
      <c r="B726" s="126"/>
      <c r="C726" s="176"/>
      <c r="D726" s="17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row>
    <row r="727" spans="1:26" ht="15.75" customHeight="1">
      <c r="A727" s="126"/>
      <c r="B727" s="126"/>
      <c r="C727" s="176"/>
      <c r="D727" s="17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row>
    <row r="728" spans="1:26" ht="15.75" customHeight="1">
      <c r="A728" s="126"/>
      <c r="B728" s="126"/>
      <c r="C728" s="176"/>
      <c r="D728" s="17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row>
    <row r="729" spans="1:26" ht="15.75" customHeight="1">
      <c r="A729" s="126"/>
      <c r="B729" s="126"/>
      <c r="C729" s="176"/>
      <c r="D729" s="17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row>
    <row r="730" spans="1:26" ht="15.75" customHeight="1">
      <c r="A730" s="126"/>
      <c r="B730" s="126"/>
      <c r="C730" s="176"/>
      <c r="D730" s="17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row>
    <row r="731" spans="1:26" ht="15.75" customHeight="1">
      <c r="A731" s="126"/>
      <c r="B731" s="126"/>
      <c r="C731" s="176"/>
      <c r="D731" s="17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row>
    <row r="732" spans="1:26" ht="15.75" customHeight="1">
      <c r="A732" s="126"/>
      <c r="B732" s="126"/>
      <c r="C732" s="176"/>
      <c r="D732" s="17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row>
    <row r="733" spans="1:26" ht="15.75" customHeight="1">
      <c r="A733" s="126"/>
      <c r="B733" s="126"/>
      <c r="C733" s="176"/>
      <c r="D733" s="17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row>
    <row r="734" spans="1:26" ht="15.75" customHeight="1">
      <c r="A734" s="126"/>
      <c r="B734" s="126"/>
      <c r="C734" s="176"/>
      <c r="D734" s="17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row>
    <row r="735" spans="1:26" ht="15.75" customHeight="1">
      <c r="A735" s="126"/>
      <c r="B735" s="126"/>
      <c r="C735" s="176"/>
      <c r="D735" s="17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row>
    <row r="736" spans="1:26" ht="15.75" customHeight="1">
      <c r="A736" s="126"/>
      <c r="B736" s="126"/>
      <c r="C736" s="176"/>
      <c r="D736" s="17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row>
    <row r="737" spans="1:26" ht="15.75" customHeight="1">
      <c r="A737" s="126"/>
      <c r="B737" s="126"/>
      <c r="C737" s="176"/>
      <c r="D737" s="17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row>
    <row r="738" spans="1:26" ht="15.75" customHeight="1">
      <c r="A738" s="126"/>
      <c r="B738" s="126"/>
      <c r="C738" s="176"/>
      <c r="D738" s="17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row>
    <row r="739" spans="1:26" ht="15.75" customHeight="1">
      <c r="A739" s="126"/>
      <c r="B739" s="126"/>
      <c r="C739" s="176"/>
      <c r="D739" s="17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row>
    <row r="740" spans="1:26" ht="15.75" customHeight="1">
      <c r="A740" s="126"/>
      <c r="B740" s="126"/>
      <c r="C740" s="176"/>
      <c r="D740" s="17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row>
    <row r="741" spans="1:26" ht="15.75" customHeight="1">
      <c r="A741" s="126"/>
      <c r="B741" s="126"/>
      <c r="C741" s="176"/>
      <c r="D741" s="17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row>
    <row r="742" spans="1:26" ht="15.75" customHeight="1">
      <c r="A742" s="126"/>
      <c r="B742" s="126"/>
      <c r="C742" s="176"/>
      <c r="D742" s="17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row>
    <row r="743" spans="1:26" ht="15.75" customHeight="1">
      <c r="A743" s="126"/>
      <c r="B743" s="126"/>
      <c r="C743" s="176"/>
      <c r="D743" s="17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row>
    <row r="744" spans="1:26" ht="15.75" customHeight="1">
      <c r="A744" s="126"/>
      <c r="B744" s="126"/>
      <c r="C744" s="176"/>
      <c r="D744" s="17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row>
    <row r="745" spans="1:26" ht="15.75" customHeight="1">
      <c r="A745" s="126"/>
      <c r="B745" s="126"/>
      <c r="C745" s="176"/>
      <c r="D745" s="17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row>
    <row r="746" spans="1:26" ht="15.75" customHeight="1">
      <c r="A746" s="126"/>
      <c r="B746" s="126"/>
      <c r="C746" s="176"/>
      <c r="D746" s="17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row>
    <row r="747" spans="1:26" ht="15.75" customHeight="1">
      <c r="A747" s="126"/>
      <c r="B747" s="126"/>
      <c r="C747" s="176"/>
      <c r="D747" s="17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row>
    <row r="748" spans="1:26" ht="15.75" customHeight="1">
      <c r="A748" s="126"/>
      <c r="B748" s="126"/>
      <c r="C748" s="176"/>
      <c r="D748" s="17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row>
    <row r="749" spans="1:26" ht="15.75" customHeight="1">
      <c r="A749" s="126"/>
      <c r="B749" s="126"/>
      <c r="C749" s="176"/>
      <c r="D749" s="17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row>
    <row r="750" spans="1:26" ht="15.75" customHeight="1">
      <c r="A750" s="126"/>
      <c r="B750" s="126"/>
      <c r="C750" s="176"/>
      <c r="D750" s="17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row>
    <row r="751" spans="1:26" ht="15.75" customHeight="1">
      <c r="A751" s="126"/>
      <c r="B751" s="126"/>
      <c r="C751" s="176"/>
      <c r="D751" s="17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row>
    <row r="752" spans="1:26" ht="15.75" customHeight="1">
      <c r="A752" s="126"/>
      <c r="B752" s="126"/>
      <c r="C752" s="176"/>
      <c r="D752" s="17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row>
    <row r="753" spans="1:26" ht="15.75" customHeight="1">
      <c r="A753" s="126"/>
      <c r="B753" s="126"/>
      <c r="C753" s="176"/>
      <c r="D753" s="17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row>
    <row r="754" spans="1:26" ht="15.75" customHeight="1">
      <c r="A754" s="126"/>
      <c r="B754" s="126"/>
      <c r="C754" s="176"/>
      <c r="D754" s="17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row>
    <row r="755" spans="1:26" ht="15.75" customHeight="1">
      <c r="A755" s="126"/>
      <c r="B755" s="126"/>
      <c r="C755" s="176"/>
      <c r="D755" s="17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row>
    <row r="756" spans="1:26" ht="15.75" customHeight="1">
      <c r="A756" s="126"/>
      <c r="B756" s="126"/>
      <c r="C756" s="176"/>
      <c r="D756" s="17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row>
    <row r="757" spans="1:26" ht="15.75" customHeight="1">
      <c r="A757" s="126"/>
      <c r="B757" s="126"/>
      <c r="C757" s="176"/>
      <c r="D757" s="17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row>
    <row r="758" spans="1:26" ht="15.75" customHeight="1">
      <c r="A758" s="126"/>
      <c r="B758" s="126"/>
      <c r="C758" s="176"/>
      <c r="D758" s="17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row>
    <row r="759" spans="1:26" ht="15.75" customHeight="1">
      <c r="A759" s="126"/>
      <c r="B759" s="126"/>
      <c r="C759" s="176"/>
      <c r="D759" s="17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row>
    <row r="760" spans="1:26" ht="15.75" customHeight="1">
      <c r="A760" s="126"/>
      <c r="B760" s="126"/>
      <c r="C760" s="176"/>
      <c r="D760" s="17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row>
    <row r="761" spans="1:26" ht="15.75" customHeight="1">
      <c r="A761" s="126"/>
      <c r="B761" s="126"/>
      <c r="C761" s="176"/>
      <c r="D761" s="17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row>
    <row r="762" spans="1:26" ht="15.75" customHeight="1">
      <c r="A762" s="126"/>
      <c r="B762" s="126"/>
      <c r="C762" s="176"/>
      <c r="D762" s="17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row>
    <row r="763" spans="1:26" ht="15.75" customHeight="1">
      <c r="A763" s="126"/>
      <c r="B763" s="126"/>
      <c r="C763" s="176"/>
      <c r="D763" s="17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row>
    <row r="764" spans="1:26" ht="15.75" customHeight="1">
      <c r="A764" s="126"/>
      <c r="B764" s="126"/>
      <c r="C764" s="176"/>
      <c r="D764" s="17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row>
    <row r="765" spans="1:26" ht="15.75" customHeight="1">
      <c r="A765" s="126"/>
      <c r="B765" s="126"/>
      <c r="C765" s="176"/>
      <c r="D765" s="17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row>
    <row r="766" spans="1:26" ht="15.75" customHeight="1">
      <c r="A766" s="126"/>
      <c r="B766" s="126"/>
      <c r="C766" s="176"/>
      <c r="D766" s="17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row>
    <row r="767" spans="1:26" ht="15.75" customHeight="1">
      <c r="A767" s="126"/>
      <c r="B767" s="126"/>
      <c r="C767" s="176"/>
      <c r="D767" s="17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row>
    <row r="768" spans="1:26" ht="15.75" customHeight="1">
      <c r="A768" s="126"/>
      <c r="B768" s="126"/>
      <c r="C768" s="176"/>
      <c r="D768" s="17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row>
    <row r="769" spans="1:26" ht="15.75" customHeight="1">
      <c r="A769" s="126"/>
      <c r="B769" s="126"/>
      <c r="C769" s="176"/>
      <c r="D769" s="17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row>
    <row r="770" spans="1:26" ht="15.75" customHeight="1">
      <c r="A770" s="126"/>
      <c r="B770" s="126"/>
      <c r="C770" s="176"/>
      <c r="D770" s="17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row>
    <row r="771" spans="1:26" ht="15.75" customHeight="1">
      <c r="A771" s="126"/>
      <c r="B771" s="126"/>
      <c r="C771" s="176"/>
      <c r="D771" s="17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row>
    <row r="772" spans="1:26" ht="15.75" customHeight="1">
      <c r="A772" s="126"/>
      <c r="B772" s="126"/>
      <c r="C772" s="176"/>
      <c r="D772" s="17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row>
    <row r="773" spans="1:26" ht="15.75" customHeight="1">
      <c r="A773" s="126"/>
      <c r="B773" s="126"/>
      <c r="C773" s="176"/>
      <c r="D773" s="17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row>
    <row r="774" spans="1:26" ht="15.75" customHeight="1">
      <c r="A774" s="126"/>
      <c r="B774" s="126"/>
      <c r="C774" s="176"/>
      <c r="D774" s="17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row>
    <row r="775" spans="1:26" ht="15.75" customHeight="1">
      <c r="A775" s="126"/>
      <c r="B775" s="126"/>
      <c r="C775" s="176"/>
      <c r="D775" s="17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row>
    <row r="776" spans="1:26" ht="15.75" customHeight="1">
      <c r="A776" s="126"/>
      <c r="B776" s="126"/>
      <c r="C776" s="176"/>
      <c r="D776" s="17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row>
    <row r="777" spans="1:26" ht="15.75" customHeight="1">
      <c r="A777" s="126"/>
      <c r="B777" s="126"/>
      <c r="C777" s="176"/>
      <c r="D777" s="17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row>
    <row r="778" spans="1:26" ht="15.75" customHeight="1">
      <c r="A778" s="126"/>
      <c r="B778" s="126"/>
      <c r="C778" s="176"/>
      <c r="D778" s="17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row>
    <row r="779" spans="1:26" ht="15.75" customHeight="1">
      <c r="A779" s="126"/>
      <c r="B779" s="126"/>
      <c r="C779" s="176"/>
      <c r="D779" s="17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row>
    <row r="780" spans="1:26" ht="15.75" customHeight="1">
      <c r="A780" s="126"/>
      <c r="B780" s="126"/>
      <c r="C780" s="176"/>
      <c r="D780" s="17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row>
    <row r="781" spans="1:26" ht="15.75" customHeight="1">
      <c r="A781" s="126"/>
      <c r="B781" s="126"/>
      <c r="C781" s="176"/>
      <c r="D781" s="17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row>
    <row r="782" spans="1:26" ht="15.75" customHeight="1">
      <c r="A782" s="126"/>
      <c r="B782" s="126"/>
      <c r="C782" s="176"/>
      <c r="D782" s="17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row>
    <row r="783" spans="1:26" ht="15.75" customHeight="1">
      <c r="A783" s="126"/>
      <c r="B783" s="126"/>
      <c r="C783" s="176"/>
      <c r="D783" s="17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row>
    <row r="784" spans="1:26" ht="15.75" customHeight="1">
      <c r="A784" s="126"/>
      <c r="B784" s="126"/>
      <c r="C784" s="176"/>
      <c r="D784" s="17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row>
    <row r="785" spans="1:26" ht="15.75" customHeight="1">
      <c r="A785" s="126"/>
      <c r="B785" s="126"/>
      <c r="C785" s="176"/>
      <c r="D785" s="17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row>
    <row r="786" spans="1:26" ht="15.75" customHeight="1">
      <c r="A786" s="126"/>
      <c r="B786" s="126"/>
      <c r="C786" s="176"/>
      <c r="D786" s="17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row>
    <row r="787" spans="1:26" ht="15.75" customHeight="1">
      <c r="A787" s="126"/>
      <c r="B787" s="126"/>
      <c r="C787" s="176"/>
      <c r="D787" s="17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row>
    <row r="788" spans="1:26" ht="15.75" customHeight="1">
      <c r="A788" s="126"/>
      <c r="B788" s="126"/>
      <c r="C788" s="176"/>
      <c r="D788" s="17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row>
    <row r="789" spans="1:26" ht="15.75" customHeight="1">
      <c r="A789" s="126"/>
      <c r="B789" s="126"/>
      <c r="C789" s="176"/>
      <c r="D789" s="17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row>
    <row r="790" spans="1:26" ht="15.75" customHeight="1">
      <c r="A790" s="126"/>
      <c r="B790" s="126"/>
      <c r="C790" s="176"/>
      <c r="D790" s="17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row>
    <row r="791" spans="1:26" ht="15.75" customHeight="1">
      <c r="A791" s="126"/>
      <c r="B791" s="126"/>
      <c r="C791" s="176"/>
      <c r="D791" s="17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row>
    <row r="792" spans="1:26" ht="15.75" customHeight="1">
      <c r="A792" s="126"/>
      <c r="B792" s="126"/>
      <c r="C792" s="176"/>
      <c r="D792" s="17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row>
    <row r="793" spans="1:26" ht="15.75" customHeight="1">
      <c r="A793" s="126"/>
      <c r="B793" s="126"/>
      <c r="C793" s="176"/>
      <c r="D793" s="17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row>
    <row r="794" spans="1:26" ht="15.75" customHeight="1">
      <c r="A794" s="126"/>
      <c r="B794" s="126"/>
      <c r="C794" s="176"/>
      <c r="D794" s="17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row>
    <row r="795" spans="1:26" ht="15.75" customHeight="1">
      <c r="A795" s="126"/>
      <c r="B795" s="126"/>
      <c r="C795" s="176"/>
      <c r="D795" s="17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row>
    <row r="796" spans="1:26" ht="15.75" customHeight="1">
      <c r="A796" s="126"/>
      <c r="B796" s="126"/>
      <c r="C796" s="176"/>
      <c r="D796" s="17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row>
    <row r="797" spans="1:26" ht="15.75" customHeight="1">
      <c r="A797" s="126"/>
      <c r="B797" s="126"/>
      <c r="C797" s="176"/>
      <c r="D797" s="17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row>
    <row r="798" spans="1:26" ht="15.75" customHeight="1">
      <c r="A798" s="126"/>
      <c r="B798" s="126"/>
      <c r="C798" s="176"/>
      <c r="D798" s="17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row>
    <row r="799" spans="1:26" ht="15.75" customHeight="1">
      <c r="A799" s="126"/>
      <c r="B799" s="126"/>
      <c r="C799" s="176"/>
      <c r="D799" s="17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row>
    <row r="800" spans="1:26" ht="15.75" customHeight="1">
      <c r="A800" s="126"/>
      <c r="B800" s="126"/>
      <c r="C800" s="176"/>
      <c r="D800" s="17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row>
    <row r="801" spans="1:26" ht="15.75" customHeight="1">
      <c r="A801" s="126"/>
      <c r="B801" s="126"/>
      <c r="C801" s="176"/>
      <c r="D801" s="17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row>
    <row r="802" spans="1:26" ht="15.75" customHeight="1">
      <c r="A802" s="126"/>
      <c r="B802" s="126"/>
      <c r="C802" s="176"/>
      <c r="D802" s="17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row>
    <row r="803" spans="1:26" ht="15.75" customHeight="1">
      <c r="A803" s="126"/>
      <c r="B803" s="126"/>
      <c r="C803" s="176"/>
      <c r="D803" s="17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row>
    <row r="804" spans="1:26" ht="15.75" customHeight="1">
      <c r="A804" s="126"/>
      <c r="B804" s="126"/>
      <c r="C804" s="176"/>
      <c r="D804" s="17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row>
    <row r="805" spans="1:26" ht="15.75" customHeight="1">
      <c r="A805" s="126"/>
      <c r="B805" s="126"/>
      <c r="C805" s="176"/>
      <c r="D805" s="17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row>
    <row r="806" spans="1:26" ht="15.75" customHeight="1">
      <c r="A806" s="126"/>
      <c r="B806" s="126"/>
      <c r="C806" s="176"/>
      <c r="D806" s="17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row>
    <row r="807" spans="1:26" ht="15.75" customHeight="1">
      <c r="A807" s="126"/>
      <c r="B807" s="126"/>
      <c r="C807" s="176"/>
      <c r="D807" s="17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row>
    <row r="808" spans="1:26" ht="15.75" customHeight="1">
      <c r="A808" s="126"/>
      <c r="B808" s="126"/>
      <c r="C808" s="176"/>
      <c r="D808" s="17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row>
    <row r="809" spans="1:26" ht="15.75" customHeight="1">
      <c r="A809" s="126"/>
      <c r="B809" s="126"/>
      <c r="C809" s="176"/>
      <c r="D809" s="17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row>
    <row r="810" spans="1:26" ht="15.75" customHeight="1">
      <c r="A810" s="126"/>
      <c r="B810" s="126"/>
      <c r="C810" s="176"/>
      <c r="D810" s="17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row>
    <row r="811" spans="1:26" ht="15.75" customHeight="1">
      <c r="A811" s="126"/>
      <c r="B811" s="126"/>
      <c r="C811" s="176"/>
      <c r="D811" s="17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row>
    <row r="812" spans="1:26" ht="15.75" customHeight="1">
      <c r="A812" s="126"/>
      <c r="B812" s="126"/>
      <c r="C812" s="176"/>
      <c r="D812" s="17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row>
    <row r="813" spans="1:26" ht="15.75" customHeight="1">
      <c r="A813" s="126"/>
      <c r="B813" s="126"/>
      <c r="C813" s="176"/>
      <c r="D813" s="17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row>
    <row r="814" spans="1:26" ht="15.75" customHeight="1">
      <c r="A814" s="126"/>
      <c r="B814" s="126"/>
      <c r="C814" s="176"/>
      <c r="D814" s="17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row>
    <row r="815" spans="1:26" ht="15.75" customHeight="1">
      <c r="A815" s="126"/>
      <c r="B815" s="126"/>
      <c r="C815" s="176"/>
      <c r="D815" s="17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row>
    <row r="816" spans="1:26" ht="15.75" customHeight="1">
      <c r="A816" s="126"/>
      <c r="B816" s="126"/>
      <c r="C816" s="176"/>
      <c r="D816" s="17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row>
    <row r="817" spans="1:26" ht="15.75" customHeight="1">
      <c r="A817" s="126"/>
      <c r="B817" s="126"/>
      <c r="C817" s="176"/>
      <c r="D817" s="17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row>
    <row r="818" spans="1:26" ht="15.75" customHeight="1">
      <c r="A818" s="126"/>
      <c r="B818" s="126"/>
      <c r="C818" s="176"/>
      <c r="D818" s="17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row>
    <row r="819" spans="1:26" ht="15.75" customHeight="1">
      <c r="A819" s="126"/>
      <c r="B819" s="126"/>
      <c r="C819" s="176"/>
      <c r="D819" s="17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row>
    <row r="820" spans="1:26" ht="15.75" customHeight="1">
      <c r="A820" s="126"/>
      <c r="B820" s="126"/>
      <c r="C820" s="176"/>
      <c r="D820" s="17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row>
    <row r="821" spans="1:26" ht="15.75" customHeight="1">
      <c r="A821" s="126"/>
      <c r="B821" s="126"/>
      <c r="C821" s="176"/>
      <c r="D821" s="17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row>
    <row r="822" spans="1:26" ht="15.75" customHeight="1">
      <c r="A822" s="126"/>
      <c r="B822" s="126"/>
      <c r="C822" s="176"/>
      <c r="D822" s="17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row>
    <row r="823" spans="1:26" ht="15.75" customHeight="1">
      <c r="A823" s="126"/>
      <c r="B823" s="126"/>
      <c r="C823" s="176"/>
      <c r="D823" s="17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row>
    <row r="824" spans="1:26" ht="15.75" customHeight="1">
      <c r="A824" s="126"/>
      <c r="B824" s="126"/>
      <c r="C824" s="176"/>
      <c r="D824" s="17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row>
    <row r="825" spans="1:26" ht="15.75" customHeight="1">
      <c r="A825" s="126"/>
      <c r="B825" s="126"/>
      <c r="C825" s="176"/>
      <c r="D825" s="17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row>
    <row r="826" spans="1:26" ht="15.75" customHeight="1">
      <c r="A826" s="126"/>
      <c r="B826" s="126"/>
      <c r="C826" s="176"/>
      <c r="D826" s="17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row>
    <row r="827" spans="1:26" ht="15.75" customHeight="1">
      <c r="A827" s="126"/>
      <c r="B827" s="126"/>
      <c r="C827" s="176"/>
      <c r="D827" s="17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row>
    <row r="828" spans="1:26" ht="15.75" customHeight="1">
      <c r="A828" s="126"/>
      <c r="B828" s="126"/>
      <c r="C828" s="176"/>
      <c r="D828" s="17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row>
    <row r="829" spans="1:26" ht="15.75" customHeight="1">
      <c r="A829" s="126"/>
      <c r="B829" s="126"/>
      <c r="C829" s="176"/>
      <c r="D829" s="17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row>
    <row r="830" spans="1:26" ht="15.75" customHeight="1">
      <c r="A830" s="126"/>
      <c r="B830" s="126"/>
      <c r="C830" s="176"/>
      <c r="D830" s="17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row>
    <row r="831" spans="1:26" ht="15.75" customHeight="1">
      <c r="A831" s="126"/>
      <c r="B831" s="126"/>
      <c r="C831" s="176"/>
      <c r="D831" s="17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row>
    <row r="832" spans="1:26" ht="15.75" customHeight="1">
      <c r="A832" s="126"/>
      <c r="B832" s="126"/>
      <c r="C832" s="176"/>
      <c r="D832" s="17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row>
    <row r="833" spans="1:26" ht="15.75" customHeight="1">
      <c r="A833" s="126"/>
      <c r="B833" s="126"/>
      <c r="C833" s="176"/>
      <c r="D833" s="17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row>
    <row r="834" spans="1:26" ht="15.75" customHeight="1">
      <c r="A834" s="126"/>
      <c r="B834" s="126"/>
      <c r="C834" s="176"/>
      <c r="D834" s="17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row>
    <row r="835" spans="1:26" ht="15.75" customHeight="1">
      <c r="A835" s="126"/>
      <c r="B835" s="126"/>
      <c r="C835" s="176"/>
      <c r="D835" s="17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row>
    <row r="836" spans="1:26" ht="15.75" customHeight="1">
      <c r="A836" s="126"/>
      <c r="B836" s="126"/>
      <c r="C836" s="176"/>
      <c r="D836" s="17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row>
    <row r="837" spans="1:26" ht="15.75" customHeight="1">
      <c r="A837" s="126"/>
      <c r="B837" s="126"/>
      <c r="C837" s="176"/>
      <c r="D837" s="17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row>
    <row r="838" spans="1:26" ht="15.75" customHeight="1">
      <c r="A838" s="126"/>
      <c r="B838" s="126"/>
      <c r="C838" s="176"/>
      <c r="D838" s="17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row>
    <row r="839" spans="1:26" ht="15.75" customHeight="1">
      <c r="A839" s="126"/>
      <c r="B839" s="126"/>
      <c r="C839" s="176"/>
      <c r="D839" s="17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row>
    <row r="840" spans="1:26" ht="15.75" customHeight="1">
      <c r="A840" s="126"/>
      <c r="B840" s="126"/>
      <c r="C840" s="176"/>
      <c r="D840" s="17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row>
    <row r="841" spans="1:26" ht="15.75" customHeight="1">
      <c r="A841" s="126"/>
      <c r="B841" s="126"/>
      <c r="C841" s="176"/>
      <c r="D841" s="17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row>
    <row r="842" spans="1:26" ht="15.75" customHeight="1">
      <c r="A842" s="126"/>
      <c r="B842" s="126"/>
      <c r="C842" s="176"/>
      <c r="D842" s="17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row>
    <row r="843" spans="1:26" ht="15.75" customHeight="1">
      <c r="A843" s="126"/>
      <c r="B843" s="126"/>
      <c r="C843" s="176"/>
      <c r="D843" s="17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row>
    <row r="844" spans="1:26" ht="15.75" customHeight="1">
      <c r="A844" s="126"/>
      <c r="B844" s="126"/>
      <c r="C844" s="176"/>
      <c r="D844" s="17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row>
    <row r="845" spans="1:26" ht="15.75" customHeight="1">
      <c r="A845" s="126"/>
      <c r="B845" s="126"/>
      <c r="C845" s="176"/>
      <c r="D845" s="17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row>
    <row r="846" spans="1:26" ht="15.75" customHeight="1">
      <c r="A846" s="126"/>
      <c r="B846" s="126"/>
      <c r="C846" s="176"/>
      <c r="D846" s="17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row>
    <row r="847" spans="1:26" ht="15.75" customHeight="1">
      <c r="A847" s="126"/>
      <c r="B847" s="126"/>
      <c r="C847" s="176"/>
      <c r="D847" s="17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row>
    <row r="848" spans="1:26" ht="15.75" customHeight="1">
      <c r="A848" s="126"/>
      <c r="B848" s="126"/>
      <c r="C848" s="176"/>
      <c r="D848" s="17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row>
    <row r="849" spans="1:26" ht="15.75" customHeight="1">
      <c r="A849" s="126"/>
      <c r="B849" s="126"/>
      <c r="C849" s="176"/>
      <c r="D849" s="17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row>
    <row r="850" spans="1:26" ht="15.75" customHeight="1">
      <c r="A850" s="126"/>
      <c r="B850" s="126"/>
      <c r="C850" s="176"/>
      <c r="D850" s="17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row>
    <row r="851" spans="1:26" ht="15.75" customHeight="1">
      <c r="A851" s="126"/>
      <c r="B851" s="126"/>
      <c r="C851" s="176"/>
      <c r="D851" s="17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row>
    <row r="852" spans="1:26" ht="15.75" customHeight="1">
      <c r="A852" s="126"/>
      <c r="B852" s="126"/>
      <c r="C852" s="176"/>
      <c r="D852" s="17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row>
    <row r="853" spans="1:26" ht="15.75" customHeight="1">
      <c r="A853" s="126"/>
      <c r="B853" s="126"/>
      <c r="C853" s="176"/>
      <c r="D853" s="17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row>
    <row r="854" spans="1:26" ht="15.75" customHeight="1">
      <c r="A854" s="126"/>
      <c r="B854" s="126"/>
      <c r="C854" s="176"/>
      <c r="D854" s="17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row>
    <row r="855" spans="1:26" ht="15.75" customHeight="1">
      <c r="A855" s="126"/>
      <c r="B855" s="126"/>
      <c r="C855" s="176"/>
      <c r="D855" s="17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row>
    <row r="856" spans="1:26" ht="15.75" customHeight="1">
      <c r="A856" s="126"/>
      <c r="B856" s="126"/>
      <c r="C856" s="176"/>
      <c r="D856" s="17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row>
    <row r="857" spans="1:26" ht="15.75" customHeight="1">
      <c r="A857" s="126"/>
      <c r="B857" s="126"/>
      <c r="C857" s="176"/>
      <c r="D857" s="17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row>
    <row r="858" spans="1:26" ht="15.75" customHeight="1">
      <c r="A858" s="126"/>
      <c r="B858" s="126"/>
      <c r="C858" s="176"/>
      <c r="D858" s="17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row>
    <row r="859" spans="1:26" ht="15.75" customHeight="1">
      <c r="A859" s="126"/>
      <c r="B859" s="126"/>
      <c r="C859" s="176"/>
      <c r="D859" s="17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row>
    <row r="860" spans="1:26" ht="15.75" customHeight="1">
      <c r="A860" s="126"/>
      <c r="B860" s="126"/>
      <c r="C860" s="176"/>
      <c r="D860" s="17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row>
    <row r="861" spans="1:26" ht="15.75" customHeight="1">
      <c r="A861" s="126"/>
      <c r="B861" s="126"/>
      <c r="C861" s="176"/>
      <c r="D861" s="17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row>
    <row r="862" spans="1:26" ht="15.75" customHeight="1">
      <c r="A862" s="126"/>
      <c r="B862" s="126"/>
      <c r="C862" s="176"/>
      <c r="D862" s="17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row>
    <row r="863" spans="1:26" ht="15.75" customHeight="1">
      <c r="A863" s="126"/>
      <c r="B863" s="126"/>
      <c r="C863" s="176"/>
      <c r="D863" s="17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row>
    <row r="864" spans="1:26" ht="15.75" customHeight="1">
      <c r="A864" s="126"/>
      <c r="B864" s="126"/>
      <c r="C864" s="176"/>
      <c r="D864" s="17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row>
    <row r="865" spans="1:26" ht="15.75" customHeight="1">
      <c r="A865" s="126"/>
      <c r="B865" s="126"/>
      <c r="C865" s="176"/>
      <c r="D865" s="17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row>
    <row r="866" spans="1:26" ht="15.75" customHeight="1">
      <c r="A866" s="126"/>
      <c r="B866" s="126"/>
      <c r="C866" s="176"/>
      <c r="D866" s="17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row>
    <row r="867" spans="1:26" ht="15.75" customHeight="1">
      <c r="A867" s="126"/>
      <c r="B867" s="126"/>
      <c r="C867" s="176"/>
      <c r="D867" s="17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row>
    <row r="868" spans="1:26" ht="15.75" customHeight="1">
      <c r="A868" s="126"/>
      <c r="B868" s="126"/>
      <c r="C868" s="176"/>
      <c r="D868" s="17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row>
    <row r="869" spans="1:26" ht="15.75" customHeight="1">
      <c r="A869" s="126"/>
      <c r="B869" s="126"/>
      <c r="C869" s="176"/>
      <c r="D869" s="17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row>
    <row r="870" spans="1:26" ht="15.75" customHeight="1">
      <c r="A870" s="126"/>
      <c r="B870" s="126"/>
      <c r="C870" s="176"/>
      <c r="D870" s="17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row>
    <row r="871" spans="1:26" ht="15.75" customHeight="1">
      <c r="A871" s="126"/>
      <c r="B871" s="126"/>
      <c r="C871" s="176"/>
      <c r="D871" s="17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row>
    <row r="872" spans="1:26" ht="15.75" customHeight="1">
      <c r="A872" s="126"/>
      <c r="B872" s="126"/>
      <c r="C872" s="176"/>
      <c r="D872" s="17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row>
    <row r="873" spans="1:26" ht="15.75" customHeight="1">
      <c r="A873" s="126"/>
      <c r="B873" s="126"/>
      <c r="C873" s="176"/>
      <c r="D873" s="17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row>
    <row r="874" spans="1:26" ht="15.75" customHeight="1">
      <c r="A874" s="126"/>
      <c r="B874" s="126"/>
      <c r="C874" s="176"/>
      <c r="D874" s="17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row>
    <row r="875" spans="1:26" ht="15.75" customHeight="1">
      <c r="A875" s="126"/>
      <c r="B875" s="126"/>
      <c r="C875" s="176"/>
      <c r="D875" s="17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row>
    <row r="876" spans="1:26" ht="15.75" customHeight="1">
      <c r="A876" s="126"/>
      <c r="B876" s="126"/>
      <c r="C876" s="176"/>
      <c r="D876" s="17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row>
    <row r="877" spans="1:26" ht="15.75" customHeight="1">
      <c r="A877" s="126"/>
      <c r="B877" s="126"/>
      <c r="C877" s="176"/>
      <c r="D877" s="17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row>
    <row r="878" spans="1:26" ht="15.75" customHeight="1">
      <c r="A878" s="126"/>
      <c r="B878" s="126"/>
      <c r="C878" s="176"/>
      <c r="D878" s="17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row>
    <row r="879" spans="1:26" ht="15.75" customHeight="1">
      <c r="A879" s="126"/>
      <c r="B879" s="126"/>
      <c r="C879" s="176"/>
      <c r="D879" s="17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row>
    <row r="880" spans="1:26" ht="15.75" customHeight="1">
      <c r="A880" s="126"/>
      <c r="B880" s="126"/>
      <c r="C880" s="176"/>
      <c r="D880" s="17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row>
    <row r="881" spans="1:26" ht="15.75" customHeight="1">
      <c r="A881" s="126"/>
      <c r="B881" s="126"/>
      <c r="C881" s="176"/>
      <c r="D881" s="17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row>
    <row r="882" spans="1:26" ht="15.75" customHeight="1">
      <c r="A882" s="126"/>
      <c r="B882" s="126"/>
      <c r="C882" s="176"/>
      <c r="D882" s="17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row>
    <row r="883" spans="1:26" ht="15.75" customHeight="1">
      <c r="A883" s="126"/>
      <c r="B883" s="126"/>
      <c r="C883" s="176"/>
      <c r="D883" s="17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row>
    <row r="884" spans="1:26" ht="15.75" customHeight="1">
      <c r="A884" s="126"/>
      <c r="B884" s="126"/>
      <c r="C884" s="176"/>
      <c r="D884" s="17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row>
    <row r="885" spans="1:26" ht="15.75" customHeight="1">
      <c r="A885" s="126"/>
      <c r="B885" s="126"/>
      <c r="C885" s="176"/>
      <c r="D885" s="17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row>
    <row r="886" spans="1:26" ht="15.75" customHeight="1">
      <c r="A886" s="126"/>
      <c r="B886" s="126"/>
      <c r="C886" s="176"/>
      <c r="D886" s="17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row>
    <row r="887" spans="1:26" ht="15.75" customHeight="1">
      <c r="A887" s="126"/>
      <c r="B887" s="126"/>
      <c r="C887" s="176"/>
      <c r="D887" s="17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row>
    <row r="888" spans="1:26" ht="15.75" customHeight="1">
      <c r="A888" s="126"/>
      <c r="B888" s="126"/>
      <c r="C888" s="176"/>
      <c r="D888" s="17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row>
    <row r="889" spans="1:26" ht="15.75" customHeight="1">
      <c r="A889" s="126"/>
      <c r="B889" s="126"/>
      <c r="C889" s="176"/>
      <c r="D889" s="17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row>
    <row r="890" spans="1:26" ht="15.75" customHeight="1">
      <c r="A890" s="126"/>
      <c r="B890" s="126"/>
      <c r="C890" s="176"/>
      <c r="D890" s="17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row>
    <row r="891" spans="1:26" ht="15.75" customHeight="1">
      <c r="A891" s="126"/>
      <c r="B891" s="126"/>
      <c r="C891" s="176"/>
      <c r="D891" s="17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row>
    <row r="892" spans="1:26" ht="15.75" customHeight="1">
      <c r="A892" s="126"/>
      <c r="B892" s="126"/>
      <c r="C892" s="176"/>
      <c r="D892" s="17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row>
    <row r="893" spans="1:26" ht="15.75" customHeight="1">
      <c r="A893" s="126"/>
      <c r="B893" s="126"/>
      <c r="C893" s="176"/>
      <c r="D893" s="17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row>
    <row r="894" spans="1:26" ht="15.75" customHeight="1">
      <c r="A894" s="126"/>
      <c r="B894" s="126"/>
      <c r="C894" s="176"/>
      <c r="D894" s="17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row>
    <row r="895" spans="1:26" ht="15.75" customHeight="1">
      <c r="A895" s="126"/>
      <c r="B895" s="126"/>
      <c r="C895" s="176"/>
      <c r="D895" s="17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row>
    <row r="896" spans="1:26" ht="15.75" customHeight="1">
      <c r="A896" s="126"/>
      <c r="B896" s="126"/>
      <c r="C896" s="176"/>
      <c r="D896" s="17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row>
    <row r="897" spans="1:26" ht="15.75" customHeight="1">
      <c r="A897" s="126"/>
      <c r="B897" s="126"/>
      <c r="C897" s="176"/>
      <c r="D897" s="17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row>
    <row r="898" spans="1:26" ht="15.75" customHeight="1">
      <c r="A898" s="126"/>
      <c r="B898" s="126"/>
      <c r="C898" s="176"/>
      <c r="D898" s="17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row>
    <row r="899" spans="1:26" ht="15.75" customHeight="1">
      <c r="A899" s="126"/>
      <c r="B899" s="126"/>
      <c r="C899" s="176"/>
      <c r="D899" s="17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row>
    <row r="900" spans="1:26" ht="15.75" customHeight="1">
      <c r="A900" s="126"/>
      <c r="B900" s="126"/>
      <c r="C900" s="176"/>
      <c r="D900" s="17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row>
    <row r="901" spans="1:26" ht="15.75" customHeight="1">
      <c r="A901" s="126"/>
      <c r="B901" s="126"/>
      <c r="C901" s="176"/>
      <c r="D901" s="17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row>
    <row r="902" spans="1:26" ht="15.75" customHeight="1">
      <c r="A902" s="126"/>
      <c r="B902" s="126"/>
      <c r="C902" s="176"/>
      <c r="D902" s="17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row>
    <row r="903" spans="1:26" ht="15.75" customHeight="1">
      <c r="A903" s="126"/>
      <c r="B903" s="126"/>
      <c r="C903" s="176"/>
      <c r="D903" s="17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row>
    <row r="904" spans="1:26" ht="15.75" customHeight="1">
      <c r="A904" s="126"/>
      <c r="B904" s="126"/>
      <c r="C904" s="176"/>
      <c r="D904" s="17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row>
    <row r="905" spans="1:26" ht="15.75" customHeight="1">
      <c r="A905" s="126"/>
      <c r="B905" s="126"/>
      <c r="C905" s="176"/>
      <c r="D905" s="17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row>
    <row r="906" spans="1:26" ht="15.75" customHeight="1">
      <c r="A906" s="126"/>
      <c r="B906" s="126"/>
      <c r="C906" s="176"/>
      <c r="D906" s="17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row>
    <row r="907" spans="1:26" ht="15.75" customHeight="1">
      <c r="A907" s="126"/>
      <c r="B907" s="126"/>
      <c r="C907" s="176"/>
      <c r="D907" s="17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row>
    <row r="908" spans="1:26" ht="15.75" customHeight="1">
      <c r="A908" s="126"/>
      <c r="B908" s="126"/>
      <c r="C908" s="176"/>
      <c r="D908" s="17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row>
    <row r="909" spans="1:26" ht="15.75" customHeight="1">
      <c r="A909" s="126"/>
      <c r="B909" s="126"/>
      <c r="C909" s="176"/>
      <c r="D909" s="17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row>
    <row r="910" spans="1:26" ht="15.75" customHeight="1">
      <c r="A910" s="126"/>
      <c r="B910" s="126"/>
      <c r="C910" s="176"/>
      <c r="D910" s="17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row>
    <row r="911" spans="1:26" ht="15.75" customHeight="1">
      <c r="A911" s="126"/>
      <c r="B911" s="126"/>
      <c r="C911" s="176"/>
      <c r="D911" s="17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row>
    <row r="912" spans="1:26" ht="15.75" customHeight="1">
      <c r="A912" s="126"/>
      <c r="B912" s="126"/>
      <c r="C912" s="176"/>
      <c r="D912" s="17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row>
    <row r="913" spans="1:26" ht="15.75" customHeight="1">
      <c r="A913" s="126"/>
      <c r="B913" s="126"/>
      <c r="C913" s="176"/>
      <c r="D913" s="17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row>
    <row r="914" spans="1:26" ht="15.75" customHeight="1">
      <c r="A914" s="126"/>
      <c r="B914" s="126"/>
      <c r="C914" s="176"/>
      <c r="D914" s="17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row>
    <row r="915" spans="1:26" ht="15.75" customHeight="1">
      <c r="A915" s="126"/>
      <c r="B915" s="126"/>
      <c r="C915" s="176"/>
      <c r="D915" s="17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row>
    <row r="916" spans="1:26" ht="15.75" customHeight="1">
      <c r="A916" s="126"/>
      <c r="B916" s="126"/>
      <c r="C916" s="176"/>
      <c r="D916" s="17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row>
    <row r="917" spans="1:26" ht="15.75" customHeight="1">
      <c r="A917" s="126"/>
      <c r="B917" s="126"/>
      <c r="C917" s="176"/>
      <c r="D917" s="17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row>
    <row r="918" spans="1:26" ht="15.75" customHeight="1">
      <c r="A918" s="126"/>
      <c r="B918" s="126"/>
      <c r="C918" s="176"/>
      <c r="D918" s="17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row>
    <row r="919" spans="1:26" ht="15.75" customHeight="1">
      <c r="A919" s="126"/>
      <c r="B919" s="126"/>
      <c r="C919" s="176"/>
      <c r="D919" s="17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row>
    <row r="920" spans="1:26" ht="15.75" customHeight="1">
      <c r="A920" s="126"/>
      <c r="B920" s="126"/>
      <c r="C920" s="176"/>
      <c r="D920" s="17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row>
    <row r="921" spans="1:26" ht="15.75" customHeight="1">
      <c r="A921" s="126"/>
      <c r="B921" s="126"/>
      <c r="C921" s="176"/>
      <c r="D921" s="17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row>
    <row r="922" spans="1:26" ht="15.75" customHeight="1">
      <c r="A922" s="126"/>
      <c r="B922" s="126"/>
      <c r="C922" s="176"/>
      <c r="D922" s="17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row>
    <row r="923" spans="1:26" ht="15.75" customHeight="1">
      <c r="A923" s="126"/>
      <c r="B923" s="126"/>
      <c r="C923" s="176"/>
      <c r="D923" s="17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row>
    <row r="924" spans="1:26" ht="15.75" customHeight="1">
      <c r="A924" s="126"/>
      <c r="B924" s="126"/>
      <c r="C924" s="176"/>
      <c r="D924" s="17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row>
    <row r="925" spans="1:26" ht="15.75" customHeight="1">
      <c r="A925" s="126"/>
      <c r="B925" s="126"/>
      <c r="C925" s="176"/>
      <c r="D925" s="17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row>
    <row r="926" spans="1:26" ht="15.75" customHeight="1">
      <c r="A926" s="126"/>
      <c r="B926" s="126"/>
      <c r="C926" s="176"/>
      <c r="D926" s="17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row>
    <row r="927" spans="1:26" ht="15.75" customHeight="1">
      <c r="A927" s="126"/>
      <c r="B927" s="126"/>
      <c r="C927" s="176"/>
      <c r="D927" s="17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row>
    <row r="928" spans="1:26" ht="15.75" customHeight="1">
      <c r="A928" s="126"/>
      <c r="B928" s="126"/>
      <c r="C928" s="176"/>
      <c r="D928" s="17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row>
    <row r="929" spans="1:26" ht="15.75" customHeight="1">
      <c r="A929" s="126"/>
      <c r="B929" s="126"/>
      <c r="C929" s="176"/>
      <c r="D929" s="17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row>
    <row r="930" spans="1:26" ht="15.75" customHeight="1">
      <c r="A930" s="126"/>
      <c r="B930" s="126"/>
      <c r="C930" s="176"/>
      <c r="D930" s="17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row>
    <row r="931" spans="1:26" ht="15.75" customHeight="1">
      <c r="A931" s="126"/>
      <c r="B931" s="126"/>
      <c r="C931" s="176"/>
      <c r="D931" s="17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row>
    <row r="932" spans="1:26" ht="15.75" customHeight="1">
      <c r="A932" s="126"/>
      <c r="B932" s="126"/>
      <c r="C932" s="176"/>
      <c r="D932" s="17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row>
    <row r="933" spans="1:26" ht="15.75" customHeight="1">
      <c r="A933" s="126"/>
      <c r="B933" s="126"/>
      <c r="C933" s="176"/>
      <c r="D933" s="17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row>
    <row r="934" spans="1:26" ht="15.75" customHeight="1">
      <c r="A934" s="126"/>
      <c r="B934" s="126"/>
      <c r="C934" s="176"/>
      <c r="D934" s="17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row>
    <row r="935" spans="1:26" ht="15.75" customHeight="1">
      <c r="A935" s="126"/>
      <c r="B935" s="126"/>
      <c r="C935" s="176"/>
      <c r="D935" s="17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row>
    <row r="936" spans="1:26" ht="15.75" customHeight="1">
      <c r="A936" s="126"/>
      <c r="B936" s="126"/>
      <c r="C936" s="176"/>
      <c r="D936" s="17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row>
    <row r="937" spans="1:26" ht="15.75" customHeight="1">
      <c r="A937" s="126"/>
      <c r="B937" s="126"/>
      <c r="C937" s="176"/>
      <c r="D937" s="17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row>
    <row r="938" spans="1:26" ht="15.75" customHeight="1">
      <c r="A938" s="126"/>
      <c r="B938" s="126"/>
      <c r="C938" s="176"/>
      <c r="D938" s="17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row>
    <row r="939" spans="1:26" ht="15.75" customHeight="1">
      <c r="A939" s="126"/>
      <c r="B939" s="126"/>
      <c r="C939" s="176"/>
      <c r="D939" s="17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row>
    <row r="940" spans="1:26" ht="15.75" customHeight="1">
      <c r="A940" s="126"/>
      <c r="B940" s="126"/>
      <c r="C940" s="176"/>
      <c r="D940" s="17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row>
    <row r="941" spans="1:26" ht="15.75" customHeight="1">
      <c r="A941" s="126"/>
      <c r="B941" s="126"/>
      <c r="C941" s="176"/>
      <c r="D941" s="17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row>
    <row r="942" spans="1:26" ht="15.75" customHeight="1">
      <c r="A942" s="126"/>
      <c r="B942" s="126"/>
      <c r="C942" s="176"/>
      <c r="D942" s="17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row>
    <row r="943" spans="1:26" ht="15.75" customHeight="1">
      <c r="A943" s="126"/>
      <c r="B943" s="126"/>
      <c r="C943" s="176"/>
      <c r="D943" s="17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row>
    <row r="944" spans="1:26" ht="15.75" customHeight="1">
      <c r="A944" s="126"/>
      <c r="B944" s="126"/>
      <c r="C944" s="176"/>
      <c r="D944" s="17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row>
    <row r="945" spans="1:26" ht="15.75" customHeight="1">
      <c r="A945" s="126"/>
      <c r="B945" s="126"/>
      <c r="C945" s="176"/>
      <c r="D945" s="17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row>
    <row r="946" spans="1:26" ht="15.75" customHeight="1">
      <c r="A946" s="126"/>
      <c r="B946" s="126"/>
      <c r="C946" s="176"/>
      <c r="D946" s="17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row>
    <row r="947" spans="1:26" ht="15.75" customHeight="1">
      <c r="A947" s="126"/>
      <c r="B947" s="126"/>
      <c r="C947" s="176"/>
      <c r="D947" s="17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row>
    <row r="948" spans="1:26" ht="15.75" customHeight="1">
      <c r="A948" s="126"/>
      <c r="B948" s="126"/>
      <c r="C948" s="176"/>
      <c r="D948" s="17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row>
    <row r="949" spans="1:26" ht="15.75" customHeight="1">
      <c r="A949" s="126"/>
      <c r="B949" s="126"/>
      <c r="C949" s="176"/>
      <c r="D949" s="17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row>
    <row r="950" spans="1:26" ht="15.75" customHeight="1">
      <c r="A950" s="126"/>
      <c r="B950" s="126"/>
      <c r="C950" s="176"/>
      <c r="D950" s="17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row>
    <row r="951" spans="1:26" ht="15.75" customHeight="1">
      <c r="A951" s="126"/>
      <c r="B951" s="126"/>
      <c r="C951" s="176"/>
      <c r="D951" s="17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row>
    <row r="952" spans="1:26" ht="15.75" customHeight="1">
      <c r="A952" s="126"/>
      <c r="B952" s="126"/>
      <c r="C952" s="176"/>
      <c r="D952" s="17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row>
    <row r="953" spans="1:26" ht="15.75" customHeight="1">
      <c r="A953" s="126"/>
      <c r="B953" s="126"/>
      <c r="C953" s="176"/>
      <c r="D953" s="17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row>
    <row r="954" spans="1:26" ht="15.75" customHeight="1">
      <c r="A954" s="126"/>
      <c r="B954" s="126"/>
      <c r="C954" s="176"/>
      <c r="D954" s="17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row>
    <row r="955" spans="1:26" ht="15.75" customHeight="1">
      <c r="A955" s="126"/>
      <c r="B955" s="126"/>
      <c r="C955" s="176"/>
      <c r="D955" s="17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row>
    <row r="956" spans="1:26" ht="15.75" customHeight="1">
      <c r="A956" s="126"/>
      <c r="B956" s="126"/>
      <c r="C956" s="176"/>
      <c r="D956" s="17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row>
    <row r="957" spans="1:26" ht="15.75" customHeight="1">
      <c r="A957" s="126"/>
      <c r="B957" s="126"/>
      <c r="C957" s="176"/>
      <c r="D957" s="17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row>
    <row r="958" spans="1:26" ht="15.75" customHeight="1">
      <c r="A958" s="126"/>
      <c r="B958" s="126"/>
      <c r="C958" s="176"/>
      <c r="D958" s="17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row>
    <row r="959" spans="1:26" ht="15.75" customHeight="1">
      <c r="A959" s="126"/>
      <c r="B959" s="126"/>
      <c r="C959" s="176"/>
      <c r="D959" s="17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row>
    <row r="960" spans="1:26" ht="15.75" customHeight="1">
      <c r="A960" s="126"/>
      <c r="B960" s="126"/>
      <c r="C960" s="176"/>
      <c r="D960" s="17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row>
    <row r="961" spans="1:26" ht="15.75" customHeight="1">
      <c r="A961" s="126"/>
      <c r="B961" s="126"/>
      <c r="C961" s="176"/>
      <c r="D961" s="17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row>
    <row r="962" spans="1:26" ht="15.75" customHeight="1">
      <c r="A962" s="126"/>
      <c r="B962" s="126"/>
      <c r="C962" s="176"/>
      <c r="D962" s="17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row>
    <row r="963" spans="1:26" ht="15.75" customHeight="1">
      <c r="A963" s="126"/>
      <c r="B963" s="126"/>
      <c r="C963" s="176"/>
      <c r="D963" s="17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row>
    <row r="964" spans="1:26" ht="15.75" customHeight="1">
      <c r="A964" s="126"/>
      <c r="B964" s="126"/>
      <c r="C964" s="176"/>
      <c r="D964" s="17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row>
    <row r="965" spans="1:26" ht="15.75" customHeight="1">
      <c r="A965" s="126"/>
      <c r="B965" s="126"/>
      <c r="C965" s="176"/>
      <c r="D965" s="17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row>
    <row r="966" spans="1:26" ht="15.75" customHeight="1">
      <c r="A966" s="126"/>
      <c r="B966" s="126"/>
      <c r="C966" s="176"/>
      <c r="D966" s="17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row>
    <row r="967" spans="1:26" ht="15.75" customHeight="1">
      <c r="A967" s="126"/>
      <c r="B967" s="126"/>
      <c r="C967" s="176"/>
      <c r="D967" s="17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row>
    <row r="968" spans="1:26" ht="15.75" customHeight="1">
      <c r="A968" s="126"/>
      <c r="B968" s="126"/>
      <c r="C968" s="176"/>
      <c r="D968" s="17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row>
    <row r="969" spans="1:26" ht="15.75" customHeight="1">
      <c r="A969" s="126"/>
      <c r="B969" s="126"/>
      <c r="C969" s="176"/>
      <c r="D969" s="17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row>
    <row r="970" spans="1:26" ht="15.75" customHeight="1">
      <c r="A970" s="126"/>
      <c r="B970" s="126"/>
      <c r="C970" s="176"/>
      <c r="D970" s="17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row>
    <row r="971" spans="1:26" ht="15.75" customHeight="1">
      <c r="A971" s="126"/>
      <c r="B971" s="126"/>
      <c r="C971" s="176"/>
      <c r="D971" s="17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row>
    <row r="972" spans="1:26" ht="15.75" customHeight="1">
      <c r="A972" s="126"/>
      <c r="B972" s="126"/>
      <c r="C972" s="176"/>
      <c r="D972" s="17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row>
    <row r="973" spans="1:26" ht="15.75" customHeight="1">
      <c r="A973" s="126"/>
      <c r="B973" s="126"/>
      <c r="C973" s="176"/>
      <c r="D973" s="17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row>
    <row r="974" spans="1:26" ht="15.75" customHeight="1">
      <c r="A974" s="126"/>
      <c r="B974" s="126"/>
      <c r="C974" s="176"/>
      <c r="D974" s="17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row>
    <row r="975" spans="1:26" ht="15.75" customHeight="1">
      <c r="A975" s="126"/>
      <c r="B975" s="126"/>
      <c r="C975" s="176"/>
      <c r="D975" s="17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row>
    <row r="976" spans="1:26" ht="15.75" customHeight="1">
      <c r="A976" s="126"/>
      <c r="B976" s="126"/>
      <c r="C976" s="176"/>
      <c r="D976" s="17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row>
    <row r="977" spans="1:26" ht="15.75" customHeight="1">
      <c r="A977" s="126"/>
      <c r="B977" s="126"/>
      <c r="C977" s="176"/>
      <c r="D977" s="17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row>
    <row r="978" spans="1:26" ht="15.75" customHeight="1">
      <c r="A978" s="126"/>
      <c r="B978" s="126"/>
      <c r="C978" s="176"/>
      <c r="D978" s="17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row>
    <row r="979" spans="1:26" ht="15.75" customHeight="1">
      <c r="A979" s="126"/>
      <c r="B979" s="126"/>
      <c r="C979" s="176"/>
      <c r="D979" s="17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row>
    <row r="980" spans="1:26" ht="15.75" customHeight="1">
      <c r="A980" s="126"/>
      <c r="B980" s="126"/>
      <c r="C980" s="176"/>
      <c r="D980" s="17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row>
    <row r="981" spans="1:26" ht="15.75" customHeight="1">
      <c r="A981" s="126"/>
      <c r="B981" s="126"/>
      <c r="C981" s="176"/>
      <c r="D981" s="17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row>
    <row r="982" spans="1:26" ht="15.75" customHeight="1">
      <c r="A982" s="126"/>
      <c r="B982" s="126"/>
      <c r="C982" s="176"/>
      <c r="D982" s="17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row>
    <row r="983" spans="1:26" ht="15.75" customHeight="1">
      <c r="A983" s="126"/>
      <c r="B983" s="126"/>
      <c r="C983" s="176"/>
      <c r="D983" s="17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row>
    <row r="984" spans="1:26" ht="15.75" customHeight="1">
      <c r="A984" s="126"/>
      <c r="B984" s="126"/>
      <c r="C984" s="176"/>
      <c r="D984" s="17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row>
    <row r="985" spans="1:26" ht="15.75" customHeight="1">
      <c r="A985" s="126"/>
      <c r="B985" s="126"/>
      <c r="C985" s="176"/>
      <c r="D985" s="17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row>
    <row r="986" spans="1:26" ht="15.75" customHeight="1">
      <c r="A986" s="126"/>
      <c r="B986" s="126"/>
      <c r="C986" s="176"/>
      <c r="D986" s="17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row>
    <row r="987" spans="1:26" ht="15.75" customHeight="1">
      <c r="A987" s="126"/>
      <c r="B987" s="126"/>
      <c r="C987" s="176"/>
      <c r="D987" s="17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row>
    <row r="988" spans="1:26" ht="15.75" customHeight="1">
      <c r="A988" s="126"/>
      <c r="B988" s="126"/>
      <c r="C988" s="176"/>
      <c r="D988" s="17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row>
    <row r="989" spans="1:26" ht="15.75" customHeight="1">
      <c r="A989" s="126"/>
      <c r="B989" s="126"/>
      <c r="C989" s="176"/>
      <c r="D989" s="17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row>
    <row r="990" spans="1:26" ht="15.75" customHeight="1">
      <c r="A990" s="126"/>
      <c r="B990" s="126"/>
      <c r="C990" s="176"/>
      <c r="D990" s="17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row>
    <row r="991" spans="1:26" ht="15.75" customHeight="1">
      <c r="A991" s="126"/>
      <c r="B991" s="126"/>
      <c r="C991" s="176"/>
      <c r="D991" s="17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row>
    <row r="992" spans="1:26" ht="15.75" customHeight="1">
      <c r="A992" s="126"/>
      <c r="B992" s="126"/>
      <c r="C992" s="176"/>
      <c r="D992" s="17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row>
    <row r="993" spans="1:26" ht="15.75" customHeight="1">
      <c r="A993" s="126"/>
      <c r="B993" s="126"/>
      <c r="C993" s="176"/>
      <c r="D993" s="17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row>
    <row r="994" spans="1:26" ht="15.75" customHeight="1">
      <c r="A994" s="126"/>
      <c r="B994" s="126"/>
      <c r="C994" s="176"/>
      <c r="D994" s="17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row>
    <row r="995" spans="1:26" ht="15.75" customHeight="1">
      <c r="A995" s="126"/>
      <c r="B995" s="126"/>
      <c r="C995" s="176"/>
      <c r="D995" s="17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row>
    <row r="996" spans="1:26" ht="15.75" customHeight="1">
      <c r="A996" s="126"/>
      <c r="B996" s="126"/>
      <c r="C996" s="176"/>
      <c r="D996" s="17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row>
    <row r="997" spans="1:26" ht="15.75" customHeight="1">
      <c r="A997" s="126"/>
      <c r="B997" s="126"/>
      <c r="C997" s="176"/>
      <c r="D997" s="17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row>
    <row r="998" spans="1:26" ht="15.75" customHeight="1">
      <c r="A998" s="126"/>
      <c r="B998" s="126"/>
      <c r="C998" s="176"/>
      <c r="D998" s="17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row>
    <row r="999" spans="1:26" ht="15.75" customHeight="1">
      <c r="A999" s="126"/>
      <c r="B999" s="126"/>
      <c r="C999" s="176"/>
      <c r="D999" s="17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row>
    <row r="1000" spans="1:26" ht="15.75" customHeight="1">
      <c r="A1000" s="126"/>
      <c r="B1000" s="126"/>
      <c r="C1000" s="176"/>
      <c r="D1000" s="17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row>
  </sheetData>
  <mergeCells count="25">
    <mergeCell ref="A1:D1"/>
    <mergeCell ref="A2:D2"/>
    <mergeCell ref="A3:D3"/>
    <mergeCell ref="A4:D4"/>
    <mergeCell ref="A5:B5"/>
    <mergeCell ref="C5:D5"/>
    <mergeCell ref="A6:B6"/>
    <mergeCell ref="C6:D6"/>
    <mergeCell ref="C7:D7"/>
    <mergeCell ref="C8:D8"/>
    <mergeCell ref="C9:D9"/>
    <mergeCell ref="C10:D10"/>
    <mergeCell ref="C11:D11"/>
    <mergeCell ref="C12:D12"/>
    <mergeCell ref="B24:B25"/>
    <mergeCell ref="B26:B27"/>
    <mergeCell ref="B30:B31"/>
    <mergeCell ref="B32:B33"/>
    <mergeCell ref="C13:D13"/>
    <mergeCell ref="C14:D14"/>
    <mergeCell ref="C15:D15"/>
    <mergeCell ref="C16:D16"/>
    <mergeCell ref="C17:D17"/>
    <mergeCell ref="C18:D18"/>
    <mergeCell ref="A20:D21"/>
  </mergeCells>
  <dataValidations count="1">
    <dataValidation type="decimal" allowBlank="1" showErrorMessage="1" sqref="C7:C15 C18">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Ingresos Presupuestarios y Contables Página &amp;P de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110.7109375" customWidth="1"/>
    <col min="3" max="4" width="11.28515625" customWidth="1"/>
    <col min="5" max="5" width="0.85546875" customWidth="1"/>
    <col min="6" max="23" width="11.42578125" hidden="1" customWidth="1"/>
    <col min="24" max="26" width="10.7109375" customWidth="1"/>
  </cols>
  <sheetData>
    <row r="1" spans="1:26" ht="44.25" customHeight="1">
      <c r="A1" s="892" t="str">
        <f>"Nombre del Ente Público: "&amp;Validacion!A2</f>
        <v>Nombre del Ente Público: Guadalajara</v>
      </c>
      <c r="B1" s="746"/>
      <c r="C1" s="746"/>
      <c r="D1" s="747"/>
      <c r="E1" s="126"/>
      <c r="F1" s="126"/>
      <c r="G1" s="126"/>
      <c r="H1" s="126"/>
      <c r="I1" s="126"/>
      <c r="J1" s="126"/>
      <c r="K1" s="126"/>
      <c r="L1" s="126"/>
      <c r="M1" s="126"/>
      <c r="N1" s="126"/>
      <c r="O1" s="126"/>
      <c r="P1" s="126"/>
      <c r="Q1" s="126"/>
      <c r="R1" s="126"/>
      <c r="S1" s="126"/>
      <c r="T1" s="126"/>
      <c r="U1" s="126"/>
      <c r="V1" s="126"/>
      <c r="W1" s="126"/>
      <c r="X1" s="126"/>
      <c r="Y1" s="126"/>
      <c r="Z1" s="126"/>
    </row>
    <row r="2" spans="1:26" ht="15.75" customHeight="1">
      <c r="A2" s="775" t="s">
        <v>7145</v>
      </c>
      <c r="B2" s="749"/>
      <c r="C2" s="749"/>
      <c r="D2" s="750"/>
      <c r="E2" s="126"/>
      <c r="F2" s="126"/>
      <c r="G2" s="126"/>
      <c r="H2" s="126"/>
      <c r="I2" s="126"/>
      <c r="J2" s="126"/>
      <c r="K2" s="126"/>
      <c r="L2" s="126"/>
      <c r="M2" s="126"/>
      <c r="N2" s="126"/>
      <c r="O2" s="126"/>
      <c r="P2" s="126"/>
      <c r="Q2" s="126"/>
      <c r="R2" s="126"/>
      <c r="S2" s="126"/>
      <c r="T2" s="126"/>
      <c r="U2" s="126"/>
      <c r="V2" s="126"/>
      <c r="W2" s="126"/>
      <c r="X2" s="126"/>
      <c r="Y2" s="126"/>
      <c r="Z2" s="126"/>
    </row>
    <row r="3" spans="1:26" ht="15.75" customHeight="1">
      <c r="A3" s="751" t="e">
        <f>'F6'!A3</f>
        <v>#REF!</v>
      </c>
      <c r="B3" s="749"/>
      <c r="C3" s="749"/>
      <c r="D3" s="750"/>
      <c r="E3" s="126"/>
      <c r="F3" s="126"/>
      <c r="G3" s="126"/>
      <c r="H3" s="126"/>
      <c r="I3" s="126"/>
      <c r="J3" s="126"/>
      <c r="K3" s="126"/>
      <c r="L3" s="126"/>
      <c r="M3" s="126"/>
      <c r="N3" s="126"/>
      <c r="O3" s="126"/>
      <c r="P3" s="126"/>
      <c r="Q3" s="126"/>
      <c r="R3" s="126"/>
      <c r="S3" s="126"/>
      <c r="T3" s="126"/>
      <c r="U3" s="126"/>
      <c r="V3" s="126"/>
      <c r="W3" s="126"/>
      <c r="X3" s="126"/>
      <c r="Y3" s="126"/>
      <c r="Z3" s="126"/>
    </row>
    <row r="4" spans="1:26" ht="15.75" customHeight="1">
      <c r="A4" s="776" t="s">
        <v>4378</v>
      </c>
      <c r="B4" s="753"/>
      <c r="C4" s="753"/>
      <c r="D4" s="754"/>
      <c r="E4" s="126"/>
      <c r="F4" s="126"/>
      <c r="G4" s="126"/>
      <c r="H4" s="126"/>
      <c r="I4" s="126"/>
      <c r="J4" s="126"/>
      <c r="K4" s="126"/>
      <c r="L4" s="126"/>
      <c r="M4" s="126"/>
      <c r="N4" s="126"/>
      <c r="O4" s="126"/>
      <c r="P4" s="126"/>
      <c r="Q4" s="126"/>
      <c r="R4" s="126"/>
      <c r="S4" s="126"/>
      <c r="T4" s="126"/>
      <c r="U4" s="126"/>
      <c r="V4" s="126"/>
      <c r="W4" s="126"/>
      <c r="X4" s="126"/>
      <c r="Y4" s="126"/>
      <c r="Z4" s="126"/>
    </row>
    <row r="5" spans="1:26" ht="30.75" customHeight="1">
      <c r="A5" s="921" t="s">
        <v>4379</v>
      </c>
      <c r="B5" s="733"/>
      <c r="C5" s="922">
        <f>Validacion!F185</f>
        <v>2025</v>
      </c>
      <c r="D5" s="733"/>
      <c r="E5" s="126"/>
      <c r="F5" s="126"/>
      <c r="G5" s="126"/>
      <c r="H5" s="126"/>
      <c r="I5" s="126"/>
      <c r="J5" s="126"/>
      <c r="K5" s="126"/>
      <c r="L5" s="126"/>
      <c r="M5" s="126"/>
      <c r="N5" s="126"/>
      <c r="O5" s="126"/>
      <c r="P5" s="126"/>
      <c r="Q5" s="126"/>
      <c r="R5" s="126"/>
      <c r="S5" s="126"/>
      <c r="T5" s="126"/>
      <c r="U5" s="126"/>
      <c r="V5" s="126"/>
      <c r="W5" s="126"/>
      <c r="X5" s="126"/>
      <c r="Y5" s="126"/>
      <c r="Z5" s="126"/>
    </row>
    <row r="6" spans="1:26" ht="30.75" customHeight="1">
      <c r="A6" s="913" t="s">
        <v>7146</v>
      </c>
      <c r="B6" s="733"/>
      <c r="C6" s="920">
        <f>'F8'!F80</f>
        <v>4357531815.6599998</v>
      </c>
      <c r="D6" s="733"/>
      <c r="E6" s="126"/>
      <c r="F6" s="126"/>
      <c r="G6" s="126"/>
      <c r="H6" s="126"/>
      <c r="I6" s="126"/>
      <c r="J6" s="126"/>
      <c r="K6" s="126"/>
      <c r="L6" s="126"/>
      <c r="M6" s="126"/>
      <c r="N6" s="126"/>
      <c r="O6" s="126"/>
      <c r="P6" s="126"/>
      <c r="Q6" s="126"/>
      <c r="R6" s="126"/>
      <c r="S6" s="126"/>
      <c r="T6" s="126"/>
      <c r="U6" s="126"/>
      <c r="V6" s="126"/>
      <c r="W6" s="126"/>
      <c r="X6" s="126"/>
      <c r="Y6" s="126"/>
      <c r="Z6" s="126"/>
    </row>
    <row r="7" spans="1:26" ht="30.75" customHeight="1">
      <c r="A7" s="546" t="s">
        <v>7147</v>
      </c>
      <c r="B7" s="547"/>
      <c r="C7" s="919">
        <f>SUM(C8:C28)</f>
        <v>502916259.40999997</v>
      </c>
      <c r="D7" s="733"/>
      <c r="E7" s="126"/>
      <c r="F7" s="126"/>
      <c r="G7" s="126"/>
      <c r="H7" s="126"/>
      <c r="I7" s="126"/>
      <c r="J7" s="126"/>
      <c r="K7" s="126"/>
      <c r="L7" s="126"/>
      <c r="M7" s="126"/>
      <c r="N7" s="126"/>
      <c r="O7" s="126"/>
      <c r="P7" s="126"/>
      <c r="Q7" s="126"/>
      <c r="R7" s="126"/>
      <c r="S7" s="126"/>
      <c r="T7" s="126"/>
      <c r="U7" s="126"/>
      <c r="V7" s="126"/>
      <c r="W7" s="126"/>
      <c r="X7" s="126"/>
      <c r="Y7" s="126"/>
      <c r="Z7" s="126"/>
    </row>
    <row r="8" spans="1:26" ht="30.75" customHeight="1">
      <c r="A8" s="546"/>
      <c r="B8" s="548" t="s">
        <v>7148</v>
      </c>
      <c r="C8" s="918">
        <v>0</v>
      </c>
      <c r="D8" s="733"/>
      <c r="E8" s="126"/>
      <c r="F8" s="126"/>
      <c r="G8" s="126"/>
      <c r="H8" s="126"/>
      <c r="I8" s="126"/>
      <c r="J8" s="126"/>
      <c r="K8" s="126"/>
      <c r="L8" s="126"/>
      <c r="M8" s="126"/>
      <c r="N8" s="126"/>
      <c r="O8" s="126"/>
      <c r="P8" s="126"/>
      <c r="Q8" s="126"/>
      <c r="R8" s="126"/>
      <c r="S8" s="126"/>
      <c r="T8" s="126"/>
      <c r="U8" s="126"/>
      <c r="V8" s="126"/>
      <c r="W8" s="126"/>
      <c r="X8" s="126"/>
      <c r="Y8" s="126"/>
      <c r="Z8" s="126"/>
    </row>
    <row r="9" spans="1:26" ht="30.75" customHeight="1">
      <c r="A9" s="546"/>
      <c r="B9" s="548" t="s">
        <v>7149</v>
      </c>
      <c r="C9" s="918">
        <v>0</v>
      </c>
      <c r="D9" s="733"/>
      <c r="E9" s="126"/>
      <c r="F9" s="126"/>
      <c r="G9" s="126"/>
      <c r="H9" s="126"/>
      <c r="I9" s="126"/>
      <c r="J9" s="126"/>
      <c r="K9" s="126"/>
      <c r="L9" s="126"/>
      <c r="M9" s="126"/>
      <c r="N9" s="126"/>
      <c r="O9" s="126"/>
      <c r="P9" s="126"/>
      <c r="Q9" s="126"/>
      <c r="R9" s="126"/>
      <c r="S9" s="126"/>
      <c r="T9" s="126"/>
      <c r="U9" s="126"/>
      <c r="V9" s="126"/>
      <c r="W9" s="126"/>
      <c r="X9" s="126"/>
      <c r="Y9" s="126"/>
      <c r="Z9" s="126"/>
    </row>
    <row r="10" spans="1:26" ht="30.75" customHeight="1">
      <c r="A10" s="546"/>
      <c r="B10" s="548" t="s">
        <v>7150</v>
      </c>
      <c r="C10" s="918">
        <f>'F8'!F47</f>
        <v>30232.95</v>
      </c>
      <c r="D10" s="733"/>
      <c r="E10" s="126"/>
      <c r="F10" s="126"/>
      <c r="G10" s="126"/>
      <c r="H10" s="126"/>
      <c r="I10" s="126"/>
      <c r="J10" s="126"/>
      <c r="K10" s="126"/>
      <c r="L10" s="126"/>
      <c r="M10" s="126"/>
      <c r="N10" s="126"/>
      <c r="O10" s="126"/>
      <c r="P10" s="126"/>
      <c r="Q10" s="126"/>
      <c r="R10" s="126"/>
      <c r="S10" s="126"/>
      <c r="T10" s="126"/>
      <c r="U10" s="126"/>
      <c r="V10" s="126"/>
      <c r="W10" s="126"/>
      <c r="X10" s="126"/>
      <c r="Y10" s="126"/>
      <c r="Z10" s="126"/>
    </row>
    <row r="11" spans="1:26" ht="30.75" customHeight="1">
      <c r="A11" s="546"/>
      <c r="B11" s="548" t="s">
        <v>7151</v>
      </c>
      <c r="C11" s="918">
        <f>'F8'!F48</f>
        <v>4842.42</v>
      </c>
      <c r="D11" s="733"/>
      <c r="E11" s="126"/>
      <c r="F11" s="126"/>
      <c r="G11" s="126"/>
      <c r="H11" s="126"/>
      <c r="I11" s="126"/>
      <c r="J11" s="126"/>
      <c r="K11" s="126"/>
      <c r="L11" s="126"/>
      <c r="M11" s="126"/>
      <c r="N11" s="126"/>
      <c r="O11" s="126"/>
      <c r="P11" s="126"/>
      <c r="Q11" s="126"/>
      <c r="R11" s="126"/>
      <c r="S11" s="126"/>
      <c r="T11" s="126"/>
      <c r="U11" s="126"/>
      <c r="V11" s="126"/>
      <c r="W11" s="126"/>
      <c r="X11" s="126"/>
      <c r="Y11" s="126"/>
      <c r="Z11" s="126"/>
    </row>
    <row r="12" spans="1:26" ht="30.75" customHeight="1">
      <c r="A12" s="546"/>
      <c r="B12" s="548" t="s">
        <v>7152</v>
      </c>
      <c r="C12" s="918">
        <f>'F8'!F49</f>
        <v>0</v>
      </c>
      <c r="D12" s="733"/>
      <c r="E12" s="126"/>
      <c r="F12" s="126"/>
      <c r="G12" s="126"/>
      <c r="H12" s="126"/>
      <c r="I12" s="126"/>
      <c r="J12" s="126"/>
      <c r="K12" s="126"/>
      <c r="L12" s="126"/>
      <c r="M12" s="126"/>
      <c r="N12" s="126"/>
      <c r="O12" s="126"/>
      <c r="P12" s="126"/>
      <c r="Q12" s="126"/>
      <c r="R12" s="126"/>
      <c r="S12" s="126"/>
      <c r="T12" s="126"/>
      <c r="U12" s="126"/>
      <c r="V12" s="126"/>
      <c r="W12" s="126"/>
      <c r="X12" s="126"/>
      <c r="Y12" s="126"/>
      <c r="Z12" s="126"/>
    </row>
    <row r="13" spans="1:26" ht="30.75" customHeight="1">
      <c r="A13" s="546"/>
      <c r="B13" s="548" t="s">
        <v>7153</v>
      </c>
      <c r="C13" s="918">
        <f>'F8'!F50</f>
        <v>44665439.490000002</v>
      </c>
      <c r="D13" s="733"/>
      <c r="E13" s="126"/>
      <c r="F13" s="126"/>
      <c r="G13" s="126"/>
      <c r="H13" s="126"/>
      <c r="I13" s="126"/>
      <c r="J13" s="126"/>
      <c r="K13" s="126"/>
      <c r="L13" s="126"/>
      <c r="M13" s="126"/>
      <c r="N13" s="126"/>
      <c r="O13" s="126"/>
      <c r="P13" s="126"/>
      <c r="Q13" s="126"/>
      <c r="R13" s="126"/>
      <c r="S13" s="126"/>
      <c r="T13" s="126"/>
      <c r="U13" s="126"/>
      <c r="V13" s="126"/>
      <c r="W13" s="126"/>
      <c r="X13" s="126"/>
      <c r="Y13" s="126"/>
      <c r="Z13" s="126"/>
    </row>
    <row r="14" spans="1:26" ht="30.75" customHeight="1">
      <c r="A14" s="546"/>
      <c r="B14" s="548" t="s">
        <v>7154</v>
      </c>
      <c r="C14" s="918">
        <f>'F8'!F51</f>
        <v>10507501.130000001</v>
      </c>
      <c r="D14" s="733"/>
      <c r="E14" s="126"/>
      <c r="F14" s="126"/>
      <c r="G14" s="126"/>
      <c r="H14" s="126"/>
      <c r="I14" s="126"/>
      <c r="J14" s="126"/>
      <c r="K14" s="126"/>
      <c r="L14" s="126"/>
      <c r="M14" s="126"/>
      <c r="N14" s="126"/>
      <c r="O14" s="126"/>
      <c r="P14" s="126"/>
      <c r="Q14" s="126"/>
      <c r="R14" s="126"/>
      <c r="S14" s="126"/>
      <c r="T14" s="126"/>
      <c r="U14" s="126"/>
      <c r="V14" s="126"/>
      <c r="W14" s="126"/>
      <c r="X14" s="126"/>
      <c r="Y14" s="126"/>
      <c r="Z14" s="126"/>
    </row>
    <row r="15" spans="1:26" ht="30.75" customHeight="1">
      <c r="A15" s="546"/>
      <c r="B15" s="548" t="s">
        <v>7155</v>
      </c>
      <c r="C15" s="918">
        <f>'F8'!F52</f>
        <v>19002419.48</v>
      </c>
      <c r="D15" s="733"/>
      <c r="E15" s="126"/>
      <c r="F15" s="126"/>
      <c r="G15" s="126"/>
      <c r="H15" s="126"/>
      <c r="I15" s="126"/>
      <c r="J15" s="126"/>
      <c r="K15" s="126"/>
      <c r="L15" s="126"/>
      <c r="M15" s="126"/>
      <c r="N15" s="126"/>
      <c r="O15" s="126"/>
      <c r="P15" s="126"/>
      <c r="Q15" s="126"/>
      <c r="R15" s="126"/>
      <c r="S15" s="126"/>
      <c r="T15" s="126"/>
      <c r="U15" s="126"/>
      <c r="V15" s="126"/>
      <c r="W15" s="126"/>
      <c r="X15" s="126"/>
      <c r="Y15" s="126"/>
      <c r="Z15" s="126"/>
    </row>
    <row r="16" spans="1:26" ht="30.75" customHeight="1">
      <c r="A16" s="546"/>
      <c r="B16" s="548" t="s">
        <v>7156</v>
      </c>
      <c r="C16" s="918">
        <f>'F8'!F53</f>
        <v>0</v>
      </c>
      <c r="D16" s="733"/>
      <c r="E16" s="126"/>
      <c r="F16" s="126"/>
      <c r="G16" s="126"/>
      <c r="H16" s="126"/>
      <c r="I16" s="126"/>
      <c r="J16" s="126"/>
      <c r="K16" s="126"/>
      <c r="L16" s="126"/>
      <c r="M16" s="126"/>
      <c r="N16" s="126"/>
      <c r="O16" s="126"/>
      <c r="P16" s="126"/>
      <c r="Q16" s="126"/>
      <c r="R16" s="126"/>
      <c r="S16" s="126"/>
      <c r="T16" s="126"/>
      <c r="U16" s="126"/>
      <c r="V16" s="126"/>
      <c r="W16" s="126"/>
      <c r="X16" s="126"/>
      <c r="Y16" s="126"/>
      <c r="Z16" s="126"/>
    </row>
    <row r="17" spans="1:26" ht="30.75" customHeight="1">
      <c r="A17" s="546"/>
      <c r="B17" s="548" t="s">
        <v>7157</v>
      </c>
      <c r="C17" s="918">
        <f>'F8'!F54</f>
        <v>0</v>
      </c>
      <c r="D17" s="733"/>
      <c r="E17" s="126"/>
      <c r="F17" s="126"/>
      <c r="G17" s="126"/>
      <c r="H17" s="126"/>
      <c r="I17" s="126"/>
      <c r="J17" s="126"/>
      <c r="K17" s="126"/>
      <c r="L17" s="126"/>
      <c r="M17" s="126"/>
      <c r="N17" s="126"/>
      <c r="O17" s="126"/>
      <c r="P17" s="126"/>
      <c r="Q17" s="126"/>
      <c r="R17" s="126"/>
      <c r="S17" s="126"/>
      <c r="T17" s="126"/>
      <c r="U17" s="126"/>
      <c r="V17" s="126"/>
      <c r="W17" s="126"/>
      <c r="X17" s="126"/>
      <c r="Y17" s="126"/>
      <c r="Z17" s="126"/>
    </row>
    <row r="18" spans="1:26" ht="30.75" customHeight="1">
      <c r="A18" s="546"/>
      <c r="B18" s="548" t="s">
        <v>7158</v>
      </c>
      <c r="C18" s="918">
        <f>'F8'!F55</f>
        <v>12270490.18</v>
      </c>
      <c r="D18" s="733"/>
      <c r="E18" s="126"/>
      <c r="F18" s="126"/>
      <c r="G18" s="126"/>
      <c r="H18" s="126"/>
      <c r="I18" s="126"/>
      <c r="J18" s="126"/>
      <c r="K18" s="126"/>
      <c r="L18" s="126"/>
      <c r="M18" s="126"/>
      <c r="N18" s="126"/>
      <c r="O18" s="126"/>
      <c r="P18" s="126"/>
      <c r="Q18" s="126"/>
      <c r="R18" s="126"/>
      <c r="S18" s="126"/>
      <c r="T18" s="126"/>
      <c r="U18" s="126"/>
      <c r="V18" s="126"/>
      <c r="W18" s="126"/>
      <c r="X18" s="126"/>
      <c r="Y18" s="126"/>
      <c r="Z18" s="126"/>
    </row>
    <row r="19" spans="1:26" ht="30.75" customHeight="1">
      <c r="A19" s="546"/>
      <c r="B19" s="548" t="s">
        <v>7159</v>
      </c>
      <c r="C19" s="918">
        <f>'F8'!F57</f>
        <v>218230294.47</v>
      </c>
      <c r="D19" s="733"/>
      <c r="E19" s="126"/>
      <c r="F19" s="126"/>
      <c r="G19" s="126"/>
      <c r="H19" s="126"/>
      <c r="I19" s="126"/>
      <c r="J19" s="126"/>
      <c r="K19" s="126"/>
      <c r="L19" s="126"/>
      <c r="M19" s="126"/>
      <c r="N19" s="126"/>
      <c r="O19" s="126"/>
      <c r="P19" s="126"/>
      <c r="Q19" s="126"/>
      <c r="R19" s="126"/>
      <c r="S19" s="126"/>
      <c r="T19" s="126"/>
      <c r="U19" s="126"/>
      <c r="V19" s="126"/>
      <c r="W19" s="126"/>
      <c r="X19" s="126"/>
      <c r="Y19" s="126"/>
      <c r="Z19" s="126"/>
    </row>
    <row r="20" spans="1:26" ht="30.75" customHeight="1">
      <c r="A20" s="546"/>
      <c r="B20" s="548" t="s">
        <v>7160</v>
      </c>
      <c r="C20" s="918">
        <f>'F8'!F58</f>
        <v>0</v>
      </c>
      <c r="D20" s="733"/>
      <c r="E20" s="126"/>
      <c r="F20" s="126"/>
      <c r="G20" s="126"/>
      <c r="H20" s="126"/>
      <c r="I20" s="126"/>
      <c r="J20" s="126"/>
      <c r="K20" s="126"/>
      <c r="L20" s="126"/>
      <c r="M20" s="126"/>
      <c r="N20" s="126"/>
      <c r="O20" s="126"/>
      <c r="P20" s="126"/>
      <c r="Q20" s="126"/>
      <c r="R20" s="126"/>
      <c r="S20" s="126"/>
      <c r="T20" s="126"/>
      <c r="U20" s="126"/>
      <c r="V20" s="126"/>
      <c r="W20" s="126"/>
      <c r="X20" s="126"/>
      <c r="Y20" s="126"/>
      <c r="Z20" s="126"/>
    </row>
    <row r="21" spans="1:26" ht="30.75" customHeight="1">
      <c r="A21" s="546"/>
      <c r="B21" s="548" t="s">
        <v>7161</v>
      </c>
      <c r="C21" s="918">
        <f>'F8'!F62</f>
        <v>0</v>
      </c>
      <c r="D21" s="733"/>
      <c r="E21" s="126"/>
      <c r="F21" s="126"/>
      <c r="G21" s="126"/>
      <c r="H21" s="126"/>
      <c r="I21" s="126"/>
      <c r="J21" s="126"/>
      <c r="K21" s="126"/>
      <c r="L21" s="126"/>
      <c r="M21" s="126"/>
      <c r="N21" s="126"/>
      <c r="O21" s="126"/>
      <c r="P21" s="126"/>
      <c r="Q21" s="126"/>
      <c r="R21" s="126"/>
      <c r="S21" s="126"/>
      <c r="T21" s="126"/>
      <c r="U21" s="126"/>
      <c r="V21" s="126"/>
      <c r="W21" s="126"/>
      <c r="X21" s="126"/>
      <c r="Y21" s="126"/>
      <c r="Z21" s="126"/>
    </row>
    <row r="22" spans="1:26" ht="30.75" customHeight="1">
      <c r="A22" s="546"/>
      <c r="B22" s="548" t="s">
        <v>7162</v>
      </c>
      <c r="C22" s="918">
        <f>'F8'!F63</f>
        <v>0</v>
      </c>
      <c r="D22" s="733"/>
      <c r="E22" s="126"/>
      <c r="F22" s="126"/>
      <c r="G22" s="126"/>
      <c r="H22" s="126"/>
      <c r="I22" s="126"/>
      <c r="J22" s="126"/>
      <c r="K22" s="126"/>
      <c r="L22" s="126"/>
      <c r="M22" s="126"/>
      <c r="N22" s="126"/>
      <c r="O22" s="126"/>
      <c r="P22" s="126"/>
      <c r="Q22" s="126"/>
      <c r="R22" s="126"/>
      <c r="S22" s="126"/>
      <c r="T22" s="126"/>
      <c r="U22" s="126"/>
      <c r="V22" s="126"/>
      <c r="W22" s="126"/>
      <c r="X22" s="126"/>
      <c r="Y22" s="126"/>
      <c r="Z22" s="126"/>
    </row>
    <row r="23" spans="1:26" ht="30.75" customHeight="1">
      <c r="A23" s="546"/>
      <c r="B23" s="548" t="s">
        <v>7163</v>
      </c>
      <c r="C23" s="918">
        <f>'F8'!F64</f>
        <v>0</v>
      </c>
      <c r="D23" s="733"/>
      <c r="E23" s="126"/>
      <c r="F23" s="126"/>
      <c r="G23" s="126"/>
      <c r="H23" s="126"/>
      <c r="I23" s="126"/>
      <c r="J23" s="126"/>
      <c r="K23" s="126"/>
      <c r="L23" s="126"/>
      <c r="M23" s="126"/>
      <c r="N23" s="126"/>
      <c r="O23" s="126"/>
      <c r="P23" s="126"/>
      <c r="Q23" s="126"/>
      <c r="R23" s="126"/>
      <c r="S23" s="126"/>
      <c r="T23" s="126"/>
      <c r="U23" s="126"/>
      <c r="V23" s="126"/>
      <c r="W23" s="126"/>
      <c r="X23" s="126"/>
      <c r="Y23" s="126"/>
      <c r="Z23" s="126"/>
    </row>
    <row r="24" spans="1:26" ht="30.75" customHeight="1">
      <c r="A24" s="546"/>
      <c r="B24" s="548" t="s">
        <v>7164</v>
      </c>
      <c r="C24" s="918">
        <f>'F8'!F65</f>
        <v>0</v>
      </c>
      <c r="D24" s="733"/>
      <c r="E24" s="126"/>
      <c r="F24" s="126"/>
      <c r="G24" s="126"/>
      <c r="H24" s="126"/>
      <c r="I24" s="126"/>
      <c r="J24" s="126"/>
      <c r="K24" s="126"/>
      <c r="L24" s="126"/>
      <c r="M24" s="126"/>
      <c r="N24" s="126"/>
      <c r="O24" s="126"/>
      <c r="P24" s="126"/>
      <c r="Q24" s="126"/>
      <c r="R24" s="126"/>
      <c r="S24" s="126"/>
      <c r="T24" s="126"/>
      <c r="U24" s="126"/>
      <c r="V24" s="126"/>
      <c r="W24" s="126"/>
      <c r="X24" s="126"/>
      <c r="Y24" s="126"/>
      <c r="Z24" s="126"/>
    </row>
    <row r="25" spans="1:26" ht="30.75" customHeight="1">
      <c r="A25" s="546"/>
      <c r="B25" s="548" t="s">
        <v>7165</v>
      </c>
      <c r="C25" s="918">
        <f>'F8'!F67</f>
        <v>0</v>
      </c>
      <c r="D25" s="733"/>
      <c r="E25" s="126"/>
      <c r="F25" s="126"/>
      <c r="G25" s="126"/>
      <c r="H25" s="126"/>
      <c r="I25" s="126"/>
      <c r="J25" s="126"/>
      <c r="K25" s="126"/>
      <c r="L25" s="126"/>
      <c r="M25" s="126"/>
      <c r="N25" s="126"/>
      <c r="O25" s="126"/>
      <c r="P25" s="126"/>
      <c r="Q25" s="126"/>
      <c r="R25" s="126"/>
      <c r="S25" s="126"/>
      <c r="T25" s="126"/>
      <c r="U25" s="126"/>
      <c r="V25" s="126"/>
      <c r="W25" s="126"/>
      <c r="X25" s="126"/>
      <c r="Y25" s="126"/>
      <c r="Z25" s="126"/>
    </row>
    <row r="26" spans="1:26" ht="30.75" customHeight="1">
      <c r="A26" s="546"/>
      <c r="B26" s="548" t="s">
        <v>7166</v>
      </c>
      <c r="C26" s="918">
        <f>'F8'!F73</f>
        <v>198205039.28999999</v>
      </c>
      <c r="D26" s="733"/>
      <c r="E26" s="126"/>
      <c r="F26" s="126"/>
      <c r="G26" s="126"/>
      <c r="H26" s="126"/>
      <c r="I26" s="126"/>
      <c r="J26" s="126"/>
      <c r="K26" s="126"/>
      <c r="L26" s="126"/>
      <c r="M26" s="126"/>
      <c r="N26" s="126"/>
      <c r="O26" s="126"/>
      <c r="P26" s="126"/>
      <c r="Q26" s="126"/>
      <c r="R26" s="126"/>
      <c r="S26" s="126"/>
      <c r="T26" s="126"/>
      <c r="U26" s="126"/>
      <c r="V26" s="126"/>
      <c r="W26" s="126"/>
      <c r="X26" s="126"/>
      <c r="Y26" s="126"/>
      <c r="Z26" s="126"/>
    </row>
    <row r="27" spans="1:26" ht="30.75" customHeight="1">
      <c r="A27" s="546"/>
      <c r="B27" s="548" t="s">
        <v>7167</v>
      </c>
      <c r="C27" s="918">
        <f>'F8'!F79</f>
        <v>0</v>
      </c>
      <c r="D27" s="733"/>
      <c r="E27" s="126"/>
      <c r="F27" s="126"/>
      <c r="G27" s="126"/>
      <c r="H27" s="126"/>
      <c r="I27" s="126"/>
      <c r="J27" s="126"/>
      <c r="K27" s="126"/>
      <c r="L27" s="126"/>
      <c r="M27" s="126"/>
      <c r="N27" s="126"/>
      <c r="O27" s="126"/>
      <c r="P27" s="126"/>
      <c r="Q27" s="126"/>
      <c r="R27" s="126"/>
      <c r="S27" s="126"/>
      <c r="T27" s="126"/>
      <c r="U27" s="126"/>
      <c r="V27" s="126"/>
      <c r="W27" s="126"/>
      <c r="X27" s="126"/>
      <c r="Y27" s="126"/>
      <c r="Z27" s="126"/>
    </row>
    <row r="28" spans="1:26" ht="30.75" customHeight="1">
      <c r="A28" s="546"/>
      <c r="B28" s="548" t="s">
        <v>7168</v>
      </c>
      <c r="C28" s="918">
        <v>0</v>
      </c>
      <c r="D28" s="733"/>
      <c r="E28" s="126"/>
      <c r="F28" s="126"/>
      <c r="G28" s="126"/>
      <c r="H28" s="126"/>
      <c r="I28" s="126"/>
      <c r="J28" s="126"/>
      <c r="K28" s="126"/>
      <c r="L28" s="126"/>
      <c r="M28" s="126"/>
      <c r="N28" s="126"/>
      <c r="O28" s="126"/>
      <c r="P28" s="126"/>
      <c r="Q28" s="126"/>
      <c r="R28" s="126"/>
      <c r="S28" s="126"/>
      <c r="T28" s="126"/>
      <c r="U28" s="126"/>
      <c r="V28" s="126"/>
      <c r="W28" s="126"/>
      <c r="X28" s="126"/>
      <c r="Y28" s="126"/>
      <c r="Z28" s="126"/>
    </row>
    <row r="29" spans="1:26" ht="30.75" customHeight="1">
      <c r="A29" s="546" t="s">
        <v>7169</v>
      </c>
      <c r="B29" s="547"/>
      <c r="C29" s="919">
        <f>SUM(C30:C36)</f>
        <v>3949.96</v>
      </c>
      <c r="D29" s="733"/>
      <c r="E29" s="126"/>
      <c r="F29" s="126"/>
      <c r="G29" s="126"/>
      <c r="H29" s="126"/>
      <c r="I29" s="126"/>
      <c r="J29" s="126"/>
      <c r="K29" s="126"/>
      <c r="L29" s="126"/>
      <c r="M29" s="126"/>
      <c r="N29" s="126"/>
      <c r="O29" s="126"/>
      <c r="P29" s="126"/>
      <c r="Q29" s="126"/>
      <c r="R29" s="126"/>
      <c r="S29" s="126"/>
      <c r="T29" s="126"/>
      <c r="U29" s="126"/>
      <c r="V29" s="126"/>
      <c r="W29" s="126"/>
      <c r="X29" s="126"/>
      <c r="Y29" s="126"/>
      <c r="Z29" s="126"/>
    </row>
    <row r="30" spans="1:26" ht="30.75" customHeight="1">
      <c r="A30" s="546"/>
      <c r="B30" s="548" t="s">
        <v>7170</v>
      </c>
      <c r="C30" s="918">
        <f>'F6'!AX508</f>
        <v>0</v>
      </c>
      <c r="D30" s="733"/>
      <c r="E30" s="126"/>
      <c r="F30" s="126"/>
      <c r="G30" s="126"/>
      <c r="H30" s="126"/>
      <c r="I30" s="126"/>
      <c r="J30" s="126"/>
      <c r="K30" s="126"/>
      <c r="L30" s="126"/>
      <c r="M30" s="126"/>
      <c r="N30" s="126"/>
      <c r="O30" s="126"/>
      <c r="P30" s="126"/>
      <c r="Q30" s="126"/>
      <c r="R30" s="126"/>
      <c r="S30" s="126"/>
      <c r="T30" s="126"/>
      <c r="U30" s="126"/>
      <c r="V30" s="126"/>
      <c r="W30" s="126"/>
      <c r="X30" s="126"/>
      <c r="Y30" s="126"/>
      <c r="Z30" s="126"/>
    </row>
    <row r="31" spans="1:26" ht="30.75" customHeight="1">
      <c r="A31" s="546"/>
      <c r="B31" s="548" t="s">
        <v>7171</v>
      </c>
      <c r="C31" s="917">
        <f>'F6'!AX517</f>
        <v>0</v>
      </c>
      <c r="D31" s="733"/>
      <c r="E31" s="126"/>
      <c r="F31" s="126"/>
      <c r="G31" s="126"/>
      <c r="H31" s="126"/>
      <c r="I31" s="126"/>
      <c r="J31" s="126"/>
      <c r="K31" s="126"/>
      <c r="L31" s="126"/>
      <c r="M31" s="126"/>
      <c r="N31" s="126"/>
      <c r="O31" s="126"/>
      <c r="P31" s="126"/>
      <c r="Q31" s="126"/>
      <c r="R31" s="126"/>
      <c r="S31" s="126"/>
      <c r="T31" s="126"/>
      <c r="U31" s="126"/>
      <c r="V31" s="126"/>
      <c r="W31" s="126"/>
      <c r="X31" s="126"/>
      <c r="Y31" s="126"/>
      <c r="Z31" s="126"/>
    </row>
    <row r="32" spans="1:26" ht="30.75" customHeight="1">
      <c r="A32" s="546"/>
      <c r="B32" s="548" t="s">
        <v>7172</v>
      </c>
      <c r="C32" s="917">
        <f>'F6'!AX520</f>
        <v>0</v>
      </c>
      <c r="D32" s="733"/>
      <c r="E32" s="126"/>
      <c r="F32" s="126"/>
      <c r="G32" s="126"/>
      <c r="H32" s="126"/>
      <c r="I32" s="126"/>
      <c r="J32" s="126"/>
      <c r="K32" s="126"/>
      <c r="L32" s="126"/>
      <c r="M32" s="126"/>
      <c r="N32" s="126"/>
      <c r="O32" s="126"/>
      <c r="P32" s="126"/>
      <c r="Q32" s="126"/>
      <c r="R32" s="126"/>
      <c r="S32" s="126"/>
      <c r="T32" s="126"/>
      <c r="U32" s="126"/>
      <c r="V32" s="126"/>
      <c r="W32" s="126"/>
      <c r="X32" s="126"/>
      <c r="Y32" s="126"/>
      <c r="Z32" s="126"/>
    </row>
    <row r="33" spans="1:26" ht="30.75" customHeight="1">
      <c r="A33" s="546"/>
      <c r="B33" s="548" t="s">
        <v>7173</v>
      </c>
      <c r="C33" s="917">
        <f>'F6'!AX526</f>
        <v>3949.96</v>
      </c>
      <c r="D33" s="733"/>
      <c r="E33" s="126"/>
      <c r="F33" s="126"/>
      <c r="G33" s="126"/>
      <c r="H33" s="126"/>
      <c r="I33" s="126"/>
      <c r="J33" s="126"/>
      <c r="K33" s="126"/>
      <c r="L33" s="126"/>
      <c r="M33" s="126"/>
      <c r="N33" s="126"/>
      <c r="O33" s="126"/>
      <c r="P33" s="126"/>
      <c r="Q33" s="126"/>
      <c r="R33" s="126"/>
      <c r="S33" s="126"/>
      <c r="T33" s="126"/>
      <c r="U33" s="126"/>
      <c r="V33" s="126"/>
      <c r="W33" s="126"/>
      <c r="X33" s="126"/>
      <c r="Y33" s="126"/>
      <c r="Z33" s="126"/>
    </row>
    <row r="34" spans="1:26" ht="30.75" customHeight="1">
      <c r="A34" s="546"/>
      <c r="B34" s="548" t="s">
        <v>7174</v>
      </c>
      <c r="C34" s="917">
        <f>'F6'!AX537</f>
        <v>0</v>
      </c>
      <c r="D34" s="733"/>
      <c r="E34" s="126"/>
      <c r="F34" s="126"/>
      <c r="G34" s="126"/>
      <c r="H34" s="126"/>
      <c r="I34" s="126"/>
      <c r="J34" s="126"/>
      <c r="K34" s="126"/>
      <c r="L34" s="126"/>
      <c r="M34" s="126"/>
      <c r="N34" s="126"/>
      <c r="O34" s="126"/>
      <c r="P34" s="126"/>
      <c r="Q34" s="126"/>
      <c r="R34" s="126"/>
      <c r="S34" s="126"/>
      <c r="T34" s="126"/>
      <c r="U34" s="126"/>
      <c r="V34" s="126"/>
      <c r="W34" s="126"/>
      <c r="X34" s="126"/>
      <c r="Y34" s="126"/>
      <c r="Z34" s="126"/>
    </row>
    <row r="35" spans="1:26" ht="30.75" customHeight="1">
      <c r="A35" s="546"/>
      <c r="B35" s="548" t="s">
        <v>7175</v>
      </c>
      <c r="C35" s="917">
        <v>0</v>
      </c>
      <c r="D35" s="733"/>
      <c r="E35" s="126"/>
      <c r="F35" s="126"/>
      <c r="G35" s="126"/>
      <c r="H35" s="126"/>
      <c r="I35" s="126"/>
      <c r="J35" s="126"/>
      <c r="K35" s="126"/>
      <c r="L35" s="126"/>
      <c r="M35" s="126"/>
      <c r="N35" s="126"/>
      <c r="O35" s="126"/>
      <c r="P35" s="126"/>
      <c r="Q35" s="126"/>
      <c r="R35" s="126"/>
      <c r="S35" s="126"/>
      <c r="T35" s="126"/>
      <c r="U35" s="126"/>
      <c r="V35" s="126"/>
      <c r="W35" s="126"/>
      <c r="X35" s="126"/>
      <c r="Y35" s="126"/>
      <c r="Z35" s="126"/>
    </row>
    <row r="36" spans="1:26" ht="30.75" customHeight="1">
      <c r="A36" s="546"/>
      <c r="B36" s="548" t="s">
        <v>7176</v>
      </c>
      <c r="C36" s="917">
        <v>0</v>
      </c>
      <c r="D36" s="733"/>
      <c r="E36" s="126"/>
      <c r="F36" s="126"/>
      <c r="G36" s="126"/>
      <c r="H36" s="126"/>
      <c r="I36" s="126"/>
      <c r="J36" s="126"/>
      <c r="K36" s="126"/>
      <c r="L36" s="126"/>
      <c r="M36" s="126"/>
      <c r="N36" s="126"/>
      <c r="O36" s="126"/>
      <c r="P36" s="126"/>
      <c r="Q36" s="126"/>
      <c r="R36" s="126"/>
      <c r="S36" s="126"/>
      <c r="T36" s="126"/>
      <c r="U36" s="126"/>
      <c r="V36" s="126"/>
      <c r="W36" s="126"/>
      <c r="X36" s="126"/>
      <c r="Y36" s="126"/>
      <c r="Z36" s="126"/>
    </row>
    <row r="37" spans="1:26" ht="30.75" customHeight="1">
      <c r="A37" s="549" t="s">
        <v>7177</v>
      </c>
      <c r="B37" s="550"/>
      <c r="C37" s="912">
        <f>C6-C7+C29</f>
        <v>3854619506.21</v>
      </c>
      <c r="D37" s="733"/>
      <c r="E37" s="126"/>
      <c r="F37" s="126"/>
      <c r="G37" s="126"/>
      <c r="H37" s="126"/>
      <c r="I37" s="126"/>
      <c r="J37" s="126"/>
      <c r="K37" s="126"/>
      <c r="L37" s="126"/>
      <c r="M37" s="126"/>
      <c r="N37" s="126"/>
      <c r="O37" s="126"/>
      <c r="P37" s="126"/>
      <c r="Q37" s="126"/>
      <c r="R37" s="126"/>
      <c r="S37" s="126"/>
      <c r="T37" s="126"/>
      <c r="U37" s="126"/>
      <c r="V37" s="126"/>
      <c r="W37" s="126"/>
      <c r="X37" s="126"/>
      <c r="Y37" s="126"/>
      <c r="Z37" s="126"/>
    </row>
    <row r="38" spans="1:26" ht="15.75" customHeight="1">
      <c r="A38" s="144"/>
      <c r="B38" s="142"/>
      <c r="C38" s="145"/>
      <c r="D38" s="145"/>
      <c r="E38" s="131"/>
      <c r="F38" s="131"/>
      <c r="G38" s="131"/>
      <c r="H38" s="131"/>
      <c r="I38" s="131"/>
      <c r="J38" s="131"/>
      <c r="K38" s="131"/>
      <c r="L38" s="131"/>
      <c r="M38" s="131"/>
      <c r="N38" s="131"/>
      <c r="O38" s="131"/>
      <c r="P38" s="131"/>
      <c r="Q38" s="131"/>
      <c r="R38" s="131"/>
      <c r="S38" s="131"/>
      <c r="T38" s="131"/>
      <c r="U38" s="131"/>
      <c r="V38" s="131"/>
      <c r="W38" s="131"/>
      <c r="X38" s="131"/>
      <c r="Y38" s="131"/>
      <c r="Z38" s="131"/>
    </row>
    <row r="39" spans="1:26" ht="18.75" customHeight="1">
      <c r="A39" s="820" t="s">
        <v>4422</v>
      </c>
      <c r="B39" s="725"/>
      <c r="C39" s="725"/>
      <c r="D39" s="725"/>
      <c r="E39" s="126"/>
      <c r="F39" s="126"/>
      <c r="G39" s="126"/>
      <c r="H39" s="126"/>
      <c r="I39" s="126"/>
      <c r="J39" s="126"/>
      <c r="K39" s="126"/>
      <c r="L39" s="126"/>
      <c r="M39" s="126"/>
      <c r="N39" s="126"/>
      <c r="O39" s="126"/>
      <c r="P39" s="126"/>
      <c r="Q39" s="126"/>
      <c r="R39" s="126"/>
      <c r="S39" s="126"/>
      <c r="T39" s="126"/>
      <c r="U39" s="126"/>
      <c r="V39" s="126"/>
      <c r="W39" s="126"/>
      <c r="X39" s="126"/>
      <c r="Y39" s="126"/>
      <c r="Z39" s="126"/>
    </row>
    <row r="40" spans="1:26" ht="15.75" customHeight="1">
      <c r="A40" s="725"/>
      <c r="B40" s="725"/>
      <c r="C40" s="725"/>
      <c r="D40" s="725"/>
      <c r="E40" s="126"/>
      <c r="F40" s="126"/>
      <c r="G40" s="126"/>
      <c r="H40" s="126"/>
      <c r="I40" s="126"/>
      <c r="J40" s="126"/>
      <c r="K40" s="126"/>
      <c r="L40" s="126"/>
      <c r="M40" s="126"/>
      <c r="N40" s="126"/>
      <c r="O40" s="126"/>
      <c r="P40" s="126"/>
      <c r="Q40" s="126"/>
      <c r="R40" s="126"/>
      <c r="S40" s="126"/>
      <c r="T40" s="126"/>
      <c r="U40" s="126"/>
      <c r="V40" s="126"/>
      <c r="W40" s="126"/>
      <c r="X40" s="126"/>
      <c r="Y40" s="126"/>
      <c r="Z40" s="126"/>
    </row>
    <row r="41" spans="1:26" ht="15.75" customHeight="1">
      <c r="A41" s="265"/>
      <c r="B41" s="265"/>
      <c r="C41" s="265"/>
      <c r="D41" s="265"/>
      <c r="E41" s="126"/>
      <c r="F41" s="126"/>
      <c r="G41" s="126"/>
      <c r="H41" s="126"/>
      <c r="I41" s="126"/>
      <c r="J41" s="126"/>
      <c r="K41" s="126"/>
      <c r="L41" s="126"/>
      <c r="M41" s="126"/>
      <c r="N41" s="126"/>
      <c r="O41" s="126"/>
      <c r="P41" s="126"/>
      <c r="Q41" s="126"/>
      <c r="R41" s="126"/>
      <c r="S41" s="126"/>
      <c r="T41" s="126"/>
      <c r="U41" s="126"/>
      <c r="V41" s="126"/>
      <c r="W41" s="126"/>
      <c r="X41" s="126"/>
      <c r="Y41" s="126"/>
      <c r="Z41" s="126"/>
    </row>
    <row r="42" spans="1:26" ht="15.75" customHeight="1">
      <c r="A42" s="178"/>
      <c r="B42" s="126"/>
      <c r="C42" s="176"/>
      <c r="D42" s="176"/>
      <c r="E42" s="126"/>
      <c r="F42" s="126"/>
      <c r="G42" s="126"/>
      <c r="H42" s="126"/>
      <c r="I42" s="126"/>
      <c r="J42" s="126"/>
      <c r="K42" s="126"/>
      <c r="L42" s="126"/>
      <c r="M42" s="126"/>
      <c r="N42" s="126"/>
      <c r="O42" s="126"/>
      <c r="P42" s="126"/>
      <c r="Q42" s="126"/>
      <c r="R42" s="126"/>
      <c r="S42" s="126"/>
      <c r="T42" s="126"/>
      <c r="U42" s="126"/>
      <c r="V42" s="126"/>
      <c r="W42" s="126"/>
      <c r="X42" s="126"/>
      <c r="Y42" s="126"/>
      <c r="Z42" s="126"/>
    </row>
    <row r="43" spans="1:26" ht="15.75" customHeight="1">
      <c r="A43" s="126"/>
      <c r="B43" s="786" t="str">
        <f>Validacion!A7</f>
        <v>Vero</v>
      </c>
      <c r="C43" s="551"/>
      <c r="D43" s="551"/>
      <c r="E43" s="126"/>
      <c r="F43" s="126"/>
      <c r="G43" s="126"/>
      <c r="H43" s="126"/>
      <c r="I43" s="126"/>
      <c r="J43" s="126"/>
      <c r="K43" s="126"/>
      <c r="L43" s="126"/>
      <c r="M43" s="126"/>
      <c r="N43" s="126"/>
      <c r="O43" s="126"/>
      <c r="P43" s="126"/>
      <c r="Q43" s="126"/>
      <c r="R43" s="126"/>
      <c r="S43" s="126"/>
      <c r="T43" s="126"/>
      <c r="U43" s="126"/>
      <c r="V43" s="126"/>
      <c r="W43" s="126"/>
      <c r="X43" s="126"/>
      <c r="Y43" s="126"/>
      <c r="Z43" s="126"/>
    </row>
    <row r="44" spans="1:26" ht="15.75" customHeight="1">
      <c r="A44" s="126"/>
      <c r="B44" s="725"/>
      <c r="C44" s="551"/>
      <c r="D44" s="551"/>
      <c r="E44" s="126"/>
      <c r="F44" s="126"/>
      <c r="G44" s="126"/>
      <c r="H44" s="126"/>
      <c r="I44" s="126"/>
      <c r="J44" s="126"/>
      <c r="K44" s="126"/>
      <c r="L44" s="126"/>
      <c r="M44" s="126"/>
      <c r="N44" s="126"/>
      <c r="O44" s="126"/>
      <c r="P44" s="126"/>
      <c r="Q44" s="126"/>
      <c r="R44" s="126"/>
      <c r="S44" s="126"/>
      <c r="T44" s="126"/>
      <c r="U44" s="126"/>
      <c r="V44" s="126"/>
      <c r="W44" s="126"/>
      <c r="X44" s="126"/>
      <c r="Y44" s="126"/>
      <c r="Z44" s="126"/>
    </row>
    <row r="45" spans="1:26" ht="15.75" customHeight="1">
      <c r="A45" s="126"/>
      <c r="B45" s="773" t="s">
        <v>4443</v>
      </c>
      <c r="C45" s="519"/>
      <c r="D45" s="519"/>
      <c r="E45" s="126"/>
      <c r="F45" s="126"/>
      <c r="G45" s="126"/>
      <c r="H45" s="126"/>
      <c r="I45" s="126"/>
      <c r="J45" s="126"/>
      <c r="K45" s="126"/>
      <c r="L45" s="126"/>
      <c r="M45" s="126"/>
      <c r="N45" s="126"/>
      <c r="O45" s="126"/>
      <c r="P45" s="126"/>
      <c r="Q45" s="126"/>
      <c r="R45" s="126"/>
      <c r="S45" s="126"/>
      <c r="T45" s="126"/>
      <c r="U45" s="126"/>
      <c r="V45" s="126"/>
      <c r="W45" s="126"/>
      <c r="X45" s="126"/>
      <c r="Y45" s="126"/>
      <c r="Z45" s="126"/>
    </row>
    <row r="46" spans="1:26" ht="15" customHeight="1">
      <c r="A46" s="126"/>
      <c r="B46" s="725"/>
      <c r="C46" s="519"/>
      <c r="D46" s="519"/>
      <c r="E46" s="126"/>
      <c r="F46" s="126"/>
      <c r="G46" s="126"/>
      <c r="H46" s="126"/>
      <c r="I46" s="126"/>
      <c r="J46" s="126"/>
      <c r="K46" s="126"/>
      <c r="L46" s="126"/>
      <c r="M46" s="126"/>
      <c r="N46" s="126"/>
      <c r="O46" s="126"/>
      <c r="P46" s="126"/>
      <c r="Q46" s="126"/>
      <c r="R46" s="126"/>
      <c r="S46" s="126"/>
      <c r="T46" s="126"/>
      <c r="U46" s="126"/>
      <c r="V46" s="126"/>
      <c r="W46" s="126"/>
      <c r="X46" s="126"/>
      <c r="Y46" s="126"/>
      <c r="Z46" s="126"/>
    </row>
    <row r="47" spans="1:26" ht="15" customHeight="1">
      <c r="A47" s="126"/>
      <c r="B47" s="126"/>
      <c r="C47" s="176"/>
      <c r="D47" s="181"/>
      <c r="E47" s="126"/>
      <c r="F47" s="126"/>
      <c r="G47" s="126"/>
      <c r="H47" s="126"/>
      <c r="I47" s="126"/>
      <c r="J47" s="126"/>
      <c r="K47" s="126"/>
      <c r="L47" s="126"/>
      <c r="M47" s="126"/>
      <c r="N47" s="126"/>
      <c r="O47" s="126"/>
      <c r="P47" s="126"/>
      <c r="Q47" s="126"/>
      <c r="R47" s="126"/>
      <c r="S47" s="126"/>
      <c r="T47" s="126"/>
      <c r="U47" s="126"/>
      <c r="V47" s="126"/>
      <c r="W47" s="126"/>
      <c r="X47" s="126"/>
      <c r="Y47" s="126"/>
      <c r="Z47" s="126"/>
    </row>
    <row r="48" spans="1:26" ht="15" customHeight="1">
      <c r="A48" s="126"/>
      <c r="B48" s="126"/>
      <c r="C48" s="176"/>
      <c r="D48" s="181"/>
      <c r="E48" s="126"/>
      <c r="F48" s="126"/>
      <c r="G48" s="126"/>
      <c r="H48" s="126"/>
      <c r="I48" s="126"/>
      <c r="J48" s="126"/>
      <c r="K48" s="126"/>
      <c r="L48" s="126"/>
      <c r="M48" s="126"/>
      <c r="N48" s="126"/>
      <c r="O48" s="126"/>
      <c r="P48" s="126"/>
      <c r="Q48" s="126"/>
      <c r="R48" s="126"/>
      <c r="S48" s="126"/>
      <c r="T48" s="126"/>
      <c r="U48" s="126"/>
      <c r="V48" s="126"/>
      <c r="W48" s="126"/>
      <c r="X48" s="126"/>
      <c r="Y48" s="126"/>
      <c r="Z48" s="126"/>
    </row>
    <row r="49" spans="1:26" ht="15.75" customHeight="1">
      <c r="A49" s="126"/>
      <c r="B49" s="786" t="str">
        <f>Validacion!A9</f>
        <v>Irlanda</v>
      </c>
      <c r="C49" s="551"/>
      <c r="D49" s="551"/>
      <c r="E49" s="126"/>
      <c r="F49" s="126"/>
      <c r="G49" s="126"/>
      <c r="H49" s="126"/>
      <c r="I49" s="126"/>
      <c r="J49" s="126"/>
      <c r="K49" s="126"/>
      <c r="L49" s="126"/>
      <c r="M49" s="126"/>
      <c r="N49" s="126"/>
      <c r="O49" s="126"/>
      <c r="P49" s="126"/>
      <c r="Q49" s="126"/>
      <c r="R49" s="126"/>
      <c r="S49" s="126"/>
      <c r="T49" s="126"/>
      <c r="U49" s="126"/>
      <c r="V49" s="126"/>
      <c r="W49" s="126"/>
      <c r="X49" s="126"/>
      <c r="Y49" s="126"/>
      <c r="Z49" s="126"/>
    </row>
    <row r="50" spans="1:26" ht="15.75" customHeight="1">
      <c r="A50" s="126"/>
      <c r="B50" s="725"/>
      <c r="C50" s="551"/>
      <c r="D50" s="551"/>
      <c r="E50" s="126"/>
      <c r="F50" s="126"/>
      <c r="G50" s="126"/>
      <c r="H50" s="126"/>
      <c r="I50" s="126"/>
      <c r="J50" s="126"/>
      <c r="K50" s="126"/>
      <c r="L50" s="126"/>
      <c r="M50" s="126"/>
      <c r="N50" s="126"/>
      <c r="O50" s="126"/>
      <c r="P50" s="126"/>
      <c r="Q50" s="126"/>
      <c r="R50" s="126"/>
      <c r="S50" s="126"/>
      <c r="T50" s="126"/>
      <c r="U50" s="126"/>
      <c r="V50" s="126"/>
      <c r="W50" s="126"/>
      <c r="X50" s="126"/>
      <c r="Y50" s="126"/>
      <c r="Z50" s="126"/>
    </row>
    <row r="51" spans="1:26" ht="15.75" customHeight="1">
      <c r="A51" s="126"/>
      <c r="B51" s="816" t="s">
        <v>4444</v>
      </c>
      <c r="C51" s="552"/>
      <c r="D51" s="552"/>
      <c r="E51" s="126"/>
      <c r="F51" s="126"/>
      <c r="G51" s="126"/>
      <c r="H51" s="126"/>
      <c r="I51" s="126"/>
      <c r="J51" s="126"/>
      <c r="K51" s="126"/>
      <c r="L51" s="126"/>
      <c r="M51" s="126"/>
      <c r="N51" s="126"/>
      <c r="O51" s="126"/>
      <c r="P51" s="126"/>
      <c r="Q51" s="126"/>
      <c r="R51" s="126"/>
      <c r="S51" s="126"/>
      <c r="T51" s="126"/>
      <c r="U51" s="126"/>
      <c r="V51" s="126"/>
      <c r="W51" s="126"/>
      <c r="X51" s="126"/>
      <c r="Y51" s="126"/>
      <c r="Z51" s="126"/>
    </row>
    <row r="52" spans="1:26" ht="15.75" customHeight="1">
      <c r="A52" s="126"/>
      <c r="B52" s="725"/>
      <c r="C52" s="552"/>
      <c r="D52" s="552"/>
      <c r="E52" s="126"/>
      <c r="F52" s="126"/>
      <c r="G52" s="126"/>
      <c r="H52" s="126"/>
      <c r="I52" s="126"/>
      <c r="J52" s="126"/>
      <c r="K52" s="126"/>
      <c r="L52" s="126"/>
      <c r="M52" s="126"/>
      <c r="N52" s="126"/>
      <c r="O52" s="126"/>
      <c r="P52" s="126"/>
      <c r="Q52" s="126"/>
      <c r="R52" s="126"/>
      <c r="S52" s="126"/>
      <c r="T52" s="126"/>
      <c r="U52" s="126"/>
      <c r="V52" s="126"/>
      <c r="W52" s="126"/>
      <c r="X52" s="126"/>
      <c r="Y52" s="126"/>
      <c r="Z52" s="126"/>
    </row>
    <row r="53" spans="1:26" ht="15.75" customHeight="1">
      <c r="A53" s="126"/>
      <c r="B53" s="126"/>
      <c r="C53" s="176"/>
      <c r="D53" s="176"/>
      <c r="E53" s="126"/>
      <c r="F53" s="126"/>
      <c r="G53" s="126"/>
      <c r="H53" s="126"/>
      <c r="I53" s="126"/>
      <c r="J53" s="126"/>
      <c r="K53" s="126"/>
      <c r="L53" s="126"/>
      <c r="M53" s="126"/>
      <c r="N53" s="126"/>
      <c r="O53" s="126"/>
      <c r="P53" s="126"/>
      <c r="Q53" s="126"/>
      <c r="R53" s="126"/>
      <c r="S53" s="126"/>
      <c r="T53" s="126"/>
      <c r="U53" s="126"/>
      <c r="V53" s="126"/>
      <c r="W53" s="126"/>
      <c r="X53" s="126"/>
      <c r="Y53" s="126"/>
      <c r="Z53" s="126"/>
    </row>
    <row r="54" spans="1:26" ht="15.75" customHeight="1">
      <c r="A54" s="126"/>
      <c r="B54" s="126"/>
      <c r="C54" s="176"/>
      <c r="D54" s="176"/>
      <c r="E54" s="126"/>
      <c r="F54" s="126"/>
      <c r="G54" s="126"/>
      <c r="H54" s="126"/>
      <c r="I54" s="126"/>
      <c r="J54" s="126"/>
      <c r="K54" s="126"/>
      <c r="L54" s="126"/>
      <c r="M54" s="126"/>
      <c r="N54" s="126"/>
      <c r="O54" s="126"/>
      <c r="P54" s="126"/>
      <c r="Q54" s="126"/>
      <c r="R54" s="126"/>
      <c r="S54" s="126"/>
      <c r="T54" s="126"/>
      <c r="U54" s="126"/>
      <c r="V54" s="126"/>
      <c r="W54" s="126"/>
      <c r="X54" s="126"/>
      <c r="Y54" s="126"/>
      <c r="Z54" s="126"/>
    </row>
    <row r="55" spans="1:26" ht="15.75" customHeight="1">
      <c r="A55" s="126"/>
      <c r="B55" s="126"/>
      <c r="C55" s="176"/>
      <c r="D55" s="176"/>
      <c r="E55" s="126"/>
      <c r="F55" s="126"/>
      <c r="G55" s="126"/>
      <c r="H55" s="126"/>
      <c r="I55" s="126"/>
      <c r="J55" s="126"/>
      <c r="K55" s="126"/>
      <c r="L55" s="126"/>
      <c r="M55" s="126"/>
      <c r="N55" s="126"/>
      <c r="O55" s="126"/>
      <c r="P55" s="126"/>
      <c r="Q55" s="126"/>
      <c r="R55" s="126"/>
      <c r="S55" s="126"/>
      <c r="T55" s="126"/>
      <c r="U55" s="126"/>
      <c r="V55" s="126"/>
      <c r="W55" s="126"/>
      <c r="X55" s="126"/>
      <c r="Y55" s="126"/>
      <c r="Z55" s="126"/>
    </row>
    <row r="56" spans="1:26" ht="15.75" customHeight="1">
      <c r="A56" s="126"/>
      <c r="B56" s="126"/>
      <c r="C56" s="176"/>
      <c r="D56" s="176"/>
      <c r="E56" s="126"/>
      <c r="F56" s="126"/>
      <c r="G56" s="126"/>
      <c r="H56" s="126"/>
      <c r="I56" s="126"/>
      <c r="J56" s="126"/>
      <c r="K56" s="126"/>
      <c r="L56" s="126"/>
      <c r="M56" s="126"/>
      <c r="N56" s="126"/>
      <c r="O56" s="126"/>
      <c r="P56" s="126"/>
      <c r="Q56" s="126"/>
      <c r="R56" s="126"/>
      <c r="S56" s="126"/>
      <c r="T56" s="126"/>
      <c r="U56" s="126"/>
      <c r="V56" s="126"/>
      <c r="W56" s="126"/>
      <c r="X56" s="126"/>
      <c r="Y56" s="126"/>
      <c r="Z56" s="126"/>
    </row>
    <row r="57" spans="1:26" ht="15.75" customHeight="1">
      <c r="A57" s="126"/>
      <c r="B57" s="126"/>
      <c r="C57" s="176"/>
      <c r="D57" s="176"/>
      <c r="E57" s="126"/>
      <c r="F57" s="126"/>
      <c r="G57" s="126"/>
      <c r="H57" s="126"/>
      <c r="I57" s="126"/>
      <c r="J57" s="126"/>
      <c r="K57" s="126"/>
      <c r="L57" s="126"/>
      <c r="M57" s="126"/>
      <c r="N57" s="126"/>
      <c r="O57" s="126"/>
      <c r="P57" s="126"/>
      <c r="Q57" s="126"/>
      <c r="R57" s="126"/>
      <c r="S57" s="126"/>
      <c r="T57" s="126"/>
      <c r="U57" s="126"/>
      <c r="V57" s="126"/>
      <c r="W57" s="126"/>
      <c r="X57" s="126"/>
      <c r="Y57" s="126"/>
      <c r="Z57" s="126"/>
    </row>
    <row r="58" spans="1:26" ht="15.75" customHeight="1">
      <c r="A58" s="126"/>
      <c r="B58" s="126"/>
      <c r="C58" s="176"/>
      <c r="D58" s="176"/>
      <c r="E58" s="126"/>
      <c r="F58" s="126"/>
      <c r="G58" s="126"/>
      <c r="H58" s="126"/>
      <c r="I58" s="126"/>
      <c r="J58" s="126"/>
      <c r="K58" s="126"/>
      <c r="L58" s="126"/>
      <c r="M58" s="126"/>
      <c r="N58" s="126"/>
      <c r="O58" s="126"/>
      <c r="P58" s="126"/>
      <c r="Q58" s="126"/>
      <c r="R58" s="126"/>
      <c r="S58" s="126"/>
      <c r="T58" s="126"/>
      <c r="U58" s="126"/>
      <c r="V58" s="126"/>
      <c r="W58" s="126"/>
      <c r="X58" s="126"/>
      <c r="Y58" s="126"/>
      <c r="Z58" s="126"/>
    </row>
    <row r="59" spans="1:26" ht="15.75" customHeight="1">
      <c r="A59" s="126"/>
      <c r="B59" s="126"/>
      <c r="C59" s="176"/>
      <c r="D59" s="176"/>
      <c r="E59" s="126"/>
      <c r="F59" s="126"/>
      <c r="G59" s="126"/>
      <c r="H59" s="126"/>
      <c r="I59" s="126"/>
      <c r="J59" s="126"/>
      <c r="K59" s="126"/>
      <c r="L59" s="126"/>
      <c r="M59" s="126"/>
      <c r="N59" s="126"/>
      <c r="O59" s="126"/>
      <c r="P59" s="126"/>
      <c r="Q59" s="126"/>
      <c r="R59" s="126"/>
      <c r="S59" s="126"/>
      <c r="T59" s="126"/>
      <c r="U59" s="126"/>
      <c r="V59" s="126"/>
      <c r="W59" s="126"/>
      <c r="X59" s="126"/>
      <c r="Y59" s="126"/>
      <c r="Z59" s="126"/>
    </row>
    <row r="60" spans="1:26" ht="15.75" customHeight="1">
      <c r="A60" s="126"/>
      <c r="B60" s="126"/>
      <c r="C60" s="176"/>
      <c r="D60" s="176"/>
      <c r="E60" s="126"/>
      <c r="F60" s="126"/>
      <c r="G60" s="126"/>
      <c r="H60" s="126"/>
      <c r="I60" s="126"/>
      <c r="J60" s="126"/>
      <c r="K60" s="126"/>
      <c r="L60" s="126"/>
      <c r="M60" s="126"/>
      <c r="N60" s="126"/>
      <c r="O60" s="126"/>
      <c r="P60" s="126"/>
      <c r="Q60" s="126"/>
      <c r="R60" s="126"/>
      <c r="S60" s="126"/>
      <c r="T60" s="126"/>
      <c r="U60" s="126"/>
      <c r="V60" s="126"/>
      <c r="W60" s="126"/>
      <c r="X60" s="126"/>
      <c r="Y60" s="126"/>
      <c r="Z60" s="126"/>
    </row>
    <row r="61" spans="1:26" ht="15.75" customHeight="1">
      <c r="A61" s="126"/>
      <c r="B61" s="126"/>
      <c r="C61" s="176"/>
      <c r="D61" s="176"/>
      <c r="E61" s="126"/>
      <c r="F61" s="126"/>
      <c r="G61" s="126"/>
      <c r="H61" s="126"/>
      <c r="I61" s="126"/>
      <c r="J61" s="126"/>
      <c r="K61" s="126"/>
      <c r="L61" s="126"/>
      <c r="M61" s="126"/>
      <c r="N61" s="126"/>
      <c r="O61" s="126"/>
      <c r="P61" s="126"/>
      <c r="Q61" s="126"/>
      <c r="R61" s="126"/>
      <c r="S61" s="126"/>
      <c r="T61" s="126"/>
      <c r="U61" s="126"/>
      <c r="V61" s="126"/>
      <c r="W61" s="126"/>
      <c r="X61" s="126"/>
      <c r="Y61" s="126"/>
      <c r="Z61" s="126"/>
    </row>
    <row r="62" spans="1:26" ht="15.75" customHeight="1">
      <c r="A62" s="126"/>
      <c r="B62" s="126"/>
      <c r="C62" s="176"/>
      <c r="D62" s="176"/>
      <c r="E62" s="126"/>
      <c r="F62" s="126"/>
      <c r="G62" s="126"/>
      <c r="H62" s="126"/>
      <c r="I62" s="126"/>
      <c r="J62" s="126"/>
      <c r="K62" s="126"/>
      <c r="L62" s="126"/>
      <c r="M62" s="126"/>
      <c r="N62" s="126"/>
      <c r="O62" s="126"/>
      <c r="P62" s="126"/>
      <c r="Q62" s="126"/>
      <c r="R62" s="126"/>
      <c r="S62" s="126"/>
      <c r="T62" s="126"/>
      <c r="U62" s="126"/>
      <c r="V62" s="126"/>
      <c r="W62" s="126"/>
      <c r="X62" s="126"/>
      <c r="Y62" s="126"/>
      <c r="Z62" s="126"/>
    </row>
    <row r="63" spans="1:26" ht="15.75" hidden="1" customHeight="1">
      <c r="A63" s="126"/>
      <c r="B63" s="126"/>
      <c r="C63" s="176"/>
      <c r="D63" s="176"/>
      <c r="E63" s="126"/>
      <c r="F63" s="126"/>
      <c r="G63" s="126"/>
      <c r="H63" s="126"/>
      <c r="I63" s="126"/>
      <c r="J63" s="126"/>
      <c r="K63" s="126"/>
      <c r="L63" s="126"/>
      <c r="M63" s="126"/>
      <c r="N63" s="126"/>
      <c r="O63" s="126"/>
      <c r="P63" s="126"/>
      <c r="Q63" s="126"/>
      <c r="R63" s="126"/>
      <c r="S63" s="126"/>
      <c r="T63" s="126"/>
      <c r="U63" s="126"/>
      <c r="V63" s="126"/>
      <c r="W63" s="126"/>
      <c r="X63" s="126"/>
      <c r="Y63" s="126"/>
      <c r="Z63" s="126"/>
    </row>
    <row r="64" spans="1:26" ht="15.75" hidden="1" customHeight="1">
      <c r="A64" s="126"/>
      <c r="B64" s="126"/>
      <c r="C64" s="176"/>
      <c r="D64" s="176"/>
      <c r="E64" s="126"/>
      <c r="F64" s="126"/>
      <c r="G64" s="126"/>
      <c r="H64" s="126"/>
      <c r="I64" s="126"/>
      <c r="J64" s="126"/>
      <c r="K64" s="126"/>
      <c r="L64" s="126"/>
      <c r="M64" s="126"/>
      <c r="N64" s="126"/>
      <c r="O64" s="126"/>
      <c r="P64" s="126"/>
      <c r="Q64" s="126"/>
      <c r="R64" s="126"/>
      <c r="S64" s="126"/>
      <c r="T64" s="126"/>
      <c r="U64" s="126"/>
      <c r="V64" s="126"/>
      <c r="W64" s="126"/>
      <c r="X64" s="126"/>
      <c r="Y64" s="126"/>
      <c r="Z64" s="126"/>
    </row>
    <row r="65" spans="1:26" ht="15.75" hidden="1" customHeight="1">
      <c r="A65" s="126"/>
      <c r="B65" s="126"/>
      <c r="C65" s="176"/>
      <c r="D65" s="176"/>
      <c r="E65" s="126"/>
      <c r="F65" s="126"/>
      <c r="G65" s="126"/>
      <c r="H65" s="126"/>
      <c r="I65" s="126"/>
      <c r="J65" s="126"/>
      <c r="K65" s="126"/>
      <c r="L65" s="126"/>
      <c r="M65" s="126"/>
      <c r="N65" s="126"/>
      <c r="O65" s="126"/>
      <c r="P65" s="126"/>
      <c r="Q65" s="126"/>
      <c r="R65" s="126"/>
      <c r="S65" s="126"/>
      <c r="T65" s="126"/>
      <c r="U65" s="126"/>
      <c r="V65" s="126"/>
      <c r="W65" s="126"/>
      <c r="X65" s="126"/>
      <c r="Y65" s="126"/>
      <c r="Z65" s="126"/>
    </row>
    <row r="66" spans="1:26" ht="15.75" hidden="1" customHeight="1">
      <c r="A66" s="126"/>
      <c r="B66" s="126"/>
      <c r="C66" s="176"/>
      <c r="D66" s="176"/>
      <c r="E66" s="126"/>
      <c r="F66" s="126"/>
      <c r="G66" s="126"/>
      <c r="H66" s="126"/>
      <c r="I66" s="126"/>
      <c r="J66" s="126"/>
      <c r="K66" s="126"/>
      <c r="L66" s="126"/>
      <c r="M66" s="126"/>
      <c r="N66" s="126"/>
      <c r="O66" s="126"/>
      <c r="P66" s="126"/>
      <c r="Q66" s="126"/>
      <c r="R66" s="126"/>
      <c r="S66" s="126"/>
      <c r="T66" s="126"/>
      <c r="U66" s="126"/>
      <c r="V66" s="126"/>
      <c r="W66" s="126"/>
      <c r="X66" s="126"/>
      <c r="Y66" s="126"/>
      <c r="Z66" s="126"/>
    </row>
    <row r="67" spans="1:26" ht="15.75" hidden="1" customHeight="1">
      <c r="A67" s="126"/>
      <c r="B67" s="126"/>
      <c r="C67" s="176"/>
      <c r="D67" s="176"/>
      <c r="E67" s="126"/>
      <c r="F67" s="126"/>
      <c r="G67" s="126"/>
      <c r="H67" s="126"/>
      <c r="I67" s="126"/>
      <c r="J67" s="126"/>
      <c r="K67" s="126"/>
      <c r="L67" s="126"/>
      <c r="M67" s="126"/>
      <c r="N67" s="126"/>
      <c r="O67" s="126"/>
      <c r="P67" s="126"/>
      <c r="Q67" s="126"/>
      <c r="R67" s="126"/>
      <c r="S67" s="126"/>
      <c r="T67" s="126"/>
      <c r="U67" s="126"/>
      <c r="V67" s="126"/>
      <c r="W67" s="126"/>
      <c r="X67" s="126"/>
      <c r="Y67" s="126"/>
      <c r="Z67" s="126"/>
    </row>
    <row r="68" spans="1:26" ht="15.75" hidden="1" customHeight="1">
      <c r="A68" s="126"/>
      <c r="B68" s="126"/>
      <c r="C68" s="176"/>
      <c r="D68" s="176"/>
      <c r="E68" s="126"/>
      <c r="F68" s="126"/>
      <c r="G68" s="126"/>
      <c r="H68" s="126"/>
      <c r="I68" s="126"/>
      <c r="J68" s="126"/>
      <c r="K68" s="126"/>
      <c r="L68" s="126"/>
      <c r="M68" s="126"/>
      <c r="N68" s="126"/>
      <c r="O68" s="126"/>
      <c r="P68" s="126"/>
      <c r="Q68" s="126"/>
      <c r="R68" s="126"/>
      <c r="S68" s="126"/>
      <c r="T68" s="126"/>
      <c r="U68" s="126"/>
      <c r="V68" s="126"/>
      <c r="W68" s="126"/>
      <c r="X68" s="126"/>
      <c r="Y68" s="126"/>
      <c r="Z68" s="126"/>
    </row>
    <row r="69" spans="1:26" ht="15.75" hidden="1" customHeight="1">
      <c r="A69" s="126"/>
      <c r="B69" s="126"/>
      <c r="C69" s="176"/>
      <c r="D69" s="176"/>
      <c r="E69" s="126"/>
      <c r="F69" s="126"/>
      <c r="G69" s="126"/>
      <c r="H69" s="126"/>
      <c r="I69" s="126"/>
      <c r="J69" s="126"/>
      <c r="K69" s="126"/>
      <c r="L69" s="126"/>
      <c r="M69" s="126"/>
      <c r="N69" s="126"/>
      <c r="O69" s="126"/>
      <c r="P69" s="126"/>
      <c r="Q69" s="126"/>
      <c r="R69" s="126"/>
      <c r="S69" s="126"/>
      <c r="T69" s="126"/>
      <c r="U69" s="126"/>
      <c r="V69" s="126"/>
      <c r="W69" s="126"/>
      <c r="X69" s="126"/>
      <c r="Y69" s="126"/>
      <c r="Z69" s="126"/>
    </row>
    <row r="70" spans="1:26" ht="15.75" hidden="1" customHeight="1">
      <c r="A70" s="126"/>
      <c r="B70" s="126"/>
      <c r="C70" s="176"/>
      <c r="D70" s="176"/>
      <c r="E70" s="126"/>
      <c r="F70" s="126"/>
      <c r="G70" s="126"/>
      <c r="H70" s="126"/>
      <c r="I70" s="126"/>
      <c r="J70" s="126"/>
      <c r="K70" s="126"/>
      <c r="L70" s="126"/>
      <c r="M70" s="126"/>
      <c r="N70" s="126"/>
      <c r="O70" s="126"/>
      <c r="P70" s="126"/>
      <c r="Q70" s="126"/>
      <c r="R70" s="126"/>
      <c r="S70" s="126"/>
      <c r="T70" s="126"/>
      <c r="U70" s="126"/>
      <c r="V70" s="126"/>
      <c r="W70" s="126"/>
      <c r="X70" s="126"/>
      <c r="Y70" s="126"/>
      <c r="Z70" s="126"/>
    </row>
    <row r="71" spans="1:26" ht="15.75" hidden="1" customHeight="1">
      <c r="A71" s="126"/>
      <c r="B71" s="126"/>
      <c r="C71" s="176"/>
      <c r="D71" s="176"/>
      <c r="E71" s="126"/>
      <c r="F71" s="126"/>
      <c r="G71" s="126"/>
      <c r="H71" s="126"/>
      <c r="I71" s="126"/>
      <c r="J71" s="126"/>
      <c r="K71" s="126"/>
      <c r="L71" s="126"/>
      <c r="M71" s="126"/>
      <c r="N71" s="126"/>
      <c r="O71" s="126"/>
      <c r="P71" s="126"/>
      <c r="Q71" s="126"/>
      <c r="R71" s="126"/>
      <c r="S71" s="126"/>
      <c r="T71" s="126"/>
      <c r="U71" s="126"/>
      <c r="V71" s="126"/>
      <c r="W71" s="126"/>
      <c r="X71" s="126"/>
      <c r="Y71" s="126"/>
      <c r="Z71" s="126"/>
    </row>
    <row r="72" spans="1:26" ht="15.75" hidden="1" customHeight="1">
      <c r="A72" s="126"/>
      <c r="B72" s="126"/>
      <c r="C72" s="176"/>
      <c r="D72" s="176"/>
      <c r="E72" s="126"/>
      <c r="F72" s="126"/>
      <c r="G72" s="126"/>
      <c r="H72" s="126"/>
      <c r="I72" s="126"/>
      <c r="J72" s="126"/>
      <c r="K72" s="126"/>
      <c r="L72" s="126"/>
      <c r="M72" s="126"/>
      <c r="N72" s="126"/>
      <c r="O72" s="126"/>
      <c r="P72" s="126"/>
      <c r="Q72" s="126"/>
      <c r="R72" s="126"/>
      <c r="S72" s="126"/>
      <c r="T72" s="126"/>
      <c r="U72" s="126"/>
      <c r="V72" s="126"/>
      <c r="W72" s="126"/>
      <c r="X72" s="126"/>
      <c r="Y72" s="126"/>
      <c r="Z72" s="126"/>
    </row>
    <row r="73" spans="1:26" ht="15.75" hidden="1" customHeight="1">
      <c r="A73" s="126"/>
      <c r="B73" s="126"/>
      <c r="C73" s="176"/>
      <c r="D73" s="176"/>
      <c r="E73" s="126"/>
      <c r="F73" s="126"/>
      <c r="G73" s="126"/>
      <c r="H73" s="126"/>
      <c r="I73" s="126"/>
      <c r="J73" s="126"/>
      <c r="K73" s="126"/>
      <c r="L73" s="126"/>
      <c r="M73" s="126"/>
      <c r="N73" s="126"/>
      <c r="O73" s="126"/>
      <c r="P73" s="126"/>
      <c r="Q73" s="126"/>
      <c r="R73" s="126"/>
      <c r="S73" s="126"/>
      <c r="T73" s="126"/>
      <c r="U73" s="126"/>
      <c r="V73" s="126"/>
      <c r="W73" s="126"/>
      <c r="X73" s="126"/>
      <c r="Y73" s="126"/>
      <c r="Z73" s="126"/>
    </row>
    <row r="74" spans="1:26" ht="15.75" hidden="1" customHeight="1">
      <c r="A74" s="126"/>
      <c r="B74" s="126"/>
      <c r="C74" s="176"/>
      <c r="D74" s="176"/>
      <c r="E74" s="126"/>
      <c r="F74" s="126"/>
      <c r="G74" s="126"/>
      <c r="H74" s="126"/>
      <c r="I74" s="126"/>
      <c r="J74" s="126"/>
      <c r="K74" s="126"/>
      <c r="L74" s="126"/>
      <c r="M74" s="126"/>
      <c r="N74" s="126"/>
      <c r="O74" s="126"/>
      <c r="P74" s="126"/>
      <c r="Q74" s="126"/>
      <c r="R74" s="126"/>
      <c r="S74" s="126"/>
      <c r="T74" s="126"/>
      <c r="U74" s="126"/>
      <c r="V74" s="126"/>
      <c r="W74" s="126"/>
      <c r="X74" s="126"/>
      <c r="Y74" s="126"/>
      <c r="Z74" s="126"/>
    </row>
    <row r="75" spans="1:26" ht="15.75" hidden="1" customHeight="1">
      <c r="A75" s="126"/>
      <c r="B75" s="126"/>
      <c r="C75" s="176"/>
      <c r="D75" s="176"/>
      <c r="E75" s="126"/>
      <c r="F75" s="126"/>
      <c r="G75" s="126"/>
      <c r="H75" s="126"/>
      <c r="I75" s="126"/>
      <c r="J75" s="126"/>
      <c r="K75" s="126"/>
      <c r="L75" s="126"/>
      <c r="M75" s="126"/>
      <c r="N75" s="126"/>
      <c r="O75" s="126"/>
      <c r="P75" s="126"/>
      <c r="Q75" s="126"/>
      <c r="R75" s="126"/>
      <c r="S75" s="126"/>
      <c r="T75" s="126"/>
      <c r="U75" s="126"/>
      <c r="V75" s="126"/>
      <c r="W75" s="126"/>
      <c r="X75" s="126"/>
      <c r="Y75" s="126"/>
      <c r="Z75" s="126"/>
    </row>
    <row r="76" spans="1:26" ht="15.75" hidden="1" customHeight="1">
      <c r="A76" s="126"/>
      <c r="B76" s="126"/>
      <c r="C76" s="176"/>
      <c r="D76" s="176"/>
      <c r="E76" s="126"/>
      <c r="F76" s="126"/>
      <c r="G76" s="126"/>
      <c r="H76" s="126"/>
      <c r="I76" s="126"/>
      <c r="J76" s="126"/>
      <c r="K76" s="126"/>
      <c r="L76" s="126"/>
      <c r="M76" s="126"/>
      <c r="N76" s="126"/>
      <c r="O76" s="126"/>
      <c r="P76" s="126"/>
      <c r="Q76" s="126"/>
      <c r="R76" s="126"/>
      <c r="S76" s="126"/>
      <c r="T76" s="126"/>
      <c r="U76" s="126"/>
      <c r="V76" s="126"/>
      <c r="W76" s="126"/>
      <c r="X76" s="126"/>
      <c r="Y76" s="126"/>
      <c r="Z76" s="126"/>
    </row>
    <row r="77" spans="1:26" ht="15.75" hidden="1" customHeight="1">
      <c r="A77" s="126"/>
      <c r="B77" s="126"/>
      <c r="C77" s="176"/>
      <c r="D77" s="176"/>
      <c r="E77" s="126"/>
      <c r="F77" s="126"/>
      <c r="G77" s="126"/>
      <c r="H77" s="126"/>
      <c r="I77" s="126"/>
      <c r="J77" s="126"/>
      <c r="K77" s="126"/>
      <c r="L77" s="126"/>
      <c r="M77" s="126"/>
      <c r="N77" s="126"/>
      <c r="O77" s="126"/>
      <c r="P77" s="126"/>
      <c r="Q77" s="126"/>
      <c r="R77" s="126"/>
      <c r="S77" s="126"/>
      <c r="T77" s="126"/>
      <c r="U77" s="126"/>
      <c r="V77" s="126"/>
      <c r="W77" s="126"/>
      <c r="X77" s="126"/>
      <c r="Y77" s="126"/>
      <c r="Z77" s="126"/>
    </row>
    <row r="78" spans="1:26" ht="15.75" hidden="1" customHeight="1">
      <c r="A78" s="126"/>
      <c r="B78" s="126"/>
      <c r="C78" s="176"/>
      <c r="D78" s="176"/>
      <c r="E78" s="126"/>
      <c r="F78" s="126"/>
      <c r="G78" s="126"/>
      <c r="H78" s="126"/>
      <c r="I78" s="126"/>
      <c r="J78" s="126"/>
      <c r="K78" s="126"/>
      <c r="L78" s="126"/>
      <c r="M78" s="126"/>
      <c r="N78" s="126"/>
      <c r="O78" s="126"/>
      <c r="P78" s="126"/>
      <c r="Q78" s="126"/>
      <c r="R78" s="126"/>
      <c r="S78" s="126"/>
      <c r="T78" s="126"/>
      <c r="U78" s="126"/>
      <c r="V78" s="126"/>
      <c r="W78" s="126"/>
      <c r="X78" s="126"/>
      <c r="Y78" s="126"/>
      <c r="Z78" s="126"/>
    </row>
    <row r="79" spans="1:26" ht="15.75" hidden="1" customHeight="1">
      <c r="A79" s="126"/>
      <c r="B79" s="126"/>
      <c r="C79" s="176"/>
      <c r="D79" s="176"/>
      <c r="E79" s="126"/>
      <c r="F79" s="126"/>
      <c r="G79" s="126"/>
      <c r="H79" s="126"/>
      <c r="I79" s="126"/>
      <c r="J79" s="126"/>
      <c r="K79" s="126"/>
      <c r="L79" s="126"/>
      <c r="M79" s="126"/>
      <c r="N79" s="126"/>
      <c r="O79" s="126"/>
      <c r="P79" s="126"/>
      <c r="Q79" s="126"/>
      <c r="R79" s="126"/>
      <c r="S79" s="126"/>
      <c r="T79" s="126"/>
      <c r="U79" s="126"/>
      <c r="V79" s="126"/>
      <c r="W79" s="126"/>
      <c r="X79" s="126"/>
      <c r="Y79" s="126"/>
      <c r="Z79" s="126"/>
    </row>
    <row r="80" spans="1:26" ht="15.75" hidden="1" customHeight="1">
      <c r="A80" s="126"/>
      <c r="B80" s="126"/>
      <c r="C80" s="176"/>
      <c r="D80" s="176"/>
      <c r="E80" s="126"/>
      <c r="F80" s="126"/>
      <c r="G80" s="126"/>
      <c r="H80" s="126"/>
      <c r="I80" s="126"/>
      <c r="J80" s="126"/>
      <c r="K80" s="126"/>
      <c r="L80" s="126"/>
      <c r="M80" s="126"/>
      <c r="N80" s="126"/>
      <c r="O80" s="126"/>
      <c r="P80" s="126"/>
      <c r="Q80" s="126"/>
      <c r="R80" s="126"/>
      <c r="S80" s="126"/>
      <c r="T80" s="126"/>
      <c r="U80" s="126"/>
      <c r="V80" s="126"/>
      <c r="W80" s="126"/>
      <c r="X80" s="126"/>
      <c r="Y80" s="126"/>
      <c r="Z80" s="126"/>
    </row>
    <row r="81" spans="1:26" ht="15.75" hidden="1" customHeight="1">
      <c r="A81" s="126"/>
      <c r="B81" s="126"/>
      <c r="C81" s="176"/>
      <c r="D81" s="176"/>
      <c r="E81" s="126"/>
      <c r="F81" s="126"/>
      <c r="G81" s="126"/>
      <c r="H81" s="126"/>
      <c r="I81" s="126"/>
      <c r="J81" s="126"/>
      <c r="K81" s="126"/>
      <c r="L81" s="126"/>
      <c r="M81" s="126"/>
      <c r="N81" s="126"/>
      <c r="O81" s="126"/>
      <c r="P81" s="126"/>
      <c r="Q81" s="126"/>
      <c r="R81" s="126"/>
      <c r="S81" s="126"/>
      <c r="T81" s="126"/>
      <c r="U81" s="126"/>
      <c r="V81" s="126"/>
      <c r="W81" s="126"/>
      <c r="X81" s="126"/>
      <c r="Y81" s="126"/>
      <c r="Z81" s="126"/>
    </row>
    <row r="82" spans="1:26" ht="15.75" hidden="1" customHeight="1">
      <c r="A82" s="126"/>
      <c r="B82" s="126"/>
      <c r="C82" s="176"/>
      <c r="D82" s="176"/>
      <c r="E82" s="126"/>
      <c r="F82" s="126"/>
      <c r="G82" s="126"/>
      <c r="H82" s="126"/>
      <c r="I82" s="126"/>
      <c r="J82" s="126"/>
      <c r="K82" s="126"/>
      <c r="L82" s="126"/>
      <c r="M82" s="126"/>
      <c r="N82" s="126"/>
      <c r="O82" s="126"/>
      <c r="P82" s="126"/>
      <c r="Q82" s="126"/>
      <c r="R82" s="126"/>
      <c r="S82" s="126"/>
      <c r="T82" s="126"/>
      <c r="U82" s="126"/>
      <c r="V82" s="126"/>
      <c r="W82" s="126"/>
      <c r="X82" s="126"/>
      <c r="Y82" s="126"/>
      <c r="Z82" s="126"/>
    </row>
    <row r="83" spans="1:26" ht="15.75" hidden="1" customHeight="1">
      <c r="A83" s="126"/>
      <c r="B83" s="126"/>
      <c r="C83" s="176"/>
      <c r="D83" s="176"/>
      <c r="E83" s="126"/>
      <c r="F83" s="126"/>
      <c r="G83" s="126"/>
      <c r="H83" s="126"/>
      <c r="I83" s="126"/>
      <c r="J83" s="126"/>
      <c r="K83" s="126"/>
      <c r="L83" s="126"/>
      <c r="M83" s="126"/>
      <c r="N83" s="126"/>
      <c r="O83" s="126"/>
      <c r="P83" s="126"/>
      <c r="Q83" s="126"/>
      <c r="R83" s="126"/>
      <c r="S83" s="126"/>
      <c r="T83" s="126"/>
      <c r="U83" s="126"/>
      <c r="V83" s="126"/>
      <c r="W83" s="126"/>
      <c r="X83" s="126"/>
      <c r="Y83" s="126"/>
      <c r="Z83" s="126"/>
    </row>
    <row r="84" spans="1:26" ht="15.75" hidden="1" customHeight="1">
      <c r="A84" s="126"/>
      <c r="B84" s="126"/>
      <c r="C84" s="176"/>
      <c r="D84" s="176"/>
      <c r="E84" s="126"/>
      <c r="F84" s="126"/>
      <c r="G84" s="126"/>
      <c r="H84" s="126"/>
      <c r="I84" s="126"/>
      <c r="J84" s="126"/>
      <c r="K84" s="126"/>
      <c r="L84" s="126"/>
      <c r="M84" s="126"/>
      <c r="N84" s="126"/>
      <c r="O84" s="126"/>
      <c r="P84" s="126"/>
      <c r="Q84" s="126"/>
      <c r="R84" s="126"/>
      <c r="S84" s="126"/>
      <c r="T84" s="126"/>
      <c r="U84" s="126"/>
      <c r="V84" s="126"/>
      <c r="W84" s="126"/>
      <c r="X84" s="126"/>
      <c r="Y84" s="126"/>
      <c r="Z84" s="126"/>
    </row>
    <row r="85" spans="1:26" ht="15.75" customHeight="1">
      <c r="A85" s="126"/>
      <c r="B85" s="126"/>
      <c r="C85" s="176"/>
      <c r="D85" s="176"/>
      <c r="E85" s="126"/>
      <c r="F85" s="126"/>
      <c r="G85" s="126"/>
      <c r="H85" s="126"/>
      <c r="I85" s="126"/>
      <c r="J85" s="126"/>
      <c r="K85" s="126"/>
      <c r="L85" s="126"/>
      <c r="M85" s="126"/>
      <c r="N85" s="126"/>
      <c r="O85" s="126"/>
      <c r="P85" s="126"/>
      <c r="Q85" s="126"/>
      <c r="R85" s="126"/>
      <c r="S85" s="126"/>
      <c r="T85" s="126"/>
      <c r="U85" s="126"/>
      <c r="V85" s="126"/>
      <c r="W85" s="126"/>
      <c r="X85" s="126"/>
      <c r="Y85" s="126"/>
      <c r="Z85" s="126"/>
    </row>
    <row r="86" spans="1:26" ht="15.75" customHeight="1">
      <c r="A86" s="126"/>
      <c r="B86" s="126"/>
      <c r="C86" s="176"/>
      <c r="D86" s="176"/>
      <c r="E86" s="126"/>
      <c r="F86" s="126"/>
      <c r="G86" s="126"/>
      <c r="H86" s="126"/>
      <c r="I86" s="126"/>
      <c r="J86" s="126"/>
      <c r="K86" s="126"/>
      <c r="L86" s="126"/>
      <c r="M86" s="126"/>
      <c r="N86" s="126"/>
      <c r="O86" s="126"/>
      <c r="P86" s="126"/>
      <c r="Q86" s="126"/>
      <c r="R86" s="126"/>
      <c r="S86" s="126"/>
      <c r="T86" s="126"/>
      <c r="U86" s="126"/>
      <c r="V86" s="126"/>
      <c r="W86" s="126"/>
      <c r="X86" s="126"/>
      <c r="Y86" s="126"/>
      <c r="Z86" s="126"/>
    </row>
    <row r="87" spans="1:26" ht="15.75" customHeight="1">
      <c r="A87" s="126"/>
      <c r="B87" s="126"/>
      <c r="C87" s="176"/>
      <c r="D87" s="176"/>
      <c r="E87" s="126"/>
      <c r="F87" s="126"/>
      <c r="G87" s="126"/>
      <c r="H87" s="126"/>
      <c r="I87" s="126"/>
      <c r="J87" s="126"/>
      <c r="K87" s="126"/>
      <c r="L87" s="126"/>
      <c r="M87" s="126"/>
      <c r="N87" s="126"/>
      <c r="O87" s="126"/>
      <c r="P87" s="126"/>
      <c r="Q87" s="126"/>
      <c r="R87" s="126"/>
      <c r="S87" s="126"/>
      <c r="T87" s="126"/>
      <c r="U87" s="126"/>
      <c r="V87" s="126"/>
      <c r="W87" s="126"/>
      <c r="X87" s="126"/>
      <c r="Y87" s="126"/>
      <c r="Z87" s="126"/>
    </row>
    <row r="88" spans="1:26" ht="15.75" customHeight="1">
      <c r="A88" s="126"/>
      <c r="B88" s="126"/>
      <c r="C88" s="176"/>
      <c r="D88" s="176"/>
      <c r="E88" s="126"/>
      <c r="F88" s="126"/>
      <c r="G88" s="126"/>
      <c r="H88" s="126"/>
      <c r="I88" s="126"/>
      <c r="J88" s="126"/>
      <c r="K88" s="126"/>
      <c r="L88" s="126"/>
      <c r="M88" s="126"/>
      <c r="N88" s="126"/>
      <c r="O88" s="126"/>
      <c r="P88" s="126"/>
      <c r="Q88" s="126"/>
      <c r="R88" s="126"/>
      <c r="S88" s="126"/>
      <c r="T88" s="126"/>
      <c r="U88" s="126"/>
      <c r="V88" s="126"/>
      <c r="W88" s="126"/>
      <c r="X88" s="126"/>
      <c r="Y88" s="126"/>
      <c r="Z88" s="126"/>
    </row>
    <row r="89" spans="1:26" ht="15.75" customHeight="1">
      <c r="A89" s="126"/>
      <c r="B89" s="126"/>
      <c r="C89" s="176"/>
      <c r="D89" s="176"/>
      <c r="E89" s="126"/>
      <c r="F89" s="126"/>
      <c r="G89" s="126"/>
      <c r="H89" s="126"/>
      <c r="I89" s="126"/>
      <c r="J89" s="126"/>
      <c r="K89" s="126"/>
      <c r="L89" s="126"/>
      <c r="M89" s="126"/>
      <c r="N89" s="126"/>
      <c r="O89" s="126"/>
      <c r="P89" s="126"/>
      <c r="Q89" s="126"/>
      <c r="R89" s="126"/>
      <c r="S89" s="126"/>
      <c r="T89" s="126"/>
      <c r="U89" s="126"/>
      <c r="V89" s="126"/>
      <c r="W89" s="126"/>
      <c r="X89" s="126"/>
      <c r="Y89" s="126"/>
      <c r="Z89" s="126"/>
    </row>
    <row r="90" spans="1:26" ht="15.75" customHeight="1">
      <c r="A90" s="126"/>
      <c r="B90" s="126"/>
      <c r="C90" s="176"/>
      <c r="D90" s="176"/>
      <c r="E90" s="126"/>
      <c r="F90" s="126"/>
      <c r="G90" s="126"/>
      <c r="H90" s="126"/>
      <c r="I90" s="126"/>
      <c r="J90" s="126"/>
      <c r="K90" s="126"/>
      <c r="L90" s="126"/>
      <c r="M90" s="126"/>
      <c r="N90" s="126"/>
      <c r="O90" s="126"/>
      <c r="P90" s="126"/>
      <c r="Q90" s="126"/>
      <c r="R90" s="126"/>
      <c r="S90" s="126"/>
      <c r="T90" s="126"/>
      <c r="U90" s="126"/>
      <c r="V90" s="126"/>
      <c r="W90" s="126"/>
      <c r="X90" s="126"/>
      <c r="Y90" s="126"/>
      <c r="Z90" s="126"/>
    </row>
    <row r="91" spans="1:26" ht="15.75" customHeight="1">
      <c r="A91" s="126"/>
      <c r="B91" s="126"/>
      <c r="C91" s="176"/>
      <c r="D91" s="176"/>
      <c r="E91" s="126"/>
      <c r="F91" s="126"/>
      <c r="G91" s="126"/>
      <c r="H91" s="126"/>
      <c r="I91" s="126"/>
      <c r="J91" s="126"/>
      <c r="K91" s="126"/>
      <c r="L91" s="126"/>
      <c r="M91" s="126"/>
      <c r="N91" s="126"/>
      <c r="O91" s="126"/>
      <c r="P91" s="126"/>
      <c r="Q91" s="126"/>
      <c r="R91" s="126"/>
      <c r="S91" s="126"/>
      <c r="T91" s="126"/>
      <c r="U91" s="126"/>
      <c r="V91" s="126"/>
      <c r="W91" s="126"/>
      <c r="X91" s="126"/>
      <c r="Y91" s="126"/>
      <c r="Z91" s="126"/>
    </row>
    <row r="92" spans="1:26" ht="15.75" customHeight="1">
      <c r="A92" s="126"/>
      <c r="B92" s="126"/>
      <c r="C92" s="176"/>
      <c r="D92" s="176"/>
      <c r="E92" s="126"/>
      <c r="F92" s="126"/>
      <c r="G92" s="126"/>
      <c r="H92" s="126"/>
      <c r="I92" s="126"/>
      <c r="J92" s="126"/>
      <c r="K92" s="126"/>
      <c r="L92" s="126"/>
      <c r="M92" s="126"/>
      <c r="N92" s="126"/>
      <c r="O92" s="126"/>
      <c r="P92" s="126"/>
      <c r="Q92" s="126"/>
      <c r="R92" s="126"/>
      <c r="S92" s="126"/>
      <c r="T92" s="126"/>
      <c r="U92" s="126"/>
      <c r="V92" s="126"/>
      <c r="W92" s="126"/>
      <c r="X92" s="126"/>
      <c r="Y92" s="126"/>
      <c r="Z92" s="126"/>
    </row>
    <row r="93" spans="1:26" ht="15.75" customHeight="1">
      <c r="A93" s="126"/>
      <c r="B93" s="126"/>
      <c r="C93" s="176"/>
      <c r="D93" s="176"/>
      <c r="E93" s="126"/>
      <c r="F93" s="126"/>
      <c r="G93" s="126"/>
      <c r="H93" s="126"/>
      <c r="I93" s="126"/>
      <c r="J93" s="126"/>
      <c r="K93" s="126"/>
      <c r="L93" s="126"/>
      <c r="M93" s="126"/>
      <c r="N93" s="126"/>
      <c r="O93" s="126"/>
      <c r="P93" s="126"/>
      <c r="Q93" s="126"/>
      <c r="R93" s="126"/>
      <c r="S93" s="126"/>
      <c r="T93" s="126"/>
      <c r="U93" s="126"/>
      <c r="V93" s="126"/>
      <c r="W93" s="126"/>
      <c r="X93" s="126"/>
      <c r="Y93" s="126"/>
      <c r="Z93" s="126"/>
    </row>
    <row r="94" spans="1:26" ht="15.75" customHeight="1">
      <c r="A94" s="126"/>
      <c r="B94" s="126"/>
      <c r="C94" s="176"/>
      <c r="D94" s="176"/>
      <c r="E94" s="126"/>
      <c r="F94" s="126"/>
      <c r="G94" s="126"/>
      <c r="H94" s="126"/>
      <c r="I94" s="126"/>
      <c r="J94" s="126"/>
      <c r="K94" s="126"/>
      <c r="L94" s="126"/>
      <c r="M94" s="126"/>
      <c r="N94" s="126"/>
      <c r="O94" s="126"/>
      <c r="P94" s="126"/>
      <c r="Q94" s="126"/>
      <c r="R94" s="126"/>
      <c r="S94" s="126"/>
      <c r="T94" s="126"/>
      <c r="U94" s="126"/>
      <c r="V94" s="126"/>
      <c r="W94" s="126"/>
      <c r="X94" s="126"/>
      <c r="Y94" s="126"/>
      <c r="Z94" s="126"/>
    </row>
    <row r="95" spans="1:26" ht="15.75" customHeight="1">
      <c r="A95" s="126"/>
      <c r="B95" s="126"/>
      <c r="C95" s="176"/>
      <c r="D95" s="176"/>
      <c r="E95" s="126"/>
      <c r="F95" s="126"/>
      <c r="G95" s="126"/>
      <c r="H95" s="126"/>
      <c r="I95" s="126"/>
      <c r="J95" s="126"/>
      <c r="K95" s="126"/>
      <c r="L95" s="126"/>
      <c r="M95" s="126"/>
      <c r="N95" s="126"/>
      <c r="O95" s="126"/>
      <c r="P95" s="126"/>
      <c r="Q95" s="126"/>
      <c r="R95" s="126"/>
      <c r="S95" s="126"/>
      <c r="T95" s="126"/>
      <c r="U95" s="126"/>
      <c r="V95" s="126"/>
      <c r="W95" s="126"/>
      <c r="X95" s="126"/>
      <c r="Y95" s="126"/>
      <c r="Z95" s="126"/>
    </row>
    <row r="96" spans="1:26" ht="15.75" customHeight="1">
      <c r="A96" s="126"/>
      <c r="B96" s="126"/>
      <c r="C96" s="176"/>
      <c r="D96" s="176"/>
      <c r="E96" s="126"/>
      <c r="F96" s="126"/>
      <c r="G96" s="126"/>
      <c r="H96" s="126"/>
      <c r="I96" s="126"/>
      <c r="J96" s="126"/>
      <c r="K96" s="126"/>
      <c r="L96" s="126"/>
      <c r="M96" s="126"/>
      <c r="N96" s="126"/>
      <c r="O96" s="126"/>
      <c r="P96" s="126"/>
      <c r="Q96" s="126"/>
      <c r="R96" s="126"/>
      <c r="S96" s="126"/>
      <c r="T96" s="126"/>
      <c r="U96" s="126"/>
      <c r="V96" s="126"/>
      <c r="W96" s="126"/>
      <c r="X96" s="126"/>
      <c r="Y96" s="126"/>
      <c r="Z96" s="126"/>
    </row>
    <row r="97" spans="1:26" ht="15.75" customHeight="1">
      <c r="A97" s="126"/>
      <c r="B97" s="126"/>
      <c r="C97" s="176"/>
      <c r="D97" s="176"/>
      <c r="E97" s="126"/>
      <c r="F97" s="126"/>
      <c r="G97" s="126"/>
      <c r="H97" s="126"/>
      <c r="I97" s="126"/>
      <c r="J97" s="126"/>
      <c r="K97" s="126"/>
      <c r="L97" s="126"/>
      <c r="M97" s="126"/>
      <c r="N97" s="126"/>
      <c r="O97" s="126"/>
      <c r="P97" s="126"/>
      <c r="Q97" s="126"/>
      <c r="R97" s="126"/>
      <c r="S97" s="126"/>
      <c r="T97" s="126"/>
      <c r="U97" s="126"/>
      <c r="V97" s="126"/>
      <c r="W97" s="126"/>
      <c r="X97" s="126"/>
      <c r="Y97" s="126"/>
      <c r="Z97" s="126"/>
    </row>
    <row r="98" spans="1:26" ht="15.75" customHeight="1">
      <c r="A98" s="126"/>
      <c r="B98" s="126"/>
      <c r="C98" s="176"/>
      <c r="D98" s="176"/>
      <c r="E98" s="126"/>
      <c r="F98" s="126"/>
      <c r="G98" s="126"/>
      <c r="H98" s="126"/>
      <c r="I98" s="126"/>
      <c r="J98" s="126"/>
      <c r="K98" s="126"/>
      <c r="L98" s="126"/>
      <c r="M98" s="126"/>
      <c r="N98" s="126"/>
      <c r="O98" s="126"/>
      <c r="P98" s="126"/>
      <c r="Q98" s="126"/>
      <c r="R98" s="126"/>
      <c r="S98" s="126"/>
      <c r="T98" s="126"/>
      <c r="U98" s="126"/>
      <c r="V98" s="126"/>
      <c r="W98" s="126"/>
      <c r="X98" s="126"/>
      <c r="Y98" s="126"/>
      <c r="Z98" s="126"/>
    </row>
    <row r="99" spans="1:26" ht="15.75" customHeight="1">
      <c r="A99" s="126"/>
      <c r="B99" s="126"/>
      <c r="C99" s="176"/>
      <c r="D99" s="176"/>
      <c r="E99" s="126"/>
      <c r="F99" s="126"/>
      <c r="G99" s="126"/>
      <c r="H99" s="126"/>
      <c r="I99" s="126"/>
      <c r="J99" s="126"/>
      <c r="K99" s="126"/>
      <c r="L99" s="126"/>
      <c r="M99" s="126"/>
      <c r="N99" s="126"/>
      <c r="O99" s="126"/>
      <c r="P99" s="126"/>
      <c r="Q99" s="126"/>
      <c r="R99" s="126"/>
      <c r="S99" s="126"/>
      <c r="T99" s="126"/>
      <c r="U99" s="126"/>
      <c r="V99" s="126"/>
      <c r="W99" s="126"/>
      <c r="X99" s="126"/>
      <c r="Y99" s="126"/>
      <c r="Z99" s="126"/>
    </row>
    <row r="100" spans="1:26" ht="15.75" hidden="1" customHeight="1">
      <c r="A100" s="126"/>
      <c r="B100" s="126"/>
      <c r="C100" s="176"/>
      <c r="D100" s="17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row>
    <row r="101" spans="1:26" ht="15.75" hidden="1" customHeight="1">
      <c r="A101" s="126"/>
      <c r="B101" s="126"/>
      <c r="C101" s="176"/>
      <c r="D101" s="17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row>
    <row r="102" spans="1:26" ht="15.75" hidden="1" customHeight="1">
      <c r="A102" s="126"/>
      <c r="B102" s="126"/>
      <c r="C102" s="176"/>
      <c r="D102" s="17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row>
    <row r="103" spans="1:26" ht="15.75" hidden="1" customHeight="1">
      <c r="A103" s="126"/>
      <c r="B103" s="126"/>
      <c r="C103" s="176"/>
      <c r="D103" s="17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row>
    <row r="104" spans="1:26" ht="15.75" hidden="1" customHeight="1">
      <c r="A104" s="126"/>
      <c r="B104" s="126"/>
      <c r="C104" s="176"/>
      <c r="D104" s="17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row>
    <row r="105" spans="1:26" ht="15.75" hidden="1" customHeight="1">
      <c r="A105" s="126"/>
      <c r="B105" s="126"/>
      <c r="C105" s="176"/>
      <c r="D105" s="17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row>
    <row r="106" spans="1:26" ht="15.75" hidden="1" customHeight="1">
      <c r="A106" s="126"/>
      <c r="B106" s="126"/>
      <c r="C106" s="176"/>
      <c r="D106" s="17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row>
    <row r="107" spans="1:26" ht="15.75" hidden="1" customHeight="1">
      <c r="A107" s="126"/>
      <c r="B107" s="126"/>
      <c r="C107" s="176"/>
      <c r="D107" s="17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row>
    <row r="108" spans="1:26" ht="15.75" hidden="1" customHeight="1">
      <c r="A108" s="126"/>
      <c r="B108" s="126"/>
      <c r="C108" s="176"/>
      <c r="D108" s="17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row>
    <row r="109" spans="1:26" ht="15.75" hidden="1" customHeight="1">
      <c r="A109" s="126"/>
      <c r="B109" s="126"/>
      <c r="C109" s="176"/>
      <c r="D109" s="17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row>
    <row r="110" spans="1:26" ht="15.75" hidden="1" customHeight="1">
      <c r="A110" s="126"/>
      <c r="B110" s="126"/>
      <c r="C110" s="176"/>
      <c r="D110" s="17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row>
    <row r="111" spans="1:26" ht="15.75" hidden="1" customHeight="1">
      <c r="A111" s="126"/>
      <c r="B111" s="126"/>
      <c r="C111" s="176"/>
      <c r="D111" s="17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row>
    <row r="112" spans="1:26" ht="15.75" hidden="1" customHeight="1">
      <c r="A112" s="126"/>
      <c r="B112" s="126"/>
      <c r="C112" s="176"/>
      <c r="D112" s="17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row>
    <row r="113" spans="1:26" ht="15.75" hidden="1" customHeight="1">
      <c r="A113" s="126"/>
      <c r="B113" s="126"/>
      <c r="C113" s="176"/>
      <c r="D113" s="17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row>
    <row r="114" spans="1:26" ht="15.75" hidden="1" customHeight="1">
      <c r="A114" s="126"/>
      <c r="B114" s="126"/>
      <c r="C114" s="176"/>
      <c r="D114" s="17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row>
    <row r="115" spans="1:26" ht="15.75" hidden="1" customHeight="1">
      <c r="A115" s="126"/>
      <c r="B115" s="126"/>
      <c r="C115" s="176"/>
      <c r="D115" s="17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row>
    <row r="116" spans="1:26" ht="15.75" hidden="1" customHeight="1">
      <c r="A116" s="126"/>
      <c r="B116" s="126"/>
      <c r="C116" s="176"/>
      <c r="D116" s="17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row>
    <row r="117" spans="1:26" ht="15.75" hidden="1" customHeight="1">
      <c r="A117" s="126"/>
      <c r="B117" s="126"/>
      <c r="C117" s="176"/>
      <c r="D117" s="17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row>
    <row r="118" spans="1:26" ht="15.75" hidden="1" customHeight="1">
      <c r="A118" s="126"/>
      <c r="B118" s="126"/>
      <c r="C118" s="176"/>
      <c r="D118" s="17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row>
    <row r="119" spans="1:26" ht="15.75" hidden="1" customHeight="1">
      <c r="A119" s="126"/>
      <c r="B119" s="126"/>
      <c r="C119" s="176"/>
      <c r="D119" s="17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row>
    <row r="120" spans="1:26" ht="15.75" hidden="1" customHeight="1">
      <c r="A120" s="126"/>
      <c r="B120" s="126"/>
      <c r="C120" s="176"/>
      <c r="D120" s="17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row>
    <row r="121" spans="1:26" ht="15.75" hidden="1" customHeight="1">
      <c r="A121" s="126"/>
      <c r="B121" s="126"/>
      <c r="C121" s="176"/>
      <c r="D121" s="17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row>
    <row r="122" spans="1:26" ht="15.75" hidden="1" customHeight="1">
      <c r="A122" s="126"/>
      <c r="B122" s="126"/>
      <c r="C122" s="176"/>
      <c r="D122" s="17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row>
    <row r="123" spans="1:26" ht="15.75" hidden="1" customHeight="1">
      <c r="A123" s="126"/>
      <c r="B123" s="126"/>
      <c r="C123" s="176"/>
      <c r="D123" s="17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row>
    <row r="124" spans="1:26" ht="15.75" hidden="1" customHeight="1">
      <c r="A124" s="126"/>
      <c r="B124" s="126"/>
      <c r="C124" s="176"/>
      <c r="D124" s="17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row>
    <row r="125" spans="1:26" ht="15.75" hidden="1" customHeight="1">
      <c r="A125" s="126"/>
      <c r="B125" s="126"/>
      <c r="C125" s="176"/>
      <c r="D125" s="17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row>
    <row r="126" spans="1:26" ht="15.75" hidden="1" customHeight="1">
      <c r="A126" s="126"/>
      <c r="B126" s="126"/>
      <c r="C126" s="176"/>
      <c r="D126" s="17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row>
    <row r="127" spans="1:26" ht="15.75" hidden="1" customHeight="1">
      <c r="A127" s="126"/>
      <c r="B127" s="126"/>
      <c r="C127" s="176"/>
      <c r="D127" s="17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row>
    <row r="128" spans="1:26" ht="15.75" hidden="1" customHeight="1">
      <c r="A128" s="126"/>
      <c r="B128" s="126"/>
      <c r="C128" s="176"/>
      <c r="D128" s="17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row>
    <row r="129" spans="1:26" ht="15.75" hidden="1" customHeight="1">
      <c r="A129" s="126"/>
      <c r="B129" s="126"/>
      <c r="C129" s="176"/>
      <c r="D129" s="17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row>
    <row r="130" spans="1:26" ht="15.75" hidden="1" customHeight="1">
      <c r="A130" s="126"/>
      <c r="B130" s="126"/>
      <c r="C130" s="176"/>
      <c r="D130" s="17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row>
    <row r="131" spans="1:26" ht="15.75" hidden="1" customHeight="1">
      <c r="A131" s="126"/>
      <c r="B131" s="126"/>
      <c r="C131" s="176"/>
      <c r="D131" s="17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row>
    <row r="132" spans="1:26" ht="15.75" hidden="1" customHeight="1">
      <c r="A132" s="126"/>
      <c r="B132" s="126"/>
      <c r="C132" s="176"/>
      <c r="D132" s="17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row>
    <row r="133" spans="1:26" ht="15.75" hidden="1" customHeight="1">
      <c r="A133" s="126"/>
      <c r="B133" s="126"/>
      <c r="C133" s="176"/>
      <c r="D133" s="17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row>
    <row r="134" spans="1:26" ht="15.75" hidden="1" customHeight="1">
      <c r="A134" s="126"/>
      <c r="B134" s="126"/>
      <c r="C134" s="176"/>
      <c r="D134" s="176"/>
      <c r="E134" s="126"/>
      <c r="F134" s="126"/>
      <c r="G134" s="126"/>
      <c r="H134" s="126"/>
      <c r="I134" s="126"/>
      <c r="J134" s="126"/>
      <c r="K134" s="126"/>
      <c r="L134" s="126"/>
      <c r="M134" s="126"/>
      <c r="N134" s="126"/>
      <c r="O134" s="126"/>
      <c r="P134" s="126"/>
      <c r="Q134" s="126"/>
      <c r="R134" s="126"/>
      <c r="S134" s="126"/>
      <c r="T134" s="126"/>
      <c r="U134" s="126"/>
      <c r="V134" s="126"/>
      <c r="W134" s="126"/>
      <c r="X134" s="126"/>
      <c r="Y134" s="126"/>
      <c r="Z134" s="126"/>
    </row>
    <row r="135" spans="1:26" ht="15.75" hidden="1" customHeight="1">
      <c r="A135" s="126"/>
      <c r="B135" s="126"/>
      <c r="C135" s="176"/>
      <c r="D135" s="17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row>
    <row r="136" spans="1:26" ht="15.75" hidden="1" customHeight="1">
      <c r="A136" s="126"/>
      <c r="B136" s="126"/>
      <c r="C136" s="176"/>
      <c r="D136" s="17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row>
    <row r="137" spans="1:26" ht="15.75" hidden="1" customHeight="1">
      <c r="A137" s="126"/>
      <c r="B137" s="126"/>
      <c r="C137" s="176"/>
      <c r="D137" s="17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row>
    <row r="138" spans="1:26" ht="15.75" hidden="1" customHeight="1">
      <c r="A138" s="126"/>
      <c r="B138" s="126"/>
      <c r="C138" s="176"/>
      <c r="D138" s="17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row>
    <row r="139" spans="1:26" ht="15.75" hidden="1" customHeight="1">
      <c r="A139" s="126"/>
      <c r="B139" s="126"/>
      <c r="C139" s="176"/>
      <c r="D139" s="17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row>
    <row r="140" spans="1:26" ht="15.75" customHeight="1">
      <c r="A140" s="126"/>
      <c r="B140" s="126"/>
      <c r="C140" s="176"/>
      <c r="D140" s="17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row>
    <row r="141" spans="1:26" ht="15.75" customHeight="1">
      <c r="A141" s="126"/>
      <c r="B141" s="126"/>
      <c r="C141" s="176"/>
      <c r="D141" s="17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row>
    <row r="142" spans="1:26" ht="15.75" customHeight="1">
      <c r="A142" s="126"/>
      <c r="B142" s="126"/>
      <c r="C142" s="176"/>
      <c r="D142" s="17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row>
    <row r="143" spans="1:26" ht="15.75" customHeight="1">
      <c r="A143" s="126"/>
      <c r="B143" s="126"/>
      <c r="C143" s="176"/>
      <c r="D143" s="17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row>
    <row r="144" spans="1:26" ht="15.75" customHeight="1">
      <c r="A144" s="126"/>
      <c r="B144" s="126"/>
      <c r="C144" s="176"/>
      <c r="D144" s="17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row>
    <row r="145" spans="1:26" ht="15.75" customHeight="1">
      <c r="A145" s="126"/>
      <c r="B145" s="126"/>
      <c r="C145" s="176"/>
      <c r="D145" s="17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row>
    <row r="146" spans="1:26" ht="15.75" customHeight="1">
      <c r="A146" s="126"/>
      <c r="B146" s="126"/>
      <c r="C146" s="176"/>
      <c r="D146" s="17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row>
    <row r="147" spans="1:26" ht="15.75" customHeight="1">
      <c r="A147" s="126"/>
      <c r="B147" s="126"/>
      <c r="C147" s="176"/>
      <c r="D147" s="17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row>
    <row r="148" spans="1:26" ht="15.75" customHeight="1">
      <c r="A148" s="126"/>
      <c r="B148" s="126"/>
      <c r="C148" s="176"/>
      <c r="D148" s="176"/>
      <c r="E148" s="126"/>
      <c r="F148" s="126"/>
      <c r="G148" s="126"/>
      <c r="H148" s="126"/>
      <c r="I148" s="126"/>
      <c r="J148" s="126"/>
      <c r="K148" s="126"/>
      <c r="L148" s="126"/>
      <c r="M148" s="126"/>
      <c r="N148" s="126"/>
      <c r="O148" s="126"/>
      <c r="P148" s="126"/>
      <c r="Q148" s="126"/>
      <c r="R148" s="126"/>
      <c r="S148" s="126"/>
      <c r="T148" s="126"/>
      <c r="U148" s="126"/>
      <c r="V148" s="126"/>
      <c r="W148" s="126"/>
      <c r="X148" s="126"/>
      <c r="Y148" s="126"/>
      <c r="Z148" s="126"/>
    </row>
    <row r="149" spans="1:26" ht="15.75" customHeight="1">
      <c r="A149" s="126"/>
      <c r="B149" s="126"/>
      <c r="C149" s="176"/>
      <c r="D149" s="17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row>
    <row r="150" spans="1:26" ht="15.75" customHeight="1">
      <c r="A150" s="126"/>
      <c r="B150" s="126"/>
      <c r="C150" s="176"/>
      <c r="D150" s="176"/>
      <c r="E150" s="126"/>
      <c r="F150" s="126"/>
      <c r="G150" s="126"/>
      <c r="H150" s="126"/>
      <c r="I150" s="126"/>
      <c r="J150" s="126"/>
      <c r="K150" s="126"/>
      <c r="L150" s="126"/>
      <c r="M150" s="126"/>
      <c r="N150" s="126"/>
      <c r="O150" s="126"/>
      <c r="P150" s="126"/>
      <c r="Q150" s="126"/>
      <c r="R150" s="126"/>
      <c r="S150" s="126"/>
      <c r="T150" s="126"/>
      <c r="U150" s="126"/>
      <c r="V150" s="126"/>
      <c r="W150" s="126"/>
      <c r="X150" s="126"/>
      <c r="Y150" s="126"/>
      <c r="Z150" s="126"/>
    </row>
    <row r="151" spans="1:26" ht="15.75" customHeight="1">
      <c r="A151" s="126"/>
      <c r="B151" s="126"/>
      <c r="C151" s="176"/>
      <c r="D151" s="17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row>
    <row r="152" spans="1:26" ht="15.75" customHeight="1">
      <c r="A152" s="126"/>
      <c r="B152" s="126"/>
      <c r="C152" s="176"/>
      <c r="D152" s="176"/>
      <c r="E152" s="126"/>
      <c r="F152" s="126"/>
      <c r="G152" s="126"/>
      <c r="H152" s="126"/>
      <c r="I152" s="126"/>
      <c r="J152" s="126"/>
      <c r="K152" s="126"/>
      <c r="L152" s="126"/>
      <c r="M152" s="126"/>
      <c r="N152" s="126"/>
      <c r="O152" s="126"/>
      <c r="P152" s="126"/>
      <c r="Q152" s="126"/>
      <c r="R152" s="126"/>
      <c r="S152" s="126"/>
      <c r="T152" s="126"/>
      <c r="U152" s="126"/>
      <c r="V152" s="126"/>
      <c r="W152" s="126"/>
      <c r="X152" s="126"/>
      <c r="Y152" s="126"/>
      <c r="Z152" s="126"/>
    </row>
    <row r="153" spans="1:26" ht="15.75" customHeight="1">
      <c r="A153" s="126"/>
      <c r="B153" s="126"/>
      <c r="C153" s="176"/>
      <c r="D153" s="176"/>
      <c r="E153" s="126"/>
      <c r="F153" s="126"/>
      <c r="G153" s="126"/>
      <c r="H153" s="126"/>
      <c r="I153" s="126"/>
      <c r="J153" s="126"/>
      <c r="K153" s="126"/>
      <c r="L153" s="126"/>
      <c r="M153" s="126"/>
      <c r="N153" s="126"/>
      <c r="O153" s="126"/>
      <c r="P153" s="126"/>
      <c r="Q153" s="126"/>
      <c r="R153" s="126"/>
      <c r="S153" s="126"/>
      <c r="T153" s="126"/>
      <c r="U153" s="126"/>
      <c r="V153" s="126"/>
      <c r="W153" s="126"/>
      <c r="X153" s="126"/>
      <c r="Y153" s="126"/>
      <c r="Z153" s="126"/>
    </row>
    <row r="154" spans="1:26" ht="15.75" customHeight="1">
      <c r="A154" s="126"/>
      <c r="B154" s="126"/>
      <c r="C154" s="176"/>
      <c r="D154" s="176"/>
      <c r="E154" s="126"/>
      <c r="F154" s="126"/>
      <c r="G154" s="126"/>
      <c r="H154" s="126"/>
      <c r="I154" s="126"/>
      <c r="J154" s="126"/>
      <c r="K154" s="126"/>
      <c r="L154" s="126"/>
      <c r="M154" s="126"/>
      <c r="N154" s="126"/>
      <c r="O154" s="126"/>
      <c r="P154" s="126"/>
      <c r="Q154" s="126"/>
      <c r="R154" s="126"/>
      <c r="S154" s="126"/>
      <c r="T154" s="126"/>
      <c r="U154" s="126"/>
      <c r="V154" s="126"/>
      <c r="W154" s="126"/>
      <c r="X154" s="126"/>
      <c r="Y154" s="126"/>
      <c r="Z154" s="126"/>
    </row>
    <row r="155" spans="1:26" ht="15.75" customHeight="1">
      <c r="A155" s="126"/>
      <c r="B155" s="126"/>
      <c r="C155" s="176"/>
      <c r="D155" s="17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row>
    <row r="156" spans="1:26" ht="15.75" customHeight="1">
      <c r="A156" s="126"/>
      <c r="B156" s="126"/>
      <c r="C156" s="176"/>
      <c r="D156" s="17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row>
    <row r="157" spans="1:26" ht="15.75" customHeight="1">
      <c r="A157" s="126"/>
      <c r="B157" s="126"/>
      <c r="C157" s="176"/>
      <c r="D157" s="17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row>
    <row r="158" spans="1:26" ht="15.75" customHeight="1">
      <c r="A158" s="126"/>
      <c r="B158" s="126"/>
      <c r="C158" s="176"/>
      <c r="D158" s="176"/>
      <c r="E158" s="126"/>
      <c r="F158" s="126"/>
      <c r="G158" s="126"/>
      <c r="H158" s="126"/>
      <c r="I158" s="126"/>
      <c r="J158" s="126"/>
      <c r="K158" s="126"/>
      <c r="L158" s="126"/>
      <c r="M158" s="126"/>
      <c r="N158" s="126"/>
      <c r="O158" s="126"/>
      <c r="P158" s="126"/>
      <c r="Q158" s="126"/>
      <c r="R158" s="126"/>
      <c r="S158" s="126"/>
      <c r="T158" s="126"/>
      <c r="U158" s="126"/>
      <c r="V158" s="126"/>
      <c r="W158" s="126"/>
      <c r="X158" s="126"/>
      <c r="Y158" s="126"/>
      <c r="Z158" s="126"/>
    </row>
    <row r="159" spans="1:26" ht="15.75" customHeight="1">
      <c r="A159" s="126"/>
      <c r="B159" s="126"/>
      <c r="C159" s="176"/>
      <c r="D159" s="17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row>
    <row r="160" spans="1:26" ht="15.75" customHeight="1">
      <c r="A160" s="126"/>
      <c r="B160" s="126"/>
      <c r="C160" s="176"/>
      <c r="D160" s="176"/>
      <c r="E160" s="126"/>
      <c r="F160" s="126"/>
      <c r="G160" s="126"/>
      <c r="H160" s="126"/>
      <c r="I160" s="126"/>
      <c r="J160" s="126"/>
      <c r="K160" s="126"/>
      <c r="L160" s="126"/>
      <c r="M160" s="126"/>
      <c r="N160" s="126"/>
      <c r="O160" s="126"/>
      <c r="P160" s="126"/>
      <c r="Q160" s="126"/>
      <c r="R160" s="126"/>
      <c r="S160" s="126"/>
      <c r="T160" s="126"/>
      <c r="U160" s="126"/>
      <c r="V160" s="126"/>
      <c r="W160" s="126"/>
      <c r="X160" s="126"/>
      <c r="Y160" s="126"/>
      <c r="Z160" s="126"/>
    </row>
    <row r="161" spans="1:26" ht="15.75" customHeight="1">
      <c r="A161" s="126"/>
      <c r="B161" s="126"/>
      <c r="C161" s="176"/>
      <c r="D161" s="17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row>
    <row r="162" spans="1:26" ht="15.75" customHeight="1">
      <c r="A162" s="126"/>
      <c r="B162" s="126"/>
      <c r="C162" s="176"/>
      <c r="D162" s="17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row>
    <row r="163" spans="1:26" ht="15.75" customHeight="1">
      <c r="A163" s="126"/>
      <c r="B163" s="126"/>
      <c r="C163" s="176"/>
      <c r="D163" s="17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row>
    <row r="164" spans="1:26" ht="15.75" customHeight="1">
      <c r="A164" s="126"/>
      <c r="B164" s="126"/>
      <c r="C164" s="176"/>
      <c r="D164" s="17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row>
    <row r="165" spans="1:26" ht="15.75" customHeight="1">
      <c r="A165" s="126"/>
      <c r="B165" s="126"/>
      <c r="C165" s="176"/>
      <c r="D165" s="17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row>
    <row r="166" spans="1:26" ht="15.75" customHeight="1">
      <c r="A166" s="126"/>
      <c r="B166" s="126"/>
      <c r="C166" s="176"/>
      <c r="D166" s="17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6"/>
    </row>
    <row r="167" spans="1:26" ht="15.75" customHeight="1">
      <c r="A167" s="126"/>
      <c r="B167" s="126"/>
      <c r="C167" s="176"/>
      <c r="D167" s="17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row>
    <row r="168" spans="1:26" ht="15.75" customHeight="1">
      <c r="A168" s="126"/>
      <c r="B168" s="126"/>
      <c r="C168" s="176"/>
      <c r="D168" s="17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row>
    <row r="169" spans="1:26" ht="15.75" customHeight="1">
      <c r="A169" s="126"/>
      <c r="B169" s="126"/>
      <c r="C169" s="176"/>
      <c r="D169" s="17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row>
    <row r="170" spans="1:26" ht="15.75" customHeight="1">
      <c r="A170" s="126"/>
      <c r="B170" s="126"/>
      <c r="C170" s="176"/>
      <c r="D170" s="17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row>
    <row r="171" spans="1:26" ht="15.75" customHeight="1">
      <c r="A171" s="126"/>
      <c r="B171" s="126"/>
      <c r="C171" s="176"/>
      <c r="D171" s="17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row>
    <row r="172" spans="1:26" ht="15.75" customHeight="1">
      <c r="A172" s="126"/>
      <c r="B172" s="126"/>
      <c r="C172" s="176"/>
      <c r="D172" s="17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row>
    <row r="173" spans="1:26" ht="15.75" customHeight="1">
      <c r="A173" s="126"/>
      <c r="B173" s="126"/>
      <c r="C173" s="176"/>
      <c r="D173" s="17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row>
    <row r="174" spans="1:26" ht="15.75" customHeight="1">
      <c r="A174" s="126"/>
      <c r="B174" s="126"/>
      <c r="C174" s="176"/>
      <c r="D174" s="17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row>
    <row r="175" spans="1:26" ht="15.75" customHeight="1">
      <c r="A175" s="126"/>
      <c r="B175" s="126"/>
      <c r="C175" s="176"/>
      <c r="D175" s="176"/>
      <c r="E175" s="126"/>
      <c r="F175" s="126"/>
      <c r="G175" s="126"/>
      <c r="H175" s="126"/>
      <c r="I175" s="126"/>
      <c r="J175" s="126"/>
      <c r="K175" s="126"/>
      <c r="L175" s="126"/>
      <c r="M175" s="126"/>
      <c r="N175" s="126"/>
      <c r="O175" s="126"/>
      <c r="P175" s="126"/>
      <c r="Q175" s="126"/>
      <c r="R175" s="126"/>
      <c r="S175" s="126"/>
      <c r="T175" s="126"/>
      <c r="U175" s="126"/>
      <c r="V175" s="126"/>
      <c r="W175" s="126"/>
      <c r="X175" s="126"/>
      <c r="Y175" s="126"/>
      <c r="Z175" s="126"/>
    </row>
    <row r="176" spans="1:26" ht="15.75" customHeight="1">
      <c r="A176" s="126"/>
      <c r="B176" s="126"/>
      <c r="C176" s="176"/>
      <c r="D176" s="176"/>
      <c r="E176" s="126"/>
      <c r="F176" s="126"/>
      <c r="G176" s="126"/>
      <c r="H176" s="126"/>
      <c r="I176" s="126"/>
      <c r="J176" s="126"/>
      <c r="K176" s="126"/>
      <c r="L176" s="126"/>
      <c r="M176" s="126"/>
      <c r="N176" s="126"/>
      <c r="O176" s="126"/>
      <c r="P176" s="126"/>
      <c r="Q176" s="126"/>
      <c r="R176" s="126"/>
      <c r="S176" s="126"/>
      <c r="T176" s="126"/>
      <c r="U176" s="126"/>
      <c r="V176" s="126"/>
      <c r="W176" s="126"/>
      <c r="X176" s="126"/>
      <c r="Y176" s="126"/>
      <c r="Z176" s="126"/>
    </row>
    <row r="177" spans="1:26" ht="15.75" customHeight="1">
      <c r="A177" s="126"/>
      <c r="B177" s="126"/>
      <c r="C177" s="176"/>
      <c r="D177" s="176"/>
      <c r="E177" s="126"/>
      <c r="F177" s="126"/>
      <c r="G177" s="126"/>
      <c r="H177" s="126"/>
      <c r="I177" s="126"/>
      <c r="J177" s="126"/>
      <c r="K177" s="126"/>
      <c r="L177" s="126"/>
      <c r="M177" s="126"/>
      <c r="N177" s="126"/>
      <c r="O177" s="126"/>
      <c r="P177" s="126"/>
      <c r="Q177" s="126"/>
      <c r="R177" s="126"/>
      <c r="S177" s="126"/>
      <c r="T177" s="126"/>
      <c r="U177" s="126"/>
      <c r="V177" s="126"/>
      <c r="W177" s="126"/>
      <c r="X177" s="126"/>
      <c r="Y177" s="126"/>
      <c r="Z177" s="126"/>
    </row>
    <row r="178" spans="1:26" ht="15.75" customHeight="1">
      <c r="A178" s="126"/>
      <c r="B178" s="126"/>
      <c r="C178" s="176"/>
      <c r="D178" s="176"/>
      <c r="E178" s="126"/>
      <c r="F178" s="126"/>
      <c r="G178" s="126"/>
      <c r="H178" s="126"/>
      <c r="I178" s="126"/>
      <c r="J178" s="126"/>
      <c r="K178" s="126"/>
      <c r="L178" s="126"/>
      <c r="M178" s="126"/>
      <c r="N178" s="126"/>
      <c r="O178" s="126"/>
      <c r="P178" s="126"/>
      <c r="Q178" s="126"/>
      <c r="R178" s="126"/>
      <c r="S178" s="126"/>
      <c r="T178" s="126"/>
      <c r="U178" s="126"/>
      <c r="V178" s="126"/>
      <c r="W178" s="126"/>
      <c r="X178" s="126"/>
      <c r="Y178" s="126"/>
      <c r="Z178" s="126"/>
    </row>
    <row r="179" spans="1:26" ht="15.75" customHeight="1">
      <c r="A179" s="126"/>
      <c r="B179" s="126"/>
      <c r="C179" s="176"/>
      <c r="D179" s="17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row>
    <row r="180" spans="1:26" ht="15.75" customHeight="1">
      <c r="A180" s="126"/>
      <c r="B180" s="126"/>
      <c r="C180" s="176"/>
      <c r="D180" s="17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row>
    <row r="181" spans="1:26" ht="15.75" customHeight="1">
      <c r="A181" s="126"/>
      <c r="B181" s="126"/>
      <c r="C181" s="176"/>
      <c r="D181" s="17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row>
    <row r="182" spans="1:26" ht="15.75" customHeight="1">
      <c r="A182" s="126"/>
      <c r="B182" s="126"/>
      <c r="C182" s="176"/>
      <c r="D182" s="17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row>
    <row r="183" spans="1:26" ht="15.75" customHeight="1">
      <c r="A183" s="126"/>
      <c r="B183" s="126"/>
      <c r="C183" s="176"/>
      <c r="D183" s="176"/>
      <c r="E183" s="126"/>
      <c r="F183" s="126"/>
      <c r="G183" s="126"/>
      <c r="H183" s="126"/>
      <c r="I183" s="126"/>
      <c r="J183" s="126"/>
      <c r="K183" s="126"/>
      <c r="L183" s="126"/>
      <c r="M183" s="126"/>
      <c r="N183" s="126"/>
      <c r="O183" s="126"/>
      <c r="P183" s="126"/>
      <c r="Q183" s="126"/>
      <c r="R183" s="126"/>
      <c r="S183" s="126"/>
      <c r="T183" s="126"/>
      <c r="U183" s="126"/>
      <c r="V183" s="126"/>
      <c r="W183" s="126"/>
      <c r="X183" s="126"/>
      <c r="Y183" s="126"/>
      <c r="Z183" s="126"/>
    </row>
    <row r="184" spans="1:26" ht="15.75" customHeight="1">
      <c r="A184" s="126"/>
      <c r="B184" s="126"/>
      <c r="C184" s="176"/>
      <c r="D184" s="176"/>
      <c r="E184" s="126"/>
      <c r="F184" s="126"/>
      <c r="G184" s="126"/>
      <c r="H184" s="126"/>
      <c r="I184" s="126"/>
      <c r="J184" s="126"/>
      <c r="K184" s="126"/>
      <c r="L184" s="126"/>
      <c r="M184" s="126"/>
      <c r="N184" s="126"/>
      <c r="O184" s="126"/>
      <c r="P184" s="126"/>
      <c r="Q184" s="126"/>
      <c r="R184" s="126"/>
      <c r="S184" s="126"/>
      <c r="T184" s="126"/>
      <c r="U184" s="126"/>
      <c r="V184" s="126"/>
      <c r="W184" s="126"/>
      <c r="X184" s="126"/>
      <c r="Y184" s="126"/>
      <c r="Z184" s="126"/>
    </row>
    <row r="185" spans="1:26" ht="15.75" customHeight="1">
      <c r="A185" s="126"/>
      <c r="B185" s="126"/>
      <c r="C185" s="176"/>
      <c r="D185" s="17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row>
    <row r="186" spans="1:26" ht="15.75" customHeight="1">
      <c r="A186" s="126"/>
      <c r="B186" s="126"/>
      <c r="C186" s="176"/>
      <c r="D186" s="17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row>
    <row r="187" spans="1:26" ht="15.75" customHeight="1">
      <c r="A187" s="126"/>
      <c r="B187" s="126"/>
      <c r="C187" s="176"/>
      <c r="D187" s="17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row>
    <row r="188" spans="1:26" ht="15.75" customHeight="1">
      <c r="A188" s="126"/>
      <c r="B188" s="126"/>
      <c r="C188" s="176"/>
      <c r="D188" s="17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row>
    <row r="189" spans="1:26" ht="15.75" customHeight="1">
      <c r="A189" s="126"/>
      <c r="B189" s="126"/>
      <c r="C189" s="176"/>
      <c r="D189" s="176"/>
      <c r="E189" s="126"/>
      <c r="F189" s="126"/>
      <c r="G189" s="126"/>
      <c r="H189" s="126"/>
      <c r="I189" s="126"/>
      <c r="J189" s="126"/>
      <c r="K189" s="126"/>
      <c r="L189" s="126"/>
      <c r="M189" s="126"/>
      <c r="N189" s="126"/>
      <c r="O189" s="126"/>
      <c r="P189" s="126"/>
      <c r="Q189" s="126"/>
      <c r="R189" s="126"/>
      <c r="S189" s="126"/>
      <c r="T189" s="126"/>
      <c r="U189" s="126"/>
      <c r="V189" s="126"/>
      <c r="W189" s="126"/>
      <c r="X189" s="126"/>
      <c r="Y189" s="126"/>
      <c r="Z189" s="126"/>
    </row>
    <row r="190" spans="1:26" ht="15.75" customHeight="1">
      <c r="A190" s="126"/>
      <c r="B190" s="126"/>
      <c r="C190" s="176"/>
      <c r="D190" s="176"/>
      <c r="E190" s="126"/>
      <c r="F190" s="126"/>
      <c r="G190" s="126"/>
      <c r="H190" s="126"/>
      <c r="I190" s="126"/>
      <c r="J190" s="126"/>
      <c r="K190" s="126"/>
      <c r="L190" s="126"/>
      <c r="M190" s="126"/>
      <c r="N190" s="126"/>
      <c r="O190" s="126"/>
      <c r="P190" s="126"/>
      <c r="Q190" s="126"/>
      <c r="R190" s="126"/>
      <c r="S190" s="126"/>
      <c r="T190" s="126"/>
      <c r="U190" s="126"/>
      <c r="V190" s="126"/>
      <c r="W190" s="126"/>
      <c r="X190" s="126"/>
      <c r="Y190" s="126"/>
      <c r="Z190" s="126"/>
    </row>
    <row r="191" spans="1:26" ht="15.75" customHeight="1">
      <c r="A191" s="126"/>
      <c r="B191" s="126"/>
      <c r="C191" s="176"/>
      <c r="D191" s="17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row>
    <row r="192" spans="1:26" ht="15.75" customHeight="1">
      <c r="A192" s="126"/>
      <c r="B192" s="126"/>
      <c r="C192" s="176"/>
      <c r="D192" s="176"/>
      <c r="E192" s="126"/>
      <c r="F192" s="126"/>
      <c r="G192" s="126"/>
      <c r="H192" s="126"/>
      <c r="I192" s="126"/>
      <c r="J192" s="126"/>
      <c r="K192" s="126"/>
      <c r="L192" s="126"/>
      <c r="M192" s="126"/>
      <c r="N192" s="126"/>
      <c r="O192" s="126"/>
      <c r="P192" s="126"/>
      <c r="Q192" s="126"/>
      <c r="R192" s="126"/>
      <c r="S192" s="126"/>
      <c r="T192" s="126"/>
      <c r="U192" s="126"/>
      <c r="V192" s="126"/>
      <c r="W192" s="126"/>
      <c r="X192" s="126"/>
      <c r="Y192" s="126"/>
      <c r="Z192" s="126"/>
    </row>
    <row r="193" spans="1:26" ht="15.75" customHeight="1">
      <c r="A193" s="126"/>
      <c r="B193" s="126"/>
      <c r="C193" s="176"/>
      <c r="D193" s="17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row>
    <row r="194" spans="1:26" ht="15.75" customHeight="1">
      <c r="A194" s="126"/>
      <c r="B194" s="126"/>
      <c r="C194" s="176"/>
      <c r="D194" s="17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row>
    <row r="195" spans="1:26" ht="15.75" customHeight="1">
      <c r="A195" s="126"/>
      <c r="B195" s="126"/>
      <c r="C195" s="176"/>
      <c r="D195" s="17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row>
    <row r="196" spans="1:26" ht="15.75" customHeight="1">
      <c r="A196" s="126"/>
      <c r="B196" s="126"/>
      <c r="C196" s="176"/>
      <c r="D196" s="17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row>
    <row r="197" spans="1:26" ht="15.75" customHeight="1">
      <c r="A197" s="126"/>
      <c r="B197" s="126"/>
      <c r="C197" s="176"/>
      <c r="D197" s="17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row>
    <row r="198" spans="1:26" ht="15.75" customHeight="1">
      <c r="A198" s="126"/>
      <c r="B198" s="126"/>
      <c r="C198" s="176"/>
      <c r="D198" s="176"/>
      <c r="E198" s="126"/>
      <c r="F198" s="126"/>
      <c r="G198" s="126"/>
      <c r="H198" s="126"/>
      <c r="I198" s="126"/>
      <c r="J198" s="126"/>
      <c r="K198" s="126"/>
      <c r="L198" s="126"/>
      <c r="M198" s="126"/>
      <c r="N198" s="126"/>
      <c r="O198" s="126"/>
      <c r="P198" s="126"/>
      <c r="Q198" s="126"/>
      <c r="R198" s="126"/>
      <c r="S198" s="126"/>
      <c r="T198" s="126"/>
      <c r="U198" s="126"/>
      <c r="V198" s="126"/>
      <c r="W198" s="126"/>
      <c r="X198" s="126"/>
      <c r="Y198" s="126"/>
      <c r="Z198" s="126"/>
    </row>
    <row r="199" spans="1:26" ht="15.75" customHeight="1">
      <c r="A199" s="126"/>
      <c r="B199" s="126"/>
      <c r="C199" s="176"/>
      <c r="D199" s="176"/>
      <c r="E199" s="126"/>
      <c r="F199" s="126"/>
      <c r="G199" s="126"/>
      <c r="H199" s="126"/>
      <c r="I199" s="126"/>
      <c r="J199" s="126"/>
      <c r="K199" s="126"/>
      <c r="L199" s="126"/>
      <c r="M199" s="126"/>
      <c r="N199" s="126"/>
      <c r="O199" s="126"/>
      <c r="P199" s="126"/>
      <c r="Q199" s="126"/>
      <c r="R199" s="126"/>
      <c r="S199" s="126"/>
      <c r="T199" s="126"/>
      <c r="U199" s="126"/>
      <c r="V199" s="126"/>
      <c r="W199" s="126"/>
      <c r="X199" s="126"/>
      <c r="Y199" s="126"/>
      <c r="Z199" s="126"/>
    </row>
    <row r="200" spans="1:26" ht="15.75" customHeight="1">
      <c r="A200" s="126"/>
      <c r="B200" s="126"/>
      <c r="C200" s="176"/>
      <c r="D200" s="176"/>
      <c r="E200" s="126"/>
      <c r="F200" s="126"/>
      <c r="G200" s="126"/>
      <c r="H200" s="126"/>
      <c r="I200" s="126"/>
      <c r="J200" s="126"/>
      <c r="K200" s="126"/>
      <c r="L200" s="126"/>
      <c r="M200" s="126"/>
      <c r="N200" s="126"/>
      <c r="O200" s="126"/>
      <c r="P200" s="126"/>
      <c r="Q200" s="126"/>
      <c r="R200" s="126"/>
      <c r="S200" s="126"/>
      <c r="T200" s="126"/>
      <c r="U200" s="126"/>
      <c r="V200" s="126"/>
      <c r="W200" s="126"/>
      <c r="X200" s="126"/>
      <c r="Y200" s="126"/>
      <c r="Z200" s="126"/>
    </row>
    <row r="201" spans="1:26" ht="15.75" customHeight="1">
      <c r="A201" s="126"/>
      <c r="B201" s="126"/>
      <c r="C201" s="176"/>
      <c r="D201" s="176"/>
      <c r="E201" s="126"/>
      <c r="F201" s="126"/>
      <c r="G201" s="126"/>
      <c r="H201" s="126"/>
      <c r="I201" s="126"/>
      <c r="J201" s="126"/>
      <c r="K201" s="126"/>
      <c r="L201" s="126"/>
      <c r="M201" s="126"/>
      <c r="N201" s="126"/>
      <c r="O201" s="126"/>
      <c r="P201" s="126"/>
      <c r="Q201" s="126"/>
      <c r="R201" s="126"/>
      <c r="S201" s="126"/>
      <c r="T201" s="126"/>
      <c r="U201" s="126"/>
      <c r="V201" s="126"/>
      <c r="W201" s="126"/>
      <c r="X201" s="126"/>
      <c r="Y201" s="126"/>
      <c r="Z201" s="126"/>
    </row>
    <row r="202" spans="1:26" ht="15.75" customHeight="1">
      <c r="A202" s="126"/>
      <c r="B202" s="126"/>
      <c r="C202" s="176"/>
      <c r="D202" s="17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row>
    <row r="203" spans="1:26" ht="15.75" customHeight="1">
      <c r="A203" s="126"/>
      <c r="B203" s="126"/>
      <c r="C203" s="176"/>
      <c r="D203" s="17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row>
    <row r="204" spans="1:26" ht="15.75" customHeight="1">
      <c r="A204" s="126"/>
      <c r="B204" s="126"/>
      <c r="C204" s="176"/>
      <c r="D204" s="17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row>
    <row r="205" spans="1:26" ht="15.75" customHeight="1">
      <c r="A205" s="126"/>
      <c r="B205" s="126"/>
      <c r="C205" s="176"/>
      <c r="D205" s="17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row>
    <row r="206" spans="1:26" ht="15.75" customHeight="1">
      <c r="A206" s="126"/>
      <c r="B206" s="126"/>
      <c r="C206" s="176"/>
      <c r="D206" s="17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row>
    <row r="207" spans="1:26" ht="15.75" customHeight="1">
      <c r="A207" s="126"/>
      <c r="B207" s="126"/>
      <c r="C207" s="176"/>
      <c r="D207" s="176"/>
      <c r="E207" s="126"/>
      <c r="F207" s="126"/>
      <c r="G207" s="126"/>
      <c r="H207" s="126"/>
      <c r="I207" s="126"/>
      <c r="J207" s="126"/>
      <c r="K207" s="126"/>
      <c r="L207" s="126"/>
      <c r="M207" s="126"/>
      <c r="N207" s="126"/>
      <c r="O207" s="126"/>
      <c r="P207" s="126"/>
      <c r="Q207" s="126"/>
      <c r="R207" s="126"/>
      <c r="S207" s="126"/>
      <c r="T207" s="126"/>
      <c r="U207" s="126"/>
      <c r="V207" s="126"/>
      <c r="W207" s="126"/>
      <c r="X207" s="126"/>
      <c r="Y207" s="126"/>
      <c r="Z207" s="126"/>
    </row>
    <row r="208" spans="1:26" ht="15.75" customHeight="1">
      <c r="A208" s="126"/>
      <c r="B208" s="126"/>
      <c r="C208" s="176"/>
      <c r="D208" s="176"/>
      <c r="E208" s="126"/>
      <c r="F208" s="126"/>
      <c r="G208" s="126"/>
      <c r="H208" s="126"/>
      <c r="I208" s="126"/>
      <c r="J208" s="126"/>
      <c r="K208" s="126"/>
      <c r="L208" s="126"/>
      <c r="M208" s="126"/>
      <c r="N208" s="126"/>
      <c r="O208" s="126"/>
      <c r="P208" s="126"/>
      <c r="Q208" s="126"/>
      <c r="R208" s="126"/>
      <c r="S208" s="126"/>
      <c r="T208" s="126"/>
      <c r="U208" s="126"/>
      <c r="V208" s="126"/>
      <c r="W208" s="126"/>
      <c r="X208" s="126"/>
      <c r="Y208" s="126"/>
      <c r="Z208" s="126"/>
    </row>
    <row r="209" spans="1:26" ht="15.75" customHeight="1">
      <c r="A209" s="126"/>
      <c r="B209" s="126"/>
      <c r="C209" s="176"/>
      <c r="D209" s="176"/>
      <c r="E209" s="126"/>
      <c r="F209" s="126"/>
      <c r="G209" s="126"/>
      <c r="H209" s="126"/>
      <c r="I209" s="126"/>
      <c r="J209" s="126"/>
      <c r="K209" s="126"/>
      <c r="L209" s="126"/>
      <c r="M209" s="126"/>
      <c r="N209" s="126"/>
      <c r="O209" s="126"/>
      <c r="P209" s="126"/>
      <c r="Q209" s="126"/>
      <c r="R209" s="126"/>
      <c r="S209" s="126"/>
      <c r="T209" s="126"/>
      <c r="U209" s="126"/>
      <c r="V209" s="126"/>
      <c r="W209" s="126"/>
      <c r="X209" s="126"/>
      <c r="Y209" s="126"/>
      <c r="Z209" s="126"/>
    </row>
    <row r="210" spans="1:26" ht="15.75" customHeight="1">
      <c r="A210" s="126"/>
      <c r="B210" s="126"/>
      <c r="C210" s="176"/>
      <c r="D210" s="176"/>
      <c r="E210" s="126"/>
      <c r="F210" s="126"/>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5.75" customHeight="1">
      <c r="A211" s="126"/>
      <c r="B211" s="126"/>
      <c r="C211" s="176"/>
      <c r="D211" s="17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5.75" customHeight="1">
      <c r="A212" s="126"/>
      <c r="B212" s="126"/>
      <c r="C212" s="176"/>
      <c r="D212" s="17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5.75" customHeight="1">
      <c r="A213" s="126"/>
      <c r="B213" s="126"/>
      <c r="C213" s="176"/>
      <c r="D213" s="176"/>
      <c r="E213" s="126"/>
      <c r="F213" s="126"/>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5.75" customHeight="1">
      <c r="A214" s="126"/>
      <c r="B214" s="126"/>
      <c r="C214" s="176"/>
      <c r="D214" s="176"/>
      <c r="E214" s="126"/>
      <c r="F214" s="126"/>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5.75" customHeight="1">
      <c r="A215" s="126"/>
      <c r="B215" s="126"/>
      <c r="C215" s="176"/>
      <c r="D215" s="176"/>
      <c r="E215" s="126"/>
      <c r="F215" s="126"/>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5.75" customHeight="1">
      <c r="A216" s="126"/>
      <c r="B216" s="126"/>
      <c r="C216" s="176"/>
      <c r="D216" s="17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5.75" customHeight="1">
      <c r="A217" s="126"/>
      <c r="B217" s="126"/>
      <c r="C217" s="176"/>
      <c r="D217" s="176"/>
      <c r="E217" s="126"/>
      <c r="F217" s="126"/>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5.75" customHeight="1">
      <c r="A218" s="126"/>
      <c r="B218" s="126"/>
      <c r="C218" s="176"/>
      <c r="D218" s="17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5.75" customHeight="1">
      <c r="A219" s="126"/>
      <c r="B219" s="126"/>
      <c r="C219" s="176"/>
      <c r="D219" s="176"/>
      <c r="E219" s="126"/>
      <c r="F219" s="126"/>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5.75" customHeight="1">
      <c r="A220" s="126"/>
      <c r="B220" s="126"/>
      <c r="C220" s="176"/>
      <c r="D220" s="17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5.75" customHeight="1">
      <c r="A221" s="126"/>
      <c r="B221" s="126"/>
      <c r="C221" s="176"/>
      <c r="D221" s="17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row>
    <row r="222" spans="1:26" ht="15.75" customHeight="1">
      <c r="A222" s="126"/>
      <c r="B222" s="126"/>
      <c r="C222" s="176"/>
      <c r="D222" s="176"/>
      <c r="E222" s="126"/>
      <c r="F222" s="126"/>
      <c r="G222" s="126"/>
      <c r="H222" s="126"/>
      <c r="I222" s="126"/>
      <c r="J222" s="126"/>
      <c r="K222" s="126"/>
      <c r="L222" s="126"/>
      <c r="M222" s="126"/>
      <c r="N222" s="126"/>
      <c r="O222" s="126"/>
      <c r="P222" s="126"/>
      <c r="Q222" s="126"/>
      <c r="R222" s="126"/>
      <c r="S222" s="126"/>
      <c r="T222" s="126"/>
      <c r="U222" s="126"/>
      <c r="V222" s="126"/>
      <c r="W222" s="126"/>
      <c r="X222" s="126"/>
      <c r="Y222" s="126"/>
      <c r="Z222" s="126"/>
    </row>
    <row r="223" spans="1:26" ht="15.75" customHeight="1">
      <c r="A223" s="126"/>
      <c r="B223" s="126"/>
      <c r="C223" s="176"/>
      <c r="D223" s="176"/>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row>
    <row r="224" spans="1:26" ht="15.75" customHeight="1">
      <c r="A224" s="126"/>
      <c r="B224" s="126"/>
      <c r="C224" s="176"/>
      <c r="D224" s="176"/>
      <c r="E224" s="126"/>
      <c r="F224" s="126"/>
      <c r="G224" s="126"/>
      <c r="H224" s="126"/>
      <c r="I224" s="126"/>
      <c r="J224" s="126"/>
      <c r="K224" s="126"/>
      <c r="L224" s="126"/>
      <c r="M224" s="126"/>
      <c r="N224" s="126"/>
      <c r="O224" s="126"/>
      <c r="P224" s="126"/>
      <c r="Q224" s="126"/>
      <c r="R224" s="126"/>
      <c r="S224" s="126"/>
      <c r="T224" s="126"/>
      <c r="U224" s="126"/>
      <c r="V224" s="126"/>
      <c r="W224" s="126"/>
      <c r="X224" s="126"/>
      <c r="Y224" s="126"/>
      <c r="Z224" s="126"/>
    </row>
    <row r="225" spans="1:26" ht="15.75" customHeight="1">
      <c r="A225" s="126"/>
      <c r="B225" s="126"/>
      <c r="C225" s="176"/>
      <c r="D225" s="17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row>
    <row r="226" spans="1:26" ht="15.75" customHeight="1">
      <c r="A226" s="126"/>
      <c r="B226" s="126"/>
      <c r="C226" s="176"/>
      <c r="D226" s="17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row>
    <row r="227" spans="1:26" ht="15.75" customHeight="1">
      <c r="A227" s="126"/>
      <c r="B227" s="126"/>
      <c r="C227" s="176"/>
      <c r="D227" s="17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row>
    <row r="228" spans="1:26" ht="15.75" customHeight="1">
      <c r="A228" s="126"/>
      <c r="B228" s="126"/>
      <c r="C228" s="176"/>
      <c r="D228" s="17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row>
    <row r="229" spans="1:26" ht="15.75" customHeight="1">
      <c r="A229" s="126"/>
      <c r="B229" s="126"/>
      <c r="C229" s="176"/>
      <c r="D229" s="17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row>
    <row r="230" spans="1:26" ht="15.75" customHeight="1">
      <c r="A230" s="126"/>
      <c r="B230" s="126"/>
      <c r="C230" s="176"/>
      <c r="D230" s="17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row>
    <row r="231" spans="1:26" ht="15.75" customHeight="1">
      <c r="A231" s="126"/>
      <c r="B231" s="126"/>
      <c r="C231" s="176"/>
      <c r="D231" s="176"/>
      <c r="E231" s="126"/>
      <c r="F231" s="126"/>
      <c r="G231" s="126"/>
      <c r="H231" s="126"/>
      <c r="I231" s="126"/>
      <c r="J231" s="126"/>
      <c r="K231" s="126"/>
      <c r="L231" s="126"/>
      <c r="M231" s="126"/>
      <c r="N231" s="126"/>
      <c r="O231" s="126"/>
      <c r="P231" s="126"/>
      <c r="Q231" s="126"/>
      <c r="R231" s="126"/>
      <c r="S231" s="126"/>
      <c r="T231" s="126"/>
      <c r="U231" s="126"/>
      <c r="V231" s="126"/>
      <c r="W231" s="126"/>
      <c r="X231" s="126"/>
      <c r="Y231" s="126"/>
      <c r="Z231" s="126"/>
    </row>
    <row r="232" spans="1:26" ht="15.75" customHeight="1">
      <c r="A232" s="126"/>
      <c r="B232" s="126"/>
      <c r="C232" s="176"/>
      <c r="D232" s="176"/>
      <c r="E232" s="126"/>
      <c r="F232" s="126"/>
      <c r="G232" s="126"/>
      <c r="H232" s="126"/>
      <c r="I232" s="126"/>
      <c r="J232" s="126"/>
      <c r="K232" s="126"/>
      <c r="L232" s="126"/>
      <c r="M232" s="126"/>
      <c r="N232" s="126"/>
      <c r="O232" s="126"/>
      <c r="P232" s="126"/>
      <c r="Q232" s="126"/>
      <c r="R232" s="126"/>
      <c r="S232" s="126"/>
      <c r="T232" s="126"/>
      <c r="U232" s="126"/>
      <c r="V232" s="126"/>
      <c r="W232" s="126"/>
      <c r="X232" s="126"/>
      <c r="Y232" s="126"/>
      <c r="Z232" s="126"/>
    </row>
    <row r="233" spans="1:26" ht="15.75" customHeight="1">
      <c r="A233" s="126"/>
      <c r="B233" s="126"/>
      <c r="C233" s="176"/>
      <c r="D233" s="176"/>
      <c r="E233" s="126"/>
      <c r="F233" s="126"/>
      <c r="G233" s="126"/>
      <c r="H233" s="126"/>
      <c r="I233" s="126"/>
      <c r="J233" s="126"/>
      <c r="K233" s="126"/>
      <c r="L233" s="126"/>
      <c r="M233" s="126"/>
      <c r="N233" s="126"/>
      <c r="O233" s="126"/>
      <c r="P233" s="126"/>
      <c r="Q233" s="126"/>
      <c r="R233" s="126"/>
      <c r="S233" s="126"/>
      <c r="T233" s="126"/>
      <c r="U233" s="126"/>
      <c r="V233" s="126"/>
      <c r="W233" s="126"/>
      <c r="X233" s="126"/>
      <c r="Y233" s="126"/>
      <c r="Z233" s="126"/>
    </row>
    <row r="234" spans="1:26" ht="15.75" customHeight="1">
      <c r="A234" s="126"/>
      <c r="B234" s="126"/>
      <c r="C234" s="176"/>
      <c r="D234" s="17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row>
    <row r="235" spans="1:26" ht="15.75" customHeight="1">
      <c r="A235" s="126"/>
      <c r="B235" s="126"/>
      <c r="C235" s="176"/>
      <c r="D235" s="17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row>
    <row r="236" spans="1:26" ht="15.75" customHeight="1">
      <c r="A236" s="126"/>
      <c r="B236" s="126"/>
      <c r="C236" s="176"/>
      <c r="D236" s="17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row>
    <row r="237" spans="1:26" ht="15.75" customHeight="1">
      <c r="A237" s="126"/>
      <c r="B237" s="126"/>
      <c r="C237" s="176"/>
      <c r="D237" s="17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row>
    <row r="238" spans="1:26" ht="15.75" customHeight="1">
      <c r="A238" s="126"/>
      <c r="B238" s="126"/>
      <c r="C238" s="176"/>
      <c r="D238" s="17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row>
    <row r="239" spans="1:26" ht="15.75" customHeight="1">
      <c r="A239" s="126"/>
      <c r="B239" s="126"/>
      <c r="C239" s="176"/>
      <c r="D239" s="17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row>
    <row r="240" spans="1:26" ht="15.75" customHeight="1">
      <c r="A240" s="126"/>
      <c r="B240" s="126"/>
      <c r="C240" s="176"/>
      <c r="D240" s="17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row>
    <row r="241" spans="1:26" ht="15.75" customHeight="1">
      <c r="A241" s="126"/>
      <c r="B241" s="126"/>
      <c r="C241" s="176"/>
      <c r="D241" s="176"/>
      <c r="E241" s="126"/>
      <c r="F241" s="126"/>
      <c r="G241" s="126"/>
      <c r="H241" s="126"/>
      <c r="I241" s="126"/>
      <c r="J241" s="126"/>
      <c r="K241" s="126"/>
      <c r="L241" s="126"/>
      <c r="M241" s="126"/>
      <c r="N241" s="126"/>
      <c r="O241" s="126"/>
      <c r="P241" s="126"/>
      <c r="Q241" s="126"/>
      <c r="R241" s="126"/>
      <c r="S241" s="126"/>
      <c r="T241" s="126"/>
      <c r="U241" s="126"/>
      <c r="V241" s="126"/>
      <c r="W241" s="126"/>
      <c r="X241" s="126"/>
      <c r="Y241" s="126"/>
      <c r="Z241" s="126"/>
    </row>
    <row r="242" spans="1:26" ht="15.75" customHeight="1">
      <c r="A242" s="126"/>
      <c r="B242" s="126"/>
      <c r="C242" s="176"/>
      <c r="D242" s="176"/>
      <c r="E242" s="126"/>
      <c r="F242" s="126"/>
      <c r="G242" s="126"/>
      <c r="H242" s="126"/>
      <c r="I242" s="126"/>
      <c r="J242" s="126"/>
      <c r="K242" s="126"/>
      <c r="L242" s="126"/>
      <c r="M242" s="126"/>
      <c r="N242" s="126"/>
      <c r="O242" s="126"/>
      <c r="P242" s="126"/>
      <c r="Q242" s="126"/>
      <c r="R242" s="126"/>
      <c r="S242" s="126"/>
      <c r="T242" s="126"/>
      <c r="U242" s="126"/>
      <c r="V242" s="126"/>
      <c r="W242" s="126"/>
      <c r="X242" s="126"/>
      <c r="Y242" s="126"/>
      <c r="Z242" s="126"/>
    </row>
    <row r="243" spans="1:26" ht="15.75" customHeight="1">
      <c r="A243" s="126"/>
      <c r="B243" s="126"/>
      <c r="C243" s="176"/>
      <c r="D243" s="17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6"/>
    </row>
    <row r="244" spans="1:26" ht="15.75" customHeight="1">
      <c r="A244" s="126"/>
      <c r="B244" s="126"/>
      <c r="C244" s="176"/>
      <c r="D244" s="17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6"/>
    </row>
    <row r="245" spans="1:26" ht="15.75" customHeight="1">
      <c r="A245" s="126"/>
      <c r="B245" s="126"/>
      <c r="C245" s="176"/>
      <c r="D245" s="176"/>
      <c r="E245" s="126"/>
      <c r="F245" s="126"/>
      <c r="G245" s="126"/>
      <c r="H245" s="126"/>
      <c r="I245" s="126"/>
      <c r="J245" s="126"/>
      <c r="K245" s="126"/>
      <c r="L245" s="126"/>
      <c r="M245" s="126"/>
      <c r="N245" s="126"/>
      <c r="O245" s="126"/>
      <c r="P245" s="126"/>
      <c r="Q245" s="126"/>
      <c r="R245" s="126"/>
      <c r="S245" s="126"/>
      <c r="T245" s="126"/>
      <c r="U245" s="126"/>
      <c r="V245" s="126"/>
      <c r="W245" s="126"/>
      <c r="X245" s="126"/>
      <c r="Y245" s="126"/>
      <c r="Z245" s="126"/>
    </row>
    <row r="246" spans="1:26" ht="15.75" customHeight="1">
      <c r="A246" s="126"/>
      <c r="B246" s="126"/>
      <c r="C246" s="176"/>
      <c r="D246" s="176"/>
      <c r="E246" s="126"/>
      <c r="F246" s="126"/>
      <c r="G246" s="126"/>
      <c r="H246" s="126"/>
      <c r="I246" s="126"/>
      <c r="J246" s="126"/>
      <c r="K246" s="126"/>
      <c r="L246" s="126"/>
      <c r="M246" s="126"/>
      <c r="N246" s="126"/>
      <c r="O246" s="126"/>
      <c r="P246" s="126"/>
      <c r="Q246" s="126"/>
      <c r="R246" s="126"/>
      <c r="S246" s="126"/>
      <c r="T246" s="126"/>
      <c r="U246" s="126"/>
      <c r="V246" s="126"/>
      <c r="W246" s="126"/>
      <c r="X246" s="126"/>
      <c r="Y246" s="126"/>
      <c r="Z246" s="126"/>
    </row>
    <row r="247" spans="1:26" ht="15.75" customHeight="1">
      <c r="A247" s="126"/>
      <c r="B247" s="126"/>
      <c r="C247" s="176"/>
      <c r="D247" s="176"/>
      <c r="E247" s="126"/>
      <c r="F247" s="126"/>
      <c r="G247" s="126"/>
      <c r="H247" s="126"/>
      <c r="I247" s="126"/>
      <c r="J247" s="126"/>
      <c r="K247" s="126"/>
      <c r="L247" s="126"/>
      <c r="M247" s="126"/>
      <c r="N247" s="126"/>
      <c r="O247" s="126"/>
      <c r="P247" s="126"/>
      <c r="Q247" s="126"/>
      <c r="R247" s="126"/>
      <c r="S247" s="126"/>
      <c r="T247" s="126"/>
      <c r="U247" s="126"/>
      <c r="V247" s="126"/>
      <c r="W247" s="126"/>
      <c r="X247" s="126"/>
      <c r="Y247" s="126"/>
      <c r="Z247" s="126"/>
    </row>
    <row r="248" spans="1:26" ht="15.75" customHeight="1">
      <c r="A248" s="126"/>
      <c r="B248" s="126"/>
      <c r="C248" s="176"/>
      <c r="D248" s="176"/>
      <c r="E248" s="126"/>
      <c r="F248" s="126"/>
      <c r="G248" s="126"/>
      <c r="H248" s="126"/>
      <c r="I248" s="126"/>
      <c r="J248" s="126"/>
      <c r="K248" s="126"/>
      <c r="L248" s="126"/>
      <c r="M248" s="126"/>
      <c r="N248" s="126"/>
      <c r="O248" s="126"/>
      <c r="P248" s="126"/>
      <c r="Q248" s="126"/>
      <c r="R248" s="126"/>
      <c r="S248" s="126"/>
      <c r="T248" s="126"/>
      <c r="U248" s="126"/>
      <c r="V248" s="126"/>
      <c r="W248" s="126"/>
      <c r="X248" s="126"/>
      <c r="Y248" s="126"/>
      <c r="Z248" s="126"/>
    </row>
    <row r="249" spans="1:26" ht="15.75" customHeight="1">
      <c r="A249" s="126"/>
      <c r="B249" s="126"/>
      <c r="C249" s="176"/>
      <c r="D249" s="176"/>
      <c r="E249" s="126"/>
      <c r="F249" s="126"/>
      <c r="G249" s="126"/>
      <c r="H249" s="126"/>
      <c r="I249" s="126"/>
      <c r="J249" s="126"/>
      <c r="K249" s="126"/>
      <c r="L249" s="126"/>
      <c r="M249" s="126"/>
      <c r="N249" s="126"/>
      <c r="O249" s="126"/>
      <c r="P249" s="126"/>
      <c r="Q249" s="126"/>
      <c r="R249" s="126"/>
      <c r="S249" s="126"/>
      <c r="T249" s="126"/>
      <c r="U249" s="126"/>
      <c r="V249" s="126"/>
      <c r="W249" s="126"/>
      <c r="X249" s="126"/>
      <c r="Y249" s="126"/>
      <c r="Z249" s="126"/>
    </row>
    <row r="250" spans="1:26" ht="15.75" customHeight="1">
      <c r="A250" s="126"/>
      <c r="B250" s="126"/>
      <c r="C250" s="176"/>
      <c r="D250" s="176"/>
      <c r="E250" s="126"/>
      <c r="F250" s="126"/>
      <c r="G250" s="126"/>
      <c r="H250" s="126"/>
      <c r="I250" s="126"/>
      <c r="J250" s="126"/>
      <c r="K250" s="126"/>
      <c r="L250" s="126"/>
      <c r="M250" s="126"/>
      <c r="N250" s="126"/>
      <c r="O250" s="126"/>
      <c r="P250" s="126"/>
      <c r="Q250" s="126"/>
      <c r="R250" s="126"/>
      <c r="S250" s="126"/>
      <c r="T250" s="126"/>
      <c r="U250" s="126"/>
      <c r="V250" s="126"/>
      <c r="W250" s="126"/>
      <c r="X250" s="126"/>
      <c r="Y250" s="126"/>
      <c r="Z250" s="126"/>
    </row>
    <row r="251" spans="1:26" ht="15.75" customHeight="1">
      <c r="A251" s="126"/>
      <c r="B251" s="126"/>
      <c r="C251" s="176"/>
      <c r="D251" s="176"/>
      <c r="E251" s="126"/>
      <c r="F251" s="126"/>
      <c r="G251" s="126"/>
      <c r="H251" s="126"/>
      <c r="I251" s="126"/>
      <c r="J251" s="126"/>
      <c r="K251" s="126"/>
      <c r="L251" s="126"/>
      <c r="M251" s="126"/>
      <c r="N251" s="126"/>
      <c r="O251" s="126"/>
      <c r="P251" s="126"/>
      <c r="Q251" s="126"/>
      <c r="R251" s="126"/>
      <c r="S251" s="126"/>
      <c r="T251" s="126"/>
      <c r="U251" s="126"/>
      <c r="V251" s="126"/>
      <c r="W251" s="126"/>
      <c r="X251" s="126"/>
      <c r="Y251" s="126"/>
      <c r="Z251" s="126"/>
    </row>
    <row r="252" spans="1:26" ht="15.75" customHeight="1">
      <c r="A252" s="126"/>
      <c r="B252" s="126"/>
      <c r="C252" s="176"/>
      <c r="D252" s="176"/>
      <c r="E252" s="126"/>
      <c r="F252" s="126"/>
      <c r="G252" s="126"/>
      <c r="H252" s="126"/>
      <c r="I252" s="126"/>
      <c r="J252" s="126"/>
      <c r="K252" s="126"/>
      <c r="L252" s="126"/>
      <c r="M252" s="126"/>
      <c r="N252" s="126"/>
      <c r="O252" s="126"/>
      <c r="P252" s="126"/>
      <c r="Q252" s="126"/>
      <c r="R252" s="126"/>
      <c r="S252" s="126"/>
      <c r="T252" s="126"/>
      <c r="U252" s="126"/>
      <c r="V252" s="126"/>
      <c r="W252" s="126"/>
      <c r="X252" s="126"/>
      <c r="Y252" s="126"/>
      <c r="Z252" s="126"/>
    </row>
    <row r="253" spans="1:26" ht="15.75" customHeight="1">
      <c r="A253" s="126"/>
      <c r="B253" s="126"/>
      <c r="C253" s="176"/>
      <c r="D253" s="176"/>
      <c r="E253" s="126"/>
      <c r="F253" s="126"/>
      <c r="G253" s="126"/>
      <c r="H253" s="126"/>
      <c r="I253" s="126"/>
      <c r="J253" s="126"/>
      <c r="K253" s="126"/>
      <c r="L253" s="126"/>
      <c r="M253" s="126"/>
      <c r="N253" s="126"/>
      <c r="O253" s="126"/>
      <c r="P253" s="126"/>
      <c r="Q253" s="126"/>
      <c r="R253" s="126"/>
      <c r="S253" s="126"/>
      <c r="T253" s="126"/>
      <c r="U253" s="126"/>
      <c r="V253" s="126"/>
      <c r="W253" s="126"/>
      <c r="X253" s="126"/>
      <c r="Y253" s="126"/>
      <c r="Z253" s="126"/>
    </row>
    <row r="254" spans="1:26" ht="15.75" customHeight="1">
      <c r="A254" s="126"/>
      <c r="B254" s="126"/>
      <c r="C254" s="176"/>
      <c r="D254" s="176"/>
      <c r="E254" s="126"/>
      <c r="F254" s="126"/>
      <c r="G254" s="126"/>
      <c r="H254" s="126"/>
      <c r="I254" s="126"/>
      <c r="J254" s="126"/>
      <c r="K254" s="126"/>
      <c r="L254" s="126"/>
      <c r="M254" s="126"/>
      <c r="N254" s="126"/>
      <c r="O254" s="126"/>
      <c r="P254" s="126"/>
      <c r="Q254" s="126"/>
      <c r="R254" s="126"/>
      <c r="S254" s="126"/>
      <c r="T254" s="126"/>
      <c r="U254" s="126"/>
      <c r="V254" s="126"/>
      <c r="W254" s="126"/>
      <c r="X254" s="126"/>
      <c r="Y254" s="126"/>
      <c r="Z254" s="126"/>
    </row>
    <row r="255" spans="1:26" ht="15.75" customHeight="1">
      <c r="A255" s="126"/>
      <c r="B255" s="126"/>
      <c r="C255" s="176"/>
      <c r="D255" s="176"/>
      <c r="E255" s="126"/>
      <c r="F255" s="126"/>
      <c r="G255" s="126"/>
      <c r="H255" s="126"/>
      <c r="I255" s="126"/>
      <c r="J255" s="126"/>
      <c r="K255" s="126"/>
      <c r="L255" s="126"/>
      <c r="M255" s="126"/>
      <c r="N255" s="126"/>
      <c r="O255" s="126"/>
      <c r="P255" s="126"/>
      <c r="Q255" s="126"/>
      <c r="R255" s="126"/>
      <c r="S255" s="126"/>
      <c r="T255" s="126"/>
      <c r="U255" s="126"/>
      <c r="V255" s="126"/>
      <c r="W255" s="126"/>
      <c r="X255" s="126"/>
      <c r="Y255" s="126"/>
      <c r="Z255" s="126"/>
    </row>
    <row r="256" spans="1:26" ht="15.75" customHeight="1">
      <c r="A256" s="126"/>
      <c r="B256" s="126"/>
      <c r="C256" s="176"/>
      <c r="D256" s="176"/>
      <c r="E256" s="126"/>
      <c r="F256" s="126"/>
      <c r="G256" s="126"/>
      <c r="H256" s="126"/>
      <c r="I256" s="126"/>
      <c r="J256" s="126"/>
      <c r="K256" s="126"/>
      <c r="L256" s="126"/>
      <c r="M256" s="126"/>
      <c r="N256" s="126"/>
      <c r="O256" s="126"/>
      <c r="P256" s="126"/>
      <c r="Q256" s="126"/>
      <c r="R256" s="126"/>
      <c r="S256" s="126"/>
      <c r="T256" s="126"/>
      <c r="U256" s="126"/>
      <c r="V256" s="126"/>
      <c r="W256" s="126"/>
      <c r="X256" s="126"/>
      <c r="Y256" s="126"/>
      <c r="Z256" s="126"/>
    </row>
    <row r="257" spans="1:26" ht="15.75" customHeight="1">
      <c r="A257" s="126"/>
      <c r="B257" s="126"/>
      <c r="C257" s="176"/>
      <c r="D257" s="17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6"/>
    </row>
    <row r="258" spans="1:26" ht="15.75" customHeight="1">
      <c r="A258" s="126"/>
      <c r="B258" s="126"/>
      <c r="C258" s="176"/>
      <c r="D258" s="176"/>
      <c r="E258" s="126"/>
      <c r="F258" s="126"/>
      <c r="G258" s="126"/>
      <c r="H258" s="126"/>
      <c r="I258" s="126"/>
      <c r="J258" s="126"/>
      <c r="K258" s="126"/>
      <c r="L258" s="126"/>
      <c r="M258" s="126"/>
      <c r="N258" s="126"/>
      <c r="O258" s="126"/>
      <c r="P258" s="126"/>
      <c r="Q258" s="126"/>
      <c r="R258" s="126"/>
      <c r="S258" s="126"/>
      <c r="T258" s="126"/>
      <c r="U258" s="126"/>
      <c r="V258" s="126"/>
      <c r="W258" s="126"/>
      <c r="X258" s="126"/>
      <c r="Y258" s="126"/>
      <c r="Z258" s="126"/>
    </row>
    <row r="259" spans="1:26" ht="15.75" customHeight="1">
      <c r="A259" s="126"/>
      <c r="B259" s="126"/>
      <c r="C259" s="176"/>
      <c r="D259" s="176"/>
      <c r="E259" s="126"/>
      <c r="F259" s="126"/>
      <c r="G259" s="126"/>
      <c r="H259" s="126"/>
      <c r="I259" s="126"/>
      <c r="J259" s="126"/>
      <c r="K259" s="126"/>
      <c r="L259" s="126"/>
      <c r="M259" s="126"/>
      <c r="N259" s="126"/>
      <c r="O259" s="126"/>
      <c r="P259" s="126"/>
      <c r="Q259" s="126"/>
      <c r="R259" s="126"/>
      <c r="S259" s="126"/>
      <c r="T259" s="126"/>
      <c r="U259" s="126"/>
      <c r="V259" s="126"/>
      <c r="W259" s="126"/>
      <c r="X259" s="126"/>
      <c r="Y259" s="126"/>
      <c r="Z259" s="126"/>
    </row>
    <row r="260" spans="1:26" ht="15.75" customHeight="1">
      <c r="A260" s="126"/>
      <c r="B260" s="126"/>
      <c r="C260" s="176"/>
      <c r="D260" s="176"/>
      <c r="E260" s="126"/>
      <c r="F260" s="126"/>
      <c r="G260" s="126"/>
      <c r="H260" s="126"/>
      <c r="I260" s="126"/>
      <c r="J260" s="126"/>
      <c r="K260" s="126"/>
      <c r="L260" s="126"/>
      <c r="M260" s="126"/>
      <c r="N260" s="126"/>
      <c r="O260" s="126"/>
      <c r="P260" s="126"/>
      <c r="Q260" s="126"/>
      <c r="R260" s="126"/>
      <c r="S260" s="126"/>
      <c r="T260" s="126"/>
      <c r="U260" s="126"/>
      <c r="V260" s="126"/>
      <c r="W260" s="126"/>
      <c r="X260" s="126"/>
      <c r="Y260" s="126"/>
      <c r="Z260" s="126"/>
    </row>
    <row r="261" spans="1:26" ht="15.75" customHeight="1">
      <c r="A261" s="126"/>
      <c r="B261" s="126"/>
      <c r="C261" s="176"/>
      <c r="D261" s="176"/>
      <c r="E261" s="126"/>
      <c r="F261" s="126"/>
      <c r="G261" s="126"/>
      <c r="H261" s="126"/>
      <c r="I261" s="126"/>
      <c r="J261" s="126"/>
      <c r="K261" s="126"/>
      <c r="L261" s="126"/>
      <c r="M261" s="126"/>
      <c r="N261" s="126"/>
      <c r="O261" s="126"/>
      <c r="P261" s="126"/>
      <c r="Q261" s="126"/>
      <c r="R261" s="126"/>
      <c r="S261" s="126"/>
      <c r="T261" s="126"/>
      <c r="U261" s="126"/>
      <c r="V261" s="126"/>
      <c r="W261" s="126"/>
      <c r="X261" s="126"/>
      <c r="Y261" s="126"/>
      <c r="Z261" s="126"/>
    </row>
    <row r="262" spans="1:26" ht="15.75" customHeight="1">
      <c r="A262" s="126"/>
      <c r="B262" s="126"/>
      <c r="C262" s="176"/>
      <c r="D262" s="176"/>
      <c r="E262" s="126"/>
      <c r="F262" s="126"/>
      <c r="G262" s="126"/>
      <c r="H262" s="126"/>
      <c r="I262" s="126"/>
      <c r="J262" s="126"/>
      <c r="K262" s="126"/>
      <c r="L262" s="126"/>
      <c r="M262" s="126"/>
      <c r="N262" s="126"/>
      <c r="O262" s="126"/>
      <c r="P262" s="126"/>
      <c r="Q262" s="126"/>
      <c r="R262" s="126"/>
      <c r="S262" s="126"/>
      <c r="T262" s="126"/>
      <c r="U262" s="126"/>
      <c r="V262" s="126"/>
      <c r="W262" s="126"/>
      <c r="X262" s="126"/>
      <c r="Y262" s="126"/>
      <c r="Z262" s="126"/>
    </row>
    <row r="263" spans="1:26" ht="15.75" customHeight="1">
      <c r="A263" s="126"/>
      <c r="B263" s="126"/>
      <c r="C263" s="176"/>
      <c r="D263" s="17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row>
    <row r="264" spans="1:26" ht="15.75" customHeight="1">
      <c r="A264" s="126"/>
      <c r="B264" s="126"/>
      <c r="C264" s="176"/>
      <c r="D264" s="17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row>
    <row r="265" spans="1:26" ht="15.75" customHeight="1">
      <c r="A265" s="126"/>
      <c r="B265" s="126"/>
      <c r="C265" s="176"/>
      <c r="D265" s="17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row>
    <row r="266" spans="1:26" ht="15.75" customHeight="1">
      <c r="A266" s="126"/>
      <c r="B266" s="126"/>
      <c r="C266" s="176"/>
      <c r="D266" s="17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row>
    <row r="267" spans="1:26" ht="15.75" customHeight="1">
      <c r="A267" s="126"/>
      <c r="B267" s="126"/>
      <c r="C267" s="176"/>
      <c r="D267" s="17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row>
    <row r="268" spans="1:26" ht="15.75" customHeight="1">
      <c r="A268" s="126"/>
      <c r="B268" s="126"/>
      <c r="C268" s="176"/>
      <c r="D268" s="17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row>
    <row r="269" spans="1:26" ht="15.75" customHeight="1">
      <c r="A269" s="126"/>
      <c r="B269" s="126"/>
      <c r="C269" s="176"/>
      <c r="D269" s="17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row>
    <row r="270" spans="1:26" ht="15.75" customHeight="1">
      <c r="A270" s="126"/>
      <c r="B270" s="126"/>
      <c r="C270" s="176"/>
      <c r="D270" s="17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row>
    <row r="271" spans="1:26" ht="15.75" customHeight="1">
      <c r="A271" s="126"/>
      <c r="B271" s="126"/>
      <c r="C271" s="176"/>
      <c r="D271" s="17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row>
    <row r="272" spans="1:26" ht="15.75" customHeight="1">
      <c r="A272" s="126"/>
      <c r="B272" s="126"/>
      <c r="C272" s="176"/>
      <c r="D272" s="17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row>
    <row r="273" spans="1:26" ht="15.75" customHeight="1">
      <c r="A273" s="126"/>
      <c r="B273" s="126"/>
      <c r="C273" s="176"/>
      <c r="D273" s="176"/>
      <c r="E273" s="126"/>
      <c r="F273" s="126"/>
      <c r="G273" s="126"/>
      <c r="H273" s="126"/>
      <c r="I273" s="126"/>
      <c r="J273" s="126"/>
      <c r="K273" s="126"/>
      <c r="L273" s="126"/>
      <c r="M273" s="126"/>
      <c r="N273" s="126"/>
      <c r="O273" s="126"/>
      <c r="P273" s="126"/>
      <c r="Q273" s="126"/>
      <c r="R273" s="126"/>
      <c r="S273" s="126"/>
      <c r="T273" s="126"/>
      <c r="U273" s="126"/>
      <c r="V273" s="126"/>
      <c r="W273" s="126"/>
      <c r="X273" s="126"/>
      <c r="Y273" s="126"/>
      <c r="Z273" s="126"/>
    </row>
    <row r="274" spans="1:26" ht="15.75" customHeight="1">
      <c r="A274" s="126"/>
      <c r="B274" s="126"/>
      <c r="C274" s="176"/>
      <c r="D274" s="17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row>
    <row r="275" spans="1:26" ht="15.75" customHeight="1">
      <c r="A275" s="126"/>
      <c r="B275" s="126"/>
      <c r="C275" s="176"/>
      <c r="D275" s="17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row>
    <row r="276" spans="1:26" ht="15.75" customHeight="1">
      <c r="A276" s="126"/>
      <c r="B276" s="126"/>
      <c r="C276" s="176"/>
      <c r="D276" s="17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row>
    <row r="277" spans="1:26" ht="15.75" customHeight="1">
      <c r="A277" s="126"/>
      <c r="B277" s="126"/>
      <c r="C277" s="176"/>
      <c r="D277" s="17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row>
    <row r="278" spans="1:26" ht="15.75" customHeight="1">
      <c r="A278" s="126"/>
      <c r="B278" s="126"/>
      <c r="C278" s="176"/>
      <c r="D278" s="17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row>
    <row r="279" spans="1:26" ht="15.75" customHeight="1">
      <c r="A279" s="126"/>
      <c r="B279" s="126"/>
      <c r="C279" s="176"/>
      <c r="D279" s="17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6"/>
    </row>
    <row r="280" spans="1:26" ht="15.75" customHeight="1">
      <c r="A280" s="126"/>
      <c r="B280" s="126"/>
      <c r="C280" s="176"/>
      <c r="D280" s="17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6"/>
    </row>
    <row r="281" spans="1:26" ht="15.75" customHeight="1">
      <c r="A281" s="126"/>
      <c r="B281" s="126"/>
      <c r="C281" s="176"/>
      <c r="D281" s="17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6"/>
    </row>
    <row r="282" spans="1:26" ht="15.75" customHeight="1">
      <c r="A282" s="126"/>
      <c r="B282" s="126"/>
      <c r="C282" s="176"/>
      <c r="D282" s="17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6"/>
    </row>
    <row r="283" spans="1:26" ht="15.75" customHeight="1">
      <c r="A283" s="126"/>
      <c r="B283" s="126"/>
      <c r="C283" s="176"/>
      <c r="D283" s="17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6"/>
    </row>
    <row r="284" spans="1:26" ht="15.75" customHeight="1">
      <c r="A284" s="126"/>
      <c r="B284" s="126"/>
      <c r="C284" s="176"/>
      <c r="D284" s="17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6"/>
    </row>
    <row r="285" spans="1:26" ht="15.75" customHeight="1">
      <c r="A285" s="126"/>
      <c r="B285" s="126"/>
      <c r="C285" s="176"/>
      <c r="D285" s="17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6"/>
    </row>
    <row r="286" spans="1:26" ht="15.75" customHeight="1">
      <c r="A286" s="126"/>
      <c r="B286" s="126"/>
      <c r="C286" s="176"/>
      <c r="D286" s="17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6"/>
    </row>
    <row r="287" spans="1:26" ht="15.75" customHeight="1">
      <c r="A287" s="126"/>
      <c r="B287" s="126"/>
      <c r="C287" s="176"/>
      <c r="D287" s="176"/>
      <c r="E287" s="126"/>
      <c r="F287" s="126"/>
      <c r="G287" s="126"/>
      <c r="H287" s="126"/>
      <c r="I287" s="126"/>
      <c r="J287" s="126"/>
      <c r="K287" s="126"/>
      <c r="L287" s="126"/>
      <c r="M287" s="126"/>
      <c r="N287" s="126"/>
      <c r="O287" s="126"/>
      <c r="P287" s="126"/>
      <c r="Q287" s="126"/>
      <c r="R287" s="126"/>
      <c r="S287" s="126"/>
      <c r="T287" s="126"/>
      <c r="U287" s="126"/>
      <c r="V287" s="126"/>
      <c r="W287" s="126"/>
      <c r="X287" s="126"/>
      <c r="Y287" s="126"/>
      <c r="Z287" s="126"/>
    </row>
    <row r="288" spans="1:26" ht="15.75" customHeight="1">
      <c r="A288" s="126"/>
      <c r="B288" s="126"/>
      <c r="C288" s="176"/>
      <c r="D288" s="176"/>
      <c r="E288" s="126"/>
      <c r="F288" s="126"/>
      <c r="G288" s="126"/>
      <c r="H288" s="126"/>
      <c r="I288" s="126"/>
      <c r="J288" s="126"/>
      <c r="K288" s="126"/>
      <c r="L288" s="126"/>
      <c r="M288" s="126"/>
      <c r="N288" s="126"/>
      <c r="O288" s="126"/>
      <c r="P288" s="126"/>
      <c r="Q288" s="126"/>
      <c r="R288" s="126"/>
      <c r="S288" s="126"/>
      <c r="T288" s="126"/>
      <c r="U288" s="126"/>
      <c r="V288" s="126"/>
      <c r="W288" s="126"/>
      <c r="X288" s="126"/>
      <c r="Y288" s="126"/>
      <c r="Z288" s="126"/>
    </row>
    <row r="289" spans="1:26" ht="15.75" customHeight="1">
      <c r="A289" s="126"/>
      <c r="B289" s="126"/>
      <c r="C289" s="176"/>
      <c r="D289" s="17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6"/>
    </row>
    <row r="290" spans="1:26" ht="15.75" customHeight="1">
      <c r="A290" s="126"/>
      <c r="B290" s="126"/>
      <c r="C290" s="176"/>
      <c r="D290" s="176"/>
      <c r="E290" s="126"/>
      <c r="F290" s="126"/>
      <c r="G290" s="126"/>
      <c r="H290" s="126"/>
      <c r="I290" s="126"/>
      <c r="J290" s="126"/>
      <c r="K290" s="126"/>
      <c r="L290" s="126"/>
      <c r="M290" s="126"/>
      <c r="N290" s="126"/>
      <c r="O290" s="126"/>
      <c r="P290" s="126"/>
      <c r="Q290" s="126"/>
      <c r="R290" s="126"/>
      <c r="S290" s="126"/>
      <c r="T290" s="126"/>
      <c r="U290" s="126"/>
      <c r="V290" s="126"/>
      <c r="W290" s="126"/>
      <c r="X290" s="126"/>
      <c r="Y290" s="126"/>
      <c r="Z290" s="126"/>
    </row>
    <row r="291" spans="1:26" ht="15.75" customHeight="1">
      <c r="A291" s="126"/>
      <c r="B291" s="126"/>
      <c r="C291" s="176"/>
      <c r="D291" s="176"/>
      <c r="E291" s="126"/>
      <c r="F291" s="126"/>
      <c r="G291" s="126"/>
      <c r="H291" s="126"/>
      <c r="I291" s="126"/>
      <c r="J291" s="126"/>
      <c r="K291" s="126"/>
      <c r="L291" s="126"/>
      <c r="M291" s="126"/>
      <c r="N291" s="126"/>
      <c r="O291" s="126"/>
      <c r="P291" s="126"/>
      <c r="Q291" s="126"/>
      <c r="R291" s="126"/>
      <c r="S291" s="126"/>
      <c r="T291" s="126"/>
      <c r="U291" s="126"/>
      <c r="V291" s="126"/>
      <c r="W291" s="126"/>
      <c r="X291" s="126"/>
      <c r="Y291" s="126"/>
      <c r="Z291" s="126"/>
    </row>
    <row r="292" spans="1:26" ht="15.75" customHeight="1">
      <c r="A292" s="126"/>
      <c r="B292" s="126"/>
      <c r="C292" s="176"/>
      <c r="D292" s="176"/>
      <c r="E292" s="126"/>
      <c r="F292" s="126"/>
      <c r="G292" s="126"/>
      <c r="H292" s="126"/>
      <c r="I292" s="126"/>
      <c r="J292" s="126"/>
      <c r="K292" s="126"/>
      <c r="L292" s="126"/>
      <c r="M292" s="126"/>
      <c r="N292" s="126"/>
      <c r="O292" s="126"/>
      <c r="P292" s="126"/>
      <c r="Q292" s="126"/>
      <c r="R292" s="126"/>
      <c r="S292" s="126"/>
      <c r="T292" s="126"/>
      <c r="U292" s="126"/>
      <c r="V292" s="126"/>
      <c r="W292" s="126"/>
      <c r="X292" s="126"/>
      <c r="Y292" s="126"/>
      <c r="Z292" s="126"/>
    </row>
    <row r="293" spans="1:26" ht="15.75" customHeight="1">
      <c r="A293" s="126"/>
      <c r="B293" s="126"/>
      <c r="C293" s="176"/>
      <c r="D293" s="176"/>
      <c r="E293" s="126"/>
      <c r="F293" s="126"/>
      <c r="G293" s="126"/>
      <c r="H293" s="126"/>
      <c r="I293" s="126"/>
      <c r="J293" s="126"/>
      <c r="K293" s="126"/>
      <c r="L293" s="126"/>
      <c r="M293" s="126"/>
      <c r="N293" s="126"/>
      <c r="O293" s="126"/>
      <c r="P293" s="126"/>
      <c r="Q293" s="126"/>
      <c r="R293" s="126"/>
      <c r="S293" s="126"/>
      <c r="T293" s="126"/>
      <c r="U293" s="126"/>
      <c r="V293" s="126"/>
      <c r="W293" s="126"/>
      <c r="X293" s="126"/>
      <c r="Y293" s="126"/>
      <c r="Z293" s="126"/>
    </row>
    <row r="294" spans="1:26" ht="15.75" customHeight="1">
      <c r="A294" s="126"/>
      <c r="B294" s="126"/>
      <c r="C294" s="176"/>
      <c r="D294" s="17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row>
    <row r="295" spans="1:26" ht="15.75" customHeight="1">
      <c r="A295" s="126"/>
      <c r="B295" s="126"/>
      <c r="C295" s="176"/>
      <c r="D295" s="176"/>
      <c r="E295" s="126"/>
      <c r="F295" s="126"/>
      <c r="G295" s="126"/>
      <c r="H295" s="126"/>
      <c r="I295" s="126"/>
      <c r="J295" s="126"/>
      <c r="K295" s="126"/>
      <c r="L295" s="126"/>
      <c r="M295" s="126"/>
      <c r="N295" s="126"/>
      <c r="O295" s="126"/>
      <c r="P295" s="126"/>
      <c r="Q295" s="126"/>
      <c r="R295" s="126"/>
      <c r="S295" s="126"/>
      <c r="T295" s="126"/>
      <c r="U295" s="126"/>
      <c r="V295" s="126"/>
      <c r="W295" s="126"/>
      <c r="X295" s="126"/>
      <c r="Y295" s="126"/>
      <c r="Z295" s="126"/>
    </row>
    <row r="296" spans="1:26" ht="15.75" customHeight="1">
      <c r="A296" s="126"/>
      <c r="B296" s="126"/>
      <c r="C296" s="176"/>
      <c r="D296" s="176"/>
      <c r="E296" s="126"/>
      <c r="F296" s="126"/>
      <c r="G296" s="126"/>
      <c r="H296" s="126"/>
      <c r="I296" s="126"/>
      <c r="J296" s="126"/>
      <c r="K296" s="126"/>
      <c r="L296" s="126"/>
      <c r="M296" s="126"/>
      <c r="N296" s="126"/>
      <c r="O296" s="126"/>
      <c r="P296" s="126"/>
      <c r="Q296" s="126"/>
      <c r="R296" s="126"/>
      <c r="S296" s="126"/>
      <c r="T296" s="126"/>
      <c r="U296" s="126"/>
      <c r="V296" s="126"/>
      <c r="W296" s="126"/>
      <c r="X296" s="126"/>
      <c r="Y296" s="126"/>
      <c r="Z296" s="126"/>
    </row>
    <row r="297" spans="1:26" ht="15.75" customHeight="1">
      <c r="A297" s="126"/>
      <c r="B297" s="126"/>
      <c r="C297" s="176"/>
      <c r="D297" s="17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row>
    <row r="298" spans="1:26" ht="15.75" customHeight="1">
      <c r="A298" s="126"/>
      <c r="B298" s="126"/>
      <c r="C298" s="176"/>
      <c r="D298" s="17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row>
    <row r="299" spans="1:26" ht="15.75" customHeight="1">
      <c r="A299" s="126"/>
      <c r="B299" s="126"/>
      <c r="C299" s="176"/>
      <c r="D299" s="17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row>
    <row r="300" spans="1:26" ht="15.75" customHeight="1">
      <c r="A300" s="126"/>
      <c r="B300" s="126"/>
      <c r="C300" s="176"/>
      <c r="D300" s="17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row>
    <row r="301" spans="1:26" ht="15.75" customHeight="1">
      <c r="A301" s="126"/>
      <c r="B301" s="126"/>
      <c r="C301" s="176"/>
      <c r="D301" s="17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row>
    <row r="302" spans="1:26" ht="15.75" customHeight="1">
      <c r="A302" s="126"/>
      <c r="B302" s="126"/>
      <c r="C302" s="176"/>
      <c r="D302" s="17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row>
    <row r="303" spans="1:26" ht="15.75" customHeight="1">
      <c r="A303" s="126"/>
      <c r="B303" s="126"/>
      <c r="C303" s="176"/>
      <c r="D303" s="176"/>
      <c r="E303" s="126"/>
      <c r="F303" s="126"/>
      <c r="G303" s="126"/>
      <c r="H303" s="126"/>
      <c r="I303" s="126"/>
      <c r="J303" s="126"/>
      <c r="K303" s="126"/>
      <c r="L303" s="126"/>
      <c r="M303" s="126"/>
      <c r="N303" s="126"/>
      <c r="O303" s="126"/>
      <c r="P303" s="126"/>
      <c r="Q303" s="126"/>
      <c r="R303" s="126"/>
      <c r="S303" s="126"/>
      <c r="T303" s="126"/>
      <c r="U303" s="126"/>
      <c r="V303" s="126"/>
      <c r="W303" s="126"/>
      <c r="X303" s="126"/>
      <c r="Y303" s="126"/>
      <c r="Z303" s="126"/>
    </row>
    <row r="304" spans="1:26" ht="15.75" customHeight="1">
      <c r="A304" s="126"/>
      <c r="B304" s="126"/>
      <c r="C304" s="176"/>
      <c r="D304" s="17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row>
    <row r="305" spans="1:26" ht="15.75" customHeight="1">
      <c r="A305" s="126"/>
      <c r="B305" s="126"/>
      <c r="C305" s="176"/>
      <c r="D305" s="176"/>
      <c r="E305" s="126"/>
      <c r="F305" s="126"/>
      <c r="G305" s="126"/>
      <c r="H305" s="126"/>
      <c r="I305" s="126"/>
      <c r="J305" s="126"/>
      <c r="K305" s="126"/>
      <c r="L305" s="126"/>
      <c r="M305" s="126"/>
      <c r="N305" s="126"/>
      <c r="O305" s="126"/>
      <c r="P305" s="126"/>
      <c r="Q305" s="126"/>
      <c r="R305" s="126"/>
      <c r="S305" s="126"/>
      <c r="T305" s="126"/>
      <c r="U305" s="126"/>
      <c r="V305" s="126"/>
      <c r="W305" s="126"/>
      <c r="X305" s="126"/>
      <c r="Y305" s="126"/>
      <c r="Z305" s="126"/>
    </row>
    <row r="306" spans="1:26" ht="15.75" customHeight="1">
      <c r="A306" s="126"/>
      <c r="B306" s="126"/>
      <c r="C306" s="176"/>
      <c r="D306" s="17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row>
    <row r="307" spans="1:26" ht="15.75" customHeight="1">
      <c r="A307" s="126"/>
      <c r="B307" s="126"/>
      <c r="C307" s="176"/>
      <c r="D307" s="17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row>
    <row r="308" spans="1:26" ht="15.75" customHeight="1">
      <c r="A308" s="126"/>
      <c r="B308" s="126"/>
      <c r="C308" s="176"/>
      <c r="D308" s="17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row>
    <row r="309" spans="1:26" ht="15.75" customHeight="1">
      <c r="A309" s="126"/>
      <c r="B309" s="126"/>
      <c r="C309" s="176"/>
      <c r="D309" s="17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row>
    <row r="310" spans="1:26" ht="15.75" customHeight="1">
      <c r="A310" s="126"/>
      <c r="B310" s="126"/>
      <c r="C310" s="176"/>
      <c r="D310" s="17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row>
    <row r="311" spans="1:26" ht="15.75" customHeight="1">
      <c r="A311" s="126"/>
      <c r="B311" s="126"/>
      <c r="C311" s="176"/>
      <c r="D311" s="17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row>
    <row r="312" spans="1:26" ht="15.75" customHeight="1">
      <c r="A312" s="126"/>
      <c r="B312" s="126"/>
      <c r="C312" s="176"/>
      <c r="D312" s="17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row>
    <row r="313" spans="1:26" ht="15.75" customHeight="1">
      <c r="A313" s="126"/>
      <c r="B313" s="126"/>
      <c r="C313" s="176"/>
      <c r="D313" s="17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row>
    <row r="314" spans="1:26" ht="15.75" customHeight="1">
      <c r="A314" s="126"/>
      <c r="B314" s="126"/>
      <c r="C314" s="176"/>
      <c r="D314" s="17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row>
    <row r="315" spans="1:26" ht="15.75" customHeight="1">
      <c r="A315" s="126"/>
      <c r="B315" s="126"/>
      <c r="C315" s="176"/>
      <c r="D315" s="17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row>
    <row r="316" spans="1:26" ht="15.75" customHeight="1">
      <c r="A316" s="126"/>
      <c r="B316" s="126"/>
      <c r="C316" s="176"/>
      <c r="D316" s="17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row>
    <row r="317" spans="1:26" ht="15.75" customHeight="1">
      <c r="A317" s="126"/>
      <c r="B317" s="126"/>
      <c r="C317" s="176"/>
      <c r="D317" s="176"/>
      <c r="E317" s="126"/>
      <c r="F317" s="126"/>
      <c r="G317" s="126"/>
      <c r="H317" s="126"/>
      <c r="I317" s="126"/>
      <c r="J317" s="126"/>
      <c r="K317" s="126"/>
      <c r="L317" s="126"/>
      <c r="M317" s="126"/>
      <c r="N317" s="126"/>
      <c r="O317" s="126"/>
      <c r="P317" s="126"/>
      <c r="Q317" s="126"/>
      <c r="R317" s="126"/>
      <c r="S317" s="126"/>
      <c r="T317" s="126"/>
      <c r="U317" s="126"/>
      <c r="V317" s="126"/>
      <c r="W317" s="126"/>
      <c r="X317" s="126"/>
      <c r="Y317" s="126"/>
      <c r="Z317" s="126"/>
    </row>
    <row r="318" spans="1:26" ht="15.75" customHeight="1">
      <c r="A318" s="126"/>
      <c r="B318" s="126"/>
      <c r="C318" s="176"/>
      <c r="D318" s="176"/>
      <c r="E318" s="126"/>
      <c r="F318" s="126"/>
      <c r="G318" s="126"/>
      <c r="H318" s="126"/>
      <c r="I318" s="126"/>
      <c r="J318" s="126"/>
      <c r="K318" s="126"/>
      <c r="L318" s="126"/>
      <c r="M318" s="126"/>
      <c r="N318" s="126"/>
      <c r="O318" s="126"/>
      <c r="P318" s="126"/>
      <c r="Q318" s="126"/>
      <c r="R318" s="126"/>
      <c r="S318" s="126"/>
      <c r="T318" s="126"/>
      <c r="U318" s="126"/>
      <c r="V318" s="126"/>
      <c r="W318" s="126"/>
      <c r="X318" s="126"/>
      <c r="Y318" s="126"/>
      <c r="Z318" s="126"/>
    </row>
    <row r="319" spans="1:26" ht="15.75" customHeight="1">
      <c r="A319" s="126"/>
      <c r="B319" s="126"/>
      <c r="C319" s="176"/>
      <c r="D319" s="176"/>
      <c r="E319" s="126"/>
      <c r="F319" s="126"/>
      <c r="G319" s="126"/>
      <c r="H319" s="126"/>
      <c r="I319" s="126"/>
      <c r="J319" s="126"/>
      <c r="K319" s="126"/>
      <c r="L319" s="126"/>
      <c r="M319" s="126"/>
      <c r="N319" s="126"/>
      <c r="O319" s="126"/>
      <c r="P319" s="126"/>
      <c r="Q319" s="126"/>
      <c r="R319" s="126"/>
      <c r="S319" s="126"/>
      <c r="T319" s="126"/>
      <c r="U319" s="126"/>
      <c r="V319" s="126"/>
      <c r="W319" s="126"/>
      <c r="X319" s="126"/>
      <c r="Y319" s="126"/>
      <c r="Z319" s="126"/>
    </row>
    <row r="320" spans="1:26" ht="15.75" customHeight="1">
      <c r="A320" s="126"/>
      <c r="B320" s="126"/>
      <c r="C320" s="176"/>
      <c r="D320" s="17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row>
    <row r="321" spans="1:26" ht="15.75" customHeight="1">
      <c r="A321" s="126"/>
      <c r="B321" s="126"/>
      <c r="C321" s="176"/>
      <c r="D321" s="17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6"/>
    </row>
    <row r="322" spans="1:26" ht="15.75" customHeight="1">
      <c r="A322" s="126"/>
      <c r="B322" s="126"/>
      <c r="C322" s="176"/>
      <c r="D322" s="17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row>
    <row r="323" spans="1:26" ht="15.75" customHeight="1">
      <c r="A323" s="126"/>
      <c r="B323" s="126"/>
      <c r="C323" s="176"/>
      <c r="D323" s="176"/>
      <c r="E323" s="126"/>
      <c r="F323" s="126"/>
      <c r="G323" s="126"/>
      <c r="H323" s="126"/>
      <c r="I323" s="126"/>
      <c r="J323" s="126"/>
      <c r="K323" s="126"/>
      <c r="L323" s="126"/>
      <c r="M323" s="126"/>
      <c r="N323" s="126"/>
      <c r="O323" s="126"/>
      <c r="P323" s="126"/>
      <c r="Q323" s="126"/>
      <c r="R323" s="126"/>
      <c r="S323" s="126"/>
      <c r="T323" s="126"/>
      <c r="U323" s="126"/>
      <c r="V323" s="126"/>
      <c r="W323" s="126"/>
      <c r="X323" s="126"/>
      <c r="Y323" s="126"/>
      <c r="Z323" s="126"/>
    </row>
    <row r="324" spans="1:26" ht="15.75" customHeight="1">
      <c r="A324" s="126"/>
      <c r="B324" s="126"/>
      <c r="C324" s="176"/>
      <c r="D324" s="17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6"/>
    </row>
    <row r="325" spans="1:26" ht="15.75" customHeight="1">
      <c r="A325" s="126"/>
      <c r="B325" s="126"/>
      <c r="C325" s="176"/>
      <c r="D325" s="176"/>
      <c r="E325" s="126"/>
      <c r="F325" s="126"/>
      <c r="G325" s="126"/>
      <c r="H325" s="126"/>
      <c r="I325" s="126"/>
      <c r="J325" s="126"/>
      <c r="K325" s="126"/>
      <c r="L325" s="126"/>
      <c r="M325" s="126"/>
      <c r="N325" s="126"/>
      <c r="O325" s="126"/>
      <c r="P325" s="126"/>
      <c r="Q325" s="126"/>
      <c r="R325" s="126"/>
      <c r="S325" s="126"/>
      <c r="T325" s="126"/>
      <c r="U325" s="126"/>
      <c r="V325" s="126"/>
      <c r="W325" s="126"/>
      <c r="X325" s="126"/>
      <c r="Y325" s="126"/>
      <c r="Z325" s="126"/>
    </row>
    <row r="326" spans="1:26" ht="15.75" customHeight="1">
      <c r="A326" s="126"/>
      <c r="B326" s="126"/>
      <c r="C326" s="176"/>
      <c r="D326" s="176"/>
      <c r="E326" s="126"/>
      <c r="F326" s="126"/>
      <c r="G326" s="126"/>
      <c r="H326" s="126"/>
      <c r="I326" s="126"/>
      <c r="J326" s="126"/>
      <c r="K326" s="126"/>
      <c r="L326" s="126"/>
      <c r="M326" s="126"/>
      <c r="N326" s="126"/>
      <c r="O326" s="126"/>
      <c r="P326" s="126"/>
      <c r="Q326" s="126"/>
      <c r="R326" s="126"/>
      <c r="S326" s="126"/>
      <c r="T326" s="126"/>
      <c r="U326" s="126"/>
      <c r="V326" s="126"/>
      <c r="W326" s="126"/>
      <c r="X326" s="126"/>
      <c r="Y326" s="126"/>
      <c r="Z326" s="126"/>
    </row>
    <row r="327" spans="1:26" ht="15.75" customHeight="1">
      <c r="A327" s="126"/>
      <c r="B327" s="126"/>
      <c r="C327" s="176"/>
      <c r="D327" s="17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row>
    <row r="328" spans="1:26" ht="15.75" customHeight="1">
      <c r="A328" s="126"/>
      <c r="B328" s="126"/>
      <c r="C328" s="176"/>
      <c r="D328" s="17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row>
    <row r="329" spans="1:26" ht="15.75" customHeight="1">
      <c r="A329" s="126"/>
      <c r="B329" s="126"/>
      <c r="C329" s="176"/>
      <c r="D329" s="176"/>
      <c r="E329" s="126"/>
      <c r="F329" s="126"/>
      <c r="G329" s="126"/>
      <c r="H329" s="126"/>
      <c r="I329" s="126"/>
      <c r="J329" s="126"/>
      <c r="K329" s="126"/>
      <c r="L329" s="126"/>
      <c r="M329" s="126"/>
      <c r="N329" s="126"/>
      <c r="O329" s="126"/>
      <c r="P329" s="126"/>
      <c r="Q329" s="126"/>
      <c r="R329" s="126"/>
      <c r="S329" s="126"/>
      <c r="T329" s="126"/>
      <c r="U329" s="126"/>
      <c r="V329" s="126"/>
      <c r="W329" s="126"/>
      <c r="X329" s="126"/>
      <c r="Y329" s="126"/>
      <c r="Z329" s="126"/>
    </row>
    <row r="330" spans="1:26" ht="15.75" customHeight="1">
      <c r="A330" s="126"/>
      <c r="B330" s="126"/>
      <c r="C330" s="176"/>
      <c r="D330" s="176"/>
      <c r="E330" s="126"/>
      <c r="F330" s="126"/>
      <c r="G330" s="126"/>
      <c r="H330" s="126"/>
      <c r="I330" s="126"/>
      <c r="J330" s="126"/>
      <c r="K330" s="126"/>
      <c r="L330" s="126"/>
      <c r="M330" s="126"/>
      <c r="N330" s="126"/>
      <c r="O330" s="126"/>
      <c r="P330" s="126"/>
      <c r="Q330" s="126"/>
      <c r="R330" s="126"/>
      <c r="S330" s="126"/>
      <c r="T330" s="126"/>
      <c r="U330" s="126"/>
      <c r="V330" s="126"/>
      <c r="W330" s="126"/>
      <c r="X330" s="126"/>
      <c r="Y330" s="126"/>
      <c r="Z330" s="126"/>
    </row>
    <row r="331" spans="1:26" ht="15.75" customHeight="1">
      <c r="A331" s="126"/>
      <c r="B331" s="126"/>
      <c r="C331" s="176"/>
      <c r="D331" s="176"/>
      <c r="E331" s="126"/>
      <c r="F331" s="126"/>
      <c r="G331" s="126"/>
      <c r="H331" s="126"/>
      <c r="I331" s="126"/>
      <c r="J331" s="126"/>
      <c r="K331" s="126"/>
      <c r="L331" s="126"/>
      <c r="M331" s="126"/>
      <c r="N331" s="126"/>
      <c r="O331" s="126"/>
      <c r="P331" s="126"/>
      <c r="Q331" s="126"/>
      <c r="R331" s="126"/>
      <c r="S331" s="126"/>
      <c r="T331" s="126"/>
      <c r="U331" s="126"/>
      <c r="V331" s="126"/>
      <c r="W331" s="126"/>
      <c r="X331" s="126"/>
      <c r="Y331" s="126"/>
      <c r="Z331" s="126"/>
    </row>
    <row r="332" spans="1:26" ht="15.75" customHeight="1">
      <c r="A332" s="126"/>
      <c r="B332" s="126"/>
      <c r="C332" s="176"/>
      <c r="D332" s="17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row>
    <row r="333" spans="1:26" ht="15.75" customHeight="1">
      <c r="A333" s="126"/>
      <c r="B333" s="126"/>
      <c r="C333" s="176"/>
      <c r="D333" s="176"/>
      <c r="E333" s="126"/>
      <c r="F333" s="126"/>
      <c r="G333" s="126"/>
      <c r="H333" s="126"/>
      <c r="I333" s="126"/>
      <c r="J333" s="126"/>
      <c r="K333" s="126"/>
      <c r="L333" s="126"/>
      <c r="M333" s="126"/>
      <c r="N333" s="126"/>
      <c r="O333" s="126"/>
      <c r="P333" s="126"/>
      <c r="Q333" s="126"/>
      <c r="R333" s="126"/>
      <c r="S333" s="126"/>
      <c r="T333" s="126"/>
      <c r="U333" s="126"/>
      <c r="V333" s="126"/>
      <c r="W333" s="126"/>
      <c r="X333" s="126"/>
      <c r="Y333" s="126"/>
      <c r="Z333" s="126"/>
    </row>
    <row r="334" spans="1:26" ht="15.75" customHeight="1">
      <c r="A334" s="126"/>
      <c r="B334" s="126"/>
      <c r="C334" s="176"/>
      <c r="D334" s="17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row>
    <row r="335" spans="1:26" ht="15.75" customHeight="1">
      <c r="A335" s="126"/>
      <c r="B335" s="126"/>
      <c r="C335" s="176"/>
      <c r="D335" s="17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row>
    <row r="336" spans="1:26" ht="15.75" customHeight="1">
      <c r="A336" s="126"/>
      <c r="B336" s="126"/>
      <c r="C336" s="176"/>
      <c r="D336" s="17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row>
    <row r="337" spans="1:26" ht="15.75" customHeight="1">
      <c r="A337" s="126"/>
      <c r="B337" s="126"/>
      <c r="C337" s="176"/>
      <c r="D337" s="17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row>
    <row r="338" spans="1:26" ht="15.75" customHeight="1">
      <c r="A338" s="126"/>
      <c r="B338" s="126"/>
      <c r="C338" s="176"/>
      <c r="D338" s="17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row>
    <row r="339" spans="1:26" ht="15.75" customHeight="1">
      <c r="A339" s="126"/>
      <c r="B339" s="126"/>
      <c r="C339" s="176"/>
      <c r="D339" s="17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row>
    <row r="340" spans="1:26" ht="15.75" customHeight="1">
      <c r="A340" s="126"/>
      <c r="B340" s="126"/>
      <c r="C340" s="176"/>
      <c r="D340" s="17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row>
    <row r="341" spans="1:26" ht="15.75" customHeight="1">
      <c r="A341" s="126"/>
      <c r="B341" s="126"/>
      <c r="C341" s="176"/>
      <c r="D341" s="17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row>
    <row r="342" spans="1:26" ht="15.75" customHeight="1">
      <c r="A342" s="126"/>
      <c r="B342" s="126"/>
      <c r="C342" s="176"/>
      <c r="D342" s="17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row>
    <row r="343" spans="1:26" ht="15.75" customHeight="1">
      <c r="A343" s="126"/>
      <c r="B343" s="126"/>
      <c r="C343" s="176"/>
      <c r="D343" s="17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row>
    <row r="344" spans="1:26" ht="15.75" customHeight="1">
      <c r="A344" s="126"/>
      <c r="B344" s="126"/>
      <c r="C344" s="176"/>
      <c r="D344" s="17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row>
    <row r="345" spans="1:26" ht="15.75" customHeight="1">
      <c r="A345" s="126"/>
      <c r="B345" s="126"/>
      <c r="C345" s="176"/>
      <c r="D345" s="17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row>
    <row r="346" spans="1:26" ht="15.75" customHeight="1">
      <c r="A346" s="126"/>
      <c r="B346" s="126"/>
      <c r="C346" s="176"/>
      <c r="D346" s="17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row>
    <row r="347" spans="1:26" ht="15.75" customHeight="1">
      <c r="A347" s="126"/>
      <c r="B347" s="126"/>
      <c r="C347" s="176"/>
      <c r="D347" s="17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row>
    <row r="348" spans="1:26" ht="15.75" customHeight="1">
      <c r="A348" s="126"/>
      <c r="B348" s="126"/>
      <c r="C348" s="176"/>
      <c r="D348" s="17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row>
    <row r="349" spans="1:26" ht="15.75" customHeight="1">
      <c r="A349" s="126"/>
      <c r="B349" s="126"/>
      <c r="C349" s="176"/>
      <c r="D349" s="17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row>
    <row r="350" spans="1:26" ht="15.75" customHeight="1">
      <c r="A350" s="126"/>
      <c r="B350" s="126"/>
      <c r="C350" s="176"/>
      <c r="D350" s="17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row>
    <row r="351" spans="1:26" ht="15.75" customHeight="1">
      <c r="A351" s="126"/>
      <c r="B351" s="126"/>
      <c r="C351" s="176"/>
      <c r="D351" s="17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row>
    <row r="352" spans="1:26" ht="15.75" customHeight="1">
      <c r="A352" s="126"/>
      <c r="B352" s="126"/>
      <c r="C352" s="176"/>
      <c r="D352" s="17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row>
    <row r="353" spans="1:26" ht="15.75" customHeight="1">
      <c r="A353" s="126"/>
      <c r="B353" s="126"/>
      <c r="C353" s="176"/>
      <c r="D353" s="17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row>
    <row r="354" spans="1:26" ht="15.75" customHeight="1">
      <c r="A354" s="126"/>
      <c r="B354" s="126"/>
      <c r="C354" s="176"/>
      <c r="D354" s="17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row>
    <row r="355" spans="1:26" ht="15.75" customHeight="1">
      <c r="A355" s="126"/>
      <c r="B355" s="126"/>
      <c r="C355" s="176"/>
      <c r="D355" s="17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row>
    <row r="356" spans="1:26" ht="15.75" customHeight="1">
      <c r="A356" s="126"/>
      <c r="B356" s="126"/>
      <c r="C356" s="176"/>
      <c r="D356" s="17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row>
    <row r="357" spans="1:26" ht="15.75" customHeight="1">
      <c r="A357" s="126"/>
      <c r="B357" s="126"/>
      <c r="C357" s="176"/>
      <c r="D357" s="17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row>
    <row r="358" spans="1:26" ht="15.75" customHeight="1">
      <c r="A358" s="126"/>
      <c r="B358" s="126"/>
      <c r="C358" s="176"/>
      <c r="D358" s="17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row>
    <row r="359" spans="1:26" ht="15.75" customHeight="1">
      <c r="A359" s="126"/>
      <c r="B359" s="126"/>
      <c r="C359" s="176"/>
      <c r="D359" s="17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row>
    <row r="360" spans="1:26" ht="15.75" customHeight="1">
      <c r="A360" s="126"/>
      <c r="B360" s="126"/>
      <c r="C360" s="176"/>
      <c r="D360" s="17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row>
    <row r="361" spans="1:26" ht="15.75" customHeight="1">
      <c r="A361" s="126"/>
      <c r="B361" s="126"/>
      <c r="C361" s="176"/>
      <c r="D361" s="17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row>
    <row r="362" spans="1:26" ht="15.75" customHeight="1">
      <c r="A362" s="126"/>
      <c r="B362" s="126"/>
      <c r="C362" s="176"/>
      <c r="D362" s="17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row>
    <row r="363" spans="1:26" ht="15.75" customHeight="1">
      <c r="A363" s="126"/>
      <c r="B363" s="126"/>
      <c r="C363" s="176"/>
      <c r="D363" s="17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row>
    <row r="364" spans="1:26" ht="15.75" customHeight="1">
      <c r="A364" s="126"/>
      <c r="B364" s="126"/>
      <c r="C364" s="176"/>
      <c r="D364" s="17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row>
    <row r="365" spans="1:26" ht="15.75" customHeight="1">
      <c r="A365" s="126"/>
      <c r="B365" s="126"/>
      <c r="C365" s="176"/>
      <c r="D365" s="17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row>
    <row r="366" spans="1:26" ht="15.75" customHeight="1">
      <c r="A366" s="126"/>
      <c r="B366" s="126"/>
      <c r="C366" s="176"/>
      <c r="D366" s="17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row>
    <row r="367" spans="1:26" ht="15.75" customHeight="1">
      <c r="A367" s="126"/>
      <c r="B367" s="126"/>
      <c r="C367" s="176"/>
      <c r="D367" s="17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row>
    <row r="368" spans="1:26" ht="15.75" customHeight="1">
      <c r="A368" s="126"/>
      <c r="B368" s="126"/>
      <c r="C368" s="176"/>
      <c r="D368" s="17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row>
    <row r="369" spans="1:26" ht="15.75" customHeight="1">
      <c r="A369" s="126"/>
      <c r="B369" s="126"/>
      <c r="C369" s="176"/>
      <c r="D369" s="17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row>
    <row r="370" spans="1:26" ht="15.75" customHeight="1">
      <c r="A370" s="126"/>
      <c r="B370" s="126"/>
      <c r="C370" s="176"/>
      <c r="D370" s="17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row>
    <row r="371" spans="1:26" ht="15.75" customHeight="1">
      <c r="A371" s="126"/>
      <c r="B371" s="126"/>
      <c r="C371" s="176"/>
      <c r="D371" s="17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row>
    <row r="372" spans="1:26" ht="15.75" customHeight="1">
      <c r="A372" s="126"/>
      <c r="B372" s="126"/>
      <c r="C372" s="176"/>
      <c r="D372" s="17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row>
    <row r="373" spans="1:26" ht="15.75" customHeight="1">
      <c r="A373" s="126"/>
      <c r="B373" s="126"/>
      <c r="C373" s="176"/>
      <c r="D373" s="17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row>
    <row r="374" spans="1:26" ht="15.75" customHeight="1">
      <c r="A374" s="126"/>
      <c r="B374" s="126"/>
      <c r="C374" s="176"/>
      <c r="D374" s="17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row>
    <row r="375" spans="1:26" ht="15.75" customHeight="1">
      <c r="A375" s="126"/>
      <c r="B375" s="126"/>
      <c r="C375" s="176"/>
      <c r="D375" s="17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row>
    <row r="376" spans="1:26" ht="15.75" customHeight="1">
      <c r="A376" s="126"/>
      <c r="B376" s="126"/>
      <c r="C376" s="176"/>
      <c r="D376" s="17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row>
    <row r="377" spans="1:26" ht="15.75" customHeight="1">
      <c r="A377" s="126"/>
      <c r="B377" s="126"/>
      <c r="C377" s="176"/>
      <c r="D377" s="17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row>
    <row r="378" spans="1:26" ht="15.75" customHeight="1">
      <c r="A378" s="126"/>
      <c r="B378" s="126"/>
      <c r="C378" s="176"/>
      <c r="D378" s="17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row>
    <row r="379" spans="1:26" ht="15.75" customHeight="1">
      <c r="A379" s="126"/>
      <c r="B379" s="126"/>
      <c r="C379" s="176"/>
      <c r="D379" s="17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row>
    <row r="380" spans="1:26" ht="15.75" customHeight="1">
      <c r="A380" s="126"/>
      <c r="B380" s="126"/>
      <c r="C380" s="176"/>
      <c r="D380" s="17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row>
    <row r="381" spans="1:26" ht="15.75" customHeight="1">
      <c r="A381" s="126"/>
      <c r="B381" s="126"/>
      <c r="C381" s="176"/>
      <c r="D381" s="17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row>
    <row r="382" spans="1:26" ht="15.75" customHeight="1">
      <c r="A382" s="126"/>
      <c r="B382" s="126"/>
      <c r="C382" s="176"/>
      <c r="D382" s="17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row>
    <row r="383" spans="1:26" ht="15.75" customHeight="1">
      <c r="A383" s="126"/>
      <c r="B383" s="126"/>
      <c r="C383" s="176"/>
      <c r="D383" s="17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row>
    <row r="384" spans="1:26" ht="15.75" customHeight="1">
      <c r="A384" s="126"/>
      <c r="B384" s="126"/>
      <c r="C384" s="176"/>
      <c r="D384" s="17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row>
    <row r="385" spans="1:26" ht="15.75" customHeight="1">
      <c r="A385" s="126"/>
      <c r="B385" s="126"/>
      <c r="C385" s="176"/>
      <c r="D385" s="17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row>
    <row r="386" spans="1:26" ht="15.75" customHeight="1">
      <c r="A386" s="126"/>
      <c r="B386" s="126"/>
      <c r="C386" s="176"/>
      <c r="D386" s="17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row>
    <row r="387" spans="1:26" ht="15.75" customHeight="1">
      <c r="A387" s="126"/>
      <c r="B387" s="126"/>
      <c r="C387" s="176"/>
      <c r="D387" s="17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row>
    <row r="388" spans="1:26" ht="15.75" customHeight="1">
      <c r="A388" s="126"/>
      <c r="B388" s="126"/>
      <c r="C388" s="176"/>
      <c r="D388" s="17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row>
    <row r="389" spans="1:26" ht="15.75" customHeight="1">
      <c r="A389" s="126"/>
      <c r="B389" s="126"/>
      <c r="C389" s="176"/>
      <c r="D389" s="17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row>
    <row r="390" spans="1:26" ht="15.75" customHeight="1">
      <c r="A390" s="126"/>
      <c r="B390" s="126"/>
      <c r="C390" s="176"/>
      <c r="D390" s="17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row>
    <row r="391" spans="1:26" ht="15.75" customHeight="1">
      <c r="A391" s="126"/>
      <c r="B391" s="126"/>
      <c r="C391" s="176"/>
      <c r="D391" s="17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row>
    <row r="392" spans="1:26" ht="15.75" customHeight="1">
      <c r="A392" s="126"/>
      <c r="B392" s="126"/>
      <c r="C392" s="176"/>
      <c r="D392" s="17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row>
    <row r="393" spans="1:26" ht="15.75" customHeight="1">
      <c r="A393" s="126"/>
      <c r="B393" s="126"/>
      <c r="C393" s="176"/>
      <c r="D393" s="17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row>
    <row r="394" spans="1:26" ht="15.75" customHeight="1">
      <c r="A394" s="126"/>
      <c r="B394" s="126"/>
      <c r="C394" s="176"/>
      <c r="D394" s="17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row>
    <row r="395" spans="1:26" ht="15.75" customHeight="1">
      <c r="A395" s="126"/>
      <c r="B395" s="126"/>
      <c r="C395" s="176"/>
      <c r="D395" s="17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row>
    <row r="396" spans="1:26" ht="15.75" customHeight="1">
      <c r="A396" s="126"/>
      <c r="B396" s="126"/>
      <c r="C396" s="176"/>
      <c r="D396" s="17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row>
    <row r="397" spans="1:26" ht="15.75" customHeight="1">
      <c r="A397" s="126"/>
      <c r="B397" s="126"/>
      <c r="C397" s="176"/>
      <c r="D397" s="17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row>
    <row r="398" spans="1:26" ht="15.75" customHeight="1">
      <c r="A398" s="126"/>
      <c r="B398" s="126"/>
      <c r="C398" s="176"/>
      <c r="D398" s="17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row>
    <row r="399" spans="1:26" ht="15.75" customHeight="1">
      <c r="A399" s="126"/>
      <c r="B399" s="126"/>
      <c r="C399" s="176"/>
      <c r="D399" s="17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row>
    <row r="400" spans="1:26" ht="15.75" customHeight="1">
      <c r="A400" s="126"/>
      <c r="B400" s="126"/>
      <c r="C400" s="176"/>
      <c r="D400" s="17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row>
    <row r="401" spans="1:26" ht="15.75" customHeight="1">
      <c r="A401" s="126"/>
      <c r="B401" s="126"/>
      <c r="C401" s="176"/>
      <c r="D401" s="17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row>
    <row r="402" spans="1:26" ht="15.75" customHeight="1">
      <c r="A402" s="126"/>
      <c r="B402" s="126"/>
      <c r="C402" s="176"/>
      <c r="D402" s="17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row>
    <row r="403" spans="1:26" ht="15.75" customHeight="1">
      <c r="A403" s="126"/>
      <c r="B403" s="126"/>
      <c r="C403" s="176"/>
      <c r="D403" s="17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row>
    <row r="404" spans="1:26" ht="15.75" customHeight="1">
      <c r="A404" s="126"/>
      <c r="B404" s="126"/>
      <c r="C404" s="176"/>
      <c r="D404" s="17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row>
    <row r="405" spans="1:26" ht="15.75" customHeight="1">
      <c r="A405" s="126"/>
      <c r="B405" s="126"/>
      <c r="C405" s="176"/>
      <c r="D405" s="17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row>
    <row r="406" spans="1:26" ht="15.75" customHeight="1">
      <c r="A406" s="126"/>
      <c r="B406" s="126"/>
      <c r="C406" s="176"/>
      <c r="D406" s="17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row>
    <row r="407" spans="1:26" ht="15.75" customHeight="1">
      <c r="A407" s="126"/>
      <c r="B407" s="126"/>
      <c r="C407" s="176"/>
      <c r="D407" s="17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row>
    <row r="408" spans="1:26" ht="15.75" customHeight="1">
      <c r="A408" s="126"/>
      <c r="B408" s="126"/>
      <c r="C408" s="176"/>
      <c r="D408" s="17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row>
    <row r="409" spans="1:26" ht="15.75" customHeight="1">
      <c r="A409" s="126"/>
      <c r="B409" s="126"/>
      <c r="C409" s="176"/>
      <c r="D409" s="17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row>
    <row r="410" spans="1:26" ht="15.75" customHeight="1">
      <c r="A410" s="126"/>
      <c r="B410" s="126"/>
      <c r="C410" s="176"/>
      <c r="D410" s="17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row>
    <row r="411" spans="1:26" ht="15.75" customHeight="1">
      <c r="A411" s="126"/>
      <c r="B411" s="126"/>
      <c r="C411" s="176"/>
      <c r="D411" s="17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row>
    <row r="412" spans="1:26" ht="15.75" customHeight="1">
      <c r="A412" s="126"/>
      <c r="B412" s="126"/>
      <c r="C412" s="176"/>
      <c r="D412" s="17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row>
    <row r="413" spans="1:26" ht="15.75" customHeight="1">
      <c r="A413" s="126"/>
      <c r="B413" s="126"/>
      <c r="C413" s="176"/>
      <c r="D413" s="17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row>
    <row r="414" spans="1:26" ht="15.75" customHeight="1">
      <c r="A414" s="126"/>
      <c r="B414" s="126"/>
      <c r="C414" s="176"/>
      <c r="D414" s="17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row>
    <row r="415" spans="1:26" ht="15.75" customHeight="1">
      <c r="A415" s="126"/>
      <c r="B415" s="126"/>
      <c r="C415" s="176"/>
      <c r="D415" s="17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row>
    <row r="416" spans="1:26" ht="15.75" customHeight="1">
      <c r="A416" s="126"/>
      <c r="B416" s="126"/>
      <c r="C416" s="176"/>
      <c r="D416" s="17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row>
    <row r="417" spans="1:26" ht="15.75" customHeight="1">
      <c r="A417" s="126"/>
      <c r="B417" s="126"/>
      <c r="C417" s="176"/>
      <c r="D417" s="17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row>
    <row r="418" spans="1:26" ht="15.75" customHeight="1">
      <c r="A418" s="126"/>
      <c r="B418" s="126"/>
      <c r="C418" s="176"/>
      <c r="D418" s="17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row>
    <row r="419" spans="1:26" ht="15.75" customHeight="1">
      <c r="A419" s="126"/>
      <c r="B419" s="126"/>
      <c r="C419" s="176"/>
      <c r="D419" s="17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row>
    <row r="420" spans="1:26" ht="15.75" customHeight="1">
      <c r="A420" s="126"/>
      <c r="B420" s="126"/>
      <c r="C420" s="176"/>
      <c r="D420" s="17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row>
    <row r="421" spans="1:26" ht="15.75" customHeight="1">
      <c r="A421" s="126"/>
      <c r="B421" s="126"/>
      <c r="C421" s="176"/>
      <c r="D421" s="17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row>
    <row r="422" spans="1:26" ht="15.75" customHeight="1">
      <c r="A422" s="126"/>
      <c r="B422" s="126"/>
      <c r="C422" s="176"/>
      <c r="D422" s="17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row>
    <row r="423" spans="1:26" ht="15.75" customHeight="1">
      <c r="A423" s="126"/>
      <c r="B423" s="126"/>
      <c r="C423" s="176"/>
      <c r="D423" s="17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row>
    <row r="424" spans="1:26" ht="15.75" customHeight="1">
      <c r="A424" s="126"/>
      <c r="B424" s="126"/>
      <c r="C424" s="176"/>
      <c r="D424" s="17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row>
    <row r="425" spans="1:26" ht="15.75" customHeight="1">
      <c r="A425" s="126"/>
      <c r="B425" s="126"/>
      <c r="C425" s="176"/>
      <c r="D425" s="17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row>
    <row r="426" spans="1:26" ht="15.75" customHeight="1">
      <c r="A426" s="126"/>
      <c r="B426" s="126"/>
      <c r="C426" s="176"/>
      <c r="D426" s="17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row>
    <row r="427" spans="1:26" ht="15.75" customHeight="1">
      <c r="A427" s="126"/>
      <c r="B427" s="126"/>
      <c r="C427" s="176"/>
      <c r="D427" s="17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row>
    <row r="428" spans="1:26" ht="15.75" customHeight="1">
      <c r="A428" s="126"/>
      <c r="B428" s="126"/>
      <c r="C428" s="176"/>
      <c r="D428" s="17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row>
    <row r="429" spans="1:26" ht="15.75" customHeight="1">
      <c r="A429" s="126"/>
      <c r="B429" s="126"/>
      <c r="C429" s="176"/>
      <c r="D429" s="17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row>
    <row r="430" spans="1:26" ht="15.75" customHeight="1">
      <c r="A430" s="126"/>
      <c r="B430" s="126"/>
      <c r="C430" s="176"/>
      <c r="D430" s="17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row>
    <row r="431" spans="1:26" ht="15.75" customHeight="1">
      <c r="A431" s="126"/>
      <c r="B431" s="126"/>
      <c r="C431" s="176"/>
      <c r="D431" s="17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row>
    <row r="432" spans="1:26" ht="15.75" customHeight="1">
      <c r="A432" s="126"/>
      <c r="B432" s="126"/>
      <c r="C432" s="176"/>
      <c r="D432" s="17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row>
    <row r="433" spans="1:26" ht="15.75" customHeight="1">
      <c r="A433" s="126"/>
      <c r="B433" s="126"/>
      <c r="C433" s="176"/>
      <c r="D433" s="17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row>
    <row r="434" spans="1:26" ht="15.75" customHeight="1">
      <c r="A434" s="126"/>
      <c r="B434" s="126"/>
      <c r="C434" s="176"/>
      <c r="D434" s="17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row>
    <row r="435" spans="1:26" ht="15.75" customHeight="1">
      <c r="A435" s="126"/>
      <c r="B435" s="126"/>
      <c r="C435" s="176"/>
      <c r="D435" s="17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row>
    <row r="436" spans="1:26" ht="15.75" customHeight="1">
      <c r="A436" s="126"/>
      <c r="B436" s="126"/>
      <c r="C436" s="176"/>
      <c r="D436" s="17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row>
    <row r="437" spans="1:26" ht="15.75" customHeight="1">
      <c r="A437" s="126"/>
      <c r="B437" s="126"/>
      <c r="C437" s="176"/>
      <c r="D437" s="17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row>
    <row r="438" spans="1:26" ht="15.75" customHeight="1">
      <c r="A438" s="126"/>
      <c r="B438" s="126"/>
      <c r="C438" s="176"/>
      <c r="D438" s="17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row>
    <row r="439" spans="1:26" ht="15.75" customHeight="1">
      <c r="A439" s="126"/>
      <c r="B439" s="126"/>
      <c r="C439" s="176"/>
      <c r="D439" s="17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row>
    <row r="440" spans="1:26" ht="15.75" customHeight="1">
      <c r="A440" s="126"/>
      <c r="B440" s="126"/>
      <c r="C440" s="176"/>
      <c r="D440" s="17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row>
    <row r="441" spans="1:26" ht="15.75" customHeight="1">
      <c r="A441" s="126"/>
      <c r="B441" s="126"/>
      <c r="C441" s="176"/>
      <c r="D441" s="17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row>
    <row r="442" spans="1:26" ht="15.75" customHeight="1">
      <c r="A442" s="126"/>
      <c r="B442" s="126"/>
      <c r="C442" s="176"/>
      <c r="D442" s="17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row>
    <row r="443" spans="1:26" ht="15.75" customHeight="1">
      <c r="A443" s="126"/>
      <c r="B443" s="126"/>
      <c r="C443" s="176"/>
      <c r="D443" s="17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row>
    <row r="444" spans="1:26" ht="15.75" customHeight="1">
      <c r="A444" s="126"/>
      <c r="B444" s="126"/>
      <c r="C444" s="176"/>
      <c r="D444" s="17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row>
    <row r="445" spans="1:26" ht="15.75" customHeight="1">
      <c r="A445" s="126"/>
      <c r="B445" s="126"/>
      <c r="C445" s="176"/>
      <c r="D445" s="17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row>
    <row r="446" spans="1:26" ht="15.75" customHeight="1">
      <c r="A446" s="126"/>
      <c r="B446" s="126"/>
      <c r="C446" s="176"/>
      <c r="D446" s="17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row>
    <row r="447" spans="1:26" ht="15.75" customHeight="1">
      <c r="A447" s="126"/>
      <c r="B447" s="126"/>
      <c r="C447" s="176"/>
      <c r="D447" s="17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row>
    <row r="448" spans="1:26" ht="15.75" customHeight="1">
      <c r="A448" s="126"/>
      <c r="B448" s="126"/>
      <c r="C448" s="176"/>
      <c r="D448" s="17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row>
    <row r="449" spans="1:26" ht="15.75" customHeight="1">
      <c r="A449" s="126"/>
      <c r="B449" s="126"/>
      <c r="C449" s="176"/>
      <c r="D449" s="17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row>
    <row r="450" spans="1:26" ht="15.75" customHeight="1">
      <c r="A450" s="126"/>
      <c r="B450" s="126"/>
      <c r="C450" s="176"/>
      <c r="D450" s="17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row>
    <row r="451" spans="1:26" ht="15.75" customHeight="1">
      <c r="A451" s="126"/>
      <c r="B451" s="126"/>
      <c r="C451" s="176"/>
      <c r="D451" s="17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row>
    <row r="452" spans="1:26" ht="15.75" customHeight="1">
      <c r="A452" s="126"/>
      <c r="B452" s="126"/>
      <c r="C452" s="176"/>
      <c r="D452" s="17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row>
    <row r="453" spans="1:26" ht="15.75" customHeight="1">
      <c r="A453" s="126"/>
      <c r="B453" s="126"/>
      <c r="C453" s="176"/>
      <c r="D453" s="17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row>
    <row r="454" spans="1:26" ht="15.75" customHeight="1">
      <c r="A454" s="126"/>
      <c r="B454" s="126"/>
      <c r="C454" s="176"/>
      <c r="D454" s="17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row>
    <row r="455" spans="1:26" ht="15.75" customHeight="1">
      <c r="A455" s="126"/>
      <c r="B455" s="126"/>
      <c r="C455" s="176"/>
      <c r="D455" s="17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row>
    <row r="456" spans="1:26" ht="15.75" customHeight="1">
      <c r="A456" s="126"/>
      <c r="B456" s="126"/>
      <c r="C456" s="176"/>
      <c r="D456" s="17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row>
    <row r="457" spans="1:26" ht="15.75" customHeight="1">
      <c r="A457" s="126"/>
      <c r="B457" s="126"/>
      <c r="C457" s="176"/>
      <c r="D457" s="17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row>
    <row r="458" spans="1:26" ht="15.75" customHeight="1">
      <c r="A458" s="126"/>
      <c r="B458" s="126"/>
      <c r="C458" s="176"/>
      <c r="D458" s="17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row>
    <row r="459" spans="1:26" ht="15.75" customHeight="1">
      <c r="A459" s="126"/>
      <c r="B459" s="126"/>
      <c r="C459" s="176"/>
      <c r="D459" s="17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row>
    <row r="460" spans="1:26" ht="15.75" customHeight="1">
      <c r="A460" s="126"/>
      <c r="B460" s="126"/>
      <c r="C460" s="176"/>
      <c r="D460" s="17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6"/>
    </row>
    <row r="461" spans="1:26" ht="15.75" customHeight="1">
      <c r="A461" s="126"/>
      <c r="B461" s="126"/>
      <c r="C461" s="176"/>
      <c r="D461" s="17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6"/>
    </row>
    <row r="462" spans="1:26" ht="15.75" customHeight="1">
      <c r="A462" s="126"/>
      <c r="B462" s="126"/>
      <c r="C462" s="176"/>
      <c r="D462" s="17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6"/>
    </row>
    <row r="463" spans="1:26" ht="15.75" customHeight="1">
      <c r="A463" s="126"/>
      <c r="B463" s="126"/>
      <c r="C463" s="176"/>
      <c r="D463" s="17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6"/>
    </row>
    <row r="464" spans="1:26" ht="15.75" customHeight="1">
      <c r="A464" s="126"/>
      <c r="B464" s="126"/>
      <c r="C464" s="176"/>
      <c r="D464" s="17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row>
    <row r="465" spans="1:26" ht="15.75" customHeight="1">
      <c r="A465" s="126"/>
      <c r="B465" s="126"/>
      <c r="C465" s="176"/>
      <c r="D465" s="17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6"/>
    </row>
    <row r="466" spans="1:26" ht="15.75" customHeight="1">
      <c r="A466" s="126"/>
      <c r="B466" s="126"/>
      <c r="C466" s="176"/>
      <c r="D466" s="17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row>
    <row r="467" spans="1:26" ht="15.75" customHeight="1">
      <c r="A467" s="126"/>
      <c r="B467" s="126"/>
      <c r="C467" s="176"/>
      <c r="D467" s="176"/>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row>
    <row r="468" spans="1:26" ht="15.75" customHeight="1">
      <c r="A468" s="126"/>
      <c r="B468" s="126"/>
      <c r="C468" s="176"/>
      <c r="D468" s="17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row>
    <row r="469" spans="1:26" ht="15.75" customHeight="1">
      <c r="A469" s="126"/>
      <c r="B469" s="126"/>
      <c r="C469" s="176"/>
      <c r="D469" s="17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row>
    <row r="470" spans="1:26" ht="15.75" customHeight="1">
      <c r="A470" s="126"/>
      <c r="B470" s="126"/>
      <c r="C470" s="176"/>
      <c r="D470" s="17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row>
    <row r="471" spans="1:26" ht="15.75" customHeight="1">
      <c r="A471" s="126"/>
      <c r="B471" s="126"/>
      <c r="C471" s="176"/>
      <c r="D471" s="17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row>
    <row r="472" spans="1:26" ht="15.75" customHeight="1">
      <c r="A472" s="126"/>
      <c r="B472" s="126"/>
      <c r="C472" s="176"/>
      <c r="D472" s="17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row>
    <row r="473" spans="1:26" ht="15.75" customHeight="1">
      <c r="A473" s="126"/>
      <c r="B473" s="126"/>
      <c r="C473" s="176"/>
      <c r="D473" s="17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row>
    <row r="474" spans="1:26" ht="15.75" customHeight="1">
      <c r="A474" s="126"/>
      <c r="B474" s="126"/>
      <c r="C474" s="176"/>
      <c r="D474" s="17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row>
    <row r="475" spans="1:26" ht="15.75" customHeight="1">
      <c r="A475" s="126"/>
      <c r="B475" s="126"/>
      <c r="C475" s="176"/>
      <c r="D475" s="176"/>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row>
    <row r="476" spans="1:26" ht="15.75" customHeight="1">
      <c r="A476" s="126"/>
      <c r="B476" s="126"/>
      <c r="C476" s="176"/>
      <c r="D476" s="176"/>
      <c r="E476" s="126"/>
      <c r="F476" s="126"/>
      <c r="G476" s="126"/>
      <c r="H476" s="126"/>
      <c r="I476" s="126"/>
      <c r="J476" s="126"/>
      <c r="K476" s="126"/>
      <c r="L476" s="126"/>
      <c r="M476" s="126"/>
      <c r="N476" s="126"/>
      <c r="O476" s="126"/>
      <c r="P476" s="126"/>
      <c r="Q476" s="126"/>
      <c r="R476" s="126"/>
      <c r="S476" s="126"/>
      <c r="T476" s="126"/>
      <c r="U476" s="126"/>
      <c r="V476" s="126"/>
      <c r="W476" s="126"/>
      <c r="X476" s="126"/>
      <c r="Y476" s="126"/>
      <c r="Z476" s="126"/>
    </row>
    <row r="477" spans="1:26" ht="15.75" customHeight="1">
      <c r="A477" s="126"/>
      <c r="B477" s="126"/>
      <c r="C477" s="176"/>
      <c r="D477" s="176"/>
      <c r="E477" s="126"/>
      <c r="F477" s="126"/>
      <c r="G477" s="126"/>
      <c r="H477" s="126"/>
      <c r="I477" s="126"/>
      <c r="J477" s="126"/>
      <c r="K477" s="126"/>
      <c r="L477" s="126"/>
      <c r="M477" s="126"/>
      <c r="N477" s="126"/>
      <c r="O477" s="126"/>
      <c r="P477" s="126"/>
      <c r="Q477" s="126"/>
      <c r="R477" s="126"/>
      <c r="S477" s="126"/>
      <c r="T477" s="126"/>
      <c r="U477" s="126"/>
      <c r="V477" s="126"/>
      <c r="W477" s="126"/>
      <c r="X477" s="126"/>
      <c r="Y477" s="126"/>
      <c r="Z477" s="126"/>
    </row>
    <row r="478" spans="1:26" ht="15.75" customHeight="1">
      <c r="A478" s="126"/>
      <c r="B478" s="126"/>
      <c r="C478" s="176"/>
      <c r="D478" s="17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row>
    <row r="479" spans="1:26" ht="15.75" customHeight="1">
      <c r="A479" s="126"/>
      <c r="B479" s="126"/>
      <c r="C479" s="176"/>
      <c r="D479" s="17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row>
    <row r="480" spans="1:26" ht="15.75" customHeight="1">
      <c r="A480" s="126"/>
      <c r="B480" s="126"/>
      <c r="C480" s="176"/>
      <c r="D480" s="17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row>
    <row r="481" spans="1:26" ht="15.75" customHeight="1">
      <c r="A481" s="126"/>
      <c r="B481" s="126"/>
      <c r="C481" s="176"/>
      <c r="D481" s="17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row>
    <row r="482" spans="1:26" ht="15.75" customHeight="1">
      <c r="A482" s="126"/>
      <c r="B482" s="126"/>
      <c r="C482" s="176"/>
      <c r="D482" s="17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row>
    <row r="483" spans="1:26" ht="15.75" customHeight="1">
      <c r="A483" s="126"/>
      <c r="B483" s="126"/>
      <c r="C483" s="176"/>
      <c r="D483" s="17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row>
    <row r="484" spans="1:26" ht="15.75" customHeight="1">
      <c r="A484" s="126"/>
      <c r="B484" s="126"/>
      <c r="C484" s="176"/>
      <c r="D484" s="176"/>
      <c r="E484" s="126"/>
      <c r="F484" s="126"/>
      <c r="G484" s="126"/>
      <c r="H484" s="126"/>
      <c r="I484" s="126"/>
      <c r="J484" s="126"/>
      <c r="K484" s="126"/>
      <c r="L484" s="126"/>
      <c r="M484" s="126"/>
      <c r="N484" s="126"/>
      <c r="O484" s="126"/>
      <c r="P484" s="126"/>
      <c r="Q484" s="126"/>
      <c r="R484" s="126"/>
      <c r="S484" s="126"/>
      <c r="T484" s="126"/>
      <c r="U484" s="126"/>
      <c r="V484" s="126"/>
      <c r="W484" s="126"/>
      <c r="X484" s="126"/>
      <c r="Y484" s="126"/>
      <c r="Z484" s="126"/>
    </row>
    <row r="485" spans="1:26" ht="15.75" customHeight="1">
      <c r="A485" s="126"/>
      <c r="B485" s="126"/>
      <c r="C485" s="176"/>
      <c r="D485" s="176"/>
      <c r="E485" s="126"/>
      <c r="F485" s="126"/>
      <c r="G485" s="126"/>
      <c r="H485" s="126"/>
      <c r="I485" s="126"/>
      <c r="J485" s="126"/>
      <c r="K485" s="126"/>
      <c r="L485" s="126"/>
      <c r="M485" s="126"/>
      <c r="N485" s="126"/>
      <c r="O485" s="126"/>
      <c r="P485" s="126"/>
      <c r="Q485" s="126"/>
      <c r="R485" s="126"/>
      <c r="S485" s="126"/>
      <c r="T485" s="126"/>
      <c r="U485" s="126"/>
      <c r="V485" s="126"/>
      <c r="W485" s="126"/>
      <c r="X485" s="126"/>
      <c r="Y485" s="126"/>
      <c r="Z485" s="126"/>
    </row>
    <row r="486" spans="1:26" ht="15.75" customHeight="1">
      <c r="A486" s="126"/>
      <c r="B486" s="126"/>
      <c r="C486" s="176"/>
      <c r="D486" s="17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6"/>
    </row>
    <row r="487" spans="1:26" ht="15.75" customHeight="1">
      <c r="A487" s="126"/>
      <c r="B487" s="126"/>
      <c r="C487" s="176"/>
      <c r="D487" s="176"/>
      <c r="E487" s="126"/>
      <c r="F487" s="126"/>
      <c r="G487" s="126"/>
      <c r="H487" s="126"/>
      <c r="I487" s="126"/>
      <c r="J487" s="126"/>
      <c r="K487" s="126"/>
      <c r="L487" s="126"/>
      <c r="M487" s="126"/>
      <c r="N487" s="126"/>
      <c r="O487" s="126"/>
      <c r="P487" s="126"/>
      <c r="Q487" s="126"/>
      <c r="R487" s="126"/>
      <c r="S487" s="126"/>
      <c r="T487" s="126"/>
      <c r="U487" s="126"/>
      <c r="V487" s="126"/>
      <c r="W487" s="126"/>
      <c r="X487" s="126"/>
      <c r="Y487" s="126"/>
      <c r="Z487" s="126"/>
    </row>
    <row r="488" spans="1:26" ht="15.75" customHeight="1">
      <c r="A488" s="126"/>
      <c r="B488" s="126"/>
      <c r="C488" s="176"/>
      <c r="D488" s="176"/>
      <c r="E488" s="126"/>
      <c r="F488" s="126"/>
      <c r="G488" s="126"/>
      <c r="H488" s="126"/>
      <c r="I488" s="126"/>
      <c r="J488" s="126"/>
      <c r="K488" s="126"/>
      <c r="L488" s="126"/>
      <c r="M488" s="126"/>
      <c r="N488" s="126"/>
      <c r="O488" s="126"/>
      <c r="P488" s="126"/>
      <c r="Q488" s="126"/>
      <c r="R488" s="126"/>
      <c r="S488" s="126"/>
      <c r="T488" s="126"/>
      <c r="U488" s="126"/>
      <c r="V488" s="126"/>
      <c r="W488" s="126"/>
      <c r="X488" s="126"/>
      <c r="Y488" s="126"/>
      <c r="Z488" s="126"/>
    </row>
    <row r="489" spans="1:26" ht="15.75" customHeight="1">
      <c r="A489" s="126"/>
      <c r="B489" s="126"/>
      <c r="C489" s="176"/>
      <c r="D489" s="176"/>
      <c r="E489" s="126"/>
      <c r="F489" s="126"/>
      <c r="G489" s="126"/>
      <c r="H489" s="126"/>
      <c r="I489" s="126"/>
      <c r="J489" s="126"/>
      <c r="K489" s="126"/>
      <c r="L489" s="126"/>
      <c r="M489" s="126"/>
      <c r="N489" s="126"/>
      <c r="O489" s="126"/>
      <c r="P489" s="126"/>
      <c r="Q489" s="126"/>
      <c r="R489" s="126"/>
      <c r="S489" s="126"/>
      <c r="T489" s="126"/>
      <c r="U489" s="126"/>
      <c r="V489" s="126"/>
      <c r="W489" s="126"/>
      <c r="X489" s="126"/>
      <c r="Y489" s="126"/>
      <c r="Z489" s="126"/>
    </row>
    <row r="490" spans="1:26" ht="15.75" customHeight="1">
      <c r="A490" s="126"/>
      <c r="B490" s="126"/>
      <c r="C490" s="176"/>
      <c r="D490" s="176"/>
      <c r="E490" s="126"/>
      <c r="F490" s="126"/>
      <c r="G490" s="126"/>
      <c r="H490" s="126"/>
      <c r="I490" s="126"/>
      <c r="J490" s="126"/>
      <c r="K490" s="126"/>
      <c r="L490" s="126"/>
      <c r="M490" s="126"/>
      <c r="N490" s="126"/>
      <c r="O490" s="126"/>
      <c r="P490" s="126"/>
      <c r="Q490" s="126"/>
      <c r="R490" s="126"/>
      <c r="S490" s="126"/>
      <c r="T490" s="126"/>
      <c r="U490" s="126"/>
      <c r="V490" s="126"/>
      <c r="W490" s="126"/>
      <c r="X490" s="126"/>
      <c r="Y490" s="126"/>
      <c r="Z490" s="126"/>
    </row>
    <row r="491" spans="1:26" ht="15.75" customHeight="1">
      <c r="A491" s="126"/>
      <c r="B491" s="126"/>
      <c r="C491" s="176"/>
      <c r="D491" s="17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6"/>
    </row>
    <row r="492" spans="1:26" ht="15.75" customHeight="1">
      <c r="A492" s="126"/>
      <c r="B492" s="126"/>
      <c r="C492" s="176"/>
      <c r="D492" s="176"/>
      <c r="E492" s="126"/>
      <c r="F492" s="126"/>
      <c r="G492" s="126"/>
      <c r="H492" s="126"/>
      <c r="I492" s="126"/>
      <c r="J492" s="126"/>
      <c r="K492" s="126"/>
      <c r="L492" s="126"/>
      <c r="M492" s="126"/>
      <c r="N492" s="126"/>
      <c r="O492" s="126"/>
      <c r="P492" s="126"/>
      <c r="Q492" s="126"/>
      <c r="R492" s="126"/>
      <c r="S492" s="126"/>
      <c r="T492" s="126"/>
      <c r="U492" s="126"/>
      <c r="V492" s="126"/>
      <c r="W492" s="126"/>
      <c r="X492" s="126"/>
      <c r="Y492" s="126"/>
      <c r="Z492" s="126"/>
    </row>
    <row r="493" spans="1:26" ht="15.75" customHeight="1">
      <c r="A493" s="126"/>
      <c r="B493" s="126"/>
      <c r="C493" s="176"/>
      <c r="D493" s="176"/>
      <c r="E493" s="126"/>
      <c r="F493" s="126"/>
      <c r="G493" s="126"/>
      <c r="H493" s="126"/>
      <c r="I493" s="126"/>
      <c r="J493" s="126"/>
      <c r="K493" s="126"/>
      <c r="L493" s="126"/>
      <c r="M493" s="126"/>
      <c r="N493" s="126"/>
      <c r="O493" s="126"/>
      <c r="P493" s="126"/>
      <c r="Q493" s="126"/>
      <c r="R493" s="126"/>
      <c r="S493" s="126"/>
      <c r="T493" s="126"/>
      <c r="U493" s="126"/>
      <c r="V493" s="126"/>
      <c r="W493" s="126"/>
      <c r="X493" s="126"/>
      <c r="Y493" s="126"/>
      <c r="Z493" s="126"/>
    </row>
    <row r="494" spans="1:26" ht="15.75" customHeight="1">
      <c r="A494" s="126"/>
      <c r="B494" s="126"/>
      <c r="C494" s="176"/>
      <c r="D494" s="176"/>
      <c r="E494" s="126"/>
      <c r="F494" s="126"/>
      <c r="G494" s="126"/>
      <c r="H494" s="126"/>
      <c r="I494" s="126"/>
      <c r="J494" s="126"/>
      <c r="K494" s="126"/>
      <c r="L494" s="126"/>
      <c r="M494" s="126"/>
      <c r="N494" s="126"/>
      <c r="O494" s="126"/>
      <c r="P494" s="126"/>
      <c r="Q494" s="126"/>
      <c r="R494" s="126"/>
      <c r="S494" s="126"/>
      <c r="T494" s="126"/>
      <c r="U494" s="126"/>
      <c r="V494" s="126"/>
      <c r="W494" s="126"/>
      <c r="X494" s="126"/>
      <c r="Y494" s="126"/>
      <c r="Z494" s="126"/>
    </row>
    <row r="495" spans="1:26" ht="15.75" customHeight="1">
      <c r="A495" s="126"/>
      <c r="B495" s="126"/>
      <c r="C495" s="176"/>
      <c r="D495" s="17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row>
    <row r="496" spans="1:26" ht="15.75" customHeight="1">
      <c r="A496" s="126"/>
      <c r="B496" s="126"/>
      <c r="C496" s="176"/>
      <c r="D496" s="17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row>
    <row r="497" spans="1:26" ht="15.75" customHeight="1">
      <c r="A497" s="126"/>
      <c r="B497" s="126"/>
      <c r="C497" s="176"/>
      <c r="D497" s="176"/>
      <c r="E497" s="126"/>
      <c r="F497" s="126"/>
      <c r="G497" s="126"/>
      <c r="H497" s="126"/>
      <c r="I497" s="126"/>
      <c r="J497" s="126"/>
      <c r="K497" s="126"/>
      <c r="L497" s="126"/>
      <c r="M497" s="126"/>
      <c r="N497" s="126"/>
      <c r="O497" s="126"/>
      <c r="P497" s="126"/>
      <c r="Q497" s="126"/>
      <c r="R497" s="126"/>
      <c r="S497" s="126"/>
      <c r="T497" s="126"/>
      <c r="U497" s="126"/>
      <c r="V497" s="126"/>
      <c r="W497" s="126"/>
      <c r="X497" s="126"/>
      <c r="Y497" s="126"/>
      <c r="Z497" s="126"/>
    </row>
    <row r="498" spans="1:26" ht="15.75" customHeight="1">
      <c r="A498" s="126"/>
      <c r="B498" s="126"/>
      <c r="C498" s="176"/>
      <c r="D498" s="176"/>
      <c r="E498" s="126"/>
      <c r="F498" s="126"/>
      <c r="G498" s="126"/>
      <c r="H498" s="126"/>
      <c r="I498" s="126"/>
      <c r="J498" s="126"/>
      <c r="K498" s="126"/>
      <c r="L498" s="126"/>
      <c r="M498" s="126"/>
      <c r="N498" s="126"/>
      <c r="O498" s="126"/>
      <c r="P498" s="126"/>
      <c r="Q498" s="126"/>
      <c r="R498" s="126"/>
      <c r="S498" s="126"/>
      <c r="T498" s="126"/>
      <c r="U498" s="126"/>
      <c r="V498" s="126"/>
      <c r="W498" s="126"/>
      <c r="X498" s="126"/>
      <c r="Y498" s="126"/>
      <c r="Z498" s="126"/>
    </row>
    <row r="499" spans="1:26" ht="15.75" customHeight="1">
      <c r="A499" s="126"/>
      <c r="B499" s="126"/>
      <c r="C499" s="176"/>
      <c r="D499" s="176"/>
      <c r="E499" s="126"/>
      <c r="F499" s="126"/>
      <c r="G499" s="126"/>
      <c r="H499" s="126"/>
      <c r="I499" s="126"/>
      <c r="J499" s="126"/>
      <c r="K499" s="126"/>
      <c r="L499" s="126"/>
      <c r="M499" s="126"/>
      <c r="N499" s="126"/>
      <c r="O499" s="126"/>
      <c r="P499" s="126"/>
      <c r="Q499" s="126"/>
      <c r="R499" s="126"/>
      <c r="S499" s="126"/>
      <c r="T499" s="126"/>
      <c r="U499" s="126"/>
      <c r="V499" s="126"/>
      <c r="W499" s="126"/>
      <c r="X499" s="126"/>
      <c r="Y499" s="126"/>
      <c r="Z499" s="126"/>
    </row>
    <row r="500" spans="1:26" ht="15.75" customHeight="1">
      <c r="A500" s="126"/>
      <c r="B500" s="126"/>
      <c r="C500" s="176"/>
      <c r="D500" s="17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row>
    <row r="501" spans="1:26" ht="15.75" customHeight="1">
      <c r="A501" s="126"/>
      <c r="B501" s="126"/>
      <c r="C501" s="176"/>
      <c r="D501" s="176"/>
      <c r="E501" s="126"/>
      <c r="F501" s="126"/>
      <c r="G501" s="126"/>
      <c r="H501" s="126"/>
      <c r="I501" s="126"/>
      <c r="J501" s="126"/>
      <c r="K501" s="126"/>
      <c r="L501" s="126"/>
      <c r="M501" s="126"/>
      <c r="N501" s="126"/>
      <c r="O501" s="126"/>
      <c r="P501" s="126"/>
      <c r="Q501" s="126"/>
      <c r="R501" s="126"/>
      <c r="S501" s="126"/>
      <c r="T501" s="126"/>
      <c r="U501" s="126"/>
      <c r="V501" s="126"/>
      <c r="W501" s="126"/>
      <c r="X501" s="126"/>
      <c r="Y501" s="126"/>
      <c r="Z501" s="126"/>
    </row>
    <row r="502" spans="1:26" ht="15.75" customHeight="1">
      <c r="A502" s="126"/>
      <c r="B502" s="126"/>
      <c r="C502" s="176"/>
      <c r="D502" s="17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row>
    <row r="503" spans="1:26" ht="15.75" customHeight="1">
      <c r="A503" s="126"/>
      <c r="B503" s="126"/>
      <c r="C503" s="176"/>
      <c r="D503" s="17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row>
    <row r="504" spans="1:26" ht="15.75" customHeight="1">
      <c r="A504" s="126"/>
      <c r="B504" s="126"/>
      <c r="C504" s="176"/>
      <c r="D504" s="17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row>
    <row r="505" spans="1:26" ht="15.75" customHeight="1">
      <c r="A505" s="126"/>
      <c r="B505" s="126"/>
      <c r="C505" s="176"/>
      <c r="D505" s="17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row>
    <row r="506" spans="1:26" ht="15.75" customHeight="1">
      <c r="A506" s="126"/>
      <c r="B506" s="126"/>
      <c r="C506" s="176"/>
      <c r="D506" s="17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row>
    <row r="507" spans="1:26" ht="15.75" customHeight="1">
      <c r="A507" s="126"/>
      <c r="B507" s="126"/>
      <c r="C507" s="176"/>
      <c r="D507" s="176"/>
      <c r="E507" s="126"/>
      <c r="F507" s="126"/>
      <c r="G507" s="126"/>
      <c r="H507" s="126"/>
      <c r="I507" s="126"/>
      <c r="J507" s="126"/>
      <c r="K507" s="126"/>
      <c r="L507" s="126"/>
      <c r="M507" s="126"/>
      <c r="N507" s="126"/>
      <c r="O507" s="126"/>
      <c r="P507" s="126"/>
      <c r="Q507" s="126"/>
      <c r="R507" s="126"/>
      <c r="S507" s="126"/>
      <c r="T507" s="126"/>
      <c r="U507" s="126"/>
      <c r="V507" s="126"/>
      <c r="W507" s="126"/>
      <c r="X507" s="126"/>
      <c r="Y507" s="126"/>
      <c r="Z507" s="126"/>
    </row>
    <row r="508" spans="1:26" ht="15.75" customHeight="1">
      <c r="A508" s="126"/>
      <c r="B508" s="126"/>
      <c r="C508" s="176"/>
      <c r="D508" s="17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6"/>
    </row>
    <row r="509" spans="1:26" ht="15.75" customHeight="1">
      <c r="A509" s="126"/>
      <c r="B509" s="126"/>
      <c r="C509" s="176"/>
      <c r="D509" s="17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6"/>
    </row>
    <row r="510" spans="1:26" ht="15.75" customHeight="1">
      <c r="A510" s="126"/>
      <c r="B510" s="126"/>
      <c r="C510" s="176"/>
      <c r="D510" s="17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row>
    <row r="511" spans="1:26" ht="15.75" customHeight="1">
      <c r="A511" s="126"/>
      <c r="B511" s="126"/>
      <c r="C511" s="176"/>
      <c r="D511" s="17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row>
    <row r="512" spans="1:26" ht="15.75" customHeight="1">
      <c r="A512" s="126"/>
      <c r="B512" s="126"/>
      <c r="C512" s="176"/>
      <c r="D512" s="17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row>
    <row r="513" spans="1:26" ht="15.75" customHeight="1">
      <c r="A513" s="126"/>
      <c r="B513" s="126"/>
      <c r="C513" s="176"/>
      <c r="D513" s="17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row>
    <row r="514" spans="1:26" ht="15.75" customHeight="1">
      <c r="A514" s="126"/>
      <c r="B514" s="126"/>
      <c r="C514" s="176"/>
      <c r="D514" s="17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row>
    <row r="515" spans="1:26" ht="15.75" customHeight="1">
      <c r="A515" s="126"/>
      <c r="B515" s="126"/>
      <c r="C515" s="176"/>
      <c r="D515" s="17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row>
    <row r="516" spans="1:26" ht="15.75" customHeight="1">
      <c r="A516" s="126"/>
      <c r="B516" s="126"/>
      <c r="C516" s="176"/>
      <c r="D516" s="176"/>
      <c r="E516" s="126"/>
      <c r="F516" s="126"/>
      <c r="G516" s="126"/>
      <c r="H516" s="126"/>
      <c r="I516" s="126"/>
      <c r="J516" s="126"/>
      <c r="K516" s="126"/>
      <c r="L516" s="126"/>
      <c r="M516" s="126"/>
      <c r="N516" s="126"/>
      <c r="O516" s="126"/>
      <c r="P516" s="126"/>
      <c r="Q516" s="126"/>
      <c r="R516" s="126"/>
      <c r="S516" s="126"/>
      <c r="T516" s="126"/>
      <c r="U516" s="126"/>
      <c r="V516" s="126"/>
      <c r="W516" s="126"/>
      <c r="X516" s="126"/>
      <c r="Y516" s="126"/>
      <c r="Z516" s="126"/>
    </row>
    <row r="517" spans="1:26" ht="15.75" customHeight="1">
      <c r="A517" s="126"/>
      <c r="B517" s="126"/>
      <c r="C517" s="176"/>
      <c r="D517" s="176"/>
      <c r="E517" s="126"/>
      <c r="F517" s="126"/>
      <c r="G517" s="126"/>
      <c r="H517" s="126"/>
      <c r="I517" s="126"/>
      <c r="J517" s="126"/>
      <c r="K517" s="126"/>
      <c r="L517" s="126"/>
      <c r="M517" s="126"/>
      <c r="N517" s="126"/>
      <c r="O517" s="126"/>
      <c r="P517" s="126"/>
      <c r="Q517" s="126"/>
      <c r="R517" s="126"/>
      <c r="S517" s="126"/>
      <c r="T517" s="126"/>
      <c r="U517" s="126"/>
      <c r="V517" s="126"/>
      <c r="W517" s="126"/>
      <c r="X517" s="126"/>
      <c r="Y517" s="126"/>
      <c r="Z517" s="126"/>
    </row>
    <row r="518" spans="1:26" ht="15.75" customHeight="1">
      <c r="A518" s="126"/>
      <c r="B518" s="126"/>
      <c r="C518" s="176"/>
      <c r="D518" s="17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6"/>
    </row>
    <row r="519" spans="1:26" ht="15.75" customHeight="1">
      <c r="A519" s="126"/>
      <c r="B519" s="126"/>
      <c r="C519" s="176"/>
      <c r="D519" s="176"/>
      <c r="E519" s="126"/>
      <c r="F519" s="126"/>
      <c r="G519" s="126"/>
      <c r="H519" s="126"/>
      <c r="I519" s="126"/>
      <c r="J519" s="126"/>
      <c r="K519" s="126"/>
      <c r="L519" s="126"/>
      <c r="M519" s="126"/>
      <c r="N519" s="126"/>
      <c r="O519" s="126"/>
      <c r="P519" s="126"/>
      <c r="Q519" s="126"/>
      <c r="R519" s="126"/>
      <c r="S519" s="126"/>
      <c r="T519" s="126"/>
      <c r="U519" s="126"/>
      <c r="V519" s="126"/>
      <c r="W519" s="126"/>
      <c r="X519" s="126"/>
      <c r="Y519" s="126"/>
      <c r="Z519" s="126"/>
    </row>
    <row r="520" spans="1:26" ht="15.75" customHeight="1">
      <c r="A520" s="126"/>
      <c r="B520" s="126"/>
      <c r="C520" s="176"/>
      <c r="D520" s="17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row>
    <row r="521" spans="1:26" ht="15.75" customHeight="1">
      <c r="A521" s="126"/>
      <c r="B521" s="126"/>
      <c r="C521" s="176"/>
      <c r="D521" s="17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row>
    <row r="522" spans="1:26" ht="15.75" customHeight="1">
      <c r="A522" s="126"/>
      <c r="B522" s="126"/>
      <c r="C522" s="176"/>
      <c r="D522" s="176"/>
      <c r="E522" s="126"/>
      <c r="F522" s="126"/>
      <c r="G522" s="126"/>
      <c r="H522" s="126"/>
      <c r="I522" s="126"/>
      <c r="J522" s="126"/>
      <c r="K522" s="126"/>
      <c r="L522" s="126"/>
      <c r="M522" s="126"/>
      <c r="N522" s="126"/>
      <c r="O522" s="126"/>
      <c r="P522" s="126"/>
      <c r="Q522" s="126"/>
      <c r="R522" s="126"/>
      <c r="S522" s="126"/>
      <c r="T522" s="126"/>
      <c r="U522" s="126"/>
      <c r="V522" s="126"/>
      <c r="W522" s="126"/>
      <c r="X522" s="126"/>
      <c r="Y522" s="126"/>
      <c r="Z522" s="126"/>
    </row>
    <row r="523" spans="1:26" ht="15.75" customHeight="1">
      <c r="A523" s="126"/>
      <c r="B523" s="126"/>
      <c r="C523" s="176"/>
      <c r="D523" s="176"/>
      <c r="E523" s="126"/>
      <c r="F523" s="126"/>
      <c r="G523" s="126"/>
      <c r="H523" s="126"/>
      <c r="I523" s="126"/>
      <c r="J523" s="126"/>
      <c r="K523" s="126"/>
      <c r="L523" s="126"/>
      <c r="M523" s="126"/>
      <c r="N523" s="126"/>
      <c r="O523" s="126"/>
      <c r="P523" s="126"/>
      <c r="Q523" s="126"/>
      <c r="R523" s="126"/>
      <c r="S523" s="126"/>
      <c r="T523" s="126"/>
      <c r="U523" s="126"/>
      <c r="V523" s="126"/>
      <c r="W523" s="126"/>
      <c r="X523" s="126"/>
      <c r="Y523" s="126"/>
      <c r="Z523" s="126"/>
    </row>
    <row r="524" spans="1:26" ht="15.75" customHeight="1">
      <c r="A524" s="126"/>
      <c r="B524" s="126"/>
      <c r="C524" s="176"/>
      <c r="D524" s="176"/>
      <c r="E524" s="126"/>
      <c r="F524" s="126"/>
      <c r="G524" s="126"/>
      <c r="H524" s="126"/>
      <c r="I524" s="126"/>
      <c r="J524" s="126"/>
      <c r="K524" s="126"/>
      <c r="L524" s="126"/>
      <c r="M524" s="126"/>
      <c r="N524" s="126"/>
      <c r="O524" s="126"/>
      <c r="P524" s="126"/>
      <c r="Q524" s="126"/>
      <c r="R524" s="126"/>
      <c r="S524" s="126"/>
      <c r="T524" s="126"/>
      <c r="U524" s="126"/>
      <c r="V524" s="126"/>
      <c r="W524" s="126"/>
      <c r="X524" s="126"/>
      <c r="Y524" s="126"/>
      <c r="Z524" s="126"/>
    </row>
    <row r="525" spans="1:26" ht="15.75" customHeight="1">
      <c r="A525" s="126"/>
      <c r="B525" s="126"/>
      <c r="C525" s="176"/>
      <c r="D525" s="17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row>
    <row r="526" spans="1:26" ht="15.75" customHeight="1">
      <c r="A526" s="126"/>
      <c r="B526" s="126"/>
      <c r="C526" s="176"/>
      <c r="D526" s="176"/>
      <c r="E526" s="126"/>
      <c r="F526" s="126"/>
      <c r="G526" s="126"/>
      <c r="H526" s="126"/>
      <c r="I526" s="126"/>
      <c r="J526" s="126"/>
      <c r="K526" s="126"/>
      <c r="L526" s="126"/>
      <c r="M526" s="126"/>
      <c r="N526" s="126"/>
      <c r="O526" s="126"/>
      <c r="P526" s="126"/>
      <c r="Q526" s="126"/>
      <c r="R526" s="126"/>
      <c r="S526" s="126"/>
      <c r="T526" s="126"/>
      <c r="U526" s="126"/>
      <c r="V526" s="126"/>
      <c r="W526" s="126"/>
      <c r="X526" s="126"/>
      <c r="Y526" s="126"/>
      <c r="Z526" s="126"/>
    </row>
    <row r="527" spans="1:26" ht="15.75" customHeight="1">
      <c r="A527" s="126"/>
      <c r="B527" s="126"/>
      <c r="C527" s="176"/>
      <c r="D527" s="17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row>
    <row r="528" spans="1:26" ht="15.75" customHeight="1">
      <c r="A528" s="126"/>
      <c r="B528" s="126"/>
      <c r="C528" s="176"/>
      <c r="D528" s="176"/>
      <c r="E528" s="126"/>
      <c r="F528" s="126"/>
      <c r="G528" s="126"/>
      <c r="H528" s="126"/>
      <c r="I528" s="126"/>
      <c r="J528" s="126"/>
      <c r="K528" s="126"/>
      <c r="L528" s="126"/>
      <c r="M528" s="126"/>
      <c r="N528" s="126"/>
      <c r="O528" s="126"/>
      <c r="P528" s="126"/>
      <c r="Q528" s="126"/>
      <c r="R528" s="126"/>
      <c r="S528" s="126"/>
      <c r="T528" s="126"/>
      <c r="U528" s="126"/>
      <c r="V528" s="126"/>
      <c r="W528" s="126"/>
      <c r="X528" s="126"/>
      <c r="Y528" s="126"/>
      <c r="Z528" s="126"/>
    </row>
    <row r="529" spans="1:26" ht="15.75" customHeight="1">
      <c r="A529" s="126"/>
      <c r="B529" s="126"/>
      <c r="C529" s="176"/>
      <c r="D529" s="176"/>
      <c r="E529" s="126"/>
      <c r="F529" s="126"/>
      <c r="G529" s="126"/>
      <c r="H529" s="126"/>
      <c r="I529" s="126"/>
      <c r="J529" s="126"/>
      <c r="K529" s="126"/>
      <c r="L529" s="126"/>
      <c r="M529" s="126"/>
      <c r="N529" s="126"/>
      <c r="O529" s="126"/>
      <c r="P529" s="126"/>
      <c r="Q529" s="126"/>
      <c r="R529" s="126"/>
      <c r="S529" s="126"/>
      <c r="T529" s="126"/>
      <c r="U529" s="126"/>
      <c r="V529" s="126"/>
      <c r="W529" s="126"/>
      <c r="X529" s="126"/>
      <c r="Y529" s="126"/>
      <c r="Z529" s="126"/>
    </row>
    <row r="530" spans="1:26" ht="15.75" customHeight="1">
      <c r="A530" s="126"/>
      <c r="B530" s="126"/>
      <c r="C530" s="176"/>
      <c r="D530" s="17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6"/>
    </row>
    <row r="531" spans="1:26" ht="15.75" customHeight="1">
      <c r="A531" s="126"/>
      <c r="B531" s="126"/>
      <c r="C531" s="176"/>
      <c r="D531" s="176"/>
      <c r="E531" s="126"/>
      <c r="F531" s="126"/>
      <c r="G531" s="126"/>
      <c r="H531" s="126"/>
      <c r="I531" s="126"/>
      <c r="J531" s="126"/>
      <c r="K531" s="126"/>
      <c r="L531" s="126"/>
      <c r="M531" s="126"/>
      <c r="N531" s="126"/>
      <c r="O531" s="126"/>
      <c r="P531" s="126"/>
      <c r="Q531" s="126"/>
      <c r="R531" s="126"/>
      <c r="S531" s="126"/>
      <c r="T531" s="126"/>
      <c r="U531" s="126"/>
      <c r="V531" s="126"/>
      <c r="W531" s="126"/>
      <c r="X531" s="126"/>
      <c r="Y531" s="126"/>
      <c r="Z531" s="126"/>
    </row>
    <row r="532" spans="1:26" ht="15.75" customHeight="1">
      <c r="A532" s="126"/>
      <c r="B532" s="126"/>
      <c r="C532" s="176"/>
      <c r="D532" s="176"/>
      <c r="E532" s="126"/>
      <c r="F532" s="126"/>
      <c r="G532" s="126"/>
      <c r="H532" s="126"/>
      <c r="I532" s="126"/>
      <c r="J532" s="126"/>
      <c r="K532" s="126"/>
      <c r="L532" s="126"/>
      <c r="M532" s="126"/>
      <c r="N532" s="126"/>
      <c r="O532" s="126"/>
      <c r="P532" s="126"/>
      <c r="Q532" s="126"/>
      <c r="R532" s="126"/>
      <c r="S532" s="126"/>
      <c r="T532" s="126"/>
      <c r="U532" s="126"/>
      <c r="V532" s="126"/>
      <c r="W532" s="126"/>
      <c r="X532" s="126"/>
      <c r="Y532" s="126"/>
      <c r="Z532" s="126"/>
    </row>
    <row r="533" spans="1:26" ht="15.75" customHeight="1">
      <c r="A533" s="126"/>
      <c r="B533" s="126"/>
      <c r="C533" s="176"/>
      <c r="D533" s="176"/>
      <c r="E533" s="126"/>
      <c r="F533" s="126"/>
      <c r="G533" s="126"/>
      <c r="H533" s="126"/>
      <c r="I533" s="126"/>
      <c r="J533" s="126"/>
      <c r="K533" s="126"/>
      <c r="L533" s="126"/>
      <c r="M533" s="126"/>
      <c r="N533" s="126"/>
      <c r="O533" s="126"/>
      <c r="P533" s="126"/>
      <c r="Q533" s="126"/>
      <c r="R533" s="126"/>
      <c r="S533" s="126"/>
      <c r="T533" s="126"/>
      <c r="U533" s="126"/>
      <c r="V533" s="126"/>
      <c r="W533" s="126"/>
      <c r="X533" s="126"/>
      <c r="Y533" s="126"/>
      <c r="Z533" s="126"/>
    </row>
    <row r="534" spans="1:26" ht="15.75" customHeight="1">
      <c r="A534" s="126"/>
      <c r="B534" s="126"/>
      <c r="C534" s="176"/>
      <c r="D534" s="17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row>
    <row r="535" spans="1:26" ht="15.75" customHeight="1">
      <c r="A535" s="126"/>
      <c r="B535" s="126"/>
      <c r="C535" s="176"/>
      <c r="D535" s="17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row>
    <row r="536" spans="1:26" ht="15.75" customHeight="1">
      <c r="A536" s="126"/>
      <c r="B536" s="126"/>
      <c r="C536" s="176"/>
      <c r="D536" s="17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row>
    <row r="537" spans="1:26" ht="15.75" customHeight="1">
      <c r="A537" s="126"/>
      <c r="B537" s="126"/>
      <c r="C537" s="176"/>
      <c r="D537" s="17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row>
    <row r="538" spans="1:26" ht="15.75" customHeight="1">
      <c r="A538" s="126"/>
      <c r="B538" s="126"/>
      <c r="C538" s="176"/>
      <c r="D538" s="17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row>
    <row r="539" spans="1:26" ht="15.75" customHeight="1">
      <c r="A539" s="126"/>
      <c r="B539" s="126"/>
      <c r="C539" s="176"/>
      <c r="D539" s="176"/>
      <c r="E539" s="126"/>
      <c r="F539" s="126"/>
      <c r="G539" s="126"/>
      <c r="H539" s="126"/>
      <c r="I539" s="126"/>
      <c r="J539" s="126"/>
      <c r="K539" s="126"/>
      <c r="L539" s="126"/>
      <c r="M539" s="126"/>
      <c r="N539" s="126"/>
      <c r="O539" s="126"/>
      <c r="P539" s="126"/>
      <c r="Q539" s="126"/>
      <c r="R539" s="126"/>
      <c r="S539" s="126"/>
      <c r="T539" s="126"/>
      <c r="U539" s="126"/>
      <c r="V539" s="126"/>
      <c r="W539" s="126"/>
      <c r="X539" s="126"/>
      <c r="Y539" s="126"/>
      <c r="Z539" s="126"/>
    </row>
    <row r="540" spans="1:26" ht="15.75" customHeight="1">
      <c r="A540" s="126"/>
      <c r="B540" s="126"/>
      <c r="C540" s="176"/>
      <c r="D540" s="176"/>
      <c r="E540" s="126"/>
      <c r="F540" s="126"/>
      <c r="G540" s="126"/>
      <c r="H540" s="126"/>
      <c r="I540" s="126"/>
      <c r="J540" s="126"/>
      <c r="K540" s="126"/>
      <c r="L540" s="126"/>
      <c r="M540" s="126"/>
      <c r="N540" s="126"/>
      <c r="O540" s="126"/>
      <c r="P540" s="126"/>
      <c r="Q540" s="126"/>
      <c r="R540" s="126"/>
      <c r="S540" s="126"/>
      <c r="T540" s="126"/>
      <c r="U540" s="126"/>
      <c r="V540" s="126"/>
      <c r="W540" s="126"/>
      <c r="X540" s="126"/>
      <c r="Y540" s="126"/>
      <c r="Z540" s="126"/>
    </row>
    <row r="541" spans="1:26" ht="15.75" customHeight="1">
      <c r="A541" s="126"/>
      <c r="B541" s="126"/>
      <c r="C541" s="176"/>
      <c r="D541" s="176"/>
      <c r="E541" s="126"/>
      <c r="F541" s="126"/>
      <c r="G541" s="126"/>
      <c r="H541" s="126"/>
      <c r="I541" s="126"/>
      <c r="J541" s="126"/>
      <c r="K541" s="126"/>
      <c r="L541" s="126"/>
      <c r="M541" s="126"/>
      <c r="N541" s="126"/>
      <c r="O541" s="126"/>
      <c r="P541" s="126"/>
      <c r="Q541" s="126"/>
      <c r="R541" s="126"/>
      <c r="S541" s="126"/>
      <c r="T541" s="126"/>
      <c r="U541" s="126"/>
      <c r="V541" s="126"/>
      <c r="W541" s="126"/>
      <c r="X541" s="126"/>
      <c r="Y541" s="126"/>
      <c r="Z541" s="126"/>
    </row>
    <row r="542" spans="1:26" ht="15.75" customHeight="1">
      <c r="A542" s="126"/>
      <c r="B542" s="126"/>
      <c r="C542" s="176"/>
      <c r="D542" s="176"/>
      <c r="E542" s="126"/>
      <c r="F542" s="126"/>
      <c r="G542" s="126"/>
      <c r="H542" s="126"/>
      <c r="I542" s="126"/>
      <c r="J542" s="126"/>
      <c r="K542" s="126"/>
      <c r="L542" s="126"/>
      <c r="M542" s="126"/>
      <c r="N542" s="126"/>
      <c r="O542" s="126"/>
      <c r="P542" s="126"/>
      <c r="Q542" s="126"/>
      <c r="R542" s="126"/>
      <c r="S542" s="126"/>
      <c r="T542" s="126"/>
      <c r="U542" s="126"/>
      <c r="V542" s="126"/>
      <c r="W542" s="126"/>
      <c r="X542" s="126"/>
      <c r="Y542" s="126"/>
      <c r="Z542" s="126"/>
    </row>
    <row r="543" spans="1:26" ht="15.75" customHeight="1">
      <c r="A543" s="126"/>
      <c r="B543" s="126"/>
      <c r="C543" s="176"/>
      <c r="D543" s="17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row>
    <row r="544" spans="1:26" ht="15.75" customHeight="1">
      <c r="A544" s="126"/>
      <c r="B544" s="126"/>
      <c r="C544" s="176"/>
      <c r="D544" s="17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row>
    <row r="545" spans="1:26" ht="15.75" customHeight="1">
      <c r="A545" s="126"/>
      <c r="B545" s="126"/>
      <c r="C545" s="176"/>
      <c r="D545" s="17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row>
    <row r="546" spans="1:26" ht="15.75" customHeight="1">
      <c r="A546" s="126"/>
      <c r="B546" s="126"/>
      <c r="C546" s="176"/>
      <c r="D546" s="17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row>
    <row r="547" spans="1:26" ht="15.75" customHeight="1">
      <c r="A547" s="126"/>
      <c r="B547" s="126"/>
      <c r="C547" s="176"/>
      <c r="D547" s="17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row>
    <row r="548" spans="1:26" ht="15.75" customHeight="1">
      <c r="A548" s="126"/>
      <c r="B548" s="126"/>
      <c r="C548" s="176"/>
      <c r="D548" s="176"/>
      <c r="E548" s="126"/>
      <c r="F548" s="126"/>
      <c r="G548" s="126"/>
      <c r="H548" s="126"/>
      <c r="I548" s="126"/>
      <c r="J548" s="126"/>
      <c r="K548" s="126"/>
      <c r="L548" s="126"/>
      <c r="M548" s="126"/>
      <c r="N548" s="126"/>
      <c r="O548" s="126"/>
      <c r="P548" s="126"/>
      <c r="Q548" s="126"/>
      <c r="R548" s="126"/>
      <c r="S548" s="126"/>
      <c r="T548" s="126"/>
      <c r="U548" s="126"/>
      <c r="V548" s="126"/>
      <c r="W548" s="126"/>
      <c r="X548" s="126"/>
      <c r="Y548" s="126"/>
      <c r="Z548" s="126"/>
    </row>
    <row r="549" spans="1:26" ht="15.75" customHeight="1">
      <c r="A549" s="126"/>
      <c r="B549" s="126"/>
      <c r="C549" s="176"/>
      <c r="D549" s="17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row>
    <row r="550" spans="1:26" ht="15.75" customHeight="1">
      <c r="A550" s="126"/>
      <c r="B550" s="126"/>
      <c r="C550" s="176"/>
      <c r="D550" s="17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6"/>
    </row>
    <row r="551" spans="1:26" ht="15.75" customHeight="1">
      <c r="A551" s="126"/>
      <c r="B551" s="126"/>
      <c r="C551" s="176"/>
      <c r="D551" s="17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row>
    <row r="552" spans="1:26" ht="15.75" customHeight="1">
      <c r="A552" s="126"/>
      <c r="B552" s="126"/>
      <c r="C552" s="176"/>
      <c r="D552" s="176"/>
      <c r="E552" s="126"/>
      <c r="F552" s="126"/>
      <c r="G552" s="126"/>
      <c r="H552" s="126"/>
      <c r="I552" s="126"/>
      <c r="J552" s="126"/>
      <c r="K552" s="126"/>
      <c r="L552" s="126"/>
      <c r="M552" s="126"/>
      <c r="N552" s="126"/>
      <c r="O552" s="126"/>
      <c r="P552" s="126"/>
      <c r="Q552" s="126"/>
      <c r="R552" s="126"/>
      <c r="S552" s="126"/>
      <c r="T552" s="126"/>
      <c r="U552" s="126"/>
      <c r="V552" s="126"/>
      <c r="W552" s="126"/>
      <c r="X552" s="126"/>
      <c r="Y552" s="126"/>
      <c r="Z552" s="126"/>
    </row>
    <row r="553" spans="1:26" ht="15.75" customHeight="1">
      <c r="A553" s="126"/>
      <c r="B553" s="126"/>
      <c r="C553" s="176"/>
      <c r="D553" s="176"/>
      <c r="E553" s="126"/>
      <c r="F553" s="126"/>
      <c r="G553" s="126"/>
      <c r="H553" s="126"/>
      <c r="I553" s="126"/>
      <c r="J553" s="126"/>
      <c r="K553" s="126"/>
      <c r="L553" s="126"/>
      <c r="M553" s="126"/>
      <c r="N553" s="126"/>
      <c r="O553" s="126"/>
      <c r="P553" s="126"/>
      <c r="Q553" s="126"/>
      <c r="R553" s="126"/>
      <c r="S553" s="126"/>
      <c r="T553" s="126"/>
      <c r="U553" s="126"/>
      <c r="V553" s="126"/>
      <c r="W553" s="126"/>
      <c r="X553" s="126"/>
      <c r="Y553" s="126"/>
      <c r="Z553" s="126"/>
    </row>
    <row r="554" spans="1:26" ht="15.75" customHeight="1">
      <c r="A554" s="126"/>
      <c r="B554" s="126"/>
      <c r="C554" s="176"/>
      <c r="D554" s="176"/>
      <c r="E554" s="126"/>
      <c r="F554" s="126"/>
      <c r="G554" s="126"/>
      <c r="H554" s="126"/>
      <c r="I554" s="126"/>
      <c r="J554" s="126"/>
      <c r="K554" s="126"/>
      <c r="L554" s="126"/>
      <c r="M554" s="126"/>
      <c r="N554" s="126"/>
      <c r="O554" s="126"/>
      <c r="P554" s="126"/>
      <c r="Q554" s="126"/>
      <c r="R554" s="126"/>
      <c r="S554" s="126"/>
      <c r="T554" s="126"/>
      <c r="U554" s="126"/>
      <c r="V554" s="126"/>
      <c r="W554" s="126"/>
      <c r="X554" s="126"/>
      <c r="Y554" s="126"/>
      <c r="Z554" s="126"/>
    </row>
    <row r="555" spans="1:26" ht="15.75" customHeight="1">
      <c r="A555" s="126"/>
      <c r="B555" s="126"/>
      <c r="C555" s="176"/>
      <c r="D555" s="176"/>
      <c r="E555" s="126"/>
      <c r="F555" s="126"/>
      <c r="G555" s="126"/>
      <c r="H555" s="126"/>
      <c r="I555" s="126"/>
      <c r="J555" s="126"/>
      <c r="K555" s="126"/>
      <c r="L555" s="126"/>
      <c r="M555" s="126"/>
      <c r="N555" s="126"/>
      <c r="O555" s="126"/>
      <c r="P555" s="126"/>
      <c r="Q555" s="126"/>
      <c r="R555" s="126"/>
      <c r="S555" s="126"/>
      <c r="T555" s="126"/>
      <c r="U555" s="126"/>
      <c r="V555" s="126"/>
      <c r="W555" s="126"/>
      <c r="X555" s="126"/>
      <c r="Y555" s="126"/>
      <c r="Z555" s="126"/>
    </row>
    <row r="556" spans="1:26" ht="15.75" customHeight="1">
      <c r="A556" s="126"/>
      <c r="B556" s="126"/>
      <c r="C556" s="176"/>
      <c r="D556" s="17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row>
    <row r="557" spans="1:26" ht="15.75" customHeight="1">
      <c r="A557" s="126"/>
      <c r="B557" s="126"/>
      <c r="C557" s="176"/>
      <c r="D557" s="17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row>
    <row r="558" spans="1:26" ht="15.75" customHeight="1">
      <c r="A558" s="126"/>
      <c r="B558" s="126"/>
      <c r="C558" s="176"/>
      <c r="D558" s="17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row>
    <row r="559" spans="1:26" ht="15.75" customHeight="1">
      <c r="A559" s="126"/>
      <c r="B559" s="126"/>
      <c r="C559" s="176"/>
      <c r="D559" s="17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row>
    <row r="560" spans="1:26" ht="15.75" customHeight="1">
      <c r="A560" s="126"/>
      <c r="B560" s="126"/>
      <c r="C560" s="176"/>
      <c r="D560" s="176"/>
      <c r="E560" s="126"/>
      <c r="F560" s="126"/>
      <c r="G560" s="126"/>
      <c r="H560" s="126"/>
      <c r="I560" s="126"/>
      <c r="J560" s="126"/>
      <c r="K560" s="126"/>
      <c r="L560" s="126"/>
      <c r="M560" s="126"/>
      <c r="N560" s="126"/>
      <c r="O560" s="126"/>
      <c r="P560" s="126"/>
      <c r="Q560" s="126"/>
      <c r="R560" s="126"/>
      <c r="S560" s="126"/>
      <c r="T560" s="126"/>
      <c r="U560" s="126"/>
      <c r="V560" s="126"/>
      <c r="W560" s="126"/>
      <c r="X560" s="126"/>
      <c r="Y560" s="126"/>
      <c r="Z560" s="126"/>
    </row>
    <row r="561" spans="1:26" ht="15.75" customHeight="1">
      <c r="A561" s="126"/>
      <c r="B561" s="126"/>
      <c r="C561" s="176"/>
      <c r="D561" s="17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row>
    <row r="562" spans="1:26" ht="15.75" customHeight="1">
      <c r="A562" s="126"/>
      <c r="B562" s="126"/>
      <c r="C562" s="176"/>
      <c r="D562" s="176"/>
      <c r="E562" s="126"/>
      <c r="F562" s="126"/>
      <c r="G562" s="126"/>
      <c r="H562" s="126"/>
      <c r="I562" s="126"/>
      <c r="J562" s="126"/>
      <c r="K562" s="126"/>
      <c r="L562" s="126"/>
      <c r="M562" s="126"/>
      <c r="N562" s="126"/>
      <c r="O562" s="126"/>
      <c r="P562" s="126"/>
      <c r="Q562" s="126"/>
      <c r="R562" s="126"/>
      <c r="S562" s="126"/>
      <c r="T562" s="126"/>
      <c r="U562" s="126"/>
      <c r="V562" s="126"/>
      <c r="W562" s="126"/>
      <c r="X562" s="126"/>
      <c r="Y562" s="126"/>
      <c r="Z562" s="126"/>
    </row>
    <row r="563" spans="1:26" ht="15.75" customHeight="1">
      <c r="A563" s="126"/>
      <c r="B563" s="126"/>
      <c r="C563" s="176"/>
      <c r="D563" s="17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row>
    <row r="564" spans="1:26" ht="15.75" customHeight="1">
      <c r="A564" s="126"/>
      <c r="B564" s="126"/>
      <c r="C564" s="176"/>
      <c r="D564" s="17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row>
    <row r="565" spans="1:26" ht="15.75" customHeight="1">
      <c r="A565" s="126"/>
      <c r="B565" s="126"/>
      <c r="C565" s="176"/>
      <c r="D565" s="17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row>
    <row r="566" spans="1:26" ht="15.75" customHeight="1">
      <c r="A566" s="126"/>
      <c r="B566" s="126"/>
      <c r="C566" s="176"/>
      <c r="D566" s="17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row>
    <row r="567" spans="1:26" ht="15.75" customHeight="1">
      <c r="A567" s="126"/>
      <c r="B567" s="126"/>
      <c r="C567" s="176"/>
      <c r="D567" s="17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row>
    <row r="568" spans="1:26" ht="15.75" customHeight="1">
      <c r="A568" s="126"/>
      <c r="B568" s="126"/>
      <c r="C568" s="176"/>
      <c r="D568" s="17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row>
    <row r="569" spans="1:26" ht="15.75" customHeight="1">
      <c r="A569" s="126"/>
      <c r="B569" s="126"/>
      <c r="C569" s="176"/>
      <c r="D569" s="17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row>
    <row r="570" spans="1:26" ht="15.75" customHeight="1">
      <c r="A570" s="126"/>
      <c r="B570" s="126"/>
      <c r="C570" s="176"/>
      <c r="D570" s="17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row>
    <row r="571" spans="1:26" ht="15.75" customHeight="1">
      <c r="A571" s="126"/>
      <c r="B571" s="126"/>
      <c r="C571" s="176"/>
      <c r="D571" s="17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row>
    <row r="572" spans="1:26" ht="15.75" customHeight="1">
      <c r="A572" s="126"/>
      <c r="B572" s="126"/>
      <c r="C572" s="176"/>
      <c r="D572" s="17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row>
    <row r="573" spans="1:26" ht="15.75" customHeight="1">
      <c r="A573" s="126"/>
      <c r="B573" s="126"/>
      <c r="C573" s="176"/>
      <c r="D573" s="17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row>
    <row r="574" spans="1:26" ht="15.75" customHeight="1">
      <c r="A574" s="126"/>
      <c r="B574" s="126"/>
      <c r="C574" s="176"/>
      <c r="D574" s="176"/>
      <c r="E574" s="126"/>
      <c r="F574" s="126"/>
      <c r="G574" s="126"/>
      <c r="H574" s="126"/>
      <c r="I574" s="126"/>
      <c r="J574" s="126"/>
      <c r="K574" s="126"/>
      <c r="L574" s="126"/>
      <c r="M574" s="126"/>
      <c r="N574" s="126"/>
      <c r="O574" s="126"/>
      <c r="P574" s="126"/>
      <c r="Q574" s="126"/>
      <c r="R574" s="126"/>
      <c r="S574" s="126"/>
      <c r="T574" s="126"/>
      <c r="U574" s="126"/>
      <c r="V574" s="126"/>
      <c r="W574" s="126"/>
      <c r="X574" s="126"/>
      <c r="Y574" s="126"/>
      <c r="Z574" s="126"/>
    </row>
    <row r="575" spans="1:26" ht="15.75" customHeight="1">
      <c r="A575" s="126"/>
      <c r="B575" s="126"/>
      <c r="C575" s="176"/>
      <c r="D575" s="176"/>
      <c r="E575" s="126"/>
      <c r="F575" s="126"/>
      <c r="G575" s="126"/>
      <c r="H575" s="126"/>
      <c r="I575" s="126"/>
      <c r="J575" s="126"/>
      <c r="K575" s="126"/>
      <c r="L575" s="126"/>
      <c r="M575" s="126"/>
      <c r="N575" s="126"/>
      <c r="O575" s="126"/>
      <c r="P575" s="126"/>
      <c r="Q575" s="126"/>
      <c r="R575" s="126"/>
      <c r="S575" s="126"/>
      <c r="T575" s="126"/>
      <c r="U575" s="126"/>
      <c r="V575" s="126"/>
      <c r="W575" s="126"/>
      <c r="X575" s="126"/>
      <c r="Y575" s="126"/>
      <c r="Z575" s="126"/>
    </row>
    <row r="576" spans="1:26" ht="15.75" customHeight="1">
      <c r="A576" s="126"/>
      <c r="B576" s="126"/>
      <c r="C576" s="176"/>
      <c r="D576" s="176"/>
      <c r="E576" s="126"/>
      <c r="F576" s="126"/>
      <c r="G576" s="126"/>
      <c r="H576" s="126"/>
      <c r="I576" s="126"/>
      <c r="J576" s="126"/>
      <c r="K576" s="126"/>
      <c r="L576" s="126"/>
      <c r="M576" s="126"/>
      <c r="N576" s="126"/>
      <c r="O576" s="126"/>
      <c r="P576" s="126"/>
      <c r="Q576" s="126"/>
      <c r="R576" s="126"/>
      <c r="S576" s="126"/>
      <c r="T576" s="126"/>
      <c r="U576" s="126"/>
      <c r="V576" s="126"/>
      <c r="W576" s="126"/>
      <c r="X576" s="126"/>
      <c r="Y576" s="126"/>
      <c r="Z576" s="126"/>
    </row>
    <row r="577" spans="1:26" ht="15.75" customHeight="1">
      <c r="A577" s="126"/>
      <c r="B577" s="126"/>
      <c r="C577" s="176"/>
      <c r="D577" s="176"/>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6"/>
    </row>
    <row r="578" spans="1:26" ht="15.75" customHeight="1">
      <c r="A578" s="126"/>
      <c r="B578" s="126"/>
      <c r="C578" s="176"/>
      <c r="D578" s="17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row>
    <row r="579" spans="1:26" ht="15.75" customHeight="1">
      <c r="A579" s="126"/>
      <c r="B579" s="126"/>
      <c r="C579" s="176"/>
      <c r="D579" s="17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row>
    <row r="580" spans="1:26" ht="15.75" customHeight="1">
      <c r="A580" s="126"/>
      <c r="B580" s="126"/>
      <c r="C580" s="176"/>
      <c r="D580" s="17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row>
    <row r="581" spans="1:26" ht="15.75" customHeight="1">
      <c r="A581" s="126"/>
      <c r="B581" s="126"/>
      <c r="C581" s="176"/>
      <c r="D581" s="17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row>
    <row r="582" spans="1:26" ht="15.75" customHeight="1">
      <c r="A582" s="126"/>
      <c r="B582" s="126"/>
      <c r="C582" s="176"/>
      <c r="D582" s="17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row>
    <row r="583" spans="1:26" ht="15.75" customHeight="1">
      <c r="A583" s="126"/>
      <c r="B583" s="126"/>
      <c r="C583" s="176"/>
      <c r="D583" s="17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row>
    <row r="584" spans="1:26" ht="15.75" customHeight="1">
      <c r="A584" s="126"/>
      <c r="B584" s="126"/>
      <c r="C584" s="176"/>
      <c r="D584" s="17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row>
    <row r="585" spans="1:26" ht="15.75" customHeight="1">
      <c r="A585" s="126"/>
      <c r="B585" s="126"/>
      <c r="C585" s="176"/>
      <c r="D585" s="17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row>
    <row r="586" spans="1:26" ht="15.75" customHeight="1">
      <c r="A586" s="126"/>
      <c r="B586" s="126"/>
      <c r="C586" s="176"/>
      <c r="D586" s="17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row>
    <row r="587" spans="1:26" ht="15.75" customHeight="1">
      <c r="A587" s="126"/>
      <c r="B587" s="126"/>
      <c r="C587" s="176"/>
      <c r="D587" s="17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row>
    <row r="588" spans="1:26" ht="15.75" customHeight="1">
      <c r="A588" s="126"/>
      <c r="B588" s="126"/>
      <c r="C588" s="176"/>
      <c r="D588" s="17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row>
    <row r="589" spans="1:26" ht="15.75" customHeight="1">
      <c r="A589" s="126"/>
      <c r="B589" s="126"/>
      <c r="C589" s="176"/>
      <c r="D589" s="17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row>
    <row r="590" spans="1:26" ht="15.75" customHeight="1">
      <c r="A590" s="126"/>
      <c r="B590" s="126"/>
      <c r="C590" s="176"/>
      <c r="D590" s="17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row>
    <row r="591" spans="1:26" ht="15.75" customHeight="1">
      <c r="A591" s="126"/>
      <c r="B591" s="126"/>
      <c r="C591" s="176"/>
      <c r="D591" s="17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row>
    <row r="592" spans="1:26" ht="15.75" customHeight="1">
      <c r="A592" s="126"/>
      <c r="B592" s="126"/>
      <c r="C592" s="176"/>
      <c r="D592" s="17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row>
    <row r="593" spans="1:26" ht="15.75" customHeight="1">
      <c r="A593" s="126"/>
      <c r="B593" s="126"/>
      <c r="C593" s="176"/>
      <c r="D593" s="17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row>
    <row r="594" spans="1:26" ht="15.75" customHeight="1">
      <c r="A594" s="126"/>
      <c r="B594" s="126"/>
      <c r="C594" s="176"/>
      <c r="D594" s="17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row>
    <row r="595" spans="1:26" ht="15.75" customHeight="1">
      <c r="A595" s="126"/>
      <c r="B595" s="126"/>
      <c r="C595" s="176"/>
      <c r="D595" s="17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row>
    <row r="596" spans="1:26" ht="15.75" customHeight="1">
      <c r="A596" s="126"/>
      <c r="B596" s="126"/>
      <c r="C596" s="176"/>
      <c r="D596" s="17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row>
    <row r="597" spans="1:26" ht="15.75" customHeight="1">
      <c r="A597" s="126"/>
      <c r="B597" s="126"/>
      <c r="C597" s="176"/>
      <c r="D597" s="17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row>
    <row r="598" spans="1:26" ht="15.75" customHeight="1">
      <c r="A598" s="126"/>
      <c r="B598" s="126"/>
      <c r="C598" s="176"/>
      <c r="D598" s="17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row>
    <row r="599" spans="1:26" ht="15.75" customHeight="1">
      <c r="A599" s="126"/>
      <c r="B599" s="126"/>
      <c r="C599" s="176"/>
      <c r="D599" s="17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row>
    <row r="600" spans="1:26" ht="15.75" customHeight="1">
      <c r="A600" s="126"/>
      <c r="B600" s="126"/>
      <c r="C600" s="176"/>
      <c r="D600" s="17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row>
    <row r="601" spans="1:26" ht="15.75" customHeight="1">
      <c r="A601" s="126"/>
      <c r="B601" s="126"/>
      <c r="C601" s="176"/>
      <c r="D601" s="17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row>
    <row r="602" spans="1:26" ht="15.75" customHeight="1">
      <c r="A602" s="126"/>
      <c r="B602" s="126"/>
      <c r="C602" s="176"/>
      <c r="D602" s="17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row>
    <row r="603" spans="1:26" ht="15.75" customHeight="1">
      <c r="A603" s="126"/>
      <c r="B603" s="126"/>
      <c r="C603" s="176"/>
      <c r="D603" s="17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row>
    <row r="604" spans="1:26" ht="15.75" customHeight="1">
      <c r="A604" s="126"/>
      <c r="B604" s="126"/>
      <c r="C604" s="176"/>
      <c r="D604" s="17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row>
    <row r="605" spans="1:26" ht="15.75" customHeight="1">
      <c r="A605" s="126"/>
      <c r="B605" s="126"/>
      <c r="C605" s="176"/>
      <c r="D605" s="17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row>
    <row r="606" spans="1:26" ht="15.75" customHeight="1">
      <c r="A606" s="126"/>
      <c r="B606" s="126"/>
      <c r="C606" s="176"/>
      <c r="D606" s="17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row>
    <row r="607" spans="1:26" ht="15.75" customHeight="1">
      <c r="A607" s="126"/>
      <c r="B607" s="126"/>
      <c r="C607" s="176"/>
      <c r="D607" s="17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row>
    <row r="608" spans="1:26" ht="15.75" customHeight="1">
      <c r="A608" s="126"/>
      <c r="B608" s="126"/>
      <c r="C608" s="176"/>
      <c r="D608" s="17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row>
    <row r="609" spans="1:26" ht="15.75" customHeight="1">
      <c r="A609" s="126"/>
      <c r="B609" s="126"/>
      <c r="C609" s="176"/>
      <c r="D609" s="17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row>
    <row r="610" spans="1:26" ht="15.75" customHeight="1">
      <c r="A610" s="126"/>
      <c r="B610" s="126"/>
      <c r="C610" s="176"/>
      <c r="D610" s="17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row>
    <row r="611" spans="1:26" ht="15.75" customHeight="1">
      <c r="A611" s="126"/>
      <c r="B611" s="126"/>
      <c r="C611" s="176"/>
      <c r="D611" s="17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row>
    <row r="612" spans="1:26" ht="15.75" customHeight="1">
      <c r="A612" s="126"/>
      <c r="B612" s="126"/>
      <c r="C612" s="176"/>
      <c r="D612" s="17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row>
    <row r="613" spans="1:26" ht="15.75" customHeight="1">
      <c r="A613" s="126"/>
      <c r="B613" s="126"/>
      <c r="C613" s="176"/>
      <c r="D613" s="17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row>
    <row r="614" spans="1:26" ht="15.75" customHeight="1">
      <c r="A614" s="126"/>
      <c r="B614" s="126"/>
      <c r="C614" s="176"/>
      <c r="D614" s="17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row>
    <row r="615" spans="1:26" ht="15.75" customHeight="1">
      <c r="A615" s="126"/>
      <c r="B615" s="126"/>
      <c r="C615" s="176"/>
      <c r="D615" s="17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row>
    <row r="616" spans="1:26" ht="15.75" customHeight="1">
      <c r="A616" s="126"/>
      <c r="B616" s="126"/>
      <c r="C616" s="176"/>
      <c r="D616" s="17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row>
    <row r="617" spans="1:26" ht="15.75" customHeight="1">
      <c r="A617" s="126"/>
      <c r="B617" s="126"/>
      <c r="C617" s="176"/>
      <c r="D617" s="17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row>
    <row r="618" spans="1:26" ht="15.75" customHeight="1">
      <c r="A618" s="126"/>
      <c r="B618" s="126"/>
      <c r="C618" s="176"/>
      <c r="D618" s="17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row>
    <row r="619" spans="1:26" ht="15.75" customHeight="1">
      <c r="A619" s="126"/>
      <c r="B619" s="126"/>
      <c r="C619" s="176"/>
      <c r="D619" s="17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row>
    <row r="620" spans="1:26" ht="15.75" customHeight="1">
      <c r="A620" s="126"/>
      <c r="B620" s="126"/>
      <c r="C620" s="176"/>
      <c r="D620" s="17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row>
    <row r="621" spans="1:26" ht="15.75" customHeight="1">
      <c r="A621" s="126"/>
      <c r="B621" s="126"/>
      <c r="C621" s="176"/>
      <c r="D621" s="17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row>
    <row r="622" spans="1:26" ht="15.75" customHeight="1">
      <c r="A622" s="126"/>
      <c r="B622" s="126"/>
      <c r="C622" s="176"/>
      <c r="D622" s="17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row>
    <row r="623" spans="1:26" ht="15.75" customHeight="1">
      <c r="A623" s="126"/>
      <c r="B623" s="126"/>
      <c r="C623" s="176"/>
      <c r="D623" s="17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row>
    <row r="624" spans="1:26" ht="15.75" customHeight="1">
      <c r="A624" s="126"/>
      <c r="B624" s="126"/>
      <c r="C624" s="176"/>
      <c r="D624" s="17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row>
    <row r="625" spans="1:26" ht="15.75" customHeight="1">
      <c r="A625" s="126"/>
      <c r="B625" s="126"/>
      <c r="C625" s="176"/>
      <c r="D625" s="17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row>
    <row r="626" spans="1:26" ht="15.75" customHeight="1">
      <c r="A626" s="126"/>
      <c r="B626" s="126"/>
      <c r="C626" s="176"/>
      <c r="D626" s="17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row>
    <row r="627" spans="1:26" ht="15.75" customHeight="1">
      <c r="A627" s="126"/>
      <c r="B627" s="126"/>
      <c r="C627" s="176"/>
      <c r="D627" s="17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row>
    <row r="628" spans="1:26" ht="15.75" customHeight="1">
      <c r="A628" s="126"/>
      <c r="B628" s="126"/>
      <c r="C628" s="176"/>
      <c r="D628" s="17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row>
    <row r="629" spans="1:26" ht="15.75" customHeight="1">
      <c r="A629" s="126"/>
      <c r="B629" s="126"/>
      <c r="C629" s="176"/>
      <c r="D629" s="17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row>
    <row r="630" spans="1:26" ht="15.75" customHeight="1">
      <c r="A630" s="126"/>
      <c r="B630" s="126"/>
      <c r="C630" s="176"/>
      <c r="D630" s="17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row>
    <row r="631" spans="1:26" ht="15.75" customHeight="1">
      <c r="A631" s="126"/>
      <c r="B631" s="126"/>
      <c r="C631" s="176"/>
      <c r="D631" s="17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row>
    <row r="632" spans="1:26" ht="15.75" customHeight="1">
      <c r="A632" s="126"/>
      <c r="B632" s="126"/>
      <c r="C632" s="176"/>
      <c r="D632" s="17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row>
    <row r="633" spans="1:26" ht="15.75" customHeight="1">
      <c r="A633" s="126"/>
      <c r="B633" s="126"/>
      <c r="C633" s="176"/>
      <c r="D633" s="17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row>
    <row r="634" spans="1:26" ht="15.75" customHeight="1">
      <c r="A634" s="126"/>
      <c r="B634" s="126"/>
      <c r="C634" s="176"/>
      <c r="D634" s="17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row>
    <row r="635" spans="1:26" ht="15.75" customHeight="1">
      <c r="A635" s="126"/>
      <c r="B635" s="126"/>
      <c r="C635" s="176"/>
      <c r="D635" s="17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row>
    <row r="636" spans="1:26" ht="15.75" customHeight="1">
      <c r="A636" s="126"/>
      <c r="B636" s="126"/>
      <c r="C636" s="176"/>
      <c r="D636" s="17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row>
    <row r="637" spans="1:26" ht="15.75" customHeight="1">
      <c r="A637" s="126"/>
      <c r="B637" s="126"/>
      <c r="C637" s="176"/>
      <c r="D637" s="17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row>
    <row r="638" spans="1:26" ht="15.75" customHeight="1">
      <c r="A638" s="126"/>
      <c r="B638" s="126"/>
      <c r="C638" s="176"/>
      <c r="D638" s="17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row>
    <row r="639" spans="1:26" ht="15.75" customHeight="1">
      <c r="A639" s="126"/>
      <c r="B639" s="126"/>
      <c r="C639" s="176"/>
      <c r="D639" s="17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row>
    <row r="640" spans="1:26" ht="15.75" customHeight="1">
      <c r="A640" s="126"/>
      <c r="B640" s="126"/>
      <c r="C640" s="176"/>
      <c r="D640" s="17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row>
    <row r="641" spans="1:26" ht="15.75" customHeight="1">
      <c r="A641" s="126"/>
      <c r="B641" s="126"/>
      <c r="C641" s="176"/>
      <c r="D641" s="17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row>
    <row r="642" spans="1:26" ht="15.75" customHeight="1">
      <c r="A642" s="126"/>
      <c r="B642" s="126"/>
      <c r="C642" s="176"/>
      <c r="D642" s="17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row>
    <row r="643" spans="1:26" ht="15.75" customHeight="1">
      <c r="A643" s="126"/>
      <c r="B643" s="126"/>
      <c r="C643" s="176"/>
      <c r="D643" s="17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row>
    <row r="644" spans="1:26" ht="15.75" customHeight="1">
      <c r="A644" s="126"/>
      <c r="B644" s="126"/>
      <c r="C644" s="176"/>
      <c r="D644" s="17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row>
    <row r="645" spans="1:26" ht="15.75" customHeight="1">
      <c r="A645" s="126"/>
      <c r="B645" s="126"/>
      <c r="C645" s="176"/>
      <c r="D645" s="17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row>
    <row r="646" spans="1:26" ht="15.75" customHeight="1">
      <c r="A646" s="126"/>
      <c r="B646" s="126"/>
      <c r="C646" s="176"/>
      <c r="D646" s="17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row>
    <row r="647" spans="1:26" ht="15.75" customHeight="1">
      <c r="A647" s="126"/>
      <c r="B647" s="126"/>
      <c r="C647" s="176"/>
      <c r="D647" s="17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row>
    <row r="648" spans="1:26" ht="15.75" customHeight="1">
      <c r="A648" s="126"/>
      <c r="B648" s="126"/>
      <c r="C648" s="176"/>
      <c r="D648" s="17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row>
    <row r="649" spans="1:26" ht="15.75" customHeight="1">
      <c r="A649" s="126"/>
      <c r="B649" s="126"/>
      <c r="C649" s="176"/>
      <c r="D649" s="17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row>
    <row r="650" spans="1:26" ht="15.75" customHeight="1">
      <c r="A650" s="126"/>
      <c r="B650" s="126"/>
      <c r="C650" s="176"/>
      <c r="D650" s="17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row>
    <row r="651" spans="1:26" ht="15.75" customHeight="1">
      <c r="A651" s="126"/>
      <c r="B651" s="126"/>
      <c r="C651" s="176"/>
      <c r="D651" s="17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row>
    <row r="652" spans="1:26" ht="15.75" customHeight="1">
      <c r="A652" s="126"/>
      <c r="B652" s="126"/>
      <c r="C652" s="176"/>
      <c r="D652" s="17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row>
    <row r="653" spans="1:26" ht="15.75" customHeight="1">
      <c r="A653" s="126"/>
      <c r="B653" s="126"/>
      <c r="C653" s="176"/>
      <c r="D653" s="17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row>
    <row r="654" spans="1:26" ht="15.75" customHeight="1">
      <c r="A654" s="126"/>
      <c r="B654" s="126"/>
      <c r="C654" s="176"/>
      <c r="D654" s="17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row>
    <row r="655" spans="1:26" ht="15.75" customHeight="1">
      <c r="A655" s="126"/>
      <c r="B655" s="126"/>
      <c r="C655" s="176"/>
      <c r="D655" s="17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row>
    <row r="656" spans="1:26" ht="15.75" customHeight="1">
      <c r="A656" s="126"/>
      <c r="B656" s="126"/>
      <c r="C656" s="176"/>
      <c r="D656" s="17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row>
    <row r="657" spans="1:26" ht="15.75" customHeight="1">
      <c r="A657" s="126"/>
      <c r="B657" s="126"/>
      <c r="C657" s="176"/>
      <c r="D657" s="17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row>
    <row r="658" spans="1:26" ht="15.75" customHeight="1">
      <c r="A658" s="126"/>
      <c r="B658" s="126"/>
      <c r="C658" s="176"/>
      <c r="D658" s="17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row>
    <row r="659" spans="1:26" ht="15.75" customHeight="1">
      <c r="A659" s="126"/>
      <c r="B659" s="126"/>
      <c r="C659" s="176"/>
      <c r="D659" s="17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row>
    <row r="660" spans="1:26" ht="15.75" customHeight="1">
      <c r="A660" s="126"/>
      <c r="B660" s="126"/>
      <c r="C660" s="176"/>
      <c r="D660" s="17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row>
    <row r="661" spans="1:26" ht="15.75" customHeight="1">
      <c r="A661" s="126"/>
      <c r="B661" s="126"/>
      <c r="C661" s="176"/>
      <c r="D661" s="17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row>
    <row r="662" spans="1:26" ht="15.75" customHeight="1">
      <c r="A662" s="126"/>
      <c r="B662" s="126"/>
      <c r="C662" s="176"/>
      <c r="D662" s="17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row>
    <row r="663" spans="1:26" ht="15.75" customHeight="1">
      <c r="A663" s="126"/>
      <c r="B663" s="126"/>
      <c r="C663" s="176"/>
      <c r="D663" s="17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row>
    <row r="664" spans="1:26" ht="15.75" customHeight="1">
      <c r="A664" s="126"/>
      <c r="B664" s="126"/>
      <c r="C664" s="176"/>
      <c r="D664" s="17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row>
    <row r="665" spans="1:26" ht="15.75" customHeight="1">
      <c r="A665" s="126"/>
      <c r="B665" s="126"/>
      <c r="C665" s="176"/>
      <c r="D665" s="17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row>
    <row r="666" spans="1:26" ht="15.75" customHeight="1">
      <c r="A666" s="126"/>
      <c r="B666" s="126"/>
      <c r="C666" s="176"/>
      <c r="D666" s="17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row>
    <row r="667" spans="1:26" ht="15.75" customHeight="1">
      <c r="A667" s="126"/>
      <c r="B667" s="126"/>
      <c r="C667" s="176"/>
      <c r="D667" s="17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row>
    <row r="668" spans="1:26" ht="15.75" customHeight="1">
      <c r="A668" s="126"/>
      <c r="B668" s="126"/>
      <c r="C668" s="176"/>
      <c r="D668" s="17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row>
    <row r="669" spans="1:26" ht="15.75" customHeight="1">
      <c r="A669" s="126"/>
      <c r="B669" s="126"/>
      <c r="C669" s="176"/>
      <c r="D669" s="17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row>
    <row r="670" spans="1:26" ht="15.75" customHeight="1">
      <c r="A670" s="126"/>
      <c r="B670" s="126"/>
      <c r="C670" s="176"/>
      <c r="D670" s="17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row>
    <row r="671" spans="1:26" ht="15.75" customHeight="1">
      <c r="A671" s="126"/>
      <c r="B671" s="126"/>
      <c r="C671" s="176"/>
      <c r="D671" s="17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row>
    <row r="672" spans="1:26" ht="15.75" customHeight="1">
      <c r="A672" s="126"/>
      <c r="B672" s="126"/>
      <c r="C672" s="176"/>
      <c r="D672" s="17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row>
    <row r="673" spans="1:26" ht="15.75" customHeight="1">
      <c r="A673" s="126"/>
      <c r="B673" s="126"/>
      <c r="C673" s="176"/>
      <c r="D673" s="17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row>
    <row r="674" spans="1:26" ht="15.75" customHeight="1">
      <c r="A674" s="126"/>
      <c r="B674" s="126"/>
      <c r="C674" s="176"/>
      <c r="D674" s="17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row>
    <row r="675" spans="1:26" ht="15.75" customHeight="1">
      <c r="A675" s="126"/>
      <c r="B675" s="126"/>
      <c r="C675" s="176"/>
      <c r="D675" s="17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row>
    <row r="676" spans="1:26" ht="15.75" customHeight="1">
      <c r="A676" s="126"/>
      <c r="B676" s="126"/>
      <c r="C676" s="176"/>
      <c r="D676" s="17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row>
    <row r="677" spans="1:26" ht="15.75" customHeight="1">
      <c r="A677" s="126"/>
      <c r="B677" s="126"/>
      <c r="C677" s="176"/>
      <c r="D677" s="17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row>
    <row r="678" spans="1:26" ht="15.75" customHeight="1">
      <c r="A678" s="126"/>
      <c r="B678" s="126"/>
      <c r="C678" s="176"/>
      <c r="D678" s="17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row>
    <row r="679" spans="1:26" ht="15.75" customHeight="1">
      <c r="A679" s="126"/>
      <c r="B679" s="126"/>
      <c r="C679" s="176"/>
      <c r="D679" s="17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row>
    <row r="680" spans="1:26" ht="15.75" customHeight="1">
      <c r="A680" s="126"/>
      <c r="B680" s="126"/>
      <c r="C680" s="176"/>
      <c r="D680" s="17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row>
    <row r="681" spans="1:26" ht="15.75" customHeight="1">
      <c r="A681" s="126"/>
      <c r="B681" s="126"/>
      <c r="C681" s="176"/>
      <c r="D681" s="17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row>
    <row r="682" spans="1:26" ht="15.75" customHeight="1">
      <c r="A682" s="126"/>
      <c r="B682" s="126"/>
      <c r="C682" s="176"/>
      <c r="D682" s="17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row>
    <row r="683" spans="1:26" ht="15.75" customHeight="1">
      <c r="A683" s="126"/>
      <c r="B683" s="126"/>
      <c r="C683" s="176"/>
      <c r="D683" s="17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row>
    <row r="684" spans="1:26" ht="15.75" customHeight="1">
      <c r="A684" s="126"/>
      <c r="B684" s="126"/>
      <c r="C684" s="176"/>
      <c r="D684" s="17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row>
    <row r="685" spans="1:26" ht="15.75" customHeight="1">
      <c r="A685" s="126"/>
      <c r="B685" s="126"/>
      <c r="C685" s="176"/>
      <c r="D685" s="17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row>
    <row r="686" spans="1:26" ht="15.75" customHeight="1">
      <c r="A686" s="126"/>
      <c r="B686" s="126"/>
      <c r="C686" s="176"/>
      <c r="D686" s="17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row>
    <row r="687" spans="1:26" ht="15.75" customHeight="1">
      <c r="A687" s="126"/>
      <c r="B687" s="126"/>
      <c r="C687" s="176"/>
      <c r="D687" s="17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row>
    <row r="688" spans="1:26" ht="15.75" customHeight="1">
      <c r="A688" s="126"/>
      <c r="B688" s="126"/>
      <c r="C688" s="176"/>
      <c r="D688" s="17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row>
    <row r="689" spans="1:26" ht="15.75" customHeight="1">
      <c r="A689" s="126"/>
      <c r="B689" s="126"/>
      <c r="C689" s="176"/>
      <c r="D689" s="17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row>
    <row r="690" spans="1:26" ht="15.75" customHeight="1">
      <c r="A690" s="126"/>
      <c r="B690" s="126"/>
      <c r="C690" s="176"/>
      <c r="D690" s="17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row>
    <row r="691" spans="1:26" ht="15.75" customHeight="1">
      <c r="A691" s="126"/>
      <c r="B691" s="126"/>
      <c r="C691" s="176"/>
      <c r="D691" s="17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row>
    <row r="692" spans="1:26" ht="15.75" customHeight="1">
      <c r="A692" s="126"/>
      <c r="B692" s="126"/>
      <c r="C692" s="176"/>
      <c r="D692" s="17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row>
    <row r="693" spans="1:26" ht="15.75" customHeight="1">
      <c r="A693" s="126"/>
      <c r="B693" s="126"/>
      <c r="C693" s="176"/>
      <c r="D693" s="17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row>
    <row r="694" spans="1:26" ht="15.75" customHeight="1">
      <c r="A694" s="126"/>
      <c r="B694" s="126"/>
      <c r="C694" s="176"/>
      <c r="D694" s="17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row>
    <row r="695" spans="1:26" ht="15.75" customHeight="1">
      <c r="A695" s="126"/>
      <c r="B695" s="126"/>
      <c r="C695" s="176"/>
      <c r="D695" s="17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row>
    <row r="696" spans="1:26" ht="15.75" customHeight="1">
      <c r="A696" s="126"/>
      <c r="B696" s="126"/>
      <c r="C696" s="176"/>
      <c r="D696" s="17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row>
    <row r="697" spans="1:26" ht="15.75" customHeight="1">
      <c r="A697" s="126"/>
      <c r="B697" s="126"/>
      <c r="C697" s="176"/>
      <c r="D697" s="17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row>
    <row r="698" spans="1:26" ht="15.75" customHeight="1">
      <c r="A698" s="126"/>
      <c r="B698" s="126"/>
      <c r="C698" s="176"/>
      <c r="D698" s="17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row>
    <row r="699" spans="1:26" ht="15.75" customHeight="1">
      <c r="A699" s="126"/>
      <c r="B699" s="126"/>
      <c r="C699" s="176"/>
      <c r="D699" s="17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row>
    <row r="700" spans="1:26" ht="15.75" customHeight="1">
      <c r="A700" s="126"/>
      <c r="B700" s="126"/>
      <c r="C700" s="176"/>
      <c r="D700" s="17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row>
    <row r="701" spans="1:26" ht="15.75" customHeight="1">
      <c r="A701" s="126"/>
      <c r="B701" s="126"/>
      <c r="C701" s="176"/>
      <c r="D701" s="17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row>
    <row r="702" spans="1:26" ht="15.75" customHeight="1">
      <c r="A702" s="126"/>
      <c r="B702" s="126"/>
      <c r="C702" s="176"/>
      <c r="D702" s="17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row>
    <row r="703" spans="1:26" ht="15.75" customHeight="1">
      <c r="A703" s="126"/>
      <c r="B703" s="126"/>
      <c r="C703" s="176"/>
      <c r="D703" s="17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row>
    <row r="704" spans="1:26" ht="15.75" customHeight="1">
      <c r="A704" s="126"/>
      <c r="B704" s="126"/>
      <c r="C704" s="176"/>
      <c r="D704" s="17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row>
    <row r="705" spans="1:26" ht="15.75" customHeight="1">
      <c r="A705" s="126"/>
      <c r="B705" s="126"/>
      <c r="C705" s="176"/>
      <c r="D705" s="17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row>
    <row r="706" spans="1:26" ht="15.75" customHeight="1">
      <c r="A706" s="126"/>
      <c r="B706" s="126"/>
      <c r="C706" s="176"/>
      <c r="D706" s="17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row>
    <row r="707" spans="1:26" ht="15.75" customHeight="1">
      <c r="A707" s="126"/>
      <c r="B707" s="126"/>
      <c r="C707" s="176"/>
      <c r="D707" s="17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row>
    <row r="708" spans="1:26" ht="15.75" customHeight="1">
      <c r="A708" s="126"/>
      <c r="B708" s="126"/>
      <c r="C708" s="176"/>
      <c r="D708" s="17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row>
    <row r="709" spans="1:26" ht="15.75" customHeight="1">
      <c r="A709" s="126"/>
      <c r="B709" s="126"/>
      <c r="C709" s="176"/>
      <c r="D709" s="17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row>
    <row r="710" spans="1:26" ht="15.75" customHeight="1">
      <c r="A710" s="126"/>
      <c r="B710" s="126"/>
      <c r="C710" s="176"/>
      <c r="D710" s="17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row>
    <row r="711" spans="1:26" ht="15.75" customHeight="1">
      <c r="A711" s="126"/>
      <c r="B711" s="126"/>
      <c r="C711" s="176"/>
      <c r="D711" s="17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row>
    <row r="712" spans="1:26" ht="15.75" customHeight="1">
      <c r="A712" s="126"/>
      <c r="B712" s="126"/>
      <c r="C712" s="176"/>
      <c r="D712" s="17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row>
    <row r="713" spans="1:26" ht="15.75" customHeight="1">
      <c r="A713" s="126"/>
      <c r="B713" s="126"/>
      <c r="C713" s="176"/>
      <c r="D713" s="17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row>
    <row r="714" spans="1:26" ht="15.75" customHeight="1">
      <c r="A714" s="126"/>
      <c r="B714" s="126"/>
      <c r="C714" s="176"/>
      <c r="D714" s="17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row>
    <row r="715" spans="1:26" ht="15.75" customHeight="1">
      <c r="A715" s="126"/>
      <c r="B715" s="126"/>
      <c r="C715" s="176"/>
      <c r="D715" s="17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row>
    <row r="716" spans="1:26" ht="15.75" customHeight="1">
      <c r="A716" s="126"/>
      <c r="B716" s="126"/>
      <c r="C716" s="176"/>
      <c r="D716" s="17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row>
    <row r="717" spans="1:26" ht="15.75" customHeight="1">
      <c r="A717" s="126"/>
      <c r="B717" s="126"/>
      <c r="C717" s="176"/>
      <c r="D717" s="17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row>
    <row r="718" spans="1:26" ht="15.75" customHeight="1">
      <c r="A718" s="126"/>
      <c r="B718" s="126"/>
      <c r="C718" s="176"/>
      <c r="D718" s="17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row>
    <row r="719" spans="1:26" ht="15.75" customHeight="1">
      <c r="A719" s="126"/>
      <c r="B719" s="126"/>
      <c r="C719" s="176"/>
      <c r="D719" s="17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row>
    <row r="720" spans="1:26" ht="15.75" customHeight="1">
      <c r="A720" s="126"/>
      <c r="B720" s="126"/>
      <c r="C720" s="176"/>
      <c r="D720" s="17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row>
    <row r="721" spans="1:26" ht="15.75" customHeight="1">
      <c r="A721" s="126"/>
      <c r="B721" s="126"/>
      <c r="C721" s="176"/>
      <c r="D721" s="17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row>
    <row r="722" spans="1:26" ht="15.75" customHeight="1">
      <c r="A722" s="126"/>
      <c r="B722" s="126"/>
      <c r="C722" s="176"/>
      <c r="D722" s="17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row>
    <row r="723" spans="1:26" ht="15.75" customHeight="1">
      <c r="A723" s="126"/>
      <c r="B723" s="126"/>
      <c r="C723" s="176"/>
      <c r="D723" s="17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row>
    <row r="724" spans="1:26" ht="15.75" customHeight="1">
      <c r="A724" s="126"/>
      <c r="B724" s="126"/>
      <c r="C724" s="176"/>
      <c r="D724" s="17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row>
    <row r="725" spans="1:26" ht="15.75" customHeight="1">
      <c r="A725" s="126"/>
      <c r="B725" s="126"/>
      <c r="C725" s="176"/>
      <c r="D725" s="17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row>
    <row r="726" spans="1:26" ht="15.75" customHeight="1">
      <c r="A726" s="126"/>
      <c r="B726" s="126"/>
      <c r="C726" s="176"/>
      <c r="D726" s="17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row>
    <row r="727" spans="1:26" ht="15.75" customHeight="1">
      <c r="A727" s="126"/>
      <c r="B727" s="126"/>
      <c r="C727" s="176"/>
      <c r="D727" s="17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row>
    <row r="728" spans="1:26" ht="15.75" customHeight="1">
      <c r="A728" s="126"/>
      <c r="B728" s="126"/>
      <c r="C728" s="176"/>
      <c r="D728" s="17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row>
    <row r="729" spans="1:26" ht="15.75" customHeight="1">
      <c r="A729" s="126"/>
      <c r="B729" s="126"/>
      <c r="C729" s="176"/>
      <c r="D729" s="17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row>
    <row r="730" spans="1:26" ht="15.75" customHeight="1">
      <c r="A730" s="126"/>
      <c r="B730" s="126"/>
      <c r="C730" s="176"/>
      <c r="D730" s="17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row>
    <row r="731" spans="1:26" ht="15.75" customHeight="1">
      <c r="A731" s="126"/>
      <c r="B731" s="126"/>
      <c r="C731" s="176"/>
      <c r="D731" s="17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row>
    <row r="732" spans="1:26" ht="15.75" customHeight="1">
      <c r="A732" s="126"/>
      <c r="B732" s="126"/>
      <c r="C732" s="176"/>
      <c r="D732" s="17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row>
    <row r="733" spans="1:26" ht="15.75" customHeight="1">
      <c r="A733" s="126"/>
      <c r="B733" s="126"/>
      <c r="C733" s="176"/>
      <c r="D733" s="17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row>
    <row r="734" spans="1:26" ht="15.75" customHeight="1">
      <c r="A734" s="126"/>
      <c r="B734" s="126"/>
      <c r="C734" s="176"/>
      <c r="D734" s="17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row>
    <row r="735" spans="1:26" ht="15.75" customHeight="1">
      <c r="A735" s="126"/>
      <c r="B735" s="126"/>
      <c r="C735" s="176"/>
      <c r="D735" s="17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row>
    <row r="736" spans="1:26" ht="15.75" customHeight="1">
      <c r="A736" s="126"/>
      <c r="B736" s="126"/>
      <c r="C736" s="176"/>
      <c r="D736" s="17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row>
    <row r="737" spans="1:26" ht="15.75" customHeight="1">
      <c r="A737" s="126"/>
      <c r="B737" s="126"/>
      <c r="C737" s="176"/>
      <c r="D737" s="17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row>
    <row r="738" spans="1:26" ht="15.75" customHeight="1">
      <c r="A738" s="126"/>
      <c r="B738" s="126"/>
      <c r="C738" s="176"/>
      <c r="D738" s="17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row>
    <row r="739" spans="1:26" ht="15.75" customHeight="1">
      <c r="A739" s="126"/>
      <c r="B739" s="126"/>
      <c r="C739" s="176"/>
      <c r="D739" s="17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row>
    <row r="740" spans="1:26" ht="15.75" customHeight="1">
      <c r="A740" s="126"/>
      <c r="B740" s="126"/>
      <c r="C740" s="176"/>
      <c r="D740" s="17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row>
    <row r="741" spans="1:26" ht="15.75" customHeight="1">
      <c r="A741" s="126"/>
      <c r="B741" s="126"/>
      <c r="C741" s="176"/>
      <c r="D741" s="17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row>
    <row r="742" spans="1:26" ht="15.75" customHeight="1">
      <c r="A742" s="126"/>
      <c r="B742" s="126"/>
      <c r="C742" s="176"/>
      <c r="D742" s="17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row>
    <row r="743" spans="1:26" ht="15.75" customHeight="1">
      <c r="A743" s="126"/>
      <c r="B743" s="126"/>
      <c r="C743" s="176"/>
      <c r="D743" s="17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row>
    <row r="744" spans="1:26" ht="15.75" customHeight="1">
      <c r="A744" s="126"/>
      <c r="B744" s="126"/>
      <c r="C744" s="176"/>
      <c r="D744" s="17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row>
    <row r="745" spans="1:26" ht="15.75" customHeight="1">
      <c r="A745" s="126"/>
      <c r="B745" s="126"/>
      <c r="C745" s="176"/>
      <c r="D745" s="17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row>
    <row r="746" spans="1:26" ht="15.75" customHeight="1">
      <c r="A746" s="126"/>
      <c r="B746" s="126"/>
      <c r="C746" s="176"/>
      <c r="D746" s="17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row>
    <row r="747" spans="1:26" ht="15.75" customHeight="1">
      <c r="A747" s="126"/>
      <c r="B747" s="126"/>
      <c r="C747" s="176"/>
      <c r="D747" s="17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row>
    <row r="748" spans="1:26" ht="15.75" customHeight="1">
      <c r="A748" s="126"/>
      <c r="B748" s="126"/>
      <c r="C748" s="176"/>
      <c r="D748" s="17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row>
    <row r="749" spans="1:26" ht="15.75" customHeight="1">
      <c r="A749" s="126"/>
      <c r="B749" s="126"/>
      <c r="C749" s="176"/>
      <c r="D749" s="17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row>
    <row r="750" spans="1:26" ht="15.75" customHeight="1">
      <c r="A750" s="126"/>
      <c r="B750" s="126"/>
      <c r="C750" s="176"/>
      <c r="D750" s="17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row>
    <row r="751" spans="1:26" ht="15.75" customHeight="1">
      <c r="A751" s="126"/>
      <c r="B751" s="126"/>
      <c r="C751" s="176"/>
      <c r="D751" s="17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row>
    <row r="752" spans="1:26" ht="15.75" customHeight="1">
      <c r="A752" s="126"/>
      <c r="B752" s="126"/>
      <c r="C752" s="176"/>
      <c r="D752" s="17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row>
    <row r="753" spans="1:26" ht="15.75" customHeight="1">
      <c r="A753" s="126"/>
      <c r="B753" s="126"/>
      <c r="C753" s="176"/>
      <c r="D753" s="17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row>
    <row r="754" spans="1:26" ht="15.75" customHeight="1">
      <c r="A754" s="126"/>
      <c r="B754" s="126"/>
      <c r="C754" s="176"/>
      <c r="D754" s="17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row>
    <row r="755" spans="1:26" ht="15.75" customHeight="1">
      <c r="A755" s="126"/>
      <c r="B755" s="126"/>
      <c r="C755" s="176"/>
      <c r="D755" s="17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row>
    <row r="756" spans="1:26" ht="15.75" customHeight="1">
      <c r="A756" s="126"/>
      <c r="B756" s="126"/>
      <c r="C756" s="176"/>
      <c r="D756" s="17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row>
    <row r="757" spans="1:26" ht="15.75" customHeight="1">
      <c r="A757" s="126"/>
      <c r="B757" s="126"/>
      <c r="C757" s="176"/>
      <c r="D757" s="17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row>
    <row r="758" spans="1:26" ht="15.75" customHeight="1">
      <c r="A758" s="126"/>
      <c r="B758" s="126"/>
      <c r="C758" s="176"/>
      <c r="D758" s="17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row>
    <row r="759" spans="1:26" ht="15.75" customHeight="1">
      <c r="A759" s="126"/>
      <c r="B759" s="126"/>
      <c r="C759" s="176"/>
      <c r="D759" s="17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row>
    <row r="760" spans="1:26" ht="15.75" customHeight="1">
      <c r="A760" s="126"/>
      <c r="B760" s="126"/>
      <c r="C760" s="176"/>
      <c r="D760" s="17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row>
    <row r="761" spans="1:26" ht="15.75" customHeight="1">
      <c r="A761" s="126"/>
      <c r="B761" s="126"/>
      <c r="C761" s="176"/>
      <c r="D761" s="17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row>
    <row r="762" spans="1:26" ht="15.75" customHeight="1">
      <c r="A762" s="126"/>
      <c r="B762" s="126"/>
      <c r="C762" s="176"/>
      <c r="D762" s="17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row>
    <row r="763" spans="1:26" ht="15.75" customHeight="1">
      <c r="A763" s="126"/>
      <c r="B763" s="126"/>
      <c r="C763" s="176"/>
      <c r="D763" s="17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row>
    <row r="764" spans="1:26" ht="15.75" customHeight="1">
      <c r="A764" s="126"/>
      <c r="B764" s="126"/>
      <c r="C764" s="176"/>
      <c r="D764" s="17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row>
    <row r="765" spans="1:26" ht="15.75" customHeight="1">
      <c r="A765" s="126"/>
      <c r="B765" s="126"/>
      <c r="C765" s="176"/>
      <c r="D765" s="17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row>
    <row r="766" spans="1:26" ht="15.75" customHeight="1">
      <c r="A766" s="126"/>
      <c r="B766" s="126"/>
      <c r="C766" s="176"/>
      <c r="D766" s="17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row>
    <row r="767" spans="1:26" ht="15.75" customHeight="1">
      <c r="A767" s="126"/>
      <c r="B767" s="126"/>
      <c r="C767" s="176"/>
      <c r="D767" s="17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row>
    <row r="768" spans="1:26" ht="15.75" customHeight="1">
      <c r="A768" s="126"/>
      <c r="B768" s="126"/>
      <c r="C768" s="176"/>
      <c r="D768" s="17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row>
    <row r="769" spans="1:26" ht="15.75" customHeight="1">
      <c r="A769" s="126"/>
      <c r="B769" s="126"/>
      <c r="C769" s="176"/>
      <c r="D769" s="17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row>
    <row r="770" spans="1:26" ht="15.75" customHeight="1">
      <c r="A770" s="126"/>
      <c r="B770" s="126"/>
      <c r="C770" s="176"/>
      <c r="D770" s="17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row>
    <row r="771" spans="1:26" ht="15.75" customHeight="1">
      <c r="A771" s="126"/>
      <c r="B771" s="126"/>
      <c r="C771" s="176"/>
      <c r="D771" s="17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row>
    <row r="772" spans="1:26" ht="15.75" customHeight="1">
      <c r="A772" s="126"/>
      <c r="B772" s="126"/>
      <c r="C772" s="176"/>
      <c r="D772" s="17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row>
    <row r="773" spans="1:26" ht="15.75" customHeight="1">
      <c r="A773" s="126"/>
      <c r="B773" s="126"/>
      <c r="C773" s="176"/>
      <c r="D773" s="17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row>
    <row r="774" spans="1:26" ht="15.75" customHeight="1">
      <c r="A774" s="126"/>
      <c r="B774" s="126"/>
      <c r="C774" s="176"/>
      <c r="D774" s="17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row>
    <row r="775" spans="1:26" ht="15.75" customHeight="1">
      <c r="A775" s="126"/>
      <c r="B775" s="126"/>
      <c r="C775" s="176"/>
      <c r="D775" s="17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row>
    <row r="776" spans="1:26" ht="15.75" customHeight="1">
      <c r="A776" s="126"/>
      <c r="B776" s="126"/>
      <c r="C776" s="176"/>
      <c r="D776" s="17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row>
    <row r="777" spans="1:26" ht="15.75" customHeight="1">
      <c r="A777" s="126"/>
      <c r="B777" s="126"/>
      <c r="C777" s="176"/>
      <c r="D777" s="17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row>
    <row r="778" spans="1:26" ht="15.75" customHeight="1">
      <c r="A778" s="126"/>
      <c r="B778" s="126"/>
      <c r="C778" s="176"/>
      <c r="D778" s="17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row>
    <row r="779" spans="1:26" ht="15.75" customHeight="1">
      <c r="A779" s="126"/>
      <c r="B779" s="126"/>
      <c r="C779" s="176"/>
      <c r="D779" s="17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row>
    <row r="780" spans="1:26" ht="15.75" customHeight="1">
      <c r="A780" s="126"/>
      <c r="B780" s="126"/>
      <c r="C780" s="176"/>
      <c r="D780" s="17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row>
    <row r="781" spans="1:26" ht="15.75" customHeight="1">
      <c r="A781" s="126"/>
      <c r="B781" s="126"/>
      <c r="C781" s="176"/>
      <c r="D781" s="17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row>
    <row r="782" spans="1:26" ht="15.75" customHeight="1">
      <c r="A782" s="126"/>
      <c r="B782" s="126"/>
      <c r="C782" s="176"/>
      <c r="D782" s="17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row>
    <row r="783" spans="1:26" ht="15.75" customHeight="1">
      <c r="A783" s="126"/>
      <c r="B783" s="126"/>
      <c r="C783" s="176"/>
      <c r="D783" s="17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row>
    <row r="784" spans="1:26" ht="15.75" customHeight="1">
      <c r="A784" s="126"/>
      <c r="B784" s="126"/>
      <c r="C784" s="176"/>
      <c r="D784" s="17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row>
    <row r="785" spans="1:26" ht="15.75" customHeight="1">
      <c r="A785" s="126"/>
      <c r="B785" s="126"/>
      <c r="C785" s="176"/>
      <c r="D785" s="17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row>
    <row r="786" spans="1:26" ht="15.75" customHeight="1">
      <c r="A786" s="126"/>
      <c r="B786" s="126"/>
      <c r="C786" s="176"/>
      <c r="D786" s="17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row>
    <row r="787" spans="1:26" ht="15.75" customHeight="1">
      <c r="A787" s="126"/>
      <c r="B787" s="126"/>
      <c r="C787" s="176"/>
      <c r="D787" s="17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row>
    <row r="788" spans="1:26" ht="15.75" customHeight="1">
      <c r="A788" s="126"/>
      <c r="B788" s="126"/>
      <c r="C788" s="176"/>
      <c r="D788" s="17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row>
    <row r="789" spans="1:26" ht="15.75" customHeight="1">
      <c r="A789" s="126"/>
      <c r="B789" s="126"/>
      <c r="C789" s="176"/>
      <c r="D789" s="17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row>
    <row r="790" spans="1:26" ht="15.75" customHeight="1">
      <c r="A790" s="126"/>
      <c r="B790" s="126"/>
      <c r="C790" s="176"/>
      <c r="D790" s="17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row>
    <row r="791" spans="1:26" ht="15.75" customHeight="1">
      <c r="A791" s="126"/>
      <c r="B791" s="126"/>
      <c r="C791" s="176"/>
      <c r="D791" s="17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row>
    <row r="792" spans="1:26" ht="15.75" customHeight="1">
      <c r="A792" s="126"/>
      <c r="B792" s="126"/>
      <c r="C792" s="176"/>
      <c r="D792" s="17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row>
    <row r="793" spans="1:26" ht="15.75" customHeight="1">
      <c r="A793" s="126"/>
      <c r="B793" s="126"/>
      <c r="C793" s="176"/>
      <c r="D793" s="17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row>
    <row r="794" spans="1:26" ht="15.75" customHeight="1">
      <c r="A794" s="126"/>
      <c r="B794" s="126"/>
      <c r="C794" s="176"/>
      <c r="D794" s="17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row>
    <row r="795" spans="1:26" ht="15.75" customHeight="1">
      <c r="A795" s="126"/>
      <c r="B795" s="126"/>
      <c r="C795" s="176"/>
      <c r="D795" s="17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row>
    <row r="796" spans="1:26" ht="15.75" customHeight="1">
      <c r="A796" s="126"/>
      <c r="B796" s="126"/>
      <c r="C796" s="176"/>
      <c r="D796" s="17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row>
    <row r="797" spans="1:26" ht="15.75" customHeight="1">
      <c r="A797" s="126"/>
      <c r="B797" s="126"/>
      <c r="C797" s="176"/>
      <c r="D797" s="17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row>
    <row r="798" spans="1:26" ht="15.75" customHeight="1">
      <c r="A798" s="126"/>
      <c r="B798" s="126"/>
      <c r="C798" s="176"/>
      <c r="D798" s="17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row>
    <row r="799" spans="1:26" ht="15.75" customHeight="1">
      <c r="A799" s="126"/>
      <c r="B799" s="126"/>
      <c r="C799" s="176"/>
      <c r="D799" s="17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row>
    <row r="800" spans="1:26" ht="15.75" customHeight="1">
      <c r="A800" s="126"/>
      <c r="B800" s="126"/>
      <c r="C800" s="176"/>
      <c r="D800" s="17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row>
    <row r="801" spans="1:26" ht="15.75" customHeight="1">
      <c r="A801" s="126"/>
      <c r="B801" s="126"/>
      <c r="C801" s="176"/>
      <c r="D801" s="17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row>
    <row r="802" spans="1:26" ht="15.75" customHeight="1">
      <c r="A802" s="126"/>
      <c r="B802" s="126"/>
      <c r="C802" s="176"/>
      <c r="D802" s="17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row>
    <row r="803" spans="1:26" ht="15.75" customHeight="1">
      <c r="A803" s="126"/>
      <c r="B803" s="126"/>
      <c r="C803" s="176"/>
      <c r="D803" s="17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row>
    <row r="804" spans="1:26" ht="15.75" customHeight="1">
      <c r="A804" s="126"/>
      <c r="B804" s="126"/>
      <c r="C804" s="176"/>
      <c r="D804" s="17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row>
    <row r="805" spans="1:26" ht="15.75" customHeight="1">
      <c r="A805" s="126"/>
      <c r="B805" s="126"/>
      <c r="C805" s="176"/>
      <c r="D805" s="17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row>
    <row r="806" spans="1:26" ht="15.75" customHeight="1">
      <c r="A806" s="126"/>
      <c r="B806" s="126"/>
      <c r="C806" s="176"/>
      <c r="D806" s="17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row>
    <row r="807" spans="1:26" ht="15.75" customHeight="1">
      <c r="A807" s="126"/>
      <c r="B807" s="126"/>
      <c r="C807" s="176"/>
      <c r="D807" s="17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row>
    <row r="808" spans="1:26" ht="15.75" customHeight="1">
      <c r="A808" s="126"/>
      <c r="B808" s="126"/>
      <c r="C808" s="176"/>
      <c r="D808" s="17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row>
    <row r="809" spans="1:26" ht="15.75" customHeight="1">
      <c r="A809" s="126"/>
      <c r="B809" s="126"/>
      <c r="C809" s="176"/>
      <c r="D809" s="17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row>
    <row r="810" spans="1:26" ht="15.75" customHeight="1">
      <c r="A810" s="126"/>
      <c r="B810" s="126"/>
      <c r="C810" s="176"/>
      <c r="D810" s="17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row>
    <row r="811" spans="1:26" ht="15.75" customHeight="1">
      <c r="A811" s="126"/>
      <c r="B811" s="126"/>
      <c r="C811" s="176"/>
      <c r="D811" s="17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row>
    <row r="812" spans="1:26" ht="15.75" customHeight="1">
      <c r="A812" s="126"/>
      <c r="B812" s="126"/>
      <c r="C812" s="176"/>
      <c r="D812" s="17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row>
    <row r="813" spans="1:26" ht="15.75" customHeight="1">
      <c r="A813" s="126"/>
      <c r="B813" s="126"/>
      <c r="C813" s="176"/>
      <c r="D813" s="17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row>
    <row r="814" spans="1:26" ht="15.75" customHeight="1">
      <c r="A814" s="126"/>
      <c r="B814" s="126"/>
      <c r="C814" s="176"/>
      <c r="D814" s="17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row>
    <row r="815" spans="1:26" ht="15.75" customHeight="1">
      <c r="A815" s="126"/>
      <c r="B815" s="126"/>
      <c r="C815" s="176"/>
      <c r="D815" s="17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row>
    <row r="816" spans="1:26" ht="15.75" customHeight="1">
      <c r="A816" s="126"/>
      <c r="B816" s="126"/>
      <c r="C816" s="176"/>
      <c r="D816" s="17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row>
    <row r="817" spans="1:26" ht="15.75" customHeight="1">
      <c r="A817" s="126"/>
      <c r="B817" s="126"/>
      <c r="C817" s="176"/>
      <c r="D817" s="17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row>
    <row r="818" spans="1:26" ht="15.75" customHeight="1">
      <c r="A818" s="126"/>
      <c r="B818" s="126"/>
      <c r="C818" s="176"/>
      <c r="D818" s="17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row>
    <row r="819" spans="1:26" ht="15.75" customHeight="1">
      <c r="A819" s="126"/>
      <c r="B819" s="126"/>
      <c r="C819" s="176"/>
      <c r="D819" s="17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row>
    <row r="820" spans="1:26" ht="15.75" customHeight="1">
      <c r="A820" s="126"/>
      <c r="B820" s="126"/>
      <c r="C820" s="176"/>
      <c r="D820" s="17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row>
    <row r="821" spans="1:26" ht="15.75" customHeight="1">
      <c r="A821" s="126"/>
      <c r="B821" s="126"/>
      <c r="C821" s="176"/>
      <c r="D821" s="17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row>
    <row r="822" spans="1:26" ht="15.75" customHeight="1">
      <c r="A822" s="126"/>
      <c r="B822" s="126"/>
      <c r="C822" s="176"/>
      <c r="D822" s="17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row>
    <row r="823" spans="1:26" ht="15.75" customHeight="1">
      <c r="A823" s="126"/>
      <c r="B823" s="126"/>
      <c r="C823" s="176"/>
      <c r="D823" s="17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row>
    <row r="824" spans="1:26" ht="15.75" customHeight="1">
      <c r="A824" s="126"/>
      <c r="B824" s="126"/>
      <c r="C824" s="176"/>
      <c r="D824" s="17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row>
    <row r="825" spans="1:26" ht="15.75" customHeight="1">
      <c r="A825" s="126"/>
      <c r="B825" s="126"/>
      <c r="C825" s="176"/>
      <c r="D825" s="17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row>
    <row r="826" spans="1:26" ht="15.75" customHeight="1">
      <c r="A826" s="126"/>
      <c r="B826" s="126"/>
      <c r="C826" s="176"/>
      <c r="D826" s="17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row>
    <row r="827" spans="1:26" ht="15.75" customHeight="1">
      <c r="A827" s="126"/>
      <c r="B827" s="126"/>
      <c r="C827" s="176"/>
      <c r="D827" s="17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row>
    <row r="828" spans="1:26" ht="15.75" customHeight="1">
      <c r="A828" s="126"/>
      <c r="B828" s="126"/>
      <c r="C828" s="176"/>
      <c r="D828" s="17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row>
    <row r="829" spans="1:26" ht="15.75" customHeight="1">
      <c r="A829" s="126"/>
      <c r="B829" s="126"/>
      <c r="C829" s="176"/>
      <c r="D829" s="17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row>
    <row r="830" spans="1:26" ht="15.75" customHeight="1">
      <c r="A830" s="126"/>
      <c r="B830" s="126"/>
      <c r="C830" s="176"/>
      <c r="D830" s="17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row>
    <row r="831" spans="1:26" ht="15.75" customHeight="1">
      <c r="A831" s="126"/>
      <c r="B831" s="126"/>
      <c r="C831" s="176"/>
      <c r="D831" s="17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row>
    <row r="832" spans="1:26" ht="15.75" customHeight="1">
      <c r="A832" s="126"/>
      <c r="B832" s="126"/>
      <c r="C832" s="176"/>
      <c r="D832" s="17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row>
    <row r="833" spans="1:26" ht="15.75" customHeight="1">
      <c r="A833" s="126"/>
      <c r="B833" s="126"/>
      <c r="C833" s="176"/>
      <c r="D833" s="17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row>
    <row r="834" spans="1:26" ht="15.75" customHeight="1">
      <c r="A834" s="126"/>
      <c r="B834" s="126"/>
      <c r="C834" s="176"/>
      <c r="D834" s="17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row>
    <row r="835" spans="1:26" ht="15.75" customHeight="1">
      <c r="A835" s="126"/>
      <c r="B835" s="126"/>
      <c r="C835" s="176"/>
      <c r="D835" s="17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row>
    <row r="836" spans="1:26" ht="15.75" customHeight="1">
      <c r="A836" s="126"/>
      <c r="B836" s="126"/>
      <c r="C836" s="176"/>
      <c r="D836" s="17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row>
    <row r="837" spans="1:26" ht="15.75" customHeight="1">
      <c r="A837" s="126"/>
      <c r="B837" s="126"/>
      <c r="C837" s="176"/>
      <c r="D837" s="17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row>
    <row r="838" spans="1:26" ht="15.75" customHeight="1">
      <c r="A838" s="126"/>
      <c r="B838" s="126"/>
      <c r="C838" s="176"/>
      <c r="D838" s="17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row>
    <row r="839" spans="1:26" ht="15.75" customHeight="1">
      <c r="A839" s="126"/>
      <c r="B839" s="126"/>
      <c r="C839" s="176"/>
      <c r="D839" s="17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row>
    <row r="840" spans="1:26" ht="15.75" customHeight="1">
      <c r="A840" s="126"/>
      <c r="B840" s="126"/>
      <c r="C840" s="176"/>
      <c r="D840" s="17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row>
    <row r="841" spans="1:26" ht="15.75" customHeight="1">
      <c r="A841" s="126"/>
      <c r="B841" s="126"/>
      <c r="C841" s="176"/>
      <c r="D841" s="17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row>
    <row r="842" spans="1:26" ht="15.75" customHeight="1">
      <c r="A842" s="126"/>
      <c r="B842" s="126"/>
      <c r="C842" s="176"/>
      <c r="D842" s="17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row>
    <row r="843" spans="1:26" ht="15.75" customHeight="1">
      <c r="A843" s="126"/>
      <c r="B843" s="126"/>
      <c r="C843" s="176"/>
      <c r="D843" s="17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row>
    <row r="844" spans="1:26" ht="15.75" customHeight="1">
      <c r="A844" s="126"/>
      <c r="B844" s="126"/>
      <c r="C844" s="176"/>
      <c r="D844" s="17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row>
    <row r="845" spans="1:26" ht="15.75" customHeight="1">
      <c r="A845" s="126"/>
      <c r="B845" s="126"/>
      <c r="C845" s="176"/>
      <c r="D845" s="17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row>
    <row r="846" spans="1:26" ht="15.75" customHeight="1">
      <c r="A846" s="126"/>
      <c r="B846" s="126"/>
      <c r="C846" s="176"/>
      <c r="D846" s="17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row>
    <row r="847" spans="1:26" ht="15.75" customHeight="1">
      <c r="A847" s="126"/>
      <c r="B847" s="126"/>
      <c r="C847" s="176"/>
      <c r="D847" s="17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row>
    <row r="848" spans="1:26" ht="15.75" customHeight="1">
      <c r="A848" s="126"/>
      <c r="B848" s="126"/>
      <c r="C848" s="176"/>
      <c r="D848" s="17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row>
    <row r="849" spans="1:26" ht="15.75" customHeight="1">
      <c r="A849" s="126"/>
      <c r="B849" s="126"/>
      <c r="C849" s="176"/>
      <c r="D849" s="17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row>
    <row r="850" spans="1:26" ht="15.75" customHeight="1">
      <c r="A850" s="126"/>
      <c r="B850" s="126"/>
      <c r="C850" s="176"/>
      <c r="D850" s="17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row>
    <row r="851" spans="1:26" ht="15.75" customHeight="1">
      <c r="A851" s="126"/>
      <c r="B851" s="126"/>
      <c r="C851" s="176"/>
      <c r="D851" s="17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row>
    <row r="852" spans="1:26" ht="15.75" customHeight="1">
      <c r="A852" s="126"/>
      <c r="B852" s="126"/>
      <c r="C852" s="176"/>
      <c r="D852" s="17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row>
    <row r="853" spans="1:26" ht="15.75" customHeight="1">
      <c r="A853" s="126"/>
      <c r="B853" s="126"/>
      <c r="C853" s="176"/>
      <c r="D853" s="17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row>
    <row r="854" spans="1:26" ht="15.75" customHeight="1">
      <c r="A854" s="126"/>
      <c r="B854" s="126"/>
      <c r="C854" s="176"/>
      <c r="D854" s="17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row>
    <row r="855" spans="1:26" ht="15.75" customHeight="1">
      <c r="A855" s="126"/>
      <c r="B855" s="126"/>
      <c r="C855" s="176"/>
      <c r="D855" s="17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row>
    <row r="856" spans="1:26" ht="15.75" customHeight="1">
      <c r="A856" s="126"/>
      <c r="B856" s="126"/>
      <c r="C856" s="176"/>
      <c r="D856" s="17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row>
    <row r="857" spans="1:26" ht="15.75" customHeight="1">
      <c r="A857" s="126"/>
      <c r="B857" s="126"/>
      <c r="C857" s="176"/>
      <c r="D857" s="17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row>
    <row r="858" spans="1:26" ht="15.75" customHeight="1">
      <c r="A858" s="126"/>
      <c r="B858" s="126"/>
      <c r="C858" s="176"/>
      <c r="D858" s="17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row>
    <row r="859" spans="1:26" ht="15.75" customHeight="1">
      <c r="A859" s="126"/>
      <c r="B859" s="126"/>
      <c r="C859" s="176"/>
      <c r="D859" s="17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row>
    <row r="860" spans="1:26" ht="15.75" customHeight="1">
      <c r="A860" s="126"/>
      <c r="B860" s="126"/>
      <c r="C860" s="176"/>
      <c r="D860" s="17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row>
    <row r="861" spans="1:26" ht="15.75" customHeight="1">
      <c r="A861" s="126"/>
      <c r="B861" s="126"/>
      <c r="C861" s="176"/>
      <c r="D861" s="17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row>
    <row r="862" spans="1:26" ht="15.75" customHeight="1">
      <c r="A862" s="126"/>
      <c r="B862" s="126"/>
      <c r="C862" s="176"/>
      <c r="D862" s="17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row>
    <row r="863" spans="1:26" ht="15.75" customHeight="1">
      <c r="A863" s="126"/>
      <c r="B863" s="126"/>
      <c r="C863" s="176"/>
      <c r="D863" s="17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row>
    <row r="864" spans="1:26" ht="15.75" customHeight="1">
      <c r="A864" s="126"/>
      <c r="B864" s="126"/>
      <c r="C864" s="176"/>
      <c r="D864" s="17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row>
    <row r="865" spans="1:26" ht="15.75" customHeight="1">
      <c r="A865" s="126"/>
      <c r="B865" s="126"/>
      <c r="C865" s="176"/>
      <c r="D865" s="17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row>
    <row r="866" spans="1:26" ht="15.75" customHeight="1">
      <c r="A866" s="126"/>
      <c r="B866" s="126"/>
      <c r="C866" s="176"/>
      <c r="D866" s="17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row>
    <row r="867" spans="1:26" ht="15.75" customHeight="1">
      <c r="A867" s="126"/>
      <c r="B867" s="126"/>
      <c r="C867" s="176"/>
      <c r="D867" s="17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row>
    <row r="868" spans="1:26" ht="15.75" customHeight="1">
      <c r="A868" s="126"/>
      <c r="B868" s="126"/>
      <c r="C868" s="176"/>
      <c r="D868" s="17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row>
    <row r="869" spans="1:26" ht="15.75" customHeight="1">
      <c r="A869" s="126"/>
      <c r="B869" s="126"/>
      <c r="C869" s="176"/>
      <c r="D869" s="17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row>
    <row r="870" spans="1:26" ht="15.75" customHeight="1">
      <c r="A870" s="126"/>
      <c r="B870" s="126"/>
      <c r="C870" s="176"/>
      <c r="D870" s="17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row>
    <row r="871" spans="1:26" ht="15.75" customHeight="1">
      <c r="A871" s="126"/>
      <c r="B871" s="126"/>
      <c r="C871" s="176"/>
      <c r="D871" s="17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row>
    <row r="872" spans="1:26" ht="15.75" customHeight="1">
      <c r="A872" s="126"/>
      <c r="B872" s="126"/>
      <c r="C872" s="176"/>
      <c r="D872" s="17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row>
    <row r="873" spans="1:26" ht="15.75" customHeight="1">
      <c r="A873" s="126"/>
      <c r="B873" s="126"/>
      <c r="C873" s="176"/>
      <c r="D873" s="17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row>
    <row r="874" spans="1:26" ht="15.75" customHeight="1">
      <c r="A874" s="126"/>
      <c r="B874" s="126"/>
      <c r="C874" s="176"/>
      <c r="D874" s="17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row>
    <row r="875" spans="1:26" ht="15.75" customHeight="1">
      <c r="A875" s="126"/>
      <c r="B875" s="126"/>
      <c r="C875" s="176"/>
      <c r="D875" s="17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row>
    <row r="876" spans="1:26" ht="15.75" customHeight="1">
      <c r="A876" s="126"/>
      <c r="B876" s="126"/>
      <c r="C876" s="176"/>
      <c r="D876" s="17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row>
    <row r="877" spans="1:26" ht="15.75" customHeight="1">
      <c r="A877" s="126"/>
      <c r="B877" s="126"/>
      <c r="C877" s="176"/>
      <c r="D877" s="17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row>
    <row r="878" spans="1:26" ht="15.75" customHeight="1">
      <c r="A878" s="126"/>
      <c r="B878" s="126"/>
      <c r="C878" s="176"/>
      <c r="D878" s="17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row>
    <row r="879" spans="1:26" ht="15.75" customHeight="1">
      <c r="A879" s="126"/>
      <c r="B879" s="126"/>
      <c r="C879" s="176"/>
      <c r="D879" s="17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row>
    <row r="880" spans="1:26" ht="15.75" customHeight="1">
      <c r="A880" s="126"/>
      <c r="B880" s="126"/>
      <c r="C880" s="176"/>
      <c r="D880" s="17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row>
    <row r="881" spans="1:26" ht="15.75" customHeight="1">
      <c r="A881" s="126"/>
      <c r="B881" s="126"/>
      <c r="C881" s="176"/>
      <c r="D881" s="17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row>
    <row r="882" spans="1:26" ht="15.75" customHeight="1">
      <c r="A882" s="126"/>
      <c r="B882" s="126"/>
      <c r="C882" s="176"/>
      <c r="D882" s="17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row>
    <row r="883" spans="1:26" ht="15.75" customHeight="1">
      <c r="A883" s="126"/>
      <c r="B883" s="126"/>
      <c r="C883" s="176"/>
      <c r="D883" s="17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row>
    <row r="884" spans="1:26" ht="15.75" customHeight="1">
      <c r="A884" s="126"/>
      <c r="B884" s="126"/>
      <c r="C884" s="176"/>
      <c r="D884" s="17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row>
    <row r="885" spans="1:26" ht="15.75" customHeight="1">
      <c r="A885" s="126"/>
      <c r="B885" s="126"/>
      <c r="C885" s="176"/>
      <c r="D885" s="17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row>
    <row r="886" spans="1:26" ht="15.75" customHeight="1">
      <c r="A886" s="126"/>
      <c r="B886" s="126"/>
      <c r="C886" s="176"/>
      <c r="D886" s="17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row>
    <row r="887" spans="1:26" ht="15.75" customHeight="1">
      <c r="A887" s="126"/>
      <c r="B887" s="126"/>
      <c r="C887" s="176"/>
      <c r="D887" s="17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row>
    <row r="888" spans="1:26" ht="15.75" customHeight="1">
      <c r="A888" s="126"/>
      <c r="B888" s="126"/>
      <c r="C888" s="176"/>
      <c r="D888" s="17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row>
    <row r="889" spans="1:26" ht="15.75" customHeight="1">
      <c r="A889" s="126"/>
      <c r="B889" s="126"/>
      <c r="C889" s="176"/>
      <c r="D889" s="17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row>
    <row r="890" spans="1:26" ht="15.75" customHeight="1">
      <c r="A890" s="126"/>
      <c r="B890" s="126"/>
      <c r="C890" s="176"/>
      <c r="D890" s="17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row>
    <row r="891" spans="1:26" ht="15.75" customHeight="1">
      <c r="A891" s="126"/>
      <c r="B891" s="126"/>
      <c r="C891" s="176"/>
      <c r="D891" s="17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row>
    <row r="892" spans="1:26" ht="15.75" customHeight="1">
      <c r="A892" s="126"/>
      <c r="B892" s="126"/>
      <c r="C892" s="176"/>
      <c r="D892" s="17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row>
    <row r="893" spans="1:26" ht="15.75" customHeight="1">
      <c r="A893" s="126"/>
      <c r="B893" s="126"/>
      <c r="C893" s="176"/>
      <c r="D893" s="17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row>
    <row r="894" spans="1:26" ht="15.75" customHeight="1">
      <c r="A894" s="126"/>
      <c r="B894" s="126"/>
      <c r="C894" s="176"/>
      <c r="D894" s="17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row>
    <row r="895" spans="1:26" ht="15.75" customHeight="1">
      <c r="A895" s="126"/>
      <c r="B895" s="126"/>
      <c r="C895" s="176"/>
      <c r="D895" s="17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row>
    <row r="896" spans="1:26" ht="15.75" customHeight="1">
      <c r="A896" s="126"/>
      <c r="B896" s="126"/>
      <c r="C896" s="176"/>
      <c r="D896" s="17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row>
    <row r="897" spans="1:26" ht="15.75" customHeight="1">
      <c r="A897" s="126"/>
      <c r="B897" s="126"/>
      <c r="C897" s="176"/>
      <c r="D897" s="17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row>
    <row r="898" spans="1:26" ht="15.75" customHeight="1">
      <c r="A898" s="126"/>
      <c r="B898" s="126"/>
      <c r="C898" s="176"/>
      <c r="D898" s="17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row>
    <row r="899" spans="1:26" ht="15.75" customHeight="1">
      <c r="A899" s="126"/>
      <c r="B899" s="126"/>
      <c r="C899" s="176"/>
      <c r="D899" s="17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row>
    <row r="900" spans="1:26" ht="15.75" customHeight="1">
      <c r="A900" s="126"/>
      <c r="B900" s="126"/>
      <c r="C900" s="176"/>
      <c r="D900" s="17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row>
    <row r="901" spans="1:26" ht="15.75" customHeight="1">
      <c r="A901" s="126"/>
      <c r="B901" s="126"/>
      <c r="C901" s="176"/>
      <c r="D901" s="17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row>
    <row r="902" spans="1:26" ht="15.75" customHeight="1">
      <c r="A902" s="126"/>
      <c r="B902" s="126"/>
      <c r="C902" s="176"/>
      <c r="D902" s="17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row>
    <row r="903" spans="1:26" ht="15.75" customHeight="1">
      <c r="A903" s="126"/>
      <c r="B903" s="126"/>
      <c r="C903" s="176"/>
      <c r="D903" s="17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row>
    <row r="904" spans="1:26" ht="15.75" customHeight="1">
      <c r="A904" s="126"/>
      <c r="B904" s="126"/>
      <c r="C904" s="176"/>
      <c r="D904" s="17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row>
    <row r="905" spans="1:26" ht="15.75" customHeight="1">
      <c r="A905" s="126"/>
      <c r="B905" s="126"/>
      <c r="C905" s="176"/>
      <c r="D905" s="17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row>
    <row r="906" spans="1:26" ht="15.75" customHeight="1">
      <c r="A906" s="126"/>
      <c r="B906" s="126"/>
      <c r="C906" s="176"/>
      <c r="D906" s="17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row>
    <row r="907" spans="1:26" ht="15.75" customHeight="1">
      <c r="A907" s="126"/>
      <c r="B907" s="126"/>
      <c r="C907" s="176"/>
      <c r="D907" s="17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row>
    <row r="908" spans="1:26" ht="15.75" customHeight="1">
      <c r="A908" s="126"/>
      <c r="B908" s="126"/>
      <c r="C908" s="176"/>
      <c r="D908" s="17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row>
    <row r="909" spans="1:26" ht="15.75" customHeight="1">
      <c r="A909" s="126"/>
      <c r="B909" s="126"/>
      <c r="C909" s="176"/>
      <c r="D909" s="17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row>
    <row r="910" spans="1:26" ht="15.75" customHeight="1">
      <c r="A910" s="126"/>
      <c r="B910" s="126"/>
      <c r="C910" s="176"/>
      <c r="D910" s="17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row>
    <row r="911" spans="1:26" ht="15.75" customHeight="1">
      <c r="A911" s="126"/>
      <c r="B911" s="126"/>
      <c r="C911" s="176"/>
      <c r="D911" s="17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row>
    <row r="912" spans="1:26" ht="15.75" customHeight="1">
      <c r="A912" s="126"/>
      <c r="B912" s="126"/>
      <c r="C912" s="176"/>
      <c r="D912" s="17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row>
    <row r="913" spans="1:26" ht="15.75" customHeight="1">
      <c r="A913" s="126"/>
      <c r="B913" s="126"/>
      <c r="C913" s="176"/>
      <c r="D913" s="17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row>
    <row r="914" spans="1:26" ht="15.75" customHeight="1">
      <c r="A914" s="126"/>
      <c r="B914" s="126"/>
      <c r="C914" s="176"/>
      <c r="D914" s="17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row>
    <row r="915" spans="1:26" ht="15.75" customHeight="1">
      <c r="A915" s="126"/>
      <c r="B915" s="126"/>
      <c r="C915" s="176"/>
      <c r="D915" s="17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row>
    <row r="916" spans="1:26" ht="15.75" customHeight="1">
      <c r="A916" s="126"/>
      <c r="B916" s="126"/>
      <c r="C916" s="176"/>
      <c r="D916" s="17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row>
    <row r="917" spans="1:26" ht="15.75" customHeight="1">
      <c r="A917" s="126"/>
      <c r="B917" s="126"/>
      <c r="C917" s="176"/>
      <c r="D917" s="17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row>
    <row r="918" spans="1:26" ht="15.75" customHeight="1">
      <c r="A918" s="126"/>
      <c r="B918" s="126"/>
      <c r="C918" s="176"/>
      <c r="D918" s="17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row>
    <row r="919" spans="1:26" ht="15.75" customHeight="1">
      <c r="A919" s="126"/>
      <c r="B919" s="126"/>
      <c r="C919" s="176"/>
      <c r="D919" s="17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row>
    <row r="920" spans="1:26" ht="15.75" customHeight="1">
      <c r="A920" s="126"/>
      <c r="B920" s="126"/>
      <c r="C920" s="176"/>
      <c r="D920" s="17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row>
    <row r="921" spans="1:26" ht="15.75" customHeight="1">
      <c r="A921" s="126"/>
      <c r="B921" s="126"/>
      <c r="C921" s="176"/>
      <c r="D921" s="17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row>
    <row r="922" spans="1:26" ht="15.75" customHeight="1">
      <c r="A922" s="126"/>
      <c r="B922" s="126"/>
      <c r="C922" s="176"/>
      <c r="D922" s="17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row>
    <row r="923" spans="1:26" ht="15.75" customHeight="1">
      <c r="A923" s="126"/>
      <c r="B923" s="126"/>
      <c r="C923" s="176"/>
      <c r="D923" s="17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row>
    <row r="924" spans="1:26" ht="15.75" customHeight="1">
      <c r="A924" s="126"/>
      <c r="B924" s="126"/>
      <c r="C924" s="176"/>
      <c r="D924" s="17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row>
    <row r="925" spans="1:26" ht="15.75" customHeight="1">
      <c r="A925" s="126"/>
      <c r="B925" s="126"/>
      <c r="C925" s="176"/>
      <c r="D925" s="17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row>
    <row r="926" spans="1:26" ht="15.75" customHeight="1">
      <c r="A926" s="126"/>
      <c r="B926" s="126"/>
      <c r="C926" s="176"/>
      <c r="D926" s="17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row>
    <row r="927" spans="1:26" ht="15.75" customHeight="1">
      <c r="A927" s="126"/>
      <c r="B927" s="126"/>
      <c r="C927" s="176"/>
      <c r="D927" s="17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row>
    <row r="928" spans="1:26" ht="15.75" customHeight="1">
      <c r="A928" s="126"/>
      <c r="B928" s="126"/>
      <c r="C928" s="176"/>
      <c r="D928" s="17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row>
    <row r="929" spans="1:26" ht="15.75" customHeight="1">
      <c r="A929" s="126"/>
      <c r="B929" s="126"/>
      <c r="C929" s="176"/>
      <c r="D929" s="17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row>
    <row r="930" spans="1:26" ht="15.75" customHeight="1">
      <c r="A930" s="126"/>
      <c r="B930" s="126"/>
      <c r="C930" s="176"/>
      <c r="D930" s="17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row>
    <row r="931" spans="1:26" ht="15.75" customHeight="1">
      <c r="A931" s="126"/>
      <c r="B931" s="126"/>
      <c r="C931" s="176"/>
      <c r="D931" s="17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row>
    <row r="932" spans="1:26" ht="15.75" customHeight="1">
      <c r="A932" s="126"/>
      <c r="B932" s="126"/>
      <c r="C932" s="176"/>
      <c r="D932" s="17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row>
    <row r="933" spans="1:26" ht="15.75" customHeight="1">
      <c r="A933" s="126"/>
      <c r="B933" s="126"/>
      <c r="C933" s="176"/>
      <c r="D933" s="17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row>
    <row r="934" spans="1:26" ht="15.75" customHeight="1">
      <c r="A934" s="126"/>
      <c r="B934" s="126"/>
      <c r="C934" s="176"/>
      <c r="D934" s="17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row>
    <row r="935" spans="1:26" ht="15.75" customHeight="1">
      <c r="A935" s="126"/>
      <c r="B935" s="126"/>
      <c r="C935" s="176"/>
      <c r="D935" s="17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row>
    <row r="936" spans="1:26" ht="15.75" customHeight="1">
      <c r="A936" s="126"/>
      <c r="B936" s="126"/>
      <c r="C936" s="176"/>
      <c r="D936" s="17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row>
    <row r="937" spans="1:26" ht="15.75" customHeight="1">
      <c r="A937" s="126"/>
      <c r="B937" s="126"/>
      <c r="C937" s="176"/>
      <c r="D937" s="17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row>
    <row r="938" spans="1:26" ht="15.75" customHeight="1">
      <c r="A938" s="126"/>
      <c r="B938" s="126"/>
      <c r="C938" s="176"/>
      <c r="D938" s="17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row>
    <row r="939" spans="1:26" ht="15.75" customHeight="1">
      <c r="A939" s="126"/>
      <c r="B939" s="126"/>
      <c r="C939" s="176"/>
      <c r="D939" s="17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row>
    <row r="940" spans="1:26" ht="15.75" customHeight="1">
      <c r="A940" s="126"/>
      <c r="B940" s="126"/>
      <c r="C940" s="176"/>
      <c r="D940" s="17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row>
    <row r="941" spans="1:26" ht="15.75" customHeight="1">
      <c r="A941" s="126"/>
      <c r="B941" s="126"/>
      <c r="C941" s="176"/>
      <c r="D941" s="17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row>
    <row r="942" spans="1:26" ht="15.75" customHeight="1">
      <c r="A942" s="126"/>
      <c r="B942" s="126"/>
      <c r="C942" s="176"/>
      <c r="D942" s="17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row>
    <row r="943" spans="1:26" ht="15.75" customHeight="1">
      <c r="A943" s="126"/>
      <c r="B943" s="126"/>
      <c r="C943" s="176"/>
      <c r="D943" s="17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row>
    <row r="944" spans="1:26" ht="15.75" customHeight="1">
      <c r="A944" s="126"/>
      <c r="B944" s="126"/>
      <c r="C944" s="176"/>
      <c r="D944" s="17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row>
    <row r="945" spans="1:26" ht="15.75" customHeight="1">
      <c r="A945" s="126"/>
      <c r="B945" s="126"/>
      <c r="C945" s="176"/>
      <c r="D945" s="17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row>
    <row r="946" spans="1:26" ht="15.75" customHeight="1">
      <c r="A946" s="126"/>
      <c r="B946" s="126"/>
      <c r="C946" s="176"/>
      <c r="D946" s="17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row>
    <row r="947" spans="1:26" ht="15.75" customHeight="1">
      <c r="A947" s="126"/>
      <c r="B947" s="126"/>
      <c r="C947" s="176"/>
      <c r="D947" s="17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row>
    <row r="948" spans="1:26" ht="15.75" customHeight="1">
      <c r="A948" s="126"/>
      <c r="B948" s="126"/>
      <c r="C948" s="176"/>
      <c r="D948" s="17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row>
    <row r="949" spans="1:26" ht="15.75" customHeight="1">
      <c r="A949" s="126"/>
      <c r="B949" s="126"/>
      <c r="C949" s="176"/>
      <c r="D949" s="17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row>
    <row r="950" spans="1:26" ht="15.75" customHeight="1">
      <c r="A950" s="126"/>
      <c r="B950" s="126"/>
      <c r="C950" s="176"/>
      <c r="D950" s="17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row>
    <row r="951" spans="1:26" ht="15.75" customHeight="1">
      <c r="A951" s="126"/>
      <c r="B951" s="126"/>
      <c r="C951" s="176"/>
      <c r="D951" s="17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row>
    <row r="952" spans="1:26" ht="15.75" customHeight="1">
      <c r="A952" s="126"/>
      <c r="B952" s="126"/>
      <c r="C952" s="176"/>
      <c r="D952" s="17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row>
    <row r="953" spans="1:26" ht="15.75" customHeight="1">
      <c r="A953" s="126"/>
      <c r="B953" s="126"/>
      <c r="C953" s="176"/>
      <c r="D953" s="17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row>
    <row r="954" spans="1:26" ht="15.75" customHeight="1">
      <c r="A954" s="126"/>
      <c r="B954" s="126"/>
      <c r="C954" s="176"/>
      <c r="D954" s="17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row>
    <row r="955" spans="1:26" ht="15.75" customHeight="1">
      <c r="A955" s="126"/>
      <c r="B955" s="126"/>
      <c r="C955" s="176"/>
      <c r="D955" s="17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row>
    <row r="956" spans="1:26" ht="15.75" customHeight="1">
      <c r="A956" s="126"/>
      <c r="B956" s="126"/>
      <c r="C956" s="176"/>
      <c r="D956" s="17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row>
    <row r="957" spans="1:26" ht="15.75" customHeight="1">
      <c r="A957" s="126"/>
      <c r="B957" s="126"/>
      <c r="C957" s="176"/>
      <c r="D957" s="17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row>
    <row r="958" spans="1:26" ht="15.75" customHeight="1">
      <c r="A958" s="126"/>
      <c r="B958" s="126"/>
      <c r="C958" s="176"/>
      <c r="D958" s="17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row>
    <row r="959" spans="1:26" ht="15.75" customHeight="1">
      <c r="A959" s="126"/>
      <c r="B959" s="126"/>
      <c r="C959" s="176"/>
      <c r="D959" s="17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row>
    <row r="960" spans="1:26" ht="15.75" customHeight="1">
      <c r="A960" s="126"/>
      <c r="B960" s="126"/>
      <c r="C960" s="176"/>
      <c r="D960" s="17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row>
    <row r="961" spans="1:26" ht="15.75" customHeight="1">
      <c r="A961" s="126"/>
      <c r="B961" s="126"/>
      <c r="C961" s="176"/>
      <c r="D961" s="17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row>
    <row r="962" spans="1:26" ht="15.75" customHeight="1">
      <c r="A962" s="126"/>
      <c r="B962" s="126"/>
      <c r="C962" s="176"/>
      <c r="D962" s="17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row>
    <row r="963" spans="1:26" ht="15.75" customHeight="1">
      <c r="A963" s="126"/>
      <c r="B963" s="126"/>
      <c r="C963" s="176"/>
      <c r="D963" s="17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row>
    <row r="964" spans="1:26" ht="15.75" customHeight="1">
      <c r="A964" s="126"/>
      <c r="B964" s="126"/>
      <c r="C964" s="176"/>
      <c r="D964" s="17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row>
    <row r="965" spans="1:26" ht="15.75" customHeight="1">
      <c r="A965" s="126"/>
      <c r="B965" s="126"/>
      <c r="C965" s="176"/>
      <c r="D965" s="17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row>
    <row r="966" spans="1:26" ht="15.75" customHeight="1">
      <c r="A966" s="126"/>
      <c r="B966" s="126"/>
      <c r="C966" s="176"/>
      <c r="D966" s="17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row>
    <row r="967" spans="1:26" ht="15.75" customHeight="1">
      <c r="A967" s="126"/>
      <c r="B967" s="126"/>
      <c r="C967" s="176"/>
      <c r="D967" s="17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row>
    <row r="968" spans="1:26" ht="15.75" customHeight="1">
      <c r="A968" s="126"/>
      <c r="B968" s="126"/>
      <c r="C968" s="176"/>
      <c r="D968" s="17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row>
    <row r="969" spans="1:26" ht="15.75" customHeight="1">
      <c r="A969" s="126"/>
      <c r="B969" s="126"/>
      <c r="C969" s="176"/>
      <c r="D969" s="17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row>
    <row r="970" spans="1:26" ht="15.75" customHeight="1">
      <c r="A970" s="126"/>
      <c r="B970" s="126"/>
      <c r="C970" s="176"/>
      <c r="D970" s="17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row>
    <row r="971" spans="1:26" ht="15.75" customHeight="1">
      <c r="A971" s="126"/>
      <c r="B971" s="126"/>
      <c r="C971" s="176"/>
      <c r="D971" s="17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row>
    <row r="972" spans="1:26" ht="15.75" customHeight="1">
      <c r="A972" s="126"/>
      <c r="B972" s="126"/>
      <c r="C972" s="176"/>
      <c r="D972" s="17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row>
    <row r="973" spans="1:26" ht="15.75" customHeight="1">
      <c r="A973" s="126"/>
      <c r="B973" s="126"/>
      <c r="C973" s="176"/>
      <c r="D973" s="17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row>
    <row r="974" spans="1:26" ht="15.75" customHeight="1">
      <c r="A974" s="126"/>
      <c r="B974" s="126"/>
      <c r="C974" s="176"/>
      <c r="D974" s="17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row>
    <row r="975" spans="1:26" ht="15.75" customHeight="1">
      <c r="A975" s="126"/>
      <c r="B975" s="126"/>
      <c r="C975" s="176"/>
      <c r="D975" s="17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row>
    <row r="976" spans="1:26" ht="15.75" customHeight="1">
      <c r="A976" s="126"/>
      <c r="B976" s="126"/>
      <c r="C976" s="176"/>
      <c r="D976" s="17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row>
    <row r="977" spans="1:26" ht="15.75" customHeight="1">
      <c r="A977" s="126"/>
      <c r="B977" s="126"/>
      <c r="C977" s="176"/>
      <c r="D977" s="17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row>
    <row r="978" spans="1:26" ht="15.75" customHeight="1">
      <c r="A978" s="126"/>
      <c r="B978" s="126"/>
      <c r="C978" s="176"/>
      <c r="D978" s="17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row>
    <row r="979" spans="1:26" ht="15.75" customHeight="1">
      <c r="A979" s="126"/>
      <c r="B979" s="126"/>
      <c r="C979" s="176"/>
      <c r="D979" s="17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row>
    <row r="980" spans="1:26" ht="15.75" customHeight="1">
      <c r="A980" s="126"/>
      <c r="B980" s="126"/>
      <c r="C980" s="176"/>
      <c r="D980" s="17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row>
    <row r="981" spans="1:26" ht="15.75" customHeight="1">
      <c r="A981" s="126"/>
      <c r="B981" s="126"/>
      <c r="C981" s="176"/>
      <c r="D981" s="17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row>
    <row r="982" spans="1:26" ht="15.75" customHeight="1">
      <c r="A982" s="126"/>
      <c r="B982" s="126"/>
      <c r="C982" s="176"/>
      <c r="D982" s="17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row>
    <row r="983" spans="1:26" ht="15.75" customHeight="1">
      <c r="A983" s="126"/>
      <c r="B983" s="126"/>
      <c r="C983" s="176"/>
      <c r="D983" s="17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row>
    <row r="984" spans="1:26" ht="15.75" customHeight="1">
      <c r="A984" s="126"/>
      <c r="B984" s="126"/>
      <c r="C984" s="176"/>
      <c r="D984" s="17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row>
    <row r="985" spans="1:26" ht="15.75" customHeight="1">
      <c r="A985" s="126"/>
      <c r="B985" s="126"/>
      <c r="C985" s="176"/>
      <c r="D985" s="17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row>
    <row r="986" spans="1:26" ht="15.75" customHeight="1">
      <c r="A986" s="126"/>
      <c r="B986" s="126"/>
      <c r="C986" s="176"/>
      <c r="D986" s="17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row>
    <row r="987" spans="1:26" ht="15.75" customHeight="1">
      <c r="A987" s="126"/>
      <c r="B987" s="126"/>
      <c r="C987" s="176"/>
      <c r="D987" s="17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row>
    <row r="988" spans="1:26" ht="15.75" customHeight="1">
      <c r="A988" s="126"/>
      <c r="B988" s="126"/>
      <c r="C988" s="176"/>
      <c r="D988" s="17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row>
    <row r="989" spans="1:26" ht="15.75" customHeight="1">
      <c r="A989" s="126"/>
      <c r="B989" s="126"/>
      <c r="C989" s="176"/>
      <c r="D989" s="17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row>
    <row r="990" spans="1:26" ht="15.75" customHeight="1">
      <c r="A990" s="126"/>
      <c r="B990" s="126"/>
      <c r="C990" s="176"/>
      <c r="D990" s="17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row>
    <row r="991" spans="1:26" ht="15.75" customHeight="1">
      <c r="A991" s="126"/>
      <c r="B991" s="126"/>
      <c r="C991" s="176"/>
      <c r="D991" s="17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row>
    <row r="992" spans="1:26" ht="15.75" customHeight="1">
      <c r="A992" s="126"/>
      <c r="B992" s="126"/>
      <c r="C992" s="176"/>
      <c r="D992" s="17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row>
    <row r="993" spans="1:26" ht="15.75" customHeight="1">
      <c r="A993" s="126"/>
      <c r="B993" s="126"/>
      <c r="C993" s="176"/>
      <c r="D993" s="17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row>
    <row r="994" spans="1:26" ht="15.75" customHeight="1">
      <c r="A994" s="126"/>
      <c r="B994" s="126"/>
      <c r="C994" s="176"/>
      <c r="D994" s="17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row>
    <row r="995" spans="1:26" ht="15.75" customHeight="1">
      <c r="A995" s="126"/>
      <c r="B995" s="126"/>
      <c r="C995" s="176"/>
      <c r="D995" s="17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row>
    <row r="996" spans="1:26" ht="15.75" customHeight="1">
      <c r="A996" s="126"/>
      <c r="B996" s="126"/>
      <c r="C996" s="176"/>
      <c r="D996" s="17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row>
    <row r="997" spans="1:26" ht="15.75" customHeight="1">
      <c r="A997" s="126"/>
      <c r="B997" s="126"/>
      <c r="C997" s="176"/>
      <c r="D997" s="17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row>
    <row r="998" spans="1:26" ht="15.75" customHeight="1">
      <c r="A998" s="126"/>
      <c r="B998" s="126"/>
      <c r="C998" s="176"/>
      <c r="D998" s="17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row>
    <row r="999" spans="1:26" ht="15.75" customHeight="1">
      <c r="A999" s="126"/>
      <c r="B999" s="126"/>
      <c r="C999" s="176"/>
      <c r="D999" s="17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row>
    <row r="1000" spans="1:26" ht="15.75" customHeight="1">
      <c r="A1000" s="126"/>
      <c r="B1000" s="126"/>
      <c r="C1000" s="176"/>
      <c r="D1000" s="17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row>
  </sheetData>
  <mergeCells count="44">
    <mergeCell ref="A1:D1"/>
    <mergeCell ref="A2:D2"/>
    <mergeCell ref="A3:D3"/>
    <mergeCell ref="A4:D4"/>
    <mergeCell ref="A5:B5"/>
    <mergeCell ref="C5:D5"/>
    <mergeCell ref="A6:B6"/>
    <mergeCell ref="C6:D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B49:B50"/>
    <mergeCell ref="B51:B52"/>
    <mergeCell ref="C34:D34"/>
    <mergeCell ref="C35:D35"/>
    <mergeCell ref="C36:D36"/>
    <mergeCell ref="C37:D37"/>
    <mergeCell ref="A39:D40"/>
    <mergeCell ref="B43:B44"/>
    <mergeCell ref="B45:B46"/>
  </mergeCells>
  <dataValidations count="1">
    <dataValidation type="decimal" allowBlank="1" showErrorMessage="1" sqref="C7:C30 C37">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Egresos Presupuestarios y los Gastos Contables Página &amp;P de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5703125" customWidth="1"/>
    <col min="2" max="3" width="1.28515625" customWidth="1"/>
    <col min="4" max="4" width="55.5703125" customWidth="1"/>
    <col min="5" max="9" width="18" customWidth="1"/>
    <col min="10" max="26" width="10.7109375" customWidth="1"/>
  </cols>
  <sheetData>
    <row r="1" spans="1:26" ht="45.75" customHeight="1">
      <c r="A1" s="745" t="str">
        <f>"Nombre del Ente Público: "&amp;Validacion!A2</f>
        <v>Nombre del Ente Público: Guadalajara</v>
      </c>
      <c r="B1" s="746"/>
      <c r="C1" s="746"/>
      <c r="D1" s="746"/>
      <c r="E1" s="746"/>
      <c r="F1" s="746"/>
      <c r="G1" s="746"/>
      <c r="H1" s="746"/>
      <c r="I1" s="747"/>
      <c r="J1" s="131"/>
      <c r="K1" s="131"/>
      <c r="L1" s="131"/>
      <c r="M1" s="131"/>
      <c r="N1" s="131"/>
      <c r="O1" s="131"/>
      <c r="P1" s="131"/>
      <c r="Q1" s="131"/>
      <c r="R1" s="131"/>
      <c r="S1" s="131"/>
      <c r="T1" s="131"/>
      <c r="U1" s="131"/>
      <c r="V1" s="131"/>
      <c r="W1" s="131"/>
      <c r="X1" s="131"/>
      <c r="Y1" s="131"/>
      <c r="Z1" s="131"/>
    </row>
    <row r="2" spans="1:26" ht="21">
      <c r="A2" s="748" t="s">
        <v>7178</v>
      </c>
      <c r="B2" s="749"/>
      <c r="C2" s="749"/>
      <c r="D2" s="749"/>
      <c r="E2" s="749"/>
      <c r="F2" s="749"/>
      <c r="G2" s="749"/>
      <c r="H2" s="749"/>
      <c r="I2" s="750"/>
      <c r="J2" s="131"/>
      <c r="K2" s="131"/>
      <c r="L2" s="131"/>
      <c r="M2" s="131"/>
      <c r="N2" s="131"/>
      <c r="O2" s="131"/>
      <c r="P2" s="131"/>
      <c r="Q2" s="131"/>
      <c r="R2" s="131"/>
      <c r="S2" s="131"/>
      <c r="T2" s="131"/>
      <c r="U2" s="131"/>
      <c r="V2" s="131"/>
      <c r="W2" s="131"/>
      <c r="X2" s="131"/>
      <c r="Y2" s="131"/>
      <c r="Z2" s="131"/>
    </row>
    <row r="3" spans="1:26" ht="18.75">
      <c r="A3" s="923" t="e">
        <f>'F6'!A3</f>
        <v>#REF!</v>
      </c>
      <c r="B3" s="749"/>
      <c r="C3" s="749"/>
      <c r="D3" s="749"/>
      <c r="E3" s="749"/>
      <c r="F3" s="749"/>
      <c r="G3" s="749"/>
      <c r="H3" s="749"/>
      <c r="I3" s="750"/>
      <c r="J3" s="131"/>
      <c r="K3" s="131"/>
      <c r="L3" s="131"/>
      <c r="M3" s="131"/>
      <c r="N3" s="131"/>
      <c r="O3" s="131"/>
      <c r="P3" s="131"/>
      <c r="Q3" s="131"/>
      <c r="R3" s="131"/>
      <c r="S3" s="131"/>
      <c r="T3" s="131"/>
      <c r="U3" s="131"/>
      <c r="V3" s="131"/>
      <c r="W3" s="131"/>
      <c r="X3" s="131"/>
      <c r="Y3" s="131"/>
      <c r="Z3" s="131"/>
    </row>
    <row r="4" spans="1:26" ht="18.75">
      <c r="A4" s="807" t="s">
        <v>4378</v>
      </c>
      <c r="B4" s="753"/>
      <c r="C4" s="753"/>
      <c r="D4" s="753"/>
      <c r="E4" s="753"/>
      <c r="F4" s="753"/>
      <c r="G4" s="753"/>
      <c r="H4" s="753"/>
      <c r="I4" s="754"/>
      <c r="J4" s="131"/>
      <c r="K4" s="131"/>
      <c r="L4" s="131"/>
      <c r="M4" s="131"/>
      <c r="N4" s="131"/>
      <c r="O4" s="131"/>
      <c r="P4" s="131"/>
      <c r="Q4" s="131"/>
      <c r="R4" s="131"/>
      <c r="S4" s="131"/>
      <c r="T4" s="131"/>
      <c r="U4" s="131"/>
      <c r="V4" s="131"/>
      <c r="W4" s="131"/>
      <c r="X4" s="131"/>
      <c r="Y4" s="131"/>
      <c r="Z4" s="131"/>
    </row>
    <row r="5" spans="1:26" ht="31.5">
      <c r="A5" s="921" t="s">
        <v>4379</v>
      </c>
      <c r="B5" s="756"/>
      <c r="C5" s="756"/>
      <c r="D5" s="733"/>
      <c r="E5" s="218" t="s">
        <v>7179</v>
      </c>
      <c r="F5" s="218" t="s">
        <v>7180</v>
      </c>
      <c r="G5" s="218" t="s">
        <v>7181</v>
      </c>
      <c r="H5" s="218" t="s">
        <v>7182</v>
      </c>
      <c r="I5" s="218" t="s">
        <v>7183</v>
      </c>
      <c r="J5" s="131"/>
      <c r="K5" s="131"/>
      <c r="L5" s="131"/>
      <c r="M5" s="131"/>
      <c r="N5" s="131"/>
      <c r="O5" s="131"/>
      <c r="P5" s="131"/>
      <c r="Q5" s="131"/>
      <c r="R5" s="131"/>
      <c r="S5" s="131"/>
      <c r="T5" s="131"/>
      <c r="U5" s="131"/>
      <c r="V5" s="131"/>
      <c r="W5" s="131"/>
      <c r="X5" s="131"/>
      <c r="Y5" s="131"/>
      <c r="Z5" s="131"/>
    </row>
    <row r="6" spans="1:26" ht="15.75">
      <c r="A6" s="553" t="s">
        <v>6399</v>
      </c>
      <c r="B6" s="554"/>
      <c r="C6" s="554"/>
      <c r="D6" s="555"/>
      <c r="E6" s="539">
        <f t="shared" ref="E6:G6" si="0">E7+E15</f>
        <v>13636481384.42</v>
      </c>
      <c r="F6" s="539">
        <f t="shared" si="0"/>
        <v>39168552453.230003</v>
      </c>
      <c r="G6" s="539">
        <f t="shared" si="0"/>
        <v>35758992336.309998</v>
      </c>
      <c r="H6" s="539">
        <f t="shared" ref="H6:H24" si="1">E6+F6-G6</f>
        <v>17046041501.340004</v>
      </c>
      <c r="I6" s="539">
        <f>ROUND(H6-E6,2)</f>
        <v>3409560116.9200001</v>
      </c>
      <c r="J6" s="131"/>
      <c r="K6" s="131"/>
      <c r="L6" s="131"/>
      <c r="M6" s="131"/>
      <c r="N6" s="131"/>
      <c r="O6" s="131"/>
      <c r="P6" s="131"/>
      <c r="Q6" s="131"/>
      <c r="R6" s="131"/>
      <c r="S6" s="131"/>
      <c r="T6" s="131"/>
      <c r="U6" s="131"/>
      <c r="V6" s="131"/>
      <c r="W6" s="131"/>
      <c r="X6" s="131"/>
      <c r="Y6" s="131"/>
      <c r="Z6" s="131"/>
    </row>
    <row r="7" spans="1:26">
      <c r="A7" s="556"/>
      <c r="B7" s="557" t="s">
        <v>6603</v>
      </c>
      <c r="C7" s="558"/>
      <c r="D7" s="559"/>
      <c r="E7" s="542">
        <f t="shared" ref="E7:G7" si="2">SUM(E8:E14)</f>
        <v>257917953.57999995</v>
      </c>
      <c r="F7" s="542">
        <f t="shared" si="2"/>
        <v>36892921387.230003</v>
      </c>
      <c r="G7" s="542">
        <f t="shared" si="2"/>
        <v>34120587117.449997</v>
      </c>
      <c r="H7" s="542">
        <f t="shared" si="1"/>
        <v>3030252223.3600082</v>
      </c>
      <c r="I7" s="542">
        <f t="shared" ref="I7:I24" si="3">H7-E7</f>
        <v>2772334269.7800083</v>
      </c>
      <c r="J7" s="131"/>
      <c r="K7" s="131"/>
      <c r="L7" s="131"/>
      <c r="M7" s="131"/>
      <c r="N7" s="131"/>
      <c r="O7" s="131"/>
      <c r="P7" s="131"/>
      <c r="Q7" s="131"/>
      <c r="R7" s="131"/>
      <c r="S7" s="131"/>
      <c r="T7" s="131"/>
      <c r="U7" s="131"/>
      <c r="V7" s="131"/>
      <c r="W7" s="131"/>
      <c r="X7" s="131"/>
      <c r="Y7" s="131"/>
      <c r="Z7" s="131"/>
    </row>
    <row r="8" spans="1:26">
      <c r="A8" s="556"/>
      <c r="B8" s="558"/>
      <c r="C8" s="560" t="s">
        <v>7184</v>
      </c>
      <c r="D8" s="559"/>
      <c r="E8" s="561">
        <f>Balanza!C5</f>
        <v>203522811.58999997</v>
      </c>
      <c r="F8" s="561">
        <f>Balanza!E5</f>
        <v>27089570220.210003</v>
      </c>
      <c r="G8" s="561">
        <f>Balanza!F5</f>
        <v>24409196211.84</v>
      </c>
      <c r="H8" s="561">
        <f t="shared" si="1"/>
        <v>2883896819.9600029</v>
      </c>
      <c r="I8" s="561">
        <f t="shared" si="3"/>
        <v>2680374008.3700027</v>
      </c>
      <c r="J8" s="131"/>
      <c r="K8" s="131"/>
      <c r="L8" s="131"/>
      <c r="M8" s="131"/>
      <c r="N8" s="131"/>
      <c r="O8" s="131"/>
      <c r="P8" s="131"/>
      <c r="Q8" s="131"/>
      <c r="R8" s="131"/>
      <c r="S8" s="131"/>
      <c r="T8" s="131"/>
      <c r="U8" s="131"/>
      <c r="V8" s="131"/>
      <c r="W8" s="131"/>
      <c r="X8" s="131"/>
      <c r="Y8" s="131"/>
      <c r="Z8" s="131"/>
    </row>
    <row r="9" spans="1:26">
      <c r="A9" s="562"/>
      <c r="B9" s="563"/>
      <c r="C9" s="560" t="s">
        <v>7185</v>
      </c>
      <c r="D9" s="529"/>
      <c r="E9" s="561">
        <f>Balanza!C13</f>
        <v>51253093.140000001</v>
      </c>
      <c r="F9" s="561">
        <f>Balanza!E13</f>
        <v>9672098954.460001</v>
      </c>
      <c r="G9" s="561">
        <f>Balanza!F13</f>
        <v>9654542619.5799999</v>
      </c>
      <c r="H9" s="561">
        <f t="shared" si="1"/>
        <v>68809428.020000458</v>
      </c>
      <c r="I9" s="561">
        <f t="shared" si="3"/>
        <v>17556334.880000457</v>
      </c>
      <c r="J9" s="131"/>
      <c r="K9" s="131"/>
      <c r="L9" s="131"/>
      <c r="M9" s="131"/>
      <c r="N9" s="131"/>
      <c r="O9" s="131"/>
      <c r="P9" s="131"/>
      <c r="Q9" s="131"/>
      <c r="R9" s="131"/>
      <c r="S9" s="131"/>
      <c r="T9" s="131"/>
      <c r="U9" s="131"/>
      <c r="V9" s="131"/>
      <c r="W9" s="131"/>
      <c r="X9" s="131"/>
      <c r="Y9" s="131"/>
      <c r="Z9" s="131"/>
    </row>
    <row r="10" spans="1:26">
      <c r="A10" s="562"/>
      <c r="B10" s="563"/>
      <c r="C10" s="560" t="s">
        <v>7186</v>
      </c>
      <c r="D10" s="529"/>
      <c r="E10" s="561">
        <f>Balanza!C21</f>
        <v>3142048.85</v>
      </c>
      <c r="F10" s="561">
        <f>Balanza!E21</f>
        <v>131252212.56</v>
      </c>
      <c r="G10" s="561">
        <f>Balanza!F21</f>
        <v>56848286.030000001</v>
      </c>
      <c r="H10" s="561">
        <f t="shared" si="1"/>
        <v>77545975.379999995</v>
      </c>
      <c r="I10" s="561">
        <f t="shared" si="3"/>
        <v>74403926.530000001</v>
      </c>
      <c r="J10" s="131"/>
      <c r="K10" s="131"/>
      <c r="L10" s="131"/>
      <c r="M10" s="131"/>
      <c r="N10" s="131"/>
      <c r="O10" s="131"/>
      <c r="P10" s="131"/>
      <c r="Q10" s="131"/>
      <c r="R10" s="131"/>
      <c r="S10" s="131"/>
      <c r="T10" s="131"/>
      <c r="U10" s="131"/>
      <c r="V10" s="131"/>
      <c r="W10" s="131"/>
      <c r="X10" s="131"/>
      <c r="Y10" s="131"/>
      <c r="Z10" s="131"/>
    </row>
    <row r="11" spans="1:26">
      <c r="A11" s="562"/>
      <c r="B11" s="563"/>
      <c r="C11" s="560" t="s">
        <v>7187</v>
      </c>
      <c r="D11" s="529"/>
      <c r="E11" s="561">
        <f>Balanza!C27</f>
        <v>0</v>
      </c>
      <c r="F11" s="561">
        <f>Balanza!E27</f>
        <v>0</v>
      </c>
      <c r="G11" s="561">
        <f>Balanza!F27</f>
        <v>0</v>
      </c>
      <c r="H11" s="561">
        <f t="shared" si="1"/>
        <v>0</v>
      </c>
      <c r="I11" s="561">
        <f t="shared" si="3"/>
        <v>0</v>
      </c>
      <c r="J11" s="131"/>
      <c r="K11" s="131"/>
      <c r="L11" s="131"/>
      <c r="M11" s="131"/>
      <c r="N11" s="131"/>
      <c r="O11" s="131"/>
      <c r="P11" s="131"/>
      <c r="Q11" s="131"/>
      <c r="R11" s="131"/>
      <c r="S11" s="131"/>
      <c r="T11" s="131"/>
      <c r="U11" s="131"/>
      <c r="V11" s="131"/>
      <c r="W11" s="131"/>
      <c r="X11" s="131"/>
      <c r="Y11" s="131"/>
      <c r="Z11" s="131"/>
    </row>
    <row r="12" spans="1:26">
      <c r="A12" s="562"/>
      <c r="B12" s="563"/>
      <c r="C12" s="560" t="s">
        <v>7188</v>
      </c>
      <c r="D12" s="529"/>
      <c r="E12" s="561">
        <f>Balanza!C33</f>
        <v>0</v>
      </c>
      <c r="F12" s="561">
        <f>Balanza!E33</f>
        <v>0</v>
      </c>
      <c r="G12" s="561">
        <f>Balanza!F33</f>
        <v>0</v>
      </c>
      <c r="H12" s="561">
        <f t="shared" si="1"/>
        <v>0</v>
      </c>
      <c r="I12" s="561">
        <f t="shared" si="3"/>
        <v>0</v>
      </c>
      <c r="J12" s="131"/>
      <c r="K12" s="131"/>
      <c r="L12" s="131"/>
      <c r="M12" s="131"/>
      <c r="N12" s="131"/>
      <c r="O12" s="131"/>
      <c r="P12" s="131"/>
      <c r="Q12" s="131"/>
      <c r="R12" s="131"/>
      <c r="S12" s="131"/>
      <c r="T12" s="131"/>
      <c r="U12" s="131"/>
      <c r="V12" s="131"/>
      <c r="W12" s="131"/>
      <c r="X12" s="131"/>
      <c r="Y12" s="131"/>
      <c r="Z12" s="131"/>
    </row>
    <row r="13" spans="1:26">
      <c r="A13" s="562"/>
      <c r="B13" s="563"/>
      <c r="C13" s="560" t="s">
        <v>7189</v>
      </c>
      <c r="D13" s="529"/>
      <c r="E13" s="561">
        <f>Balanza!C35</f>
        <v>0</v>
      </c>
      <c r="F13" s="561">
        <f>Balanza!E35</f>
        <v>0</v>
      </c>
      <c r="G13" s="561">
        <f>Balanza!F35</f>
        <v>0</v>
      </c>
      <c r="H13" s="561">
        <f t="shared" si="1"/>
        <v>0</v>
      </c>
      <c r="I13" s="561">
        <f t="shared" si="3"/>
        <v>0</v>
      </c>
      <c r="J13" s="131"/>
      <c r="K13" s="131"/>
      <c r="L13" s="131"/>
      <c r="M13" s="131"/>
      <c r="N13" s="131"/>
      <c r="O13" s="131"/>
      <c r="P13" s="131"/>
      <c r="Q13" s="131"/>
      <c r="R13" s="131"/>
      <c r="S13" s="131"/>
      <c r="T13" s="131"/>
      <c r="U13" s="131"/>
      <c r="V13" s="131"/>
      <c r="W13" s="131"/>
      <c r="X13" s="131"/>
      <c r="Y13" s="131"/>
      <c r="Z13" s="131"/>
    </row>
    <row r="14" spans="1:26">
      <c r="A14" s="562"/>
      <c r="B14" s="563"/>
      <c r="C14" s="560" t="s">
        <v>7190</v>
      </c>
      <c r="D14" s="529"/>
      <c r="E14" s="561">
        <f>Balanza!C38</f>
        <v>0</v>
      </c>
      <c r="F14" s="561">
        <f>Balanza!E38</f>
        <v>0</v>
      </c>
      <c r="G14" s="561">
        <f>Balanza!F38</f>
        <v>0</v>
      </c>
      <c r="H14" s="561">
        <f t="shared" si="1"/>
        <v>0</v>
      </c>
      <c r="I14" s="561">
        <f t="shared" si="3"/>
        <v>0</v>
      </c>
      <c r="J14" s="131"/>
      <c r="K14" s="131"/>
      <c r="L14" s="131"/>
      <c r="M14" s="131"/>
      <c r="N14" s="131"/>
      <c r="O14" s="131"/>
      <c r="P14" s="131"/>
      <c r="Q14" s="131"/>
      <c r="R14" s="131"/>
      <c r="S14" s="131"/>
      <c r="T14" s="131"/>
      <c r="U14" s="131"/>
      <c r="V14" s="131"/>
      <c r="W14" s="131"/>
      <c r="X14" s="131"/>
      <c r="Y14" s="131"/>
      <c r="Z14" s="131"/>
    </row>
    <row r="15" spans="1:26">
      <c r="A15" s="562"/>
      <c r="B15" s="557" t="s">
        <v>7191</v>
      </c>
      <c r="C15" s="558"/>
      <c r="D15" s="559"/>
      <c r="E15" s="542">
        <f t="shared" ref="E15:G15" si="4">SUM(E16:E24)</f>
        <v>13378563430.84</v>
      </c>
      <c r="F15" s="542">
        <f t="shared" si="4"/>
        <v>2275631066</v>
      </c>
      <c r="G15" s="542">
        <f t="shared" si="4"/>
        <v>1638405218.8599999</v>
      </c>
      <c r="H15" s="542">
        <f t="shared" si="1"/>
        <v>14015789277.98</v>
      </c>
      <c r="I15" s="542">
        <f t="shared" si="3"/>
        <v>637225847.13999939</v>
      </c>
      <c r="J15" s="131"/>
      <c r="K15" s="131"/>
      <c r="L15" s="131"/>
      <c r="M15" s="131"/>
      <c r="N15" s="131"/>
      <c r="O15" s="131"/>
      <c r="P15" s="131"/>
      <c r="Q15" s="131"/>
      <c r="R15" s="131"/>
      <c r="S15" s="131"/>
      <c r="T15" s="131"/>
      <c r="U15" s="131"/>
      <c r="V15" s="131"/>
      <c r="W15" s="131"/>
      <c r="X15" s="131"/>
      <c r="Y15" s="131"/>
      <c r="Z15" s="131"/>
    </row>
    <row r="16" spans="1:26">
      <c r="A16" s="562"/>
      <c r="B16" s="558"/>
      <c r="C16" s="560" t="s">
        <v>7192</v>
      </c>
      <c r="D16" s="529"/>
      <c r="E16" s="561">
        <f>Balanza!C44</f>
        <v>271372363.85000002</v>
      </c>
      <c r="F16" s="561">
        <f>Balanza!E44</f>
        <v>1688371329.0899999</v>
      </c>
      <c r="G16" s="561">
        <f>Balanza!F44</f>
        <v>1638405218.8599999</v>
      </c>
      <c r="H16" s="561">
        <f t="shared" si="1"/>
        <v>321338474.08000016</v>
      </c>
      <c r="I16" s="561">
        <f t="shared" si="3"/>
        <v>49966110.230000138</v>
      </c>
      <c r="J16" s="131"/>
      <c r="K16" s="131"/>
      <c r="L16" s="131"/>
      <c r="M16" s="131"/>
      <c r="N16" s="131"/>
      <c r="O16" s="131"/>
      <c r="P16" s="131"/>
      <c r="Q16" s="131"/>
      <c r="R16" s="131"/>
      <c r="S16" s="131"/>
      <c r="T16" s="131"/>
      <c r="U16" s="131"/>
      <c r="V16" s="131"/>
      <c r="W16" s="131"/>
      <c r="X16" s="131"/>
      <c r="Y16" s="131"/>
      <c r="Z16" s="131"/>
    </row>
    <row r="17" spans="1:26">
      <c r="A17" s="562"/>
      <c r="B17" s="563"/>
      <c r="C17" s="560" t="s">
        <v>7193</v>
      </c>
      <c r="D17" s="529"/>
      <c r="E17" s="561">
        <f>Balanza!C49</f>
        <v>644018.16</v>
      </c>
      <c r="F17" s="561">
        <f>Balanza!E49</f>
        <v>0</v>
      </c>
      <c r="G17" s="561">
        <f>Balanza!F49</f>
        <v>0</v>
      </c>
      <c r="H17" s="561">
        <f t="shared" si="1"/>
        <v>644018.16</v>
      </c>
      <c r="I17" s="561">
        <f t="shared" si="3"/>
        <v>0</v>
      </c>
      <c r="J17" s="131"/>
      <c r="K17" s="131"/>
      <c r="L17" s="131"/>
      <c r="M17" s="131"/>
      <c r="N17" s="131"/>
      <c r="O17" s="131"/>
      <c r="P17" s="131"/>
      <c r="Q17" s="131"/>
      <c r="R17" s="131"/>
      <c r="S17" s="131"/>
      <c r="T17" s="131"/>
      <c r="U17" s="131"/>
      <c r="V17" s="131"/>
      <c r="W17" s="131"/>
      <c r="X17" s="131"/>
      <c r="Y17" s="131"/>
      <c r="Z17" s="131"/>
    </row>
    <row r="18" spans="1:26">
      <c r="A18" s="562"/>
      <c r="B18" s="563"/>
      <c r="C18" s="560" t="s">
        <v>4406</v>
      </c>
      <c r="D18" s="529"/>
      <c r="E18" s="561">
        <f>Balanza!C55</f>
        <v>9910739499.8099995</v>
      </c>
      <c r="F18" s="561">
        <f>Balanza!E55</f>
        <v>338209649.38999999</v>
      </c>
      <c r="G18" s="561">
        <f>Balanza!F55</f>
        <v>0</v>
      </c>
      <c r="H18" s="561">
        <f t="shared" si="1"/>
        <v>10248949149.199999</v>
      </c>
      <c r="I18" s="561">
        <f t="shared" si="3"/>
        <v>338209649.38999939</v>
      </c>
      <c r="J18" s="131"/>
      <c r="K18" s="131"/>
      <c r="L18" s="131"/>
      <c r="M18" s="131"/>
      <c r="N18" s="131"/>
      <c r="O18" s="131"/>
      <c r="P18" s="131"/>
      <c r="Q18" s="131"/>
      <c r="R18" s="131"/>
      <c r="S18" s="131"/>
      <c r="T18" s="131"/>
      <c r="U18" s="131"/>
      <c r="V18" s="131"/>
      <c r="W18" s="131"/>
      <c r="X18" s="131"/>
      <c r="Y18" s="131"/>
      <c r="Z18" s="131"/>
    </row>
    <row r="19" spans="1:26">
      <c r="A19" s="562"/>
      <c r="B19" s="563"/>
      <c r="C19" s="560" t="s">
        <v>4407</v>
      </c>
      <c r="D19" s="529"/>
      <c r="E19" s="561">
        <f>Balanza!C63</f>
        <v>2907121555.0099998</v>
      </c>
      <c r="F19" s="561">
        <f>Balanza!E63</f>
        <v>233774735.35999998</v>
      </c>
      <c r="G19" s="561">
        <f>Balanza!F63</f>
        <v>0</v>
      </c>
      <c r="H19" s="561">
        <f t="shared" si="1"/>
        <v>3140896290.3699999</v>
      </c>
      <c r="I19" s="561">
        <f t="shared" si="3"/>
        <v>233774735.36000013</v>
      </c>
      <c r="J19" s="131"/>
      <c r="K19" s="131"/>
      <c r="L19" s="131"/>
      <c r="M19" s="131"/>
      <c r="N19" s="131"/>
      <c r="O19" s="131"/>
      <c r="P19" s="131"/>
      <c r="Q19" s="131"/>
      <c r="R19" s="131"/>
      <c r="S19" s="131"/>
      <c r="T19" s="131"/>
      <c r="U19" s="131"/>
      <c r="V19" s="131"/>
      <c r="W19" s="131"/>
      <c r="X19" s="131"/>
      <c r="Y19" s="131"/>
      <c r="Z19" s="131"/>
    </row>
    <row r="20" spans="1:26">
      <c r="A20" s="562"/>
      <c r="B20" s="563"/>
      <c r="C20" s="560" t="s">
        <v>7194</v>
      </c>
      <c r="D20" s="529"/>
      <c r="E20" s="561">
        <f>Balanza!C72</f>
        <v>212020646.59</v>
      </c>
      <c r="F20" s="561">
        <f>Balanza!E72</f>
        <v>15275352.16</v>
      </c>
      <c r="G20" s="561">
        <f>Balanza!F72</f>
        <v>0</v>
      </c>
      <c r="H20" s="561">
        <f t="shared" si="1"/>
        <v>227295998.75</v>
      </c>
      <c r="I20" s="561">
        <f t="shared" si="3"/>
        <v>15275352.159999996</v>
      </c>
      <c r="J20" s="131"/>
      <c r="K20" s="131"/>
      <c r="L20" s="131"/>
      <c r="M20" s="131"/>
      <c r="N20" s="131"/>
      <c r="O20" s="131"/>
      <c r="P20" s="131"/>
      <c r="Q20" s="131"/>
      <c r="R20" s="131"/>
      <c r="S20" s="131"/>
      <c r="T20" s="131"/>
      <c r="U20" s="131"/>
      <c r="V20" s="131"/>
      <c r="W20" s="131"/>
      <c r="X20" s="131"/>
      <c r="Y20" s="131"/>
      <c r="Z20" s="131"/>
    </row>
    <row r="21" spans="1:26" ht="15.75" customHeight="1">
      <c r="A21" s="562"/>
      <c r="B21" s="563"/>
      <c r="C21" s="560" t="s">
        <v>7195</v>
      </c>
      <c r="D21" s="529"/>
      <c r="E21" s="561">
        <f>(Balanza!D78)*-1</f>
        <v>0</v>
      </c>
      <c r="F21" s="561">
        <f>Balanza!E78</f>
        <v>0</v>
      </c>
      <c r="G21" s="561">
        <f>Balanza!F78</f>
        <v>0</v>
      </c>
      <c r="H21" s="561">
        <f t="shared" si="1"/>
        <v>0</v>
      </c>
      <c r="I21" s="561">
        <f t="shared" si="3"/>
        <v>0</v>
      </c>
      <c r="J21" s="131"/>
      <c r="K21" s="131"/>
      <c r="L21" s="131"/>
      <c r="M21" s="131"/>
      <c r="N21" s="131"/>
      <c r="O21" s="131"/>
      <c r="P21" s="131"/>
      <c r="Q21" s="131"/>
      <c r="R21" s="131"/>
      <c r="S21" s="131"/>
      <c r="T21" s="131"/>
      <c r="U21" s="131"/>
      <c r="V21" s="131"/>
      <c r="W21" s="131"/>
      <c r="X21" s="131"/>
      <c r="Y21" s="131"/>
      <c r="Z21" s="131"/>
    </row>
    <row r="22" spans="1:26" ht="15.75" customHeight="1">
      <c r="A22" s="562"/>
      <c r="B22" s="563"/>
      <c r="C22" s="560" t="s">
        <v>7196</v>
      </c>
      <c r="D22" s="529"/>
      <c r="E22" s="561">
        <f>Balanza!C84</f>
        <v>75624760.670000002</v>
      </c>
      <c r="F22" s="561">
        <f>Balanza!E84</f>
        <v>0</v>
      </c>
      <c r="G22" s="561">
        <f>Balanza!F84</f>
        <v>0</v>
      </c>
      <c r="H22" s="561">
        <f t="shared" si="1"/>
        <v>75624760.670000002</v>
      </c>
      <c r="I22" s="561">
        <f t="shared" si="3"/>
        <v>0</v>
      </c>
      <c r="J22" s="131"/>
      <c r="K22" s="131"/>
      <c r="L22" s="131"/>
      <c r="M22" s="131"/>
      <c r="N22" s="131"/>
      <c r="O22" s="131"/>
      <c r="P22" s="131"/>
      <c r="Q22" s="131"/>
      <c r="R22" s="131"/>
      <c r="S22" s="131"/>
      <c r="T22" s="131"/>
      <c r="U22" s="131"/>
      <c r="V22" s="131"/>
      <c r="W22" s="131"/>
      <c r="X22" s="131"/>
      <c r="Y22" s="131"/>
      <c r="Z22" s="131"/>
    </row>
    <row r="23" spans="1:26" ht="15.75" customHeight="1">
      <c r="A23" s="562"/>
      <c r="B23" s="563"/>
      <c r="C23" s="560" t="s">
        <v>7197</v>
      </c>
      <c r="D23" s="529"/>
      <c r="E23" s="561">
        <f>Balanza!C91</f>
        <v>0</v>
      </c>
      <c r="F23" s="561">
        <f>Balanza!E91</f>
        <v>0</v>
      </c>
      <c r="G23" s="561">
        <f>Balanza!F91</f>
        <v>0</v>
      </c>
      <c r="H23" s="561">
        <f t="shared" si="1"/>
        <v>0</v>
      </c>
      <c r="I23" s="561">
        <f t="shared" si="3"/>
        <v>0</v>
      </c>
      <c r="J23" s="131"/>
      <c r="K23" s="131"/>
      <c r="L23" s="131"/>
      <c r="M23" s="131"/>
      <c r="N23" s="131"/>
      <c r="O23" s="131"/>
      <c r="P23" s="131"/>
      <c r="Q23" s="131"/>
      <c r="R23" s="131"/>
      <c r="S23" s="131"/>
      <c r="T23" s="131"/>
      <c r="U23" s="131"/>
      <c r="V23" s="131"/>
      <c r="W23" s="131"/>
      <c r="X23" s="131"/>
      <c r="Y23" s="131"/>
      <c r="Z23" s="131"/>
    </row>
    <row r="24" spans="1:26" ht="15.75" customHeight="1">
      <c r="A24" s="564"/>
      <c r="B24" s="565"/>
      <c r="C24" s="566" t="s">
        <v>7198</v>
      </c>
      <c r="D24" s="567"/>
      <c r="E24" s="568">
        <f>Balanza!C97</f>
        <v>1040586.75</v>
      </c>
      <c r="F24" s="568">
        <f>Balanza!E97</f>
        <v>0</v>
      </c>
      <c r="G24" s="568">
        <f>Balanza!F97</f>
        <v>0</v>
      </c>
      <c r="H24" s="568">
        <f t="shared" si="1"/>
        <v>1040586.75</v>
      </c>
      <c r="I24" s="568">
        <f t="shared" si="3"/>
        <v>0</v>
      </c>
      <c r="J24" s="131"/>
      <c r="K24" s="131"/>
      <c r="L24" s="131"/>
      <c r="M24" s="131"/>
      <c r="N24" s="131"/>
      <c r="O24" s="131"/>
      <c r="P24" s="131"/>
      <c r="Q24" s="131"/>
      <c r="R24" s="131"/>
      <c r="S24" s="131"/>
      <c r="T24" s="131"/>
      <c r="U24" s="131"/>
      <c r="V24" s="131"/>
      <c r="W24" s="131"/>
      <c r="X24" s="131"/>
      <c r="Y24" s="131"/>
      <c r="Z24" s="131"/>
    </row>
    <row r="25" spans="1:26" ht="15.75" customHeight="1">
      <c r="A25" s="210"/>
      <c r="B25" s="210"/>
      <c r="C25" s="210"/>
      <c r="D25" s="178"/>
      <c r="E25" s="569"/>
      <c r="F25" s="569"/>
      <c r="G25" s="569"/>
      <c r="H25" s="569"/>
      <c r="I25" s="569"/>
      <c r="J25" s="131"/>
      <c r="K25" s="131"/>
      <c r="L25" s="131"/>
      <c r="M25" s="131"/>
      <c r="N25" s="131"/>
      <c r="O25" s="131"/>
      <c r="P25" s="131"/>
      <c r="Q25" s="131"/>
      <c r="R25" s="131"/>
      <c r="S25" s="131"/>
      <c r="T25" s="131"/>
      <c r="U25" s="131"/>
      <c r="V25" s="131"/>
      <c r="W25" s="131"/>
      <c r="X25" s="131"/>
      <c r="Y25" s="131"/>
      <c r="Z25" s="131"/>
    </row>
    <row r="26" spans="1:26" ht="15.75" customHeight="1">
      <c r="A26" s="210"/>
      <c r="B26" s="210"/>
      <c r="C26" s="210"/>
      <c r="D26" s="924" t="s">
        <v>7199</v>
      </c>
      <c r="E26" s="725"/>
      <c r="F26" s="725"/>
      <c r="G26" s="725"/>
      <c r="H26" s="725"/>
      <c r="I26" s="725"/>
      <c r="J26" s="131"/>
      <c r="K26" s="131"/>
      <c r="L26" s="131"/>
      <c r="M26" s="131"/>
      <c r="N26" s="131"/>
      <c r="O26" s="131"/>
      <c r="P26" s="131"/>
      <c r="Q26" s="131"/>
      <c r="R26" s="131"/>
      <c r="S26" s="131"/>
      <c r="T26" s="131"/>
      <c r="U26" s="131"/>
      <c r="V26" s="131"/>
      <c r="W26" s="131"/>
      <c r="X26" s="131"/>
      <c r="Y26" s="131"/>
      <c r="Z26" s="131"/>
    </row>
    <row r="27" spans="1:26" ht="15.75" customHeight="1">
      <c r="A27" s="210"/>
      <c r="B27" s="210"/>
      <c r="C27" s="210"/>
      <c r="D27" s="725"/>
      <c r="E27" s="725"/>
      <c r="F27" s="725"/>
      <c r="G27" s="725"/>
      <c r="H27" s="725"/>
      <c r="I27" s="725"/>
      <c r="J27" s="131"/>
      <c r="K27" s="131"/>
      <c r="L27" s="131"/>
      <c r="M27" s="131"/>
      <c r="N27" s="131"/>
      <c r="O27" s="131"/>
      <c r="P27" s="131"/>
      <c r="Q27" s="131"/>
      <c r="R27" s="131"/>
      <c r="S27" s="131"/>
      <c r="T27" s="131"/>
      <c r="U27" s="131"/>
      <c r="V27" s="131"/>
      <c r="W27" s="131"/>
      <c r="X27" s="131"/>
      <c r="Y27" s="131"/>
      <c r="Z27" s="131"/>
    </row>
    <row r="28" spans="1:26" ht="15.75" customHeight="1">
      <c r="A28" s="210"/>
      <c r="B28" s="210"/>
      <c r="C28" s="210"/>
      <c r="D28" s="725"/>
      <c r="E28" s="725"/>
      <c r="F28" s="725"/>
      <c r="G28" s="725"/>
      <c r="H28" s="725"/>
      <c r="I28" s="725"/>
      <c r="J28" s="131"/>
      <c r="K28" s="131"/>
      <c r="L28" s="131"/>
      <c r="M28" s="131"/>
      <c r="N28" s="131"/>
      <c r="O28" s="131"/>
      <c r="P28" s="131"/>
      <c r="Q28" s="131"/>
      <c r="R28" s="131"/>
      <c r="S28" s="131"/>
      <c r="T28" s="131"/>
      <c r="U28" s="131"/>
      <c r="V28" s="131"/>
      <c r="W28" s="131"/>
      <c r="X28" s="131"/>
      <c r="Y28" s="131"/>
      <c r="Z28" s="131"/>
    </row>
    <row r="29" spans="1:26" ht="15.75" customHeight="1">
      <c r="A29" s="210"/>
      <c r="B29" s="210"/>
      <c r="C29" s="210"/>
      <c r="D29" s="570"/>
      <c r="E29" s="570"/>
      <c r="F29" s="570"/>
      <c r="G29" s="570"/>
      <c r="H29" s="570"/>
      <c r="I29" s="570"/>
      <c r="J29" s="131"/>
      <c r="K29" s="131"/>
      <c r="L29" s="131"/>
      <c r="M29" s="131"/>
      <c r="N29" s="131"/>
      <c r="O29" s="131"/>
      <c r="P29" s="131"/>
      <c r="Q29" s="131"/>
      <c r="R29" s="131"/>
      <c r="S29" s="131"/>
      <c r="T29" s="131"/>
      <c r="U29" s="131"/>
      <c r="V29" s="131"/>
      <c r="W29" s="131"/>
      <c r="X29" s="131"/>
      <c r="Y29" s="131"/>
      <c r="Z29" s="131"/>
    </row>
    <row r="30" spans="1:26" ht="15.75" customHeight="1">
      <c r="A30" s="210"/>
      <c r="B30" s="210"/>
      <c r="C30" s="210"/>
      <c r="D30" s="570"/>
      <c r="E30" s="570"/>
      <c r="F30" s="570"/>
      <c r="G30" s="570"/>
      <c r="H30" s="570"/>
      <c r="I30" s="570"/>
      <c r="J30" s="131"/>
      <c r="K30" s="131"/>
      <c r="L30" s="131"/>
      <c r="M30" s="131"/>
      <c r="N30" s="131"/>
      <c r="O30" s="131"/>
      <c r="P30" s="131"/>
      <c r="Q30" s="131"/>
      <c r="R30" s="131"/>
      <c r="S30" s="131"/>
      <c r="T30" s="131"/>
      <c r="U30" s="131"/>
      <c r="V30" s="131"/>
      <c r="W30" s="131"/>
      <c r="X30" s="131"/>
      <c r="Y30" s="131"/>
      <c r="Z30" s="131"/>
    </row>
    <row r="31" spans="1:26" ht="15.75" customHeight="1">
      <c r="A31" s="210"/>
      <c r="B31" s="210"/>
      <c r="C31" s="210"/>
      <c r="D31" s="178"/>
      <c r="E31" s="569"/>
      <c r="F31" s="569"/>
      <c r="G31" s="569"/>
      <c r="H31" s="569"/>
      <c r="I31" s="569"/>
      <c r="J31" s="131"/>
      <c r="K31" s="131"/>
      <c r="L31" s="131"/>
      <c r="M31" s="131"/>
      <c r="N31" s="131"/>
      <c r="O31" s="131"/>
      <c r="P31" s="131"/>
      <c r="Q31" s="131"/>
      <c r="R31" s="131"/>
      <c r="S31" s="131"/>
      <c r="T31" s="131"/>
      <c r="U31" s="131"/>
      <c r="V31" s="131"/>
      <c r="W31" s="131"/>
      <c r="X31" s="131"/>
      <c r="Y31" s="131"/>
      <c r="Z31" s="131"/>
    </row>
    <row r="32" spans="1:26" ht="15.75" customHeight="1">
      <c r="A32" s="210"/>
      <c r="B32" s="210"/>
      <c r="C32" s="210"/>
      <c r="D32" s="786" t="str">
        <f>Validacion!A7</f>
        <v>Vero</v>
      </c>
      <c r="E32" s="569"/>
      <c r="F32" s="786" t="str">
        <f>Validacion!A9</f>
        <v>Irlanda</v>
      </c>
      <c r="G32" s="787"/>
      <c r="H32" s="787"/>
      <c r="I32" s="569"/>
      <c r="J32" s="131"/>
      <c r="K32" s="131"/>
      <c r="L32" s="131"/>
      <c r="M32" s="131"/>
      <c r="N32" s="131"/>
      <c r="O32" s="131"/>
      <c r="P32" s="131"/>
      <c r="Q32" s="131"/>
      <c r="R32" s="131"/>
      <c r="S32" s="131"/>
      <c r="T32" s="131"/>
      <c r="U32" s="131"/>
      <c r="V32" s="131"/>
      <c r="W32" s="131"/>
      <c r="X32" s="131"/>
      <c r="Y32" s="131"/>
      <c r="Z32" s="131"/>
    </row>
    <row r="33" spans="1:26" ht="15.75" customHeight="1">
      <c r="A33" s="210"/>
      <c r="B33" s="210"/>
      <c r="C33" s="210"/>
      <c r="D33" s="725"/>
      <c r="E33" s="569"/>
      <c r="F33" s="725"/>
      <c r="G33" s="725"/>
      <c r="H33" s="725"/>
      <c r="I33" s="569"/>
      <c r="J33" s="131"/>
      <c r="K33" s="131"/>
      <c r="L33" s="131"/>
      <c r="M33" s="131"/>
      <c r="N33" s="131"/>
      <c r="O33" s="131"/>
      <c r="P33" s="131"/>
      <c r="Q33" s="131"/>
      <c r="R33" s="131"/>
      <c r="S33" s="131"/>
      <c r="T33" s="131"/>
      <c r="U33" s="131"/>
      <c r="V33" s="131"/>
      <c r="W33" s="131"/>
      <c r="X33" s="131"/>
      <c r="Y33" s="131"/>
      <c r="Z33" s="131"/>
    </row>
    <row r="34" spans="1:26" ht="15" customHeight="1">
      <c r="A34" s="210"/>
      <c r="B34" s="210"/>
      <c r="C34" s="210"/>
      <c r="D34" s="773" t="s">
        <v>4443</v>
      </c>
      <c r="E34" s="142"/>
      <c r="F34" s="822" t="s">
        <v>4453</v>
      </c>
      <c r="G34" s="725"/>
      <c r="H34" s="725"/>
      <c r="I34" s="569"/>
      <c r="J34" s="569"/>
      <c r="K34" s="569"/>
      <c r="L34" s="569"/>
      <c r="M34" s="569"/>
      <c r="N34" s="569"/>
      <c r="O34" s="569"/>
      <c r="P34" s="569"/>
      <c r="Q34" s="569"/>
      <c r="R34" s="569"/>
      <c r="S34" s="569"/>
      <c r="T34" s="569"/>
      <c r="U34" s="569"/>
      <c r="V34" s="569"/>
      <c r="W34" s="569"/>
      <c r="X34" s="569"/>
      <c r="Y34" s="569"/>
      <c r="Z34" s="569"/>
    </row>
    <row r="35" spans="1:26" ht="15.75" customHeight="1">
      <c r="A35" s="210"/>
      <c r="B35" s="210"/>
      <c r="C35" s="210"/>
      <c r="D35" s="725"/>
      <c r="E35" s="569"/>
      <c r="F35" s="725"/>
      <c r="G35" s="725"/>
      <c r="H35" s="725"/>
      <c r="I35" s="569"/>
      <c r="J35" s="131"/>
      <c r="K35" s="131"/>
      <c r="L35" s="131"/>
      <c r="M35" s="131"/>
      <c r="N35" s="131"/>
      <c r="O35" s="131"/>
      <c r="P35" s="131"/>
      <c r="Q35" s="131"/>
      <c r="R35" s="131"/>
      <c r="S35" s="131"/>
      <c r="T35" s="131"/>
      <c r="U35" s="131"/>
      <c r="V35" s="131"/>
      <c r="W35" s="131"/>
      <c r="X35" s="131"/>
      <c r="Y35" s="131"/>
      <c r="Z35" s="131"/>
    </row>
    <row r="36" spans="1:26" ht="15.75" customHeight="1">
      <c r="A36" s="210"/>
      <c r="B36" s="210"/>
      <c r="C36" s="210"/>
      <c r="D36" s="178"/>
      <c r="E36" s="569"/>
      <c r="F36" s="569"/>
      <c r="G36" s="569"/>
      <c r="H36" s="569"/>
      <c r="I36" s="569"/>
      <c r="J36" s="131"/>
      <c r="K36" s="131"/>
      <c r="L36" s="131"/>
      <c r="M36" s="131"/>
      <c r="N36" s="131"/>
      <c r="O36" s="131"/>
      <c r="P36" s="131"/>
      <c r="Q36" s="131"/>
      <c r="R36" s="131"/>
      <c r="S36" s="131"/>
      <c r="T36" s="131"/>
      <c r="U36" s="131"/>
      <c r="V36" s="131"/>
      <c r="W36" s="131"/>
      <c r="X36" s="131"/>
      <c r="Y36" s="131"/>
      <c r="Z36" s="131"/>
    </row>
    <row r="37" spans="1:26" ht="15.75" customHeight="1">
      <c r="A37" s="210"/>
      <c r="B37" s="210"/>
      <c r="C37" s="210"/>
      <c r="D37" s="178"/>
      <c r="E37" s="569"/>
      <c r="F37" s="569"/>
      <c r="G37" s="569"/>
      <c r="H37" s="569"/>
      <c r="I37" s="569"/>
      <c r="J37" s="131"/>
      <c r="K37" s="131"/>
      <c r="L37" s="131"/>
      <c r="M37" s="131"/>
      <c r="N37" s="131"/>
      <c r="O37" s="131"/>
      <c r="P37" s="131"/>
      <c r="Q37" s="131"/>
      <c r="R37" s="131"/>
      <c r="S37" s="131"/>
      <c r="T37" s="131"/>
      <c r="U37" s="131"/>
      <c r="V37" s="131"/>
      <c r="W37" s="131"/>
      <c r="X37" s="131"/>
      <c r="Y37" s="131"/>
      <c r="Z37" s="131"/>
    </row>
    <row r="38" spans="1:26" ht="15.75" customHeight="1">
      <c r="A38" s="210"/>
      <c r="B38" s="210"/>
      <c r="C38" s="210"/>
      <c r="D38" s="178"/>
      <c r="E38" s="569"/>
      <c r="F38" s="569"/>
      <c r="G38" s="569"/>
      <c r="H38" s="569"/>
      <c r="I38" s="569"/>
      <c r="J38" s="131"/>
      <c r="K38" s="131"/>
      <c r="L38" s="131"/>
      <c r="M38" s="131"/>
      <c r="N38" s="131"/>
      <c r="O38" s="131"/>
      <c r="P38" s="131"/>
      <c r="Q38" s="131"/>
      <c r="R38" s="131"/>
      <c r="S38" s="131"/>
      <c r="T38" s="131"/>
      <c r="U38" s="131"/>
      <c r="V38" s="131"/>
      <c r="W38" s="131"/>
      <c r="X38" s="131"/>
      <c r="Y38" s="131"/>
      <c r="Z38" s="131"/>
    </row>
    <row r="39" spans="1:26" ht="15.75" customHeight="1">
      <c r="A39" s="210"/>
      <c r="B39" s="210"/>
      <c r="C39" s="210"/>
      <c r="D39" s="178"/>
      <c r="E39" s="569"/>
      <c r="F39" s="569"/>
      <c r="G39" s="569"/>
      <c r="H39" s="569"/>
      <c r="I39" s="569"/>
      <c r="J39" s="131"/>
      <c r="K39" s="131"/>
      <c r="L39" s="131"/>
      <c r="M39" s="131"/>
      <c r="N39" s="131"/>
      <c r="O39" s="131"/>
      <c r="P39" s="131"/>
      <c r="Q39" s="131"/>
      <c r="R39" s="131"/>
      <c r="S39" s="131"/>
      <c r="T39" s="131"/>
      <c r="U39" s="131"/>
      <c r="V39" s="131"/>
      <c r="W39" s="131"/>
      <c r="X39" s="131"/>
      <c r="Y39" s="131"/>
      <c r="Z39" s="131"/>
    </row>
    <row r="40" spans="1:26" ht="15.75" customHeight="1">
      <c r="A40" s="210"/>
      <c r="B40" s="210"/>
      <c r="C40" s="210"/>
      <c r="D40" s="178"/>
      <c r="E40" s="569"/>
      <c r="F40" s="569"/>
      <c r="G40" s="569"/>
      <c r="H40" s="569"/>
      <c r="I40" s="569"/>
      <c r="J40" s="131"/>
      <c r="K40" s="131"/>
      <c r="L40" s="131"/>
      <c r="M40" s="131"/>
      <c r="N40" s="131"/>
      <c r="O40" s="131"/>
      <c r="P40" s="131"/>
      <c r="Q40" s="131"/>
      <c r="R40" s="131"/>
      <c r="S40" s="131"/>
      <c r="T40" s="131"/>
      <c r="U40" s="131"/>
      <c r="V40" s="131"/>
      <c r="W40" s="131"/>
      <c r="X40" s="131"/>
      <c r="Y40" s="131"/>
      <c r="Z40" s="131"/>
    </row>
    <row r="41" spans="1:26" ht="15.75" customHeight="1">
      <c r="A41" s="210"/>
      <c r="B41" s="210"/>
      <c r="C41" s="210"/>
      <c r="D41" s="178"/>
      <c r="E41" s="569"/>
      <c r="F41" s="569"/>
      <c r="G41" s="569"/>
      <c r="H41" s="569"/>
      <c r="I41" s="569"/>
      <c r="J41" s="131"/>
      <c r="K41" s="131"/>
      <c r="L41" s="131"/>
      <c r="M41" s="131"/>
      <c r="N41" s="131"/>
      <c r="O41" s="131"/>
      <c r="P41" s="131"/>
      <c r="Q41" s="131"/>
      <c r="R41" s="131"/>
      <c r="S41" s="131"/>
      <c r="T41" s="131"/>
      <c r="U41" s="131"/>
      <c r="V41" s="131"/>
      <c r="W41" s="131"/>
      <c r="X41" s="131"/>
      <c r="Y41" s="131"/>
      <c r="Z41" s="131"/>
    </row>
    <row r="42" spans="1:26" ht="15.75" customHeight="1">
      <c r="A42" s="210"/>
      <c r="B42" s="210"/>
      <c r="C42" s="210"/>
      <c r="D42" s="178"/>
      <c r="E42" s="569"/>
      <c r="F42" s="569"/>
      <c r="G42" s="569"/>
      <c r="H42" s="569"/>
      <c r="I42" s="569"/>
      <c r="J42" s="131"/>
      <c r="K42" s="131"/>
      <c r="L42" s="131"/>
      <c r="M42" s="131"/>
      <c r="N42" s="131"/>
      <c r="O42" s="131"/>
      <c r="P42" s="131"/>
      <c r="Q42" s="131"/>
      <c r="R42" s="131"/>
      <c r="S42" s="131"/>
      <c r="T42" s="131"/>
      <c r="U42" s="131"/>
      <c r="V42" s="131"/>
      <c r="W42" s="131"/>
      <c r="X42" s="131"/>
      <c r="Y42" s="131"/>
      <c r="Z42" s="131"/>
    </row>
    <row r="43" spans="1:26" ht="15.75" customHeight="1">
      <c r="A43" s="210"/>
      <c r="B43" s="210"/>
      <c r="C43" s="210"/>
      <c r="D43" s="178"/>
      <c r="E43" s="569"/>
      <c r="F43" s="569"/>
      <c r="G43" s="569"/>
      <c r="H43" s="569"/>
      <c r="I43" s="569"/>
      <c r="J43" s="131"/>
      <c r="K43" s="131"/>
      <c r="L43" s="131"/>
      <c r="M43" s="131"/>
      <c r="N43" s="131"/>
      <c r="O43" s="131"/>
      <c r="P43" s="131"/>
      <c r="Q43" s="131"/>
      <c r="R43" s="131"/>
      <c r="S43" s="131"/>
      <c r="T43" s="131"/>
      <c r="U43" s="131"/>
      <c r="V43" s="131"/>
      <c r="W43" s="131"/>
      <c r="X43" s="131"/>
      <c r="Y43" s="131"/>
      <c r="Z43" s="131"/>
    </row>
    <row r="44" spans="1:26" ht="15.75" customHeight="1">
      <c r="A44" s="210"/>
      <c r="B44" s="210"/>
      <c r="C44" s="210"/>
      <c r="D44" s="178"/>
      <c r="E44" s="569"/>
      <c r="F44" s="569"/>
      <c r="G44" s="569"/>
      <c r="H44" s="569"/>
      <c r="I44" s="569"/>
      <c r="J44" s="131"/>
      <c r="K44" s="131"/>
      <c r="L44" s="131"/>
      <c r="M44" s="131"/>
      <c r="N44" s="131"/>
      <c r="O44" s="131"/>
      <c r="P44" s="131"/>
      <c r="Q44" s="131"/>
      <c r="R44" s="131"/>
      <c r="S44" s="131"/>
      <c r="T44" s="131"/>
      <c r="U44" s="131"/>
      <c r="V44" s="131"/>
      <c r="W44" s="131"/>
      <c r="X44" s="131"/>
      <c r="Y44" s="131"/>
      <c r="Z44" s="131"/>
    </row>
    <row r="45" spans="1:26" ht="15.75" customHeight="1">
      <c r="A45" s="210"/>
      <c r="B45" s="210"/>
      <c r="C45" s="210"/>
      <c r="D45" s="178"/>
      <c r="E45" s="569"/>
      <c r="F45" s="569"/>
      <c r="G45" s="569"/>
      <c r="H45" s="569"/>
      <c r="I45" s="569"/>
      <c r="J45" s="131"/>
      <c r="K45" s="131"/>
      <c r="L45" s="131"/>
      <c r="M45" s="131"/>
      <c r="N45" s="131"/>
      <c r="O45" s="131"/>
      <c r="P45" s="131"/>
      <c r="Q45" s="131"/>
      <c r="R45" s="131"/>
      <c r="S45" s="131"/>
      <c r="T45" s="131"/>
      <c r="U45" s="131"/>
      <c r="V45" s="131"/>
      <c r="W45" s="131"/>
      <c r="X45" s="131"/>
      <c r="Y45" s="131"/>
      <c r="Z45" s="131"/>
    </row>
    <row r="46" spans="1:26" ht="15.75" customHeight="1">
      <c r="A46" s="210"/>
      <c r="B46" s="210"/>
      <c r="C46" s="210"/>
      <c r="D46" s="178"/>
      <c r="E46" s="569"/>
      <c r="F46" s="569"/>
      <c r="G46" s="569"/>
      <c r="H46" s="569"/>
      <c r="I46" s="569"/>
      <c r="J46" s="131"/>
      <c r="K46" s="131"/>
      <c r="L46" s="131"/>
      <c r="M46" s="131"/>
      <c r="N46" s="131"/>
      <c r="O46" s="131"/>
      <c r="P46" s="131"/>
      <c r="Q46" s="131"/>
      <c r="R46" s="131"/>
      <c r="S46" s="131"/>
      <c r="T46" s="131"/>
      <c r="U46" s="131"/>
      <c r="V46" s="131"/>
      <c r="W46" s="131"/>
      <c r="X46" s="131"/>
      <c r="Y46" s="131"/>
      <c r="Z46" s="131"/>
    </row>
    <row r="47" spans="1:26" ht="15.75" customHeight="1">
      <c r="A47" s="210"/>
      <c r="B47" s="210"/>
      <c r="C47" s="210"/>
      <c r="D47" s="178"/>
      <c r="E47" s="569"/>
      <c r="F47" s="569"/>
      <c r="G47" s="569"/>
      <c r="H47" s="569"/>
      <c r="I47" s="569"/>
      <c r="J47" s="131"/>
      <c r="K47" s="131"/>
      <c r="L47" s="131"/>
      <c r="M47" s="131"/>
      <c r="N47" s="131"/>
      <c r="O47" s="131"/>
      <c r="P47" s="131"/>
      <c r="Q47" s="131"/>
      <c r="R47" s="131"/>
      <c r="S47" s="131"/>
      <c r="T47" s="131"/>
      <c r="U47" s="131"/>
      <c r="V47" s="131"/>
      <c r="W47" s="131"/>
      <c r="X47" s="131"/>
      <c r="Y47" s="131"/>
      <c r="Z47" s="131"/>
    </row>
    <row r="48" spans="1:26" ht="15.75" customHeight="1">
      <c r="A48" s="210"/>
      <c r="B48" s="210"/>
      <c r="C48" s="210"/>
      <c r="D48" s="178"/>
      <c r="E48" s="569"/>
      <c r="F48" s="569"/>
      <c r="G48" s="569"/>
      <c r="H48" s="569"/>
      <c r="I48" s="569"/>
      <c r="J48" s="131"/>
      <c r="K48" s="131"/>
      <c r="L48" s="131"/>
      <c r="M48" s="131"/>
      <c r="N48" s="131"/>
      <c r="O48" s="131"/>
      <c r="P48" s="131"/>
      <c r="Q48" s="131"/>
      <c r="R48" s="131"/>
      <c r="S48" s="131"/>
      <c r="T48" s="131"/>
      <c r="U48" s="131"/>
      <c r="V48" s="131"/>
      <c r="W48" s="131"/>
      <c r="X48" s="131"/>
      <c r="Y48" s="131"/>
      <c r="Z48" s="131"/>
    </row>
    <row r="49" spans="1:26" ht="15.75" customHeight="1">
      <c r="A49" s="210"/>
      <c r="B49" s="210"/>
      <c r="C49" s="210"/>
      <c r="D49" s="178"/>
      <c r="E49" s="569"/>
      <c r="F49" s="569"/>
      <c r="G49" s="569"/>
      <c r="H49" s="569"/>
      <c r="I49" s="569"/>
      <c r="J49" s="131"/>
      <c r="K49" s="131"/>
      <c r="L49" s="131"/>
      <c r="M49" s="131"/>
      <c r="N49" s="131"/>
      <c r="O49" s="131"/>
      <c r="P49" s="131"/>
      <c r="Q49" s="131"/>
      <c r="R49" s="131"/>
      <c r="S49" s="131"/>
      <c r="T49" s="131"/>
      <c r="U49" s="131"/>
      <c r="V49" s="131"/>
      <c r="W49" s="131"/>
      <c r="X49" s="131"/>
      <c r="Y49" s="131"/>
      <c r="Z49" s="131"/>
    </row>
    <row r="50" spans="1:26" ht="15.75" customHeight="1">
      <c r="A50" s="210"/>
      <c r="B50" s="210"/>
      <c r="C50" s="210"/>
      <c r="D50" s="178"/>
      <c r="E50" s="569"/>
      <c r="F50" s="569"/>
      <c r="G50" s="569"/>
      <c r="H50" s="569"/>
      <c r="I50" s="569"/>
      <c r="J50" s="131"/>
      <c r="K50" s="131"/>
      <c r="L50" s="131"/>
      <c r="M50" s="131"/>
      <c r="N50" s="131"/>
      <c r="O50" s="131"/>
      <c r="P50" s="131"/>
      <c r="Q50" s="131"/>
      <c r="R50" s="131"/>
      <c r="S50" s="131"/>
      <c r="T50" s="131"/>
      <c r="U50" s="131"/>
      <c r="V50" s="131"/>
      <c r="W50" s="131"/>
      <c r="X50" s="131"/>
      <c r="Y50" s="131"/>
      <c r="Z50" s="131"/>
    </row>
    <row r="51" spans="1:26" ht="15.75" customHeight="1">
      <c r="A51" s="210"/>
      <c r="B51" s="210"/>
      <c r="C51" s="210"/>
      <c r="D51" s="178"/>
      <c r="E51" s="569"/>
      <c r="F51" s="569"/>
      <c r="G51" s="569"/>
      <c r="H51" s="569"/>
      <c r="I51" s="569"/>
      <c r="J51" s="131"/>
      <c r="K51" s="131"/>
      <c r="L51" s="131"/>
      <c r="M51" s="131"/>
      <c r="N51" s="131"/>
      <c r="O51" s="131"/>
      <c r="P51" s="131"/>
      <c r="Q51" s="131"/>
      <c r="R51" s="131"/>
      <c r="S51" s="131"/>
      <c r="T51" s="131"/>
      <c r="U51" s="131"/>
      <c r="V51" s="131"/>
      <c r="W51" s="131"/>
      <c r="X51" s="131"/>
      <c r="Y51" s="131"/>
      <c r="Z51" s="131"/>
    </row>
    <row r="52" spans="1:26" ht="15.75" customHeight="1">
      <c r="A52" s="210"/>
      <c r="B52" s="210"/>
      <c r="C52" s="210"/>
      <c r="D52" s="178"/>
      <c r="E52" s="569"/>
      <c r="F52" s="569"/>
      <c r="G52" s="569"/>
      <c r="H52" s="569"/>
      <c r="I52" s="569"/>
      <c r="J52" s="131"/>
      <c r="K52" s="131"/>
      <c r="L52" s="131"/>
      <c r="M52" s="131"/>
      <c r="N52" s="131"/>
      <c r="O52" s="131"/>
      <c r="P52" s="131"/>
      <c r="Q52" s="131"/>
      <c r="R52" s="131"/>
      <c r="S52" s="131"/>
      <c r="T52" s="131"/>
      <c r="U52" s="131"/>
      <c r="V52" s="131"/>
      <c r="W52" s="131"/>
      <c r="X52" s="131"/>
      <c r="Y52" s="131"/>
      <c r="Z52" s="131"/>
    </row>
    <row r="53" spans="1:26" ht="15.75" customHeight="1">
      <c r="A53" s="210"/>
      <c r="B53" s="210"/>
      <c r="C53" s="210"/>
      <c r="D53" s="178"/>
      <c r="E53" s="569"/>
      <c r="F53" s="569"/>
      <c r="G53" s="569"/>
      <c r="H53" s="569"/>
      <c r="I53" s="569"/>
      <c r="J53" s="131"/>
      <c r="K53" s="131"/>
      <c r="L53" s="131"/>
      <c r="M53" s="131"/>
      <c r="N53" s="131"/>
      <c r="O53" s="131"/>
      <c r="P53" s="131"/>
      <c r="Q53" s="131"/>
      <c r="R53" s="131"/>
      <c r="S53" s="131"/>
      <c r="T53" s="131"/>
      <c r="U53" s="131"/>
      <c r="V53" s="131"/>
      <c r="W53" s="131"/>
      <c r="X53" s="131"/>
      <c r="Y53" s="131"/>
      <c r="Z53" s="131"/>
    </row>
    <row r="54" spans="1:26" ht="15.75" customHeight="1">
      <c r="A54" s="210"/>
      <c r="B54" s="210"/>
      <c r="C54" s="210"/>
      <c r="D54" s="178"/>
      <c r="E54" s="569"/>
      <c r="F54" s="569"/>
      <c r="G54" s="569"/>
      <c r="H54" s="569"/>
      <c r="I54" s="569"/>
      <c r="J54" s="131"/>
      <c r="K54" s="131"/>
      <c r="L54" s="131"/>
      <c r="M54" s="131"/>
      <c r="N54" s="131"/>
      <c r="O54" s="131"/>
      <c r="P54" s="131"/>
      <c r="Q54" s="131"/>
      <c r="R54" s="131"/>
      <c r="S54" s="131"/>
      <c r="T54" s="131"/>
      <c r="U54" s="131"/>
      <c r="V54" s="131"/>
      <c r="W54" s="131"/>
      <c r="X54" s="131"/>
      <c r="Y54" s="131"/>
      <c r="Z54" s="131"/>
    </row>
    <row r="55" spans="1:26" ht="15.75" customHeight="1">
      <c r="A55" s="210"/>
      <c r="B55" s="210"/>
      <c r="C55" s="210"/>
      <c r="D55" s="178"/>
      <c r="E55" s="569"/>
      <c r="F55" s="569"/>
      <c r="G55" s="569"/>
      <c r="H55" s="569"/>
      <c r="I55" s="569"/>
      <c r="J55" s="131"/>
      <c r="K55" s="131"/>
      <c r="L55" s="131"/>
      <c r="M55" s="131"/>
      <c r="N55" s="131"/>
      <c r="O55" s="131"/>
      <c r="P55" s="131"/>
      <c r="Q55" s="131"/>
      <c r="R55" s="131"/>
      <c r="S55" s="131"/>
      <c r="T55" s="131"/>
      <c r="U55" s="131"/>
      <c r="V55" s="131"/>
      <c r="W55" s="131"/>
      <c r="X55" s="131"/>
      <c r="Y55" s="131"/>
      <c r="Z55" s="131"/>
    </row>
    <row r="56" spans="1:26" ht="15.75" customHeight="1">
      <c r="A56" s="210"/>
      <c r="B56" s="210"/>
      <c r="C56" s="210"/>
      <c r="D56" s="178"/>
      <c r="E56" s="569"/>
      <c r="F56" s="569"/>
      <c r="G56" s="569"/>
      <c r="H56" s="569"/>
      <c r="I56" s="569"/>
      <c r="J56" s="131"/>
      <c r="K56" s="131"/>
      <c r="L56" s="131"/>
      <c r="M56" s="131"/>
      <c r="N56" s="131"/>
      <c r="O56" s="131"/>
      <c r="P56" s="131"/>
      <c r="Q56" s="131"/>
      <c r="R56" s="131"/>
      <c r="S56" s="131"/>
      <c r="T56" s="131"/>
      <c r="U56" s="131"/>
      <c r="V56" s="131"/>
      <c r="W56" s="131"/>
      <c r="X56" s="131"/>
      <c r="Y56" s="131"/>
      <c r="Z56" s="131"/>
    </row>
    <row r="57" spans="1:26" ht="15.75" customHeight="1">
      <c r="A57" s="210"/>
      <c r="B57" s="210"/>
      <c r="C57" s="210"/>
      <c r="D57" s="178"/>
      <c r="E57" s="569"/>
      <c r="F57" s="569"/>
      <c r="G57" s="569"/>
      <c r="H57" s="569"/>
      <c r="I57" s="569"/>
      <c r="J57" s="131"/>
      <c r="K57" s="131"/>
      <c r="L57" s="131"/>
      <c r="M57" s="131"/>
      <c r="N57" s="131"/>
      <c r="O57" s="131"/>
      <c r="P57" s="131"/>
      <c r="Q57" s="131"/>
      <c r="R57" s="131"/>
      <c r="S57" s="131"/>
      <c r="T57" s="131"/>
      <c r="U57" s="131"/>
      <c r="V57" s="131"/>
      <c r="W57" s="131"/>
      <c r="X57" s="131"/>
      <c r="Y57" s="131"/>
      <c r="Z57" s="131"/>
    </row>
    <row r="58" spans="1:26" ht="15.75" customHeight="1">
      <c r="A58" s="210"/>
      <c r="B58" s="210"/>
      <c r="C58" s="210"/>
      <c r="D58" s="178"/>
      <c r="E58" s="569"/>
      <c r="F58" s="569"/>
      <c r="G58" s="569"/>
      <c r="H58" s="569"/>
      <c r="I58" s="569"/>
      <c r="J58" s="131"/>
      <c r="K58" s="131"/>
      <c r="L58" s="131"/>
      <c r="M58" s="131"/>
      <c r="N58" s="131"/>
      <c r="O58" s="131"/>
      <c r="P58" s="131"/>
      <c r="Q58" s="131"/>
      <c r="R58" s="131"/>
      <c r="S58" s="131"/>
      <c r="T58" s="131"/>
      <c r="U58" s="131"/>
      <c r="V58" s="131"/>
      <c r="W58" s="131"/>
      <c r="X58" s="131"/>
      <c r="Y58" s="131"/>
      <c r="Z58" s="131"/>
    </row>
    <row r="59" spans="1:26" ht="15.75" customHeight="1">
      <c r="A59" s="210"/>
      <c r="B59" s="210"/>
      <c r="C59" s="210"/>
      <c r="D59" s="178"/>
      <c r="E59" s="569"/>
      <c r="F59" s="569"/>
      <c r="G59" s="569"/>
      <c r="H59" s="569"/>
      <c r="I59" s="569"/>
      <c r="J59" s="131"/>
      <c r="K59" s="131"/>
      <c r="L59" s="131"/>
      <c r="M59" s="131"/>
      <c r="N59" s="131"/>
      <c r="O59" s="131"/>
      <c r="P59" s="131"/>
      <c r="Q59" s="131"/>
      <c r="R59" s="131"/>
      <c r="S59" s="131"/>
      <c r="T59" s="131"/>
      <c r="U59" s="131"/>
      <c r="V59" s="131"/>
      <c r="W59" s="131"/>
      <c r="X59" s="131"/>
      <c r="Y59" s="131"/>
      <c r="Z59" s="131"/>
    </row>
    <row r="60" spans="1:26" ht="15.75" customHeight="1">
      <c r="A60" s="210"/>
      <c r="B60" s="210"/>
      <c r="C60" s="210"/>
      <c r="D60" s="178"/>
      <c r="E60" s="569"/>
      <c r="F60" s="569"/>
      <c r="G60" s="569"/>
      <c r="H60" s="569"/>
      <c r="I60" s="569"/>
      <c r="J60" s="131"/>
      <c r="K60" s="131"/>
      <c r="L60" s="131"/>
      <c r="M60" s="131"/>
      <c r="N60" s="131"/>
      <c r="O60" s="131"/>
      <c r="P60" s="131"/>
      <c r="Q60" s="131"/>
      <c r="R60" s="131"/>
      <c r="S60" s="131"/>
      <c r="T60" s="131"/>
      <c r="U60" s="131"/>
      <c r="V60" s="131"/>
      <c r="W60" s="131"/>
      <c r="X60" s="131"/>
      <c r="Y60" s="131"/>
      <c r="Z60" s="131"/>
    </row>
    <row r="61" spans="1:26" ht="15.75" customHeight="1">
      <c r="A61" s="210"/>
      <c r="B61" s="210"/>
      <c r="C61" s="210"/>
      <c r="D61" s="178"/>
      <c r="E61" s="569"/>
      <c r="F61" s="569"/>
      <c r="G61" s="569"/>
      <c r="H61" s="569"/>
      <c r="I61" s="569"/>
      <c r="J61" s="131"/>
      <c r="K61" s="131"/>
      <c r="L61" s="131"/>
      <c r="M61" s="131"/>
      <c r="N61" s="131"/>
      <c r="O61" s="131"/>
      <c r="P61" s="131"/>
      <c r="Q61" s="131"/>
      <c r="R61" s="131"/>
      <c r="S61" s="131"/>
      <c r="T61" s="131"/>
      <c r="U61" s="131"/>
      <c r="V61" s="131"/>
      <c r="W61" s="131"/>
      <c r="X61" s="131"/>
      <c r="Y61" s="131"/>
      <c r="Z61" s="131"/>
    </row>
    <row r="62" spans="1:26" ht="15.75" customHeight="1">
      <c r="A62" s="210"/>
      <c r="B62" s="210"/>
      <c r="C62" s="210"/>
      <c r="D62" s="178"/>
      <c r="E62" s="569"/>
      <c r="F62" s="569"/>
      <c r="G62" s="569"/>
      <c r="H62" s="569"/>
      <c r="I62" s="569"/>
      <c r="J62" s="131"/>
      <c r="K62" s="131"/>
      <c r="L62" s="131"/>
      <c r="M62" s="131"/>
      <c r="N62" s="131"/>
      <c r="O62" s="131"/>
      <c r="P62" s="131"/>
      <c r="Q62" s="131"/>
      <c r="R62" s="131"/>
      <c r="S62" s="131"/>
      <c r="T62" s="131"/>
      <c r="U62" s="131"/>
      <c r="V62" s="131"/>
      <c r="W62" s="131"/>
      <c r="X62" s="131"/>
      <c r="Y62" s="131"/>
      <c r="Z62" s="131"/>
    </row>
    <row r="63" spans="1:26" ht="15.75" customHeight="1">
      <c r="A63" s="210"/>
      <c r="B63" s="210"/>
      <c r="C63" s="210"/>
      <c r="D63" s="178"/>
      <c r="E63" s="569"/>
      <c r="F63" s="569"/>
      <c r="G63" s="569"/>
      <c r="H63" s="569"/>
      <c r="I63" s="569"/>
      <c r="J63" s="131"/>
      <c r="K63" s="131"/>
      <c r="L63" s="131"/>
      <c r="M63" s="131"/>
      <c r="N63" s="131"/>
      <c r="O63" s="131"/>
      <c r="P63" s="131"/>
      <c r="Q63" s="131"/>
      <c r="R63" s="131"/>
      <c r="S63" s="131"/>
      <c r="T63" s="131"/>
      <c r="U63" s="131"/>
      <c r="V63" s="131"/>
      <c r="W63" s="131"/>
      <c r="X63" s="131"/>
      <c r="Y63" s="131"/>
      <c r="Z63" s="131"/>
    </row>
    <row r="64" spans="1:26" ht="15.75" customHeight="1">
      <c r="A64" s="210"/>
      <c r="B64" s="210"/>
      <c r="C64" s="210"/>
      <c r="D64" s="178"/>
      <c r="E64" s="569"/>
      <c r="F64" s="569"/>
      <c r="G64" s="569"/>
      <c r="H64" s="569"/>
      <c r="I64" s="569"/>
      <c r="J64" s="131"/>
      <c r="K64" s="131"/>
      <c r="L64" s="131"/>
      <c r="M64" s="131"/>
      <c r="N64" s="131"/>
      <c r="O64" s="131"/>
      <c r="P64" s="131"/>
      <c r="Q64" s="131"/>
      <c r="R64" s="131"/>
      <c r="S64" s="131"/>
      <c r="T64" s="131"/>
      <c r="U64" s="131"/>
      <c r="V64" s="131"/>
      <c r="W64" s="131"/>
      <c r="X64" s="131"/>
      <c r="Y64" s="131"/>
      <c r="Z64" s="131"/>
    </row>
    <row r="65" spans="1:26" ht="15.75" customHeight="1">
      <c r="A65" s="210"/>
      <c r="B65" s="210"/>
      <c r="C65" s="210"/>
      <c r="D65" s="178"/>
      <c r="E65" s="569"/>
      <c r="F65" s="569"/>
      <c r="G65" s="569"/>
      <c r="H65" s="569"/>
      <c r="I65" s="569"/>
      <c r="J65" s="131"/>
      <c r="K65" s="131"/>
      <c r="L65" s="131"/>
      <c r="M65" s="131"/>
      <c r="N65" s="131"/>
      <c r="O65" s="131"/>
      <c r="P65" s="131"/>
      <c r="Q65" s="131"/>
      <c r="R65" s="131"/>
      <c r="S65" s="131"/>
      <c r="T65" s="131"/>
      <c r="U65" s="131"/>
      <c r="V65" s="131"/>
      <c r="W65" s="131"/>
      <c r="X65" s="131"/>
      <c r="Y65" s="131"/>
      <c r="Z65" s="131"/>
    </row>
    <row r="66" spans="1:26" ht="15.75" customHeight="1">
      <c r="A66" s="210"/>
      <c r="B66" s="210"/>
      <c r="C66" s="210"/>
      <c r="D66" s="178"/>
      <c r="E66" s="569"/>
      <c r="F66" s="569"/>
      <c r="G66" s="569"/>
      <c r="H66" s="569"/>
      <c r="I66" s="569"/>
      <c r="J66" s="131"/>
      <c r="K66" s="131"/>
      <c r="L66" s="131"/>
      <c r="M66" s="131"/>
      <c r="N66" s="131"/>
      <c r="O66" s="131"/>
      <c r="P66" s="131"/>
      <c r="Q66" s="131"/>
      <c r="R66" s="131"/>
      <c r="S66" s="131"/>
      <c r="T66" s="131"/>
      <c r="U66" s="131"/>
      <c r="V66" s="131"/>
      <c r="W66" s="131"/>
      <c r="X66" s="131"/>
      <c r="Y66" s="131"/>
      <c r="Z66" s="131"/>
    </row>
    <row r="67" spans="1:26" ht="15.75" customHeight="1">
      <c r="A67" s="210"/>
      <c r="B67" s="210"/>
      <c r="C67" s="210"/>
      <c r="D67" s="178"/>
      <c r="E67" s="569"/>
      <c r="F67" s="569"/>
      <c r="G67" s="569"/>
      <c r="H67" s="569"/>
      <c r="I67" s="569"/>
      <c r="J67" s="131"/>
      <c r="K67" s="131"/>
      <c r="L67" s="131"/>
      <c r="M67" s="131"/>
      <c r="N67" s="131"/>
      <c r="O67" s="131"/>
      <c r="P67" s="131"/>
      <c r="Q67" s="131"/>
      <c r="R67" s="131"/>
      <c r="S67" s="131"/>
      <c r="T67" s="131"/>
      <c r="U67" s="131"/>
      <c r="V67" s="131"/>
      <c r="W67" s="131"/>
      <c r="X67" s="131"/>
      <c r="Y67" s="131"/>
      <c r="Z67" s="131"/>
    </row>
    <row r="68" spans="1:26" ht="15.75" customHeight="1">
      <c r="A68" s="210"/>
      <c r="B68" s="210"/>
      <c r="C68" s="210"/>
      <c r="D68" s="178"/>
      <c r="E68" s="569"/>
      <c r="F68" s="569"/>
      <c r="G68" s="569"/>
      <c r="H68" s="569"/>
      <c r="I68" s="569"/>
      <c r="J68" s="131"/>
      <c r="K68" s="131"/>
      <c r="L68" s="131"/>
      <c r="M68" s="131"/>
      <c r="N68" s="131"/>
      <c r="O68" s="131"/>
      <c r="P68" s="131"/>
      <c r="Q68" s="131"/>
      <c r="R68" s="131"/>
      <c r="S68" s="131"/>
      <c r="T68" s="131"/>
      <c r="U68" s="131"/>
      <c r="V68" s="131"/>
      <c r="W68" s="131"/>
      <c r="X68" s="131"/>
      <c r="Y68" s="131"/>
      <c r="Z68" s="131"/>
    </row>
    <row r="69" spans="1:26" ht="15.75" customHeight="1">
      <c r="A69" s="210"/>
      <c r="B69" s="210"/>
      <c r="C69" s="210"/>
      <c r="D69" s="178"/>
      <c r="E69" s="569"/>
      <c r="F69" s="569"/>
      <c r="G69" s="569"/>
      <c r="H69" s="569"/>
      <c r="I69" s="569"/>
      <c r="J69" s="131"/>
      <c r="K69" s="131"/>
      <c r="L69" s="131"/>
      <c r="M69" s="131"/>
      <c r="N69" s="131"/>
      <c r="O69" s="131"/>
      <c r="P69" s="131"/>
      <c r="Q69" s="131"/>
      <c r="R69" s="131"/>
      <c r="S69" s="131"/>
      <c r="T69" s="131"/>
      <c r="U69" s="131"/>
      <c r="V69" s="131"/>
      <c r="W69" s="131"/>
      <c r="X69" s="131"/>
      <c r="Y69" s="131"/>
      <c r="Z69" s="131"/>
    </row>
    <row r="70" spans="1:26" ht="15.75" customHeight="1">
      <c r="A70" s="210"/>
      <c r="B70" s="210"/>
      <c r="C70" s="210"/>
      <c r="D70" s="178"/>
      <c r="E70" s="569"/>
      <c r="F70" s="569"/>
      <c r="G70" s="569"/>
      <c r="H70" s="569"/>
      <c r="I70" s="569"/>
      <c r="J70" s="131"/>
      <c r="K70" s="131"/>
      <c r="L70" s="131"/>
      <c r="M70" s="131"/>
      <c r="N70" s="131"/>
      <c r="O70" s="131"/>
      <c r="P70" s="131"/>
      <c r="Q70" s="131"/>
      <c r="R70" s="131"/>
      <c r="S70" s="131"/>
      <c r="T70" s="131"/>
      <c r="U70" s="131"/>
      <c r="V70" s="131"/>
      <c r="W70" s="131"/>
      <c r="X70" s="131"/>
      <c r="Y70" s="131"/>
      <c r="Z70" s="131"/>
    </row>
    <row r="71" spans="1:26" ht="15.75" customHeight="1">
      <c r="A71" s="210"/>
      <c r="B71" s="210"/>
      <c r="C71" s="210"/>
      <c r="D71" s="178"/>
      <c r="E71" s="569"/>
      <c r="F71" s="569"/>
      <c r="G71" s="569"/>
      <c r="H71" s="569"/>
      <c r="I71" s="569"/>
      <c r="J71" s="131"/>
      <c r="K71" s="131"/>
      <c r="L71" s="131"/>
      <c r="M71" s="131"/>
      <c r="N71" s="131"/>
      <c r="O71" s="131"/>
      <c r="P71" s="131"/>
      <c r="Q71" s="131"/>
      <c r="R71" s="131"/>
      <c r="S71" s="131"/>
      <c r="T71" s="131"/>
      <c r="U71" s="131"/>
      <c r="V71" s="131"/>
      <c r="W71" s="131"/>
      <c r="X71" s="131"/>
      <c r="Y71" s="131"/>
      <c r="Z71" s="131"/>
    </row>
    <row r="72" spans="1:26" ht="15.75" customHeight="1">
      <c r="A72" s="210"/>
      <c r="B72" s="210"/>
      <c r="C72" s="210"/>
      <c r="D72" s="178"/>
      <c r="E72" s="569"/>
      <c r="F72" s="569"/>
      <c r="G72" s="569"/>
      <c r="H72" s="569"/>
      <c r="I72" s="569"/>
      <c r="J72" s="131"/>
      <c r="K72" s="131"/>
      <c r="L72" s="131"/>
      <c r="M72" s="131"/>
      <c r="N72" s="131"/>
      <c r="O72" s="131"/>
      <c r="P72" s="131"/>
      <c r="Q72" s="131"/>
      <c r="R72" s="131"/>
      <c r="S72" s="131"/>
      <c r="T72" s="131"/>
      <c r="U72" s="131"/>
      <c r="V72" s="131"/>
      <c r="W72" s="131"/>
      <c r="X72" s="131"/>
      <c r="Y72" s="131"/>
      <c r="Z72" s="131"/>
    </row>
    <row r="73" spans="1:26" ht="15.75" customHeight="1">
      <c r="A73" s="210"/>
      <c r="B73" s="210"/>
      <c r="C73" s="210"/>
      <c r="D73" s="178"/>
      <c r="E73" s="569"/>
      <c r="F73" s="569"/>
      <c r="G73" s="569"/>
      <c r="H73" s="569"/>
      <c r="I73" s="569"/>
      <c r="J73" s="131"/>
      <c r="K73" s="131"/>
      <c r="L73" s="131"/>
      <c r="M73" s="131"/>
      <c r="N73" s="131"/>
      <c r="O73" s="131"/>
      <c r="P73" s="131"/>
      <c r="Q73" s="131"/>
      <c r="R73" s="131"/>
      <c r="S73" s="131"/>
      <c r="T73" s="131"/>
      <c r="U73" s="131"/>
      <c r="V73" s="131"/>
      <c r="W73" s="131"/>
      <c r="X73" s="131"/>
      <c r="Y73" s="131"/>
      <c r="Z73" s="131"/>
    </row>
    <row r="74" spans="1:26" ht="15.75" customHeight="1">
      <c r="A74" s="210"/>
      <c r="B74" s="210"/>
      <c r="C74" s="210"/>
      <c r="D74" s="178"/>
      <c r="E74" s="569"/>
      <c r="F74" s="569"/>
      <c r="G74" s="569"/>
      <c r="H74" s="569"/>
      <c r="I74" s="569"/>
      <c r="J74" s="131"/>
      <c r="K74" s="131"/>
      <c r="L74" s="131"/>
      <c r="M74" s="131"/>
      <c r="N74" s="131"/>
      <c r="O74" s="131"/>
      <c r="P74" s="131"/>
      <c r="Q74" s="131"/>
      <c r="R74" s="131"/>
      <c r="S74" s="131"/>
      <c r="T74" s="131"/>
      <c r="U74" s="131"/>
      <c r="V74" s="131"/>
      <c r="W74" s="131"/>
      <c r="X74" s="131"/>
      <c r="Y74" s="131"/>
      <c r="Z74" s="131"/>
    </row>
    <row r="75" spans="1:26" ht="15.75" customHeight="1">
      <c r="A75" s="210"/>
      <c r="B75" s="210"/>
      <c r="C75" s="210"/>
      <c r="D75" s="178"/>
      <c r="E75" s="569"/>
      <c r="F75" s="569"/>
      <c r="G75" s="569"/>
      <c r="H75" s="569"/>
      <c r="I75" s="569"/>
      <c r="J75" s="131"/>
      <c r="K75" s="131"/>
      <c r="L75" s="131"/>
      <c r="M75" s="131"/>
      <c r="N75" s="131"/>
      <c r="O75" s="131"/>
      <c r="P75" s="131"/>
      <c r="Q75" s="131"/>
      <c r="R75" s="131"/>
      <c r="S75" s="131"/>
      <c r="T75" s="131"/>
      <c r="U75" s="131"/>
      <c r="V75" s="131"/>
      <c r="W75" s="131"/>
      <c r="X75" s="131"/>
      <c r="Y75" s="131"/>
      <c r="Z75" s="131"/>
    </row>
    <row r="76" spans="1:26" ht="15.75" customHeight="1">
      <c r="A76" s="210"/>
      <c r="B76" s="210"/>
      <c r="C76" s="210"/>
      <c r="D76" s="178"/>
      <c r="E76" s="569"/>
      <c r="F76" s="569"/>
      <c r="G76" s="569"/>
      <c r="H76" s="569"/>
      <c r="I76" s="569"/>
      <c r="J76" s="131"/>
      <c r="K76" s="131"/>
      <c r="L76" s="131"/>
      <c r="M76" s="131"/>
      <c r="N76" s="131"/>
      <c r="O76" s="131"/>
      <c r="P76" s="131"/>
      <c r="Q76" s="131"/>
      <c r="R76" s="131"/>
      <c r="S76" s="131"/>
      <c r="T76" s="131"/>
      <c r="U76" s="131"/>
      <c r="V76" s="131"/>
      <c r="W76" s="131"/>
      <c r="X76" s="131"/>
      <c r="Y76" s="131"/>
      <c r="Z76" s="131"/>
    </row>
    <row r="77" spans="1:26" ht="15.75" customHeight="1">
      <c r="A77" s="210"/>
      <c r="B77" s="210"/>
      <c r="C77" s="210"/>
      <c r="D77" s="178"/>
      <c r="E77" s="569"/>
      <c r="F77" s="569"/>
      <c r="G77" s="569"/>
      <c r="H77" s="569"/>
      <c r="I77" s="569"/>
      <c r="J77" s="131"/>
      <c r="K77" s="131"/>
      <c r="L77" s="131"/>
      <c r="M77" s="131"/>
      <c r="N77" s="131"/>
      <c r="O77" s="131"/>
      <c r="P77" s="131"/>
      <c r="Q77" s="131"/>
      <c r="R77" s="131"/>
      <c r="S77" s="131"/>
      <c r="T77" s="131"/>
      <c r="U77" s="131"/>
      <c r="V77" s="131"/>
      <c r="W77" s="131"/>
      <c r="X77" s="131"/>
      <c r="Y77" s="131"/>
      <c r="Z77" s="131"/>
    </row>
    <row r="78" spans="1:26" ht="15.75" customHeight="1">
      <c r="A78" s="210"/>
      <c r="B78" s="210"/>
      <c r="C78" s="210"/>
      <c r="D78" s="178"/>
      <c r="E78" s="569"/>
      <c r="F78" s="569"/>
      <c r="G78" s="569"/>
      <c r="H78" s="569"/>
      <c r="I78" s="569"/>
      <c r="J78" s="131"/>
      <c r="K78" s="131"/>
      <c r="L78" s="131"/>
      <c r="M78" s="131"/>
      <c r="N78" s="131"/>
      <c r="O78" s="131"/>
      <c r="P78" s="131"/>
      <c r="Q78" s="131"/>
      <c r="R78" s="131"/>
      <c r="S78" s="131"/>
      <c r="T78" s="131"/>
      <c r="U78" s="131"/>
      <c r="V78" s="131"/>
      <c r="W78" s="131"/>
      <c r="X78" s="131"/>
      <c r="Y78" s="131"/>
      <c r="Z78" s="131"/>
    </row>
    <row r="79" spans="1:26" ht="15.75" customHeight="1">
      <c r="A79" s="210"/>
      <c r="B79" s="210"/>
      <c r="C79" s="210"/>
      <c r="D79" s="178"/>
      <c r="E79" s="569"/>
      <c r="F79" s="569"/>
      <c r="G79" s="569"/>
      <c r="H79" s="569"/>
      <c r="I79" s="569"/>
      <c r="J79" s="131"/>
      <c r="K79" s="131"/>
      <c r="L79" s="131"/>
      <c r="M79" s="131"/>
      <c r="N79" s="131"/>
      <c r="O79" s="131"/>
      <c r="P79" s="131"/>
      <c r="Q79" s="131"/>
      <c r="R79" s="131"/>
      <c r="S79" s="131"/>
      <c r="T79" s="131"/>
      <c r="U79" s="131"/>
      <c r="V79" s="131"/>
      <c r="W79" s="131"/>
      <c r="X79" s="131"/>
      <c r="Y79" s="131"/>
      <c r="Z79" s="131"/>
    </row>
    <row r="80" spans="1:26" ht="15.75" customHeight="1">
      <c r="A80" s="210"/>
      <c r="B80" s="210"/>
      <c r="C80" s="210"/>
      <c r="D80" s="178"/>
      <c r="E80" s="569"/>
      <c r="F80" s="569"/>
      <c r="G80" s="569"/>
      <c r="H80" s="569"/>
      <c r="I80" s="569"/>
      <c r="J80" s="131"/>
      <c r="K80" s="131"/>
      <c r="L80" s="131"/>
      <c r="M80" s="131"/>
      <c r="N80" s="131"/>
      <c r="O80" s="131"/>
      <c r="P80" s="131"/>
      <c r="Q80" s="131"/>
      <c r="R80" s="131"/>
      <c r="S80" s="131"/>
      <c r="T80" s="131"/>
      <c r="U80" s="131"/>
      <c r="V80" s="131"/>
      <c r="W80" s="131"/>
      <c r="X80" s="131"/>
      <c r="Y80" s="131"/>
      <c r="Z80" s="131"/>
    </row>
    <row r="81" spans="1:26" ht="15.75" customHeight="1">
      <c r="A81" s="210"/>
      <c r="B81" s="210"/>
      <c r="C81" s="210"/>
      <c r="D81" s="178"/>
      <c r="E81" s="569"/>
      <c r="F81" s="569"/>
      <c r="G81" s="569"/>
      <c r="H81" s="569"/>
      <c r="I81" s="569"/>
      <c r="J81" s="131"/>
      <c r="K81" s="131"/>
      <c r="L81" s="131"/>
      <c r="M81" s="131"/>
      <c r="N81" s="131"/>
      <c r="O81" s="131"/>
      <c r="P81" s="131"/>
      <c r="Q81" s="131"/>
      <c r="R81" s="131"/>
      <c r="S81" s="131"/>
      <c r="T81" s="131"/>
      <c r="U81" s="131"/>
      <c r="V81" s="131"/>
      <c r="W81" s="131"/>
      <c r="X81" s="131"/>
      <c r="Y81" s="131"/>
      <c r="Z81" s="131"/>
    </row>
    <row r="82" spans="1:26" ht="15.75" customHeight="1">
      <c r="A82" s="210"/>
      <c r="B82" s="210"/>
      <c r="C82" s="210"/>
      <c r="D82" s="178"/>
      <c r="E82" s="569"/>
      <c r="F82" s="569"/>
      <c r="G82" s="569"/>
      <c r="H82" s="569"/>
      <c r="I82" s="569"/>
      <c r="J82" s="131"/>
      <c r="K82" s="131"/>
      <c r="L82" s="131"/>
      <c r="M82" s="131"/>
      <c r="N82" s="131"/>
      <c r="O82" s="131"/>
      <c r="P82" s="131"/>
      <c r="Q82" s="131"/>
      <c r="R82" s="131"/>
      <c r="S82" s="131"/>
      <c r="T82" s="131"/>
      <c r="U82" s="131"/>
      <c r="V82" s="131"/>
      <c r="W82" s="131"/>
      <c r="X82" s="131"/>
      <c r="Y82" s="131"/>
      <c r="Z82" s="131"/>
    </row>
    <row r="83" spans="1:26" ht="15.75" customHeight="1">
      <c r="A83" s="210"/>
      <c r="B83" s="210"/>
      <c r="C83" s="210"/>
      <c r="D83" s="178"/>
      <c r="E83" s="569"/>
      <c r="F83" s="569"/>
      <c r="G83" s="569"/>
      <c r="H83" s="569"/>
      <c r="I83" s="569"/>
      <c r="J83" s="131"/>
      <c r="K83" s="131"/>
      <c r="L83" s="131"/>
      <c r="M83" s="131"/>
      <c r="N83" s="131"/>
      <c r="O83" s="131"/>
      <c r="P83" s="131"/>
      <c r="Q83" s="131"/>
      <c r="R83" s="131"/>
      <c r="S83" s="131"/>
      <c r="T83" s="131"/>
      <c r="U83" s="131"/>
      <c r="V83" s="131"/>
      <c r="W83" s="131"/>
      <c r="X83" s="131"/>
      <c r="Y83" s="131"/>
      <c r="Z83" s="131"/>
    </row>
    <row r="84" spans="1:26" ht="15.75" customHeight="1">
      <c r="A84" s="210"/>
      <c r="B84" s="210"/>
      <c r="C84" s="210"/>
      <c r="D84" s="178"/>
      <c r="E84" s="569"/>
      <c r="F84" s="569"/>
      <c r="G84" s="569"/>
      <c r="H84" s="569"/>
      <c r="I84" s="569"/>
      <c r="J84" s="131"/>
      <c r="K84" s="131"/>
      <c r="L84" s="131"/>
      <c r="M84" s="131"/>
      <c r="N84" s="131"/>
      <c r="O84" s="131"/>
      <c r="P84" s="131"/>
      <c r="Q84" s="131"/>
      <c r="R84" s="131"/>
      <c r="S84" s="131"/>
      <c r="T84" s="131"/>
      <c r="U84" s="131"/>
      <c r="V84" s="131"/>
      <c r="W84" s="131"/>
      <c r="X84" s="131"/>
      <c r="Y84" s="131"/>
      <c r="Z84" s="131"/>
    </row>
    <row r="85" spans="1:26" ht="15.75" customHeight="1">
      <c r="A85" s="210"/>
      <c r="B85" s="210"/>
      <c r="C85" s="210"/>
      <c r="D85" s="178"/>
      <c r="E85" s="569"/>
      <c r="F85" s="569"/>
      <c r="G85" s="569"/>
      <c r="H85" s="569"/>
      <c r="I85" s="569"/>
      <c r="J85" s="131"/>
      <c r="K85" s="131"/>
      <c r="L85" s="131"/>
      <c r="M85" s="131"/>
      <c r="N85" s="131"/>
      <c r="O85" s="131"/>
      <c r="P85" s="131"/>
      <c r="Q85" s="131"/>
      <c r="R85" s="131"/>
      <c r="S85" s="131"/>
      <c r="T85" s="131"/>
      <c r="U85" s="131"/>
      <c r="V85" s="131"/>
      <c r="W85" s="131"/>
      <c r="X85" s="131"/>
      <c r="Y85" s="131"/>
      <c r="Z85" s="131"/>
    </row>
    <row r="86" spans="1:26" ht="15.75" customHeight="1">
      <c r="A86" s="210"/>
      <c r="B86" s="210"/>
      <c r="C86" s="210"/>
      <c r="D86" s="178"/>
      <c r="E86" s="569"/>
      <c r="F86" s="569"/>
      <c r="G86" s="569"/>
      <c r="H86" s="569"/>
      <c r="I86" s="569"/>
      <c r="J86" s="131"/>
      <c r="K86" s="131"/>
      <c r="L86" s="131"/>
      <c r="M86" s="131"/>
      <c r="N86" s="131"/>
      <c r="O86" s="131"/>
      <c r="P86" s="131"/>
      <c r="Q86" s="131"/>
      <c r="R86" s="131"/>
      <c r="S86" s="131"/>
      <c r="T86" s="131"/>
      <c r="U86" s="131"/>
      <c r="V86" s="131"/>
      <c r="W86" s="131"/>
      <c r="X86" s="131"/>
      <c r="Y86" s="131"/>
      <c r="Z86" s="131"/>
    </row>
    <row r="87" spans="1:26" ht="15.75" customHeight="1">
      <c r="A87" s="210"/>
      <c r="B87" s="210"/>
      <c r="C87" s="210"/>
      <c r="D87" s="178"/>
      <c r="E87" s="569"/>
      <c r="F87" s="569"/>
      <c r="G87" s="569"/>
      <c r="H87" s="569"/>
      <c r="I87" s="569"/>
      <c r="J87" s="131"/>
      <c r="K87" s="131"/>
      <c r="L87" s="131"/>
      <c r="M87" s="131"/>
      <c r="N87" s="131"/>
      <c r="O87" s="131"/>
      <c r="P87" s="131"/>
      <c r="Q87" s="131"/>
      <c r="R87" s="131"/>
      <c r="S87" s="131"/>
      <c r="T87" s="131"/>
      <c r="U87" s="131"/>
      <c r="V87" s="131"/>
      <c r="W87" s="131"/>
      <c r="X87" s="131"/>
      <c r="Y87" s="131"/>
      <c r="Z87" s="131"/>
    </row>
    <row r="88" spans="1:26" ht="15.75" customHeight="1">
      <c r="A88" s="210"/>
      <c r="B88" s="210"/>
      <c r="C88" s="210"/>
      <c r="D88" s="178"/>
      <c r="E88" s="569"/>
      <c r="F88" s="569"/>
      <c r="G88" s="569"/>
      <c r="H88" s="569"/>
      <c r="I88" s="569"/>
      <c r="J88" s="131"/>
      <c r="K88" s="131"/>
      <c r="L88" s="131"/>
      <c r="M88" s="131"/>
      <c r="N88" s="131"/>
      <c r="O88" s="131"/>
      <c r="P88" s="131"/>
      <c r="Q88" s="131"/>
      <c r="R88" s="131"/>
      <c r="S88" s="131"/>
      <c r="T88" s="131"/>
      <c r="U88" s="131"/>
      <c r="V88" s="131"/>
      <c r="W88" s="131"/>
      <c r="X88" s="131"/>
      <c r="Y88" s="131"/>
      <c r="Z88" s="131"/>
    </row>
    <row r="89" spans="1:26" ht="15.75" customHeight="1">
      <c r="A89" s="210"/>
      <c r="B89" s="210"/>
      <c r="C89" s="210"/>
      <c r="D89" s="178"/>
      <c r="E89" s="569"/>
      <c r="F89" s="569"/>
      <c r="G89" s="569"/>
      <c r="H89" s="569"/>
      <c r="I89" s="569"/>
      <c r="J89" s="131"/>
      <c r="K89" s="131"/>
      <c r="L89" s="131"/>
      <c r="M89" s="131"/>
      <c r="N89" s="131"/>
      <c r="O89" s="131"/>
      <c r="P89" s="131"/>
      <c r="Q89" s="131"/>
      <c r="R89" s="131"/>
      <c r="S89" s="131"/>
      <c r="T89" s="131"/>
      <c r="U89" s="131"/>
      <c r="V89" s="131"/>
      <c r="W89" s="131"/>
      <c r="X89" s="131"/>
      <c r="Y89" s="131"/>
      <c r="Z89" s="131"/>
    </row>
    <row r="90" spans="1:26" ht="15.75" customHeight="1">
      <c r="A90" s="210"/>
      <c r="B90" s="210"/>
      <c r="C90" s="210"/>
      <c r="D90" s="178"/>
      <c r="E90" s="569"/>
      <c r="F90" s="569"/>
      <c r="G90" s="569"/>
      <c r="H90" s="569"/>
      <c r="I90" s="569"/>
      <c r="J90" s="131"/>
      <c r="K90" s="131"/>
      <c r="L90" s="131"/>
      <c r="M90" s="131"/>
      <c r="N90" s="131"/>
      <c r="O90" s="131"/>
      <c r="P90" s="131"/>
      <c r="Q90" s="131"/>
      <c r="R90" s="131"/>
      <c r="S90" s="131"/>
      <c r="T90" s="131"/>
      <c r="U90" s="131"/>
      <c r="V90" s="131"/>
      <c r="W90" s="131"/>
      <c r="X90" s="131"/>
      <c r="Y90" s="131"/>
      <c r="Z90" s="131"/>
    </row>
    <row r="91" spans="1:26" ht="15.75" customHeight="1">
      <c r="A91" s="210"/>
      <c r="B91" s="210"/>
      <c r="C91" s="210"/>
      <c r="D91" s="178"/>
      <c r="E91" s="569"/>
      <c r="F91" s="569"/>
      <c r="G91" s="569"/>
      <c r="H91" s="569"/>
      <c r="I91" s="569"/>
      <c r="J91" s="131"/>
      <c r="K91" s="131"/>
      <c r="L91" s="131"/>
      <c r="M91" s="131"/>
      <c r="N91" s="131"/>
      <c r="O91" s="131"/>
      <c r="P91" s="131"/>
      <c r="Q91" s="131"/>
      <c r="R91" s="131"/>
      <c r="S91" s="131"/>
      <c r="T91" s="131"/>
      <c r="U91" s="131"/>
      <c r="V91" s="131"/>
      <c r="W91" s="131"/>
      <c r="X91" s="131"/>
      <c r="Y91" s="131"/>
      <c r="Z91" s="131"/>
    </row>
    <row r="92" spans="1:26" ht="15.75" customHeight="1">
      <c r="A92" s="210"/>
      <c r="B92" s="210"/>
      <c r="C92" s="210"/>
      <c r="D92" s="178"/>
      <c r="E92" s="569"/>
      <c r="F92" s="569"/>
      <c r="G92" s="569"/>
      <c r="H92" s="569"/>
      <c r="I92" s="569"/>
      <c r="J92" s="131"/>
      <c r="K92" s="131"/>
      <c r="L92" s="131"/>
      <c r="M92" s="131"/>
      <c r="N92" s="131"/>
      <c r="O92" s="131"/>
      <c r="P92" s="131"/>
      <c r="Q92" s="131"/>
      <c r="R92" s="131"/>
      <c r="S92" s="131"/>
      <c r="T92" s="131"/>
      <c r="U92" s="131"/>
      <c r="V92" s="131"/>
      <c r="W92" s="131"/>
      <c r="X92" s="131"/>
      <c r="Y92" s="131"/>
      <c r="Z92" s="131"/>
    </row>
    <row r="93" spans="1:26" ht="15.75" customHeight="1">
      <c r="A93" s="210"/>
      <c r="B93" s="210"/>
      <c r="C93" s="210"/>
      <c r="D93" s="178"/>
      <c r="E93" s="569"/>
      <c r="F93" s="569"/>
      <c r="G93" s="569"/>
      <c r="H93" s="569"/>
      <c r="I93" s="569"/>
      <c r="J93" s="131"/>
      <c r="K93" s="131"/>
      <c r="L93" s="131"/>
      <c r="M93" s="131"/>
      <c r="N93" s="131"/>
      <c r="O93" s="131"/>
      <c r="P93" s="131"/>
      <c r="Q93" s="131"/>
      <c r="R93" s="131"/>
      <c r="S93" s="131"/>
      <c r="T93" s="131"/>
      <c r="U93" s="131"/>
      <c r="V93" s="131"/>
      <c r="W93" s="131"/>
      <c r="X93" s="131"/>
      <c r="Y93" s="131"/>
      <c r="Z93" s="131"/>
    </row>
    <row r="94" spans="1:26" ht="15.75" customHeight="1">
      <c r="A94" s="210"/>
      <c r="B94" s="210"/>
      <c r="C94" s="210"/>
      <c r="D94" s="178"/>
      <c r="E94" s="569"/>
      <c r="F94" s="569"/>
      <c r="G94" s="569"/>
      <c r="H94" s="569"/>
      <c r="I94" s="569"/>
      <c r="J94" s="131"/>
      <c r="K94" s="131"/>
      <c r="L94" s="131"/>
      <c r="M94" s="131"/>
      <c r="N94" s="131"/>
      <c r="O94" s="131"/>
      <c r="P94" s="131"/>
      <c r="Q94" s="131"/>
      <c r="R94" s="131"/>
      <c r="S94" s="131"/>
      <c r="T94" s="131"/>
      <c r="U94" s="131"/>
      <c r="V94" s="131"/>
      <c r="W94" s="131"/>
      <c r="X94" s="131"/>
      <c r="Y94" s="131"/>
      <c r="Z94" s="131"/>
    </row>
    <row r="95" spans="1:26" ht="15.75" customHeight="1">
      <c r="A95" s="210"/>
      <c r="B95" s="210"/>
      <c r="C95" s="210"/>
      <c r="D95" s="178"/>
      <c r="E95" s="569"/>
      <c r="F95" s="569"/>
      <c r="G95" s="569"/>
      <c r="H95" s="569"/>
      <c r="I95" s="569"/>
      <c r="J95" s="131"/>
      <c r="K95" s="131"/>
      <c r="L95" s="131"/>
      <c r="M95" s="131"/>
      <c r="N95" s="131"/>
      <c r="O95" s="131"/>
      <c r="P95" s="131"/>
      <c r="Q95" s="131"/>
      <c r="R95" s="131"/>
      <c r="S95" s="131"/>
      <c r="T95" s="131"/>
      <c r="U95" s="131"/>
      <c r="V95" s="131"/>
      <c r="W95" s="131"/>
      <c r="X95" s="131"/>
      <c r="Y95" s="131"/>
      <c r="Z95" s="131"/>
    </row>
    <row r="96" spans="1:26" ht="15.75" customHeight="1">
      <c r="A96" s="210"/>
      <c r="B96" s="210"/>
      <c r="C96" s="210"/>
      <c r="D96" s="178"/>
      <c r="E96" s="569"/>
      <c r="F96" s="569"/>
      <c r="G96" s="569"/>
      <c r="H96" s="569"/>
      <c r="I96" s="569"/>
      <c r="J96" s="131"/>
      <c r="K96" s="131"/>
      <c r="L96" s="131"/>
      <c r="M96" s="131"/>
      <c r="N96" s="131"/>
      <c r="O96" s="131"/>
      <c r="P96" s="131"/>
      <c r="Q96" s="131"/>
      <c r="R96" s="131"/>
      <c r="S96" s="131"/>
      <c r="T96" s="131"/>
      <c r="U96" s="131"/>
      <c r="V96" s="131"/>
      <c r="W96" s="131"/>
      <c r="X96" s="131"/>
      <c r="Y96" s="131"/>
      <c r="Z96" s="131"/>
    </row>
    <row r="97" spans="1:26" ht="15.75" customHeight="1">
      <c r="A97" s="210"/>
      <c r="B97" s="210"/>
      <c r="C97" s="210"/>
      <c r="D97" s="178"/>
      <c r="E97" s="569"/>
      <c r="F97" s="569"/>
      <c r="G97" s="569"/>
      <c r="H97" s="569"/>
      <c r="I97" s="569"/>
      <c r="J97" s="131"/>
      <c r="K97" s="131"/>
      <c r="L97" s="131"/>
      <c r="M97" s="131"/>
      <c r="N97" s="131"/>
      <c r="O97" s="131"/>
      <c r="P97" s="131"/>
      <c r="Q97" s="131"/>
      <c r="R97" s="131"/>
      <c r="S97" s="131"/>
      <c r="T97" s="131"/>
      <c r="U97" s="131"/>
      <c r="V97" s="131"/>
      <c r="W97" s="131"/>
      <c r="X97" s="131"/>
      <c r="Y97" s="131"/>
      <c r="Z97" s="131"/>
    </row>
    <row r="98" spans="1:26" ht="15.75" customHeight="1">
      <c r="A98" s="210"/>
      <c r="B98" s="210"/>
      <c r="C98" s="210"/>
      <c r="D98" s="178"/>
      <c r="E98" s="569"/>
      <c r="F98" s="569"/>
      <c r="G98" s="569"/>
      <c r="H98" s="569"/>
      <c r="I98" s="569"/>
      <c r="J98" s="131"/>
      <c r="K98" s="131"/>
      <c r="L98" s="131"/>
      <c r="M98" s="131"/>
      <c r="N98" s="131"/>
      <c r="O98" s="131"/>
      <c r="P98" s="131"/>
      <c r="Q98" s="131"/>
      <c r="R98" s="131"/>
      <c r="S98" s="131"/>
      <c r="T98" s="131"/>
      <c r="U98" s="131"/>
      <c r="V98" s="131"/>
      <c r="W98" s="131"/>
      <c r="X98" s="131"/>
      <c r="Y98" s="131"/>
      <c r="Z98" s="131"/>
    </row>
    <row r="99" spans="1:26" ht="15.75" customHeight="1">
      <c r="A99" s="210"/>
      <c r="B99" s="210"/>
      <c r="C99" s="210"/>
      <c r="D99" s="178"/>
      <c r="E99" s="569"/>
      <c r="F99" s="569"/>
      <c r="G99" s="569"/>
      <c r="H99" s="569"/>
      <c r="I99" s="569"/>
      <c r="J99" s="131"/>
      <c r="K99" s="131"/>
      <c r="L99" s="131"/>
      <c r="M99" s="131"/>
      <c r="N99" s="131"/>
      <c r="O99" s="131"/>
      <c r="P99" s="131"/>
      <c r="Q99" s="131"/>
      <c r="R99" s="131"/>
      <c r="S99" s="131"/>
      <c r="T99" s="131"/>
      <c r="U99" s="131"/>
      <c r="V99" s="131"/>
      <c r="W99" s="131"/>
      <c r="X99" s="131"/>
      <c r="Y99" s="131"/>
      <c r="Z99" s="131"/>
    </row>
    <row r="100" spans="1:26" ht="15.75" customHeight="1">
      <c r="A100" s="210"/>
      <c r="B100" s="210"/>
      <c r="C100" s="210"/>
      <c r="D100" s="178"/>
      <c r="E100" s="569"/>
      <c r="F100" s="569"/>
      <c r="G100" s="569"/>
      <c r="H100" s="569"/>
      <c r="I100" s="569"/>
      <c r="J100" s="131"/>
      <c r="K100" s="131"/>
      <c r="L100" s="131"/>
      <c r="M100" s="131"/>
      <c r="N100" s="131"/>
      <c r="O100" s="131"/>
      <c r="P100" s="131"/>
      <c r="Q100" s="131"/>
      <c r="R100" s="131"/>
      <c r="S100" s="131"/>
      <c r="T100" s="131"/>
      <c r="U100" s="131"/>
      <c r="V100" s="131"/>
      <c r="W100" s="131"/>
      <c r="X100" s="131"/>
      <c r="Y100" s="131"/>
      <c r="Z100" s="131"/>
    </row>
    <row r="101" spans="1:26" ht="15.75" customHeight="1">
      <c r="A101" s="210"/>
      <c r="B101" s="210"/>
      <c r="C101" s="210"/>
      <c r="D101" s="178"/>
      <c r="E101" s="569"/>
      <c r="F101" s="569"/>
      <c r="G101" s="569"/>
      <c r="H101" s="569"/>
      <c r="I101" s="569"/>
      <c r="J101" s="131"/>
      <c r="K101" s="131"/>
      <c r="L101" s="131"/>
      <c r="M101" s="131"/>
      <c r="N101" s="131"/>
      <c r="O101" s="131"/>
      <c r="P101" s="131"/>
      <c r="Q101" s="131"/>
      <c r="R101" s="131"/>
      <c r="S101" s="131"/>
      <c r="T101" s="131"/>
      <c r="U101" s="131"/>
      <c r="V101" s="131"/>
      <c r="W101" s="131"/>
      <c r="X101" s="131"/>
      <c r="Y101" s="131"/>
      <c r="Z101" s="131"/>
    </row>
    <row r="102" spans="1:26" ht="15.75" customHeight="1">
      <c r="A102" s="210"/>
      <c r="B102" s="210"/>
      <c r="C102" s="210"/>
      <c r="D102" s="178"/>
      <c r="E102" s="569"/>
      <c r="F102" s="569"/>
      <c r="G102" s="569"/>
      <c r="H102" s="569"/>
      <c r="I102" s="569"/>
      <c r="J102" s="131"/>
      <c r="K102" s="131"/>
      <c r="L102" s="131"/>
      <c r="M102" s="131"/>
      <c r="N102" s="131"/>
      <c r="O102" s="131"/>
      <c r="P102" s="131"/>
      <c r="Q102" s="131"/>
      <c r="R102" s="131"/>
      <c r="S102" s="131"/>
      <c r="T102" s="131"/>
      <c r="U102" s="131"/>
      <c r="V102" s="131"/>
      <c r="W102" s="131"/>
      <c r="X102" s="131"/>
      <c r="Y102" s="131"/>
      <c r="Z102" s="131"/>
    </row>
    <row r="103" spans="1:26" ht="15.75" customHeight="1">
      <c r="A103" s="210"/>
      <c r="B103" s="210"/>
      <c r="C103" s="210"/>
      <c r="D103" s="178"/>
      <c r="E103" s="569"/>
      <c r="F103" s="569"/>
      <c r="G103" s="569"/>
      <c r="H103" s="569"/>
      <c r="I103" s="569"/>
      <c r="J103" s="131"/>
      <c r="K103" s="131"/>
      <c r="L103" s="131"/>
      <c r="M103" s="131"/>
      <c r="N103" s="131"/>
      <c r="O103" s="131"/>
      <c r="P103" s="131"/>
      <c r="Q103" s="131"/>
      <c r="R103" s="131"/>
      <c r="S103" s="131"/>
      <c r="T103" s="131"/>
      <c r="U103" s="131"/>
      <c r="V103" s="131"/>
      <c r="W103" s="131"/>
      <c r="X103" s="131"/>
      <c r="Y103" s="131"/>
      <c r="Z103" s="131"/>
    </row>
    <row r="104" spans="1:26" ht="15.75" customHeight="1">
      <c r="A104" s="210"/>
      <c r="B104" s="210"/>
      <c r="C104" s="210"/>
      <c r="D104" s="178"/>
      <c r="E104" s="569"/>
      <c r="F104" s="569"/>
      <c r="G104" s="569"/>
      <c r="H104" s="569"/>
      <c r="I104" s="569"/>
      <c r="J104" s="131"/>
      <c r="K104" s="131"/>
      <c r="L104" s="131"/>
      <c r="M104" s="131"/>
      <c r="N104" s="131"/>
      <c r="O104" s="131"/>
      <c r="P104" s="131"/>
      <c r="Q104" s="131"/>
      <c r="R104" s="131"/>
      <c r="S104" s="131"/>
      <c r="T104" s="131"/>
      <c r="U104" s="131"/>
      <c r="V104" s="131"/>
      <c r="W104" s="131"/>
      <c r="X104" s="131"/>
      <c r="Y104" s="131"/>
      <c r="Z104" s="131"/>
    </row>
    <row r="105" spans="1:26" ht="15.75" customHeight="1">
      <c r="A105" s="210"/>
      <c r="B105" s="210"/>
      <c r="C105" s="210"/>
      <c r="D105" s="178"/>
      <c r="E105" s="569"/>
      <c r="F105" s="569"/>
      <c r="G105" s="569"/>
      <c r="H105" s="569"/>
      <c r="I105" s="569"/>
      <c r="J105" s="131"/>
      <c r="K105" s="131"/>
      <c r="L105" s="131"/>
      <c r="M105" s="131"/>
      <c r="N105" s="131"/>
      <c r="O105" s="131"/>
      <c r="P105" s="131"/>
      <c r="Q105" s="131"/>
      <c r="R105" s="131"/>
      <c r="S105" s="131"/>
      <c r="T105" s="131"/>
      <c r="U105" s="131"/>
      <c r="V105" s="131"/>
      <c r="W105" s="131"/>
      <c r="X105" s="131"/>
      <c r="Y105" s="131"/>
      <c r="Z105" s="131"/>
    </row>
    <row r="106" spans="1:26" ht="15.75" customHeight="1">
      <c r="A106" s="210"/>
      <c r="B106" s="210"/>
      <c r="C106" s="210"/>
      <c r="D106" s="178"/>
      <c r="E106" s="569"/>
      <c r="F106" s="569"/>
      <c r="G106" s="569"/>
      <c r="H106" s="569"/>
      <c r="I106" s="569"/>
      <c r="J106" s="131"/>
      <c r="K106" s="131"/>
      <c r="L106" s="131"/>
      <c r="M106" s="131"/>
      <c r="N106" s="131"/>
      <c r="O106" s="131"/>
      <c r="P106" s="131"/>
      <c r="Q106" s="131"/>
      <c r="R106" s="131"/>
      <c r="S106" s="131"/>
      <c r="T106" s="131"/>
      <c r="U106" s="131"/>
      <c r="V106" s="131"/>
      <c r="W106" s="131"/>
      <c r="X106" s="131"/>
      <c r="Y106" s="131"/>
      <c r="Z106" s="131"/>
    </row>
    <row r="107" spans="1:26" ht="15.75" customHeight="1">
      <c r="A107" s="210"/>
      <c r="B107" s="210"/>
      <c r="C107" s="210"/>
      <c r="D107" s="178"/>
      <c r="E107" s="569"/>
      <c r="F107" s="569"/>
      <c r="G107" s="569"/>
      <c r="H107" s="569"/>
      <c r="I107" s="569"/>
      <c r="J107" s="131"/>
      <c r="K107" s="131"/>
      <c r="L107" s="131"/>
      <c r="M107" s="131"/>
      <c r="N107" s="131"/>
      <c r="O107" s="131"/>
      <c r="P107" s="131"/>
      <c r="Q107" s="131"/>
      <c r="R107" s="131"/>
      <c r="S107" s="131"/>
      <c r="T107" s="131"/>
      <c r="U107" s="131"/>
      <c r="V107" s="131"/>
      <c r="W107" s="131"/>
      <c r="X107" s="131"/>
      <c r="Y107" s="131"/>
      <c r="Z107" s="131"/>
    </row>
    <row r="108" spans="1:26" ht="15.75" customHeight="1">
      <c r="A108" s="210"/>
      <c r="B108" s="210"/>
      <c r="C108" s="210"/>
      <c r="D108" s="178"/>
      <c r="E108" s="569"/>
      <c r="F108" s="569"/>
      <c r="G108" s="569"/>
      <c r="H108" s="569"/>
      <c r="I108" s="569"/>
      <c r="J108" s="131"/>
      <c r="K108" s="131"/>
      <c r="L108" s="131"/>
      <c r="M108" s="131"/>
      <c r="N108" s="131"/>
      <c r="O108" s="131"/>
      <c r="P108" s="131"/>
      <c r="Q108" s="131"/>
      <c r="R108" s="131"/>
      <c r="S108" s="131"/>
      <c r="T108" s="131"/>
      <c r="U108" s="131"/>
      <c r="V108" s="131"/>
      <c r="W108" s="131"/>
      <c r="X108" s="131"/>
      <c r="Y108" s="131"/>
      <c r="Z108" s="131"/>
    </row>
    <row r="109" spans="1:26" ht="15.75" customHeight="1">
      <c r="A109" s="210"/>
      <c r="B109" s="210"/>
      <c r="C109" s="210"/>
      <c r="D109" s="178"/>
      <c r="E109" s="569"/>
      <c r="F109" s="569"/>
      <c r="G109" s="569"/>
      <c r="H109" s="569"/>
      <c r="I109" s="569"/>
      <c r="J109" s="131"/>
      <c r="K109" s="131"/>
      <c r="L109" s="131"/>
      <c r="M109" s="131"/>
      <c r="N109" s="131"/>
      <c r="O109" s="131"/>
      <c r="P109" s="131"/>
      <c r="Q109" s="131"/>
      <c r="R109" s="131"/>
      <c r="S109" s="131"/>
      <c r="T109" s="131"/>
      <c r="U109" s="131"/>
      <c r="V109" s="131"/>
      <c r="W109" s="131"/>
      <c r="X109" s="131"/>
      <c r="Y109" s="131"/>
      <c r="Z109" s="131"/>
    </row>
    <row r="110" spans="1:26" ht="15.75" customHeight="1">
      <c r="A110" s="210"/>
      <c r="B110" s="210"/>
      <c r="C110" s="210"/>
      <c r="D110" s="178"/>
      <c r="E110" s="569"/>
      <c r="F110" s="569"/>
      <c r="G110" s="569"/>
      <c r="H110" s="569"/>
      <c r="I110" s="569"/>
      <c r="J110" s="131"/>
      <c r="K110" s="131"/>
      <c r="L110" s="131"/>
      <c r="M110" s="131"/>
      <c r="N110" s="131"/>
      <c r="O110" s="131"/>
      <c r="P110" s="131"/>
      <c r="Q110" s="131"/>
      <c r="R110" s="131"/>
      <c r="S110" s="131"/>
      <c r="T110" s="131"/>
      <c r="U110" s="131"/>
      <c r="V110" s="131"/>
      <c r="W110" s="131"/>
      <c r="X110" s="131"/>
      <c r="Y110" s="131"/>
      <c r="Z110" s="131"/>
    </row>
    <row r="111" spans="1:26" ht="15.75" customHeight="1">
      <c r="A111" s="210"/>
      <c r="B111" s="210"/>
      <c r="C111" s="210"/>
      <c r="D111" s="178"/>
      <c r="E111" s="569"/>
      <c r="F111" s="569"/>
      <c r="G111" s="569"/>
      <c r="H111" s="569"/>
      <c r="I111" s="569"/>
      <c r="J111" s="131"/>
      <c r="K111" s="131"/>
      <c r="L111" s="131"/>
      <c r="M111" s="131"/>
      <c r="N111" s="131"/>
      <c r="O111" s="131"/>
      <c r="P111" s="131"/>
      <c r="Q111" s="131"/>
      <c r="R111" s="131"/>
      <c r="S111" s="131"/>
      <c r="T111" s="131"/>
      <c r="U111" s="131"/>
      <c r="V111" s="131"/>
      <c r="W111" s="131"/>
      <c r="X111" s="131"/>
      <c r="Y111" s="131"/>
      <c r="Z111" s="131"/>
    </row>
    <row r="112" spans="1:26" ht="15.75" customHeight="1">
      <c r="A112" s="210"/>
      <c r="B112" s="210"/>
      <c r="C112" s="210"/>
      <c r="D112" s="178"/>
      <c r="E112" s="569"/>
      <c r="F112" s="569"/>
      <c r="G112" s="569"/>
      <c r="H112" s="569"/>
      <c r="I112" s="569"/>
      <c r="J112" s="131"/>
      <c r="K112" s="131"/>
      <c r="L112" s="131"/>
      <c r="M112" s="131"/>
      <c r="N112" s="131"/>
      <c r="O112" s="131"/>
      <c r="P112" s="131"/>
      <c r="Q112" s="131"/>
      <c r="R112" s="131"/>
      <c r="S112" s="131"/>
      <c r="T112" s="131"/>
      <c r="U112" s="131"/>
      <c r="V112" s="131"/>
      <c r="W112" s="131"/>
      <c r="X112" s="131"/>
      <c r="Y112" s="131"/>
      <c r="Z112" s="131"/>
    </row>
    <row r="113" spans="1:26" ht="15.75" customHeight="1">
      <c r="A113" s="210"/>
      <c r="B113" s="210"/>
      <c r="C113" s="210"/>
      <c r="D113" s="178"/>
      <c r="E113" s="569"/>
      <c r="F113" s="569"/>
      <c r="G113" s="569"/>
      <c r="H113" s="569"/>
      <c r="I113" s="569"/>
      <c r="J113" s="131"/>
      <c r="K113" s="131"/>
      <c r="L113" s="131"/>
      <c r="M113" s="131"/>
      <c r="N113" s="131"/>
      <c r="O113" s="131"/>
      <c r="P113" s="131"/>
      <c r="Q113" s="131"/>
      <c r="R113" s="131"/>
      <c r="S113" s="131"/>
      <c r="T113" s="131"/>
      <c r="U113" s="131"/>
      <c r="V113" s="131"/>
      <c r="W113" s="131"/>
      <c r="X113" s="131"/>
      <c r="Y113" s="131"/>
      <c r="Z113" s="131"/>
    </row>
    <row r="114" spans="1:26" ht="15.75" customHeight="1">
      <c r="A114" s="210"/>
      <c r="B114" s="210"/>
      <c r="C114" s="210"/>
      <c r="D114" s="178"/>
      <c r="E114" s="569"/>
      <c r="F114" s="569"/>
      <c r="G114" s="569"/>
      <c r="H114" s="569"/>
      <c r="I114" s="569"/>
      <c r="J114" s="131"/>
      <c r="K114" s="131"/>
      <c r="L114" s="131"/>
      <c r="M114" s="131"/>
      <c r="N114" s="131"/>
      <c r="O114" s="131"/>
      <c r="P114" s="131"/>
      <c r="Q114" s="131"/>
      <c r="R114" s="131"/>
      <c r="S114" s="131"/>
      <c r="T114" s="131"/>
      <c r="U114" s="131"/>
      <c r="V114" s="131"/>
      <c r="W114" s="131"/>
      <c r="X114" s="131"/>
      <c r="Y114" s="131"/>
      <c r="Z114" s="131"/>
    </row>
    <row r="115" spans="1:26" ht="15.75" customHeight="1">
      <c r="A115" s="210"/>
      <c r="B115" s="210"/>
      <c r="C115" s="210"/>
      <c r="D115" s="178"/>
      <c r="E115" s="569"/>
      <c r="F115" s="569"/>
      <c r="G115" s="569"/>
      <c r="H115" s="569"/>
      <c r="I115" s="569"/>
      <c r="J115" s="131"/>
      <c r="K115" s="131"/>
      <c r="L115" s="131"/>
      <c r="M115" s="131"/>
      <c r="N115" s="131"/>
      <c r="O115" s="131"/>
      <c r="P115" s="131"/>
      <c r="Q115" s="131"/>
      <c r="R115" s="131"/>
      <c r="S115" s="131"/>
      <c r="T115" s="131"/>
      <c r="U115" s="131"/>
      <c r="V115" s="131"/>
      <c r="W115" s="131"/>
      <c r="X115" s="131"/>
      <c r="Y115" s="131"/>
      <c r="Z115" s="131"/>
    </row>
    <row r="116" spans="1:26" ht="15.75" customHeight="1">
      <c r="A116" s="210"/>
      <c r="B116" s="210"/>
      <c r="C116" s="210"/>
      <c r="D116" s="178"/>
      <c r="E116" s="569"/>
      <c r="F116" s="569"/>
      <c r="G116" s="569"/>
      <c r="H116" s="569"/>
      <c r="I116" s="569"/>
      <c r="J116" s="131"/>
      <c r="K116" s="131"/>
      <c r="L116" s="131"/>
      <c r="M116" s="131"/>
      <c r="N116" s="131"/>
      <c r="O116" s="131"/>
      <c r="P116" s="131"/>
      <c r="Q116" s="131"/>
      <c r="R116" s="131"/>
      <c r="S116" s="131"/>
      <c r="T116" s="131"/>
      <c r="U116" s="131"/>
      <c r="V116" s="131"/>
      <c r="W116" s="131"/>
      <c r="X116" s="131"/>
      <c r="Y116" s="131"/>
      <c r="Z116" s="131"/>
    </row>
    <row r="117" spans="1:26" ht="15.75" customHeight="1">
      <c r="A117" s="210"/>
      <c r="B117" s="210"/>
      <c r="C117" s="210"/>
      <c r="D117" s="178"/>
      <c r="E117" s="569"/>
      <c r="F117" s="569"/>
      <c r="G117" s="569"/>
      <c r="H117" s="569"/>
      <c r="I117" s="569"/>
      <c r="J117" s="131"/>
      <c r="K117" s="131"/>
      <c r="L117" s="131"/>
      <c r="M117" s="131"/>
      <c r="N117" s="131"/>
      <c r="O117" s="131"/>
      <c r="P117" s="131"/>
      <c r="Q117" s="131"/>
      <c r="R117" s="131"/>
      <c r="S117" s="131"/>
      <c r="T117" s="131"/>
      <c r="U117" s="131"/>
      <c r="V117" s="131"/>
      <c r="W117" s="131"/>
      <c r="X117" s="131"/>
      <c r="Y117" s="131"/>
      <c r="Z117" s="131"/>
    </row>
    <row r="118" spans="1:26" ht="15.75" customHeight="1">
      <c r="A118" s="210"/>
      <c r="B118" s="210"/>
      <c r="C118" s="210"/>
      <c r="D118" s="178"/>
      <c r="E118" s="569"/>
      <c r="F118" s="569"/>
      <c r="G118" s="569"/>
      <c r="H118" s="569"/>
      <c r="I118" s="569"/>
      <c r="J118" s="131"/>
      <c r="K118" s="131"/>
      <c r="L118" s="131"/>
      <c r="M118" s="131"/>
      <c r="N118" s="131"/>
      <c r="O118" s="131"/>
      <c r="P118" s="131"/>
      <c r="Q118" s="131"/>
      <c r="R118" s="131"/>
      <c r="S118" s="131"/>
      <c r="T118" s="131"/>
      <c r="U118" s="131"/>
      <c r="V118" s="131"/>
      <c r="W118" s="131"/>
      <c r="X118" s="131"/>
      <c r="Y118" s="131"/>
      <c r="Z118" s="131"/>
    </row>
    <row r="119" spans="1:26" ht="15.75" customHeight="1">
      <c r="A119" s="210"/>
      <c r="B119" s="210"/>
      <c r="C119" s="210"/>
      <c r="D119" s="178"/>
      <c r="E119" s="569"/>
      <c r="F119" s="569"/>
      <c r="G119" s="569"/>
      <c r="H119" s="569"/>
      <c r="I119" s="569"/>
      <c r="J119" s="131"/>
      <c r="K119" s="131"/>
      <c r="L119" s="131"/>
      <c r="M119" s="131"/>
      <c r="N119" s="131"/>
      <c r="O119" s="131"/>
      <c r="P119" s="131"/>
      <c r="Q119" s="131"/>
      <c r="R119" s="131"/>
      <c r="S119" s="131"/>
      <c r="T119" s="131"/>
      <c r="U119" s="131"/>
      <c r="V119" s="131"/>
      <c r="W119" s="131"/>
      <c r="X119" s="131"/>
      <c r="Y119" s="131"/>
      <c r="Z119" s="131"/>
    </row>
    <row r="120" spans="1:26" ht="15.75" customHeight="1">
      <c r="A120" s="210"/>
      <c r="B120" s="210"/>
      <c r="C120" s="210"/>
      <c r="D120" s="178"/>
      <c r="E120" s="569"/>
      <c r="F120" s="569"/>
      <c r="G120" s="569"/>
      <c r="H120" s="569"/>
      <c r="I120" s="569"/>
      <c r="J120" s="131"/>
      <c r="K120" s="131"/>
      <c r="L120" s="131"/>
      <c r="M120" s="131"/>
      <c r="N120" s="131"/>
      <c r="O120" s="131"/>
      <c r="P120" s="131"/>
      <c r="Q120" s="131"/>
      <c r="R120" s="131"/>
      <c r="S120" s="131"/>
      <c r="T120" s="131"/>
      <c r="U120" s="131"/>
      <c r="V120" s="131"/>
      <c r="W120" s="131"/>
      <c r="X120" s="131"/>
      <c r="Y120" s="131"/>
      <c r="Z120" s="131"/>
    </row>
    <row r="121" spans="1:26" ht="15.75" customHeight="1">
      <c r="A121" s="210"/>
      <c r="B121" s="210"/>
      <c r="C121" s="210"/>
      <c r="D121" s="178"/>
      <c r="E121" s="569"/>
      <c r="F121" s="569"/>
      <c r="G121" s="569"/>
      <c r="H121" s="569"/>
      <c r="I121" s="569"/>
      <c r="J121" s="131"/>
      <c r="K121" s="131"/>
      <c r="L121" s="131"/>
      <c r="M121" s="131"/>
      <c r="N121" s="131"/>
      <c r="O121" s="131"/>
      <c r="P121" s="131"/>
      <c r="Q121" s="131"/>
      <c r="R121" s="131"/>
      <c r="S121" s="131"/>
      <c r="T121" s="131"/>
      <c r="U121" s="131"/>
      <c r="V121" s="131"/>
      <c r="W121" s="131"/>
      <c r="X121" s="131"/>
      <c r="Y121" s="131"/>
      <c r="Z121" s="131"/>
    </row>
    <row r="122" spans="1:26" ht="15.75" customHeight="1">
      <c r="A122" s="210"/>
      <c r="B122" s="210"/>
      <c r="C122" s="210"/>
      <c r="D122" s="178"/>
      <c r="E122" s="569"/>
      <c r="F122" s="569"/>
      <c r="G122" s="569"/>
      <c r="H122" s="569"/>
      <c r="I122" s="569"/>
      <c r="J122" s="131"/>
      <c r="K122" s="131"/>
      <c r="L122" s="131"/>
      <c r="M122" s="131"/>
      <c r="N122" s="131"/>
      <c r="O122" s="131"/>
      <c r="P122" s="131"/>
      <c r="Q122" s="131"/>
      <c r="R122" s="131"/>
      <c r="S122" s="131"/>
      <c r="T122" s="131"/>
      <c r="U122" s="131"/>
      <c r="V122" s="131"/>
      <c r="W122" s="131"/>
      <c r="X122" s="131"/>
      <c r="Y122" s="131"/>
      <c r="Z122" s="131"/>
    </row>
    <row r="123" spans="1:26" ht="15.75" customHeight="1">
      <c r="A123" s="210"/>
      <c r="B123" s="210"/>
      <c r="C123" s="210"/>
      <c r="D123" s="178"/>
      <c r="E123" s="569"/>
      <c r="F123" s="569"/>
      <c r="G123" s="569"/>
      <c r="H123" s="569"/>
      <c r="I123" s="569"/>
      <c r="J123" s="131"/>
      <c r="K123" s="131"/>
      <c r="L123" s="131"/>
      <c r="M123" s="131"/>
      <c r="N123" s="131"/>
      <c r="O123" s="131"/>
      <c r="P123" s="131"/>
      <c r="Q123" s="131"/>
      <c r="R123" s="131"/>
      <c r="S123" s="131"/>
      <c r="T123" s="131"/>
      <c r="U123" s="131"/>
      <c r="V123" s="131"/>
      <c r="W123" s="131"/>
      <c r="X123" s="131"/>
      <c r="Y123" s="131"/>
      <c r="Z123" s="131"/>
    </row>
    <row r="124" spans="1:26" ht="15.75" customHeight="1">
      <c r="A124" s="210"/>
      <c r="B124" s="210"/>
      <c r="C124" s="210"/>
      <c r="D124" s="178"/>
      <c r="E124" s="569"/>
      <c r="F124" s="569"/>
      <c r="G124" s="569"/>
      <c r="H124" s="569"/>
      <c r="I124" s="569"/>
      <c r="J124" s="131"/>
      <c r="K124" s="131"/>
      <c r="L124" s="131"/>
      <c r="M124" s="131"/>
      <c r="N124" s="131"/>
      <c r="O124" s="131"/>
      <c r="P124" s="131"/>
      <c r="Q124" s="131"/>
      <c r="R124" s="131"/>
      <c r="S124" s="131"/>
      <c r="T124" s="131"/>
      <c r="U124" s="131"/>
      <c r="V124" s="131"/>
      <c r="W124" s="131"/>
      <c r="X124" s="131"/>
      <c r="Y124" s="131"/>
      <c r="Z124" s="131"/>
    </row>
    <row r="125" spans="1:26" ht="15.75" customHeight="1">
      <c r="A125" s="210"/>
      <c r="B125" s="210"/>
      <c r="C125" s="210"/>
      <c r="D125" s="178"/>
      <c r="E125" s="569"/>
      <c r="F125" s="569"/>
      <c r="G125" s="569"/>
      <c r="H125" s="569"/>
      <c r="I125" s="569"/>
      <c r="J125" s="131"/>
      <c r="K125" s="131"/>
      <c r="L125" s="131"/>
      <c r="M125" s="131"/>
      <c r="N125" s="131"/>
      <c r="O125" s="131"/>
      <c r="P125" s="131"/>
      <c r="Q125" s="131"/>
      <c r="R125" s="131"/>
      <c r="S125" s="131"/>
      <c r="T125" s="131"/>
      <c r="U125" s="131"/>
      <c r="V125" s="131"/>
      <c r="W125" s="131"/>
      <c r="X125" s="131"/>
      <c r="Y125" s="131"/>
      <c r="Z125" s="131"/>
    </row>
    <row r="126" spans="1:26" ht="15.75" customHeight="1">
      <c r="A126" s="210"/>
      <c r="B126" s="210"/>
      <c r="C126" s="210"/>
      <c r="D126" s="178"/>
      <c r="E126" s="569"/>
      <c r="F126" s="569"/>
      <c r="G126" s="569"/>
      <c r="H126" s="569"/>
      <c r="I126" s="569"/>
      <c r="J126" s="131"/>
      <c r="K126" s="131"/>
      <c r="L126" s="131"/>
      <c r="M126" s="131"/>
      <c r="N126" s="131"/>
      <c r="O126" s="131"/>
      <c r="P126" s="131"/>
      <c r="Q126" s="131"/>
      <c r="R126" s="131"/>
      <c r="S126" s="131"/>
      <c r="T126" s="131"/>
      <c r="U126" s="131"/>
      <c r="V126" s="131"/>
      <c r="W126" s="131"/>
      <c r="X126" s="131"/>
      <c r="Y126" s="131"/>
      <c r="Z126" s="131"/>
    </row>
    <row r="127" spans="1:26" ht="15.75" customHeight="1">
      <c r="A127" s="210"/>
      <c r="B127" s="210"/>
      <c r="C127" s="210"/>
      <c r="D127" s="178"/>
      <c r="E127" s="569"/>
      <c r="F127" s="569"/>
      <c r="G127" s="569"/>
      <c r="H127" s="569"/>
      <c r="I127" s="569"/>
      <c r="J127" s="131"/>
      <c r="K127" s="131"/>
      <c r="L127" s="131"/>
      <c r="M127" s="131"/>
      <c r="N127" s="131"/>
      <c r="O127" s="131"/>
      <c r="P127" s="131"/>
      <c r="Q127" s="131"/>
      <c r="R127" s="131"/>
      <c r="S127" s="131"/>
      <c r="T127" s="131"/>
      <c r="U127" s="131"/>
      <c r="V127" s="131"/>
      <c r="W127" s="131"/>
      <c r="X127" s="131"/>
      <c r="Y127" s="131"/>
      <c r="Z127" s="131"/>
    </row>
    <row r="128" spans="1:26" ht="15.75" customHeight="1">
      <c r="A128" s="210"/>
      <c r="B128" s="210"/>
      <c r="C128" s="210"/>
      <c r="D128" s="178"/>
      <c r="E128" s="569"/>
      <c r="F128" s="569"/>
      <c r="G128" s="569"/>
      <c r="H128" s="569"/>
      <c r="I128" s="569"/>
      <c r="J128" s="131"/>
      <c r="K128" s="131"/>
      <c r="L128" s="131"/>
      <c r="M128" s="131"/>
      <c r="N128" s="131"/>
      <c r="O128" s="131"/>
      <c r="P128" s="131"/>
      <c r="Q128" s="131"/>
      <c r="R128" s="131"/>
      <c r="S128" s="131"/>
      <c r="T128" s="131"/>
      <c r="U128" s="131"/>
      <c r="V128" s="131"/>
      <c r="W128" s="131"/>
      <c r="X128" s="131"/>
      <c r="Y128" s="131"/>
      <c r="Z128" s="131"/>
    </row>
    <row r="129" spans="1:26" ht="15.75" customHeight="1">
      <c r="A129" s="210"/>
      <c r="B129" s="210"/>
      <c r="C129" s="210"/>
      <c r="D129" s="178"/>
      <c r="E129" s="569"/>
      <c r="F129" s="569"/>
      <c r="G129" s="569"/>
      <c r="H129" s="569"/>
      <c r="I129" s="569"/>
      <c r="J129" s="131"/>
      <c r="K129" s="131"/>
      <c r="L129" s="131"/>
      <c r="M129" s="131"/>
      <c r="N129" s="131"/>
      <c r="O129" s="131"/>
      <c r="P129" s="131"/>
      <c r="Q129" s="131"/>
      <c r="R129" s="131"/>
      <c r="S129" s="131"/>
      <c r="T129" s="131"/>
      <c r="U129" s="131"/>
      <c r="V129" s="131"/>
      <c r="W129" s="131"/>
      <c r="X129" s="131"/>
      <c r="Y129" s="131"/>
      <c r="Z129" s="131"/>
    </row>
    <row r="130" spans="1:26" ht="15.75" customHeight="1">
      <c r="A130" s="210"/>
      <c r="B130" s="210"/>
      <c r="C130" s="210"/>
      <c r="D130" s="178"/>
      <c r="E130" s="569"/>
      <c r="F130" s="569"/>
      <c r="G130" s="569"/>
      <c r="H130" s="569"/>
      <c r="I130" s="569"/>
      <c r="J130" s="131"/>
      <c r="K130" s="131"/>
      <c r="L130" s="131"/>
      <c r="M130" s="131"/>
      <c r="N130" s="131"/>
      <c r="O130" s="131"/>
      <c r="P130" s="131"/>
      <c r="Q130" s="131"/>
      <c r="R130" s="131"/>
      <c r="S130" s="131"/>
      <c r="T130" s="131"/>
      <c r="U130" s="131"/>
      <c r="V130" s="131"/>
      <c r="W130" s="131"/>
      <c r="X130" s="131"/>
      <c r="Y130" s="131"/>
      <c r="Z130" s="131"/>
    </row>
    <row r="131" spans="1:26" ht="15.75" customHeight="1">
      <c r="A131" s="210"/>
      <c r="B131" s="210"/>
      <c r="C131" s="210"/>
      <c r="D131" s="178"/>
      <c r="E131" s="569"/>
      <c r="F131" s="569"/>
      <c r="G131" s="569"/>
      <c r="H131" s="569"/>
      <c r="I131" s="569"/>
      <c r="J131" s="131"/>
      <c r="K131" s="131"/>
      <c r="L131" s="131"/>
      <c r="M131" s="131"/>
      <c r="N131" s="131"/>
      <c r="O131" s="131"/>
      <c r="P131" s="131"/>
      <c r="Q131" s="131"/>
      <c r="R131" s="131"/>
      <c r="S131" s="131"/>
      <c r="T131" s="131"/>
      <c r="U131" s="131"/>
      <c r="V131" s="131"/>
      <c r="W131" s="131"/>
      <c r="X131" s="131"/>
      <c r="Y131" s="131"/>
      <c r="Z131" s="131"/>
    </row>
    <row r="132" spans="1:26" ht="15.75" customHeight="1">
      <c r="A132" s="210"/>
      <c r="B132" s="210"/>
      <c r="C132" s="210"/>
      <c r="D132" s="178"/>
      <c r="E132" s="569"/>
      <c r="F132" s="569"/>
      <c r="G132" s="569"/>
      <c r="H132" s="569"/>
      <c r="I132" s="569"/>
      <c r="J132" s="131"/>
      <c r="K132" s="131"/>
      <c r="L132" s="131"/>
      <c r="M132" s="131"/>
      <c r="N132" s="131"/>
      <c r="O132" s="131"/>
      <c r="P132" s="131"/>
      <c r="Q132" s="131"/>
      <c r="R132" s="131"/>
      <c r="S132" s="131"/>
      <c r="T132" s="131"/>
      <c r="U132" s="131"/>
      <c r="V132" s="131"/>
      <c r="W132" s="131"/>
      <c r="X132" s="131"/>
      <c r="Y132" s="131"/>
      <c r="Z132" s="131"/>
    </row>
    <row r="133" spans="1:26" ht="15.75" customHeight="1">
      <c r="A133" s="210"/>
      <c r="B133" s="210"/>
      <c r="C133" s="210"/>
      <c r="D133" s="178"/>
      <c r="E133" s="569"/>
      <c r="F133" s="569"/>
      <c r="G133" s="569"/>
      <c r="H133" s="569"/>
      <c r="I133" s="569"/>
      <c r="J133" s="131"/>
      <c r="K133" s="131"/>
      <c r="L133" s="131"/>
      <c r="M133" s="131"/>
      <c r="N133" s="131"/>
      <c r="O133" s="131"/>
      <c r="P133" s="131"/>
      <c r="Q133" s="131"/>
      <c r="R133" s="131"/>
      <c r="S133" s="131"/>
      <c r="T133" s="131"/>
      <c r="U133" s="131"/>
      <c r="V133" s="131"/>
      <c r="W133" s="131"/>
      <c r="X133" s="131"/>
      <c r="Y133" s="131"/>
      <c r="Z133" s="131"/>
    </row>
    <row r="134" spans="1:26" ht="15.75" customHeight="1">
      <c r="A134" s="210"/>
      <c r="B134" s="210"/>
      <c r="C134" s="210"/>
      <c r="D134" s="178"/>
      <c r="E134" s="569"/>
      <c r="F134" s="569"/>
      <c r="G134" s="569"/>
      <c r="H134" s="569"/>
      <c r="I134" s="569"/>
      <c r="J134" s="131"/>
      <c r="K134" s="131"/>
      <c r="L134" s="131"/>
      <c r="M134" s="131"/>
      <c r="N134" s="131"/>
      <c r="O134" s="131"/>
      <c r="P134" s="131"/>
      <c r="Q134" s="131"/>
      <c r="R134" s="131"/>
      <c r="S134" s="131"/>
      <c r="T134" s="131"/>
      <c r="U134" s="131"/>
      <c r="V134" s="131"/>
      <c r="W134" s="131"/>
      <c r="X134" s="131"/>
      <c r="Y134" s="131"/>
      <c r="Z134" s="131"/>
    </row>
    <row r="135" spans="1:26" ht="15.75" customHeight="1">
      <c r="A135" s="210"/>
      <c r="B135" s="210"/>
      <c r="C135" s="210"/>
      <c r="D135" s="178"/>
      <c r="E135" s="569"/>
      <c r="F135" s="569"/>
      <c r="G135" s="569"/>
      <c r="H135" s="569"/>
      <c r="I135" s="569"/>
      <c r="J135" s="131"/>
      <c r="K135" s="131"/>
      <c r="L135" s="131"/>
      <c r="M135" s="131"/>
      <c r="N135" s="131"/>
      <c r="O135" s="131"/>
      <c r="P135" s="131"/>
      <c r="Q135" s="131"/>
      <c r="R135" s="131"/>
      <c r="S135" s="131"/>
      <c r="T135" s="131"/>
      <c r="U135" s="131"/>
      <c r="V135" s="131"/>
      <c r="W135" s="131"/>
      <c r="X135" s="131"/>
      <c r="Y135" s="131"/>
      <c r="Z135" s="131"/>
    </row>
    <row r="136" spans="1:26" ht="15.75" customHeight="1">
      <c r="A136" s="210"/>
      <c r="B136" s="210"/>
      <c r="C136" s="210"/>
      <c r="D136" s="178"/>
      <c r="E136" s="569"/>
      <c r="F136" s="569"/>
      <c r="G136" s="569"/>
      <c r="H136" s="569"/>
      <c r="I136" s="569"/>
      <c r="J136" s="131"/>
      <c r="K136" s="131"/>
      <c r="L136" s="131"/>
      <c r="M136" s="131"/>
      <c r="N136" s="131"/>
      <c r="O136" s="131"/>
      <c r="P136" s="131"/>
      <c r="Q136" s="131"/>
      <c r="R136" s="131"/>
      <c r="S136" s="131"/>
      <c r="T136" s="131"/>
      <c r="U136" s="131"/>
      <c r="V136" s="131"/>
      <c r="W136" s="131"/>
      <c r="X136" s="131"/>
      <c r="Y136" s="131"/>
      <c r="Z136" s="131"/>
    </row>
    <row r="137" spans="1:26" ht="15.75" customHeight="1">
      <c r="A137" s="210"/>
      <c r="B137" s="210"/>
      <c r="C137" s="210"/>
      <c r="D137" s="178"/>
      <c r="E137" s="569"/>
      <c r="F137" s="569"/>
      <c r="G137" s="569"/>
      <c r="H137" s="569"/>
      <c r="I137" s="569"/>
      <c r="J137" s="131"/>
      <c r="K137" s="131"/>
      <c r="L137" s="131"/>
      <c r="M137" s="131"/>
      <c r="N137" s="131"/>
      <c r="O137" s="131"/>
      <c r="P137" s="131"/>
      <c r="Q137" s="131"/>
      <c r="R137" s="131"/>
      <c r="S137" s="131"/>
      <c r="T137" s="131"/>
      <c r="U137" s="131"/>
      <c r="V137" s="131"/>
      <c r="W137" s="131"/>
      <c r="X137" s="131"/>
      <c r="Y137" s="131"/>
      <c r="Z137" s="131"/>
    </row>
    <row r="138" spans="1:26" ht="15.75" customHeight="1">
      <c r="A138" s="210"/>
      <c r="B138" s="210"/>
      <c r="C138" s="210"/>
      <c r="D138" s="178"/>
      <c r="E138" s="569"/>
      <c r="F138" s="569"/>
      <c r="G138" s="569"/>
      <c r="H138" s="569"/>
      <c r="I138" s="569"/>
      <c r="J138" s="131"/>
      <c r="K138" s="131"/>
      <c r="L138" s="131"/>
      <c r="M138" s="131"/>
      <c r="N138" s="131"/>
      <c r="O138" s="131"/>
      <c r="P138" s="131"/>
      <c r="Q138" s="131"/>
      <c r="R138" s="131"/>
      <c r="S138" s="131"/>
      <c r="T138" s="131"/>
      <c r="U138" s="131"/>
      <c r="V138" s="131"/>
      <c r="W138" s="131"/>
      <c r="X138" s="131"/>
      <c r="Y138" s="131"/>
      <c r="Z138" s="131"/>
    </row>
    <row r="139" spans="1:26" ht="15.75" customHeight="1">
      <c r="A139" s="210"/>
      <c r="B139" s="210"/>
      <c r="C139" s="210"/>
      <c r="D139" s="178"/>
      <c r="E139" s="569"/>
      <c r="F139" s="569"/>
      <c r="G139" s="569"/>
      <c r="H139" s="569"/>
      <c r="I139" s="569"/>
      <c r="J139" s="131"/>
      <c r="K139" s="131"/>
      <c r="L139" s="131"/>
      <c r="M139" s="131"/>
      <c r="N139" s="131"/>
      <c r="O139" s="131"/>
      <c r="P139" s="131"/>
      <c r="Q139" s="131"/>
      <c r="R139" s="131"/>
      <c r="S139" s="131"/>
      <c r="T139" s="131"/>
      <c r="U139" s="131"/>
      <c r="V139" s="131"/>
      <c r="W139" s="131"/>
      <c r="X139" s="131"/>
      <c r="Y139" s="131"/>
      <c r="Z139" s="131"/>
    </row>
    <row r="140" spans="1:26" ht="15.75" customHeight="1">
      <c r="A140" s="210"/>
      <c r="B140" s="210"/>
      <c r="C140" s="210"/>
      <c r="D140" s="178"/>
      <c r="E140" s="569"/>
      <c r="F140" s="569"/>
      <c r="G140" s="569"/>
      <c r="H140" s="569"/>
      <c r="I140" s="569"/>
      <c r="J140" s="131"/>
      <c r="K140" s="131"/>
      <c r="L140" s="131"/>
      <c r="M140" s="131"/>
      <c r="N140" s="131"/>
      <c r="O140" s="131"/>
      <c r="P140" s="131"/>
      <c r="Q140" s="131"/>
      <c r="R140" s="131"/>
      <c r="S140" s="131"/>
      <c r="T140" s="131"/>
      <c r="U140" s="131"/>
      <c r="V140" s="131"/>
      <c r="W140" s="131"/>
      <c r="X140" s="131"/>
      <c r="Y140" s="131"/>
      <c r="Z140" s="131"/>
    </row>
    <row r="141" spans="1:26" ht="15.75" customHeight="1">
      <c r="A141" s="210"/>
      <c r="B141" s="210"/>
      <c r="C141" s="210"/>
      <c r="D141" s="178"/>
      <c r="E141" s="569"/>
      <c r="F141" s="569"/>
      <c r="G141" s="569"/>
      <c r="H141" s="569"/>
      <c r="I141" s="569"/>
      <c r="J141" s="131"/>
      <c r="K141" s="131"/>
      <c r="L141" s="131"/>
      <c r="M141" s="131"/>
      <c r="N141" s="131"/>
      <c r="O141" s="131"/>
      <c r="P141" s="131"/>
      <c r="Q141" s="131"/>
      <c r="R141" s="131"/>
      <c r="S141" s="131"/>
      <c r="T141" s="131"/>
      <c r="U141" s="131"/>
      <c r="V141" s="131"/>
      <c r="W141" s="131"/>
      <c r="X141" s="131"/>
      <c r="Y141" s="131"/>
      <c r="Z141" s="131"/>
    </row>
    <row r="142" spans="1:26" ht="15.75" customHeight="1">
      <c r="A142" s="210"/>
      <c r="B142" s="210"/>
      <c r="C142" s="210"/>
      <c r="D142" s="178"/>
      <c r="E142" s="569"/>
      <c r="F142" s="569"/>
      <c r="G142" s="569"/>
      <c r="H142" s="569"/>
      <c r="I142" s="569"/>
      <c r="J142" s="131"/>
      <c r="K142" s="131"/>
      <c r="L142" s="131"/>
      <c r="M142" s="131"/>
      <c r="N142" s="131"/>
      <c r="O142" s="131"/>
      <c r="P142" s="131"/>
      <c r="Q142" s="131"/>
      <c r="R142" s="131"/>
      <c r="S142" s="131"/>
      <c r="T142" s="131"/>
      <c r="U142" s="131"/>
      <c r="V142" s="131"/>
      <c r="W142" s="131"/>
      <c r="X142" s="131"/>
      <c r="Y142" s="131"/>
      <c r="Z142" s="131"/>
    </row>
    <row r="143" spans="1:26" ht="15.75" customHeight="1">
      <c r="A143" s="210"/>
      <c r="B143" s="210"/>
      <c r="C143" s="210"/>
      <c r="D143" s="178"/>
      <c r="E143" s="569"/>
      <c r="F143" s="569"/>
      <c r="G143" s="569"/>
      <c r="H143" s="569"/>
      <c r="I143" s="569"/>
      <c r="J143" s="131"/>
      <c r="K143" s="131"/>
      <c r="L143" s="131"/>
      <c r="M143" s="131"/>
      <c r="N143" s="131"/>
      <c r="O143" s="131"/>
      <c r="P143" s="131"/>
      <c r="Q143" s="131"/>
      <c r="R143" s="131"/>
      <c r="S143" s="131"/>
      <c r="T143" s="131"/>
      <c r="U143" s="131"/>
      <c r="V143" s="131"/>
      <c r="W143" s="131"/>
      <c r="X143" s="131"/>
      <c r="Y143" s="131"/>
      <c r="Z143" s="131"/>
    </row>
    <row r="144" spans="1:26" ht="15.75" customHeight="1">
      <c r="A144" s="210"/>
      <c r="B144" s="210"/>
      <c r="C144" s="210"/>
      <c r="D144" s="178"/>
      <c r="E144" s="569"/>
      <c r="F144" s="569"/>
      <c r="G144" s="569"/>
      <c r="H144" s="569"/>
      <c r="I144" s="569"/>
      <c r="J144" s="131"/>
      <c r="K144" s="131"/>
      <c r="L144" s="131"/>
      <c r="M144" s="131"/>
      <c r="N144" s="131"/>
      <c r="O144" s="131"/>
      <c r="P144" s="131"/>
      <c r="Q144" s="131"/>
      <c r="R144" s="131"/>
      <c r="S144" s="131"/>
      <c r="T144" s="131"/>
      <c r="U144" s="131"/>
      <c r="V144" s="131"/>
      <c r="W144" s="131"/>
      <c r="X144" s="131"/>
      <c r="Y144" s="131"/>
      <c r="Z144" s="131"/>
    </row>
    <row r="145" spans="1:26" ht="15.75" customHeight="1">
      <c r="A145" s="210"/>
      <c r="B145" s="210"/>
      <c r="C145" s="210"/>
      <c r="D145" s="178"/>
      <c r="E145" s="569"/>
      <c r="F145" s="569"/>
      <c r="G145" s="569"/>
      <c r="H145" s="569"/>
      <c r="I145" s="569"/>
      <c r="J145" s="131"/>
      <c r="K145" s="131"/>
      <c r="L145" s="131"/>
      <c r="M145" s="131"/>
      <c r="N145" s="131"/>
      <c r="O145" s="131"/>
      <c r="P145" s="131"/>
      <c r="Q145" s="131"/>
      <c r="R145" s="131"/>
      <c r="S145" s="131"/>
      <c r="T145" s="131"/>
      <c r="U145" s="131"/>
      <c r="V145" s="131"/>
      <c r="W145" s="131"/>
      <c r="X145" s="131"/>
      <c r="Y145" s="131"/>
      <c r="Z145" s="131"/>
    </row>
    <row r="146" spans="1:26" ht="15.75" customHeight="1">
      <c r="A146" s="210"/>
      <c r="B146" s="210"/>
      <c r="C146" s="210"/>
      <c r="D146" s="178"/>
      <c r="E146" s="569"/>
      <c r="F146" s="569"/>
      <c r="G146" s="569"/>
      <c r="H146" s="569"/>
      <c r="I146" s="569"/>
      <c r="J146" s="131"/>
      <c r="K146" s="131"/>
      <c r="L146" s="131"/>
      <c r="M146" s="131"/>
      <c r="N146" s="131"/>
      <c r="O146" s="131"/>
      <c r="P146" s="131"/>
      <c r="Q146" s="131"/>
      <c r="R146" s="131"/>
      <c r="S146" s="131"/>
      <c r="T146" s="131"/>
      <c r="U146" s="131"/>
      <c r="V146" s="131"/>
      <c r="W146" s="131"/>
      <c r="X146" s="131"/>
      <c r="Y146" s="131"/>
      <c r="Z146" s="131"/>
    </row>
    <row r="147" spans="1:26" ht="15.75" customHeight="1">
      <c r="A147" s="210"/>
      <c r="B147" s="210"/>
      <c r="C147" s="210"/>
      <c r="D147" s="178"/>
      <c r="E147" s="569"/>
      <c r="F147" s="569"/>
      <c r="G147" s="569"/>
      <c r="H147" s="569"/>
      <c r="I147" s="569"/>
      <c r="J147" s="131"/>
      <c r="K147" s="131"/>
      <c r="L147" s="131"/>
      <c r="M147" s="131"/>
      <c r="N147" s="131"/>
      <c r="O147" s="131"/>
      <c r="P147" s="131"/>
      <c r="Q147" s="131"/>
      <c r="R147" s="131"/>
      <c r="S147" s="131"/>
      <c r="T147" s="131"/>
      <c r="U147" s="131"/>
      <c r="V147" s="131"/>
      <c r="W147" s="131"/>
      <c r="X147" s="131"/>
      <c r="Y147" s="131"/>
      <c r="Z147" s="131"/>
    </row>
    <row r="148" spans="1:26" ht="15.75" customHeight="1">
      <c r="A148" s="210"/>
      <c r="B148" s="210"/>
      <c r="C148" s="210"/>
      <c r="D148" s="178"/>
      <c r="E148" s="569"/>
      <c r="F148" s="569"/>
      <c r="G148" s="569"/>
      <c r="H148" s="569"/>
      <c r="I148" s="569"/>
      <c r="J148" s="131"/>
      <c r="K148" s="131"/>
      <c r="L148" s="131"/>
      <c r="M148" s="131"/>
      <c r="N148" s="131"/>
      <c r="O148" s="131"/>
      <c r="P148" s="131"/>
      <c r="Q148" s="131"/>
      <c r="R148" s="131"/>
      <c r="S148" s="131"/>
      <c r="T148" s="131"/>
      <c r="U148" s="131"/>
      <c r="V148" s="131"/>
      <c r="W148" s="131"/>
      <c r="X148" s="131"/>
      <c r="Y148" s="131"/>
      <c r="Z148" s="131"/>
    </row>
    <row r="149" spans="1:26" ht="15.75" customHeight="1">
      <c r="A149" s="210"/>
      <c r="B149" s="210"/>
      <c r="C149" s="210"/>
      <c r="D149" s="178"/>
      <c r="E149" s="569"/>
      <c r="F149" s="569"/>
      <c r="G149" s="569"/>
      <c r="H149" s="569"/>
      <c r="I149" s="569"/>
      <c r="J149" s="131"/>
      <c r="K149" s="131"/>
      <c r="L149" s="131"/>
      <c r="M149" s="131"/>
      <c r="N149" s="131"/>
      <c r="O149" s="131"/>
      <c r="P149" s="131"/>
      <c r="Q149" s="131"/>
      <c r="R149" s="131"/>
      <c r="S149" s="131"/>
      <c r="T149" s="131"/>
      <c r="U149" s="131"/>
      <c r="V149" s="131"/>
      <c r="W149" s="131"/>
      <c r="X149" s="131"/>
      <c r="Y149" s="131"/>
      <c r="Z149" s="131"/>
    </row>
    <row r="150" spans="1:26" ht="15.75" customHeight="1">
      <c r="A150" s="210"/>
      <c r="B150" s="210"/>
      <c r="C150" s="210"/>
      <c r="D150" s="178"/>
      <c r="E150" s="569"/>
      <c r="F150" s="569"/>
      <c r="G150" s="569"/>
      <c r="H150" s="569"/>
      <c r="I150" s="569"/>
      <c r="J150" s="131"/>
      <c r="K150" s="131"/>
      <c r="L150" s="131"/>
      <c r="M150" s="131"/>
      <c r="N150" s="131"/>
      <c r="O150" s="131"/>
      <c r="P150" s="131"/>
      <c r="Q150" s="131"/>
      <c r="R150" s="131"/>
      <c r="S150" s="131"/>
      <c r="T150" s="131"/>
      <c r="U150" s="131"/>
      <c r="V150" s="131"/>
      <c r="W150" s="131"/>
      <c r="X150" s="131"/>
      <c r="Y150" s="131"/>
      <c r="Z150" s="131"/>
    </row>
    <row r="151" spans="1:26" ht="15.75" customHeight="1">
      <c r="A151" s="210"/>
      <c r="B151" s="210"/>
      <c r="C151" s="210"/>
      <c r="D151" s="178"/>
      <c r="E151" s="569"/>
      <c r="F151" s="569"/>
      <c r="G151" s="569"/>
      <c r="H151" s="569"/>
      <c r="I151" s="569"/>
      <c r="J151" s="131"/>
      <c r="K151" s="131"/>
      <c r="L151" s="131"/>
      <c r="M151" s="131"/>
      <c r="N151" s="131"/>
      <c r="O151" s="131"/>
      <c r="P151" s="131"/>
      <c r="Q151" s="131"/>
      <c r="R151" s="131"/>
      <c r="S151" s="131"/>
      <c r="T151" s="131"/>
      <c r="U151" s="131"/>
      <c r="V151" s="131"/>
      <c r="W151" s="131"/>
      <c r="X151" s="131"/>
      <c r="Y151" s="131"/>
      <c r="Z151" s="131"/>
    </row>
    <row r="152" spans="1:26" ht="15.75" customHeight="1">
      <c r="A152" s="210"/>
      <c r="B152" s="210"/>
      <c r="C152" s="210"/>
      <c r="D152" s="178"/>
      <c r="E152" s="569"/>
      <c r="F152" s="569"/>
      <c r="G152" s="569"/>
      <c r="H152" s="569"/>
      <c r="I152" s="569"/>
      <c r="J152" s="131"/>
      <c r="K152" s="131"/>
      <c r="L152" s="131"/>
      <c r="M152" s="131"/>
      <c r="N152" s="131"/>
      <c r="O152" s="131"/>
      <c r="P152" s="131"/>
      <c r="Q152" s="131"/>
      <c r="R152" s="131"/>
      <c r="S152" s="131"/>
      <c r="T152" s="131"/>
      <c r="U152" s="131"/>
      <c r="V152" s="131"/>
      <c r="W152" s="131"/>
      <c r="X152" s="131"/>
      <c r="Y152" s="131"/>
      <c r="Z152" s="131"/>
    </row>
    <row r="153" spans="1:26" ht="15.75" customHeight="1">
      <c r="A153" s="210"/>
      <c r="B153" s="210"/>
      <c r="C153" s="210"/>
      <c r="D153" s="178"/>
      <c r="E153" s="569"/>
      <c r="F153" s="569"/>
      <c r="G153" s="569"/>
      <c r="H153" s="569"/>
      <c r="I153" s="569"/>
      <c r="J153" s="131"/>
      <c r="K153" s="131"/>
      <c r="L153" s="131"/>
      <c r="M153" s="131"/>
      <c r="N153" s="131"/>
      <c r="O153" s="131"/>
      <c r="P153" s="131"/>
      <c r="Q153" s="131"/>
      <c r="R153" s="131"/>
      <c r="S153" s="131"/>
      <c r="T153" s="131"/>
      <c r="U153" s="131"/>
      <c r="V153" s="131"/>
      <c r="W153" s="131"/>
      <c r="X153" s="131"/>
      <c r="Y153" s="131"/>
      <c r="Z153" s="131"/>
    </row>
    <row r="154" spans="1:26" ht="15.75" customHeight="1">
      <c r="A154" s="210"/>
      <c r="B154" s="210"/>
      <c r="C154" s="210"/>
      <c r="D154" s="178"/>
      <c r="E154" s="569"/>
      <c r="F154" s="569"/>
      <c r="G154" s="569"/>
      <c r="H154" s="569"/>
      <c r="I154" s="569"/>
      <c r="J154" s="131"/>
      <c r="K154" s="131"/>
      <c r="L154" s="131"/>
      <c r="M154" s="131"/>
      <c r="N154" s="131"/>
      <c r="O154" s="131"/>
      <c r="P154" s="131"/>
      <c r="Q154" s="131"/>
      <c r="R154" s="131"/>
      <c r="S154" s="131"/>
      <c r="T154" s="131"/>
      <c r="U154" s="131"/>
      <c r="V154" s="131"/>
      <c r="W154" s="131"/>
      <c r="X154" s="131"/>
      <c r="Y154" s="131"/>
      <c r="Z154" s="131"/>
    </row>
    <row r="155" spans="1:26" ht="15.75" customHeight="1">
      <c r="A155" s="210"/>
      <c r="B155" s="210"/>
      <c r="C155" s="210"/>
      <c r="D155" s="178"/>
      <c r="E155" s="569"/>
      <c r="F155" s="569"/>
      <c r="G155" s="569"/>
      <c r="H155" s="569"/>
      <c r="I155" s="569"/>
      <c r="J155" s="131"/>
      <c r="K155" s="131"/>
      <c r="L155" s="131"/>
      <c r="M155" s="131"/>
      <c r="N155" s="131"/>
      <c r="O155" s="131"/>
      <c r="P155" s="131"/>
      <c r="Q155" s="131"/>
      <c r="R155" s="131"/>
      <c r="S155" s="131"/>
      <c r="T155" s="131"/>
      <c r="U155" s="131"/>
      <c r="V155" s="131"/>
      <c r="W155" s="131"/>
      <c r="X155" s="131"/>
      <c r="Y155" s="131"/>
      <c r="Z155" s="131"/>
    </row>
    <row r="156" spans="1:26" ht="15.75" customHeight="1">
      <c r="A156" s="210"/>
      <c r="B156" s="210"/>
      <c r="C156" s="210"/>
      <c r="D156" s="178"/>
      <c r="E156" s="569"/>
      <c r="F156" s="569"/>
      <c r="G156" s="569"/>
      <c r="H156" s="569"/>
      <c r="I156" s="569"/>
      <c r="J156" s="131"/>
      <c r="K156" s="131"/>
      <c r="L156" s="131"/>
      <c r="M156" s="131"/>
      <c r="N156" s="131"/>
      <c r="O156" s="131"/>
      <c r="P156" s="131"/>
      <c r="Q156" s="131"/>
      <c r="R156" s="131"/>
      <c r="S156" s="131"/>
      <c r="T156" s="131"/>
      <c r="U156" s="131"/>
      <c r="V156" s="131"/>
      <c r="W156" s="131"/>
      <c r="X156" s="131"/>
      <c r="Y156" s="131"/>
      <c r="Z156" s="131"/>
    </row>
    <row r="157" spans="1:26" ht="15.75" customHeight="1">
      <c r="A157" s="210"/>
      <c r="B157" s="210"/>
      <c r="C157" s="210"/>
      <c r="D157" s="178"/>
      <c r="E157" s="569"/>
      <c r="F157" s="569"/>
      <c r="G157" s="569"/>
      <c r="H157" s="569"/>
      <c r="I157" s="569"/>
      <c r="J157" s="131"/>
      <c r="K157" s="131"/>
      <c r="L157" s="131"/>
      <c r="M157" s="131"/>
      <c r="N157" s="131"/>
      <c r="O157" s="131"/>
      <c r="P157" s="131"/>
      <c r="Q157" s="131"/>
      <c r="R157" s="131"/>
      <c r="S157" s="131"/>
      <c r="T157" s="131"/>
      <c r="U157" s="131"/>
      <c r="V157" s="131"/>
      <c r="W157" s="131"/>
      <c r="X157" s="131"/>
      <c r="Y157" s="131"/>
      <c r="Z157" s="131"/>
    </row>
    <row r="158" spans="1:26" ht="15.75" customHeight="1">
      <c r="A158" s="210"/>
      <c r="B158" s="210"/>
      <c r="C158" s="210"/>
      <c r="D158" s="178"/>
      <c r="E158" s="569"/>
      <c r="F158" s="569"/>
      <c r="G158" s="569"/>
      <c r="H158" s="569"/>
      <c r="I158" s="569"/>
      <c r="J158" s="131"/>
      <c r="K158" s="131"/>
      <c r="L158" s="131"/>
      <c r="M158" s="131"/>
      <c r="N158" s="131"/>
      <c r="O158" s="131"/>
      <c r="P158" s="131"/>
      <c r="Q158" s="131"/>
      <c r="R158" s="131"/>
      <c r="S158" s="131"/>
      <c r="T158" s="131"/>
      <c r="U158" s="131"/>
      <c r="V158" s="131"/>
      <c r="W158" s="131"/>
      <c r="X158" s="131"/>
      <c r="Y158" s="131"/>
      <c r="Z158" s="131"/>
    </row>
    <row r="159" spans="1:26" ht="15.75" customHeight="1">
      <c r="A159" s="210"/>
      <c r="B159" s="210"/>
      <c r="C159" s="210"/>
      <c r="D159" s="178"/>
      <c r="E159" s="569"/>
      <c r="F159" s="569"/>
      <c r="G159" s="569"/>
      <c r="H159" s="569"/>
      <c r="I159" s="569"/>
      <c r="J159" s="131"/>
      <c r="K159" s="131"/>
      <c r="L159" s="131"/>
      <c r="M159" s="131"/>
      <c r="N159" s="131"/>
      <c r="O159" s="131"/>
      <c r="P159" s="131"/>
      <c r="Q159" s="131"/>
      <c r="R159" s="131"/>
      <c r="S159" s="131"/>
      <c r="T159" s="131"/>
      <c r="U159" s="131"/>
      <c r="V159" s="131"/>
      <c r="W159" s="131"/>
      <c r="X159" s="131"/>
      <c r="Y159" s="131"/>
      <c r="Z159" s="131"/>
    </row>
    <row r="160" spans="1:26" ht="15.75" customHeight="1">
      <c r="A160" s="210"/>
      <c r="B160" s="210"/>
      <c r="C160" s="210"/>
      <c r="D160" s="178"/>
      <c r="E160" s="569"/>
      <c r="F160" s="569"/>
      <c r="G160" s="569"/>
      <c r="H160" s="569"/>
      <c r="I160" s="569"/>
      <c r="J160" s="131"/>
      <c r="K160" s="131"/>
      <c r="L160" s="131"/>
      <c r="M160" s="131"/>
      <c r="N160" s="131"/>
      <c r="O160" s="131"/>
      <c r="P160" s="131"/>
      <c r="Q160" s="131"/>
      <c r="R160" s="131"/>
      <c r="S160" s="131"/>
      <c r="T160" s="131"/>
      <c r="U160" s="131"/>
      <c r="V160" s="131"/>
      <c r="W160" s="131"/>
      <c r="X160" s="131"/>
      <c r="Y160" s="131"/>
      <c r="Z160" s="131"/>
    </row>
    <row r="161" spans="1:26" ht="15.75" customHeight="1">
      <c r="A161" s="210"/>
      <c r="B161" s="210"/>
      <c r="C161" s="210"/>
      <c r="D161" s="178"/>
      <c r="E161" s="569"/>
      <c r="F161" s="569"/>
      <c r="G161" s="569"/>
      <c r="H161" s="569"/>
      <c r="I161" s="569"/>
      <c r="J161" s="131"/>
      <c r="K161" s="131"/>
      <c r="L161" s="131"/>
      <c r="M161" s="131"/>
      <c r="N161" s="131"/>
      <c r="O161" s="131"/>
      <c r="P161" s="131"/>
      <c r="Q161" s="131"/>
      <c r="R161" s="131"/>
      <c r="S161" s="131"/>
      <c r="T161" s="131"/>
      <c r="U161" s="131"/>
      <c r="V161" s="131"/>
      <c r="W161" s="131"/>
      <c r="X161" s="131"/>
      <c r="Y161" s="131"/>
      <c r="Z161" s="131"/>
    </row>
    <row r="162" spans="1:26" ht="15.75" customHeight="1">
      <c r="A162" s="210"/>
      <c r="B162" s="210"/>
      <c r="C162" s="210"/>
      <c r="D162" s="178"/>
      <c r="E162" s="569"/>
      <c r="F162" s="569"/>
      <c r="G162" s="569"/>
      <c r="H162" s="569"/>
      <c r="I162" s="569"/>
      <c r="J162" s="131"/>
      <c r="K162" s="131"/>
      <c r="L162" s="131"/>
      <c r="M162" s="131"/>
      <c r="N162" s="131"/>
      <c r="O162" s="131"/>
      <c r="P162" s="131"/>
      <c r="Q162" s="131"/>
      <c r="R162" s="131"/>
      <c r="S162" s="131"/>
      <c r="T162" s="131"/>
      <c r="U162" s="131"/>
      <c r="V162" s="131"/>
      <c r="W162" s="131"/>
      <c r="X162" s="131"/>
      <c r="Y162" s="131"/>
      <c r="Z162" s="131"/>
    </row>
    <row r="163" spans="1:26" ht="15.75" customHeight="1">
      <c r="A163" s="210"/>
      <c r="B163" s="210"/>
      <c r="C163" s="210"/>
      <c r="D163" s="178"/>
      <c r="E163" s="569"/>
      <c r="F163" s="569"/>
      <c r="G163" s="569"/>
      <c r="H163" s="569"/>
      <c r="I163" s="569"/>
      <c r="J163" s="131"/>
      <c r="K163" s="131"/>
      <c r="L163" s="131"/>
      <c r="M163" s="131"/>
      <c r="N163" s="131"/>
      <c r="O163" s="131"/>
      <c r="P163" s="131"/>
      <c r="Q163" s="131"/>
      <c r="R163" s="131"/>
      <c r="S163" s="131"/>
      <c r="T163" s="131"/>
      <c r="U163" s="131"/>
      <c r="V163" s="131"/>
      <c r="W163" s="131"/>
      <c r="X163" s="131"/>
      <c r="Y163" s="131"/>
      <c r="Z163" s="131"/>
    </row>
    <row r="164" spans="1:26" ht="15.75" customHeight="1">
      <c r="A164" s="210"/>
      <c r="B164" s="210"/>
      <c r="C164" s="210"/>
      <c r="D164" s="178"/>
      <c r="E164" s="569"/>
      <c r="F164" s="569"/>
      <c r="G164" s="569"/>
      <c r="H164" s="569"/>
      <c r="I164" s="569"/>
      <c r="J164" s="131"/>
      <c r="K164" s="131"/>
      <c r="L164" s="131"/>
      <c r="M164" s="131"/>
      <c r="N164" s="131"/>
      <c r="O164" s="131"/>
      <c r="P164" s="131"/>
      <c r="Q164" s="131"/>
      <c r="R164" s="131"/>
      <c r="S164" s="131"/>
      <c r="T164" s="131"/>
      <c r="U164" s="131"/>
      <c r="V164" s="131"/>
      <c r="W164" s="131"/>
      <c r="X164" s="131"/>
      <c r="Y164" s="131"/>
      <c r="Z164" s="131"/>
    </row>
    <row r="165" spans="1:26" ht="15.75" customHeight="1">
      <c r="A165" s="210"/>
      <c r="B165" s="210"/>
      <c r="C165" s="210"/>
      <c r="D165" s="178"/>
      <c r="E165" s="569"/>
      <c r="F165" s="569"/>
      <c r="G165" s="569"/>
      <c r="H165" s="569"/>
      <c r="I165" s="569"/>
      <c r="J165" s="131"/>
      <c r="K165" s="131"/>
      <c r="L165" s="131"/>
      <c r="M165" s="131"/>
      <c r="N165" s="131"/>
      <c r="O165" s="131"/>
      <c r="P165" s="131"/>
      <c r="Q165" s="131"/>
      <c r="R165" s="131"/>
      <c r="S165" s="131"/>
      <c r="T165" s="131"/>
      <c r="U165" s="131"/>
      <c r="V165" s="131"/>
      <c r="W165" s="131"/>
      <c r="X165" s="131"/>
      <c r="Y165" s="131"/>
      <c r="Z165" s="131"/>
    </row>
    <row r="166" spans="1:26" ht="15.75" customHeight="1">
      <c r="A166" s="210"/>
      <c r="B166" s="210"/>
      <c r="C166" s="210"/>
      <c r="D166" s="178"/>
      <c r="E166" s="569"/>
      <c r="F166" s="569"/>
      <c r="G166" s="569"/>
      <c r="H166" s="569"/>
      <c r="I166" s="569"/>
      <c r="J166" s="131"/>
      <c r="K166" s="131"/>
      <c r="L166" s="131"/>
      <c r="M166" s="131"/>
      <c r="N166" s="131"/>
      <c r="O166" s="131"/>
      <c r="P166" s="131"/>
      <c r="Q166" s="131"/>
      <c r="R166" s="131"/>
      <c r="S166" s="131"/>
      <c r="T166" s="131"/>
      <c r="U166" s="131"/>
      <c r="V166" s="131"/>
      <c r="W166" s="131"/>
      <c r="X166" s="131"/>
      <c r="Y166" s="131"/>
      <c r="Z166" s="131"/>
    </row>
    <row r="167" spans="1:26" ht="15.75" customHeight="1">
      <c r="A167" s="210"/>
      <c r="B167" s="210"/>
      <c r="C167" s="210"/>
      <c r="D167" s="178"/>
      <c r="E167" s="569"/>
      <c r="F167" s="569"/>
      <c r="G167" s="569"/>
      <c r="H167" s="569"/>
      <c r="I167" s="569"/>
      <c r="J167" s="131"/>
      <c r="K167" s="131"/>
      <c r="L167" s="131"/>
      <c r="M167" s="131"/>
      <c r="N167" s="131"/>
      <c r="O167" s="131"/>
      <c r="P167" s="131"/>
      <c r="Q167" s="131"/>
      <c r="R167" s="131"/>
      <c r="S167" s="131"/>
      <c r="T167" s="131"/>
      <c r="U167" s="131"/>
      <c r="V167" s="131"/>
      <c r="W167" s="131"/>
      <c r="X167" s="131"/>
      <c r="Y167" s="131"/>
      <c r="Z167" s="131"/>
    </row>
    <row r="168" spans="1:26" ht="15.75" customHeight="1">
      <c r="A168" s="210"/>
      <c r="B168" s="210"/>
      <c r="C168" s="210"/>
      <c r="D168" s="178"/>
      <c r="E168" s="569"/>
      <c r="F168" s="569"/>
      <c r="G168" s="569"/>
      <c r="H168" s="569"/>
      <c r="I168" s="569"/>
      <c r="J168" s="131"/>
      <c r="K168" s="131"/>
      <c r="L168" s="131"/>
      <c r="M168" s="131"/>
      <c r="N168" s="131"/>
      <c r="O168" s="131"/>
      <c r="P168" s="131"/>
      <c r="Q168" s="131"/>
      <c r="R168" s="131"/>
      <c r="S168" s="131"/>
      <c r="T168" s="131"/>
      <c r="U168" s="131"/>
      <c r="V168" s="131"/>
      <c r="W168" s="131"/>
      <c r="X168" s="131"/>
      <c r="Y168" s="131"/>
      <c r="Z168" s="131"/>
    </row>
    <row r="169" spans="1:26" ht="15.75" customHeight="1">
      <c r="A169" s="210"/>
      <c r="B169" s="210"/>
      <c r="C169" s="210"/>
      <c r="D169" s="178"/>
      <c r="E169" s="569"/>
      <c r="F169" s="569"/>
      <c r="G169" s="569"/>
      <c r="H169" s="569"/>
      <c r="I169" s="569"/>
      <c r="J169" s="131"/>
      <c r="K169" s="131"/>
      <c r="L169" s="131"/>
      <c r="M169" s="131"/>
      <c r="N169" s="131"/>
      <c r="O169" s="131"/>
      <c r="P169" s="131"/>
      <c r="Q169" s="131"/>
      <c r="R169" s="131"/>
      <c r="S169" s="131"/>
      <c r="T169" s="131"/>
      <c r="U169" s="131"/>
      <c r="V169" s="131"/>
      <c r="W169" s="131"/>
      <c r="X169" s="131"/>
      <c r="Y169" s="131"/>
      <c r="Z169" s="131"/>
    </row>
    <row r="170" spans="1:26" ht="15.75" customHeight="1">
      <c r="A170" s="210"/>
      <c r="B170" s="210"/>
      <c r="C170" s="210"/>
      <c r="D170" s="178"/>
      <c r="E170" s="569"/>
      <c r="F170" s="569"/>
      <c r="G170" s="569"/>
      <c r="H170" s="569"/>
      <c r="I170" s="569"/>
      <c r="J170" s="131"/>
      <c r="K170" s="131"/>
      <c r="L170" s="131"/>
      <c r="M170" s="131"/>
      <c r="N170" s="131"/>
      <c r="O170" s="131"/>
      <c r="P170" s="131"/>
      <c r="Q170" s="131"/>
      <c r="R170" s="131"/>
      <c r="S170" s="131"/>
      <c r="T170" s="131"/>
      <c r="U170" s="131"/>
      <c r="V170" s="131"/>
      <c r="W170" s="131"/>
      <c r="X170" s="131"/>
      <c r="Y170" s="131"/>
      <c r="Z170" s="131"/>
    </row>
    <row r="171" spans="1:26" ht="15.75" customHeight="1">
      <c r="A171" s="210"/>
      <c r="B171" s="210"/>
      <c r="C171" s="210"/>
      <c r="D171" s="178"/>
      <c r="E171" s="569"/>
      <c r="F171" s="569"/>
      <c r="G171" s="569"/>
      <c r="H171" s="569"/>
      <c r="I171" s="569"/>
      <c r="J171" s="131"/>
      <c r="K171" s="131"/>
      <c r="L171" s="131"/>
      <c r="M171" s="131"/>
      <c r="N171" s="131"/>
      <c r="O171" s="131"/>
      <c r="P171" s="131"/>
      <c r="Q171" s="131"/>
      <c r="R171" s="131"/>
      <c r="S171" s="131"/>
      <c r="T171" s="131"/>
      <c r="U171" s="131"/>
      <c r="V171" s="131"/>
      <c r="W171" s="131"/>
      <c r="X171" s="131"/>
      <c r="Y171" s="131"/>
      <c r="Z171" s="131"/>
    </row>
    <row r="172" spans="1:26" ht="15.75" customHeight="1">
      <c r="A172" s="210"/>
      <c r="B172" s="210"/>
      <c r="C172" s="210"/>
      <c r="D172" s="178"/>
      <c r="E172" s="569"/>
      <c r="F172" s="569"/>
      <c r="G172" s="569"/>
      <c r="H172" s="569"/>
      <c r="I172" s="569"/>
      <c r="J172" s="131"/>
      <c r="K172" s="131"/>
      <c r="L172" s="131"/>
      <c r="M172" s="131"/>
      <c r="N172" s="131"/>
      <c r="O172" s="131"/>
      <c r="P172" s="131"/>
      <c r="Q172" s="131"/>
      <c r="R172" s="131"/>
      <c r="S172" s="131"/>
      <c r="T172" s="131"/>
      <c r="U172" s="131"/>
      <c r="V172" s="131"/>
      <c r="W172" s="131"/>
      <c r="X172" s="131"/>
      <c r="Y172" s="131"/>
      <c r="Z172" s="131"/>
    </row>
    <row r="173" spans="1:26" ht="15.75" customHeight="1">
      <c r="A173" s="210"/>
      <c r="B173" s="210"/>
      <c r="C173" s="210"/>
      <c r="D173" s="178"/>
      <c r="E173" s="569"/>
      <c r="F173" s="569"/>
      <c r="G173" s="569"/>
      <c r="H173" s="569"/>
      <c r="I173" s="569"/>
      <c r="J173" s="131"/>
      <c r="K173" s="131"/>
      <c r="L173" s="131"/>
      <c r="M173" s="131"/>
      <c r="N173" s="131"/>
      <c r="O173" s="131"/>
      <c r="P173" s="131"/>
      <c r="Q173" s="131"/>
      <c r="R173" s="131"/>
      <c r="S173" s="131"/>
      <c r="T173" s="131"/>
      <c r="U173" s="131"/>
      <c r="V173" s="131"/>
      <c r="W173" s="131"/>
      <c r="X173" s="131"/>
      <c r="Y173" s="131"/>
      <c r="Z173" s="131"/>
    </row>
    <row r="174" spans="1:26" ht="15.75" customHeight="1">
      <c r="A174" s="210"/>
      <c r="B174" s="210"/>
      <c r="C174" s="210"/>
      <c r="D174" s="178"/>
      <c r="E174" s="569"/>
      <c r="F174" s="569"/>
      <c r="G174" s="569"/>
      <c r="H174" s="569"/>
      <c r="I174" s="569"/>
      <c r="J174" s="131"/>
      <c r="K174" s="131"/>
      <c r="L174" s="131"/>
      <c r="M174" s="131"/>
      <c r="N174" s="131"/>
      <c r="O174" s="131"/>
      <c r="P174" s="131"/>
      <c r="Q174" s="131"/>
      <c r="R174" s="131"/>
      <c r="S174" s="131"/>
      <c r="T174" s="131"/>
      <c r="U174" s="131"/>
      <c r="V174" s="131"/>
      <c r="W174" s="131"/>
      <c r="X174" s="131"/>
      <c r="Y174" s="131"/>
      <c r="Z174" s="131"/>
    </row>
    <row r="175" spans="1:26" ht="15.75" customHeight="1">
      <c r="A175" s="210"/>
      <c r="B175" s="210"/>
      <c r="C175" s="210"/>
      <c r="D175" s="178"/>
      <c r="E175" s="569"/>
      <c r="F175" s="569"/>
      <c r="G175" s="569"/>
      <c r="H175" s="569"/>
      <c r="I175" s="569"/>
      <c r="J175" s="131"/>
      <c r="K175" s="131"/>
      <c r="L175" s="131"/>
      <c r="M175" s="131"/>
      <c r="N175" s="131"/>
      <c r="O175" s="131"/>
      <c r="P175" s="131"/>
      <c r="Q175" s="131"/>
      <c r="R175" s="131"/>
      <c r="S175" s="131"/>
      <c r="T175" s="131"/>
      <c r="U175" s="131"/>
      <c r="V175" s="131"/>
      <c r="W175" s="131"/>
      <c r="X175" s="131"/>
      <c r="Y175" s="131"/>
      <c r="Z175" s="131"/>
    </row>
    <row r="176" spans="1:26" ht="15.75" customHeight="1">
      <c r="A176" s="210"/>
      <c r="B176" s="210"/>
      <c r="C176" s="210"/>
      <c r="D176" s="178"/>
      <c r="E176" s="569"/>
      <c r="F176" s="569"/>
      <c r="G176" s="569"/>
      <c r="H176" s="569"/>
      <c r="I176" s="569"/>
      <c r="J176" s="131"/>
      <c r="K176" s="131"/>
      <c r="L176" s="131"/>
      <c r="M176" s="131"/>
      <c r="N176" s="131"/>
      <c r="O176" s="131"/>
      <c r="P176" s="131"/>
      <c r="Q176" s="131"/>
      <c r="R176" s="131"/>
      <c r="S176" s="131"/>
      <c r="T176" s="131"/>
      <c r="U176" s="131"/>
      <c r="V176" s="131"/>
      <c r="W176" s="131"/>
      <c r="X176" s="131"/>
      <c r="Y176" s="131"/>
      <c r="Z176" s="131"/>
    </row>
    <row r="177" spans="1:26" ht="15.75" customHeight="1">
      <c r="A177" s="210"/>
      <c r="B177" s="210"/>
      <c r="C177" s="210"/>
      <c r="D177" s="178"/>
      <c r="E177" s="569"/>
      <c r="F177" s="569"/>
      <c r="G177" s="569"/>
      <c r="H177" s="569"/>
      <c r="I177" s="569"/>
      <c r="J177" s="131"/>
      <c r="K177" s="131"/>
      <c r="L177" s="131"/>
      <c r="M177" s="131"/>
      <c r="N177" s="131"/>
      <c r="O177" s="131"/>
      <c r="P177" s="131"/>
      <c r="Q177" s="131"/>
      <c r="R177" s="131"/>
      <c r="S177" s="131"/>
      <c r="T177" s="131"/>
      <c r="U177" s="131"/>
      <c r="V177" s="131"/>
      <c r="W177" s="131"/>
      <c r="X177" s="131"/>
      <c r="Y177" s="131"/>
      <c r="Z177" s="131"/>
    </row>
    <row r="178" spans="1:26" ht="15.75" customHeight="1">
      <c r="A178" s="210"/>
      <c r="B178" s="210"/>
      <c r="C178" s="210"/>
      <c r="D178" s="178"/>
      <c r="E178" s="569"/>
      <c r="F178" s="569"/>
      <c r="G178" s="569"/>
      <c r="H178" s="569"/>
      <c r="I178" s="569"/>
      <c r="J178" s="131"/>
      <c r="K178" s="131"/>
      <c r="L178" s="131"/>
      <c r="M178" s="131"/>
      <c r="N178" s="131"/>
      <c r="O178" s="131"/>
      <c r="P178" s="131"/>
      <c r="Q178" s="131"/>
      <c r="R178" s="131"/>
      <c r="S178" s="131"/>
      <c r="T178" s="131"/>
      <c r="U178" s="131"/>
      <c r="V178" s="131"/>
      <c r="W178" s="131"/>
      <c r="X178" s="131"/>
      <c r="Y178" s="131"/>
      <c r="Z178" s="131"/>
    </row>
    <row r="179" spans="1:26" ht="15.75" customHeight="1">
      <c r="A179" s="210"/>
      <c r="B179" s="210"/>
      <c r="C179" s="210"/>
      <c r="D179" s="178"/>
      <c r="E179" s="569"/>
      <c r="F179" s="569"/>
      <c r="G179" s="569"/>
      <c r="H179" s="569"/>
      <c r="I179" s="569"/>
      <c r="J179" s="131"/>
      <c r="K179" s="131"/>
      <c r="L179" s="131"/>
      <c r="M179" s="131"/>
      <c r="N179" s="131"/>
      <c r="O179" s="131"/>
      <c r="P179" s="131"/>
      <c r="Q179" s="131"/>
      <c r="R179" s="131"/>
      <c r="S179" s="131"/>
      <c r="T179" s="131"/>
      <c r="U179" s="131"/>
      <c r="V179" s="131"/>
      <c r="W179" s="131"/>
      <c r="X179" s="131"/>
      <c r="Y179" s="131"/>
      <c r="Z179" s="131"/>
    </row>
    <row r="180" spans="1:26" ht="15.75" customHeight="1">
      <c r="A180" s="210"/>
      <c r="B180" s="210"/>
      <c r="C180" s="210"/>
      <c r="D180" s="178"/>
      <c r="E180" s="569"/>
      <c r="F180" s="569"/>
      <c r="G180" s="569"/>
      <c r="H180" s="569"/>
      <c r="I180" s="569"/>
      <c r="J180" s="131"/>
      <c r="K180" s="131"/>
      <c r="L180" s="131"/>
      <c r="M180" s="131"/>
      <c r="N180" s="131"/>
      <c r="O180" s="131"/>
      <c r="P180" s="131"/>
      <c r="Q180" s="131"/>
      <c r="R180" s="131"/>
      <c r="S180" s="131"/>
      <c r="T180" s="131"/>
      <c r="U180" s="131"/>
      <c r="V180" s="131"/>
      <c r="W180" s="131"/>
      <c r="X180" s="131"/>
      <c r="Y180" s="131"/>
      <c r="Z180" s="131"/>
    </row>
    <row r="181" spans="1:26" ht="15.75" customHeight="1">
      <c r="A181" s="210"/>
      <c r="B181" s="210"/>
      <c r="C181" s="210"/>
      <c r="D181" s="178"/>
      <c r="E181" s="569"/>
      <c r="F181" s="569"/>
      <c r="G181" s="569"/>
      <c r="H181" s="569"/>
      <c r="I181" s="569"/>
      <c r="J181" s="131"/>
      <c r="K181" s="131"/>
      <c r="L181" s="131"/>
      <c r="M181" s="131"/>
      <c r="N181" s="131"/>
      <c r="O181" s="131"/>
      <c r="P181" s="131"/>
      <c r="Q181" s="131"/>
      <c r="R181" s="131"/>
      <c r="S181" s="131"/>
      <c r="T181" s="131"/>
      <c r="U181" s="131"/>
      <c r="V181" s="131"/>
      <c r="W181" s="131"/>
      <c r="X181" s="131"/>
      <c r="Y181" s="131"/>
      <c r="Z181" s="131"/>
    </row>
    <row r="182" spans="1:26" ht="15.75" customHeight="1">
      <c r="A182" s="210"/>
      <c r="B182" s="210"/>
      <c r="C182" s="210"/>
      <c r="D182" s="178"/>
      <c r="E182" s="569"/>
      <c r="F182" s="569"/>
      <c r="G182" s="569"/>
      <c r="H182" s="569"/>
      <c r="I182" s="569"/>
      <c r="J182" s="131"/>
      <c r="K182" s="131"/>
      <c r="L182" s="131"/>
      <c r="M182" s="131"/>
      <c r="N182" s="131"/>
      <c r="O182" s="131"/>
      <c r="P182" s="131"/>
      <c r="Q182" s="131"/>
      <c r="R182" s="131"/>
      <c r="S182" s="131"/>
      <c r="T182" s="131"/>
      <c r="U182" s="131"/>
      <c r="V182" s="131"/>
      <c r="W182" s="131"/>
      <c r="X182" s="131"/>
      <c r="Y182" s="131"/>
      <c r="Z182" s="131"/>
    </row>
    <row r="183" spans="1:26" ht="15.75" customHeight="1">
      <c r="A183" s="210"/>
      <c r="B183" s="210"/>
      <c r="C183" s="210"/>
      <c r="D183" s="178"/>
      <c r="E183" s="569"/>
      <c r="F183" s="569"/>
      <c r="G183" s="569"/>
      <c r="H183" s="569"/>
      <c r="I183" s="569"/>
      <c r="J183" s="131"/>
      <c r="K183" s="131"/>
      <c r="L183" s="131"/>
      <c r="M183" s="131"/>
      <c r="N183" s="131"/>
      <c r="O183" s="131"/>
      <c r="P183" s="131"/>
      <c r="Q183" s="131"/>
      <c r="R183" s="131"/>
      <c r="S183" s="131"/>
      <c r="T183" s="131"/>
      <c r="U183" s="131"/>
      <c r="V183" s="131"/>
      <c r="W183" s="131"/>
      <c r="X183" s="131"/>
      <c r="Y183" s="131"/>
      <c r="Z183" s="131"/>
    </row>
    <row r="184" spans="1:26" ht="15.75" customHeight="1">
      <c r="A184" s="210"/>
      <c r="B184" s="210"/>
      <c r="C184" s="210"/>
      <c r="D184" s="178"/>
      <c r="E184" s="569"/>
      <c r="F184" s="569"/>
      <c r="G184" s="569"/>
      <c r="H184" s="569"/>
      <c r="I184" s="569"/>
      <c r="J184" s="131"/>
      <c r="K184" s="131"/>
      <c r="L184" s="131"/>
      <c r="M184" s="131"/>
      <c r="N184" s="131"/>
      <c r="O184" s="131"/>
      <c r="P184" s="131"/>
      <c r="Q184" s="131"/>
      <c r="R184" s="131"/>
      <c r="S184" s="131"/>
      <c r="T184" s="131"/>
      <c r="U184" s="131"/>
      <c r="V184" s="131"/>
      <c r="W184" s="131"/>
      <c r="X184" s="131"/>
      <c r="Y184" s="131"/>
      <c r="Z184" s="131"/>
    </row>
    <row r="185" spans="1:26" ht="15.75" customHeight="1">
      <c r="A185" s="210"/>
      <c r="B185" s="210"/>
      <c r="C185" s="210"/>
      <c r="D185" s="178"/>
      <c r="E185" s="569"/>
      <c r="F185" s="569"/>
      <c r="G185" s="569"/>
      <c r="H185" s="569"/>
      <c r="I185" s="569"/>
      <c r="J185" s="131"/>
      <c r="K185" s="131"/>
      <c r="L185" s="131"/>
      <c r="M185" s="131"/>
      <c r="N185" s="131"/>
      <c r="O185" s="131"/>
      <c r="P185" s="131"/>
      <c r="Q185" s="131"/>
      <c r="R185" s="131"/>
      <c r="S185" s="131"/>
      <c r="T185" s="131"/>
      <c r="U185" s="131"/>
      <c r="V185" s="131"/>
      <c r="W185" s="131"/>
      <c r="X185" s="131"/>
      <c r="Y185" s="131"/>
      <c r="Z185" s="131"/>
    </row>
    <row r="186" spans="1:26" ht="15.75" customHeight="1">
      <c r="A186" s="210"/>
      <c r="B186" s="210"/>
      <c r="C186" s="210"/>
      <c r="D186" s="178"/>
      <c r="E186" s="569"/>
      <c r="F186" s="569"/>
      <c r="G186" s="569"/>
      <c r="H186" s="569"/>
      <c r="I186" s="569"/>
      <c r="J186" s="131"/>
      <c r="K186" s="131"/>
      <c r="L186" s="131"/>
      <c r="M186" s="131"/>
      <c r="N186" s="131"/>
      <c r="O186" s="131"/>
      <c r="P186" s="131"/>
      <c r="Q186" s="131"/>
      <c r="R186" s="131"/>
      <c r="S186" s="131"/>
      <c r="T186" s="131"/>
      <c r="U186" s="131"/>
      <c r="V186" s="131"/>
      <c r="W186" s="131"/>
      <c r="X186" s="131"/>
      <c r="Y186" s="131"/>
      <c r="Z186" s="131"/>
    </row>
    <row r="187" spans="1:26" ht="15.75" customHeight="1">
      <c r="A187" s="210"/>
      <c r="B187" s="210"/>
      <c r="C187" s="210"/>
      <c r="D187" s="178"/>
      <c r="E187" s="569"/>
      <c r="F187" s="569"/>
      <c r="G187" s="569"/>
      <c r="H187" s="569"/>
      <c r="I187" s="569"/>
      <c r="J187" s="131"/>
      <c r="K187" s="131"/>
      <c r="L187" s="131"/>
      <c r="M187" s="131"/>
      <c r="N187" s="131"/>
      <c r="O187" s="131"/>
      <c r="P187" s="131"/>
      <c r="Q187" s="131"/>
      <c r="R187" s="131"/>
      <c r="S187" s="131"/>
      <c r="T187" s="131"/>
      <c r="U187" s="131"/>
      <c r="V187" s="131"/>
      <c r="W187" s="131"/>
      <c r="X187" s="131"/>
      <c r="Y187" s="131"/>
      <c r="Z187" s="131"/>
    </row>
    <row r="188" spans="1:26" ht="15.75" customHeight="1">
      <c r="A188" s="210"/>
      <c r="B188" s="210"/>
      <c r="C188" s="210"/>
      <c r="D188" s="178"/>
      <c r="E188" s="569"/>
      <c r="F188" s="569"/>
      <c r="G188" s="569"/>
      <c r="H188" s="569"/>
      <c r="I188" s="569"/>
      <c r="J188" s="131"/>
      <c r="K188" s="131"/>
      <c r="L188" s="131"/>
      <c r="M188" s="131"/>
      <c r="N188" s="131"/>
      <c r="O188" s="131"/>
      <c r="P188" s="131"/>
      <c r="Q188" s="131"/>
      <c r="R188" s="131"/>
      <c r="S188" s="131"/>
      <c r="T188" s="131"/>
      <c r="U188" s="131"/>
      <c r="V188" s="131"/>
      <c r="W188" s="131"/>
      <c r="X188" s="131"/>
      <c r="Y188" s="131"/>
      <c r="Z188" s="131"/>
    </row>
    <row r="189" spans="1:26" ht="15.75" customHeight="1">
      <c r="A189" s="210"/>
      <c r="B189" s="210"/>
      <c r="C189" s="210"/>
      <c r="D189" s="178"/>
      <c r="E189" s="569"/>
      <c r="F189" s="569"/>
      <c r="G189" s="569"/>
      <c r="H189" s="569"/>
      <c r="I189" s="569"/>
      <c r="J189" s="131"/>
      <c r="K189" s="131"/>
      <c r="L189" s="131"/>
      <c r="M189" s="131"/>
      <c r="N189" s="131"/>
      <c r="O189" s="131"/>
      <c r="P189" s="131"/>
      <c r="Q189" s="131"/>
      <c r="R189" s="131"/>
      <c r="S189" s="131"/>
      <c r="T189" s="131"/>
      <c r="U189" s="131"/>
      <c r="V189" s="131"/>
      <c r="W189" s="131"/>
      <c r="X189" s="131"/>
      <c r="Y189" s="131"/>
      <c r="Z189" s="131"/>
    </row>
    <row r="190" spans="1:26" ht="15.75" customHeight="1">
      <c r="A190" s="210"/>
      <c r="B190" s="210"/>
      <c r="C190" s="210"/>
      <c r="D190" s="178"/>
      <c r="E190" s="569"/>
      <c r="F190" s="569"/>
      <c r="G190" s="569"/>
      <c r="H190" s="569"/>
      <c r="I190" s="569"/>
      <c r="J190" s="131"/>
      <c r="K190" s="131"/>
      <c r="L190" s="131"/>
      <c r="M190" s="131"/>
      <c r="N190" s="131"/>
      <c r="O190" s="131"/>
      <c r="P190" s="131"/>
      <c r="Q190" s="131"/>
      <c r="R190" s="131"/>
      <c r="S190" s="131"/>
      <c r="T190" s="131"/>
      <c r="U190" s="131"/>
      <c r="V190" s="131"/>
      <c r="W190" s="131"/>
      <c r="X190" s="131"/>
      <c r="Y190" s="131"/>
      <c r="Z190" s="131"/>
    </row>
    <row r="191" spans="1:26" ht="15.75" customHeight="1">
      <c r="A191" s="210"/>
      <c r="B191" s="210"/>
      <c r="C191" s="210"/>
      <c r="D191" s="178"/>
      <c r="E191" s="569"/>
      <c r="F191" s="569"/>
      <c r="G191" s="569"/>
      <c r="H191" s="569"/>
      <c r="I191" s="569"/>
      <c r="J191" s="131"/>
      <c r="K191" s="131"/>
      <c r="L191" s="131"/>
      <c r="M191" s="131"/>
      <c r="N191" s="131"/>
      <c r="O191" s="131"/>
      <c r="P191" s="131"/>
      <c r="Q191" s="131"/>
      <c r="R191" s="131"/>
      <c r="S191" s="131"/>
      <c r="T191" s="131"/>
      <c r="U191" s="131"/>
      <c r="V191" s="131"/>
      <c r="W191" s="131"/>
      <c r="X191" s="131"/>
      <c r="Y191" s="131"/>
      <c r="Z191" s="131"/>
    </row>
    <row r="192" spans="1:26" ht="15.75" customHeight="1">
      <c r="A192" s="210"/>
      <c r="B192" s="210"/>
      <c r="C192" s="210"/>
      <c r="D192" s="178"/>
      <c r="E192" s="569"/>
      <c r="F192" s="569"/>
      <c r="G192" s="569"/>
      <c r="H192" s="569"/>
      <c r="I192" s="569"/>
      <c r="J192" s="131"/>
      <c r="K192" s="131"/>
      <c r="L192" s="131"/>
      <c r="M192" s="131"/>
      <c r="N192" s="131"/>
      <c r="O192" s="131"/>
      <c r="P192" s="131"/>
      <c r="Q192" s="131"/>
      <c r="R192" s="131"/>
      <c r="S192" s="131"/>
      <c r="T192" s="131"/>
      <c r="U192" s="131"/>
      <c r="V192" s="131"/>
      <c r="W192" s="131"/>
      <c r="X192" s="131"/>
      <c r="Y192" s="131"/>
      <c r="Z192" s="131"/>
    </row>
    <row r="193" spans="1:26" ht="15.75" customHeight="1">
      <c r="A193" s="210"/>
      <c r="B193" s="210"/>
      <c r="C193" s="210"/>
      <c r="D193" s="178"/>
      <c r="E193" s="569"/>
      <c r="F193" s="569"/>
      <c r="G193" s="569"/>
      <c r="H193" s="569"/>
      <c r="I193" s="569"/>
      <c r="J193" s="131"/>
      <c r="K193" s="131"/>
      <c r="L193" s="131"/>
      <c r="M193" s="131"/>
      <c r="N193" s="131"/>
      <c r="O193" s="131"/>
      <c r="P193" s="131"/>
      <c r="Q193" s="131"/>
      <c r="R193" s="131"/>
      <c r="S193" s="131"/>
      <c r="T193" s="131"/>
      <c r="U193" s="131"/>
      <c r="V193" s="131"/>
      <c r="W193" s="131"/>
      <c r="X193" s="131"/>
      <c r="Y193" s="131"/>
      <c r="Z193" s="131"/>
    </row>
    <row r="194" spans="1:26" ht="15.75" customHeight="1">
      <c r="A194" s="210"/>
      <c r="B194" s="210"/>
      <c r="C194" s="210"/>
      <c r="D194" s="178"/>
      <c r="E194" s="569"/>
      <c r="F194" s="569"/>
      <c r="G194" s="569"/>
      <c r="H194" s="569"/>
      <c r="I194" s="569"/>
      <c r="J194" s="131"/>
      <c r="K194" s="131"/>
      <c r="L194" s="131"/>
      <c r="M194" s="131"/>
      <c r="N194" s="131"/>
      <c r="O194" s="131"/>
      <c r="P194" s="131"/>
      <c r="Q194" s="131"/>
      <c r="R194" s="131"/>
      <c r="S194" s="131"/>
      <c r="T194" s="131"/>
      <c r="U194" s="131"/>
      <c r="V194" s="131"/>
      <c r="W194" s="131"/>
      <c r="X194" s="131"/>
      <c r="Y194" s="131"/>
      <c r="Z194" s="131"/>
    </row>
    <row r="195" spans="1:26" ht="15.75" customHeight="1">
      <c r="A195" s="210"/>
      <c r="B195" s="210"/>
      <c r="C195" s="210"/>
      <c r="D195" s="178"/>
      <c r="E195" s="569"/>
      <c r="F195" s="569"/>
      <c r="G195" s="569"/>
      <c r="H195" s="569"/>
      <c r="I195" s="569"/>
      <c r="J195" s="131"/>
      <c r="K195" s="131"/>
      <c r="L195" s="131"/>
      <c r="M195" s="131"/>
      <c r="N195" s="131"/>
      <c r="O195" s="131"/>
      <c r="P195" s="131"/>
      <c r="Q195" s="131"/>
      <c r="R195" s="131"/>
      <c r="S195" s="131"/>
      <c r="T195" s="131"/>
      <c r="U195" s="131"/>
      <c r="V195" s="131"/>
      <c r="W195" s="131"/>
      <c r="X195" s="131"/>
      <c r="Y195" s="131"/>
      <c r="Z195" s="131"/>
    </row>
    <row r="196" spans="1:26" ht="15.75" customHeight="1">
      <c r="A196" s="210"/>
      <c r="B196" s="210"/>
      <c r="C196" s="210"/>
      <c r="D196" s="178"/>
      <c r="E196" s="569"/>
      <c r="F196" s="569"/>
      <c r="G196" s="569"/>
      <c r="H196" s="569"/>
      <c r="I196" s="569"/>
      <c r="J196" s="131"/>
      <c r="K196" s="131"/>
      <c r="L196" s="131"/>
      <c r="M196" s="131"/>
      <c r="N196" s="131"/>
      <c r="O196" s="131"/>
      <c r="P196" s="131"/>
      <c r="Q196" s="131"/>
      <c r="R196" s="131"/>
      <c r="S196" s="131"/>
      <c r="T196" s="131"/>
      <c r="U196" s="131"/>
      <c r="V196" s="131"/>
      <c r="W196" s="131"/>
      <c r="X196" s="131"/>
      <c r="Y196" s="131"/>
      <c r="Z196" s="131"/>
    </row>
    <row r="197" spans="1:26" ht="15.75" customHeight="1">
      <c r="A197" s="210"/>
      <c r="B197" s="210"/>
      <c r="C197" s="210"/>
      <c r="D197" s="178"/>
      <c r="E197" s="569"/>
      <c r="F197" s="569"/>
      <c r="G197" s="569"/>
      <c r="H197" s="569"/>
      <c r="I197" s="569"/>
      <c r="J197" s="131"/>
      <c r="K197" s="131"/>
      <c r="L197" s="131"/>
      <c r="M197" s="131"/>
      <c r="N197" s="131"/>
      <c r="O197" s="131"/>
      <c r="P197" s="131"/>
      <c r="Q197" s="131"/>
      <c r="R197" s="131"/>
      <c r="S197" s="131"/>
      <c r="T197" s="131"/>
      <c r="U197" s="131"/>
      <c r="V197" s="131"/>
      <c r="W197" s="131"/>
      <c r="X197" s="131"/>
      <c r="Y197" s="131"/>
      <c r="Z197" s="131"/>
    </row>
    <row r="198" spans="1:26" ht="15.75" customHeight="1">
      <c r="A198" s="210"/>
      <c r="B198" s="210"/>
      <c r="C198" s="210"/>
      <c r="D198" s="178"/>
      <c r="E198" s="569"/>
      <c r="F198" s="569"/>
      <c r="G198" s="569"/>
      <c r="H198" s="569"/>
      <c r="I198" s="569"/>
      <c r="J198" s="131"/>
      <c r="K198" s="131"/>
      <c r="L198" s="131"/>
      <c r="M198" s="131"/>
      <c r="N198" s="131"/>
      <c r="O198" s="131"/>
      <c r="P198" s="131"/>
      <c r="Q198" s="131"/>
      <c r="R198" s="131"/>
      <c r="S198" s="131"/>
      <c r="T198" s="131"/>
      <c r="U198" s="131"/>
      <c r="V198" s="131"/>
      <c r="W198" s="131"/>
      <c r="X198" s="131"/>
      <c r="Y198" s="131"/>
      <c r="Z198" s="131"/>
    </row>
    <row r="199" spans="1:26" ht="15.75" customHeight="1">
      <c r="A199" s="210"/>
      <c r="B199" s="210"/>
      <c r="C199" s="210"/>
      <c r="D199" s="178"/>
      <c r="E199" s="569"/>
      <c r="F199" s="569"/>
      <c r="G199" s="569"/>
      <c r="H199" s="569"/>
      <c r="I199" s="569"/>
      <c r="J199" s="131"/>
      <c r="K199" s="131"/>
      <c r="L199" s="131"/>
      <c r="M199" s="131"/>
      <c r="N199" s="131"/>
      <c r="O199" s="131"/>
      <c r="P199" s="131"/>
      <c r="Q199" s="131"/>
      <c r="R199" s="131"/>
      <c r="S199" s="131"/>
      <c r="T199" s="131"/>
      <c r="U199" s="131"/>
      <c r="V199" s="131"/>
      <c r="W199" s="131"/>
      <c r="X199" s="131"/>
      <c r="Y199" s="131"/>
      <c r="Z199" s="131"/>
    </row>
    <row r="200" spans="1:26" ht="15.75" customHeight="1">
      <c r="A200" s="210"/>
      <c r="B200" s="210"/>
      <c r="C200" s="210"/>
      <c r="D200" s="178"/>
      <c r="E200" s="569"/>
      <c r="F200" s="569"/>
      <c r="G200" s="569"/>
      <c r="H200" s="569"/>
      <c r="I200" s="569"/>
      <c r="J200" s="131"/>
      <c r="K200" s="131"/>
      <c r="L200" s="131"/>
      <c r="M200" s="131"/>
      <c r="N200" s="131"/>
      <c r="O200" s="131"/>
      <c r="P200" s="131"/>
      <c r="Q200" s="131"/>
      <c r="R200" s="131"/>
      <c r="S200" s="131"/>
      <c r="T200" s="131"/>
      <c r="U200" s="131"/>
      <c r="V200" s="131"/>
      <c r="W200" s="131"/>
      <c r="X200" s="131"/>
      <c r="Y200" s="131"/>
      <c r="Z200" s="131"/>
    </row>
    <row r="201" spans="1:26" ht="15.75" customHeight="1">
      <c r="A201" s="210"/>
      <c r="B201" s="210"/>
      <c r="C201" s="210"/>
      <c r="D201" s="178"/>
      <c r="E201" s="569"/>
      <c r="F201" s="569"/>
      <c r="G201" s="569"/>
      <c r="H201" s="569"/>
      <c r="I201" s="569"/>
      <c r="J201" s="131"/>
      <c r="K201" s="131"/>
      <c r="L201" s="131"/>
      <c r="M201" s="131"/>
      <c r="N201" s="131"/>
      <c r="O201" s="131"/>
      <c r="P201" s="131"/>
      <c r="Q201" s="131"/>
      <c r="R201" s="131"/>
      <c r="S201" s="131"/>
      <c r="T201" s="131"/>
      <c r="U201" s="131"/>
      <c r="V201" s="131"/>
      <c r="W201" s="131"/>
      <c r="X201" s="131"/>
      <c r="Y201" s="131"/>
      <c r="Z201" s="131"/>
    </row>
    <row r="202" spans="1:26" ht="15.75" customHeight="1">
      <c r="A202" s="210"/>
      <c r="B202" s="210"/>
      <c r="C202" s="210"/>
      <c r="D202" s="178"/>
      <c r="E202" s="569"/>
      <c r="F202" s="569"/>
      <c r="G202" s="569"/>
      <c r="H202" s="569"/>
      <c r="I202" s="569"/>
      <c r="J202" s="131"/>
      <c r="K202" s="131"/>
      <c r="L202" s="131"/>
      <c r="M202" s="131"/>
      <c r="N202" s="131"/>
      <c r="O202" s="131"/>
      <c r="P202" s="131"/>
      <c r="Q202" s="131"/>
      <c r="R202" s="131"/>
      <c r="S202" s="131"/>
      <c r="T202" s="131"/>
      <c r="U202" s="131"/>
      <c r="V202" s="131"/>
      <c r="W202" s="131"/>
      <c r="X202" s="131"/>
      <c r="Y202" s="131"/>
      <c r="Z202" s="131"/>
    </row>
    <row r="203" spans="1:26" ht="15.75" customHeight="1">
      <c r="A203" s="210"/>
      <c r="B203" s="210"/>
      <c r="C203" s="210"/>
      <c r="D203" s="178"/>
      <c r="E203" s="569"/>
      <c r="F203" s="569"/>
      <c r="G203" s="569"/>
      <c r="H203" s="569"/>
      <c r="I203" s="569"/>
      <c r="J203" s="131"/>
      <c r="K203" s="131"/>
      <c r="L203" s="131"/>
      <c r="M203" s="131"/>
      <c r="N203" s="131"/>
      <c r="O203" s="131"/>
      <c r="P203" s="131"/>
      <c r="Q203" s="131"/>
      <c r="R203" s="131"/>
      <c r="S203" s="131"/>
      <c r="T203" s="131"/>
      <c r="U203" s="131"/>
      <c r="V203" s="131"/>
      <c r="W203" s="131"/>
      <c r="X203" s="131"/>
      <c r="Y203" s="131"/>
      <c r="Z203" s="131"/>
    </row>
    <row r="204" spans="1:26" ht="15.75" customHeight="1">
      <c r="A204" s="210"/>
      <c r="B204" s="210"/>
      <c r="C204" s="210"/>
      <c r="D204" s="178"/>
      <c r="E204" s="569"/>
      <c r="F204" s="569"/>
      <c r="G204" s="569"/>
      <c r="H204" s="569"/>
      <c r="I204" s="569"/>
      <c r="J204" s="131"/>
      <c r="K204" s="131"/>
      <c r="L204" s="131"/>
      <c r="M204" s="131"/>
      <c r="N204" s="131"/>
      <c r="O204" s="131"/>
      <c r="P204" s="131"/>
      <c r="Q204" s="131"/>
      <c r="R204" s="131"/>
      <c r="S204" s="131"/>
      <c r="T204" s="131"/>
      <c r="U204" s="131"/>
      <c r="V204" s="131"/>
      <c r="W204" s="131"/>
      <c r="X204" s="131"/>
      <c r="Y204" s="131"/>
      <c r="Z204" s="131"/>
    </row>
    <row r="205" spans="1:26" ht="15.75" customHeight="1">
      <c r="A205" s="210"/>
      <c r="B205" s="210"/>
      <c r="C205" s="210"/>
      <c r="D205" s="178"/>
      <c r="E205" s="569"/>
      <c r="F205" s="569"/>
      <c r="G205" s="569"/>
      <c r="H205" s="569"/>
      <c r="I205" s="569"/>
      <c r="J205" s="131"/>
      <c r="K205" s="131"/>
      <c r="L205" s="131"/>
      <c r="M205" s="131"/>
      <c r="N205" s="131"/>
      <c r="O205" s="131"/>
      <c r="P205" s="131"/>
      <c r="Q205" s="131"/>
      <c r="R205" s="131"/>
      <c r="S205" s="131"/>
      <c r="T205" s="131"/>
      <c r="U205" s="131"/>
      <c r="V205" s="131"/>
      <c r="W205" s="131"/>
      <c r="X205" s="131"/>
      <c r="Y205" s="131"/>
      <c r="Z205" s="131"/>
    </row>
    <row r="206" spans="1:26" ht="15.75" customHeight="1">
      <c r="A206" s="210"/>
      <c r="B206" s="210"/>
      <c r="C206" s="210"/>
      <c r="D206" s="178"/>
      <c r="E206" s="569"/>
      <c r="F206" s="569"/>
      <c r="G206" s="569"/>
      <c r="H206" s="569"/>
      <c r="I206" s="569"/>
      <c r="J206" s="131"/>
      <c r="K206" s="131"/>
      <c r="L206" s="131"/>
      <c r="M206" s="131"/>
      <c r="N206" s="131"/>
      <c r="O206" s="131"/>
      <c r="P206" s="131"/>
      <c r="Q206" s="131"/>
      <c r="R206" s="131"/>
      <c r="S206" s="131"/>
      <c r="T206" s="131"/>
      <c r="U206" s="131"/>
      <c r="V206" s="131"/>
      <c r="W206" s="131"/>
      <c r="X206" s="131"/>
      <c r="Y206" s="131"/>
      <c r="Z206" s="131"/>
    </row>
    <row r="207" spans="1:26" ht="15.75" customHeight="1">
      <c r="A207" s="210"/>
      <c r="B207" s="210"/>
      <c r="C207" s="210"/>
      <c r="D207" s="178"/>
      <c r="E207" s="569"/>
      <c r="F207" s="569"/>
      <c r="G207" s="569"/>
      <c r="H207" s="569"/>
      <c r="I207" s="569"/>
      <c r="J207" s="131"/>
      <c r="K207" s="131"/>
      <c r="L207" s="131"/>
      <c r="M207" s="131"/>
      <c r="N207" s="131"/>
      <c r="O207" s="131"/>
      <c r="P207" s="131"/>
      <c r="Q207" s="131"/>
      <c r="R207" s="131"/>
      <c r="S207" s="131"/>
      <c r="T207" s="131"/>
      <c r="U207" s="131"/>
      <c r="V207" s="131"/>
      <c r="W207" s="131"/>
      <c r="X207" s="131"/>
      <c r="Y207" s="131"/>
      <c r="Z207" s="131"/>
    </row>
    <row r="208" spans="1:26" ht="15.75" customHeight="1">
      <c r="A208" s="210"/>
      <c r="B208" s="210"/>
      <c r="C208" s="210"/>
      <c r="D208" s="178"/>
      <c r="E208" s="569"/>
      <c r="F208" s="569"/>
      <c r="G208" s="569"/>
      <c r="H208" s="569"/>
      <c r="I208" s="569"/>
      <c r="J208" s="131"/>
      <c r="K208" s="131"/>
      <c r="L208" s="131"/>
      <c r="M208" s="131"/>
      <c r="N208" s="131"/>
      <c r="O208" s="131"/>
      <c r="P208" s="131"/>
      <c r="Q208" s="131"/>
      <c r="R208" s="131"/>
      <c r="S208" s="131"/>
      <c r="T208" s="131"/>
      <c r="U208" s="131"/>
      <c r="V208" s="131"/>
      <c r="W208" s="131"/>
      <c r="X208" s="131"/>
      <c r="Y208" s="131"/>
      <c r="Z208" s="131"/>
    </row>
    <row r="209" spans="1:26" ht="15.75" customHeight="1">
      <c r="A209" s="210"/>
      <c r="B209" s="210"/>
      <c r="C209" s="210"/>
      <c r="D209" s="178"/>
      <c r="E209" s="569"/>
      <c r="F209" s="569"/>
      <c r="G209" s="569"/>
      <c r="H209" s="569"/>
      <c r="I209" s="569"/>
      <c r="J209" s="131"/>
      <c r="K209" s="131"/>
      <c r="L209" s="131"/>
      <c r="M209" s="131"/>
      <c r="N209" s="131"/>
      <c r="O209" s="131"/>
      <c r="P209" s="131"/>
      <c r="Q209" s="131"/>
      <c r="R209" s="131"/>
      <c r="S209" s="131"/>
      <c r="T209" s="131"/>
      <c r="U209" s="131"/>
      <c r="V209" s="131"/>
      <c r="W209" s="131"/>
      <c r="X209" s="131"/>
      <c r="Y209" s="131"/>
      <c r="Z209" s="131"/>
    </row>
    <row r="210" spans="1:26" ht="15.75" customHeight="1">
      <c r="A210" s="210"/>
      <c r="B210" s="210"/>
      <c r="C210" s="210"/>
      <c r="D210" s="178"/>
      <c r="E210" s="569"/>
      <c r="F210" s="569"/>
      <c r="G210" s="569"/>
      <c r="H210" s="569"/>
      <c r="I210" s="569"/>
      <c r="J210" s="131"/>
      <c r="K210" s="131"/>
      <c r="L210" s="131"/>
      <c r="M210" s="131"/>
      <c r="N210" s="131"/>
      <c r="O210" s="131"/>
      <c r="P210" s="131"/>
      <c r="Q210" s="131"/>
      <c r="R210" s="131"/>
      <c r="S210" s="131"/>
      <c r="T210" s="131"/>
      <c r="U210" s="131"/>
      <c r="V210" s="131"/>
      <c r="W210" s="131"/>
      <c r="X210" s="131"/>
      <c r="Y210" s="131"/>
      <c r="Z210" s="131"/>
    </row>
    <row r="211" spans="1:26" ht="15.75" customHeight="1">
      <c r="A211" s="210"/>
      <c r="B211" s="210"/>
      <c r="C211" s="210"/>
      <c r="D211" s="178"/>
      <c r="E211" s="569"/>
      <c r="F211" s="569"/>
      <c r="G211" s="569"/>
      <c r="H211" s="569"/>
      <c r="I211" s="569"/>
      <c r="J211" s="131"/>
      <c r="K211" s="131"/>
      <c r="L211" s="131"/>
      <c r="M211" s="131"/>
      <c r="N211" s="131"/>
      <c r="O211" s="131"/>
      <c r="P211" s="131"/>
      <c r="Q211" s="131"/>
      <c r="R211" s="131"/>
      <c r="S211" s="131"/>
      <c r="T211" s="131"/>
      <c r="U211" s="131"/>
      <c r="V211" s="131"/>
      <c r="W211" s="131"/>
      <c r="X211" s="131"/>
      <c r="Y211" s="131"/>
      <c r="Z211" s="131"/>
    </row>
    <row r="212" spans="1:26" ht="15.75" customHeight="1">
      <c r="A212" s="210"/>
      <c r="B212" s="210"/>
      <c r="C212" s="210"/>
      <c r="D212" s="178"/>
      <c r="E212" s="569"/>
      <c r="F212" s="569"/>
      <c r="G212" s="569"/>
      <c r="H212" s="569"/>
      <c r="I212" s="569"/>
      <c r="J212" s="131"/>
      <c r="K212" s="131"/>
      <c r="L212" s="131"/>
      <c r="M212" s="131"/>
      <c r="N212" s="131"/>
      <c r="O212" s="131"/>
      <c r="P212" s="131"/>
      <c r="Q212" s="131"/>
      <c r="R212" s="131"/>
      <c r="S212" s="131"/>
      <c r="T212" s="131"/>
      <c r="U212" s="131"/>
      <c r="V212" s="131"/>
      <c r="W212" s="131"/>
      <c r="X212" s="131"/>
      <c r="Y212" s="131"/>
      <c r="Z212" s="131"/>
    </row>
    <row r="213" spans="1:26" ht="15.75" customHeight="1">
      <c r="A213" s="210"/>
      <c r="B213" s="210"/>
      <c r="C213" s="210"/>
      <c r="D213" s="178"/>
      <c r="E213" s="569"/>
      <c r="F213" s="569"/>
      <c r="G213" s="569"/>
      <c r="H213" s="569"/>
      <c r="I213" s="569"/>
      <c r="J213" s="131"/>
      <c r="K213" s="131"/>
      <c r="L213" s="131"/>
      <c r="M213" s="131"/>
      <c r="N213" s="131"/>
      <c r="O213" s="131"/>
      <c r="P213" s="131"/>
      <c r="Q213" s="131"/>
      <c r="R213" s="131"/>
      <c r="S213" s="131"/>
      <c r="T213" s="131"/>
      <c r="U213" s="131"/>
      <c r="V213" s="131"/>
      <c r="W213" s="131"/>
      <c r="X213" s="131"/>
      <c r="Y213" s="131"/>
      <c r="Z213" s="131"/>
    </row>
    <row r="214" spans="1:26" ht="15.75" customHeight="1">
      <c r="A214" s="210"/>
      <c r="B214" s="210"/>
      <c r="C214" s="210"/>
      <c r="D214" s="178"/>
      <c r="E214" s="569"/>
      <c r="F214" s="569"/>
      <c r="G214" s="569"/>
      <c r="H214" s="569"/>
      <c r="I214" s="569"/>
      <c r="J214" s="131"/>
      <c r="K214" s="131"/>
      <c r="L214" s="131"/>
      <c r="M214" s="131"/>
      <c r="N214" s="131"/>
      <c r="O214" s="131"/>
      <c r="P214" s="131"/>
      <c r="Q214" s="131"/>
      <c r="R214" s="131"/>
      <c r="S214" s="131"/>
      <c r="T214" s="131"/>
      <c r="U214" s="131"/>
      <c r="V214" s="131"/>
      <c r="W214" s="131"/>
      <c r="X214" s="131"/>
      <c r="Y214" s="131"/>
      <c r="Z214" s="131"/>
    </row>
    <row r="215" spans="1:26" ht="15.75" customHeight="1">
      <c r="A215" s="210"/>
      <c r="B215" s="210"/>
      <c r="C215" s="210"/>
      <c r="D215" s="178"/>
      <c r="E215" s="569"/>
      <c r="F215" s="569"/>
      <c r="G215" s="569"/>
      <c r="H215" s="569"/>
      <c r="I215" s="569"/>
      <c r="J215" s="131"/>
      <c r="K215" s="131"/>
      <c r="L215" s="131"/>
      <c r="M215" s="131"/>
      <c r="N215" s="131"/>
      <c r="O215" s="131"/>
      <c r="P215" s="131"/>
      <c r="Q215" s="131"/>
      <c r="R215" s="131"/>
      <c r="S215" s="131"/>
      <c r="T215" s="131"/>
      <c r="U215" s="131"/>
      <c r="V215" s="131"/>
      <c r="W215" s="131"/>
      <c r="X215" s="131"/>
      <c r="Y215" s="131"/>
      <c r="Z215" s="131"/>
    </row>
    <row r="216" spans="1:26" ht="15.75" customHeight="1">
      <c r="A216" s="210"/>
      <c r="B216" s="210"/>
      <c r="C216" s="210"/>
      <c r="D216" s="178"/>
      <c r="E216" s="569"/>
      <c r="F216" s="569"/>
      <c r="G216" s="569"/>
      <c r="H216" s="569"/>
      <c r="I216" s="569"/>
      <c r="J216" s="131"/>
      <c r="K216" s="131"/>
      <c r="L216" s="131"/>
      <c r="M216" s="131"/>
      <c r="N216" s="131"/>
      <c r="O216" s="131"/>
      <c r="P216" s="131"/>
      <c r="Q216" s="131"/>
      <c r="R216" s="131"/>
      <c r="S216" s="131"/>
      <c r="T216" s="131"/>
      <c r="U216" s="131"/>
      <c r="V216" s="131"/>
      <c r="W216" s="131"/>
      <c r="X216" s="131"/>
      <c r="Y216" s="131"/>
      <c r="Z216" s="131"/>
    </row>
    <row r="217" spans="1:26" ht="15.75" customHeight="1">
      <c r="A217" s="210"/>
      <c r="B217" s="210"/>
      <c r="C217" s="210"/>
      <c r="D217" s="178"/>
      <c r="E217" s="569"/>
      <c r="F217" s="569"/>
      <c r="G217" s="569"/>
      <c r="H217" s="569"/>
      <c r="I217" s="569"/>
      <c r="J217" s="131"/>
      <c r="K217" s="131"/>
      <c r="L217" s="131"/>
      <c r="M217" s="131"/>
      <c r="N217" s="131"/>
      <c r="O217" s="131"/>
      <c r="P217" s="131"/>
      <c r="Q217" s="131"/>
      <c r="R217" s="131"/>
      <c r="S217" s="131"/>
      <c r="T217" s="131"/>
      <c r="U217" s="131"/>
      <c r="V217" s="131"/>
      <c r="W217" s="131"/>
      <c r="X217" s="131"/>
      <c r="Y217" s="131"/>
      <c r="Z217" s="131"/>
    </row>
    <row r="218" spans="1:26" ht="15.75" customHeight="1">
      <c r="A218" s="210"/>
      <c r="B218" s="210"/>
      <c r="C218" s="210"/>
      <c r="D218" s="178"/>
      <c r="E218" s="569"/>
      <c r="F218" s="569"/>
      <c r="G218" s="569"/>
      <c r="H218" s="569"/>
      <c r="I218" s="569"/>
      <c r="J218" s="131"/>
      <c r="K218" s="131"/>
      <c r="L218" s="131"/>
      <c r="M218" s="131"/>
      <c r="N218" s="131"/>
      <c r="O218" s="131"/>
      <c r="P218" s="131"/>
      <c r="Q218" s="131"/>
      <c r="R218" s="131"/>
      <c r="S218" s="131"/>
      <c r="T218" s="131"/>
      <c r="U218" s="131"/>
      <c r="V218" s="131"/>
      <c r="W218" s="131"/>
      <c r="X218" s="131"/>
      <c r="Y218" s="131"/>
      <c r="Z218" s="131"/>
    </row>
    <row r="219" spans="1:26" ht="15.75" customHeight="1">
      <c r="A219" s="210"/>
      <c r="B219" s="210"/>
      <c r="C219" s="210"/>
      <c r="D219" s="178"/>
      <c r="E219" s="569"/>
      <c r="F219" s="569"/>
      <c r="G219" s="569"/>
      <c r="H219" s="569"/>
      <c r="I219" s="569"/>
      <c r="J219" s="131"/>
      <c r="K219" s="131"/>
      <c r="L219" s="131"/>
      <c r="M219" s="131"/>
      <c r="N219" s="131"/>
      <c r="O219" s="131"/>
      <c r="P219" s="131"/>
      <c r="Q219" s="131"/>
      <c r="R219" s="131"/>
      <c r="S219" s="131"/>
      <c r="T219" s="131"/>
      <c r="U219" s="131"/>
      <c r="V219" s="131"/>
      <c r="W219" s="131"/>
      <c r="X219" s="131"/>
      <c r="Y219" s="131"/>
      <c r="Z219" s="131"/>
    </row>
    <row r="220" spans="1:26" ht="15.75" customHeight="1">
      <c r="A220" s="210"/>
      <c r="B220" s="210"/>
      <c r="C220" s="210"/>
      <c r="D220" s="178"/>
      <c r="E220" s="569"/>
      <c r="F220" s="569"/>
      <c r="G220" s="569"/>
      <c r="H220" s="569"/>
      <c r="I220" s="569"/>
      <c r="J220" s="131"/>
      <c r="K220" s="131"/>
      <c r="L220" s="131"/>
      <c r="M220" s="131"/>
      <c r="N220" s="131"/>
      <c r="O220" s="131"/>
      <c r="P220" s="131"/>
      <c r="Q220" s="131"/>
      <c r="R220" s="131"/>
      <c r="S220" s="131"/>
      <c r="T220" s="131"/>
      <c r="U220" s="131"/>
      <c r="V220" s="131"/>
      <c r="W220" s="131"/>
      <c r="X220" s="131"/>
      <c r="Y220" s="131"/>
      <c r="Z220" s="131"/>
    </row>
    <row r="221" spans="1:26" ht="15.75" customHeight="1">
      <c r="A221" s="210"/>
      <c r="B221" s="210"/>
      <c r="C221" s="210"/>
      <c r="D221" s="178"/>
      <c r="E221" s="569"/>
      <c r="F221" s="569"/>
      <c r="G221" s="569"/>
      <c r="H221" s="569"/>
      <c r="I221" s="569"/>
      <c r="J221" s="131"/>
      <c r="K221" s="131"/>
      <c r="L221" s="131"/>
      <c r="M221" s="131"/>
      <c r="N221" s="131"/>
      <c r="O221" s="131"/>
      <c r="P221" s="131"/>
      <c r="Q221" s="131"/>
      <c r="R221" s="131"/>
      <c r="S221" s="131"/>
      <c r="T221" s="131"/>
      <c r="U221" s="131"/>
      <c r="V221" s="131"/>
      <c r="W221" s="131"/>
      <c r="X221" s="131"/>
      <c r="Y221" s="131"/>
      <c r="Z221" s="131"/>
    </row>
    <row r="222" spans="1:26" ht="15.75" customHeight="1">
      <c r="A222" s="210"/>
      <c r="B222" s="210"/>
      <c r="C222" s="210"/>
      <c r="D222" s="178"/>
      <c r="E222" s="569"/>
      <c r="F222" s="569"/>
      <c r="G222" s="569"/>
      <c r="H222" s="569"/>
      <c r="I222" s="569"/>
      <c r="J222" s="131"/>
      <c r="K222" s="131"/>
      <c r="L222" s="131"/>
      <c r="M222" s="131"/>
      <c r="N222" s="131"/>
      <c r="O222" s="131"/>
      <c r="P222" s="131"/>
      <c r="Q222" s="131"/>
      <c r="R222" s="131"/>
      <c r="S222" s="131"/>
      <c r="T222" s="131"/>
      <c r="U222" s="131"/>
      <c r="V222" s="131"/>
      <c r="W222" s="131"/>
      <c r="X222" s="131"/>
      <c r="Y222" s="131"/>
      <c r="Z222" s="131"/>
    </row>
    <row r="223" spans="1:26" ht="15.75" customHeight="1">
      <c r="A223" s="210"/>
      <c r="B223" s="210"/>
      <c r="C223" s="210"/>
      <c r="D223" s="178"/>
      <c r="E223" s="569"/>
      <c r="F223" s="569"/>
      <c r="G223" s="569"/>
      <c r="H223" s="569"/>
      <c r="I223" s="569"/>
      <c r="J223" s="131"/>
      <c r="K223" s="131"/>
      <c r="L223" s="131"/>
      <c r="M223" s="131"/>
      <c r="N223" s="131"/>
      <c r="O223" s="131"/>
      <c r="P223" s="131"/>
      <c r="Q223" s="131"/>
      <c r="R223" s="131"/>
      <c r="S223" s="131"/>
      <c r="T223" s="131"/>
      <c r="U223" s="131"/>
      <c r="V223" s="131"/>
      <c r="W223" s="131"/>
      <c r="X223" s="131"/>
      <c r="Y223" s="131"/>
      <c r="Z223" s="131"/>
    </row>
    <row r="224" spans="1:26" ht="15.75" customHeight="1">
      <c r="A224" s="210"/>
      <c r="B224" s="210"/>
      <c r="C224" s="210"/>
      <c r="D224" s="178"/>
      <c r="E224" s="569"/>
      <c r="F224" s="569"/>
      <c r="G224" s="569"/>
      <c r="H224" s="569"/>
      <c r="I224" s="569"/>
      <c r="J224" s="131"/>
      <c r="K224" s="131"/>
      <c r="L224" s="131"/>
      <c r="M224" s="131"/>
      <c r="N224" s="131"/>
      <c r="O224" s="131"/>
      <c r="P224" s="131"/>
      <c r="Q224" s="131"/>
      <c r="R224" s="131"/>
      <c r="S224" s="131"/>
      <c r="T224" s="131"/>
      <c r="U224" s="131"/>
      <c r="V224" s="131"/>
      <c r="W224" s="131"/>
      <c r="X224" s="131"/>
      <c r="Y224" s="131"/>
      <c r="Z224" s="131"/>
    </row>
    <row r="225" spans="1:26" ht="15.75" customHeight="1">
      <c r="A225" s="210"/>
      <c r="B225" s="210"/>
      <c r="C225" s="210"/>
      <c r="D225" s="178"/>
      <c r="E225" s="569"/>
      <c r="F225" s="569"/>
      <c r="G225" s="569"/>
      <c r="H225" s="569"/>
      <c r="I225" s="569"/>
      <c r="J225" s="131"/>
      <c r="K225" s="131"/>
      <c r="L225" s="131"/>
      <c r="M225" s="131"/>
      <c r="N225" s="131"/>
      <c r="O225" s="131"/>
      <c r="P225" s="131"/>
      <c r="Q225" s="131"/>
      <c r="R225" s="131"/>
      <c r="S225" s="131"/>
      <c r="T225" s="131"/>
      <c r="U225" s="131"/>
      <c r="V225" s="131"/>
      <c r="W225" s="131"/>
      <c r="X225" s="131"/>
      <c r="Y225" s="131"/>
      <c r="Z225" s="131"/>
    </row>
    <row r="226" spans="1:26" ht="15.75" customHeight="1">
      <c r="A226" s="210"/>
      <c r="B226" s="210"/>
      <c r="C226" s="210"/>
      <c r="D226" s="178"/>
      <c r="E226" s="569"/>
      <c r="F226" s="569"/>
      <c r="G226" s="569"/>
      <c r="H226" s="569"/>
      <c r="I226" s="569"/>
      <c r="J226" s="131"/>
      <c r="K226" s="131"/>
      <c r="L226" s="131"/>
      <c r="M226" s="131"/>
      <c r="N226" s="131"/>
      <c r="O226" s="131"/>
      <c r="P226" s="131"/>
      <c r="Q226" s="131"/>
      <c r="R226" s="131"/>
      <c r="S226" s="131"/>
      <c r="T226" s="131"/>
      <c r="U226" s="131"/>
      <c r="V226" s="131"/>
      <c r="W226" s="131"/>
      <c r="X226" s="131"/>
      <c r="Y226" s="131"/>
      <c r="Z226" s="131"/>
    </row>
    <row r="227" spans="1:26" ht="15.75" customHeight="1">
      <c r="A227" s="210"/>
      <c r="B227" s="210"/>
      <c r="C227" s="210"/>
      <c r="D227" s="178"/>
      <c r="E227" s="569"/>
      <c r="F227" s="569"/>
      <c r="G227" s="569"/>
      <c r="H227" s="569"/>
      <c r="I227" s="569"/>
      <c r="J227" s="131"/>
      <c r="K227" s="131"/>
      <c r="L227" s="131"/>
      <c r="M227" s="131"/>
      <c r="N227" s="131"/>
      <c r="O227" s="131"/>
      <c r="P227" s="131"/>
      <c r="Q227" s="131"/>
      <c r="R227" s="131"/>
      <c r="S227" s="131"/>
      <c r="T227" s="131"/>
      <c r="U227" s="131"/>
      <c r="V227" s="131"/>
      <c r="W227" s="131"/>
      <c r="X227" s="131"/>
      <c r="Y227" s="131"/>
      <c r="Z227" s="131"/>
    </row>
    <row r="228" spans="1:26" ht="15.75" customHeight="1">
      <c r="A228" s="210"/>
      <c r="B228" s="210"/>
      <c r="C228" s="210"/>
      <c r="D228" s="178"/>
      <c r="E228" s="569"/>
      <c r="F228" s="569"/>
      <c r="G228" s="569"/>
      <c r="H228" s="569"/>
      <c r="I228" s="569"/>
      <c r="J228" s="131"/>
      <c r="K228" s="131"/>
      <c r="L228" s="131"/>
      <c r="M228" s="131"/>
      <c r="N228" s="131"/>
      <c r="O228" s="131"/>
      <c r="P228" s="131"/>
      <c r="Q228" s="131"/>
      <c r="R228" s="131"/>
      <c r="S228" s="131"/>
      <c r="T228" s="131"/>
      <c r="U228" s="131"/>
      <c r="V228" s="131"/>
      <c r="W228" s="131"/>
      <c r="X228" s="131"/>
      <c r="Y228" s="131"/>
      <c r="Z228" s="131"/>
    </row>
    <row r="229" spans="1:26" ht="15.75" customHeight="1">
      <c r="A229" s="210"/>
      <c r="B229" s="210"/>
      <c r="C229" s="210"/>
      <c r="D229" s="178"/>
      <c r="E229" s="569"/>
      <c r="F229" s="569"/>
      <c r="G229" s="569"/>
      <c r="H229" s="569"/>
      <c r="I229" s="569"/>
      <c r="J229" s="131"/>
      <c r="K229" s="131"/>
      <c r="L229" s="131"/>
      <c r="M229" s="131"/>
      <c r="N229" s="131"/>
      <c r="O229" s="131"/>
      <c r="P229" s="131"/>
      <c r="Q229" s="131"/>
      <c r="R229" s="131"/>
      <c r="S229" s="131"/>
      <c r="T229" s="131"/>
      <c r="U229" s="131"/>
      <c r="V229" s="131"/>
      <c r="W229" s="131"/>
      <c r="X229" s="131"/>
      <c r="Y229" s="131"/>
      <c r="Z229" s="131"/>
    </row>
    <row r="230" spans="1:26" ht="15.75" customHeight="1">
      <c r="A230" s="210"/>
      <c r="B230" s="210"/>
      <c r="C230" s="210"/>
      <c r="D230" s="178"/>
      <c r="E230" s="569"/>
      <c r="F230" s="569"/>
      <c r="G230" s="569"/>
      <c r="H230" s="569"/>
      <c r="I230" s="569"/>
      <c r="J230" s="131"/>
      <c r="K230" s="131"/>
      <c r="L230" s="131"/>
      <c r="M230" s="131"/>
      <c r="N230" s="131"/>
      <c r="O230" s="131"/>
      <c r="P230" s="131"/>
      <c r="Q230" s="131"/>
      <c r="R230" s="131"/>
      <c r="S230" s="131"/>
      <c r="T230" s="131"/>
      <c r="U230" s="131"/>
      <c r="V230" s="131"/>
      <c r="W230" s="131"/>
      <c r="X230" s="131"/>
      <c r="Y230" s="131"/>
      <c r="Z230" s="131"/>
    </row>
    <row r="231" spans="1:26" ht="15.75" customHeight="1">
      <c r="A231" s="210"/>
      <c r="B231" s="210"/>
      <c r="C231" s="210"/>
      <c r="D231" s="178"/>
      <c r="E231" s="569"/>
      <c r="F231" s="569"/>
      <c r="G231" s="569"/>
      <c r="H231" s="569"/>
      <c r="I231" s="569"/>
      <c r="J231" s="131"/>
      <c r="K231" s="131"/>
      <c r="L231" s="131"/>
      <c r="M231" s="131"/>
      <c r="N231" s="131"/>
      <c r="O231" s="131"/>
      <c r="P231" s="131"/>
      <c r="Q231" s="131"/>
      <c r="R231" s="131"/>
      <c r="S231" s="131"/>
      <c r="T231" s="131"/>
      <c r="U231" s="131"/>
      <c r="V231" s="131"/>
      <c r="W231" s="131"/>
      <c r="X231" s="131"/>
      <c r="Y231" s="131"/>
      <c r="Z231" s="131"/>
    </row>
    <row r="232" spans="1:26" ht="15.75" customHeight="1">
      <c r="A232" s="210"/>
      <c r="B232" s="210"/>
      <c r="C232" s="210"/>
      <c r="D232" s="178"/>
      <c r="E232" s="569"/>
      <c r="F232" s="569"/>
      <c r="G232" s="569"/>
      <c r="H232" s="569"/>
      <c r="I232" s="569"/>
      <c r="J232" s="131"/>
      <c r="K232" s="131"/>
      <c r="L232" s="131"/>
      <c r="M232" s="131"/>
      <c r="N232" s="131"/>
      <c r="O232" s="131"/>
      <c r="P232" s="131"/>
      <c r="Q232" s="131"/>
      <c r="R232" s="131"/>
      <c r="S232" s="131"/>
      <c r="T232" s="131"/>
      <c r="U232" s="131"/>
      <c r="V232" s="131"/>
      <c r="W232" s="131"/>
      <c r="X232" s="131"/>
      <c r="Y232" s="131"/>
      <c r="Z232" s="131"/>
    </row>
    <row r="233" spans="1:26" ht="15.75" customHeight="1">
      <c r="A233" s="210"/>
      <c r="B233" s="210"/>
      <c r="C233" s="210"/>
      <c r="D233" s="178"/>
      <c r="E233" s="569"/>
      <c r="F233" s="569"/>
      <c r="G233" s="569"/>
      <c r="H233" s="569"/>
      <c r="I233" s="569"/>
      <c r="J233" s="131"/>
      <c r="K233" s="131"/>
      <c r="L233" s="131"/>
      <c r="M233" s="131"/>
      <c r="N233" s="131"/>
      <c r="O233" s="131"/>
      <c r="P233" s="131"/>
      <c r="Q233" s="131"/>
      <c r="R233" s="131"/>
      <c r="S233" s="131"/>
      <c r="T233" s="131"/>
      <c r="U233" s="131"/>
      <c r="V233" s="131"/>
      <c r="W233" s="131"/>
      <c r="X233" s="131"/>
      <c r="Y233" s="131"/>
      <c r="Z233" s="131"/>
    </row>
    <row r="234" spans="1:26" ht="15.75" customHeight="1">
      <c r="A234" s="210"/>
      <c r="B234" s="210"/>
      <c r="C234" s="210"/>
      <c r="D234" s="178"/>
      <c r="E234" s="569"/>
      <c r="F234" s="569"/>
      <c r="G234" s="569"/>
      <c r="H234" s="569"/>
      <c r="I234" s="569"/>
      <c r="J234" s="131"/>
      <c r="K234" s="131"/>
      <c r="L234" s="131"/>
      <c r="M234" s="131"/>
      <c r="N234" s="131"/>
      <c r="O234" s="131"/>
      <c r="P234" s="131"/>
      <c r="Q234" s="131"/>
      <c r="R234" s="131"/>
      <c r="S234" s="131"/>
      <c r="T234" s="131"/>
      <c r="U234" s="131"/>
      <c r="V234" s="131"/>
      <c r="W234" s="131"/>
      <c r="X234" s="131"/>
      <c r="Y234" s="131"/>
      <c r="Z234" s="131"/>
    </row>
    <row r="235" spans="1:26" ht="15.75" customHeight="1">
      <c r="A235" s="210"/>
      <c r="B235" s="210"/>
      <c r="C235" s="210"/>
      <c r="D235" s="178"/>
      <c r="E235" s="569"/>
      <c r="F235" s="569"/>
      <c r="G235" s="569"/>
      <c r="H235" s="569"/>
      <c r="I235" s="569"/>
      <c r="J235" s="131"/>
      <c r="K235" s="131"/>
      <c r="L235" s="131"/>
      <c r="M235" s="131"/>
      <c r="N235" s="131"/>
      <c r="O235" s="131"/>
      <c r="P235" s="131"/>
      <c r="Q235" s="131"/>
      <c r="R235" s="131"/>
      <c r="S235" s="131"/>
      <c r="T235" s="131"/>
      <c r="U235" s="131"/>
      <c r="V235" s="131"/>
      <c r="W235" s="131"/>
      <c r="X235" s="131"/>
      <c r="Y235" s="131"/>
      <c r="Z235" s="131"/>
    </row>
    <row r="236" spans="1:26" ht="15.75" customHeight="1">
      <c r="A236" s="210"/>
      <c r="B236" s="210"/>
      <c r="C236" s="210"/>
      <c r="D236" s="178"/>
      <c r="E236" s="569"/>
      <c r="F236" s="569"/>
      <c r="G236" s="569"/>
      <c r="H236" s="569"/>
      <c r="I236" s="569"/>
      <c r="J236" s="131"/>
      <c r="K236" s="131"/>
      <c r="L236" s="131"/>
      <c r="M236" s="131"/>
      <c r="N236" s="131"/>
      <c r="O236" s="131"/>
      <c r="P236" s="131"/>
      <c r="Q236" s="131"/>
      <c r="R236" s="131"/>
      <c r="S236" s="131"/>
      <c r="T236" s="131"/>
      <c r="U236" s="131"/>
      <c r="V236" s="131"/>
      <c r="W236" s="131"/>
      <c r="X236" s="131"/>
      <c r="Y236" s="131"/>
      <c r="Z236" s="131"/>
    </row>
    <row r="237" spans="1:26" ht="15.75" customHeight="1">
      <c r="A237" s="210"/>
      <c r="B237" s="210"/>
      <c r="C237" s="210"/>
      <c r="D237" s="178"/>
      <c r="E237" s="569"/>
      <c r="F237" s="569"/>
      <c r="G237" s="569"/>
      <c r="H237" s="569"/>
      <c r="I237" s="569"/>
      <c r="J237" s="131"/>
      <c r="K237" s="131"/>
      <c r="L237" s="131"/>
      <c r="M237" s="131"/>
      <c r="N237" s="131"/>
      <c r="O237" s="131"/>
      <c r="P237" s="131"/>
      <c r="Q237" s="131"/>
      <c r="R237" s="131"/>
      <c r="S237" s="131"/>
      <c r="T237" s="131"/>
      <c r="U237" s="131"/>
      <c r="V237" s="131"/>
      <c r="W237" s="131"/>
      <c r="X237" s="131"/>
      <c r="Y237" s="131"/>
      <c r="Z237" s="131"/>
    </row>
    <row r="238" spans="1:26" ht="15.75" customHeight="1">
      <c r="A238" s="210"/>
      <c r="B238" s="210"/>
      <c r="C238" s="210"/>
      <c r="D238" s="178"/>
      <c r="E238" s="569"/>
      <c r="F238" s="569"/>
      <c r="G238" s="569"/>
      <c r="H238" s="569"/>
      <c r="I238" s="569"/>
      <c r="J238" s="131"/>
      <c r="K238" s="131"/>
      <c r="L238" s="131"/>
      <c r="M238" s="131"/>
      <c r="N238" s="131"/>
      <c r="O238" s="131"/>
      <c r="P238" s="131"/>
      <c r="Q238" s="131"/>
      <c r="R238" s="131"/>
      <c r="S238" s="131"/>
      <c r="T238" s="131"/>
      <c r="U238" s="131"/>
      <c r="V238" s="131"/>
      <c r="W238" s="131"/>
      <c r="X238" s="131"/>
      <c r="Y238" s="131"/>
      <c r="Z238" s="131"/>
    </row>
    <row r="239" spans="1:26" ht="15.75" customHeight="1">
      <c r="A239" s="210"/>
      <c r="B239" s="210"/>
      <c r="C239" s="210"/>
      <c r="D239" s="178"/>
      <c r="E239" s="569"/>
      <c r="F239" s="569"/>
      <c r="G239" s="569"/>
      <c r="H239" s="569"/>
      <c r="I239" s="569"/>
      <c r="J239" s="131"/>
      <c r="K239" s="131"/>
      <c r="L239" s="131"/>
      <c r="M239" s="131"/>
      <c r="N239" s="131"/>
      <c r="O239" s="131"/>
      <c r="P239" s="131"/>
      <c r="Q239" s="131"/>
      <c r="R239" s="131"/>
      <c r="S239" s="131"/>
      <c r="T239" s="131"/>
      <c r="U239" s="131"/>
      <c r="V239" s="131"/>
      <c r="W239" s="131"/>
      <c r="X239" s="131"/>
      <c r="Y239" s="131"/>
      <c r="Z239" s="131"/>
    </row>
    <row r="240" spans="1:26" ht="15.75" customHeight="1">
      <c r="A240" s="210"/>
      <c r="B240" s="210"/>
      <c r="C240" s="210"/>
      <c r="D240" s="178"/>
      <c r="E240" s="569"/>
      <c r="F240" s="569"/>
      <c r="G240" s="569"/>
      <c r="H240" s="569"/>
      <c r="I240" s="569"/>
      <c r="J240" s="131"/>
      <c r="K240" s="131"/>
      <c r="L240" s="131"/>
      <c r="M240" s="131"/>
      <c r="N240" s="131"/>
      <c r="O240" s="131"/>
      <c r="P240" s="131"/>
      <c r="Q240" s="131"/>
      <c r="R240" s="131"/>
      <c r="S240" s="131"/>
      <c r="T240" s="131"/>
      <c r="U240" s="131"/>
      <c r="V240" s="131"/>
      <c r="W240" s="131"/>
      <c r="X240" s="131"/>
      <c r="Y240" s="131"/>
      <c r="Z240" s="131"/>
    </row>
    <row r="241" spans="1:26" ht="15.75" customHeight="1">
      <c r="A241" s="210"/>
      <c r="B241" s="210"/>
      <c r="C241" s="210"/>
      <c r="D241" s="178"/>
      <c r="E241" s="569"/>
      <c r="F241" s="569"/>
      <c r="G241" s="569"/>
      <c r="H241" s="569"/>
      <c r="I241" s="569"/>
      <c r="J241" s="131"/>
      <c r="K241" s="131"/>
      <c r="L241" s="131"/>
      <c r="M241" s="131"/>
      <c r="N241" s="131"/>
      <c r="O241" s="131"/>
      <c r="P241" s="131"/>
      <c r="Q241" s="131"/>
      <c r="R241" s="131"/>
      <c r="S241" s="131"/>
      <c r="T241" s="131"/>
      <c r="U241" s="131"/>
      <c r="V241" s="131"/>
      <c r="W241" s="131"/>
      <c r="X241" s="131"/>
      <c r="Y241" s="131"/>
      <c r="Z241" s="131"/>
    </row>
    <row r="242" spans="1:26" ht="15.75" customHeight="1">
      <c r="A242" s="210"/>
      <c r="B242" s="210"/>
      <c r="C242" s="210"/>
      <c r="D242" s="178"/>
      <c r="E242" s="569"/>
      <c r="F242" s="569"/>
      <c r="G242" s="569"/>
      <c r="H242" s="569"/>
      <c r="I242" s="569"/>
      <c r="J242" s="131"/>
      <c r="K242" s="131"/>
      <c r="L242" s="131"/>
      <c r="M242" s="131"/>
      <c r="N242" s="131"/>
      <c r="O242" s="131"/>
      <c r="P242" s="131"/>
      <c r="Q242" s="131"/>
      <c r="R242" s="131"/>
      <c r="S242" s="131"/>
      <c r="T242" s="131"/>
      <c r="U242" s="131"/>
      <c r="V242" s="131"/>
      <c r="W242" s="131"/>
      <c r="X242" s="131"/>
      <c r="Y242" s="131"/>
      <c r="Z242" s="131"/>
    </row>
    <row r="243" spans="1:26" ht="15.75" customHeight="1">
      <c r="A243" s="210"/>
      <c r="B243" s="210"/>
      <c r="C243" s="210"/>
      <c r="D243" s="178"/>
      <c r="E243" s="569"/>
      <c r="F243" s="569"/>
      <c r="G243" s="569"/>
      <c r="H243" s="569"/>
      <c r="I243" s="569"/>
      <c r="J243" s="131"/>
      <c r="K243" s="131"/>
      <c r="L243" s="131"/>
      <c r="M243" s="131"/>
      <c r="N243" s="131"/>
      <c r="O243" s="131"/>
      <c r="P243" s="131"/>
      <c r="Q243" s="131"/>
      <c r="R243" s="131"/>
      <c r="S243" s="131"/>
      <c r="T243" s="131"/>
      <c r="U243" s="131"/>
      <c r="V243" s="131"/>
      <c r="W243" s="131"/>
      <c r="X243" s="131"/>
      <c r="Y243" s="131"/>
      <c r="Z243" s="131"/>
    </row>
    <row r="244" spans="1:26" ht="15.75" customHeight="1">
      <c r="A244" s="210"/>
      <c r="B244" s="210"/>
      <c r="C244" s="210"/>
      <c r="D244" s="178"/>
      <c r="E244" s="569"/>
      <c r="F244" s="569"/>
      <c r="G244" s="569"/>
      <c r="H244" s="569"/>
      <c r="I244" s="569"/>
      <c r="J244" s="131"/>
      <c r="K244" s="131"/>
      <c r="L244" s="131"/>
      <c r="M244" s="131"/>
      <c r="N244" s="131"/>
      <c r="O244" s="131"/>
      <c r="P244" s="131"/>
      <c r="Q244" s="131"/>
      <c r="R244" s="131"/>
      <c r="S244" s="131"/>
      <c r="T244" s="131"/>
      <c r="U244" s="131"/>
      <c r="V244" s="131"/>
      <c r="W244" s="131"/>
      <c r="X244" s="131"/>
      <c r="Y244" s="131"/>
      <c r="Z244" s="131"/>
    </row>
    <row r="245" spans="1:26" ht="15.75" customHeight="1">
      <c r="A245" s="210"/>
      <c r="B245" s="210"/>
      <c r="C245" s="210"/>
      <c r="D245" s="178"/>
      <c r="E245" s="569"/>
      <c r="F245" s="569"/>
      <c r="G245" s="569"/>
      <c r="H245" s="569"/>
      <c r="I245" s="569"/>
      <c r="J245" s="131"/>
      <c r="K245" s="131"/>
      <c r="L245" s="131"/>
      <c r="M245" s="131"/>
      <c r="N245" s="131"/>
      <c r="O245" s="131"/>
      <c r="P245" s="131"/>
      <c r="Q245" s="131"/>
      <c r="R245" s="131"/>
      <c r="S245" s="131"/>
      <c r="T245" s="131"/>
      <c r="U245" s="131"/>
      <c r="V245" s="131"/>
      <c r="W245" s="131"/>
      <c r="X245" s="131"/>
      <c r="Y245" s="131"/>
      <c r="Z245" s="131"/>
    </row>
    <row r="246" spans="1:26" ht="15.75" customHeight="1">
      <c r="A246" s="210"/>
      <c r="B246" s="210"/>
      <c r="C246" s="210"/>
      <c r="D246" s="178"/>
      <c r="E246" s="569"/>
      <c r="F246" s="569"/>
      <c r="G246" s="569"/>
      <c r="H246" s="569"/>
      <c r="I246" s="569"/>
      <c r="J246" s="131"/>
      <c r="K246" s="131"/>
      <c r="L246" s="131"/>
      <c r="M246" s="131"/>
      <c r="N246" s="131"/>
      <c r="O246" s="131"/>
      <c r="P246" s="131"/>
      <c r="Q246" s="131"/>
      <c r="R246" s="131"/>
      <c r="S246" s="131"/>
      <c r="T246" s="131"/>
      <c r="U246" s="131"/>
      <c r="V246" s="131"/>
      <c r="W246" s="131"/>
      <c r="X246" s="131"/>
      <c r="Y246" s="131"/>
      <c r="Z246" s="131"/>
    </row>
    <row r="247" spans="1:26" ht="15.75" customHeight="1">
      <c r="A247" s="210"/>
      <c r="B247" s="210"/>
      <c r="C247" s="210"/>
      <c r="D247" s="178"/>
      <c r="E247" s="569"/>
      <c r="F247" s="569"/>
      <c r="G247" s="569"/>
      <c r="H247" s="569"/>
      <c r="I247" s="569"/>
      <c r="J247" s="131"/>
      <c r="K247" s="131"/>
      <c r="L247" s="131"/>
      <c r="M247" s="131"/>
      <c r="N247" s="131"/>
      <c r="O247" s="131"/>
      <c r="P247" s="131"/>
      <c r="Q247" s="131"/>
      <c r="R247" s="131"/>
      <c r="S247" s="131"/>
      <c r="T247" s="131"/>
      <c r="U247" s="131"/>
      <c r="V247" s="131"/>
      <c r="W247" s="131"/>
      <c r="X247" s="131"/>
      <c r="Y247" s="131"/>
      <c r="Z247" s="131"/>
    </row>
    <row r="248" spans="1:26" ht="15.75" customHeight="1">
      <c r="A248" s="210"/>
      <c r="B248" s="210"/>
      <c r="C248" s="210"/>
      <c r="D248" s="178"/>
      <c r="E248" s="569"/>
      <c r="F248" s="569"/>
      <c r="G248" s="569"/>
      <c r="H248" s="569"/>
      <c r="I248" s="569"/>
      <c r="J248" s="131"/>
      <c r="K248" s="131"/>
      <c r="L248" s="131"/>
      <c r="M248" s="131"/>
      <c r="N248" s="131"/>
      <c r="O248" s="131"/>
      <c r="P248" s="131"/>
      <c r="Q248" s="131"/>
      <c r="R248" s="131"/>
      <c r="S248" s="131"/>
      <c r="T248" s="131"/>
      <c r="U248" s="131"/>
      <c r="V248" s="131"/>
      <c r="W248" s="131"/>
      <c r="X248" s="131"/>
      <c r="Y248" s="131"/>
      <c r="Z248" s="131"/>
    </row>
    <row r="249" spans="1:26" ht="15.75" customHeight="1">
      <c r="A249" s="210"/>
      <c r="B249" s="210"/>
      <c r="C249" s="210"/>
      <c r="D249" s="178"/>
      <c r="E249" s="569"/>
      <c r="F249" s="569"/>
      <c r="G249" s="569"/>
      <c r="H249" s="569"/>
      <c r="I249" s="569"/>
      <c r="J249" s="131"/>
      <c r="K249" s="131"/>
      <c r="L249" s="131"/>
      <c r="M249" s="131"/>
      <c r="N249" s="131"/>
      <c r="O249" s="131"/>
      <c r="P249" s="131"/>
      <c r="Q249" s="131"/>
      <c r="R249" s="131"/>
      <c r="S249" s="131"/>
      <c r="T249" s="131"/>
      <c r="U249" s="131"/>
      <c r="V249" s="131"/>
      <c r="W249" s="131"/>
      <c r="X249" s="131"/>
      <c r="Y249" s="131"/>
      <c r="Z249" s="131"/>
    </row>
    <row r="250" spans="1:26" ht="15.75" customHeight="1">
      <c r="A250" s="210"/>
      <c r="B250" s="210"/>
      <c r="C250" s="210"/>
      <c r="D250" s="178"/>
      <c r="E250" s="569"/>
      <c r="F250" s="569"/>
      <c r="G250" s="569"/>
      <c r="H250" s="569"/>
      <c r="I250" s="569"/>
      <c r="J250" s="131"/>
      <c r="K250" s="131"/>
      <c r="L250" s="131"/>
      <c r="M250" s="131"/>
      <c r="N250" s="131"/>
      <c r="O250" s="131"/>
      <c r="P250" s="131"/>
      <c r="Q250" s="131"/>
      <c r="R250" s="131"/>
      <c r="S250" s="131"/>
      <c r="T250" s="131"/>
      <c r="U250" s="131"/>
      <c r="V250" s="131"/>
      <c r="W250" s="131"/>
      <c r="X250" s="131"/>
      <c r="Y250" s="131"/>
      <c r="Z250" s="131"/>
    </row>
    <row r="251" spans="1:26" ht="15.75" customHeight="1">
      <c r="A251" s="210"/>
      <c r="B251" s="210"/>
      <c r="C251" s="210"/>
      <c r="D251" s="178"/>
      <c r="E251" s="569"/>
      <c r="F251" s="569"/>
      <c r="G251" s="569"/>
      <c r="H251" s="569"/>
      <c r="I251" s="569"/>
      <c r="J251" s="131"/>
      <c r="K251" s="131"/>
      <c r="L251" s="131"/>
      <c r="M251" s="131"/>
      <c r="N251" s="131"/>
      <c r="O251" s="131"/>
      <c r="P251" s="131"/>
      <c r="Q251" s="131"/>
      <c r="R251" s="131"/>
      <c r="S251" s="131"/>
      <c r="T251" s="131"/>
      <c r="U251" s="131"/>
      <c r="V251" s="131"/>
      <c r="W251" s="131"/>
      <c r="X251" s="131"/>
      <c r="Y251" s="131"/>
      <c r="Z251" s="131"/>
    </row>
    <row r="252" spans="1:26" ht="15.75" customHeight="1">
      <c r="A252" s="210"/>
      <c r="B252" s="210"/>
      <c r="C252" s="210"/>
      <c r="D252" s="178"/>
      <c r="E252" s="569"/>
      <c r="F252" s="569"/>
      <c r="G252" s="569"/>
      <c r="H252" s="569"/>
      <c r="I252" s="569"/>
      <c r="J252" s="131"/>
      <c r="K252" s="131"/>
      <c r="L252" s="131"/>
      <c r="M252" s="131"/>
      <c r="N252" s="131"/>
      <c r="O252" s="131"/>
      <c r="P252" s="131"/>
      <c r="Q252" s="131"/>
      <c r="R252" s="131"/>
      <c r="S252" s="131"/>
      <c r="T252" s="131"/>
      <c r="U252" s="131"/>
      <c r="V252" s="131"/>
      <c r="W252" s="131"/>
      <c r="X252" s="131"/>
      <c r="Y252" s="131"/>
      <c r="Z252" s="131"/>
    </row>
    <row r="253" spans="1:26" ht="15.75" customHeight="1">
      <c r="A253" s="210"/>
      <c r="B253" s="210"/>
      <c r="C253" s="210"/>
      <c r="D253" s="178"/>
      <c r="E253" s="569"/>
      <c r="F253" s="569"/>
      <c r="G253" s="569"/>
      <c r="H253" s="569"/>
      <c r="I253" s="569"/>
      <c r="J253" s="131"/>
      <c r="K253" s="131"/>
      <c r="L253" s="131"/>
      <c r="M253" s="131"/>
      <c r="N253" s="131"/>
      <c r="O253" s="131"/>
      <c r="P253" s="131"/>
      <c r="Q253" s="131"/>
      <c r="R253" s="131"/>
      <c r="S253" s="131"/>
      <c r="T253" s="131"/>
      <c r="U253" s="131"/>
      <c r="V253" s="131"/>
      <c r="W253" s="131"/>
      <c r="X253" s="131"/>
      <c r="Y253" s="131"/>
      <c r="Z253" s="131"/>
    </row>
    <row r="254" spans="1:26" ht="15.75" customHeight="1">
      <c r="A254" s="210"/>
      <c r="B254" s="210"/>
      <c r="C254" s="210"/>
      <c r="D254" s="178"/>
      <c r="E254" s="569"/>
      <c r="F254" s="569"/>
      <c r="G254" s="569"/>
      <c r="H254" s="569"/>
      <c r="I254" s="569"/>
      <c r="J254" s="131"/>
      <c r="K254" s="131"/>
      <c r="L254" s="131"/>
      <c r="M254" s="131"/>
      <c r="N254" s="131"/>
      <c r="O254" s="131"/>
      <c r="P254" s="131"/>
      <c r="Q254" s="131"/>
      <c r="R254" s="131"/>
      <c r="S254" s="131"/>
      <c r="T254" s="131"/>
      <c r="U254" s="131"/>
      <c r="V254" s="131"/>
      <c r="W254" s="131"/>
      <c r="X254" s="131"/>
      <c r="Y254" s="131"/>
      <c r="Z254" s="131"/>
    </row>
    <row r="255" spans="1:26" ht="15.75" customHeight="1">
      <c r="A255" s="210"/>
      <c r="B255" s="210"/>
      <c r="C255" s="210"/>
      <c r="D255" s="178"/>
      <c r="E255" s="569"/>
      <c r="F255" s="569"/>
      <c r="G255" s="569"/>
      <c r="H255" s="569"/>
      <c r="I255" s="569"/>
      <c r="J255" s="131"/>
      <c r="K255" s="131"/>
      <c r="L255" s="131"/>
      <c r="M255" s="131"/>
      <c r="N255" s="131"/>
      <c r="O255" s="131"/>
      <c r="P255" s="131"/>
      <c r="Q255" s="131"/>
      <c r="R255" s="131"/>
      <c r="S255" s="131"/>
      <c r="T255" s="131"/>
      <c r="U255" s="131"/>
      <c r="V255" s="131"/>
      <c r="W255" s="131"/>
      <c r="X255" s="131"/>
      <c r="Y255" s="131"/>
      <c r="Z255" s="131"/>
    </row>
    <row r="256" spans="1:26" ht="15.75" customHeight="1">
      <c r="A256" s="210"/>
      <c r="B256" s="210"/>
      <c r="C256" s="210"/>
      <c r="D256" s="178"/>
      <c r="E256" s="569"/>
      <c r="F256" s="569"/>
      <c r="G256" s="569"/>
      <c r="H256" s="569"/>
      <c r="I256" s="569"/>
      <c r="J256" s="131"/>
      <c r="K256" s="131"/>
      <c r="L256" s="131"/>
      <c r="M256" s="131"/>
      <c r="N256" s="131"/>
      <c r="O256" s="131"/>
      <c r="P256" s="131"/>
      <c r="Q256" s="131"/>
      <c r="R256" s="131"/>
      <c r="S256" s="131"/>
      <c r="T256" s="131"/>
      <c r="U256" s="131"/>
      <c r="V256" s="131"/>
      <c r="W256" s="131"/>
      <c r="X256" s="131"/>
      <c r="Y256" s="131"/>
      <c r="Z256" s="131"/>
    </row>
    <row r="257" spans="1:26" ht="15.75" customHeight="1">
      <c r="A257" s="210"/>
      <c r="B257" s="210"/>
      <c r="C257" s="210"/>
      <c r="D257" s="178"/>
      <c r="E257" s="569"/>
      <c r="F257" s="569"/>
      <c r="G257" s="569"/>
      <c r="H257" s="569"/>
      <c r="I257" s="569"/>
      <c r="J257" s="131"/>
      <c r="K257" s="131"/>
      <c r="L257" s="131"/>
      <c r="M257" s="131"/>
      <c r="N257" s="131"/>
      <c r="O257" s="131"/>
      <c r="P257" s="131"/>
      <c r="Q257" s="131"/>
      <c r="R257" s="131"/>
      <c r="S257" s="131"/>
      <c r="T257" s="131"/>
      <c r="U257" s="131"/>
      <c r="V257" s="131"/>
      <c r="W257" s="131"/>
      <c r="X257" s="131"/>
      <c r="Y257" s="131"/>
      <c r="Z257" s="131"/>
    </row>
    <row r="258" spans="1:26" ht="15.75" customHeight="1">
      <c r="A258" s="210"/>
      <c r="B258" s="210"/>
      <c r="C258" s="210"/>
      <c r="D258" s="178"/>
      <c r="E258" s="569"/>
      <c r="F258" s="569"/>
      <c r="G258" s="569"/>
      <c r="H258" s="569"/>
      <c r="I258" s="569"/>
      <c r="J258" s="131"/>
      <c r="K258" s="131"/>
      <c r="L258" s="131"/>
      <c r="M258" s="131"/>
      <c r="N258" s="131"/>
      <c r="O258" s="131"/>
      <c r="P258" s="131"/>
      <c r="Q258" s="131"/>
      <c r="R258" s="131"/>
      <c r="S258" s="131"/>
      <c r="T258" s="131"/>
      <c r="U258" s="131"/>
      <c r="V258" s="131"/>
      <c r="W258" s="131"/>
      <c r="X258" s="131"/>
      <c r="Y258" s="131"/>
      <c r="Z258" s="131"/>
    </row>
    <row r="259" spans="1:26" ht="15.75" customHeight="1">
      <c r="A259" s="210"/>
      <c r="B259" s="210"/>
      <c r="C259" s="210"/>
      <c r="D259" s="178"/>
      <c r="E259" s="569"/>
      <c r="F259" s="569"/>
      <c r="G259" s="569"/>
      <c r="H259" s="569"/>
      <c r="I259" s="569"/>
      <c r="J259" s="131"/>
      <c r="K259" s="131"/>
      <c r="L259" s="131"/>
      <c r="M259" s="131"/>
      <c r="N259" s="131"/>
      <c r="O259" s="131"/>
      <c r="P259" s="131"/>
      <c r="Q259" s="131"/>
      <c r="R259" s="131"/>
      <c r="S259" s="131"/>
      <c r="T259" s="131"/>
      <c r="U259" s="131"/>
      <c r="V259" s="131"/>
      <c r="W259" s="131"/>
      <c r="X259" s="131"/>
      <c r="Y259" s="131"/>
      <c r="Z259" s="131"/>
    </row>
    <row r="260" spans="1:26" ht="15.75" customHeight="1">
      <c r="A260" s="210"/>
      <c r="B260" s="210"/>
      <c r="C260" s="210"/>
      <c r="D260" s="178"/>
      <c r="E260" s="569"/>
      <c r="F260" s="569"/>
      <c r="G260" s="569"/>
      <c r="H260" s="569"/>
      <c r="I260" s="569"/>
      <c r="J260" s="131"/>
      <c r="K260" s="131"/>
      <c r="L260" s="131"/>
      <c r="M260" s="131"/>
      <c r="N260" s="131"/>
      <c r="O260" s="131"/>
      <c r="P260" s="131"/>
      <c r="Q260" s="131"/>
      <c r="R260" s="131"/>
      <c r="S260" s="131"/>
      <c r="T260" s="131"/>
      <c r="U260" s="131"/>
      <c r="V260" s="131"/>
      <c r="W260" s="131"/>
      <c r="X260" s="131"/>
      <c r="Y260" s="131"/>
      <c r="Z260" s="131"/>
    </row>
    <row r="261" spans="1:26" ht="15.75" customHeight="1">
      <c r="A261" s="210"/>
      <c r="B261" s="210"/>
      <c r="C261" s="210"/>
      <c r="D261" s="178"/>
      <c r="E261" s="569"/>
      <c r="F261" s="569"/>
      <c r="G261" s="569"/>
      <c r="H261" s="569"/>
      <c r="I261" s="569"/>
      <c r="J261" s="131"/>
      <c r="K261" s="131"/>
      <c r="L261" s="131"/>
      <c r="M261" s="131"/>
      <c r="N261" s="131"/>
      <c r="O261" s="131"/>
      <c r="P261" s="131"/>
      <c r="Q261" s="131"/>
      <c r="R261" s="131"/>
      <c r="S261" s="131"/>
      <c r="T261" s="131"/>
      <c r="U261" s="131"/>
      <c r="V261" s="131"/>
      <c r="W261" s="131"/>
      <c r="X261" s="131"/>
      <c r="Y261" s="131"/>
      <c r="Z261" s="131"/>
    </row>
    <row r="262" spans="1:26" ht="15.75" customHeight="1">
      <c r="A262" s="210"/>
      <c r="B262" s="210"/>
      <c r="C262" s="210"/>
      <c r="D262" s="178"/>
      <c r="E262" s="569"/>
      <c r="F262" s="569"/>
      <c r="G262" s="569"/>
      <c r="H262" s="569"/>
      <c r="I262" s="569"/>
      <c r="J262" s="131"/>
      <c r="K262" s="131"/>
      <c r="L262" s="131"/>
      <c r="M262" s="131"/>
      <c r="N262" s="131"/>
      <c r="O262" s="131"/>
      <c r="P262" s="131"/>
      <c r="Q262" s="131"/>
      <c r="R262" s="131"/>
      <c r="S262" s="131"/>
      <c r="T262" s="131"/>
      <c r="U262" s="131"/>
      <c r="V262" s="131"/>
      <c r="W262" s="131"/>
      <c r="X262" s="131"/>
      <c r="Y262" s="131"/>
      <c r="Z262" s="131"/>
    </row>
    <row r="263" spans="1:26" ht="15.75" customHeight="1">
      <c r="A263" s="210"/>
      <c r="B263" s="210"/>
      <c r="C263" s="210"/>
      <c r="D263" s="178"/>
      <c r="E263" s="569"/>
      <c r="F263" s="569"/>
      <c r="G263" s="569"/>
      <c r="H263" s="569"/>
      <c r="I263" s="569"/>
      <c r="J263" s="131"/>
      <c r="K263" s="131"/>
      <c r="L263" s="131"/>
      <c r="M263" s="131"/>
      <c r="N263" s="131"/>
      <c r="O263" s="131"/>
      <c r="P263" s="131"/>
      <c r="Q263" s="131"/>
      <c r="R263" s="131"/>
      <c r="S263" s="131"/>
      <c r="T263" s="131"/>
      <c r="U263" s="131"/>
      <c r="V263" s="131"/>
      <c r="W263" s="131"/>
      <c r="X263" s="131"/>
      <c r="Y263" s="131"/>
      <c r="Z263" s="131"/>
    </row>
    <row r="264" spans="1:26" ht="15.75" customHeight="1">
      <c r="A264" s="210"/>
      <c r="B264" s="210"/>
      <c r="C264" s="210"/>
      <c r="D264" s="178"/>
      <c r="E264" s="569"/>
      <c r="F264" s="569"/>
      <c r="G264" s="569"/>
      <c r="H264" s="569"/>
      <c r="I264" s="569"/>
      <c r="J264" s="131"/>
      <c r="K264" s="131"/>
      <c r="L264" s="131"/>
      <c r="M264" s="131"/>
      <c r="N264" s="131"/>
      <c r="O264" s="131"/>
      <c r="P264" s="131"/>
      <c r="Q264" s="131"/>
      <c r="R264" s="131"/>
      <c r="S264" s="131"/>
      <c r="T264" s="131"/>
      <c r="U264" s="131"/>
      <c r="V264" s="131"/>
      <c r="W264" s="131"/>
      <c r="X264" s="131"/>
      <c r="Y264" s="131"/>
      <c r="Z264" s="131"/>
    </row>
    <row r="265" spans="1:26" ht="15.75" customHeight="1">
      <c r="A265" s="210"/>
      <c r="B265" s="210"/>
      <c r="C265" s="210"/>
      <c r="D265" s="178"/>
      <c r="E265" s="569"/>
      <c r="F265" s="569"/>
      <c r="G265" s="569"/>
      <c r="H265" s="569"/>
      <c r="I265" s="569"/>
      <c r="J265" s="131"/>
      <c r="K265" s="131"/>
      <c r="L265" s="131"/>
      <c r="M265" s="131"/>
      <c r="N265" s="131"/>
      <c r="O265" s="131"/>
      <c r="P265" s="131"/>
      <c r="Q265" s="131"/>
      <c r="R265" s="131"/>
      <c r="S265" s="131"/>
      <c r="T265" s="131"/>
      <c r="U265" s="131"/>
      <c r="V265" s="131"/>
      <c r="W265" s="131"/>
      <c r="X265" s="131"/>
      <c r="Y265" s="131"/>
      <c r="Z265" s="131"/>
    </row>
    <row r="266" spans="1:26" ht="15.75" customHeight="1">
      <c r="A266" s="210"/>
      <c r="B266" s="210"/>
      <c r="C266" s="210"/>
      <c r="D266" s="178"/>
      <c r="E266" s="569"/>
      <c r="F266" s="569"/>
      <c r="G266" s="569"/>
      <c r="H266" s="569"/>
      <c r="I266" s="569"/>
      <c r="J266" s="131"/>
      <c r="K266" s="131"/>
      <c r="L266" s="131"/>
      <c r="M266" s="131"/>
      <c r="N266" s="131"/>
      <c r="O266" s="131"/>
      <c r="P266" s="131"/>
      <c r="Q266" s="131"/>
      <c r="R266" s="131"/>
      <c r="S266" s="131"/>
      <c r="T266" s="131"/>
      <c r="U266" s="131"/>
      <c r="V266" s="131"/>
      <c r="W266" s="131"/>
      <c r="X266" s="131"/>
      <c r="Y266" s="131"/>
      <c r="Z266" s="131"/>
    </row>
    <row r="267" spans="1:26" ht="15.75" customHeight="1">
      <c r="A267" s="210"/>
      <c r="B267" s="210"/>
      <c r="C267" s="210"/>
      <c r="D267" s="178"/>
      <c r="E267" s="569"/>
      <c r="F267" s="569"/>
      <c r="G267" s="569"/>
      <c r="H267" s="569"/>
      <c r="I267" s="569"/>
      <c r="J267" s="131"/>
      <c r="K267" s="131"/>
      <c r="L267" s="131"/>
      <c r="M267" s="131"/>
      <c r="N267" s="131"/>
      <c r="O267" s="131"/>
      <c r="P267" s="131"/>
      <c r="Q267" s="131"/>
      <c r="R267" s="131"/>
      <c r="S267" s="131"/>
      <c r="T267" s="131"/>
      <c r="U267" s="131"/>
      <c r="V267" s="131"/>
      <c r="W267" s="131"/>
      <c r="X267" s="131"/>
      <c r="Y267" s="131"/>
      <c r="Z267" s="131"/>
    </row>
    <row r="268" spans="1:26" ht="15.75" customHeight="1">
      <c r="A268" s="210"/>
      <c r="B268" s="210"/>
      <c r="C268" s="210"/>
      <c r="D268" s="178"/>
      <c r="E268" s="569"/>
      <c r="F268" s="569"/>
      <c r="G268" s="569"/>
      <c r="H268" s="569"/>
      <c r="I268" s="569"/>
      <c r="J268" s="131"/>
      <c r="K268" s="131"/>
      <c r="L268" s="131"/>
      <c r="M268" s="131"/>
      <c r="N268" s="131"/>
      <c r="O268" s="131"/>
      <c r="P268" s="131"/>
      <c r="Q268" s="131"/>
      <c r="R268" s="131"/>
      <c r="S268" s="131"/>
      <c r="T268" s="131"/>
      <c r="U268" s="131"/>
      <c r="V268" s="131"/>
      <c r="W268" s="131"/>
      <c r="X268" s="131"/>
      <c r="Y268" s="131"/>
      <c r="Z268" s="131"/>
    </row>
    <row r="269" spans="1:26" ht="15.75" customHeight="1">
      <c r="A269" s="210"/>
      <c r="B269" s="210"/>
      <c r="C269" s="210"/>
      <c r="D269" s="178"/>
      <c r="E269" s="569"/>
      <c r="F269" s="569"/>
      <c r="G269" s="569"/>
      <c r="H269" s="569"/>
      <c r="I269" s="569"/>
      <c r="J269" s="131"/>
      <c r="K269" s="131"/>
      <c r="L269" s="131"/>
      <c r="M269" s="131"/>
      <c r="N269" s="131"/>
      <c r="O269" s="131"/>
      <c r="P269" s="131"/>
      <c r="Q269" s="131"/>
      <c r="R269" s="131"/>
      <c r="S269" s="131"/>
      <c r="T269" s="131"/>
      <c r="U269" s="131"/>
      <c r="V269" s="131"/>
      <c r="W269" s="131"/>
      <c r="X269" s="131"/>
      <c r="Y269" s="131"/>
      <c r="Z269" s="131"/>
    </row>
    <row r="270" spans="1:26" ht="15.75" customHeight="1">
      <c r="A270" s="210"/>
      <c r="B270" s="210"/>
      <c r="C270" s="210"/>
      <c r="D270" s="178"/>
      <c r="E270" s="569"/>
      <c r="F270" s="569"/>
      <c r="G270" s="569"/>
      <c r="H270" s="569"/>
      <c r="I270" s="569"/>
      <c r="J270" s="131"/>
      <c r="K270" s="131"/>
      <c r="L270" s="131"/>
      <c r="M270" s="131"/>
      <c r="N270" s="131"/>
      <c r="O270" s="131"/>
      <c r="P270" s="131"/>
      <c r="Q270" s="131"/>
      <c r="R270" s="131"/>
      <c r="S270" s="131"/>
      <c r="T270" s="131"/>
      <c r="U270" s="131"/>
      <c r="V270" s="131"/>
      <c r="W270" s="131"/>
      <c r="X270" s="131"/>
      <c r="Y270" s="131"/>
      <c r="Z270" s="131"/>
    </row>
    <row r="271" spans="1:26" ht="15.75" customHeight="1">
      <c r="A271" s="210"/>
      <c r="B271" s="210"/>
      <c r="C271" s="210"/>
      <c r="D271" s="178"/>
      <c r="E271" s="569"/>
      <c r="F271" s="569"/>
      <c r="G271" s="569"/>
      <c r="H271" s="569"/>
      <c r="I271" s="569"/>
      <c r="J271" s="131"/>
      <c r="K271" s="131"/>
      <c r="L271" s="131"/>
      <c r="M271" s="131"/>
      <c r="N271" s="131"/>
      <c r="O271" s="131"/>
      <c r="P271" s="131"/>
      <c r="Q271" s="131"/>
      <c r="R271" s="131"/>
      <c r="S271" s="131"/>
      <c r="T271" s="131"/>
      <c r="U271" s="131"/>
      <c r="V271" s="131"/>
      <c r="W271" s="131"/>
      <c r="X271" s="131"/>
      <c r="Y271" s="131"/>
      <c r="Z271" s="131"/>
    </row>
    <row r="272" spans="1:26" ht="15.75" customHeight="1">
      <c r="A272" s="210"/>
      <c r="B272" s="210"/>
      <c r="C272" s="210"/>
      <c r="D272" s="178"/>
      <c r="E272" s="569"/>
      <c r="F272" s="569"/>
      <c r="G272" s="569"/>
      <c r="H272" s="569"/>
      <c r="I272" s="569"/>
      <c r="J272" s="131"/>
      <c r="K272" s="131"/>
      <c r="L272" s="131"/>
      <c r="M272" s="131"/>
      <c r="N272" s="131"/>
      <c r="O272" s="131"/>
      <c r="P272" s="131"/>
      <c r="Q272" s="131"/>
      <c r="R272" s="131"/>
      <c r="S272" s="131"/>
      <c r="T272" s="131"/>
      <c r="U272" s="131"/>
      <c r="V272" s="131"/>
      <c r="W272" s="131"/>
      <c r="X272" s="131"/>
      <c r="Y272" s="131"/>
      <c r="Z272" s="131"/>
    </row>
    <row r="273" spans="1:26" ht="15.75" customHeight="1">
      <c r="A273" s="210"/>
      <c r="B273" s="210"/>
      <c r="C273" s="210"/>
      <c r="D273" s="178"/>
      <c r="E273" s="569"/>
      <c r="F273" s="569"/>
      <c r="G273" s="569"/>
      <c r="H273" s="569"/>
      <c r="I273" s="569"/>
      <c r="J273" s="131"/>
      <c r="K273" s="131"/>
      <c r="L273" s="131"/>
      <c r="M273" s="131"/>
      <c r="N273" s="131"/>
      <c r="O273" s="131"/>
      <c r="P273" s="131"/>
      <c r="Q273" s="131"/>
      <c r="R273" s="131"/>
      <c r="S273" s="131"/>
      <c r="T273" s="131"/>
      <c r="U273" s="131"/>
      <c r="V273" s="131"/>
      <c r="W273" s="131"/>
      <c r="X273" s="131"/>
      <c r="Y273" s="131"/>
      <c r="Z273" s="131"/>
    </row>
    <row r="274" spans="1:26" ht="15.75" customHeight="1">
      <c r="A274" s="210"/>
      <c r="B274" s="210"/>
      <c r="C274" s="210"/>
      <c r="D274" s="178"/>
      <c r="E274" s="569"/>
      <c r="F274" s="569"/>
      <c r="G274" s="569"/>
      <c r="H274" s="569"/>
      <c r="I274" s="569"/>
      <c r="J274" s="131"/>
      <c r="K274" s="131"/>
      <c r="L274" s="131"/>
      <c r="M274" s="131"/>
      <c r="N274" s="131"/>
      <c r="O274" s="131"/>
      <c r="P274" s="131"/>
      <c r="Q274" s="131"/>
      <c r="R274" s="131"/>
      <c r="S274" s="131"/>
      <c r="T274" s="131"/>
      <c r="U274" s="131"/>
      <c r="V274" s="131"/>
      <c r="W274" s="131"/>
      <c r="X274" s="131"/>
      <c r="Y274" s="131"/>
      <c r="Z274" s="131"/>
    </row>
    <row r="275" spans="1:26" ht="15.75" customHeight="1">
      <c r="A275" s="210"/>
      <c r="B275" s="210"/>
      <c r="C275" s="210"/>
      <c r="D275" s="178"/>
      <c r="E275" s="569"/>
      <c r="F275" s="569"/>
      <c r="G275" s="569"/>
      <c r="H275" s="569"/>
      <c r="I275" s="569"/>
      <c r="J275" s="131"/>
      <c r="K275" s="131"/>
      <c r="L275" s="131"/>
      <c r="M275" s="131"/>
      <c r="N275" s="131"/>
      <c r="O275" s="131"/>
      <c r="P275" s="131"/>
      <c r="Q275" s="131"/>
      <c r="R275" s="131"/>
      <c r="S275" s="131"/>
      <c r="T275" s="131"/>
      <c r="U275" s="131"/>
      <c r="V275" s="131"/>
      <c r="W275" s="131"/>
      <c r="X275" s="131"/>
      <c r="Y275" s="131"/>
      <c r="Z275" s="131"/>
    </row>
    <row r="276" spans="1:26" ht="15.75" customHeight="1">
      <c r="A276" s="210"/>
      <c r="B276" s="210"/>
      <c r="C276" s="210"/>
      <c r="D276" s="178"/>
      <c r="E276" s="569"/>
      <c r="F276" s="569"/>
      <c r="G276" s="569"/>
      <c r="H276" s="569"/>
      <c r="I276" s="569"/>
      <c r="J276" s="131"/>
      <c r="K276" s="131"/>
      <c r="L276" s="131"/>
      <c r="M276" s="131"/>
      <c r="N276" s="131"/>
      <c r="O276" s="131"/>
      <c r="P276" s="131"/>
      <c r="Q276" s="131"/>
      <c r="R276" s="131"/>
      <c r="S276" s="131"/>
      <c r="T276" s="131"/>
      <c r="U276" s="131"/>
      <c r="V276" s="131"/>
      <c r="W276" s="131"/>
      <c r="X276" s="131"/>
      <c r="Y276" s="131"/>
      <c r="Z276" s="131"/>
    </row>
    <row r="277" spans="1:26" ht="15.75" customHeight="1">
      <c r="A277" s="210"/>
      <c r="B277" s="210"/>
      <c r="C277" s="210"/>
      <c r="D277" s="178"/>
      <c r="E277" s="569"/>
      <c r="F277" s="569"/>
      <c r="G277" s="569"/>
      <c r="H277" s="569"/>
      <c r="I277" s="569"/>
      <c r="J277" s="131"/>
      <c r="K277" s="131"/>
      <c r="L277" s="131"/>
      <c r="M277" s="131"/>
      <c r="N277" s="131"/>
      <c r="O277" s="131"/>
      <c r="P277" s="131"/>
      <c r="Q277" s="131"/>
      <c r="R277" s="131"/>
      <c r="S277" s="131"/>
      <c r="T277" s="131"/>
      <c r="U277" s="131"/>
      <c r="V277" s="131"/>
      <c r="W277" s="131"/>
      <c r="X277" s="131"/>
      <c r="Y277" s="131"/>
      <c r="Z277" s="131"/>
    </row>
    <row r="278" spans="1:26" ht="15.75" customHeight="1">
      <c r="A278" s="210"/>
      <c r="B278" s="210"/>
      <c r="C278" s="210"/>
      <c r="D278" s="178"/>
      <c r="E278" s="569"/>
      <c r="F278" s="569"/>
      <c r="G278" s="569"/>
      <c r="H278" s="569"/>
      <c r="I278" s="569"/>
      <c r="J278" s="131"/>
      <c r="K278" s="131"/>
      <c r="L278" s="131"/>
      <c r="M278" s="131"/>
      <c r="N278" s="131"/>
      <c r="O278" s="131"/>
      <c r="P278" s="131"/>
      <c r="Q278" s="131"/>
      <c r="R278" s="131"/>
      <c r="S278" s="131"/>
      <c r="T278" s="131"/>
      <c r="U278" s="131"/>
      <c r="V278" s="131"/>
      <c r="W278" s="131"/>
      <c r="X278" s="131"/>
      <c r="Y278" s="131"/>
      <c r="Z278" s="131"/>
    </row>
    <row r="279" spans="1:26" ht="15.75" customHeight="1">
      <c r="A279" s="210"/>
      <c r="B279" s="210"/>
      <c r="C279" s="210"/>
      <c r="D279" s="178"/>
      <c r="E279" s="569"/>
      <c r="F279" s="569"/>
      <c r="G279" s="569"/>
      <c r="H279" s="569"/>
      <c r="I279" s="569"/>
      <c r="J279" s="131"/>
      <c r="K279" s="131"/>
      <c r="L279" s="131"/>
      <c r="M279" s="131"/>
      <c r="N279" s="131"/>
      <c r="O279" s="131"/>
      <c r="P279" s="131"/>
      <c r="Q279" s="131"/>
      <c r="R279" s="131"/>
      <c r="S279" s="131"/>
      <c r="T279" s="131"/>
      <c r="U279" s="131"/>
      <c r="V279" s="131"/>
      <c r="W279" s="131"/>
      <c r="X279" s="131"/>
      <c r="Y279" s="131"/>
      <c r="Z279" s="131"/>
    </row>
    <row r="280" spans="1:26" ht="15.75" customHeight="1">
      <c r="A280" s="210"/>
      <c r="B280" s="210"/>
      <c r="C280" s="210"/>
      <c r="D280" s="178"/>
      <c r="E280" s="569"/>
      <c r="F280" s="569"/>
      <c r="G280" s="569"/>
      <c r="H280" s="569"/>
      <c r="I280" s="569"/>
      <c r="J280" s="131"/>
      <c r="K280" s="131"/>
      <c r="L280" s="131"/>
      <c r="M280" s="131"/>
      <c r="N280" s="131"/>
      <c r="O280" s="131"/>
      <c r="P280" s="131"/>
      <c r="Q280" s="131"/>
      <c r="R280" s="131"/>
      <c r="S280" s="131"/>
      <c r="T280" s="131"/>
      <c r="U280" s="131"/>
      <c r="V280" s="131"/>
      <c r="W280" s="131"/>
      <c r="X280" s="131"/>
      <c r="Y280" s="131"/>
      <c r="Z280" s="131"/>
    </row>
    <row r="281" spans="1:26" ht="15.75" customHeight="1">
      <c r="A281" s="210"/>
      <c r="B281" s="210"/>
      <c r="C281" s="210"/>
      <c r="D281" s="178"/>
      <c r="E281" s="569"/>
      <c r="F281" s="569"/>
      <c r="G281" s="569"/>
      <c r="H281" s="569"/>
      <c r="I281" s="569"/>
      <c r="J281" s="131"/>
      <c r="K281" s="131"/>
      <c r="L281" s="131"/>
      <c r="M281" s="131"/>
      <c r="N281" s="131"/>
      <c r="O281" s="131"/>
      <c r="P281" s="131"/>
      <c r="Q281" s="131"/>
      <c r="R281" s="131"/>
      <c r="S281" s="131"/>
      <c r="T281" s="131"/>
      <c r="U281" s="131"/>
      <c r="V281" s="131"/>
      <c r="W281" s="131"/>
      <c r="X281" s="131"/>
      <c r="Y281" s="131"/>
      <c r="Z281" s="131"/>
    </row>
    <row r="282" spans="1:26" ht="15.75" customHeight="1">
      <c r="A282" s="210"/>
      <c r="B282" s="210"/>
      <c r="C282" s="210"/>
      <c r="D282" s="178"/>
      <c r="E282" s="569"/>
      <c r="F282" s="569"/>
      <c r="G282" s="569"/>
      <c r="H282" s="569"/>
      <c r="I282" s="569"/>
      <c r="J282" s="131"/>
      <c r="K282" s="131"/>
      <c r="L282" s="131"/>
      <c r="M282" s="131"/>
      <c r="N282" s="131"/>
      <c r="O282" s="131"/>
      <c r="P282" s="131"/>
      <c r="Q282" s="131"/>
      <c r="R282" s="131"/>
      <c r="S282" s="131"/>
      <c r="T282" s="131"/>
      <c r="U282" s="131"/>
      <c r="V282" s="131"/>
      <c r="W282" s="131"/>
      <c r="X282" s="131"/>
      <c r="Y282" s="131"/>
      <c r="Z282" s="131"/>
    </row>
    <row r="283" spans="1:26" ht="15.75" customHeight="1">
      <c r="A283" s="210"/>
      <c r="B283" s="210"/>
      <c r="C283" s="210"/>
      <c r="D283" s="178"/>
      <c r="E283" s="569"/>
      <c r="F283" s="569"/>
      <c r="G283" s="569"/>
      <c r="H283" s="569"/>
      <c r="I283" s="569"/>
      <c r="J283" s="131"/>
      <c r="K283" s="131"/>
      <c r="L283" s="131"/>
      <c r="M283" s="131"/>
      <c r="N283" s="131"/>
      <c r="O283" s="131"/>
      <c r="P283" s="131"/>
      <c r="Q283" s="131"/>
      <c r="R283" s="131"/>
      <c r="S283" s="131"/>
      <c r="T283" s="131"/>
      <c r="U283" s="131"/>
      <c r="V283" s="131"/>
      <c r="W283" s="131"/>
      <c r="X283" s="131"/>
      <c r="Y283" s="131"/>
      <c r="Z283" s="131"/>
    </row>
    <row r="284" spans="1:26" ht="15.75" customHeight="1">
      <c r="A284" s="210"/>
      <c r="B284" s="210"/>
      <c r="C284" s="210"/>
      <c r="D284" s="178"/>
      <c r="E284" s="569"/>
      <c r="F284" s="569"/>
      <c r="G284" s="569"/>
      <c r="H284" s="569"/>
      <c r="I284" s="569"/>
      <c r="J284" s="131"/>
      <c r="K284" s="131"/>
      <c r="L284" s="131"/>
      <c r="M284" s="131"/>
      <c r="N284" s="131"/>
      <c r="O284" s="131"/>
      <c r="P284" s="131"/>
      <c r="Q284" s="131"/>
      <c r="R284" s="131"/>
      <c r="S284" s="131"/>
      <c r="T284" s="131"/>
      <c r="U284" s="131"/>
      <c r="V284" s="131"/>
      <c r="W284" s="131"/>
      <c r="X284" s="131"/>
      <c r="Y284" s="131"/>
      <c r="Z284" s="131"/>
    </row>
    <row r="285" spans="1:26" ht="15.75" customHeight="1">
      <c r="A285" s="210"/>
      <c r="B285" s="210"/>
      <c r="C285" s="210"/>
      <c r="D285" s="178"/>
      <c r="E285" s="569"/>
      <c r="F285" s="569"/>
      <c r="G285" s="569"/>
      <c r="H285" s="569"/>
      <c r="I285" s="569"/>
      <c r="J285" s="131"/>
      <c r="K285" s="131"/>
      <c r="L285" s="131"/>
      <c r="M285" s="131"/>
      <c r="N285" s="131"/>
      <c r="O285" s="131"/>
      <c r="P285" s="131"/>
      <c r="Q285" s="131"/>
      <c r="R285" s="131"/>
      <c r="S285" s="131"/>
      <c r="T285" s="131"/>
      <c r="U285" s="131"/>
      <c r="V285" s="131"/>
      <c r="W285" s="131"/>
      <c r="X285" s="131"/>
      <c r="Y285" s="131"/>
      <c r="Z285" s="131"/>
    </row>
    <row r="286" spans="1:26" ht="15.75" customHeight="1">
      <c r="A286" s="210"/>
      <c r="B286" s="210"/>
      <c r="C286" s="210"/>
      <c r="D286" s="178"/>
      <c r="E286" s="569"/>
      <c r="F286" s="569"/>
      <c r="G286" s="569"/>
      <c r="H286" s="569"/>
      <c r="I286" s="569"/>
      <c r="J286" s="131"/>
      <c r="K286" s="131"/>
      <c r="L286" s="131"/>
      <c r="M286" s="131"/>
      <c r="N286" s="131"/>
      <c r="O286" s="131"/>
      <c r="P286" s="131"/>
      <c r="Q286" s="131"/>
      <c r="R286" s="131"/>
      <c r="S286" s="131"/>
      <c r="T286" s="131"/>
      <c r="U286" s="131"/>
      <c r="V286" s="131"/>
      <c r="W286" s="131"/>
      <c r="X286" s="131"/>
      <c r="Y286" s="131"/>
      <c r="Z286" s="131"/>
    </row>
    <row r="287" spans="1:26" ht="15.75" customHeight="1">
      <c r="A287" s="210"/>
      <c r="B287" s="210"/>
      <c r="C287" s="210"/>
      <c r="D287" s="178"/>
      <c r="E287" s="569"/>
      <c r="F287" s="569"/>
      <c r="G287" s="569"/>
      <c r="H287" s="569"/>
      <c r="I287" s="569"/>
      <c r="J287" s="131"/>
      <c r="K287" s="131"/>
      <c r="L287" s="131"/>
      <c r="M287" s="131"/>
      <c r="N287" s="131"/>
      <c r="O287" s="131"/>
      <c r="P287" s="131"/>
      <c r="Q287" s="131"/>
      <c r="R287" s="131"/>
      <c r="S287" s="131"/>
      <c r="T287" s="131"/>
      <c r="U287" s="131"/>
      <c r="V287" s="131"/>
      <c r="W287" s="131"/>
      <c r="X287" s="131"/>
      <c r="Y287" s="131"/>
      <c r="Z287" s="131"/>
    </row>
    <row r="288" spans="1:26" ht="15.75" customHeight="1">
      <c r="A288" s="210"/>
      <c r="B288" s="210"/>
      <c r="C288" s="210"/>
      <c r="D288" s="178"/>
      <c r="E288" s="569"/>
      <c r="F288" s="569"/>
      <c r="G288" s="569"/>
      <c r="H288" s="569"/>
      <c r="I288" s="569"/>
      <c r="J288" s="131"/>
      <c r="K288" s="131"/>
      <c r="L288" s="131"/>
      <c r="M288" s="131"/>
      <c r="N288" s="131"/>
      <c r="O288" s="131"/>
      <c r="P288" s="131"/>
      <c r="Q288" s="131"/>
      <c r="R288" s="131"/>
      <c r="S288" s="131"/>
      <c r="T288" s="131"/>
      <c r="U288" s="131"/>
      <c r="V288" s="131"/>
      <c r="W288" s="131"/>
      <c r="X288" s="131"/>
      <c r="Y288" s="131"/>
      <c r="Z288" s="131"/>
    </row>
    <row r="289" spans="1:26" ht="15.75" customHeight="1">
      <c r="A289" s="210"/>
      <c r="B289" s="210"/>
      <c r="C289" s="210"/>
      <c r="D289" s="178"/>
      <c r="E289" s="569"/>
      <c r="F289" s="569"/>
      <c r="G289" s="569"/>
      <c r="H289" s="569"/>
      <c r="I289" s="569"/>
      <c r="J289" s="131"/>
      <c r="K289" s="131"/>
      <c r="L289" s="131"/>
      <c r="M289" s="131"/>
      <c r="N289" s="131"/>
      <c r="O289" s="131"/>
      <c r="P289" s="131"/>
      <c r="Q289" s="131"/>
      <c r="R289" s="131"/>
      <c r="S289" s="131"/>
      <c r="T289" s="131"/>
      <c r="U289" s="131"/>
      <c r="V289" s="131"/>
      <c r="W289" s="131"/>
      <c r="X289" s="131"/>
      <c r="Y289" s="131"/>
      <c r="Z289" s="131"/>
    </row>
    <row r="290" spans="1:26" ht="15.75" customHeight="1">
      <c r="A290" s="210"/>
      <c r="B290" s="210"/>
      <c r="C290" s="210"/>
      <c r="D290" s="178"/>
      <c r="E290" s="569"/>
      <c r="F290" s="569"/>
      <c r="G290" s="569"/>
      <c r="H290" s="569"/>
      <c r="I290" s="569"/>
      <c r="J290" s="131"/>
      <c r="K290" s="131"/>
      <c r="L290" s="131"/>
      <c r="M290" s="131"/>
      <c r="N290" s="131"/>
      <c r="O290" s="131"/>
      <c r="P290" s="131"/>
      <c r="Q290" s="131"/>
      <c r="R290" s="131"/>
      <c r="S290" s="131"/>
      <c r="T290" s="131"/>
      <c r="U290" s="131"/>
      <c r="V290" s="131"/>
      <c r="W290" s="131"/>
      <c r="X290" s="131"/>
      <c r="Y290" s="131"/>
      <c r="Z290" s="131"/>
    </row>
    <row r="291" spans="1:26" ht="15.75" customHeight="1">
      <c r="A291" s="210"/>
      <c r="B291" s="210"/>
      <c r="C291" s="210"/>
      <c r="D291" s="178"/>
      <c r="E291" s="569"/>
      <c r="F291" s="569"/>
      <c r="G291" s="569"/>
      <c r="H291" s="569"/>
      <c r="I291" s="569"/>
      <c r="J291" s="131"/>
      <c r="K291" s="131"/>
      <c r="L291" s="131"/>
      <c r="M291" s="131"/>
      <c r="N291" s="131"/>
      <c r="O291" s="131"/>
      <c r="P291" s="131"/>
      <c r="Q291" s="131"/>
      <c r="R291" s="131"/>
      <c r="S291" s="131"/>
      <c r="T291" s="131"/>
      <c r="U291" s="131"/>
      <c r="V291" s="131"/>
      <c r="W291" s="131"/>
      <c r="X291" s="131"/>
      <c r="Y291" s="131"/>
      <c r="Z291" s="131"/>
    </row>
    <row r="292" spans="1:26" ht="15.75" customHeight="1">
      <c r="A292" s="210"/>
      <c r="B292" s="210"/>
      <c r="C292" s="210"/>
      <c r="D292" s="178"/>
      <c r="E292" s="569"/>
      <c r="F292" s="569"/>
      <c r="G292" s="569"/>
      <c r="H292" s="569"/>
      <c r="I292" s="569"/>
      <c r="J292" s="131"/>
      <c r="K292" s="131"/>
      <c r="L292" s="131"/>
      <c r="M292" s="131"/>
      <c r="N292" s="131"/>
      <c r="O292" s="131"/>
      <c r="P292" s="131"/>
      <c r="Q292" s="131"/>
      <c r="R292" s="131"/>
      <c r="S292" s="131"/>
      <c r="T292" s="131"/>
      <c r="U292" s="131"/>
      <c r="V292" s="131"/>
      <c r="W292" s="131"/>
      <c r="X292" s="131"/>
      <c r="Y292" s="131"/>
      <c r="Z292" s="131"/>
    </row>
    <row r="293" spans="1:26" ht="15.75" customHeight="1">
      <c r="A293" s="210"/>
      <c r="B293" s="210"/>
      <c r="C293" s="210"/>
      <c r="D293" s="178"/>
      <c r="E293" s="569"/>
      <c r="F293" s="569"/>
      <c r="G293" s="569"/>
      <c r="H293" s="569"/>
      <c r="I293" s="569"/>
      <c r="J293" s="131"/>
      <c r="K293" s="131"/>
      <c r="L293" s="131"/>
      <c r="M293" s="131"/>
      <c r="N293" s="131"/>
      <c r="O293" s="131"/>
      <c r="P293" s="131"/>
      <c r="Q293" s="131"/>
      <c r="R293" s="131"/>
      <c r="S293" s="131"/>
      <c r="T293" s="131"/>
      <c r="U293" s="131"/>
      <c r="V293" s="131"/>
      <c r="W293" s="131"/>
      <c r="X293" s="131"/>
      <c r="Y293" s="131"/>
      <c r="Z293" s="131"/>
    </row>
    <row r="294" spans="1:26" ht="15.75" customHeight="1">
      <c r="A294" s="210"/>
      <c r="B294" s="210"/>
      <c r="C294" s="210"/>
      <c r="D294" s="178"/>
      <c r="E294" s="569"/>
      <c r="F294" s="569"/>
      <c r="G294" s="569"/>
      <c r="H294" s="569"/>
      <c r="I294" s="569"/>
      <c r="J294" s="131"/>
      <c r="K294" s="131"/>
      <c r="L294" s="131"/>
      <c r="M294" s="131"/>
      <c r="N294" s="131"/>
      <c r="O294" s="131"/>
      <c r="P294" s="131"/>
      <c r="Q294" s="131"/>
      <c r="R294" s="131"/>
      <c r="S294" s="131"/>
      <c r="T294" s="131"/>
      <c r="U294" s="131"/>
      <c r="V294" s="131"/>
      <c r="W294" s="131"/>
      <c r="X294" s="131"/>
      <c r="Y294" s="131"/>
      <c r="Z294" s="131"/>
    </row>
    <row r="295" spans="1:26" ht="15.75" customHeight="1">
      <c r="A295" s="210"/>
      <c r="B295" s="210"/>
      <c r="C295" s="210"/>
      <c r="D295" s="178"/>
      <c r="E295" s="569"/>
      <c r="F295" s="569"/>
      <c r="G295" s="569"/>
      <c r="H295" s="569"/>
      <c r="I295" s="569"/>
      <c r="J295" s="131"/>
      <c r="K295" s="131"/>
      <c r="L295" s="131"/>
      <c r="M295" s="131"/>
      <c r="N295" s="131"/>
      <c r="O295" s="131"/>
      <c r="P295" s="131"/>
      <c r="Q295" s="131"/>
      <c r="R295" s="131"/>
      <c r="S295" s="131"/>
      <c r="T295" s="131"/>
      <c r="U295" s="131"/>
      <c r="V295" s="131"/>
      <c r="W295" s="131"/>
      <c r="X295" s="131"/>
      <c r="Y295" s="131"/>
      <c r="Z295" s="131"/>
    </row>
    <row r="296" spans="1:26" ht="15.75" customHeight="1">
      <c r="A296" s="210"/>
      <c r="B296" s="210"/>
      <c r="C296" s="210"/>
      <c r="D296" s="178"/>
      <c r="E296" s="569"/>
      <c r="F296" s="569"/>
      <c r="G296" s="569"/>
      <c r="H296" s="569"/>
      <c r="I296" s="569"/>
      <c r="J296" s="131"/>
      <c r="K296" s="131"/>
      <c r="L296" s="131"/>
      <c r="M296" s="131"/>
      <c r="N296" s="131"/>
      <c r="O296" s="131"/>
      <c r="P296" s="131"/>
      <c r="Q296" s="131"/>
      <c r="R296" s="131"/>
      <c r="S296" s="131"/>
      <c r="T296" s="131"/>
      <c r="U296" s="131"/>
      <c r="V296" s="131"/>
      <c r="W296" s="131"/>
      <c r="X296" s="131"/>
      <c r="Y296" s="131"/>
      <c r="Z296" s="131"/>
    </row>
    <row r="297" spans="1:26" ht="15.75" customHeight="1">
      <c r="A297" s="210"/>
      <c r="B297" s="210"/>
      <c r="C297" s="210"/>
      <c r="D297" s="178"/>
      <c r="E297" s="569"/>
      <c r="F297" s="569"/>
      <c r="G297" s="569"/>
      <c r="H297" s="569"/>
      <c r="I297" s="569"/>
      <c r="J297" s="131"/>
      <c r="K297" s="131"/>
      <c r="L297" s="131"/>
      <c r="M297" s="131"/>
      <c r="N297" s="131"/>
      <c r="O297" s="131"/>
      <c r="P297" s="131"/>
      <c r="Q297" s="131"/>
      <c r="R297" s="131"/>
      <c r="S297" s="131"/>
      <c r="T297" s="131"/>
      <c r="U297" s="131"/>
      <c r="V297" s="131"/>
      <c r="W297" s="131"/>
      <c r="X297" s="131"/>
      <c r="Y297" s="131"/>
      <c r="Z297" s="131"/>
    </row>
    <row r="298" spans="1:26" ht="15.75" customHeight="1">
      <c r="A298" s="210"/>
      <c r="B298" s="210"/>
      <c r="C298" s="210"/>
      <c r="D298" s="178"/>
      <c r="E298" s="569"/>
      <c r="F298" s="569"/>
      <c r="G298" s="569"/>
      <c r="H298" s="569"/>
      <c r="I298" s="569"/>
      <c r="J298" s="131"/>
      <c r="K298" s="131"/>
      <c r="L298" s="131"/>
      <c r="M298" s="131"/>
      <c r="N298" s="131"/>
      <c r="O298" s="131"/>
      <c r="P298" s="131"/>
      <c r="Q298" s="131"/>
      <c r="R298" s="131"/>
      <c r="S298" s="131"/>
      <c r="T298" s="131"/>
      <c r="U298" s="131"/>
      <c r="V298" s="131"/>
      <c r="W298" s="131"/>
      <c r="X298" s="131"/>
      <c r="Y298" s="131"/>
      <c r="Z298" s="131"/>
    </row>
    <row r="299" spans="1:26" ht="15.75" customHeight="1">
      <c r="A299" s="210"/>
      <c r="B299" s="210"/>
      <c r="C299" s="210"/>
      <c r="D299" s="178"/>
      <c r="E299" s="569"/>
      <c r="F299" s="569"/>
      <c r="G299" s="569"/>
      <c r="H299" s="569"/>
      <c r="I299" s="569"/>
      <c r="J299" s="131"/>
      <c r="K299" s="131"/>
      <c r="L299" s="131"/>
      <c r="M299" s="131"/>
      <c r="N299" s="131"/>
      <c r="O299" s="131"/>
      <c r="P299" s="131"/>
      <c r="Q299" s="131"/>
      <c r="R299" s="131"/>
      <c r="S299" s="131"/>
      <c r="T299" s="131"/>
      <c r="U299" s="131"/>
      <c r="V299" s="131"/>
      <c r="W299" s="131"/>
      <c r="X299" s="131"/>
      <c r="Y299" s="131"/>
      <c r="Z299" s="131"/>
    </row>
    <row r="300" spans="1:26" ht="15.75" customHeight="1">
      <c r="A300" s="210"/>
      <c r="B300" s="210"/>
      <c r="C300" s="210"/>
      <c r="D300" s="178"/>
      <c r="E300" s="569"/>
      <c r="F300" s="569"/>
      <c r="G300" s="569"/>
      <c r="H300" s="569"/>
      <c r="I300" s="569"/>
      <c r="J300" s="131"/>
      <c r="K300" s="131"/>
      <c r="L300" s="131"/>
      <c r="M300" s="131"/>
      <c r="N300" s="131"/>
      <c r="O300" s="131"/>
      <c r="P300" s="131"/>
      <c r="Q300" s="131"/>
      <c r="R300" s="131"/>
      <c r="S300" s="131"/>
      <c r="T300" s="131"/>
      <c r="U300" s="131"/>
      <c r="V300" s="131"/>
      <c r="W300" s="131"/>
      <c r="X300" s="131"/>
      <c r="Y300" s="131"/>
      <c r="Z300" s="131"/>
    </row>
    <row r="301" spans="1:26" ht="15.75" customHeight="1">
      <c r="A301" s="210"/>
      <c r="B301" s="210"/>
      <c r="C301" s="210"/>
      <c r="D301" s="178"/>
      <c r="E301" s="569"/>
      <c r="F301" s="569"/>
      <c r="G301" s="569"/>
      <c r="H301" s="569"/>
      <c r="I301" s="569"/>
      <c r="J301" s="131"/>
      <c r="K301" s="131"/>
      <c r="L301" s="131"/>
      <c r="M301" s="131"/>
      <c r="N301" s="131"/>
      <c r="O301" s="131"/>
      <c r="P301" s="131"/>
      <c r="Q301" s="131"/>
      <c r="R301" s="131"/>
      <c r="S301" s="131"/>
      <c r="T301" s="131"/>
      <c r="U301" s="131"/>
      <c r="V301" s="131"/>
      <c r="W301" s="131"/>
      <c r="X301" s="131"/>
      <c r="Y301" s="131"/>
      <c r="Z301" s="131"/>
    </row>
    <row r="302" spans="1:26" ht="15.75" customHeight="1">
      <c r="A302" s="210"/>
      <c r="B302" s="210"/>
      <c r="C302" s="210"/>
      <c r="D302" s="178"/>
      <c r="E302" s="569"/>
      <c r="F302" s="569"/>
      <c r="G302" s="569"/>
      <c r="H302" s="569"/>
      <c r="I302" s="569"/>
      <c r="J302" s="131"/>
      <c r="K302" s="131"/>
      <c r="L302" s="131"/>
      <c r="M302" s="131"/>
      <c r="N302" s="131"/>
      <c r="O302" s="131"/>
      <c r="P302" s="131"/>
      <c r="Q302" s="131"/>
      <c r="R302" s="131"/>
      <c r="S302" s="131"/>
      <c r="T302" s="131"/>
      <c r="U302" s="131"/>
      <c r="V302" s="131"/>
      <c r="W302" s="131"/>
      <c r="X302" s="131"/>
      <c r="Y302" s="131"/>
      <c r="Z302" s="131"/>
    </row>
    <row r="303" spans="1:26" ht="15.75" customHeight="1">
      <c r="A303" s="210"/>
      <c r="B303" s="210"/>
      <c r="C303" s="210"/>
      <c r="D303" s="178"/>
      <c r="E303" s="569"/>
      <c r="F303" s="569"/>
      <c r="G303" s="569"/>
      <c r="H303" s="569"/>
      <c r="I303" s="569"/>
      <c r="J303" s="131"/>
      <c r="K303" s="131"/>
      <c r="L303" s="131"/>
      <c r="M303" s="131"/>
      <c r="N303" s="131"/>
      <c r="O303" s="131"/>
      <c r="P303" s="131"/>
      <c r="Q303" s="131"/>
      <c r="R303" s="131"/>
      <c r="S303" s="131"/>
      <c r="T303" s="131"/>
      <c r="U303" s="131"/>
      <c r="V303" s="131"/>
      <c r="W303" s="131"/>
      <c r="X303" s="131"/>
      <c r="Y303" s="131"/>
      <c r="Z303" s="131"/>
    </row>
    <row r="304" spans="1:26" ht="15.75" customHeight="1">
      <c r="A304" s="210"/>
      <c r="B304" s="210"/>
      <c r="C304" s="210"/>
      <c r="D304" s="178"/>
      <c r="E304" s="569"/>
      <c r="F304" s="569"/>
      <c r="G304" s="569"/>
      <c r="H304" s="569"/>
      <c r="I304" s="569"/>
      <c r="J304" s="131"/>
      <c r="K304" s="131"/>
      <c r="L304" s="131"/>
      <c r="M304" s="131"/>
      <c r="N304" s="131"/>
      <c r="O304" s="131"/>
      <c r="P304" s="131"/>
      <c r="Q304" s="131"/>
      <c r="R304" s="131"/>
      <c r="S304" s="131"/>
      <c r="T304" s="131"/>
      <c r="U304" s="131"/>
      <c r="V304" s="131"/>
      <c r="W304" s="131"/>
      <c r="X304" s="131"/>
      <c r="Y304" s="131"/>
      <c r="Z304" s="131"/>
    </row>
    <row r="305" spans="1:26" ht="15.75" customHeight="1">
      <c r="A305" s="210"/>
      <c r="B305" s="210"/>
      <c r="C305" s="210"/>
      <c r="D305" s="178"/>
      <c r="E305" s="569"/>
      <c r="F305" s="569"/>
      <c r="G305" s="569"/>
      <c r="H305" s="569"/>
      <c r="I305" s="569"/>
      <c r="J305" s="131"/>
      <c r="K305" s="131"/>
      <c r="L305" s="131"/>
      <c r="M305" s="131"/>
      <c r="N305" s="131"/>
      <c r="O305" s="131"/>
      <c r="P305" s="131"/>
      <c r="Q305" s="131"/>
      <c r="R305" s="131"/>
      <c r="S305" s="131"/>
      <c r="T305" s="131"/>
      <c r="U305" s="131"/>
      <c r="V305" s="131"/>
      <c r="W305" s="131"/>
      <c r="X305" s="131"/>
      <c r="Y305" s="131"/>
      <c r="Z305" s="131"/>
    </row>
    <row r="306" spans="1:26" ht="15.75" customHeight="1">
      <c r="A306" s="210"/>
      <c r="B306" s="210"/>
      <c r="C306" s="210"/>
      <c r="D306" s="178"/>
      <c r="E306" s="569"/>
      <c r="F306" s="569"/>
      <c r="G306" s="569"/>
      <c r="H306" s="569"/>
      <c r="I306" s="569"/>
      <c r="J306" s="131"/>
      <c r="K306" s="131"/>
      <c r="L306" s="131"/>
      <c r="M306" s="131"/>
      <c r="N306" s="131"/>
      <c r="O306" s="131"/>
      <c r="P306" s="131"/>
      <c r="Q306" s="131"/>
      <c r="R306" s="131"/>
      <c r="S306" s="131"/>
      <c r="T306" s="131"/>
      <c r="U306" s="131"/>
      <c r="V306" s="131"/>
      <c r="W306" s="131"/>
      <c r="X306" s="131"/>
      <c r="Y306" s="131"/>
      <c r="Z306" s="131"/>
    </row>
    <row r="307" spans="1:26" ht="15.75" customHeight="1">
      <c r="A307" s="210"/>
      <c r="B307" s="210"/>
      <c r="C307" s="210"/>
      <c r="D307" s="178"/>
      <c r="E307" s="569"/>
      <c r="F307" s="569"/>
      <c r="G307" s="569"/>
      <c r="H307" s="569"/>
      <c r="I307" s="569"/>
      <c r="J307" s="131"/>
      <c r="K307" s="131"/>
      <c r="L307" s="131"/>
      <c r="M307" s="131"/>
      <c r="N307" s="131"/>
      <c r="O307" s="131"/>
      <c r="P307" s="131"/>
      <c r="Q307" s="131"/>
      <c r="R307" s="131"/>
      <c r="S307" s="131"/>
      <c r="T307" s="131"/>
      <c r="U307" s="131"/>
      <c r="V307" s="131"/>
      <c r="W307" s="131"/>
      <c r="X307" s="131"/>
      <c r="Y307" s="131"/>
      <c r="Z307" s="131"/>
    </row>
    <row r="308" spans="1:26" ht="15.75" customHeight="1">
      <c r="A308" s="210"/>
      <c r="B308" s="210"/>
      <c r="C308" s="210"/>
      <c r="D308" s="178"/>
      <c r="E308" s="569"/>
      <c r="F308" s="569"/>
      <c r="G308" s="569"/>
      <c r="H308" s="569"/>
      <c r="I308" s="569"/>
      <c r="J308" s="131"/>
      <c r="K308" s="131"/>
      <c r="L308" s="131"/>
      <c r="M308" s="131"/>
      <c r="N308" s="131"/>
      <c r="O308" s="131"/>
      <c r="P308" s="131"/>
      <c r="Q308" s="131"/>
      <c r="R308" s="131"/>
      <c r="S308" s="131"/>
      <c r="T308" s="131"/>
      <c r="U308" s="131"/>
      <c r="V308" s="131"/>
      <c r="W308" s="131"/>
      <c r="X308" s="131"/>
      <c r="Y308" s="131"/>
      <c r="Z308" s="131"/>
    </row>
    <row r="309" spans="1:26" ht="15.75" customHeight="1">
      <c r="A309" s="210"/>
      <c r="B309" s="210"/>
      <c r="C309" s="210"/>
      <c r="D309" s="178"/>
      <c r="E309" s="569"/>
      <c r="F309" s="569"/>
      <c r="G309" s="569"/>
      <c r="H309" s="569"/>
      <c r="I309" s="569"/>
      <c r="J309" s="131"/>
      <c r="K309" s="131"/>
      <c r="L309" s="131"/>
      <c r="M309" s="131"/>
      <c r="N309" s="131"/>
      <c r="O309" s="131"/>
      <c r="P309" s="131"/>
      <c r="Q309" s="131"/>
      <c r="R309" s="131"/>
      <c r="S309" s="131"/>
      <c r="T309" s="131"/>
      <c r="U309" s="131"/>
      <c r="V309" s="131"/>
      <c r="W309" s="131"/>
      <c r="X309" s="131"/>
      <c r="Y309" s="131"/>
      <c r="Z309" s="131"/>
    </row>
    <row r="310" spans="1:26" ht="15.75" customHeight="1">
      <c r="A310" s="210"/>
      <c r="B310" s="210"/>
      <c r="C310" s="210"/>
      <c r="D310" s="178"/>
      <c r="E310" s="569"/>
      <c r="F310" s="569"/>
      <c r="G310" s="569"/>
      <c r="H310" s="569"/>
      <c r="I310" s="569"/>
      <c r="J310" s="131"/>
      <c r="K310" s="131"/>
      <c r="L310" s="131"/>
      <c r="M310" s="131"/>
      <c r="N310" s="131"/>
      <c r="O310" s="131"/>
      <c r="P310" s="131"/>
      <c r="Q310" s="131"/>
      <c r="R310" s="131"/>
      <c r="S310" s="131"/>
      <c r="T310" s="131"/>
      <c r="U310" s="131"/>
      <c r="V310" s="131"/>
      <c r="W310" s="131"/>
      <c r="X310" s="131"/>
      <c r="Y310" s="131"/>
      <c r="Z310" s="131"/>
    </row>
    <row r="311" spans="1:26" ht="15.75" customHeight="1">
      <c r="A311" s="210"/>
      <c r="B311" s="210"/>
      <c r="C311" s="210"/>
      <c r="D311" s="178"/>
      <c r="E311" s="569"/>
      <c r="F311" s="569"/>
      <c r="G311" s="569"/>
      <c r="H311" s="569"/>
      <c r="I311" s="569"/>
      <c r="J311" s="131"/>
      <c r="K311" s="131"/>
      <c r="L311" s="131"/>
      <c r="M311" s="131"/>
      <c r="N311" s="131"/>
      <c r="O311" s="131"/>
      <c r="P311" s="131"/>
      <c r="Q311" s="131"/>
      <c r="R311" s="131"/>
      <c r="S311" s="131"/>
      <c r="T311" s="131"/>
      <c r="U311" s="131"/>
      <c r="V311" s="131"/>
      <c r="W311" s="131"/>
      <c r="X311" s="131"/>
      <c r="Y311" s="131"/>
      <c r="Z311" s="131"/>
    </row>
    <row r="312" spans="1:26" ht="15.75" customHeight="1">
      <c r="A312" s="210"/>
      <c r="B312" s="210"/>
      <c r="C312" s="210"/>
      <c r="D312" s="178"/>
      <c r="E312" s="569"/>
      <c r="F312" s="569"/>
      <c r="G312" s="569"/>
      <c r="H312" s="569"/>
      <c r="I312" s="569"/>
      <c r="J312" s="131"/>
      <c r="K312" s="131"/>
      <c r="L312" s="131"/>
      <c r="M312" s="131"/>
      <c r="N312" s="131"/>
      <c r="O312" s="131"/>
      <c r="P312" s="131"/>
      <c r="Q312" s="131"/>
      <c r="R312" s="131"/>
      <c r="S312" s="131"/>
      <c r="T312" s="131"/>
      <c r="U312" s="131"/>
      <c r="V312" s="131"/>
      <c r="W312" s="131"/>
      <c r="X312" s="131"/>
      <c r="Y312" s="131"/>
      <c r="Z312" s="131"/>
    </row>
    <row r="313" spans="1:26" ht="15.75" customHeight="1">
      <c r="A313" s="210"/>
      <c r="B313" s="210"/>
      <c r="C313" s="210"/>
      <c r="D313" s="178"/>
      <c r="E313" s="569"/>
      <c r="F313" s="569"/>
      <c r="G313" s="569"/>
      <c r="H313" s="569"/>
      <c r="I313" s="569"/>
      <c r="J313" s="131"/>
      <c r="K313" s="131"/>
      <c r="L313" s="131"/>
      <c r="M313" s="131"/>
      <c r="N313" s="131"/>
      <c r="O313" s="131"/>
      <c r="P313" s="131"/>
      <c r="Q313" s="131"/>
      <c r="R313" s="131"/>
      <c r="S313" s="131"/>
      <c r="T313" s="131"/>
      <c r="U313" s="131"/>
      <c r="V313" s="131"/>
      <c r="W313" s="131"/>
      <c r="X313" s="131"/>
      <c r="Y313" s="131"/>
      <c r="Z313" s="131"/>
    </row>
    <row r="314" spans="1:26" ht="15.75" customHeight="1">
      <c r="A314" s="210"/>
      <c r="B314" s="210"/>
      <c r="C314" s="210"/>
      <c r="D314" s="178"/>
      <c r="E314" s="569"/>
      <c r="F314" s="569"/>
      <c r="G314" s="569"/>
      <c r="H314" s="569"/>
      <c r="I314" s="569"/>
      <c r="J314" s="131"/>
      <c r="K314" s="131"/>
      <c r="L314" s="131"/>
      <c r="M314" s="131"/>
      <c r="N314" s="131"/>
      <c r="O314" s="131"/>
      <c r="P314" s="131"/>
      <c r="Q314" s="131"/>
      <c r="R314" s="131"/>
      <c r="S314" s="131"/>
      <c r="T314" s="131"/>
      <c r="U314" s="131"/>
      <c r="V314" s="131"/>
      <c r="W314" s="131"/>
      <c r="X314" s="131"/>
      <c r="Y314" s="131"/>
      <c r="Z314" s="131"/>
    </row>
    <row r="315" spans="1:26" ht="15.75" customHeight="1">
      <c r="A315" s="210"/>
      <c r="B315" s="210"/>
      <c r="C315" s="210"/>
      <c r="D315" s="178"/>
      <c r="E315" s="569"/>
      <c r="F315" s="569"/>
      <c r="G315" s="569"/>
      <c r="H315" s="569"/>
      <c r="I315" s="569"/>
      <c r="J315" s="131"/>
      <c r="K315" s="131"/>
      <c r="L315" s="131"/>
      <c r="M315" s="131"/>
      <c r="N315" s="131"/>
      <c r="O315" s="131"/>
      <c r="P315" s="131"/>
      <c r="Q315" s="131"/>
      <c r="R315" s="131"/>
      <c r="S315" s="131"/>
      <c r="T315" s="131"/>
      <c r="U315" s="131"/>
      <c r="V315" s="131"/>
      <c r="W315" s="131"/>
      <c r="X315" s="131"/>
      <c r="Y315" s="131"/>
      <c r="Z315" s="131"/>
    </row>
    <row r="316" spans="1:26" ht="15.75" customHeight="1">
      <c r="A316" s="210"/>
      <c r="B316" s="210"/>
      <c r="C316" s="210"/>
      <c r="D316" s="178"/>
      <c r="E316" s="569"/>
      <c r="F316" s="569"/>
      <c r="G316" s="569"/>
      <c r="H316" s="569"/>
      <c r="I316" s="569"/>
      <c r="J316" s="131"/>
      <c r="K316" s="131"/>
      <c r="L316" s="131"/>
      <c r="M316" s="131"/>
      <c r="N316" s="131"/>
      <c r="O316" s="131"/>
      <c r="P316" s="131"/>
      <c r="Q316" s="131"/>
      <c r="R316" s="131"/>
      <c r="S316" s="131"/>
      <c r="T316" s="131"/>
      <c r="U316" s="131"/>
      <c r="V316" s="131"/>
      <c r="W316" s="131"/>
      <c r="X316" s="131"/>
      <c r="Y316" s="131"/>
      <c r="Z316" s="131"/>
    </row>
    <row r="317" spans="1:26" ht="15.75" customHeight="1">
      <c r="A317" s="210"/>
      <c r="B317" s="210"/>
      <c r="C317" s="210"/>
      <c r="D317" s="178"/>
      <c r="E317" s="569"/>
      <c r="F317" s="569"/>
      <c r="G317" s="569"/>
      <c r="H317" s="569"/>
      <c r="I317" s="569"/>
      <c r="J317" s="131"/>
      <c r="K317" s="131"/>
      <c r="L317" s="131"/>
      <c r="M317" s="131"/>
      <c r="N317" s="131"/>
      <c r="O317" s="131"/>
      <c r="P317" s="131"/>
      <c r="Q317" s="131"/>
      <c r="R317" s="131"/>
      <c r="S317" s="131"/>
      <c r="T317" s="131"/>
      <c r="U317" s="131"/>
      <c r="V317" s="131"/>
      <c r="W317" s="131"/>
      <c r="X317" s="131"/>
      <c r="Y317" s="131"/>
      <c r="Z317" s="131"/>
    </row>
    <row r="318" spans="1:26" ht="15.75" customHeight="1">
      <c r="A318" s="210"/>
      <c r="B318" s="210"/>
      <c r="C318" s="210"/>
      <c r="D318" s="178"/>
      <c r="E318" s="569"/>
      <c r="F318" s="569"/>
      <c r="G318" s="569"/>
      <c r="H318" s="569"/>
      <c r="I318" s="569"/>
      <c r="J318" s="131"/>
      <c r="K318" s="131"/>
      <c r="L318" s="131"/>
      <c r="M318" s="131"/>
      <c r="N318" s="131"/>
      <c r="O318" s="131"/>
      <c r="P318" s="131"/>
      <c r="Q318" s="131"/>
      <c r="R318" s="131"/>
      <c r="S318" s="131"/>
      <c r="T318" s="131"/>
      <c r="U318" s="131"/>
      <c r="V318" s="131"/>
      <c r="W318" s="131"/>
      <c r="X318" s="131"/>
      <c r="Y318" s="131"/>
      <c r="Z318" s="131"/>
    </row>
    <row r="319" spans="1:26" ht="15.75" customHeight="1">
      <c r="A319" s="210"/>
      <c r="B319" s="210"/>
      <c r="C319" s="210"/>
      <c r="D319" s="178"/>
      <c r="E319" s="569"/>
      <c r="F319" s="569"/>
      <c r="G319" s="569"/>
      <c r="H319" s="569"/>
      <c r="I319" s="569"/>
      <c r="J319" s="131"/>
      <c r="K319" s="131"/>
      <c r="L319" s="131"/>
      <c r="M319" s="131"/>
      <c r="N319" s="131"/>
      <c r="O319" s="131"/>
      <c r="P319" s="131"/>
      <c r="Q319" s="131"/>
      <c r="R319" s="131"/>
      <c r="S319" s="131"/>
      <c r="T319" s="131"/>
      <c r="U319" s="131"/>
      <c r="V319" s="131"/>
      <c r="W319" s="131"/>
      <c r="X319" s="131"/>
      <c r="Y319" s="131"/>
      <c r="Z319" s="131"/>
    </row>
    <row r="320" spans="1:26" ht="15.75" customHeight="1">
      <c r="A320" s="210"/>
      <c r="B320" s="210"/>
      <c r="C320" s="210"/>
      <c r="D320" s="178"/>
      <c r="E320" s="569"/>
      <c r="F320" s="569"/>
      <c r="G320" s="569"/>
      <c r="H320" s="569"/>
      <c r="I320" s="569"/>
      <c r="J320" s="131"/>
      <c r="K320" s="131"/>
      <c r="L320" s="131"/>
      <c r="M320" s="131"/>
      <c r="N320" s="131"/>
      <c r="O320" s="131"/>
      <c r="P320" s="131"/>
      <c r="Q320" s="131"/>
      <c r="R320" s="131"/>
      <c r="S320" s="131"/>
      <c r="T320" s="131"/>
      <c r="U320" s="131"/>
      <c r="V320" s="131"/>
      <c r="W320" s="131"/>
      <c r="X320" s="131"/>
      <c r="Y320" s="131"/>
      <c r="Z320" s="131"/>
    </row>
    <row r="321" spans="1:26" ht="15.75" customHeight="1">
      <c r="A321" s="210"/>
      <c r="B321" s="210"/>
      <c r="C321" s="210"/>
      <c r="D321" s="178"/>
      <c r="E321" s="569"/>
      <c r="F321" s="569"/>
      <c r="G321" s="569"/>
      <c r="H321" s="569"/>
      <c r="I321" s="569"/>
      <c r="J321" s="131"/>
      <c r="K321" s="131"/>
      <c r="L321" s="131"/>
      <c r="M321" s="131"/>
      <c r="N321" s="131"/>
      <c r="O321" s="131"/>
      <c r="P321" s="131"/>
      <c r="Q321" s="131"/>
      <c r="R321" s="131"/>
      <c r="S321" s="131"/>
      <c r="T321" s="131"/>
      <c r="U321" s="131"/>
      <c r="V321" s="131"/>
      <c r="W321" s="131"/>
      <c r="X321" s="131"/>
      <c r="Y321" s="131"/>
      <c r="Z321" s="131"/>
    </row>
    <row r="322" spans="1:26" ht="15.75" customHeight="1">
      <c r="A322" s="210"/>
      <c r="B322" s="210"/>
      <c r="C322" s="210"/>
      <c r="D322" s="178"/>
      <c r="E322" s="569"/>
      <c r="F322" s="569"/>
      <c r="G322" s="569"/>
      <c r="H322" s="569"/>
      <c r="I322" s="569"/>
      <c r="J322" s="131"/>
      <c r="K322" s="131"/>
      <c r="L322" s="131"/>
      <c r="M322" s="131"/>
      <c r="N322" s="131"/>
      <c r="O322" s="131"/>
      <c r="P322" s="131"/>
      <c r="Q322" s="131"/>
      <c r="R322" s="131"/>
      <c r="S322" s="131"/>
      <c r="T322" s="131"/>
      <c r="U322" s="131"/>
      <c r="V322" s="131"/>
      <c r="W322" s="131"/>
      <c r="X322" s="131"/>
      <c r="Y322" s="131"/>
      <c r="Z322" s="131"/>
    </row>
    <row r="323" spans="1:26" ht="15.75" customHeight="1">
      <c r="A323" s="210"/>
      <c r="B323" s="210"/>
      <c r="C323" s="210"/>
      <c r="D323" s="178"/>
      <c r="E323" s="569"/>
      <c r="F323" s="569"/>
      <c r="G323" s="569"/>
      <c r="H323" s="569"/>
      <c r="I323" s="569"/>
      <c r="J323" s="131"/>
      <c r="K323" s="131"/>
      <c r="L323" s="131"/>
      <c r="M323" s="131"/>
      <c r="N323" s="131"/>
      <c r="O323" s="131"/>
      <c r="P323" s="131"/>
      <c r="Q323" s="131"/>
      <c r="R323" s="131"/>
      <c r="S323" s="131"/>
      <c r="T323" s="131"/>
      <c r="U323" s="131"/>
      <c r="V323" s="131"/>
      <c r="W323" s="131"/>
      <c r="X323" s="131"/>
      <c r="Y323" s="131"/>
      <c r="Z323" s="131"/>
    </row>
    <row r="324" spans="1:26" ht="15.75" customHeight="1">
      <c r="A324" s="210"/>
      <c r="B324" s="210"/>
      <c r="C324" s="210"/>
      <c r="D324" s="178"/>
      <c r="E324" s="569"/>
      <c r="F324" s="569"/>
      <c r="G324" s="569"/>
      <c r="H324" s="569"/>
      <c r="I324" s="569"/>
      <c r="J324" s="131"/>
      <c r="K324" s="131"/>
      <c r="L324" s="131"/>
      <c r="M324" s="131"/>
      <c r="N324" s="131"/>
      <c r="O324" s="131"/>
      <c r="P324" s="131"/>
      <c r="Q324" s="131"/>
      <c r="R324" s="131"/>
      <c r="S324" s="131"/>
      <c r="T324" s="131"/>
      <c r="U324" s="131"/>
      <c r="V324" s="131"/>
      <c r="W324" s="131"/>
      <c r="X324" s="131"/>
      <c r="Y324" s="131"/>
      <c r="Z324" s="131"/>
    </row>
    <row r="325" spans="1:26" ht="15.75" customHeight="1">
      <c r="A325" s="210"/>
      <c r="B325" s="210"/>
      <c r="C325" s="210"/>
      <c r="D325" s="178"/>
      <c r="E325" s="569"/>
      <c r="F325" s="569"/>
      <c r="G325" s="569"/>
      <c r="H325" s="569"/>
      <c r="I325" s="569"/>
      <c r="J325" s="131"/>
      <c r="K325" s="131"/>
      <c r="L325" s="131"/>
      <c r="M325" s="131"/>
      <c r="N325" s="131"/>
      <c r="O325" s="131"/>
      <c r="P325" s="131"/>
      <c r="Q325" s="131"/>
      <c r="R325" s="131"/>
      <c r="S325" s="131"/>
      <c r="T325" s="131"/>
      <c r="U325" s="131"/>
      <c r="V325" s="131"/>
      <c r="W325" s="131"/>
      <c r="X325" s="131"/>
      <c r="Y325" s="131"/>
      <c r="Z325" s="131"/>
    </row>
    <row r="326" spans="1:26" ht="15.75" customHeight="1">
      <c r="A326" s="210"/>
      <c r="B326" s="210"/>
      <c r="C326" s="210"/>
      <c r="D326" s="178"/>
      <c r="E326" s="569"/>
      <c r="F326" s="569"/>
      <c r="G326" s="569"/>
      <c r="H326" s="569"/>
      <c r="I326" s="569"/>
      <c r="J326" s="131"/>
      <c r="K326" s="131"/>
      <c r="L326" s="131"/>
      <c r="M326" s="131"/>
      <c r="N326" s="131"/>
      <c r="O326" s="131"/>
      <c r="P326" s="131"/>
      <c r="Q326" s="131"/>
      <c r="R326" s="131"/>
      <c r="S326" s="131"/>
      <c r="T326" s="131"/>
      <c r="U326" s="131"/>
      <c r="V326" s="131"/>
      <c r="W326" s="131"/>
      <c r="X326" s="131"/>
      <c r="Y326" s="131"/>
      <c r="Z326" s="131"/>
    </row>
    <row r="327" spans="1:26" ht="15.75" customHeight="1">
      <c r="A327" s="210"/>
      <c r="B327" s="210"/>
      <c r="C327" s="210"/>
      <c r="D327" s="178"/>
      <c r="E327" s="569"/>
      <c r="F327" s="569"/>
      <c r="G327" s="569"/>
      <c r="H327" s="569"/>
      <c r="I327" s="569"/>
      <c r="J327" s="131"/>
      <c r="K327" s="131"/>
      <c r="L327" s="131"/>
      <c r="M327" s="131"/>
      <c r="N327" s="131"/>
      <c r="O327" s="131"/>
      <c r="P327" s="131"/>
      <c r="Q327" s="131"/>
      <c r="R327" s="131"/>
      <c r="S327" s="131"/>
      <c r="T327" s="131"/>
      <c r="U327" s="131"/>
      <c r="V327" s="131"/>
      <c r="W327" s="131"/>
      <c r="X327" s="131"/>
      <c r="Y327" s="131"/>
      <c r="Z327" s="131"/>
    </row>
    <row r="328" spans="1:26" ht="15.75" customHeight="1">
      <c r="A328" s="210"/>
      <c r="B328" s="210"/>
      <c r="C328" s="210"/>
      <c r="D328" s="178"/>
      <c r="E328" s="569"/>
      <c r="F328" s="569"/>
      <c r="G328" s="569"/>
      <c r="H328" s="569"/>
      <c r="I328" s="569"/>
      <c r="J328" s="131"/>
      <c r="K328" s="131"/>
      <c r="L328" s="131"/>
      <c r="M328" s="131"/>
      <c r="N328" s="131"/>
      <c r="O328" s="131"/>
      <c r="P328" s="131"/>
      <c r="Q328" s="131"/>
      <c r="R328" s="131"/>
      <c r="S328" s="131"/>
      <c r="T328" s="131"/>
      <c r="U328" s="131"/>
      <c r="V328" s="131"/>
      <c r="W328" s="131"/>
      <c r="X328" s="131"/>
      <c r="Y328" s="131"/>
      <c r="Z328" s="131"/>
    </row>
    <row r="329" spans="1:26" ht="15.75" customHeight="1">
      <c r="A329" s="210"/>
      <c r="B329" s="210"/>
      <c r="C329" s="210"/>
      <c r="D329" s="178"/>
      <c r="E329" s="569"/>
      <c r="F329" s="569"/>
      <c r="G329" s="569"/>
      <c r="H329" s="569"/>
      <c r="I329" s="569"/>
      <c r="J329" s="131"/>
      <c r="K329" s="131"/>
      <c r="L329" s="131"/>
      <c r="M329" s="131"/>
      <c r="N329" s="131"/>
      <c r="O329" s="131"/>
      <c r="P329" s="131"/>
      <c r="Q329" s="131"/>
      <c r="R329" s="131"/>
      <c r="S329" s="131"/>
      <c r="T329" s="131"/>
      <c r="U329" s="131"/>
      <c r="V329" s="131"/>
      <c r="W329" s="131"/>
      <c r="X329" s="131"/>
      <c r="Y329" s="131"/>
      <c r="Z329" s="131"/>
    </row>
    <row r="330" spans="1:26" ht="15.75" customHeight="1">
      <c r="A330" s="210"/>
      <c r="B330" s="210"/>
      <c r="C330" s="210"/>
      <c r="D330" s="178"/>
      <c r="E330" s="569"/>
      <c r="F330" s="569"/>
      <c r="G330" s="569"/>
      <c r="H330" s="569"/>
      <c r="I330" s="569"/>
      <c r="J330" s="131"/>
      <c r="K330" s="131"/>
      <c r="L330" s="131"/>
      <c r="M330" s="131"/>
      <c r="N330" s="131"/>
      <c r="O330" s="131"/>
      <c r="P330" s="131"/>
      <c r="Q330" s="131"/>
      <c r="R330" s="131"/>
      <c r="S330" s="131"/>
      <c r="T330" s="131"/>
      <c r="U330" s="131"/>
      <c r="V330" s="131"/>
      <c r="W330" s="131"/>
      <c r="X330" s="131"/>
      <c r="Y330" s="131"/>
      <c r="Z330" s="131"/>
    </row>
    <row r="331" spans="1:26" ht="15.75" customHeight="1">
      <c r="A331" s="210"/>
      <c r="B331" s="210"/>
      <c r="C331" s="210"/>
      <c r="D331" s="178"/>
      <c r="E331" s="569"/>
      <c r="F331" s="569"/>
      <c r="G331" s="569"/>
      <c r="H331" s="569"/>
      <c r="I331" s="569"/>
      <c r="J331" s="131"/>
      <c r="K331" s="131"/>
      <c r="L331" s="131"/>
      <c r="M331" s="131"/>
      <c r="N331" s="131"/>
      <c r="O331" s="131"/>
      <c r="P331" s="131"/>
      <c r="Q331" s="131"/>
      <c r="R331" s="131"/>
      <c r="S331" s="131"/>
      <c r="T331" s="131"/>
      <c r="U331" s="131"/>
      <c r="V331" s="131"/>
      <c r="W331" s="131"/>
      <c r="X331" s="131"/>
      <c r="Y331" s="131"/>
      <c r="Z331" s="131"/>
    </row>
    <row r="332" spans="1:26" ht="15.75" customHeight="1">
      <c r="A332" s="210"/>
      <c r="B332" s="210"/>
      <c r="C332" s="210"/>
      <c r="D332" s="178"/>
      <c r="E332" s="569"/>
      <c r="F332" s="569"/>
      <c r="G332" s="569"/>
      <c r="H332" s="569"/>
      <c r="I332" s="569"/>
      <c r="J332" s="131"/>
      <c r="K332" s="131"/>
      <c r="L332" s="131"/>
      <c r="M332" s="131"/>
      <c r="N332" s="131"/>
      <c r="O332" s="131"/>
      <c r="P332" s="131"/>
      <c r="Q332" s="131"/>
      <c r="R332" s="131"/>
      <c r="S332" s="131"/>
      <c r="T332" s="131"/>
      <c r="U332" s="131"/>
      <c r="V332" s="131"/>
      <c r="W332" s="131"/>
      <c r="X332" s="131"/>
      <c r="Y332" s="131"/>
      <c r="Z332" s="131"/>
    </row>
    <row r="333" spans="1:26" ht="15.75" customHeight="1">
      <c r="A333" s="210"/>
      <c r="B333" s="210"/>
      <c r="C333" s="210"/>
      <c r="D333" s="178"/>
      <c r="E333" s="569"/>
      <c r="F333" s="569"/>
      <c r="G333" s="569"/>
      <c r="H333" s="569"/>
      <c r="I333" s="569"/>
      <c r="J333" s="131"/>
      <c r="K333" s="131"/>
      <c r="L333" s="131"/>
      <c r="M333" s="131"/>
      <c r="N333" s="131"/>
      <c r="O333" s="131"/>
      <c r="P333" s="131"/>
      <c r="Q333" s="131"/>
      <c r="R333" s="131"/>
      <c r="S333" s="131"/>
      <c r="T333" s="131"/>
      <c r="U333" s="131"/>
      <c r="V333" s="131"/>
      <c r="W333" s="131"/>
      <c r="X333" s="131"/>
      <c r="Y333" s="131"/>
      <c r="Z333" s="131"/>
    </row>
    <row r="334" spans="1:26" ht="15.75" customHeight="1">
      <c r="A334" s="210"/>
      <c r="B334" s="210"/>
      <c r="C334" s="210"/>
      <c r="D334" s="178"/>
      <c r="E334" s="569"/>
      <c r="F334" s="569"/>
      <c r="G334" s="569"/>
      <c r="H334" s="569"/>
      <c r="I334" s="569"/>
      <c r="J334" s="131"/>
      <c r="K334" s="131"/>
      <c r="L334" s="131"/>
      <c r="M334" s="131"/>
      <c r="N334" s="131"/>
      <c r="O334" s="131"/>
      <c r="P334" s="131"/>
      <c r="Q334" s="131"/>
      <c r="R334" s="131"/>
      <c r="S334" s="131"/>
      <c r="T334" s="131"/>
      <c r="U334" s="131"/>
      <c r="V334" s="131"/>
      <c r="W334" s="131"/>
      <c r="X334" s="131"/>
      <c r="Y334" s="131"/>
      <c r="Z334" s="131"/>
    </row>
    <row r="335" spans="1:26" ht="15.75" customHeight="1">
      <c r="A335" s="210"/>
      <c r="B335" s="210"/>
      <c r="C335" s="210"/>
      <c r="D335" s="178"/>
      <c r="E335" s="569"/>
      <c r="F335" s="569"/>
      <c r="G335" s="569"/>
      <c r="H335" s="569"/>
      <c r="I335" s="569"/>
      <c r="J335" s="131"/>
      <c r="K335" s="131"/>
      <c r="L335" s="131"/>
      <c r="M335" s="131"/>
      <c r="N335" s="131"/>
      <c r="O335" s="131"/>
      <c r="P335" s="131"/>
      <c r="Q335" s="131"/>
      <c r="R335" s="131"/>
      <c r="S335" s="131"/>
      <c r="T335" s="131"/>
      <c r="U335" s="131"/>
      <c r="V335" s="131"/>
      <c r="W335" s="131"/>
      <c r="X335" s="131"/>
      <c r="Y335" s="131"/>
      <c r="Z335" s="131"/>
    </row>
    <row r="336" spans="1:26" ht="15.75" customHeight="1">
      <c r="A336" s="210"/>
      <c r="B336" s="210"/>
      <c r="C336" s="210"/>
      <c r="D336" s="178"/>
      <c r="E336" s="569"/>
      <c r="F336" s="569"/>
      <c r="G336" s="569"/>
      <c r="H336" s="569"/>
      <c r="I336" s="569"/>
      <c r="J336" s="131"/>
      <c r="K336" s="131"/>
      <c r="L336" s="131"/>
      <c r="M336" s="131"/>
      <c r="N336" s="131"/>
      <c r="O336" s="131"/>
      <c r="P336" s="131"/>
      <c r="Q336" s="131"/>
      <c r="R336" s="131"/>
      <c r="S336" s="131"/>
      <c r="T336" s="131"/>
      <c r="U336" s="131"/>
      <c r="V336" s="131"/>
      <c r="W336" s="131"/>
      <c r="X336" s="131"/>
      <c r="Y336" s="131"/>
      <c r="Z336" s="131"/>
    </row>
    <row r="337" spans="1:26" ht="15.75" customHeight="1">
      <c r="A337" s="210"/>
      <c r="B337" s="210"/>
      <c r="C337" s="210"/>
      <c r="D337" s="178"/>
      <c r="E337" s="569"/>
      <c r="F337" s="569"/>
      <c r="G337" s="569"/>
      <c r="H337" s="569"/>
      <c r="I337" s="569"/>
      <c r="J337" s="131"/>
      <c r="K337" s="131"/>
      <c r="L337" s="131"/>
      <c r="M337" s="131"/>
      <c r="N337" s="131"/>
      <c r="O337" s="131"/>
      <c r="P337" s="131"/>
      <c r="Q337" s="131"/>
      <c r="R337" s="131"/>
      <c r="S337" s="131"/>
      <c r="T337" s="131"/>
      <c r="U337" s="131"/>
      <c r="V337" s="131"/>
      <c r="W337" s="131"/>
      <c r="X337" s="131"/>
      <c r="Y337" s="131"/>
      <c r="Z337" s="131"/>
    </row>
    <row r="338" spans="1:26" ht="15.75" customHeight="1">
      <c r="A338" s="210"/>
      <c r="B338" s="210"/>
      <c r="C338" s="210"/>
      <c r="D338" s="178"/>
      <c r="E338" s="569"/>
      <c r="F338" s="569"/>
      <c r="G338" s="569"/>
      <c r="H338" s="569"/>
      <c r="I338" s="569"/>
      <c r="J338" s="131"/>
      <c r="K338" s="131"/>
      <c r="L338" s="131"/>
      <c r="M338" s="131"/>
      <c r="N338" s="131"/>
      <c r="O338" s="131"/>
      <c r="P338" s="131"/>
      <c r="Q338" s="131"/>
      <c r="R338" s="131"/>
      <c r="S338" s="131"/>
      <c r="T338" s="131"/>
      <c r="U338" s="131"/>
      <c r="V338" s="131"/>
      <c r="W338" s="131"/>
      <c r="X338" s="131"/>
      <c r="Y338" s="131"/>
      <c r="Z338" s="131"/>
    </row>
    <row r="339" spans="1:26" ht="15.75" customHeight="1">
      <c r="A339" s="210"/>
      <c r="B339" s="210"/>
      <c r="C339" s="210"/>
      <c r="D339" s="178"/>
      <c r="E339" s="569"/>
      <c r="F339" s="569"/>
      <c r="G339" s="569"/>
      <c r="H339" s="569"/>
      <c r="I339" s="569"/>
      <c r="J339" s="131"/>
      <c r="K339" s="131"/>
      <c r="L339" s="131"/>
      <c r="M339" s="131"/>
      <c r="N339" s="131"/>
      <c r="O339" s="131"/>
      <c r="P339" s="131"/>
      <c r="Q339" s="131"/>
      <c r="R339" s="131"/>
      <c r="S339" s="131"/>
      <c r="T339" s="131"/>
      <c r="U339" s="131"/>
      <c r="V339" s="131"/>
      <c r="W339" s="131"/>
      <c r="X339" s="131"/>
      <c r="Y339" s="131"/>
      <c r="Z339" s="131"/>
    </row>
    <row r="340" spans="1:26" ht="15.75" customHeight="1">
      <c r="A340" s="210"/>
      <c r="B340" s="210"/>
      <c r="C340" s="210"/>
      <c r="D340" s="178"/>
      <c r="E340" s="569"/>
      <c r="F340" s="569"/>
      <c r="G340" s="569"/>
      <c r="H340" s="569"/>
      <c r="I340" s="569"/>
      <c r="J340" s="131"/>
      <c r="K340" s="131"/>
      <c r="L340" s="131"/>
      <c r="M340" s="131"/>
      <c r="N340" s="131"/>
      <c r="O340" s="131"/>
      <c r="P340" s="131"/>
      <c r="Q340" s="131"/>
      <c r="R340" s="131"/>
      <c r="S340" s="131"/>
      <c r="T340" s="131"/>
      <c r="U340" s="131"/>
      <c r="V340" s="131"/>
      <c r="W340" s="131"/>
      <c r="X340" s="131"/>
      <c r="Y340" s="131"/>
      <c r="Z340" s="131"/>
    </row>
    <row r="341" spans="1:26" ht="15.75" customHeight="1">
      <c r="A341" s="210"/>
      <c r="B341" s="210"/>
      <c r="C341" s="210"/>
      <c r="D341" s="178"/>
      <c r="E341" s="569"/>
      <c r="F341" s="569"/>
      <c r="G341" s="569"/>
      <c r="H341" s="569"/>
      <c r="I341" s="569"/>
      <c r="J341" s="131"/>
      <c r="K341" s="131"/>
      <c r="L341" s="131"/>
      <c r="M341" s="131"/>
      <c r="N341" s="131"/>
      <c r="O341" s="131"/>
      <c r="P341" s="131"/>
      <c r="Q341" s="131"/>
      <c r="R341" s="131"/>
      <c r="S341" s="131"/>
      <c r="T341" s="131"/>
      <c r="U341" s="131"/>
      <c r="V341" s="131"/>
      <c r="W341" s="131"/>
      <c r="X341" s="131"/>
      <c r="Y341" s="131"/>
      <c r="Z341" s="131"/>
    </row>
    <row r="342" spans="1:26" ht="15.75" customHeight="1">
      <c r="A342" s="210"/>
      <c r="B342" s="210"/>
      <c r="C342" s="210"/>
      <c r="D342" s="178"/>
      <c r="E342" s="569"/>
      <c r="F342" s="569"/>
      <c r="G342" s="569"/>
      <c r="H342" s="569"/>
      <c r="I342" s="569"/>
      <c r="J342" s="131"/>
      <c r="K342" s="131"/>
      <c r="L342" s="131"/>
      <c r="M342" s="131"/>
      <c r="N342" s="131"/>
      <c r="O342" s="131"/>
      <c r="P342" s="131"/>
      <c r="Q342" s="131"/>
      <c r="R342" s="131"/>
      <c r="S342" s="131"/>
      <c r="T342" s="131"/>
      <c r="U342" s="131"/>
      <c r="V342" s="131"/>
      <c r="W342" s="131"/>
      <c r="X342" s="131"/>
      <c r="Y342" s="131"/>
      <c r="Z342" s="131"/>
    </row>
    <row r="343" spans="1:26" ht="15.75" customHeight="1">
      <c r="A343" s="210"/>
      <c r="B343" s="210"/>
      <c r="C343" s="210"/>
      <c r="D343" s="178"/>
      <c r="E343" s="569"/>
      <c r="F343" s="569"/>
      <c r="G343" s="569"/>
      <c r="H343" s="569"/>
      <c r="I343" s="569"/>
      <c r="J343" s="131"/>
      <c r="K343" s="131"/>
      <c r="L343" s="131"/>
      <c r="M343" s="131"/>
      <c r="N343" s="131"/>
      <c r="O343" s="131"/>
      <c r="P343" s="131"/>
      <c r="Q343" s="131"/>
      <c r="R343" s="131"/>
      <c r="S343" s="131"/>
      <c r="T343" s="131"/>
      <c r="U343" s="131"/>
      <c r="V343" s="131"/>
      <c r="W343" s="131"/>
      <c r="X343" s="131"/>
      <c r="Y343" s="131"/>
      <c r="Z343" s="131"/>
    </row>
    <row r="344" spans="1:26" ht="15.75" customHeight="1">
      <c r="A344" s="210"/>
      <c r="B344" s="210"/>
      <c r="C344" s="210"/>
      <c r="D344" s="178"/>
      <c r="E344" s="569"/>
      <c r="F344" s="569"/>
      <c r="G344" s="569"/>
      <c r="H344" s="569"/>
      <c r="I344" s="569"/>
      <c r="J344" s="131"/>
      <c r="K344" s="131"/>
      <c r="L344" s="131"/>
      <c r="M344" s="131"/>
      <c r="N344" s="131"/>
      <c r="O344" s="131"/>
      <c r="P344" s="131"/>
      <c r="Q344" s="131"/>
      <c r="R344" s="131"/>
      <c r="S344" s="131"/>
      <c r="T344" s="131"/>
      <c r="U344" s="131"/>
      <c r="V344" s="131"/>
      <c r="W344" s="131"/>
      <c r="X344" s="131"/>
      <c r="Y344" s="131"/>
      <c r="Z344" s="131"/>
    </row>
    <row r="345" spans="1:26" ht="15.75" customHeight="1">
      <c r="A345" s="210"/>
      <c r="B345" s="210"/>
      <c r="C345" s="210"/>
      <c r="D345" s="178"/>
      <c r="E345" s="569"/>
      <c r="F345" s="569"/>
      <c r="G345" s="569"/>
      <c r="H345" s="569"/>
      <c r="I345" s="569"/>
      <c r="J345" s="131"/>
      <c r="K345" s="131"/>
      <c r="L345" s="131"/>
      <c r="M345" s="131"/>
      <c r="N345" s="131"/>
      <c r="O345" s="131"/>
      <c r="P345" s="131"/>
      <c r="Q345" s="131"/>
      <c r="R345" s="131"/>
      <c r="S345" s="131"/>
      <c r="T345" s="131"/>
      <c r="U345" s="131"/>
      <c r="V345" s="131"/>
      <c r="W345" s="131"/>
      <c r="X345" s="131"/>
      <c r="Y345" s="131"/>
      <c r="Z345" s="131"/>
    </row>
    <row r="346" spans="1:26" ht="15.75" customHeight="1">
      <c r="A346" s="210"/>
      <c r="B346" s="210"/>
      <c r="C346" s="210"/>
      <c r="D346" s="178"/>
      <c r="E346" s="569"/>
      <c r="F346" s="569"/>
      <c r="G346" s="569"/>
      <c r="H346" s="569"/>
      <c r="I346" s="569"/>
      <c r="J346" s="131"/>
      <c r="K346" s="131"/>
      <c r="L346" s="131"/>
      <c r="M346" s="131"/>
      <c r="N346" s="131"/>
      <c r="O346" s="131"/>
      <c r="P346" s="131"/>
      <c r="Q346" s="131"/>
      <c r="R346" s="131"/>
      <c r="S346" s="131"/>
      <c r="T346" s="131"/>
      <c r="U346" s="131"/>
      <c r="V346" s="131"/>
      <c r="W346" s="131"/>
      <c r="X346" s="131"/>
      <c r="Y346" s="131"/>
      <c r="Z346" s="131"/>
    </row>
    <row r="347" spans="1:26" ht="15.75" customHeight="1">
      <c r="A347" s="210"/>
      <c r="B347" s="210"/>
      <c r="C347" s="210"/>
      <c r="D347" s="178"/>
      <c r="E347" s="569"/>
      <c r="F347" s="569"/>
      <c r="G347" s="569"/>
      <c r="H347" s="569"/>
      <c r="I347" s="569"/>
      <c r="J347" s="131"/>
      <c r="K347" s="131"/>
      <c r="L347" s="131"/>
      <c r="M347" s="131"/>
      <c r="N347" s="131"/>
      <c r="O347" s="131"/>
      <c r="P347" s="131"/>
      <c r="Q347" s="131"/>
      <c r="R347" s="131"/>
      <c r="S347" s="131"/>
      <c r="T347" s="131"/>
      <c r="U347" s="131"/>
      <c r="V347" s="131"/>
      <c r="W347" s="131"/>
      <c r="X347" s="131"/>
      <c r="Y347" s="131"/>
      <c r="Z347" s="131"/>
    </row>
    <row r="348" spans="1:26" ht="15.75" customHeight="1">
      <c r="A348" s="210"/>
      <c r="B348" s="210"/>
      <c r="C348" s="210"/>
      <c r="D348" s="178"/>
      <c r="E348" s="569"/>
      <c r="F348" s="569"/>
      <c r="G348" s="569"/>
      <c r="H348" s="569"/>
      <c r="I348" s="569"/>
      <c r="J348" s="131"/>
      <c r="K348" s="131"/>
      <c r="L348" s="131"/>
      <c r="M348" s="131"/>
      <c r="N348" s="131"/>
      <c r="O348" s="131"/>
      <c r="P348" s="131"/>
      <c r="Q348" s="131"/>
      <c r="R348" s="131"/>
      <c r="S348" s="131"/>
      <c r="T348" s="131"/>
      <c r="U348" s="131"/>
      <c r="V348" s="131"/>
      <c r="W348" s="131"/>
      <c r="X348" s="131"/>
      <c r="Y348" s="131"/>
      <c r="Z348" s="131"/>
    </row>
    <row r="349" spans="1:26" ht="15.75" customHeight="1">
      <c r="A349" s="210"/>
      <c r="B349" s="210"/>
      <c r="C349" s="210"/>
      <c r="D349" s="178"/>
      <c r="E349" s="569"/>
      <c r="F349" s="569"/>
      <c r="G349" s="569"/>
      <c r="H349" s="569"/>
      <c r="I349" s="569"/>
      <c r="J349" s="131"/>
      <c r="K349" s="131"/>
      <c r="L349" s="131"/>
      <c r="M349" s="131"/>
      <c r="N349" s="131"/>
      <c r="O349" s="131"/>
      <c r="P349" s="131"/>
      <c r="Q349" s="131"/>
      <c r="R349" s="131"/>
      <c r="S349" s="131"/>
      <c r="T349" s="131"/>
      <c r="U349" s="131"/>
      <c r="V349" s="131"/>
      <c r="W349" s="131"/>
      <c r="X349" s="131"/>
      <c r="Y349" s="131"/>
      <c r="Z349" s="131"/>
    </row>
    <row r="350" spans="1:26" ht="15.75" customHeight="1">
      <c r="A350" s="210"/>
      <c r="B350" s="210"/>
      <c r="C350" s="210"/>
      <c r="D350" s="178"/>
      <c r="E350" s="569"/>
      <c r="F350" s="569"/>
      <c r="G350" s="569"/>
      <c r="H350" s="569"/>
      <c r="I350" s="569"/>
      <c r="J350" s="131"/>
      <c r="K350" s="131"/>
      <c r="L350" s="131"/>
      <c r="M350" s="131"/>
      <c r="N350" s="131"/>
      <c r="O350" s="131"/>
      <c r="P350" s="131"/>
      <c r="Q350" s="131"/>
      <c r="R350" s="131"/>
      <c r="S350" s="131"/>
      <c r="T350" s="131"/>
      <c r="U350" s="131"/>
      <c r="V350" s="131"/>
      <c r="W350" s="131"/>
      <c r="X350" s="131"/>
      <c r="Y350" s="131"/>
      <c r="Z350" s="131"/>
    </row>
    <row r="351" spans="1:26" ht="15.75" customHeight="1">
      <c r="A351" s="210"/>
      <c r="B351" s="210"/>
      <c r="C351" s="210"/>
      <c r="D351" s="178"/>
      <c r="E351" s="569"/>
      <c r="F351" s="569"/>
      <c r="G351" s="569"/>
      <c r="H351" s="569"/>
      <c r="I351" s="569"/>
      <c r="J351" s="131"/>
      <c r="K351" s="131"/>
      <c r="L351" s="131"/>
      <c r="M351" s="131"/>
      <c r="N351" s="131"/>
      <c r="O351" s="131"/>
      <c r="P351" s="131"/>
      <c r="Q351" s="131"/>
      <c r="R351" s="131"/>
      <c r="S351" s="131"/>
      <c r="T351" s="131"/>
      <c r="U351" s="131"/>
      <c r="V351" s="131"/>
      <c r="W351" s="131"/>
      <c r="X351" s="131"/>
      <c r="Y351" s="131"/>
      <c r="Z351" s="131"/>
    </row>
    <row r="352" spans="1:26" ht="15.75" customHeight="1">
      <c r="A352" s="210"/>
      <c r="B352" s="210"/>
      <c r="C352" s="210"/>
      <c r="D352" s="178"/>
      <c r="E352" s="569"/>
      <c r="F352" s="569"/>
      <c r="G352" s="569"/>
      <c r="H352" s="569"/>
      <c r="I352" s="569"/>
      <c r="J352" s="131"/>
      <c r="K352" s="131"/>
      <c r="L352" s="131"/>
      <c r="M352" s="131"/>
      <c r="N352" s="131"/>
      <c r="O352" s="131"/>
      <c r="P352" s="131"/>
      <c r="Q352" s="131"/>
      <c r="R352" s="131"/>
      <c r="S352" s="131"/>
      <c r="T352" s="131"/>
      <c r="U352" s="131"/>
      <c r="V352" s="131"/>
      <c r="W352" s="131"/>
      <c r="X352" s="131"/>
      <c r="Y352" s="131"/>
      <c r="Z352" s="131"/>
    </row>
    <row r="353" spans="1:26" ht="15.75" customHeight="1">
      <c r="A353" s="210"/>
      <c r="B353" s="210"/>
      <c r="C353" s="210"/>
      <c r="D353" s="178"/>
      <c r="E353" s="569"/>
      <c r="F353" s="569"/>
      <c r="G353" s="569"/>
      <c r="H353" s="569"/>
      <c r="I353" s="569"/>
      <c r="J353" s="131"/>
      <c r="K353" s="131"/>
      <c r="L353" s="131"/>
      <c r="M353" s="131"/>
      <c r="N353" s="131"/>
      <c r="O353" s="131"/>
      <c r="P353" s="131"/>
      <c r="Q353" s="131"/>
      <c r="R353" s="131"/>
      <c r="S353" s="131"/>
      <c r="T353" s="131"/>
      <c r="U353" s="131"/>
      <c r="V353" s="131"/>
      <c r="W353" s="131"/>
      <c r="X353" s="131"/>
      <c r="Y353" s="131"/>
      <c r="Z353" s="131"/>
    </row>
    <row r="354" spans="1:26" ht="15.75" customHeight="1">
      <c r="A354" s="210"/>
      <c r="B354" s="210"/>
      <c r="C354" s="210"/>
      <c r="D354" s="178"/>
      <c r="E354" s="569"/>
      <c r="F354" s="569"/>
      <c r="G354" s="569"/>
      <c r="H354" s="569"/>
      <c r="I354" s="569"/>
      <c r="J354" s="131"/>
      <c r="K354" s="131"/>
      <c r="L354" s="131"/>
      <c r="M354" s="131"/>
      <c r="N354" s="131"/>
      <c r="O354" s="131"/>
      <c r="P354" s="131"/>
      <c r="Q354" s="131"/>
      <c r="R354" s="131"/>
      <c r="S354" s="131"/>
      <c r="T354" s="131"/>
      <c r="U354" s="131"/>
      <c r="V354" s="131"/>
      <c r="W354" s="131"/>
      <c r="X354" s="131"/>
      <c r="Y354" s="131"/>
      <c r="Z354" s="131"/>
    </row>
    <row r="355" spans="1:26" ht="15.75" customHeight="1">
      <c r="A355" s="210"/>
      <c r="B355" s="210"/>
      <c r="C355" s="210"/>
      <c r="D355" s="178"/>
      <c r="E355" s="569"/>
      <c r="F355" s="569"/>
      <c r="G355" s="569"/>
      <c r="H355" s="569"/>
      <c r="I355" s="569"/>
      <c r="J355" s="131"/>
      <c r="K355" s="131"/>
      <c r="L355" s="131"/>
      <c r="M355" s="131"/>
      <c r="N355" s="131"/>
      <c r="O355" s="131"/>
      <c r="P355" s="131"/>
      <c r="Q355" s="131"/>
      <c r="R355" s="131"/>
      <c r="S355" s="131"/>
      <c r="T355" s="131"/>
      <c r="U355" s="131"/>
      <c r="V355" s="131"/>
      <c r="W355" s="131"/>
      <c r="X355" s="131"/>
      <c r="Y355" s="131"/>
      <c r="Z355" s="131"/>
    </row>
    <row r="356" spans="1:26" ht="15.75" customHeight="1">
      <c r="A356" s="210"/>
      <c r="B356" s="210"/>
      <c r="C356" s="210"/>
      <c r="D356" s="178"/>
      <c r="E356" s="569"/>
      <c r="F356" s="569"/>
      <c r="G356" s="569"/>
      <c r="H356" s="569"/>
      <c r="I356" s="569"/>
      <c r="J356" s="131"/>
      <c r="K356" s="131"/>
      <c r="L356" s="131"/>
      <c r="M356" s="131"/>
      <c r="N356" s="131"/>
      <c r="O356" s="131"/>
      <c r="P356" s="131"/>
      <c r="Q356" s="131"/>
      <c r="R356" s="131"/>
      <c r="S356" s="131"/>
      <c r="T356" s="131"/>
      <c r="U356" s="131"/>
      <c r="V356" s="131"/>
      <c r="W356" s="131"/>
      <c r="X356" s="131"/>
      <c r="Y356" s="131"/>
      <c r="Z356" s="131"/>
    </row>
    <row r="357" spans="1:26" ht="15.75" customHeight="1">
      <c r="A357" s="210"/>
      <c r="B357" s="210"/>
      <c r="C357" s="210"/>
      <c r="D357" s="178"/>
      <c r="E357" s="569"/>
      <c r="F357" s="569"/>
      <c r="G357" s="569"/>
      <c r="H357" s="569"/>
      <c r="I357" s="569"/>
      <c r="J357" s="131"/>
      <c r="K357" s="131"/>
      <c r="L357" s="131"/>
      <c r="M357" s="131"/>
      <c r="N357" s="131"/>
      <c r="O357" s="131"/>
      <c r="P357" s="131"/>
      <c r="Q357" s="131"/>
      <c r="R357" s="131"/>
      <c r="S357" s="131"/>
      <c r="T357" s="131"/>
      <c r="U357" s="131"/>
      <c r="V357" s="131"/>
      <c r="W357" s="131"/>
      <c r="X357" s="131"/>
      <c r="Y357" s="131"/>
      <c r="Z357" s="131"/>
    </row>
    <row r="358" spans="1:26" ht="15.75" customHeight="1">
      <c r="A358" s="210"/>
      <c r="B358" s="210"/>
      <c r="C358" s="210"/>
      <c r="D358" s="178"/>
      <c r="E358" s="569"/>
      <c r="F358" s="569"/>
      <c r="G358" s="569"/>
      <c r="H358" s="569"/>
      <c r="I358" s="569"/>
      <c r="J358" s="131"/>
      <c r="K358" s="131"/>
      <c r="L358" s="131"/>
      <c r="M358" s="131"/>
      <c r="N358" s="131"/>
      <c r="O358" s="131"/>
      <c r="P358" s="131"/>
      <c r="Q358" s="131"/>
      <c r="R358" s="131"/>
      <c r="S358" s="131"/>
      <c r="T358" s="131"/>
      <c r="U358" s="131"/>
      <c r="V358" s="131"/>
      <c r="W358" s="131"/>
      <c r="X358" s="131"/>
      <c r="Y358" s="131"/>
      <c r="Z358" s="131"/>
    </row>
    <row r="359" spans="1:26" ht="15.75" customHeight="1">
      <c r="A359" s="210"/>
      <c r="B359" s="210"/>
      <c r="C359" s="210"/>
      <c r="D359" s="178"/>
      <c r="E359" s="569"/>
      <c r="F359" s="569"/>
      <c r="G359" s="569"/>
      <c r="H359" s="569"/>
      <c r="I359" s="569"/>
      <c r="J359" s="131"/>
      <c r="K359" s="131"/>
      <c r="L359" s="131"/>
      <c r="M359" s="131"/>
      <c r="N359" s="131"/>
      <c r="O359" s="131"/>
      <c r="P359" s="131"/>
      <c r="Q359" s="131"/>
      <c r="R359" s="131"/>
      <c r="S359" s="131"/>
      <c r="T359" s="131"/>
      <c r="U359" s="131"/>
      <c r="V359" s="131"/>
      <c r="W359" s="131"/>
      <c r="X359" s="131"/>
      <c r="Y359" s="131"/>
      <c r="Z359" s="131"/>
    </row>
    <row r="360" spans="1:26" ht="15.75" customHeight="1">
      <c r="A360" s="210"/>
      <c r="B360" s="210"/>
      <c r="C360" s="210"/>
      <c r="D360" s="178"/>
      <c r="E360" s="569"/>
      <c r="F360" s="569"/>
      <c r="G360" s="569"/>
      <c r="H360" s="569"/>
      <c r="I360" s="569"/>
      <c r="J360" s="131"/>
      <c r="K360" s="131"/>
      <c r="L360" s="131"/>
      <c r="M360" s="131"/>
      <c r="N360" s="131"/>
      <c r="O360" s="131"/>
      <c r="P360" s="131"/>
      <c r="Q360" s="131"/>
      <c r="R360" s="131"/>
      <c r="S360" s="131"/>
      <c r="T360" s="131"/>
      <c r="U360" s="131"/>
      <c r="V360" s="131"/>
      <c r="W360" s="131"/>
      <c r="X360" s="131"/>
      <c r="Y360" s="131"/>
      <c r="Z360" s="131"/>
    </row>
    <row r="361" spans="1:26" ht="15.75" customHeight="1">
      <c r="A361" s="210"/>
      <c r="B361" s="210"/>
      <c r="C361" s="210"/>
      <c r="D361" s="178"/>
      <c r="E361" s="569"/>
      <c r="F361" s="569"/>
      <c r="G361" s="569"/>
      <c r="H361" s="569"/>
      <c r="I361" s="569"/>
      <c r="J361" s="131"/>
      <c r="K361" s="131"/>
      <c r="L361" s="131"/>
      <c r="M361" s="131"/>
      <c r="N361" s="131"/>
      <c r="O361" s="131"/>
      <c r="P361" s="131"/>
      <c r="Q361" s="131"/>
      <c r="R361" s="131"/>
      <c r="S361" s="131"/>
      <c r="T361" s="131"/>
      <c r="U361" s="131"/>
      <c r="V361" s="131"/>
      <c r="W361" s="131"/>
      <c r="X361" s="131"/>
      <c r="Y361" s="131"/>
      <c r="Z361" s="131"/>
    </row>
    <row r="362" spans="1:26" ht="15.75" customHeight="1">
      <c r="A362" s="210"/>
      <c r="B362" s="210"/>
      <c r="C362" s="210"/>
      <c r="D362" s="178"/>
      <c r="E362" s="569"/>
      <c r="F362" s="569"/>
      <c r="G362" s="569"/>
      <c r="H362" s="569"/>
      <c r="I362" s="569"/>
      <c r="J362" s="131"/>
      <c r="K362" s="131"/>
      <c r="L362" s="131"/>
      <c r="M362" s="131"/>
      <c r="N362" s="131"/>
      <c r="O362" s="131"/>
      <c r="P362" s="131"/>
      <c r="Q362" s="131"/>
      <c r="R362" s="131"/>
      <c r="S362" s="131"/>
      <c r="T362" s="131"/>
      <c r="U362" s="131"/>
      <c r="V362" s="131"/>
      <c r="W362" s="131"/>
      <c r="X362" s="131"/>
      <c r="Y362" s="131"/>
      <c r="Z362" s="131"/>
    </row>
    <row r="363" spans="1:26" ht="15.75" customHeight="1">
      <c r="A363" s="210"/>
      <c r="B363" s="210"/>
      <c r="C363" s="210"/>
      <c r="D363" s="178"/>
      <c r="E363" s="569"/>
      <c r="F363" s="569"/>
      <c r="G363" s="569"/>
      <c r="H363" s="569"/>
      <c r="I363" s="569"/>
      <c r="J363" s="131"/>
      <c r="K363" s="131"/>
      <c r="L363" s="131"/>
      <c r="M363" s="131"/>
      <c r="N363" s="131"/>
      <c r="O363" s="131"/>
      <c r="P363" s="131"/>
      <c r="Q363" s="131"/>
      <c r="R363" s="131"/>
      <c r="S363" s="131"/>
      <c r="T363" s="131"/>
      <c r="U363" s="131"/>
      <c r="V363" s="131"/>
      <c r="W363" s="131"/>
      <c r="X363" s="131"/>
      <c r="Y363" s="131"/>
      <c r="Z363" s="131"/>
    </row>
    <row r="364" spans="1:26" ht="15.75" customHeight="1">
      <c r="A364" s="210"/>
      <c r="B364" s="210"/>
      <c r="C364" s="210"/>
      <c r="D364" s="178"/>
      <c r="E364" s="569"/>
      <c r="F364" s="569"/>
      <c r="G364" s="569"/>
      <c r="H364" s="569"/>
      <c r="I364" s="569"/>
      <c r="J364" s="131"/>
      <c r="K364" s="131"/>
      <c r="L364" s="131"/>
      <c r="M364" s="131"/>
      <c r="N364" s="131"/>
      <c r="O364" s="131"/>
      <c r="P364" s="131"/>
      <c r="Q364" s="131"/>
      <c r="R364" s="131"/>
      <c r="S364" s="131"/>
      <c r="T364" s="131"/>
      <c r="U364" s="131"/>
      <c r="V364" s="131"/>
      <c r="W364" s="131"/>
      <c r="X364" s="131"/>
      <c r="Y364" s="131"/>
      <c r="Z364" s="131"/>
    </row>
    <row r="365" spans="1:26" ht="15.75" customHeight="1">
      <c r="A365" s="210"/>
      <c r="B365" s="210"/>
      <c r="C365" s="210"/>
      <c r="D365" s="178"/>
      <c r="E365" s="569"/>
      <c r="F365" s="569"/>
      <c r="G365" s="569"/>
      <c r="H365" s="569"/>
      <c r="I365" s="569"/>
      <c r="J365" s="131"/>
      <c r="K365" s="131"/>
      <c r="L365" s="131"/>
      <c r="M365" s="131"/>
      <c r="N365" s="131"/>
      <c r="O365" s="131"/>
      <c r="P365" s="131"/>
      <c r="Q365" s="131"/>
      <c r="R365" s="131"/>
      <c r="S365" s="131"/>
      <c r="T365" s="131"/>
      <c r="U365" s="131"/>
      <c r="V365" s="131"/>
      <c r="W365" s="131"/>
      <c r="X365" s="131"/>
      <c r="Y365" s="131"/>
      <c r="Z365" s="131"/>
    </row>
    <row r="366" spans="1:26" ht="15.75" customHeight="1">
      <c r="A366" s="210"/>
      <c r="B366" s="210"/>
      <c r="C366" s="210"/>
      <c r="D366" s="178"/>
      <c r="E366" s="569"/>
      <c r="F366" s="569"/>
      <c r="G366" s="569"/>
      <c r="H366" s="569"/>
      <c r="I366" s="569"/>
      <c r="J366" s="131"/>
      <c r="K366" s="131"/>
      <c r="L366" s="131"/>
      <c r="M366" s="131"/>
      <c r="N366" s="131"/>
      <c r="O366" s="131"/>
      <c r="P366" s="131"/>
      <c r="Q366" s="131"/>
      <c r="R366" s="131"/>
      <c r="S366" s="131"/>
      <c r="T366" s="131"/>
      <c r="U366" s="131"/>
      <c r="V366" s="131"/>
      <c r="W366" s="131"/>
      <c r="X366" s="131"/>
      <c r="Y366" s="131"/>
      <c r="Z366" s="131"/>
    </row>
    <row r="367" spans="1:26" ht="15.75" customHeight="1">
      <c r="A367" s="210"/>
      <c r="B367" s="210"/>
      <c r="C367" s="210"/>
      <c r="D367" s="178"/>
      <c r="E367" s="569"/>
      <c r="F367" s="569"/>
      <c r="G367" s="569"/>
      <c r="H367" s="569"/>
      <c r="I367" s="569"/>
      <c r="J367" s="131"/>
      <c r="K367" s="131"/>
      <c r="L367" s="131"/>
      <c r="M367" s="131"/>
      <c r="N367" s="131"/>
      <c r="O367" s="131"/>
      <c r="P367" s="131"/>
      <c r="Q367" s="131"/>
      <c r="R367" s="131"/>
      <c r="S367" s="131"/>
      <c r="T367" s="131"/>
      <c r="U367" s="131"/>
      <c r="V367" s="131"/>
      <c r="W367" s="131"/>
      <c r="X367" s="131"/>
      <c r="Y367" s="131"/>
      <c r="Z367" s="131"/>
    </row>
    <row r="368" spans="1:26" ht="15.75" customHeight="1">
      <c r="A368" s="210"/>
      <c r="B368" s="210"/>
      <c r="C368" s="210"/>
      <c r="D368" s="178"/>
      <c r="E368" s="569"/>
      <c r="F368" s="569"/>
      <c r="G368" s="569"/>
      <c r="H368" s="569"/>
      <c r="I368" s="569"/>
      <c r="J368" s="131"/>
      <c r="K368" s="131"/>
      <c r="L368" s="131"/>
      <c r="M368" s="131"/>
      <c r="N368" s="131"/>
      <c r="O368" s="131"/>
      <c r="P368" s="131"/>
      <c r="Q368" s="131"/>
      <c r="R368" s="131"/>
      <c r="S368" s="131"/>
      <c r="T368" s="131"/>
      <c r="U368" s="131"/>
      <c r="V368" s="131"/>
      <c r="W368" s="131"/>
      <c r="X368" s="131"/>
      <c r="Y368" s="131"/>
      <c r="Z368" s="131"/>
    </row>
    <row r="369" spans="1:26" ht="15.75" customHeight="1">
      <c r="A369" s="210"/>
      <c r="B369" s="210"/>
      <c r="C369" s="210"/>
      <c r="D369" s="178"/>
      <c r="E369" s="569"/>
      <c r="F369" s="569"/>
      <c r="G369" s="569"/>
      <c r="H369" s="569"/>
      <c r="I369" s="569"/>
      <c r="J369" s="131"/>
      <c r="K369" s="131"/>
      <c r="L369" s="131"/>
      <c r="M369" s="131"/>
      <c r="N369" s="131"/>
      <c r="O369" s="131"/>
      <c r="P369" s="131"/>
      <c r="Q369" s="131"/>
      <c r="R369" s="131"/>
      <c r="S369" s="131"/>
      <c r="T369" s="131"/>
      <c r="U369" s="131"/>
      <c r="V369" s="131"/>
      <c r="W369" s="131"/>
      <c r="X369" s="131"/>
      <c r="Y369" s="131"/>
      <c r="Z369" s="131"/>
    </row>
    <row r="370" spans="1:26" ht="15.75" customHeight="1">
      <c r="A370" s="210"/>
      <c r="B370" s="210"/>
      <c r="C370" s="210"/>
      <c r="D370" s="178"/>
      <c r="E370" s="569"/>
      <c r="F370" s="569"/>
      <c r="G370" s="569"/>
      <c r="H370" s="569"/>
      <c r="I370" s="569"/>
      <c r="J370" s="131"/>
      <c r="K370" s="131"/>
      <c r="L370" s="131"/>
      <c r="M370" s="131"/>
      <c r="N370" s="131"/>
      <c r="O370" s="131"/>
      <c r="P370" s="131"/>
      <c r="Q370" s="131"/>
      <c r="R370" s="131"/>
      <c r="S370" s="131"/>
      <c r="T370" s="131"/>
      <c r="U370" s="131"/>
      <c r="V370" s="131"/>
      <c r="W370" s="131"/>
      <c r="X370" s="131"/>
      <c r="Y370" s="131"/>
      <c r="Z370" s="131"/>
    </row>
    <row r="371" spans="1:26" ht="15.75" customHeight="1">
      <c r="A371" s="210"/>
      <c r="B371" s="210"/>
      <c r="C371" s="210"/>
      <c r="D371" s="178"/>
      <c r="E371" s="569"/>
      <c r="F371" s="569"/>
      <c r="G371" s="569"/>
      <c r="H371" s="569"/>
      <c r="I371" s="569"/>
      <c r="J371" s="131"/>
      <c r="K371" s="131"/>
      <c r="L371" s="131"/>
      <c r="M371" s="131"/>
      <c r="N371" s="131"/>
      <c r="O371" s="131"/>
      <c r="P371" s="131"/>
      <c r="Q371" s="131"/>
      <c r="R371" s="131"/>
      <c r="S371" s="131"/>
      <c r="T371" s="131"/>
      <c r="U371" s="131"/>
      <c r="V371" s="131"/>
      <c r="W371" s="131"/>
      <c r="X371" s="131"/>
      <c r="Y371" s="131"/>
      <c r="Z371" s="131"/>
    </row>
    <row r="372" spans="1:26" ht="15.75" customHeight="1">
      <c r="A372" s="210"/>
      <c r="B372" s="210"/>
      <c r="C372" s="210"/>
      <c r="D372" s="178"/>
      <c r="E372" s="569"/>
      <c r="F372" s="569"/>
      <c r="G372" s="569"/>
      <c r="H372" s="569"/>
      <c r="I372" s="569"/>
      <c r="J372" s="131"/>
      <c r="K372" s="131"/>
      <c r="L372" s="131"/>
      <c r="M372" s="131"/>
      <c r="N372" s="131"/>
      <c r="O372" s="131"/>
      <c r="P372" s="131"/>
      <c r="Q372" s="131"/>
      <c r="R372" s="131"/>
      <c r="S372" s="131"/>
      <c r="T372" s="131"/>
      <c r="U372" s="131"/>
      <c r="V372" s="131"/>
      <c r="W372" s="131"/>
      <c r="X372" s="131"/>
      <c r="Y372" s="131"/>
      <c r="Z372" s="131"/>
    </row>
    <row r="373" spans="1:26" ht="15.75" customHeight="1">
      <c r="A373" s="210"/>
      <c r="B373" s="210"/>
      <c r="C373" s="210"/>
      <c r="D373" s="178"/>
      <c r="E373" s="569"/>
      <c r="F373" s="569"/>
      <c r="G373" s="569"/>
      <c r="H373" s="569"/>
      <c r="I373" s="569"/>
      <c r="J373" s="131"/>
      <c r="K373" s="131"/>
      <c r="L373" s="131"/>
      <c r="M373" s="131"/>
      <c r="N373" s="131"/>
      <c r="O373" s="131"/>
      <c r="P373" s="131"/>
      <c r="Q373" s="131"/>
      <c r="R373" s="131"/>
      <c r="S373" s="131"/>
      <c r="T373" s="131"/>
      <c r="U373" s="131"/>
      <c r="V373" s="131"/>
      <c r="W373" s="131"/>
      <c r="X373" s="131"/>
      <c r="Y373" s="131"/>
      <c r="Z373" s="131"/>
    </row>
    <row r="374" spans="1:26" ht="15.75" customHeight="1">
      <c r="A374" s="210"/>
      <c r="B374" s="210"/>
      <c r="C374" s="210"/>
      <c r="D374" s="178"/>
      <c r="E374" s="569"/>
      <c r="F374" s="569"/>
      <c r="G374" s="569"/>
      <c r="H374" s="569"/>
      <c r="I374" s="569"/>
      <c r="J374" s="131"/>
      <c r="K374" s="131"/>
      <c r="L374" s="131"/>
      <c r="M374" s="131"/>
      <c r="N374" s="131"/>
      <c r="O374" s="131"/>
      <c r="P374" s="131"/>
      <c r="Q374" s="131"/>
      <c r="R374" s="131"/>
      <c r="S374" s="131"/>
      <c r="T374" s="131"/>
      <c r="U374" s="131"/>
      <c r="V374" s="131"/>
      <c r="W374" s="131"/>
      <c r="X374" s="131"/>
      <c r="Y374" s="131"/>
      <c r="Z374" s="131"/>
    </row>
    <row r="375" spans="1:26" ht="15.75" customHeight="1">
      <c r="A375" s="210"/>
      <c r="B375" s="210"/>
      <c r="C375" s="210"/>
      <c r="D375" s="178"/>
      <c r="E375" s="569"/>
      <c r="F375" s="569"/>
      <c r="G375" s="569"/>
      <c r="H375" s="569"/>
      <c r="I375" s="569"/>
      <c r="J375" s="131"/>
      <c r="K375" s="131"/>
      <c r="L375" s="131"/>
      <c r="M375" s="131"/>
      <c r="N375" s="131"/>
      <c r="O375" s="131"/>
      <c r="P375" s="131"/>
      <c r="Q375" s="131"/>
      <c r="R375" s="131"/>
      <c r="S375" s="131"/>
      <c r="T375" s="131"/>
      <c r="U375" s="131"/>
      <c r="V375" s="131"/>
      <c r="W375" s="131"/>
      <c r="X375" s="131"/>
      <c r="Y375" s="131"/>
      <c r="Z375" s="131"/>
    </row>
    <row r="376" spans="1:26" ht="15.75" customHeight="1">
      <c r="A376" s="210"/>
      <c r="B376" s="210"/>
      <c r="C376" s="210"/>
      <c r="D376" s="178"/>
      <c r="E376" s="569"/>
      <c r="F376" s="569"/>
      <c r="G376" s="569"/>
      <c r="H376" s="569"/>
      <c r="I376" s="569"/>
      <c r="J376" s="131"/>
      <c r="K376" s="131"/>
      <c r="L376" s="131"/>
      <c r="M376" s="131"/>
      <c r="N376" s="131"/>
      <c r="O376" s="131"/>
      <c r="P376" s="131"/>
      <c r="Q376" s="131"/>
      <c r="R376" s="131"/>
      <c r="S376" s="131"/>
      <c r="T376" s="131"/>
      <c r="U376" s="131"/>
      <c r="V376" s="131"/>
      <c r="W376" s="131"/>
      <c r="X376" s="131"/>
      <c r="Y376" s="131"/>
      <c r="Z376" s="131"/>
    </row>
    <row r="377" spans="1:26" ht="15.75" customHeight="1">
      <c r="A377" s="210"/>
      <c r="B377" s="210"/>
      <c r="C377" s="210"/>
      <c r="D377" s="178"/>
      <c r="E377" s="569"/>
      <c r="F377" s="569"/>
      <c r="G377" s="569"/>
      <c r="H377" s="569"/>
      <c r="I377" s="569"/>
      <c r="J377" s="131"/>
      <c r="K377" s="131"/>
      <c r="L377" s="131"/>
      <c r="M377" s="131"/>
      <c r="N377" s="131"/>
      <c r="O377" s="131"/>
      <c r="P377" s="131"/>
      <c r="Q377" s="131"/>
      <c r="R377" s="131"/>
      <c r="S377" s="131"/>
      <c r="T377" s="131"/>
      <c r="U377" s="131"/>
      <c r="V377" s="131"/>
      <c r="W377" s="131"/>
      <c r="X377" s="131"/>
      <c r="Y377" s="131"/>
      <c r="Z377" s="131"/>
    </row>
    <row r="378" spans="1:26" ht="15.75" customHeight="1">
      <c r="A378" s="210"/>
      <c r="B378" s="210"/>
      <c r="C378" s="210"/>
      <c r="D378" s="178"/>
      <c r="E378" s="569"/>
      <c r="F378" s="569"/>
      <c r="G378" s="569"/>
      <c r="H378" s="569"/>
      <c r="I378" s="569"/>
      <c r="J378" s="131"/>
      <c r="K378" s="131"/>
      <c r="L378" s="131"/>
      <c r="M378" s="131"/>
      <c r="N378" s="131"/>
      <c r="O378" s="131"/>
      <c r="P378" s="131"/>
      <c r="Q378" s="131"/>
      <c r="R378" s="131"/>
      <c r="S378" s="131"/>
      <c r="T378" s="131"/>
      <c r="U378" s="131"/>
      <c r="V378" s="131"/>
      <c r="W378" s="131"/>
      <c r="X378" s="131"/>
      <c r="Y378" s="131"/>
      <c r="Z378" s="131"/>
    </row>
    <row r="379" spans="1:26" ht="15.75" customHeight="1">
      <c r="A379" s="210"/>
      <c r="B379" s="210"/>
      <c r="C379" s="210"/>
      <c r="D379" s="178"/>
      <c r="E379" s="569"/>
      <c r="F379" s="569"/>
      <c r="G379" s="569"/>
      <c r="H379" s="569"/>
      <c r="I379" s="569"/>
      <c r="J379" s="131"/>
      <c r="K379" s="131"/>
      <c r="L379" s="131"/>
      <c r="M379" s="131"/>
      <c r="N379" s="131"/>
      <c r="O379" s="131"/>
      <c r="P379" s="131"/>
      <c r="Q379" s="131"/>
      <c r="R379" s="131"/>
      <c r="S379" s="131"/>
      <c r="T379" s="131"/>
      <c r="U379" s="131"/>
      <c r="V379" s="131"/>
      <c r="W379" s="131"/>
      <c r="X379" s="131"/>
      <c r="Y379" s="131"/>
      <c r="Z379" s="131"/>
    </row>
    <row r="380" spans="1:26" ht="15.75" customHeight="1">
      <c r="A380" s="210"/>
      <c r="B380" s="210"/>
      <c r="C380" s="210"/>
      <c r="D380" s="178"/>
      <c r="E380" s="569"/>
      <c r="F380" s="569"/>
      <c r="G380" s="569"/>
      <c r="H380" s="569"/>
      <c r="I380" s="569"/>
      <c r="J380" s="131"/>
      <c r="K380" s="131"/>
      <c r="L380" s="131"/>
      <c r="M380" s="131"/>
      <c r="N380" s="131"/>
      <c r="O380" s="131"/>
      <c r="P380" s="131"/>
      <c r="Q380" s="131"/>
      <c r="R380" s="131"/>
      <c r="S380" s="131"/>
      <c r="T380" s="131"/>
      <c r="U380" s="131"/>
      <c r="V380" s="131"/>
      <c r="W380" s="131"/>
      <c r="X380" s="131"/>
      <c r="Y380" s="131"/>
      <c r="Z380" s="131"/>
    </row>
    <row r="381" spans="1:26" ht="15.75" customHeight="1">
      <c r="A381" s="210"/>
      <c r="B381" s="210"/>
      <c r="C381" s="210"/>
      <c r="D381" s="178"/>
      <c r="E381" s="569"/>
      <c r="F381" s="569"/>
      <c r="G381" s="569"/>
      <c r="H381" s="569"/>
      <c r="I381" s="569"/>
      <c r="J381" s="131"/>
      <c r="K381" s="131"/>
      <c r="L381" s="131"/>
      <c r="M381" s="131"/>
      <c r="N381" s="131"/>
      <c r="O381" s="131"/>
      <c r="P381" s="131"/>
      <c r="Q381" s="131"/>
      <c r="R381" s="131"/>
      <c r="S381" s="131"/>
      <c r="T381" s="131"/>
      <c r="U381" s="131"/>
      <c r="V381" s="131"/>
      <c r="W381" s="131"/>
      <c r="X381" s="131"/>
      <c r="Y381" s="131"/>
      <c r="Z381" s="131"/>
    </row>
    <row r="382" spans="1:26" ht="15.75" customHeight="1">
      <c r="A382" s="210"/>
      <c r="B382" s="210"/>
      <c r="C382" s="210"/>
      <c r="D382" s="178"/>
      <c r="E382" s="569"/>
      <c r="F382" s="569"/>
      <c r="G382" s="569"/>
      <c r="H382" s="569"/>
      <c r="I382" s="569"/>
      <c r="J382" s="131"/>
      <c r="K382" s="131"/>
      <c r="L382" s="131"/>
      <c r="M382" s="131"/>
      <c r="N382" s="131"/>
      <c r="O382" s="131"/>
      <c r="P382" s="131"/>
      <c r="Q382" s="131"/>
      <c r="R382" s="131"/>
      <c r="S382" s="131"/>
      <c r="T382" s="131"/>
      <c r="U382" s="131"/>
      <c r="V382" s="131"/>
      <c r="W382" s="131"/>
      <c r="X382" s="131"/>
      <c r="Y382" s="131"/>
      <c r="Z382" s="131"/>
    </row>
    <row r="383" spans="1:26" ht="15.75" customHeight="1">
      <c r="A383" s="210"/>
      <c r="B383" s="210"/>
      <c r="C383" s="210"/>
      <c r="D383" s="178"/>
      <c r="E383" s="569"/>
      <c r="F383" s="569"/>
      <c r="G383" s="569"/>
      <c r="H383" s="569"/>
      <c r="I383" s="569"/>
      <c r="J383" s="131"/>
      <c r="K383" s="131"/>
      <c r="L383" s="131"/>
      <c r="M383" s="131"/>
      <c r="N383" s="131"/>
      <c r="O383" s="131"/>
      <c r="P383" s="131"/>
      <c r="Q383" s="131"/>
      <c r="R383" s="131"/>
      <c r="S383" s="131"/>
      <c r="T383" s="131"/>
      <c r="U383" s="131"/>
      <c r="V383" s="131"/>
      <c r="W383" s="131"/>
      <c r="X383" s="131"/>
      <c r="Y383" s="131"/>
      <c r="Z383" s="131"/>
    </row>
    <row r="384" spans="1:26" ht="15.75" customHeight="1">
      <c r="A384" s="210"/>
      <c r="B384" s="210"/>
      <c r="C384" s="210"/>
      <c r="D384" s="178"/>
      <c r="E384" s="569"/>
      <c r="F384" s="569"/>
      <c r="G384" s="569"/>
      <c r="H384" s="569"/>
      <c r="I384" s="569"/>
      <c r="J384" s="131"/>
      <c r="K384" s="131"/>
      <c r="L384" s="131"/>
      <c r="M384" s="131"/>
      <c r="N384" s="131"/>
      <c r="O384" s="131"/>
      <c r="P384" s="131"/>
      <c r="Q384" s="131"/>
      <c r="R384" s="131"/>
      <c r="S384" s="131"/>
      <c r="T384" s="131"/>
      <c r="U384" s="131"/>
      <c r="V384" s="131"/>
      <c r="W384" s="131"/>
      <c r="X384" s="131"/>
      <c r="Y384" s="131"/>
      <c r="Z384" s="131"/>
    </row>
    <row r="385" spans="1:26" ht="15.75" customHeight="1">
      <c r="A385" s="210"/>
      <c r="B385" s="210"/>
      <c r="C385" s="210"/>
      <c r="D385" s="178"/>
      <c r="E385" s="569"/>
      <c r="F385" s="569"/>
      <c r="G385" s="569"/>
      <c r="H385" s="569"/>
      <c r="I385" s="569"/>
      <c r="J385" s="131"/>
      <c r="K385" s="131"/>
      <c r="L385" s="131"/>
      <c r="M385" s="131"/>
      <c r="N385" s="131"/>
      <c r="O385" s="131"/>
      <c r="P385" s="131"/>
      <c r="Q385" s="131"/>
      <c r="R385" s="131"/>
      <c r="S385" s="131"/>
      <c r="T385" s="131"/>
      <c r="U385" s="131"/>
      <c r="V385" s="131"/>
      <c r="W385" s="131"/>
      <c r="X385" s="131"/>
      <c r="Y385" s="131"/>
      <c r="Z385" s="131"/>
    </row>
    <row r="386" spans="1:26" ht="15.75" customHeight="1">
      <c r="A386" s="210"/>
      <c r="B386" s="210"/>
      <c r="C386" s="210"/>
      <c r="D386" s="178"/>
      <c r="E386" s="569"/>
      <c r="F386" s="569"/>
      <c r="G386" s="569"/>
      <c r="H386" s="569"/>
      <c r="I386" s="569"/>
      <c r="J386" s="131"/>
      <c r="K386" s="131"/>
      <c r="L386" s="131"/>
      <c r="M386" s="131"/>
      <c r="N386" s="131"/>
      <c r="O386" s="131"/>
      <c r="P386" s="131"/>
      <c r="Q386" s="131"/>
      <c r="R386" s="131"/>
      <c r="S386" s="131"/>
      <c r="T386" s="131"/>
      <c r="U386" s="131"/>
      <c r="V386" s="131"/>
      <c r="W386" s="131"/>
      <c r="X386" s="131"/>
      <c r="Y386" s="131"/>
      <c r="Z386" s="131"/>
    </row>
    <row r="387" spans="1:26" ht="15.75" customHeight="1">
      <c r="A387" s="210"/>
      <c r="B387" s="210"/>
      <c r="C387" s="210"/>
      <c r="D387" s="178"/>
      <c r="E387" s="569"/>
      <c r="F387" s="569"/>
      <c r="G387" s="569"/>
      <c r="H387" s="569"/>
      <c r="I387" s="569"/>
      <c r="J387" s="131"/>
      <c r="K387" s="131"/>
      <c r="L387" s="131"/>
      <c r="M387" s="131"/>
      <c r="N387" s="131"/>
      <c r="O387" s="131"/>
      <c r="P387" s="131"/>
      <c r="Q387" s="131"/>
      <c r="R387" s="131"/>
      <c r="S387" s="131"/>
      <c r="T387" s="131"/>
      <c r="U387" s="131"/>
      <c r="V387" s="131"/>
      <c r="W387" s="131"/>
      <c r="X387" s="131"/>
      <c r="Y387" s="131"/>
      <c r="Z387" s="131"/>
    </row>
    <row r="388" spans="1:26" ht="15.75" customHeight="1">
      <c r="A388" s="210"/>
      <c r="B388" s="210"/>
      <c r="C388" s="210"/>
      <c r="D388" s="178"/>
      <c r="E388" s="569"/>
      <c r="F388" s="569"/>
      <c r="G388" s="569"/>
      <c r="H388" s="569"/>
      <c r="I388" s="569"/>
      <c r="J388" s="131"/>
      <c r="K388" s="131"/>
      <c r="L388" s="131"/>
      <c r="M388" s="131"/>
      <c r="N388" s="131"/>
      <c r="O388" s="131"/>
      <c r="P388" s="131"/>
      <c r="Q388" s="131"/>
      <c r="R388" s="131"/>
      <c r="S388" s="131"/>
      <c r="T388" s="131"/>
      <c r="U388" s="131"/>
      <c r="V388" s="131"/>
      <c r="W388" s="131"/>
      <c r="X388" s="131"/>
      <c r="Y388" s="131"/>
      <c r="Z388" s="131"/>
    </row>
    <row r="389" spans="1:26" ht="15.75" customHeight="1">
      <c r="A389" s="210"/>
      <c r="B389" s="210"/>
      <c r="C389" s="210"/>
      <c r="D389" s="178"/>
      <c r="E389" s="569"/>
      <c r="F389" s="569"/>
      <c r="G389" s="569"/>
      <c r="H389" s="569"/>
      <c r="I389" s="569"/>
      <c r="J389" s="131"/>
      <c r="K389" s="131"/>
      <c r="L389" s="131"/>
      <c r="M389" s="131"/>
      <c r="N389" s="131"/>
      <c r="O389" s="131"/>
      <c r="P389" s="131"/>
      <c r="Q389" s="131"/>
      <c r="R389" s="131"/>
      <c r="S389" s="131"/>
      <c r="T389" s="131"/>
      <c r="U389" s="131"/>
      <c r="V389" s="131"/>
      <c r="W389" s="131"/>
      <c r="X389" s="131"/>
      <c r="Y389" s="131"/>
      <c r="Z389" s="131"/>
    </row>
    <row r="390" spans="1:26" ht="15.75" customHeight="1">
      <c r="A390" s="210"/>
      <c r="B390" s="210"/>
      <c r="C390" s="210"/>
      <c r="D390" s="178"/>
      <c r="E390" s="569"/>
      <c r="F390" s="569"/>
      <c r="G390" s="569"/>
      <c r="H390" s="569"/>
      <c r="I390" s="569"/>
      <c r="J390" s="131"/>
      <c r="K390" s="131"/>
      <c r="L390" s="131"/>
      <c r="M390" s="131"/>
      <c r="N390" s="131"/>
      <c r="O390" s="131"/>
      <c r="P390" s="131"/>
      <c r="Q390" s="131"/>
      <c r="R390" s="131"/>
      <c r="S390" s="131"/>
      <c r="T390" s="131"/>
      <c r="U390" s="131"/>
      <c r="V390" s="131"/>
      <c r="W390" s="131"/>
      <c r="X390" s="131"/>
      <c r="Y390" s="131"/>
      <c r="Z390" s="131"/>
    </row>
    <row r="391" spans="1:26" ht="15.75" customHeight="1">
      <c r="A391" s="210"/>
      <c r="B391" s="210"/>
      <c r="C391" s="210"/>
      <c r="D391" s="178"/>
      <c r="E391" s="569"/>
      <c r="F391" s="569"/>
      <c r="G391" s="569"/>
      <c r="H391" s="569"/>
      <c r="I391" s="569"/>
      <c r="J391" s="131"/>
      <c r="K391" s="131"/>
      <c r="L391" s="131"/>
      <c r="M391" s="131"/>
      <c r="N391" s="131"/>
      <c r="O391" s="131"/>
      <c r="P391" s="131"/>
      <c r="Q391" s="131"/>
      <c r="R391" s="131"/>
      <c r="S391" s="131"/>
      <c r="T391" s="131"/>
      <c r="U391" s="131"/>
      <c r="V391" s="131"/>
      <c r="W391" s="131"/>
      <c r="X391" s="131"/>
      <c r="Y391" s="131"/>
      <c r="Z391" s="131"/>
    </row>
    <row r="392" spans="1:26" ht="15.75" customHeight="1">
      <c r="A392" s="210"/>
      <c r="B392" s="210"/>
      <c r="C392" s="210"/>
      <c r="D392" s="178"/>
      <c r="E392" s="569"/>
      <c r="F392" s="569"/>
      <c r="G392" s="569"/>
      <c r="H392" s="569"/>
      <c r="I392" s="569"/>
      <c r="J392" s="131"/>
      <c r="K392" s="131"/>
      <c r="L392" s="131"/>
      <c r="M392" s="131"/>
      <c r="N392" s="131"/>
      <c r="O392" s="131"/>
      <c r="P392" s="131"/>
      <c r="Q392" s="131"/>
      <c r="R392" s="131"/>
      <c r="S392" s="131"/>
      <c r="T392" s="131"/>
      <c r="U392" s="131"/>
      <c r="V392" s="131"/>
      <c r="W392" s="131"/>
      <c r="X392" s="131"/>
      <c r="Y392" s="131"/>
      <c r="Z392" s="131"/>
    </row>
    <row r="393" spans="1:26" ht="15.75" customHeight="1">
      <c r="A393" s="210"/>
      <c r="B393" s="210"/>
      <c r="C393" s="210"/>
      <c r="D393" s="178"/>
      <c r="E393" s="569"/>
      <c r="F393" s="569"/>
      <c r="G393" s="569"/>
      <c r="H393" s="569"/>
      <c r="I393" s="569"/>
      <c r="J393" s="131"/>
      <c r="K393" s="131"/>
      <c r="L393" s="131"/>
      <c r="M393" s="131"/>
      <c r="N393" s="131"/>
      <c r="O393" s="131"/>
      <c r="P393" s="131"/>
      <c r="Q393" s="131"/>
      <c r="R393" s="131"/>
      <c r="S393" s="131"/>
      <c r="T393" s="131"/>
      <c r="U393" s="131"/>
      <c r="V393" s="131"/>
      <c r="W393" s="131"/>
      <c r="X393" s="131"/>
      <c r="Y393" s="131"/>
      <c r="Z393" s="131"/>
    </row>
    <row r="394" spans="1:26" ht="15.75" customHeight="1">
      <c r="A394" s="210"/>
      <c r="B394" s="210"/>
      <c r="C394" s="210"/>
      <c r="D394" s="178"/>
      <c r="E394" s="569"/>
      <c r="F394" s="569"/>
      <c r="G394" s="569"/>
      <c r="H394" s="569"/>
      <c r="I394" s="569"/>
      <c r="J394" s="131"/>
      <c r="K394" s="131"/>
      <c r="L394" s="131"/>
      <c r="M394" s="131"/>
      <c r="N394" s="131"/>
      <c r="O394" s="131"/>
      <c r="P394" s="131"/>
      <c r="Q394" s="131"/>
      <c r="R394" s="131"/>
      <c r="S394" s="131"/>
      <c r="T394" s="131"/>
      <c r="U394" s="131"/>
      <c r="V394" s="131"/>
      <c r="W394" s="131"/>
      <c r="X394" s="131"/>
      <c r="Y394" s="131"/>
      <c r="Z394" s="131"/>
    </row>
    <row r="395" spans="1:26" ht="15.75" customHeight="1">
      <c r="A395" s="210"/>
      <c r="B395" s="210"/>
      <c r="C395" s="210"/>
      <c r="D395" s="178"/>
      <c r="E395" s="569"/>
      <c r="F395" s="569"/>
      <c r="G395" s="569"/>
      <c r="H395" s="569"/>
      <c r="I395" s="569"/>
      <c r="J395" s="131"/>
      <c r="K395" s="131"/>
      <c r="L395" s="131"/>
      <c r="M395" s="131"/>
      <c r="N395" s="131"/>
      <c r="O395" s="131"/>
      <c r="P395" s="131"/>
      <c r="Q395" s="131"/>
      <c r="R395" s="131"/>
      <c r="S395" s="131"/>
      <c r="T395" s="131"/>
      <c r="U395" s="131"/>
      <c r="V395" s="131"/>
      <c r="W395" s="131"/>
      <c r="X395" s="131"/>
      <c r="Y395" s="131"/>
      <c r="Z395" s="131"/>
    </row>
    <row r="396" spans="1:26" ht="15.75" customHeight="1">
      <c r="A396" s="210"/>
      <c r="B396" s="210"/>
      <c r="C396" s="210"/>
      <c r="D396" s="178"/>
      <c r="E396" s="569"/>
      <c r="F396" s="569"/>
      <c r="G396" s="569"/>
      <c r="H396" s="569"/>
      <c r="I396" s="569"/>
      <c r="J396" s="131"/>
      <c r="K396" s="131"/>
      <c r="L396" s="131"/>
      <c r="M396" s="131"/>
      <c r="N396" s="131"/>
      <c r="O396" s="131"/>
      <c r="P396" s="131"/>
      <c r="Q396" s="131"/>
      <c r="R396" s="131"/>
      <c r="S396" s="131"/>
      <c r="T396" s="131"/>
      <c r="U396" s="131"/>
      <c r="V396" s="131"/>
      <c r="W396" s="131"/>
      <c r="X396" s="131"/>
      <c r="Y396" s="131"/>
      <c r="Z396" s="131"/>
    </row>
    <row r="397" spans="1:26" ht="15.75" customHeight="1">
      <c r="A397" s="210"/>
      <c r="B397" s="210"/>
      <c r="C397" s="210"/>
      <c r="D397" s="178"/>
      <c r="E397" s="569"/>
      <c r="F397" s="569"/>
      <c r="G397" s="569"/>
      <c r="H397" s="569"/>
      <c r="I397" s="569"/>
      <c r="J397" s="131"/>
      <c r="K397" s="131"/>
      <c r="L397" s="131"/>
      <c r="M397" s="131"/>
      <c r="N397" s="131"/>
      <c r="O397" s="131"/>
      <c r="P397" s="131"/>
      <c r="Q397" s="131"/>
      <c r="R397" s="131"/>
      <c r="S397" s="131"/>
      <c r="T397" s="131"/>
      <c r="U397" s="131"/>
      <c r="V397" s="131"/>
      <c r="W397" s="131"/>
      <c r="X397" s="131"/>
      <c r="Y397" s="131"/>
      <c r="Z397" s="131"/>
    </row>
    <row r="398" spans="1:26" ht="15.75" customHeight="1">
      <c r="A398" s="210"/>
      <c r="B398" s="210"/>
      <c r="C398" s="210"/>
      <c r="D398" s="178"/>
      <c r="E398" s="569"/>
      <c r="F398" s="569"/>
      <c r="G398" s="569"/>
      <c r="H398" s="569"/>
      <c r="I398" s="569"/>
      <c r="J398" s="131"/>
      <c r="K398" s="131"/>
      <c r="L398" s="131"/>
      <c r="M398" s="131"/>
      <c r="N398" s="131"/>
      <c r="O398" s="131"/>
      <c r="P398" s="131"/>
      <c r="Q398" s="131"/>
      <c r="R398" s="131"/>
      <c r="S398" s="131"/>
      <c r="T398" s="131"/>
      <c r="U398" s="131"/>
      <c r="V398" s="131"/>
      <c r="W398" s="131"/>
      <c r="X398" s="131"/>
      <c r="Y398" s="131"/>
      <c r="Z398" s="131"/>
    </row>
    <row r="399" spans="1:26" ht="15.75" customHeight="1">
      <c r="A399" s="210"/>
      <c r="B399" s="210"/>
      <c r="C399" s="210"/>
      <c r="D399" s="178"/>
      <c r="E399" s="569"/>
      <c r="F399" s="569"/>
      <c r="G399" s="569"/>
      <c r="H399" s="569"/>
      <c r="I399" s="569"/>
      <c r="J399" s="131"/>
      <c r="K399" s="131"/>
      <c r="L399" s="131"/>
      <c r="M399" s="131"/>
      <c r="N399" s="131"/>
      <c r="O399" s="131"/>
      <c r="P399" s="131"/>
      <c r="Q399" s="131"/>
      <c r="R399" s="131"/>
      <c r="S399" s="131"/>
      <c r="T399" s="131"/>
      <c r="U399" s="131"/>
      <c r="V399" s="131"/>
      <c r="W399" s="131"/>
      <c r="X399" s="131"/>
      <c r="Y399" s="131"/>
      <c r="Z399" s="131"/>
    </row>
    <row r="400" spans="1:26" ht="15.75" customHeight="1">
      <c r="A400" s="210"/>
      <c r="B400" s="210"/>
      <c r="C400" s="210"/>
      <c r="D400" s="178"/>
      <c r="E400" s="569"/>
      <c r="F400" s="569"/>
      <c r="G400" s="569"/>
      <c r="H400" s="569"/>
      <c r="I400" s="569"/>
      <c r="J400" s="131"/>
      <c r="K400" s="131"/>
      <c r="L400" s="131"/>
      <c r="M400" s="131"/>
      <c r="N400" s="131"/>
      <c r="O400" s="131"/>
      <c r="P400" s="131"/>
      <c r="Q400" s="131"/>
      <c r="R400" s="131"/>
      <c r="S400" s="131"/>
      <c r="T400" s="131"/>
      <c r="U400" s="131"/>
      <c r="V400" s="131"/>
      <c r="W400" s="131"/>
      <c r="X400" s="131"/>
      <c r="Y400" s="131"/>
      <c r="Z400" s="131"/>
    </row>
    <row r="401" spans="1:26" ht="15.75" customHeight="1">
      <c r="A401" s="210"/>
      <c r="B401" s="210"/>
      <c r="C401" s="210"/>
      <c r="D401" s="178"/>
      <c r="E401" s="569"/>
      <c r="F401" s="569"/>
      <c r="G401" s="569"/>
      <c r="H401" s="569"/>
      <c r="I401" s="569"/>
      <c r="J401" s="131"/>
      <c r="K401" s="131"/>
      <c r="L401" s="131"/>
      <c r="M401" s="131"/>
      <c r="N401" s="131"/>
      <c r="O401" s="131"/>
      <c r="P401" s="131"/>
      <c r="Q401" s="131"/>
      <c r="R401" s="131"/>
      <c r="S401" s="131"/>
      <c r="T401" s="131"/>
      <c r="U401" s="131"/>
      <c r="V401" s="131"/>
      <c r="W401" s="131"/>
      <c r="X401" s="131"/>
      <c r="Y401" s="131"/>
      <c r="Z401" s="131"/>
    </row>
    <row r="402" spans="1:26" ht="15.75" customHeight="1">
      <c r="A402" s="210"/>
      <c r="B402" s="210"/>
      <c r="C402" s="210"/>
      <c r="D402" s="178"/>
      <c r="E402" s="569"/>
      <c r="F402" s="569"/>
      <c r="G402" s="569"/>
      <c r="H402" s="569"/>
      <c r="I402" s="569"/>
      <c r="J402" s="131"/>
      <c r="K402" s="131"/>
      <c r="L402" s="131"/>
      <c r="M402" s="131"/>
      <c r="N402" s="131"/>
      <c r="O402" s="131"/>
      <c r="P402" s="131"/>
      <c r="Q402" s="131"/>
      <c r="R402" s="131"/>
      <c r="S402" s="131"/>
      <c r="T402" s="131"/>
      <c r="U402" s="131"/>
      <c r="V402" s="131"/>
      <c r="W402" s="131"/>
      <c r="X402" s="131"/>
      <c r="Y402" s="131"/>
      <c r="Z402" s="131"/>
    </row>
    <row r="403" spans="1:26" ht="15.75" customHeight="1">
      <c r="A403" s="210"/>
      <c r="B403" s="210"/>
      <c r="C403" s="210"/>
      <c r="D403" s="178"/>
      <c r="E403" s="569"/>
      <c r="F403" s="569"/>
      <c r="G403" s="569"/>
      <c r="H403" s="569"/>
      <c r="I403" s="569"/>
      <c r="J403" s="131"/>
      <c r="K403" s="131"/>
      <c r="L403" s="131"/>
      <c r="M403" s="131"/>
      <c r="N403" s="131"/>
      <c r="O403" s="131"/>
      <c r="P403" s="131"/>
      <c r="Q403" s="131"/>
      <c r="R403" s="131"/>
      <c r="S403" s="131"/>
      <c r="T403" s="131"/>
      <c r="U403" s="131"/>
      <c r="V403" s="131"/>
      <c r="W403" s="131"/>
      <c r="X403" s="131"/>
      <c r="Y403" s="131"/>
      <c r="Z403" s="131"/>
    </row>
    <row r="404" spans="1:26" ht="15.75" customHeight="1">
      <c r="A404" s="210"/>
      <c r="B404" s="210"/>
      <c r="C404" s="210"/>
      <c r="D404" s="178"/>
      <c r="E404" s="569"/>
      <c r="F404" s="569"/>
      <c r="G404" s="569"/>
      <c r="H404" s="569"/>
      <c r="I404" s="569"/>
      <c r="J404" s="131"/>
      <c r="K404" s="131"/>
      <c r="L404" s="131"/>
      <c r="M404" s="131"/>
      <c r="N404" s="131"/>
      <c r="O404" s="131"/>
      <c r="P404" s="131"/>
      <c r="Q404" s="131"/>
      <c r="R404" s="131"/>
      <c r="S404" s="131"/>
      <c r="T404" s="131"/>
      <c r="U404" s="131"/>
      <c r="V404" s="131"/>
      <c r="W404" s="131"/>
      <c r="X404" s="131"/>
      <c r="Y404" s="131"/>
      <c r="Z404" s="131"/>
    </row>
    <row r="405" spans="1:26" ht="15.75" customHeight="1">
      <c r="A405" s="210"/>
      <c r="B405" s="210"/>
      <c r="C405" s="210"/>
      <c r="D405" s="178"/>
      <c r="E405" s="569"/>
      <c r="F405" s="569"/>
      <c r="G405" s="569"/>
      <c r="H405" s="569"/>
      <c r="I405" s="569"/>
      <c r="J405" s="131"/>
      <c r="K405" s="131"/>
      <c r="L405" s="131"/>
      <c r="M405" s="131"/>
      <c r="N405" s="131"/>
      <c r="O405" s="131"/>
      <c r="P405" s="131"/>
      <c r="Q405" s="131"/>
      <c r="R405" s="131"/>
      <c r="S405" s="131"/>
      <c r="T405" s="131"/>
      <c r="U405" s="131"/>
      <c r="V405" s="131"/>
      <c r="W405" s="131"/>
      <c r="X405" s="131"/>
      <c r="Y405" s="131"/>
      <c r="Z405" s="131"/>
    </row>
    <row r="406" spans="1:26" ht="15.75" customHeight="1">
      <c r="A406" s="210"/>
      <c r="B406" s="210"/>
      <c r="C406" s="210"/>
      <c r="D406" s="178"/>
      <c r="E406" s="569"/>
      <c r="F406" s="569"/>
      <c r="G406" s="569"/>
      <c r="H406" s="569"/>
      <c r="I406" s="569"/>
      <c r="J406" s="131"/>
      <c r="K406" s="131"/>
      <c r="L406" s="131"/>
      <c r="M406" s="131"/>
      <c r="N406" s="131"/>
      <c r="O406" s="131"/>
      <c r="P406" s="131"/>
      <c r="Q406" s="131"/>
      <c r="R406" s="131"/>
      <c r="S406" s="131"/>
      <c r="T406" s="131"/>
      <c r="U406" s="131"/>
      <c r="V406" s="131"/>
      <c r="W406" s="131"/>
      <c r="X406" s="131"/>
      <c r="Y406" s="131"/>
      <c r="Z406" s="131"/>
    </row>
    <row r="407" spans="1:26" ht="15.75" customHeight="1">
      <c r="A407" s="210"/>
      <c r="B407" s="210"/>
      <c r="C407" s="210"/>
      <c r="D407" s="178"/>
      <c r="E407" s="569"/>
      <c r="F407" s="569"/>
      <c r="G407" s="569"/>
      <c r="H407" s="569"/>
      <c r="I407" s="569"/>
      <c r="J407" s="131"/>
      <c r="K407" s="131"/>
      <c r="L407" s="131"/>
      <c r="M407" s="131"/>
      <c r="N407" s="131"/>
      <c r="O407" s="131"/>
      <c r="P407" s="131"/>
      <c r="Q407" s="131"/>
      <c r="R407" s="131"/>
      <c r="S407" s="131"/>
      <c r="T407" s="131"/>
      <c r="U407" s="131"/>
      <c r="V407" s="131"/>
      <c r="W407" s="131"/>
      <c r="X407" s="131"/>
      <c r="Y407" s="131"/>
      <c r="Z407" s="131"/>
    </row>
    <row r="408" spans="1:26" ht="15.75" customHeight="1">
      <c r="A408" s="210"/>
      <c r="B408" s="210"/>
      <c r="C408" s="210"/>
      <c r="D408" s="178"/>
      <c r="E408" s="569"/>
      <c r="F408" s="569"/>
      <c r="G408" s="569"/>
      <c r="H408" s="569"/>
      <c r="I408" s="569"/>
      <c r="J408" s="131"/>
      <c r="K408" s="131"/>
      <c r="L408" s="131"/>
      <c r="M408" s="131"/>
      <c r="N408" s="131"/>
      <c r="O408" s="131"/>
      <c r="P408" s="131"/>
      <c r="Q408" s="131"/>
      <c r="R408" s="131"/>
      <c r="S408" s="131"/>
      <c r="T408" s="131"/>
      <c r="U408" s="131"/>
      <c r="V408" s="131"/>
      <c r="W408" s="131"/>
      <c r="X408" s="131"/>
      <c r="Y408" s="131"/>
      <c r="Z408" s="131"/>
    </row>
    <row r="409" spans="1:26" ht="15.75" customHeight="1">
      <c r="A409" s="210"/>
      <c r="B409" s="210"/>
      <c r="C409" s="210"/>
      <c r="D409" s="178"/>
      <c r="E409" s="569"/>
      <c r="F409" s="569"/>
      <c r="G409" s="569"/>
      <c r="H409" s="569"/>
      <c r="I409" s="569"/>
      <c r="J409" s="131"/>
      <c r="K409" s="131"/>
      <c r="L409" s="131"/>
      <c r="M409" s="131"/>
      <c r="N409" s="131"/>
      <c r="O409" s="131"/>
      <c r="P409" s="131"/>
      <c r="Q409" s="131"/>
      <c r="R409" s="131"/>
      <c r="S409" s="131"/>
      <c r="T409" s="131"/>
      <c r="U409" s="131"/>
      <c r="V409" s="131"/>
      <c r="W409" s="131"/>
      <c r="X409" s="131"/>
      <c r="Y409" s="131"/>
      <c r="Z409" s="131"/>
    </row>
    <row r="410" spans="1:26" ht="15.75" customHeight="1">
      <c r="A410" s="210"/>
      <c r="B410" s="210"/>
      <c r="C410" s="210"/>
      <c r="D410" s="178"/>
      <c r="E410" s="569"/>
      <c r="F410" s="569"/>
      <c r="G410" s="569"/>
      <c r="H410" s="569"/>
      <c r="I410" s="569"/>
      <c r="J410" s="131"/>
      <c r="K410" s="131"/>
      <c r="L410" s="131"/>
      <c r="M410" s="131"/>
      <c r="N410" s="131"/>
      <c r="O410" s="131"/>
      <c r="P410" s="131"/>
      <c r="Q410" s="131"/>
      <c r="R410" s="131"/>
      <c r="S410" s="131"/>
      <c r="T410" s="131"/>
      <c r="U410" s="131"/>
      <c r="V410" s="131"/>
      <c r="W410" s="131"/>
      <c r="X410" s="131"/>
      <c r="Y410" s="131"/>
      <c r="Z410" s="131"/>
    </row>
    <row r="411" spans="1:26" ht="15.75" customHeight="1">
      <c r="A411" s="210"/>
      <c r="B411" s="210"/>
      <c r="C411" s="210"/>
      <c r="D411" s="178"/>
      <c r="E411" s="569"/>
      <c r="F411" s="569"/>
      <c r="G411" s="569"/>
      <c r="H411" s="569"/>
      <c r="I411" s="569"/>
      <c r="J411" s="131"/>
      <c r="K411" s="131"/>
      <c r="L411" s="131"/>
      <c r="M411" s="131"/>
      <c r="N411" s="131"/>
      <c r="O411" s="131"/>
      <c r="P411" s="131"/>
      <c r="Q411" s="131"/>
      <c r="R411" s="131"/>
      <c r="S411" s="131"/>
      <c r="T411" s="131"/>
      <c r="U411" s="131"/>
      <c r="V411" s="131"/>
      <c r="W411" s="131"/>
      <c r="X411" s="131"/>
      <c r="Y411" s="131"/>
      <c r="Z411" s="131"/>
    </row>
    <row r="412" spans="1:26" ht="15.75" customHeight="1">
      <c r="A412" s="210"/>
      <c r="B412" s="210"/>
      <c r="C412" s="210"/>
      <c r="D412" s="178"/>
      <c r="E412" s="569"/>
      <c r="F412" s="569"/>
      <c r="G412" s="569"/>
      <c r="H412" s="569"/>
      <c r="I412" s="569"/>
      <c r="J412" s="131"/>
      <c r="K412" s="131"/>
      <c r="L412" s="131"/>
      <c r="M412" s="131"/>
      <c r="N412" s="131"/>
      <c r="O412" s="131"/>
      <c r="P412" s="131"/>
      <c r="Q412" s="131"/>
      <c r="R412" s="131"/>
      <c r="S412" s="131"/>
      <c r="T412" s="131"/>
      <c r="U412" s="131"/>
      <c r="V412" s="131"/>
      <c r="W412" s="131"/>
      <c r="X412" s="131"/>
      <c r="Y412" s="131"/>
      <c r="Z412" s="131"/>
    </row>
    <row r="413" spans="1:26" ht="15.75" customHeight="1">
      <c r="A413" s="210"/>
      <c r="B413" s="210"/>
      <c r="C413" s="210"/>
      <c r="D413" s="178"/>
      <c r="E413" s="569"/>
      <c r="F413" s="569"/>
      <c r="G413" s="569"/>
      <c r="H413" s="569"/>
      <c r="I413" s="569"/>
      <c r="J413" s="131"/>
      <c r="K413" s="131"/>
      <c r="L413" s="131"/>
      <c r="M413" s="131"/>
      <c r="N413" s="131"/>
      <c r="O413" s="131"/>
      <c r="P413" s="131"/>
      <c r="Q413" s="131"/>
      <c r="R413" s="131"/>
      <c r="S413" s="131"/>
      <c r="T413" s="131"/>
      <c r="U413" s="131"/>
      <c r="V413" s="131"/>
      <c r="W413" s="131"/>
      <c r="X413" s="131"/>
      <c r="Y413" s="131"/>
      <c r="Z413" s="131"/>
    </row>
    <row r="414" spans="1:26" ht="15.75" customHeight="1">
      <c r="A414" s="210"/>
      <c r="B414" s="210"/>
      <c r="C414" s="210"/>
      <c r="D414" s="178"/>
      <c r="E414" s="569"/>
      <c r="F414" s="569"/>
      <c r="G414" s="569"/>
      <c r="H414" s="569"/>
      <c r="I414" s="569"/>
      <c r="J414" s="131"/>
      <c r="K414" s="131"/>
      <c r="L414" s="131"/>
      <c r="M414" s="131"/>
      <c r="N414" s="131"/>
      <c r="O414" s="131"/>
      <c r="P414" s="131"/>
      <c r="Q414" s="131"/>
      <c r="R414" s="131"/>
      <c r="S414" s="131"/>
      <c r="T414" s="131"/>
      <c r="U414" s="131"/>
      <c r="V414" s="131"/>
      <c r="W414" s="131"/>
      <c r="X414" s="131"/>
      <c r="Y414" s="131"/>
      <c r="Z414" s="131"/>
    </row>
    <row r="415" spans="1:26" ht="15.75" customHeight="1">
      <c r="A415" s="210"/>
      <c r="B415" s="210"/>
      <c r="C415" s="210"/>
      <c r="D415" s="178"/>
      <c r="E415" s="569"/>
      <c r="F415" s="569"/>
      <c r="G415" s="569"/>
      <c r="H415" s="569"/>
      <c r="I415" s="569"/>
      <c r="J415" s="131"/>
      <c r="K415" s="131"/>
      <c r="L415" s="131"/>
      <c r="M415" s="131"/>
      <c r="N415" s="131"/>
      <c r="O415" s="131"/>
      <c r="P415" s="131"/>
      <c r="Q415" s="131"/>
      <c r="R415" s="131"/>
      <c r="S415" s="131"/>
      <c r="T415" s="131"/>
      <c r="U415" s="131"/>
      <c r="V415" s="131"/>
      <c r="W415" s="131"/>
      <c r="X415" s="131"/>
      <c r="Y415" s="131"/>
      <c r="Z415" s="131"/>
    </row>
    <row r="416" spans="1:26" ht="15.75" customHeight="1">
      <c r="A416" s="210"/>
      <c r="B416" s="210"/>
      <c r="C416" s="210"/>
      <c r="D416" s="178"/>
      <c r="E416" s="569"/>
      <c r="F416" s="569"/>
      <c r="G416" s="569"/>
      <c r="H416" s="569"/>
      <c r="I416" s="569"/>
      <c r="J416" s="131"/>
      <c r="K416" s="131"/>
      <c r="L416" s="131"/>
      <c r="M416" s="131"/>
      <c r="N416" s="131"/>
      <c r="O416" s="131"/>
      <c r="P416" s="131"/>
      <c r="Q416" s="131"/>
      <c r="R416" s="131"/>
      <c r="S416" s="131"/>
      <c r="T416" s="131"/>
      <c r="U416" s="131"/>
      <c r="V416" s="131"/>
      <c r="W416" s="131"/>
      <c r="X416" s="131"/>
      <c r="Y416" s="131"/>
      <c r="Z416" s="131"/>
    </row>
    <row r="417" spans="1:26" ht="15.75" customHeight="1">
      <c r="A417" s="210"/>
      <c r="B417" s="210"/>
      <c r="C417" s="210"/>
      <c r="D417" s="178"/>
      <c r="E417" s="569"/>
      <c r="F417" s="569"/>
      <c r="G417" s="569"/>
      <c r="H417" s="569"/>
      <c r="I417" s="569"/>
      <c r="J417" s="131"/>
      <c r="K417" s="131"/>
      <c r="L417" s="131"/>
      <c r="M417" s="131"/>
      <c r="N417" s="131"/>
      <c r="O417" s="131"/>
      <c r="P417" s="131"/>
      <c r="Q417" s="131"/>
      <c r="R417" s="131"/>
      <c r="S417" s="131"/>
      <c r="T417" s="131"/>
      <c r="U417" s="131"/>
      <c r="V417" s="131"/>
      <c r="W417" s="131"/>
      <c r="X417" s="131"/>
      <c r="Y417" s="131"/>
      <c r="Z417" s="131"/>
    </row>
    <row r="418" spans="1:26" ht="15.75" customHeight="1">
      <c r="A418" s="210"/>
      <c r="B418" s="210"/>
      <c r="C418" s="210"/>
      <c r="D418" s="178"/>
      <c r="E418" s="569"/>
      <c r="F418" s="569"/>
      <c r="G418" s="569"/>
      <c r="H418" s="569"/>
      <c r="I418" s="569"/>
      <c r="J418" s="131"/>
      <c r="K418" s="131"/>
      <c r="L418" s="131"/>
      <c r="M418" s="131"/>
      <c r="N418" s="131"/>
      <c r="O418" s="131"/>
      <c r="P418" s="131"/>
      <c r="Q418" s="131"/>
      <c r="R418" s="131"/>
      <c r="S418" s="131"/>
      <c r="T418" s="131"/>
      <c r="U418" s="131"/>
      <c r="V418" s="131"/>
      <c r="W418" s="131"/>
      <c r="X418" s="131"/>
      <c r="Y418" s="131"/>
      <c r="Z418" s="131"/>
    </row>
    <row r="419" spans="1:26" ht="15.75" customHeight="1">
      <c r="A419" s="210"/>
      <c r="B419" s="210"/>
      <c r="C419" s="210"/>
      <c r="D419" s="178"/>
      <c r="E419" s="569"/>
      <c r="F419" s="569"/>
      <c r="G419" s="569"/>
      <c r="H419" s="569"/>
      <c r="I419" s="569"/>
      <c r="J419" s="131"/>
      <c r="K419" s="131"/>
      <c r="L419" s="131"/>
      <c r="M419" s="131"/>
      <c r="N419" s="131"/>
      <c r="O419" s="131"/>
      <c r="P419" s="131"/>
      <c r="Q419" s="131"/>
      <c r="R419" s="131"/>
      <c r="S419" s="131"/>
      <c r="T419" s="131"/>
      <c r="U419" s="131"/>
      <c r="V419" s="131"/>
      <c r="W419" s="131"/>
      <c r="X419" s="131"/>
      <c r="Y419" s="131"/>
      <c r="Z419" s="131"/>
    </row>
    <row r="420" spans="1:26" ht="15.75" customHeight="1">
      <c r="A420" s="210"/>
      <c r="B420" s="210"/>
      <c r="C420" s="210"/>
      <c r="D420" s="178"/>
      <c r="E420" s="569"/>
      <c r="F420" s="569"/>
      <c r="G420" s="569"/>
      <c r="H420" s="569"/>
      <c r="I420" s="569"/>
      <c r="J420" s="131"/>
      <c r="K420" s="131"/>
      <c r="L420" s="131"/>
      <c r="M420" s="131"/>
      <c r="N420" s="131"/>
      <c r="O420" s="131"/>
      <c r="P420" s="131"/>
      <c r="Q420" s="131"/>
      <c r="R420" s="131"/>
      <c r="S420" s="131"/>
      <c r="T420" s="131"/>
      <c r="U420" s="131"/>
      <c r="V420" s="131"/>
      <c r="W420" s="131"/>
      <c r="X420" s="131"/>
      <c r="Y420" s="131"/>
      <c r="Z420" s="131"/>
    </row>
    <row r="421" spans="1:26" ht="15.75" customHeight="1">
      <c r="A421" s="210"/>
      <c r="B421" s="210"/>
      <c r="C421" s="210"/>
      <c r="D421" s="178"/>
      <c r="E421" s="569"/>
      <c r="F421" s="569"/>
      <c r="G421" s="569"/>
      <c r="H421" s="569"/>
      <c r="I421" s="569"/>
      <c r="J421" s="131"/>
      <c r="K421" s="131"/>
      <c r="L421" s="131"/>
      <c r="M421" s="131"/>
      <c r="N421" s="131"/>
      <c r="O421" s="131"/>
      <c r="P421" s="131"/>
      <c r="Q421" s="131"/>
      <c r="R421" s="131"/>
      <c r="S421" s="131"/>
      <c r="T421" s="131"/>
      <c r="U421" s="131"/>
      <c r="V421" s="131"/>
      <c r="W421" s="131"/>
      <c r="X421" s="131"/>
      <c r="Y421" s="131"/>
      <c r="Z421" s="131"/>
    </row>
    <row r="422" spans="1:26" ht="15.75" customHeight="1">
      <c r="A422" s="210"/>
      <c r="B422" s="210"/>
      <c r="C422" s="210"/>
      <c r="D422" s="178"/>
      <c r="E422" s="569"/>
      <c r="F422" s="569"/>
      <c r="G422" s="569"/>
      <c r="H422" s="569"/>
      <c r="I422" s="569"/>
      <c r="J422" s="131"/>
      <c r="K422" s="131"/>
      <c r="L422" s="131"/>
      <c r="M422" s="131"/>
      <c r="N422" s="131"/>
      <c r="O422" s="131"/>
      <c r="P422" s="131"/>
      <c r="Q422" s="131"/>
      <c r="R422" s="131"/>
      <c r="S422" s="131"/>
      <c r="T422" s="131"/>
      <c r="U422" s="131"/>
      <c r="V422" s="131"/>
      <c r="W422" s="131"/>
      <c r="X422" s="131"/>
      <c r="Y422" s="131"/>
      <c r="Z422" s="131"/>
    </row>
    <row r="423" spans="1:26" ht="15.75" customHeight="1">
      <c r="A423" s="210"/>
      <c r="B423" s="210"/>
      <c r="C423" s="210"/>
      <c r="D423" s="178"/>
      <c r="E423" s="569"/>
      <c r="F423" s="569"/>
      <c r="G423" s="569"/>
      <c r="H423" s="569"/>
      <c r="I423" s="569"/>
      <c r="J423" s="131"/>
      <c r="K423" s="131"/>
      <c r="L423" s="131"/>
      <c r="M423" s="131"/>
      <c r="N423" s="131"/>
      <c r="O423" s="131"/>
      <c r="P423" s="131"/>
      <c r="Q423" s="131"/>
      <c r="R423" s="131"/>
      <c r="S423" s="131"/>
      <c r="T423" s="131"/>
      <c r="U423" s="131"/>
      <c r="V423" s="131"/>
      <c r="W423" s="131"/>
      <c r="X423" s="131"/>
      <c r="Y423" s="131"/>
      <c r="Z423" s="131"/>
    </row>
    <row r="424" spans="1:26" ht="15.75" customHeight="1">
      <c r="A424" s="210"/>
      <c r="B424" s="210"/>
      <c r="C424" s="210"/>
      <c r="D424" s="178"/>
      <c r="E424" s="569"/>
      <c r="F424" s="569"/>
      <c r="G424" s="569"/>
      <c r="H424" s="569"/>
      <c r="I424" s="569"/>
      <c r="J424" s="131"/>
      <c r="K424" s="131"/>
      <c r="L424" s="131"/>
      <c r="M424" s="131"/>
      <c r="N424" s="131"/>
      <c r="O424" s="131"/>
      <c r="P424" s="131"/>
      <c r="Q424" s="131"/>
      <c r="R424" s="131"/>
      <c r="S424" s="131"/>
      <c r="T424" s="131"/>
      <c r="U424" s="131"/>
      <c r="V424" s="131"/>
      <c r="W424" s="131"/>
      <c r="X424" s="131"/>
      <c r="Y424" s="131"/>
      <c r="Z424" s="131"/>
    </row>
    <row r="425" spans="1:26" ht="15.75" customHeight="1">
      <c r="A425" s="210"/>
      <c r="B425" s="210"/>
      <c r="C425" s="210"/>
      <c r="D425" s="178"/>
      <c r="E425" s="569"/>
      <c r="F425" s="569"/>
      <c r="G425" s="569"/>
      <c r="H425" s="569"/>
      <c r="I425" s="569"/>
      <c r="J425" s="131"/>
      <c r="K425" s="131"/>
      <c r="L425" s="131"/>
      <c r="M425" s="131"/>
      <c r="N425" s="131"/>
      <c r="O425" s="131"/>
      <c r="P425" s="131"/>
      <c r="Q425" s="131"/>
      <c r="R425" s="131"/>
      <c r="S425" s="131"/>
      <c r="T425" s="131"/>
      <c r="U425" s="131"/>
      <c r="V425" s="131"/>
      <c r="W425" s="131"/>
      <c r="X425" s="131"/>
      <c r="Y425" s="131"/>
      <c r="Z425" s="131"/>
    </row>
    <row r="426" spans="1:26" ht="15.75" customHeight="1">
      <c r="A426" s="210"/>
      <c r="B426" s="210"/>
      <c r="C426" s="210"/>
      <c r="D426" s="178"/>
      <c r="E426" s="569"/>
      <c r="F426" s="569"/>
      <c r="G426" s="569"/>
      <c r="H426" s="569"/>
      <c r="I426" s="569"/>
      <c r="J426" s="131"/>
      <c r="K426" s="131"/>
      <c r="L426" s="131"/>
      <c r="M426" s="131"/>
      <c r="N426" s="131"/>
      <c r="O426" s="131"/>
      <c r="P426" s="131"/>
      <c r="Q426" s="131"/>
      <c r="R426" s="131"/>
      <c r="S426" s="131"/>
      <c r="T426" s="131"/>
      <c r="U426" s="131"/>
      <c r="V426" s="131"/>
      <c r="W426" s="131"/>
      <c r="X426" s="131"/>
      <c r="Y426" s="131"/>
      <c r="Z426" s="131"/>
    </row>
    <row r="427" spans="1:26" ht="15.75" customHeight="1">
      <c r="A427" s="210"/>
      <c r="B427" s="210"/>
      <c r="C427" s="210"/>
      <c r="D427" s="178"/>
      <c r="E427" s="569"/>
      <c r="F427" s="569"/>
      <c r="G427" s="569"/>
      <c r="H427" s="569"/>
      <c r="I427" s="569"/>
      <c r="J427" s="131"/>
      <c r="K427" s="131"/>
      <c r="L427" s="131"/>
      <c r="M427" s="131"/>
      <c r="N427" s="131"/>
      <c r="O427" s="131"/>
      <c r="P427" s="131"/>
      <c r="Q427" s="131"/>
      <c r="R427" s="131"/>
      <c r="S427" s="131"/>
      <c r="T427" s="131"/>
      <c r="U427" s="131"/>
      <c r="V427" s="131"/>
      <c r="W427" s="131"/>
      <c r="X427" s="131"/>
      <c r="Y427" s="131"/>
      <c r="Z427" s="131"/>
    </row>
    <row r="428" spans="1:26" ht="15.75" customHeight="1">
      <c r="A428" s="210"/>
      <c r="B428" s="210"/>
      <c r="C428" s="210"/>
      <c r="D428" s="178"/>
      <c r="E428" s="569"/>
      <c r="F428" s="569"/>
      <c r="G428" s="569"/>
      <c r="H428" s="569"/>
      <c r="I428" s="569"/>
      <c r="J428" s="131"/>
      <c r="K428" s="131"/>
      <c r="L428" s="131"/>
      <c r="M428" s="131"/>
      <c r="N428" s="131"/>
      <c r="O428" s="131"/>
      <c r="P428" s="131"/>
      <c r="Q428" s="131"/>
      <c r="R428" s="131"/>
      <c r="S428" s="131"/>
      <c r="T428" s="131"/>
      <c r="U428" s="131"/>
      <c r="V428" s="131"/>
      <c r="W428" s="131"/>
      <c r="X428" s="131"/>
      <c r="Y428" s="131"/>
      <c r="Z428" s="131"/>
    </row>
    <row r="429" spans="1:26" ht="15.75" customHeight="1">
      <c r="A429" s="210"/>
      <c r="B429" s="210"/>
      <c r="C429" s="210"/>
      <c r="D429" s="178"/>
      <c r="E429" s="569"/>
      <c r="F429" s="569"/>
      <c r="G429" s="569"/>
      <c r="H429" s="569"/>
      <c r="I429" s="569"/>
      <c r="J429" s="131"/>
      <c r="K429" s="131"/>
      <c r="L429" s="131"/>
      <c r="M429" s="131"/>
      <c r="N429" s="131"/>
      <c r="O429" s="131"/>
      <c r="P429" s="131"/>
      <c r="Q429" s="131"/>
      <c r="R429" s="131"/>
      <c r="S429" s="131"/>
      <c r="T429" s="131"/>
      <c r="U429" s="131"/>
      <c r="V429" s="131"/>
      <c r="W429" s="131"/>
      <c r="X429" s="131"/>
      <c r="Y429" s="131"/>
      <c r="Z429" s="131"/>
    </row>
    <row r="430" spans="1:26" ht="15.75" customHeight="1">
      <c r="A430" s="210"/>
      <c r="B430" s="210"/>
      <c r="C430" s="210"/>
      <c r="D430" s="178"/>
      <c r="E430" s="569"/>
      <c r="F430" s="569"/>
      <c r="G430" s="569"/>
      <c r="H430" s="569"/>
      <c r="I430" s="569"/>
      <c r="J430" s="131"/>
      <c r="K430" s="131"/>
      <c r="L430" s="131"/>
      <c r="M430" s="131"/>
      <c r="N430" s="131"/>
      <c r="O430" s="131"/>
      <c r="P430" s="131"/>
      <c r="Q430" s="131"/>
      <c r="R430" s="131"/>
      <c r="S430" s="131"/>
      <c r="T430" s="131"/>
      <c r="U430" s="131"/>
      <c r="V430" s="131"/>
      <c r="W430" s="131"/>
      <c r="X430" s="131"/>
      <c r="Y430" s="131"/>
      <c r="Z430" s="131"/>
    </row>
    <row r="431" spans="1:26" ht="15.75" customHeight="1">
      <c r="A431" s="210"/>
      <c r="B431" s="210"/>
      <c r="C431" s="210"/>
      <c r="D431" s="178"/>
      <c r="E431" s="569"/>
      <c r="F431" s="569"/>
      <c r="G431" s="569"/>
      <c r="H431" s="569"/>
      <c r="I431" s="569"/>
      <c r="J431" s="131"/>
      <c r="K431" s="131"/>
      <c r="L431" s="131"/>
      <c r="M431" s="131"/>
      <c r="N431" s="131"/>
      <c r="O431" s="131"/>
      <c r="P431" s="131"/>
      <c r="Q431" s="131"/>
      <c r="R431" s="131"/>
      <c r="S431" s="131"/>
      <c r="T431" s="131"/>
      <c r="U431" s="131"/>
      <c r="V431" s="131"/>
      <c r="W431" s="131"/>
      <c r="X431" s="131"/>
      <c r="Y431" s="131"/>
      <c r="Z431" s="131"/>
    </row>
    <row r="432" spans="1:26" ht="15.75" customHeight="1">
      <c r="A432" s="210"/>
      <c r="B432" s="210"/>
      <c r="C432" s="210"/>
      <c r="D432" s="178"/>
      <c r="E432" s="569"/>
      <c r="F432" s="569"/>
      <c r="G432" s="569"/>
      <c r="H432" s="569"/>
      <c r="I432" s="569"/>
      <c r="J432" s="131"/>
      <c r="K432" s="131"/>
      <c r="L432" s="131"/>
      <c r="M432" s="131"/>
      <c r="N432" s="131"/>
      <c r="O432" s="131"/>
      <c r="P432" s="131"/>
      <c r="Q432" s="131"/>
      <c r="R432" s="131"/>
      <c r="S432" s="131"/>
      <c r="T432" s="131"/>
      <c r="U432" s="131"/>
      <c r="V432" s="131"/>
      <c r="W432" s="131"/>
      <c r="X432" s="131"/>
      <c r="Y432" s="131"/>
      <c r="Z432" s="131"/>
    </row>
    <row r="433" spans="1:26" ht="15.75" customHeight="1">
      <c r="A433" s="210"/>
      <c r="B433" s="210"/>
      <c r="C433" s="210"/>
      <c r="D433" s="178"/>
      <c r="E433" s="569"/>
      <c r="F433" s="569"/>
      <c r="G433" s="569"/>
      <c r="H433" s="569"/>
      <c r="I433" s="569"/>
      <c r="J433" s="131"/>
      <c r="K433" s="131"/>
      <c r="L433" s="131"/>
      <c r="M433" s="131"/>
      <c r="N433" s="131"/>
      <c r="O433" s="131"/>
      <c r="P433" s="131"/>
      <c r="Q433" s="131"/>
      <c r="R433" s="131"/>
      <c r="S433" s="131"/>
      <c r="T433" s="131"/>
      <c r="U433" s="131"/>
      <c r="V433" s="131"/>
      <c r="W433" s="131"/>
      <c r="X433" s="131"/>
      <c r="Y433" s="131"/>
      <c r="Z433" s="131"/>
    </row>
    <row r="434" spans="1:26" ht="15.75" customHeight="1">
      <c r="A434" s="210"/>
      <c r="B434" s="210"/>
      <c r="C434" s="210"/>
      <c r="D434" s="178"/>
      <c r="E434" s="569"/>
      <c r="F434" s="569"/>
      <c r="G434" s="569"/>
      <c r="H434" s="569"/>
      <c r="I434" s="569"/>
      <c r="J434" s="131"/>
      <c r="K434" s="131"/>
      <c r="L434" s="131"/>
      <c r="M434" s="131"/>
      <c r="N434" s="131"/>
      <c r="O434" s="131"/>
      <c r="P434" s="131"/>
      <c r="Q434" s="131"/>
      <c r="R434" s="131"/>
      <c r="S434" s="131"/>
      <c r="T434" s="131"/>
      <c r="U434" s="131"/>
      <c r="V434" s="131"/>
      <c r="W434" s="131"/>
      <c r="X434" s="131"/>
      <c r="Y434" s="131"/>
      <c r="Z434" s="131"/>
    </row>
    <row r="435" spans="1:26" ht="15.75" customHeight="1">
      <c r="A435" s="210"/>
      <c r="B435" s="210"/>
      <c r="C435" s="210"/>
      <c r="D435" s="178"/>
      <c r="E435" s="569"/>
      <c r="F435" s="569"/>
      <c r="G435" s="569"/>
      <c r="H435" s="569"/>
      <c r="I435" s="569"/>
      <c r="J435" s="131"/>
      <c r="K435" s="131"/>
      <c r="L435" s="131"/>
      <c r="M435" s="131"/>
      <c r="N435" s="131"/>
      <c r="O435" s="131"/>
      <c r="P435" s="131"/>
      <c r="Q435" s="131"/>
      <c r="R435" s="131"/>
      <c r="S435" s="131"/>
      <c r="T435" s="131"/>
      <c r="U435" s="131"/>
      <c r="V435" s="131"/>
      <c r="W435" s="131"/>
      <c r="X435" s="131"/>
      <c r="Y435" s="131"/>
      <c r="Z435" s="131"/>
    </row>
    <row r="436" spans="1:26" ht="15.75" customHeight="1">
      <c r="A436" s="210"/>
      <c r="B436" s="210"/>
      <c r="C436" s="210"/>
      <c r="D436" s="178"/>
      <c r="E436" s="569"/>
      <c r="F436" s="569"/>
      <c r="G436" s="569"/>
      <c r="H436" s="569"/>
      <c r="I436" s="569"/>
      <c r="J436" s="131"/>
      <c r="K436" s="131"/>
      <c r="L436" s="131"/>
      <c r="M436" s="131"/>
      <c r="N436" s="131"/>
      <c r="O436" s="131"/>
      <c r="P436" s="131"/>
      <c r="Q436" s="131"/>
      <c r="R436" s="131"/>
      <c r="S436" s="131"/>
      <c r="T436" s="131"/>
      <c r="U436" s="131"/>
      <c r="V436" s="131"/>
      <c r="W436" s="131"/>
      <c r="X436" s="131"/>
      <c r="Y436" s="131"/>
      <c r="Z436" s="131"/>
    </row>
    <row r="437" spans="1:26" ht="15.75" customHeight="1">
      <c r="A437" s="210"/>
      <c r="B437" s="210"/>
      <c r="C437" s="210"/>
      <c r="D437" s="178"/>
      <c r="E437" s="569"/>
      <c r="F437" s="569"/>
      <c r="G437" s="569"/>
      <c r="H437" s="569"/>
      <c r="I437" s="569"/>
      <c r="J437" s="131"/>
      <c r="K437" s="131"/>
      <c r="L437" s="131"/>
      <c r="M437" s="131"/>
      <c r="N437" s="131"/>
      <c r="O437" s="131"/>
      <c r="P437" s="131"/>
      <c r="Q437" s="131"/>
      <c r="R437" s="131"/>
      <c r="S437" s="131"/>
      <c r="T437" s="131"/>
      <c r="U437" s="131"/>
      <c r="V437" s="131"/>
      <c r="W437" s="131"/>
      <c r="X437" s="131"/>
      <c r="Y437" s="131"/>
      <c r="Z437" s="131"/>
    </row>
    <row r="438" spans="1:26" ht="15.75" customHeight="1">
      <c r="A438" s="210"/>
      <c r="B438" s="210"/>
      <c r="C438" s="210"/>
      <c r="D438" s="178"/>
      <c r="E438" s="569"/>
      <c r="F438" s="569"/>
      <c r="G438" s="569"/>
      <c r="H438" s="569"/>
      <c r="I438" s="569"/>
      <c r="J438" s="131"/>
      <c r="K438" s="131"/>
      <c r="L438" s="131"/>
      <c r="M438" s="131"/>
      <c r="N438" s="131"/>
      <c r="O438" s="131"/>
      <c r="P438" s="131"/>
      <c r="Q438" s="131"/>
      <c r="R438" s="131"/>
      <c r="S438" s="131"/>
      <c r="T438" s="131"/>
      <c r="U438" s="131"/>
      <c r="V438" s="131"/>
      <c r="W438" s="131"/>
      <c r="X438" s="131"/>
      <c r="Y438" s="131"/>
      <c r="Z438" s="131"/>
    </row>
    <row r="439" spans="1:26" ht="15.75" customHeight="1">
      <c r="A439" s="210"/>
      <c r="B439" s="210"/>
      <c r="C439" s="210"/>
      <c r="D439" s="178"/>
      <c r="E439" s="569"/>
      <c r="F439" s="569"/>
      <c r="G439" s="569"/>
      <c r="H439" s="569"/>
      <c r="I439" s="569"/>
      <c r="J439" s="131"/>
      <c r="K439" s="131"/>
      <c r="L439" s="131"/>
      <c r="M439" s="131"/>
      <c r="N439" s="131"/>
      <c r="O439" s="131"/>
      <c r="P439" s="131"/>
      <c r="Q439" s="131"/>
      <c r="R439" s="131"/>
      <c r="S439" s="131"/>
      <c r="T439" s="131"/>
      <c r="U439" s="131"/>
      <c r="V439" s="131"/>
      <c r="W439" s="131"/>
      <c r="X439" s="131"/>
      <c r="Y439" s="131"/>
      <c r="Z439" s="131"/>
    </row>
    <row r="440" spans="1:26" ht="15.75" customHeight="1">
      <c r="A440" s="210"/>
      <c r="B440" s="210"/>
      <c r="C440" s="210"/>
      <c r="D440" s="178"/>
      <c r="E440" s="569"/>
      <c r="F440" s="569"/>
      <c r="G440" s="569"/>
      <c r="H440" s="569"/>
      <c r="I440" s="569"/>
      <c r="J440" s="131"/>
      <c r="K440" s="131"/>
      <c r="L440" s="131"/>
      <c r="M440" s="131"/>
      <c r="N440" s="131"/>
      <c r="O440" s="131"/>
      <c r="P440" s="131"/>
      <c r="Q440" s="131"/>
      <c r="R440" s="131"/>
      <c r="S440" s="131"/>
      <c r="T440" s="131"/>
      <c r="U440" s="131"/>
      <c r="V440" s="131"/>
      <c r="W440" s="131"/>
      <c r="X440" s="131"/>
      <c r="Y440" s="131"/>
      <c r="Z440" s="131"/>
    </row>
    <row r="441" spans="1:26" ht="15.75" customHeight="1">
      <c r="A441" s="210"/>
      <c r="B441" s="210"/>
      <c r="C441" s="210"/>
      <c r="D441" s="178"/>
      <c r="E441" s="569"/>
      <c r="F441" s="569"/>
      <c r="G441" s="569"/>
      <c r="H441" s="569"/>
      <c r="I441" s="569"/>
      <c r="J441" s="131"/>
      <c r="K441" s="131"/>
      <c r="L441" s="131"/>
      <c r="M441" s="131"/>
      <c r="N441" s="131"/>
      <c r="O441" s="131"/>
      <c r="P441" s="131"/>
      <c r="Q441" s="131"/>
      <c r="R441" s="131"/>
      <c r="S441" s="131"/>
      <c r="T441" s="131"/>
      <c r="U441" s="131"/>
      <c r="V441" s="131"/>
      <c r="W441" s="131"/>
      <c r="X441" s="131"/>
      <c r="Y441" s="131"/>
      <c r="Z441" s="131"/>
    </row>
    <row r="442" spans="1:26" ht="15.75" customHeight="1">
      <c r="A442" s="210"/>
      <c r="B442" s="210"/>
      <c r="C442" s="210"/>
      <c r="D442" s="178"/>
      <c r="E442" s="569"/>
      <c r="F442" s="569"/>
      <c r="G442" s="569"/>
      <c r="H442" s="569"/>
      <c r="I442" s="569"/>
      <c r="J442" s="131"/>
      <c r="K442" s="131"/>
      <c r="L442" s="131"/>
      <c r="M442" s="131"/>
      <c r="N442" s="131"/>
      <c r="O442" s="131"/>
      <c r="P442" s="131"/>
      <c r="Q442" s="131"/>
      <c r="R442" s="131"/>
      <c r="S442" s="131"/>
      <c r="T442" s="131"/>
      <c r="U442" s="131"/>
      <c r="V442" s="131"/>
      <c r="W442" s="131"/>
      <c r="X442" s="131"/>
      <c r="Y442" s="131"/>
      <c r="Z442" s="131"/>
    </row>
    <row r="443" spans="1:26" ht="15.75" customHeight="1">
      <c r="A443" s="210"/>
      <c r="B443" s="210"/>
      <c r="C443" s="210"/>
      <c r="D443" s="178"/>
      <c r="E443" s="569"/>
      <c r="F443" s="569"/>
      <c r="G443" s="569"/>
      <c r="H443" s="569"/>
      <c r="I443" s="569"/>
      <c r="J443" s="131"/>
      <c r="K443" s="131"/>
      <c r="L443" s="131"/>
      <c r="M443" s="131"/>
      <c r="N443" s="131"/>
      <c r="O443" s="131"/>
      <c r="P443" s="131"/>
      <c r="Q443" s="131"/>
      <c r="R443" s="131"/>
      <c r="S443" s="131"/>
      <c r="T443" s="131"/>
      <c r="U443" s="131"/>
      <c r="V443" s="131"/>
      <c r="W443" s="131"/>
      <c r="X443" s="131"/>
      <c r="Y443" s="131"/>
      <c r="Z443" s="131"/>
    </row>
    <row r="444" spans="1:26" ht="15.75" customHeight="1">
      <c r="A444" s="210"/>
      <c r="B444" s="210"/>
      <c r="C444" s="210"/>
      <c r="D444" s="178"/>
      <c r="E444" s="569"/>
      <c r="F444" s="569"/>
      <c r="G444" s="569"/>
      <c r="H444" s="569"/>
      <c r="I444" s="569"/>
      <c r="J444" s="131"/>
      <c r="K444" s="131"/>
      <c r="L444" s="131"/>
      <c r="M444" s="131"/>
      <c r="N444" s="131"/>
      <c r="O444" s="131"/>
      <c r="P444" s="131"/>
      <c r="Q444" s="131"/>
      <c r="R444" s="131"/>
      <c r="S444" s="131"/>
      <c r="T444" s="131"/>
      <c r="U444" s="131"/>
      <c r="V444" s="131"/>
      <c r="W444" s="131"/>
      <c r="X444" s="131"/>
      <c r="Y444" s="131"/>
      <c r="Z444" s="131"/>
    </row>
    <row r="445" spans="1:26" ht="15.75" customHeight="1">
      <c r="A445" s="210"/>
      <c r="B445" s="210"/>
      <c r="C445" s="210"/>
      <c r="D445" s="178"/>
      <c r="E445" s="569"/>
      <c r="F445" s="569"/>
      <c r="G445" s="569"/>
      <c r="H445" s="569"/>
      <c r="I445" s="569"/>
      <c r="J445" s="131"/>
      <c r="K445" s="131"/>
      <c r="L445" s="131"/>
      <c r="M445" s="131"/>
      <c r="N445" s="131"/>
      <c r="O445" s="131"/>
      <c r="P445" s="131"/>
      <c r="Q445" s="131"/>
      <c r="R445" s="131"/>
      <c r="S445" s="131"/>
      <c r="T445" s="131"/>
      <c r="U445" s="131"/>
      <c r="V445" s="131"/>
      <c r="W445" s="131"/>
      <c r="X445" s="131"/>
      <c r="Y445" s="131"/>
      <c r="Z445" s="131"/>
    </row>
    <row r="446" spans="1:26" ht="15.75" customHeight="1">
      <c r="A446" s="210"/>
      <c r="B446" s="210"/>
      <c r="C446" s="210"/>
      <c r="D446" s="178"/>
      <c r="E446" s="569"/>
      <c r="F446" s="569"/>
      <c r="G446" s="569"/>
      <c r="H446" s="569"/>
      <c r="I446" s="569"/>
      <c r="J446" s="131"/>
      <c r="K446" s="131"/>
      <c r="L446" s="131"/>
      <c r="M446" s="131"/>
      <c r="N446" s="131"/>
      <c r="O446" s="131"/>
      <c r="P446" s="131"/>
      <c r="Q446" s="131"/>
      <c r="R446" s="131"/>
      <c r="S446" s="131"/>
      <c r="T446" s="131"/>
      <c r="U446" s="131"/>
      <c r="V446" s="131"/>
      <c r="W446" s="131"/>
      <c r="X446" s="131"/>
      <c r="Y446" s="131"/>
      <c r="Z446" s="131"/>
    </row>
    <row r="447" spans="1:26" ht="15.75" customHeight="1">
      <c r="A447" s="210"/>
      <c r="B447" s="210"/>
      <c r="C447" s="210"/>
      <c r="D447" s="178"/>
      <c r="E447" s="569"/>
      <c r="F447" s="569"/>
      <c r="G447" s="569"/>
      <c r="H447" s="569"/>
      <c r="I447" s="569"/>
      <c r="J447" s="131"/>
      <c r="K447" s="131"/>
      <c r="L447" s="131"/>
      <c r="M447" s="131"/>
      <c r="N447" s="131"/>
      <c r="O447" s="131"/>
      <c r="P447" s="131"/>
      <c r="Q447" s="131"/>
      <c r="R447" s="131"/>
      <c r="S447" s="131"/>
      <c r="T447" s="131"/>
      <c r="U447" s="131"/>
      <c r="V447" s="131"/>
      <c r="W447" s="131"/>
      <c r="X447" s="131"/>
      <c r="Y447" s="131"/>
      <c r="Z447" s="131"/>
    </row>
    <row r="448" spans="1:26" ht="15.75" customHeight="1">
      <c r="A448" s="210"/>
      <c r="B448" s="210"/>
      <c r="C448" s="210"/>
      <c r="D448" s="178"/>
      <c r="E448" s="569"/>
      <c r="F448" s="569"/>
      <c r="G448" s="569"/>
      <c r="H448" s="569"/>
      <c r="I448" s="569"/>
      <c r="J448" s="131"/>
      <c r="K448" s="131"/>
      <c r="L448" s="131"/>
      <c r="M448" s="131"/>
      <c r="N448" s="131"/>
      <c r="O448" s="131"/>
      <c r="P448" s="131"/>
      <c r="Q448" s="131"/>
      <c r="R448" s="131"/>
      <c r="S448" s="131"/>
      <c r="T448" s="131"/>
      <c r="U448" s="131"/>
      <c r="V448" s="131"/>
      <c r="W448" s="131"/>
      <c r="X448" s="131"/>
      <c r="Y448" s="131"/>
      <c r="Z448" s="131"/>
    </row>
    <row r="449" spans="1:26" ht="15.75" customHeight="1">
      <c r="A449" s="210"/>
      <c r="B449" s="210"/>
      <c r="C449" s="210"/>
      <c r="D449" s="178"/>
      <c r="E449" s="569"/>
      <c r="F449" s="569"/>
      <c r="G449" s="569"/>
      <c r="H449" s="569"/>
      <c r="I449" s="569"/>
      <c r="J449" s="131"/>
      <c r="K449" s="131"/>
      <c r="L449" s="131"/>
      <c r="M449" s="131"/>
      <c r="N449" s="131"/>
      <c r="O449" s="131"/>
      <c r="P449" s="131"/>
      <c r="Q449" s="131"/>
      <c r="R449" s="131"/>
      <c r="S449" s="131"/>
      <c r="T449" s="131"/>
      <c r="U449" s="131"/>
      <c r="V449" s="131"/>
      <c r="W449" s="131"/>
      <c r="X449" s="131"/>
      <c r="Y449" s="131"/>
      <c r="Z449" s="131"/>
    </row>
    <row r="450" spans="1:26" ht="15.75" customHeight="1">
      <c r="A450" s="210"/>
      <c r="B450" s="210"/>
      <c r="C450" s="210"/>
      <c r="D450" s="178"/>
      <c r="E450" s="569"/>
      <c r="F450" s="569"/>
      <c r="G450" s="569"/>
      <c r="H450" s="569"/>
      <c r="I450" s="569"/>
      <c r="J450" s="131"/>
      <c r="K450" s="131"/>
      <c r="L450" s="131"/>
      <c r="M450" s="131"/>
      <c r="N450" s="131"/>
      <c r="O450" s="131"/>
      <c r="P450" s="131"/>
      <c r="Q450" s="131"/>
      <c r="R450" s="131"/>
      <c r="S450" s="131"/>
      <c r="T450" s="131"/>
      <c r="U450" s="131"/>
      <c r="V450" s="131"/>
      <c r="W450" s="131"/>
      <c r="X450" s="131"/>
      <c r="Y450" s="131"/>
      <c r="Z450" s="131"/>
    </row>
    <row r="451" spans="1:26" ht="15.75" customHeight="1">
      <c r="A451" s="210"/>
      <c r="B451" s="210"/>
      <c r="C451" s="210"/>
      <c r="D451" s="178"/>
      <c r="E451" s="569"/>
      <c r="F451" s="569"/>
      <c r="G451" s="569"/>
      <c r="H451" s="569"/>
      <c r="I451" s="569"/>
      <c r="J451" s="131"/>
      <c r="K451" s="131"/>
      <c r="L451" s="131"/>
      <c r="M451" s="131"/>
      <c r="N451" s="131"/>
      <c r="O451" s="131"/>
      <c r="P451" s="131"/>
      <c r="Q451" s="131"/>
      <c r="R451" s="131"/>
      <c r="S451" s="131"/>
      <c r="T451" s="131"/>
      <c r="U451" s="131"/>
      <c r="V451" s="131"/>
      <c r="W451" s="131"/>
      <c r="X451" s="131"/>
      <c r="Y451" s="131"/>
      <c r="Z451" s="131"/>
    </row>
    <row r="452" spans="1:26" ht="15.75" customHeight="1">
      <c r="A452" s="210"/>
      <c r="B452" s="210"/>
      <c r="C452" s="210"/>
      <c r="D452" s="178"/>
      <c r="E452" s="569"/>
      <c r="F452" s="569"/>
      <c r="G452" s="569"/>
      <c r="H452" s="569"/>
      <c r="I452" s="569"/>
      <c r="J452" s="131"/>
      <c r="K452" s="131"/>
      <c r="L452" s="131"/>
      <c r="M452" s="131"/>
      <c r="N452" s="131"/>
      <c r="O452" s="131"/>
      <c r="P452" s="131"/>
      <c r="Q452" s="131"/>
      <c r="R452" s="131"/>
      <c r="S452" s="131"/>
      <c r="T452" s="131"/>
      <c r="U452" s="131"/>
      <c r="V452" s="131"/>
      <c r="W452" s="131"/>
      <c r="X452" s="131"/>
      <c r="Y452" s="131"/>
      <c r="Z452" s="131"/>
    </row>
    <row r="453" spans="1:26" ht="15.75" customHeight="1">
      <c r="A453" s="210"/>
      <c r="B453" s="210"/>
      <c r="C453" s="210"/>
      <c r="D453" s="178"/>
      <c r="E453" s="569"/>
      <c r="F453" s="569"/>
      <c r="G453" s="569"/>
      <c r="H453" s="569"/>
      <c r="I453" s="569"/>
      <c r="J453" s="131"/>
      <c r="K453" s="131"/>
      <c r="L453" s="131"/>
      <c r="M453" s="131"/>
      <c r="N453" s="131"/>
      <c r="O453" s="131"/>
      <c r="P453" s="131"/>
      <c r="Q453" s="131"/>
      <c r="R453" s="131"/>
      <c r="S453" s="131"/>
      <c r="T453" s="131"/>
      <c r="U453" s="131"/>
      <c r="V453" s="131"/>
      <c r="W453" s="131"/>
      <c r="X453" s="131"/>
      <c r="Y453" s="131"/>
      <c r="Z453" s="131"/>
    </row>
    <row r="454" spans="1:26" ht="15.75" customHeight="1">
      <c r="A454" s="210"/>
      <c r="B454" s="210"/>
      <c r="C454" s="210"/>
      <c r="D454" s="178"/>
      <c r="E454" s="569"/>
      <c r="F454" s="569"/>
      <c r="G454" s="569"/>
      <c r="H454" s="569"/>
      <c r="I454" s="569"/>
      <c r="J454" s="131"/>
      <c r="K454" s="131"/>
      <c r="L454" s="131"/>
      <c r="M454" s="131"/>
      <c r="N454" s="131"/>
      <c r="O454" s="131"/>
      <c r="P454" s="131"/>
      <c r="Q454" s="131"/>
      <c r="R454" s="131"/>
      <c r="S454" s="131"/>
      <c r="T454" s="131"/>
      <c r="U454" s="131"/>
      <c r="V454" s="131"/>
      <c r="W454" s="131"/>
      <c r="X454" s="131"/>
      <c r="Y454" s="131"/>
      <c r="Z454" s="131"/>
    </row>
    <row r="455" spans="1:26" ht="15.75" customHeight="1">
      <c r="A455" s="210"/>
      <c r="B455" s="210"/>
      <c r="C455" s="210"/>
      <c r="D455" s="178"/>
      <c r="E455" s="569"/>
      <c r="F455" s="569"/>
      <c r="G455" s="569"/>
      <c r="H455" s="569"/>
      <c r="I455" s="569"/>
      <c r="J455" s="131"/>
      <c r="K455" s="131"/>
      <c r="L455" s="131"/>
      <c r="M455" s="131"/>
      <c r="N455" s="131"/>
      <c r="O455" s="131"/>
      <c r="P455" s="131"/>
      <c r="Q455" s="131"/>
      <c r="R455" s="131"/>
      <c r="S455" s="131"/>
      <c r="T455" s="131"/>
      <c r="U455" s="131"/>
      <c r="V455" s="131"/>
      <c r="W455" s="131"/>
      <c r="X455" s="131"/>
      <c r="Y455" s="131"/>
      <c r="Z455" s="131"/>
    </row>
    <row r="456" spans="1:26" ht="15.75" customHeight="1">
      <c r="A456" s="210"/>
      <c r="B456" s="210"/>
      <c r="C456" s="210"/>
      <c r="D456" s="178"/>
      <c r="E456" s="569"/>
      <c r="F456" s="569"/>
      <c r="G456" s="569"/>
      <c r="H456" s="569"/>
      <c r="I456" s="569"/>
      <c r="J456" s="131"/>
      <c r="K456" s="131"/>
      <c r="L456" s="131"/>
      <c r="M456" s="131"/>
      <c r="N456" s="131"/>
      <c r="O456" s="131"/>
      <c r="P456" s="131"/>
      <c r="Q456" s="131"/>
      <c r="R456" s="131"/>
      <c r="S456" s="131"/>
      <c r="T456" s="131"/>
      <c r="U456" s="131"/>
      <c r="V456" s="131"/>
      <c r="W456" s="131"/>
      <c r="X456" s="131"/>
      <c r="Y456" s="131"/>
      <c r="Z456" s="131"/>
    </row>
    <row r="457" spans="1:26" ht="15.75" customHeight="1">
      <c r="A457" s="210"/>
      <c r="B457" s="210"/>
      <c r="C457" s="210"/>
      <c r="D457" s="178"/>
      <c r="E457" s="569"/>
      <c r="F457" s="569"/>
      <c r="G457" s="569"/>
      <c r="H457" s="569"/>
      <c r="I457" s="569"/>
      <c r="J457" s="131"/>
      <c r="K457" s="131"/>
      <c r="L457" s="131"/>
      <c r="M457" s="131"/>
      <c r="N457" s="131"/>
      <c r="O457" s="131"/>
      <c r="P457" s="131"/>
      <c r="Q457" s="131"/>
      <c r="R457" s="131"/>
      <c r="S457" s="131"/>
      <c r="T457" s="131"/>
      <c r="U457" s="131"/>
      <c r="V457" s="131"/>
      <c r="W457" s="131"/>
      <c r="X457" s="131"/>
      <c r="Y457" s="131"/>
      <c r="Z457" s="131"/>
    </row>
    <row r="458" spans="1:26" ht="15.75" customHeight="1">
      <c r="A458" s="210"/>
      <c r="B458" s="210"/>
      <c r="C458" s="210"/>
      <c r="D458" s="178"/>
      <c r="E458" s="569"/>
      <c r="F458" s="569"/>
      <c r="G458" s="569"/>
      <c r="H458" s="569"/>
      <c r="I458" s="569"/>
      <c r="J458" s="131"/>
      <c r="K458" s="131"/>
      <c r="L458" s="131"/>
      <c r="M458" s="131"/>
      <c r="N458" s="131"/>
      <c r="O458" s="131"/>
      <c r="P458" s="131"/>
      <c r="Q458" s="131"/>
      <c r="R458" s="131"/>
      <c r="S458" s="131"/>
      <c r="T458" s="131"/>
      <c r="U458" s="131"/>
      <c r="V458" s="131"/>
      <c r="W458" s="131"/>
      <c r="X458" s="131"/>
      <c r="Y458" s="131"/>
      <c r="Z458" s="131"/>
    </row>
    <row r="459" spans="1:26" ht="15.75" customHeight="1">
      <c r="A459" s="210"/>
      <c r="B459" s="210"/>
      <c r="C459" s="210"/>
      <c r="D459" s="178"/>
      <c r="E459" s="569"/>
      <c r="F459" s="569"/>
      <c r="G459" s="569"/>
      <c r="H459" s="569"/>
      <c r="I459" s="569"/>
      <c r="J459" s="131"/>
      <c r="K459" s="131"/>
      <c r="L459" s="131"/>
      <c r="M459" s="131"/>
      <c r="N459" s="131"/>
      <c r="O459" s="131"/>
      <c r="P459" s="131"/>
      <c r="Q459" s="131"/>
      <c r="R459" s="131"/>
      <c r="S459" s="131"/>
      <c r="T459" s="131"/>
      <c r="U459" s="131"/>
      <c r="V459" s="131"/>
      <c r="W459" s="131"/>
      <c r="X459" s="131"/>
      <c r="Y459" s="131"/>
      <c r="Z459" s="131"/>
    </row>
    <row r="460" spans="1:26" ht="15.75" customHeight="1">
      <c r="A460" s="210"/>
      <c r="B460" s="210"/>
      <c r="C460" s="210"/>
      <c r="D460" s="178"/>
      <c r="E460" s="569"/>
      <c r="F460" s="569"/>
      <c r="G460" s="569"/>
      <c r="H460" s="569"/>
      <c r="I460" s="569"/>
      <c r="J460" s="131"/>
      <c r="K460" s="131"/>
      <c r="L460" s="131"/>
      <c r="M460" s="131"/>
      <c r="N460" s="131"/>
      <c r="O460" s="131"/>
      <c r="P460" s="131"/>
      <c r="Q460" s="131"/>
      <c r="R460" s="131"/>
      <c r="S460" s="131"/>
      <c r="T460" s="131"/>
      <c r="U460" s="131"/>
      <c r="V460" s="131"/>
      <c r="W460" s="131"/>
      <c r="X460" s="131"/>
      <c r="Y460" s="131"/>
      <c r="Z460" s="131"/>
    </row>
    <row r="461" spans="1:26" ht="15.75" customHeight="1">
      <c r="A461" s="210"/>
      <c r="B461" s="210"/>
      <c r="C461" s="210"/>
      <c r="D461" s="178"/>
      <c r="E461" s="569"/>
      <c r="F461" s="569"/>
      <c r="G461" s="569"/>
      <c r="H461" s="569"/>
      <c r="I461" s="569"/>
      <c r="J461" s="131"/>
      <c r="K461" s="131"/>
      <c r="L461" s="131"/>
      <c r="M461" s="131"/>
      <c r="N461" s="131"/>
      <c r="O461" s="131"/>
      <c r="P461" s="131"/>
      <c r="Q461" s="131"/>
      <c r="R461" s="131"/>
      <c r="S461" s="131"/>
      <c r="T461" s="131"/>
      <c r="U461" s="131"/>
      <c r="V461" s="131"/>
      <c r="W461" s="131"/>
      <c r="X461" s="131"/>
      <c r="Y461" s="131"/>
      <c r="Z461" s="131"/>
    </row>
    <row r="462" spans="1:26" ht="15.75" customHeight="1">
      <c r="A462" s="210"/>
      <c r="B462" s="210"/>
      <c r="C462" s="210"/>
      <c r="D462" s="178"/>
      <c r="E462" s="569"/>
      <c r="F462" s="569"/>
      <c r="G462" s="569"/>
      <c r="H462" s="569"/>
      <c r="I462" s="569"/>
      <c r="J462" s="131"/>
      <c r="K462" s="131"/>
      <c r="L462" s="131"/>
      <c r="M462" s="131"/>
      <c r="N462" s="131"/>
      <c r="O462" s="131"/>
      <c r="P462" s="131"/>
      <c r="Q462" s="131"/>
      <c r="R462" s="131"/>
      <c r="S462" s="131"/>
      <c r="T462" s="131"/>
      <c r="U462" s="131"/>
      <c r="V462" s="131"/>
      <c r="W462" s="131"/>
      <c r="X462" s="131"/>
      <c r="Y462" s="131"/>
      <c r="Z462" s="131"/>
    </row>
    <row r="463" spans="1:26" ht="15.75" customHeight="1">
      <c r="A463" s="210"/>
      <c r="B463" s="210"/>
      <c r="C463" s="210"/>
      <c r="D463" s="178"/>
      <c r="E463" s="569"/>
      <c r="F463" s="569"/>
      <c r="G463" s="569"/>
      <c r="H463" s="569"/>
      <c r="I463" s="569"/>
      <c r="J463" s="131"/>
      <c r="K463" s="131"/>
      <c r="L463" s="131"/>
      <c r="M463" s="131"/>
      <c r="N463" s="131"/>
      <c r="O463" s="131"/>
      <c r="P463" s="131"/>
      <c r="Q463" s="131"/>
      <c r="R463" s="131"/>
      <c r="S463" s="131"/>
      <c r="T463" s="131"/>
      <c r="U463" s="131"/>
      <c r="V463" s="131"/>
      <c r="W463" s="131"/>
      <c r="X463" s="131"/>
      <c r="Y463" s="131"/>
      <c r="Z463" s="131"/>
    </row>
    <row r="464" spans="1:26" ht="15.75" customHeight="1">
      <c r="A464" s="210"/>
      <c r="B464" s="210"/>
      <c r="C464" s="210"/>
      <c r="D464" s="178"/>
      <c r="E464" s="569"/>
      <c r="F464" s="569"/>
      <c r="G464" s="569"/>
      <c r="H464" s="569"/>
      <c r="I464" s="569"/>
      <c r="J464" s="131"/>
      <c r="K464" s="131"/>
      <c r="L464" s="131"/>
      <c r="M464" s="131"/>
      <c r="N464" s="131"/>
      <c r="O464" s="131"/>
      <c r="P464" s="131"/>
      <c r="Q464" s="131"/>
      <c r="R464" s="131"/>
      <c r="S464" s="131"/>
      <c r="T464" s="131"/>
      <c r="U464" s="131"/>
      <c r="V464" s="131"/>
      <c r="W464" s="131"/>
      <c r="X464" s="131"/>
      <c r="Y464" s="131"/>
      <c r="Z464" s="131"/>
    </row>
    <row r="465" spans="1:26" ht="15.75" customHeight="1">
      <c r="A465" s="210"/>
      <c r="B465" s="210"/>
      <c r="C465" s="210"/>
      <c r="D465" s="178"/>
      <c r="E465" s="569"/>
      <c r="F465" s="569"/>
      <c r="G465" s="569"/>
      <c r="H465" s="569"/>
      <c r="I465" s="569"/>
      <c r="J465" s="131"/>
      <c r="K465" s="131"/>
      <c r="L465" s="131"/>
      <c r="M465" s="131"/>
      <c r="N465" s="131"/>
      <c r="O465" s="131"/>
      <c r="P465" s="131"/>
      <c r="Q465" s="131"/>
      <c r="R465" s="131"/>
      <c r="S465" s="131"/>
      <c r="T465" s="131"/>
      <c r="U465" s="131"/>
      <c r="V465" s="131"/>
      <c r="W465" s="131"/>
      <c r="X465" s="131"/>
      <c r="Y465" s="131"/>
      <c r="Z465" s="131"/>
    </row>
    <row r="466" spans="1:26" ht="15.75" customHeight="1">
      <c r="A466" s="210"/>
      <c r="B466" s="210"/>
      <c r="C466" s="210"/>
      <c r="D466" s="178"/>
      <c r="E466" s="569"/>
      <c r="F466" s="569"/>
      <c r="G466" s="569"/>
      <c r="H466" s="569"/>
      <c r="I466" s="569"/>
      <c r="J466" s="131"/>
      <c r="K466" s="131"/>
      <c r="L466" s="131"/>
      <c r="M466" s="131"/>
      <c r="N466" s="131"/>
      <c r="O466" s="131"/>
      <c r="P466" s="131"/>
      <c r="Q466" s="131"/>
      <c r="R466" s="131"/>
      <c r="S466" s="131"/>
      <c r="T466" s="131"/>
      <c r="U466" s="131"/>
      <c r="V466" s="131"/>
      <c r="W466" s="131"/>
      <c r="X466" s="131"/>
      <c r="Y466" s="131"/>
      <c r="Z466" s="131"/>
    </row>
    <row r="467" spans="1:26" ht="15.75" customHeight="1">
      <c r="A467" s="210"/>
      <c r="B467" s="210"/>
      <c r="C467" s="210"/>
      <c r="D467" s="178"/>
      <c r="E467" s="569"/>
      <c r="F467" s="569"/>
      <c r="G467" s="569"/>
      <c r="H467" s="569"/>
      <c r="I467" s="569"/>
      <c r="J467" s="131"/>
      <c r="K467" s="131"/>
      <c r="L467" s="131"/>
      <c r="M467" s="131"/>
      <c r="N467" s="131"/>
      <c r="O467" s="131"/>
      <c r="P467" s="131"/>
      <c r="Q467" s="131"/>
      <c r="R467" s="131"/>
      <c r="S467" s="131"/>
      <c r="T467" s="131"/>
      <c r="U467" s="131"/>
      <c r="V467" s="131"/>
      <c r="W467" s="131"/>
      <c r="X467" s="131"/>
      <c r="Y467" s="131"/>
      <c r="Z467" s="131"/>
    </row>
    <row r="468" spans="1:26" ht="15.75" customHeight="1">
      <c r="A468" s="210"/>
      <c r="B468" s="210"/>
      <c r="C468" s="210"/>
      <c r="D468" s="178"/>
      <c r="E468" s="569"/>
      <c r="F468" s="569"/>
      <c r="G468" s="569"/>
      <c r="H468" s="569"/>
      <c r="I468" s="569"/>
      <c r="J468" s="131"/>
      <c r="K468" s="131"/>
      <c r="L468" s="131"/>
      <c r="M468" s="131"/>
      <c r="N468" s="131"/>
      <c r="O468" s="131"/>
      <c r="P468" s="131"/>
      <c r="Q468" s="131"/>
      <c r="R468" s="131"/>
      <c r="S468" s="131"/>
      <c r="T468" s="131"/>
      <c r="U468" s="131"/>
      <c r="V468" s="131"/>
      <c r="W468" s="131"/>
      <c r="X468" s="131"/>
      <c r="Y468" s="131"/>
      <c r="Z468" s="131"/>
    </row>
    <row r="469" spans="1:26" ht="15.75" customHeight="1">
      <c r="A469" s="210"/>
      <c r="B469" s="210"/>
      <c r="C469" s="210"/>
      <c r="D469" s="178"/>
      <c r="E469" s="569"/>
      <c r="F469" s="569"/>
      <c r="G469" s="569"/>
      <c r="H469" s="569"/>
      <c r="I469" s="569"/>
      <c r="J469" s="131"/>
      <c r="K469" s="131"/>
      <c r="L469" s="131"/>
      <c r="M469" s="131"/>
      <c r="N469" s="131"/>
      <c r="O469" s="131"/>
      <c r="P469" s="131"/>
      <c r="Q469" s="131"/>
      <c r="R469" s="131"/>
      <c r="S469" s="131"/>
      <c r="T469" s="131"/>
      <c r="U469" s="131"/>
      <c r="V469" s="131"/>
      <c r="W469" s="131"/>
      <c r="X469" s="131"/>
      <c r="Y469" s="131"/>
      <c r="Z469" s="131"/>
    </row>
    <row r="470" spans="1:26" ht="15.75" customHeight="1">
      <c r="A470" s="210"/>
      <c r="B470" s="210"/>
      <c r="C470" s="210"/>
      <c r="D470" s="178"/>
      <c r="E470" s="569"/>
      <c r="F470" s="569"/>
      <c r="G470" s="569"/>
      <c r="H470" s="569"/>
      <c r="I470" s="569"/>
      <c r="J470" s="131"/>
      <c r="K470" s="131"/>
      <c r="L470" s="131"/>
      <c r="M470" s="131"/>
      <c r="N470" s="131"/>
      <c r="O470" s="131"/>
      <c r="P470" s="131"/>
      <c r="Q470" s="131"/>
      <c r="R470" s="131"/>
      <c r="S470" s="131"/>
      <c r="T470" s="131"/>
      <c r="U470" s="131"/>
      <c r="V470" s="131"/>
      <c r="W470" s="131"/>
      <c r="X470" s="131"/>
      <c r="Y470" s="131"/>
      <c r="Z470" s="131"/>
    </row>
    <row r="471" spans="1:26" ht="15.75" customHeight="1">
      <c r="A471" s="210"/>
      <c r="B471" s="210"/>
      <c r="C471" s="210"/>
      <c r="D471" s="178"/>
      <c r="E471" s="569"/>
      <c r="F471" s="569"/>
      <c r="G471" s="569"/>
      <c r="H471" s="569"/>
      <c r="I471" s="569"/>
      <c r="J471" s="131"/>
      <c r="K471" s="131"/>
      <c r="L471" s="131"/>
      <c r="M471" s="131"/>
      <c r="N471" s="131"/>
      <c r="O471" s="131"/>
      <c r="P471" s="131"/>
      <c r="Q471" s="131"/>
      <c r="R471" s="131"/>
      <c r="S471" s="131"/>
      <c r="T471" s="131"/>
      <c r="U471" s="131"/>
      <c r="V471" s="131"/>
      <c r="W471" s="131"/>
      <c r="X471" s="131"/>
      <c r="Y471" s="131"/>
      <c r="Z471" s="131"/>
    </row>
    <row r="472" spans="1:26" ht="15.75" customHeight="1">
      <c r="A472" s="210"/>
      <c r="B472" s="210"/>
      <c r="C472" s="210"/>
      <c r="D472" s="178"/>
      <c r="E472" s="569"/>
      <c r="F472" s="569"/>
      <c r="G472" s="569"/>
      <c r="H472" s="569"/>
      <c r="I472" s="569"/>
      <c r="J472" s="131"/>
      <c r="K472" s="131"/>
      <c r="L472" s="131"/>
      <c r="M472" s="131"/>
      <c r="N472" s="131"/>
      <c r="O472" s="131"/>
      <c r="P472" s="131"/>
      <c r="Q472" s="131"/>
      <c r="R472" s="131"/>
      <c r="S472" s="131"/>
      <c r="T472" s="131"/>
      <c r="U472" s="131"/>
      <c r="V472" s="131"/>
      <c r="W472" s="131"/>
      <c r="X472" s="131"/>
      <c r="Y472" s="131"/>
      <c r="Z472" s="131"/>
    </row>
    <row r="473" spans="1:26" ht="15.75" customHeight="1">
      <c r="A473" s="210"/>
      <c r="B473" s="210"/>
      <c r="C473" s="210"/>
      <c r="D473" s="178"/>
      <c r="E473" s="569"/>
      <c r="F473" s="569"/>
      <c r="G473" s="569"/>
      <c r="H473" s="569"/>
      <c r="I473" s="569"/>
      <c r="J473" s="131"/>
      <c r="K473" s="131"/>
      <c r="L473" s="131"/>
      <c r="M473" s="131"/>
      <c r="N473" s="131"/>
      <c r="O473" s="131"/>
      <c r="P473" s="131"/>
      <c r="Q473" s="131"/>
      <c r="R473" s="131"/>
      <c r="S473" s="131"/>
      <c r="T473" s="131"/>
      <c r="U473" s="131"/>
      <c r="V473" s="131"/>
      <c r="W473" s="131"/>
      <c r="X473" s="131"/>
      <c r="Y473" s="131"/>
      <c r="Z473" s="131"/>
    </row>
    <row r="474" spans="1:26" ht="15.75" customHeight="1">
      <c r="A474" s="210"/>
      <c r="B474" s="210"/>
      <c r="C474" s="210"/>
      <c r="D474" s="178"/>
      <c r="E474" s="569"/>
      <c r="F474" s="569"/>
      <c r="G474" s="569"/>
      <c r="H474" s="569"/>
      <c r="I474" s="569"/>
      <c r="J474" s="131"/>
      <c r="K474" s="131"/>
      <c r="L474" s="131"/>
      <c r="M474" s="131"/>
      <c r="N474" s="131"/>
      <c r="O474" s="131"/>
      <c r="P474" s="131"/>
      <c r="Q474" s="131"/>
      <c r="R474" s="131"/>
      <c r="S474" s="131"/>
      <c r="T474" s="131"/>
      <c r="U474" s="131"/>
      <c r="V474" s="131"/>
      <c r="W474" s="131"/>
      <c r="X474" s="131"/>
      <c r="Y474" s="131"/>
      <c r="Z474" s="131"/>
    </row>
    <row r="475" spans="1:26" ht="15.75" customHeight="1">
      <c r="A475" s="210"/>
      <c r="B475" s="210"/>
      <c r="C475" s="210"/>
      <c r="D475" s="178"/>
      <c r="E475" s="569"/>
      <c r="F475" s="569"/>
      <c r="G475" s="569"/>
      <c r="H475" s="569"/>
      <c r="I475" s="569"/>
      <c r="J475" s="131"/>
      <c r="K475" s="131"/>
      <c r="L475" s="131"/>
      <c r="M475" s="131"/>
      <c r="N475" s="131"/>
      <c r="O475" s="131"/>
      <c r="P475" s="131"/>
      <c r="Q475" s="131"/>
      <c r="R475" s="131"/>
      <c r="S475" s="131"/>
      <c r="T475" s="131"/>
      <c r="U475" s="131"/>
      <c r="V475" s="131"/>
      <c r="W475" s="131"/>
      <c r="X475" s="131"/>
      <c r="Y475" s="131"/>
      <c r="Z475" s="131"/>
    </row>
    <row r="476" spans="1:26" ht="15.75" customHeight="1">
      <c r="A476" s="210"/>
      <c r="B476" s="210"/>
      <c r="C476" s="210"/>
      <c r="D476" s="178"/>
      <c r="E476" s="569"/>
      <c r="F476" s="569"/>
      <c r="G476" s="569"/>
      <c r="H476" s="569"/>
      <c r="I476" s="569"/>
      <c r="J476" s="131"/>
      <c r="K476" s="131"/>
      <c r="L476" s="131"/>
      <c r="M476" s="131"/>
      <c r="N476" s="131"/>
      <c r="O476" s="131"/>
      <c r="P476" s="131"/>
      <c r="Q476" s="131"/>
      <c r="R476" s="131"/>
      <c r="S476" s="131"/>
      <c r="T476" s="131"/>
      <c r="U476" s="131"/>
      <c r="V476" s="131"/>
      <c r="W476" s="131"/>
      <c r="X476" s="131"/>
      <c r="Y476" s="131"/>
      <c r="Z476" s="131"/>
    </row>
    <row r="477" spans="1:26" ht="15.75" customHeight="1">
      <c r="A477" s="210"/>
      <c r="B477" s="210"/>
      <c r="C477" s="210"/>
      <c r="D477" s="178"/>
      <c r="E477" s="569"/>
      <c r="F477" s="569"/>
      <c r="G477" s="569"/>
      <c r="H477" s="569"/>
      <c r="I477" s="569"/>
      <c r="J477" s="131"/>
      <c r="K477" s="131"/>
      <c r="L477" s="131"/>
      <c r="M477" s="131"/>
      <c r="N477" s="131"/>
      <c r="O477" s="131"/>
      <c r="P477" s="131"/>
      <c r="Q477" s="131"/>
      <c r="R477" s="131"/>
      <c r="S477" s="131"/>
      <c r="T477" s="131"/>
      <c r="U477" s="131"/>
      <c r="V477" s="131"/>
      <c r="W477" s="131"/>
      <c r="X477" s="131"/>
      <c r="Y477" s="131"/>
      <c r="Z477" s="131"/>
    </row>
    <row r="478" spans="1:26" ht="15.75" customHeight="1">
      <c r="A478" s="210"/>
      <c r="B478" s="210"/>
      <c r="C478" s="210"/>
      <c r="D478" s="178"/>
      <c r="E478" s="569"/>
      <c r="F478" s="569"/>
      <c r="G478" s="569"/>
      <c r="H478" s="569"/>
      <c r="I478" s="569"/>
      <c r="J478" s="131"/>
      <c r="K478" s="131"/>
      <c r="L478" s="131"/>
      <c r="M478" s="131"/>
      <c r="N478" s="131"/>
      <c r="O478" s="131"/>
      <c r="P478" s="131"/>
      <c r="Q478" s="131"/>
      <c r="R478" s="131"/>
      <c r="S478" s="131"/>
      <c r="T478" s="131"/>
      <c r="U478" s="131"/>
      <c r="V478" s="131"/>
      <c r="W478" s="131"/>
      <c r="X478" s="131"/>
      <c r="Y478" s="131"/>
      <c r="Z478" s="131"/>
    </row>
    <row r="479" spans="1:26" ht="15.75" customHeight="1">
      <c r="A479" s="210"/>
      <c r="B479" s="210"/>
      <c r="C479" s="210"/>
      <c r="D479" s="178"/>
      <c r="E479" s="569"/>
      <c r="F479" s="569"/>
      <c r="G479" s="569"/>
      <c r="H479" s="569"/>
      <c r="I479" s="569"/>
      <c r="J479" s="131"/>
      <c r="K479" s="131"/>
      <c r="L479" s="131"/>
      <c r="M479" s="131"/>
      <c r="N479" s="131"/>
      <c r="O479" s="131"/>
      <c r="P479" s="131"/>
      <c r="Q479" s="131"/>
      <c r="R479" s="131"/>
      <c r="S479" s="131"/>
      <c r="T479" s="131"/>
      <c r="U479" s="131"/>
      <c r="V479" s="131"/>
      <c r="W479" s="131"/>
      <c r="X479" s="131"/>
      <c r="Y479" s="131"/>
      <c r="Z479" s="131"/>
    </row>
    <row r="480" spans="1:26" ht="15.75" customHeight="1">
      <c r="A480" s="210"/>
      <c r="B480" s="210"/>
      <c r="C480" s="210"/>
      <c r="D480" s="178"/>
      <c r="E480" s="569"/>
      <c r="F480" s="569"/>
      <c r="G480" s="569"/>
      <c r="H480" s="569"/>
      <c r="I480" s="569"/>
      <c r="J480" s="131"/>
      <c r="K480" s="131"/>
      <c r="L480" s="131"/>
      <c r="M480" s="131"/>
      <c r="N480" s="131"/>
      <c r="O480" s="131"/>
      <c r="P480" s="131"/>
      <c r="Q480" s="131"/>
      <c r="R480" s="131"/>
      <c r="S480" s="131"/>
      <c r="T480" s="131"/>
      <c r="U480" s="131"/>
      <c r="V480" s="131"/>
      <c r="W480" s="131"/>
      <c r="X480" s="131"/>
      <c r="Y480" s="131"/>
      <c r="Z480" s="131"/>
    </row>
    <row r="481" spans="1:26" ht="15.75" customHeight="1">
      <c r="A481" s="210"/>
      <c r="B481" s="210"/>
      <c r="C481" s="210"/>
      <c r="D481" s="178"/>
      <c r="E481" s="569"/>
      <c r="F481" s="569"/>
      <c r="G481" s="569"/>
      <c r="H481" s="569"/>
      <c r="I481" s="569"/>
      <c r="J481" s="131"/>
      <c r="K481" s="131"/>
      <c r="L481" s="131"/>
      <c r="M481" s="131"/>
      <c r="N481" s="131"/>
      <c r="O481" s="131"/>
      <c r="P481" s="131"/>
      <c r="Q481" s="131"/>
      <c r="R481" s="131"/>
      <c r="S481" s="131"/>
      <c r="T481" s="131"/>
      <c r="U481" s="131"/>
      <c r="V481" s="131"/>
      <c r="W481" s="131"/>
      <c r="X481" s="131"/>
      <c r="Y481" s="131"/>
      <c r="Z481" s="131"/>
    </row>
    <row r="482" spans="1:26" ht="15.75" customHeight="1">
      <c r="A482" s="210"/>
      <c r="B482" s="210"/>
      <c r="C482" s="210"/>
      <c r="D482" s="178"/>
      <c r="E482" s="569"/>
      <c r="F482" s="569"/>
      <c r="G482" s="569"/>
      <c r="H482" s="569"/>
      <c r="I482" s="569"/>
      <c r="J482" s="131"/>
      <c r="K482" s="131"/>
      <c r="L482" s="131"/>
      <c r="M482" s="131"/>
      <c r="N482" s="131"/>
      <c r="O482" s="131"/>
      <c r="P482" s="131"/>
      <c r="Q482" s="131"/>
      <c r="R482" s="131"/>
      <c r="S482" s="131"/>
      <c r="T482" s="131"/>
      <c r="U482" s="131"/>
      <c r="V482" s="131"/>
      <c r="W482" s="131"/>
      <c r="X482" s="131"/>
      <c r="Y482" s="131"/>
      <c r="Z482" s="131"/>
    </row>
    <row r="483" spans="1:26" ht="15.75" customHeight="1">
      <c r="A483" s="210"/>
      <c r="B483" s="210"/>
      <c r="C483" s="210"/>
      <c r="D483" s="178"/>
      <c r="E483" s="569"/>
      <c r="F483" s="569"/>
      <c r="G483" s="569"/>
      <c r="H483" s="569"/>
      <c r="I483" s="569"/>
      <c r="J483" s="131"/>
      <c r="K483" s="131"/>
      <c r="L483" s="131"/>
      <c r="M483" s="131"/>
      <c r="N483" s="131"/>
      <c r="O483" s="131"/>
      <c r="P483" s="131"/>
      <c r="Q483" s="131"/>
      <c r="R483" s="131"/>
      <c r="S483" s="131"/>
      <c r="T483" s="131"/>
      <c r="U483" s="131"/>
      <c r="V483" s="131"/>
      <c r="W483" s="131"/>
      <c r="X483" s="131"/>
      <c r="Y483" s="131"/>
      <c r="Z483" s="131"/>
    </row>
    <row r="484" spans="1:26" ht="15.75" customHeight="1">
      <c r="A484" s="210"/>
      <c r="B484" s="210"/>
      <c r="C484" s="210"/>
      <c r="D484" s="178"/>
      <c r="E484" s="569"/>
      <c r="F484" s="569"/>
      <c r="G484" s="569"/>
      <c r="H484" s="569"/>
      <c r="I484" s="569"/>
      <c r="J484" s="131"/>
      <c r="K484" s="131"/>
      <c r="L484" s="131"/>
      <c r="M484" s="131"/>
      <c r="N484" s="131"/>
      <c r="O484" s="131"/>
      <c r="P484" s="131"/>
      <c r="Q484" s="131"/>
      <c r="R484" s="131"/>
      <c r="S484" s="131"/>
      <c r="T484" s="131"/>
      <c r="U484" s="131"/>
      <c r="V484" s="131"/>
      <c r="W484" s="131"/>
      <c r="X484" s="131"/>
      <c r="Y484" s="131"/>
      <c r="Z484" s="131"/>
    </row>
    <row r="485" spans="1:26" ht="15.75" customHeight="1">
      <c r="A485" s="210"/>
      <c r="B485" s="210"/>
      <c r="C485" s="210"/>
      <c r="D485" s="178"/>
      <c r="E485" s="569"/>
      <c r="F485" s="569"/>
      <c r="G485" s="569"/>
      <c r="H485" s="569"/>
      <c r="I485" s="569"/>
      <c r="J485" s="131"/>
      <c r="K485" s="131"/>
      <c r="L485" s="131"/>
      <c r="M485" s="131"/>
      <c r="N485" s="131"/>
      <c r="O485" s="131"/>
      <c r="P485" s="131"/>
      <c r="Q485" s="131"/>
      <c r="R485" s="131"/>
      <c r="S485" s="131"/>
      <c r="T485" s="131"/>
      <c r="U485" s="131"/>
      <c r="V485" s="131"/>
      <c r="W485" s="131"/>
      <c r="X485" s="131"/>
      <c r="Y485" s="131"/>
      <c r="Z485" s="131"/>
    </row>
    <row r="486" spans="1:26" ht="15.75" customHeight="1">
      <c r="A486" s="210"/>
      <c r="B486" s="210"/>
      <c r="C486" s="210"/>
      <c r="D486" s="178"/>
      <c r="E486" s="569"/>
      <c r="F486" s="569"/>
      <c r="G486" s="569"/>
      <c r="H486" s="569"/>
      <c r="I486" s="569"/>
      <c r="J486" s="131"/>
      <c r="K486" s="131"/>
      <c r="L486" s="131"/>
      <c r="M486" s="131"/>
      <c r="N486" s="131"/>
      <c r="O486" s="131"/>
      <c r="P486" s="131"/>
      <c r="Q486" s="131"/>
      <c r="R486" s="131"/>
      <c r="S486" s="131"/>
      <c r="T486" s="131"/>
      <c r="U486" s="131"/>
      <c r="V486" s="131"/>
      <c r="W486" s="131"/>
      <c r="X486" s="131"/>
      <c r="Y486" s="131"/>
      <c r="Z486" s="131"/>
    </row>
    <row r="487" spans="1:26" ht="15.75" customHeight="1">
      <c r="A487" s="210"/>
      <c r="B487" s="210"/>
      <c r="C487" s="210"/>
      <c r="D487" s="178"/>
      <c r="E487" s="569"/>
      <c r="F487" s="569"/>
      <c r="G487" s="569"/>
      <c r="H487" s="569"/>
      <c r="I487" s="569"/>
      <c r="J487" s="131"/>
      <c r="K487" s="131"/>
      <c r="L487" s="131"/>
      <c r="M487" s="131"/>
      <c r="N487" s="131"/>
      <c r="O487" s="131"/>
      <c r="P487" s="131"/>
      <c r="Q487" s="131"/>
      <c r="R487" s="131"/>
      <c r="S487" s="131"/>
      <c r="T487" s="131"/>
      <c r="U487" s="131"/>
      <c r="V487" s="131"/>
      <c r="W487" s="131"/>
      <c r="X487" s="131"/>
      <c r="Y487" s="131"/>
      <c r="Z487" s="131"/>
    </row>
    <row r="488" spans="1:26" ht="15.75" customHeight="1">
      <c r="A488" s="210"/>
      <c r="B488" s="210"/>
      <c r="C488" s="210"/>
      <c r="D488" s="178"/>
      <c r="E488" s="569"/>
      <c r="F488" s="569"/>
      <c r="G488" s="569"/>
      <c r="H488" s="569"/>
      <c r="I488" s="569"/>
      <c r="J488" s="131"/>
      <c r="K488" s="131"/>
      <c r="L488" s="131"/>
      <c r="M488" s="131"/>
      <c r="N488" s="131"/>
      <c r="O488" s="131"/>
      <c r="P488" s="131"/>
      <c r="Q488" s="131"/>
      <c r="R488" s="131"/>
      <c r="S488" s="131"/>
      <c r="T488" s="131"/>
      <c r="U488" s="131"/>
      <c r="V488" s="131"/>
      <c r="W488" s="131"/>
      <c r="X488" s="131"/>
      <c r="Y488" s="131"/>
      <c r="Z488" s="131"/>
    </row>
    <row r="489" spans="1:26" ht="15.75" customHeight="1">
      <c r="A489" s="210"/>
      <c r="B489" s="210"/>
      <c r="C489" s="210"/>
      <c r="D489" s="178"/>
      <c r="E489" s="569"/>
      <c r="F489" s="569"/>
      <c r="G489" s="569"/>
      <c r="H489" s="569"/>
      <c r="I489" s="569"/>
      <c r="J489" s="131"/>
      <c r="K489" s="131"/>
      <c r="L489" s="131"/>
      <c r="M489" s="131"/>
      <c r="N489" s="131"/>
      <c r="O489" s="131"/>
      <c r="P489" s="131"/>
      <c r="Q489" s="131"/>
      <c r="R489" s="131"/>
      <c r="S489" s="131"/>
      <c r="T489" s="131"/>
      <c r="U489" s="131"/>
      <c r="V489" s="131"/>
      <c r="W489" s="131"/>
      <c r="X489" s="131"/>
      <c r="Y489" s="131"/>
      <c r="Z489" s="131"/>
    </row>
    <row r="490" spans="1:26" ht="15.75" customHeight="1">
      <c r="A490" s="210"/>
      <c r="B490" s="210"/>
      <c r="C490" s="210"/>
      <c r="D490" s="178"/>
      <c r="E490" s="569"/>
      <c r="F490" s="569"/>
      <c r="G490" s="569"/>
      <c r="H490" s="569"/>
      <c r="I490" s="569"/>
      <c r="J490" s="131"/>
      <c r="K490" s="131"/>
      <c r="L490" s="131"/>
      <c r="M490" s="131"/>
      <c r="N490" s="131"/>
      <c r="O490" s="131"/>
      <c r="P490" s="131"/>
      <c r="Q490" s="131"/>
      <c r="R490" s="131"/>
      <c r="S490" s="131"/>
      <c r="T490" s="131"/>
      <c r="U490" s="131"/>
      <c r="V490" s="131"/>
      <c r="W490" s="131"/>
      <c r="X490" s="131"/>
      <c r="Y490" s="131"/>
      <c r="Z490" s="131"/>
    </row>
    <row r="491" spans="1:26" ht="15.75" customHeight="1">
      <c r="A491" s="210"/>
      <c r="B491" s="210"/>
      <c r="C491" s="210"/>
      <c r="D491" s="178"/>
      <c r="E491" s="569"/>
      <c r="F491" s="569"/>
      <c r="G491" s="569"/>
      <c r="H491" s="569"/>
      <c r="I491" s="569"/>
      <c r="J491" s="131"/>
      <c r="K491" s="131"/>
      <c r="L491" s="131"/>
      <c r="M491" s="131"/>
      <c r="N491" s="131"/>
      <c r="O491" s="131"/>
      <c r="P491" s="131"/>
      <c r="Q491" s="131"/>
      <c r="R491" s="131"/>
      <c r="S491" s="131"/>
      <c r="T491" s="131"/>
      <c r="U491" s="131"/>
      <c r="V491" s="131"/>
      <c r="W491" s="131"/>
      <c r="X491" s="131"/>
      <c r="Y491" s="131"/>
      <c r="Z491" s="131"/>
    </row>
    <row r="492" spans="1:26" ht="15.75" customHeight="1">
      <c r="A492" s="210"/>
      <c r="B492" s="210"/>
      <c r="C492" s="210"/>
      <c r="D492" s="178"/>
      <c r="E492" s="569"/>
      <c r="F492" s="569"/>
      <c r="G492" s="569"/>
      <c r="H492" s="569"/>
      <c r="I492" s="569"/>
      <c r="J492" s="131"/>
      <c r="K492" s="131"/>
      <c r="L492" s="131"/>
      <c r="M492" s="131"/>
      <c r="N492" s="131"/>
      <c r="O492" s="131"/>
      <c r="P492" s="131"/>
      <c r="Q492" s="131"/>
      <c r="R492" s="131"/>
      <c r="S492" s="131"/>
      <c r="T492" s="131"/>
      <c r="U492" s="131"/>
      <c r="V492" s="131"/>
      <c r="W492" s="131"/>
      <c r="X492" s="131"/>
      <c r="Y492" s="131"/>
      <c r="Z492" s="131"/>
    </row>
    <row r="493" spans="1:26" ht="15.75" customHeight="1">
      <c r="A493" s="210"/>
      <c r="B493" s="210"/>
      <c r="C493" s="210"/>
      <c r="D493" s="178"/>
      <c r="E493" s="569"/>
      <c r="F493" s="569"/>
      <c r="G493" s="569"/>
      <c r="H493" s="569"/>
      <c r="I493" s="569"/>
      <c r="J493" s="131"/>
      <c r="K493" s="131"/>
      <c r="L493" s="131"/>
      <c r="M493" s="131"/>
      <c r="N493" s="131"/>
      <c r="O493" s="131"/>
      <c r="P493" s="131"/>
      <c r="Q493" s="131"/>
      <c r="R493" s="131"/>
      <c r="S493" s="131"/>
      <c r="T493" s="131"/>
      <c r="U493" s="131"/>
      <c r="V493" s="131"/>
      <c r="W493" s="131"/>
      <c r="X493" s="131"/>
      <c r="Y493" s="131"/>
      <c r="Z493" s="131"/>
    </row>
    <row r="494" spans="1:26" ht="15.75" customHeight="1">
      <c r="A494" s="210"/>
      <c r="B494" s="210"/>
      <c r="C494" s="210"/>
      <c r="D494" s="178"/>
      <c r="E494" s="569"/>
      <c r="F494" s="569"/>
      <c r="G494" s="569"/>
      <c r="H494" s="569"/>
      <c r="I494" s="569"/>
      <c r="J494" s="131"/>
      <c r="K494" s="131"/>
      <c r="L494" s="131"/>
      <c r="M494" s="131"/>
      <c r="N494" s="131"/>
      <c r="O494" s="131"/>
      <c r="P494" s="131"/>
      <c r="Q494" s="131"/>
      <c r="R494" s="131"/>
      <c r="S494" s="131"/>
      <c r="T494" s="131"/>
      <c r="U494" s="131"/>
      <c r="V494" s="131"/>
      <c r="W494" s="131"/>
      <c r="X494" s="131"/>
      <c r="Y494" s="131"/>
      <c r="Z494" s="131"/>
    </row>
    <row r="495" spans="1:26" ht="15.75" customHeight="1">
      <c r="A495" s="210"/>
      <c r="B495" s="210"/>
      <c r="C495" s="210"/>
      <c r="D495" s="178"/>
      <c r="E495" s="569"/>
      <c r="F495" s="569"/>
      <c r="G495" s="569"/>
      <c r="H495" s="569"/>
      <c r="I495" s="569"/>
      <c r="J495" s="131"/>
      <c r="K495" s="131"/>
      <c r="L495" s="131"/>
      <c r="M495" s="131"/>
      <c r="N495" s="131"/>
      <c r="O495" s="131"/>
      <c r="P495" s="131"/>
      <c r="Q495" s="131"/>
      <c r="R495" s="131"/>
      <c r="S495" s="131"/>
      <c r="T495" s="131"/>
      <c r="U495" s="131"/>
      <c r="V495" s="131"/>
      <c r="W495" s="131"/>
      <c r="X495" s="131"/>
      <c r="Y495" s="131"/>
      <c r="Z495" s="131"/>
    </row>
    <row r="496" spans="1:26" ht="15.75" customHeight="1">
      <c r="A496" s="210"/>
      <c r="B496" s="210"/>
      <c r="C496" s="210"/>
      <c r="D496" s="178"/>
      <c r="E496" s="569"/>
      <c r="F496" s="569"/>
      <c r="G496" s="569"/>
      <c r="H496" s="569"/>
      <c r="I496" s="569"/>
      <c r="J496" s="131"/>
      <c r="K496" s="131"/>
      <c r="L496" s="131"/>
      <c r="M496" s="131"/>
      <c r="N496" s="131"/>
      <c r="O496" s="131"/>
      <c r="P496" s="131"/>
      <c r="Q496" s="131"/>
      <c r="R496" s="131"/>
      <c r="S496" s="131"/>
      <c r="T496" s="131"/>
      <c r="U496" s="131"/>
      <c r="V496" s="131"/>
      <c r="W496" s="131"/>
      <c r="X496" s="131"/>
      <c r="Y496" s="131"/>
      <c r="Z496" s="131"/>
    </row>
    <row r="497" spans="1:26" ht="15.75" customHeight="1">
      <c r="A497" s="210"/>
      <c r="B497" s="210"/>
      <c r="C497" s="210"/>
      <c r="D497" s="178"/>
      <c r="E497" s="569"/>
      <c r="F497" s="569"/>
      <c r="G497" s="569"/>
      <c r="H497" s="569"/>
      <c r="I497" s="569"/>
      <c r="J497" s="131"/>
      <c r="K497" s="131"/>
      <c r="L497" s="131"/>
      <c r="M497" s="131"/>
      <c r="N497" s="131"/>
      <c r="O497" s="131"/>
      <c r="P497" s="131"/>
      <c r="Q497" s="131"/>
      <c r="R497" s="131"/>
      <c r="S497" s="131"/>
      <c r="T497" s="131"/>
      <c r="U497" s="131"/>
      <c r="V497" s="131"/>
      <c r="W497" s="131"/>
      <c r="X497" s="131"/>
      <c r="Y497" s="131"/>
      <c r="Z497" s="131"/>
    </row>
    <row r="498" spans="1:26" ht="15.75" customHeight="1">
      <c r="A498" s="210"/>
      <c r="B498" s="210"/>
      <c r="C498" s="210"/>
      <c r="D498" s="178"/>
      <c r="E498" s="569"/>
      <c r="F498" s="569"/>
      <c r="G498" s="569"/>
      <c r="H498" s="569"/>
      <c r="I498" s="569"/>
      <c r="J498" s="131"/>
      <c r="K498" s="131"/>
      <c r="L498" s="131"/>
      <c r="M498" s="131"/>
      <c r="N498" s="131"/>
      <c r="O498" s="131"/>
      <c r="P498" s="131"/>
      <c r="Q498" s="131"/>
      <c r="R498" s="131"/>
      <c r="S498" s="131"/>
      <c r="T498" s="131"/>
      <c r="U498" s="131"/>
      <c r="V498" s="131"/>
      <c r="W498" s="131"/>
      <c r="X498" s="131"/>
      <c r="Y498" s="131"/>
      <c r="Z498" s="131"/>
    </row>
    <row r="499" spans="1:26" ht="15.75" customHeight="1">
      <c r="A499" s="210"/>
      <c r="B499" s="210"/>
      <c r="C499" s="210"/>
      <c r="D499" s="178"/>
      <c r="E499" s="569"/>
      <c r="F499" s="569"/>
      <c r="G499" s="569"/>
      <c r="H499" s="569"/>
      <c r="I499" s="569"/>
      <c r="J499" s="131"/>
      <c r="K499" s="131"/>
      <c r="L499" s="131"/>
      <c r="M499" s="131"/>
      <c r="N499" s="131"/>
      <c r="O499" s="131"/>
      <c r="P499" s="131"/>
      <c r="Q499" s="131"/>
      <c r="R499" s="131"/>
      <c r="S499" s="131"/>
      <c r="T499" s="131"/>
      <c r="U499" s="131"/>
      <c r="V499" s="131"/>
      <c r="W499" s="131"/>
      <c r="X499" s="131"/>
      <c r="Y499" s="131"/>
      <c r="Z499" s="131"/>
    </row>
    <row r="500" spans="1:26" ht="15.75" customHeight="1">
      <c r="A500" s="210"/>
      <c r="B500" s="210"/>
      <c r="C500" s="210"/>
      <c r="D500" s="178"/>
      <c r="E500" s="569"/>
      <c r="F500" s="569"/>
      <c r="G500" s="569"/>
      <c r="H500" s="569"/>
      <c r="I500" s="569"/>
      <c r="J500" s="131"/>
      <c r="K500" s="131"/>
      <c r="L500" s="131"/>
      <c r="M500" s="131"/>
      <c r="N500" s="131"/>
      <c r="O500" s="131"/>
      <c r="P500" s="131"/>
      <c r="Q500" s="131"/>
      <c r="R500" s="131"/>
      <c r="S500" s="131"/>
      <c r="T500" s="131"/>
      <c r="U500" s="131"/>
      <c r="V500" s="131"/>
      <c r="W500" s="131"/>
      <c r="X500" s="131"/>
      <c r="Y500" s="131"/>
      <c r="Z500" s="131"/>
    </row>
    <row r="501" spans="1:26" ht="15.75" customHeight="1">
      <c r="A501" s="210"/>
      <c r="B501" s="210"/>
      <c r="C501" s="210"/>
      <c r="D501" s="178"/>
      <c r="E501" s="569"/>
      <c r="F501" s="569"/>
      <c r="G501" s="569"/>
      <c r="H501" s="569"/>
      <c r="I501" s="569"/>
      <c r="J501" s="131"/>
      <c r="K501" s="131"/>
      <c r="L501" s="131"/>
      <c r="M501" s="131"/>
      <c r="N501" s="131"/>
      <c r="O501" s="131"/>
      <c r="P501" s="131"/>
      <c r="Q501" s="131"/>
      <c r="R501" s="131"/>
      <c r="S501" s="131"/>
      <c r="T501" s="131"/>
      <c r="U501" s="131"/>
      <c r="V501" s="131"/>
      <c r="W501" s="131"/>
      <c r="X501" s="131"/>
      <c r="Y501" s="131"/>
      <c r="Z501" s="131"/>
    </row>
    <row r="502" spans="1:26" ht="15.75" customHeight="1">
      <c r="A502" s="210"/>
      <c r="B502" s="210"/>
      <c r="C502" s="210"/>
      <c r="D502" s="178"/>
      <c r="E502" s="569"/>
      <c r="F502" s="569"/>
      <c r="G502" s="569"/>
      <c r="H502" s="569"/>
      <c r="I502" s="569"/>
      <c r="J502" s="131"/>
      <c r="K502" s="131"/>
      <c r="L502" s="131"/>
      <c r="M502" s="131"/>
      <c r="N502" s="131"/>
      <c r="O502" s="131"/>
      <c r="P502" s="131"/>
      <c r="Q502" s="131"/>
      <c r="R502" s="131"/>
      <c r="S502" s="131"/>
      <c r="T502" s="131"/>
      <c r="U502" s="131"/>
      <c r="V502" s="131"/>
      <c r="W502" s="131"/>
      <c r="X502" s="131"/>
      <c r="Y502" s="131"/>
      <c r="Z502" s="131"/>
    </row>
    <row r="503" spans="1:26" ht="15.75" customHeight="1">
      <c r="A503" s="210"/>
      <c r="B503" s="210"/>
      <c r="C503" s="210"/>
      <c r="D503" s="178"/>
      <c r="E503" s="569"/>
      <c r="F503" s="569"/>
      <c r="G503" s="569"/>
      <c r="H503" s="569"/>
      <c r="I503" s="569"/>
      <c r="J503" s="131"/>
      <c r="K503" s="131"/>
      <c r="L503" s="131"/>
      <c r="M503" s="131"/>
      <c r="N503" s="131"/>
      <c r="O503" s="131"/>
      <c r="P503" s="131"/>
      <c r="Q503" s="131"/>
      <c r="R503" s="131"/>
      <c r="S503" s="131"/>
      <c r="T503" s="131"/>
      <c r="U503" s="131"/>
      <c r="V503" s="131"/>
      <c r="W503" s="131"/>
      <c r="X503" s="131"/>
      <c r="Y503" s="131"/>
      <c r="Z503" s="131"/>
    </row>
    <row r="504" spans="1:26" ht="15.75" customHeight="1">
      <c r="A504" s="210"/>
      <c r="B504" s="210"/>
      <c r="C504" s="210"/>
      <c r="D504" s="178"/>
      <c r="E504" s="569"/>
      <c r="F504" s="569"/>
      <c r="G504" s="569"/>
      <c r="H504" s="569"/>
      <c r="I504" s="569"/>
      <c r="J504" s="131"/>
      <c r="K504" s="131"/>
      <c r="L504" s="131"/>
      <c r="M504" s="131"/>
      <c r="N504" s="131"/>
      <c r="O504" s="131"/>
      <c r="P504" s="131"/>
      <c r="Q504" s="131"/>
      <c r="R504" s="131"/>
      <c r="S504" s="131"/>
      <c r="T504" s="131"/>
      <c r="U504" s="131"/>
      <c r="V504" s="131"/>
      <c r="W504" s="131"/>
      <c r="X504" s="131"/>
      <c r="Y504" s="131"/>
      <c r="Z504" s="131"/>
    </row>
    <row r="505" spans="1:26" ht="15.75" customHeight="1">
      <c r="A505" s="210"/>
      <c r="B505" s="210"/>
      <c r="C505" s="210"/>
      <c r="D505" s="178"/>
      <c r="E505" s="569"/>
      <c r="F505" s="569"/>
      <c r="G505" s="569"/>
      <c r="H505" s="569"/>
      <c r="I505" s="569"/>
      <c r="J505" s="131"/>
      <c r="K505" s="131"/>
      <c r="L505" s="131"/>
      <c r="M505" s="131"/>
      <c r="N505" s="131"/>
      <c r="O505" s="131"/>
      <c r="P505" s="131"/>
      <c r="Q505" s="131"/>
      <c r="R505" s="131"/>
      <c r="S505" s="131"/>
      <c r="T505" s="131"/>
      <c r="U505" s="131"/>
      <c r="V505" s="131"/>
      <c r="W505" s="131"/>
      <c r="X505" s="131"/>
      <c r="Y505" s="131"/>
      <c r="Z505" s="131"/>
    </row>
    <row r="506" spans="1:26" ht="15.75" customHeight="1">
      <c r="A506" s="210"/>
      <c r="B506" s="210"/>
      <c r="C506" s="210"/>
      <c r="D506" s="178"/>
      <c r="E506" s="569"/>
      <c r="F506" s="569"/>
      <c r="G506" s="569"/>
      <c r="H506" s="569"/>
      <c r="I506" s="569"/>
      <c r="J506" s="131"/>
      <c r="K506" s="131"/>
      <c r="L506" s="131"/>
      <c r="M506" s="131"/>
      <c r="N506" s="131"/>
      <c r="O506" s="131"/>
      <c r="P506" s="131"/>
      <c r="Q506" s="131"/>
      <c r="R506" s="131"/>
      <c r="S506" s="131"/>
      <c r="T506" s="131"/>
      <c r="U506" s="131"/>
      <c r="V506" s="131"/>
      <c r="W506" s="131"/>
      <c r="X506" s="131"/>
      <c r="Y506" s="131"/>
      <c r="Z506" s="131"/>
    </row>
    <row r="507" spans="1:26" ht="15.75" customHeight="1">
      <c r="A507" s="210"/>
      <c r="B507" s="210"/>
      <c r="C507" s="210"/>
      <c r="D507" s="178"/>
      <c r="E507" s="569"/>
      <c r="F507" s="569"/>
      <c r="G507" s="569"/>
      <c r="H507" s="569"/>
      <c r="I507" s="569"/>
      <c r="J507" s="131"/>
      <c r="K507" s="131"/>
      <c r="L507" s="131"/>
      <c r="M507" s="131"/>
      <c r="N507" s="131"/>
      <c r="O507" s="131"/>
      <c r="P507" s="131"/>
      <c r="Q507" s="131"/>
      <c r="R507" s="131"/>
      <c r="S507" s="131"/>
      <c r="T507" s="131"/>
      <c r="U507" s="131"/>
      <c r="V507" s="131"/>
      <c r="W507" s="131"/>
      <c r="X507" s="131"/>
      <c r="Y507" s="131"/>
      <c r="Z507" s="131"/>
    </row>
    <row r="508" spans="1:26" ht="15.75" customHeight="1">
      <c r="A508" s="210"/>
      <c r="B508" s="210"/>
      <c r="C508" s="210"/>
      <c r="D508" s="178"/>
      <c r="E508" s="569"/>
      <c r="F508" s="569"/>
      <c r="G508" s="569"/>
      <c r="H508" s="569"/>
      <c r="I508" s="569"/>
      <c r="J508" s="131"/>
      <c r="K508" s="131"/>
      <c r="L508" s="131"/>
      <c r="M508" s="131"/>
      <c r="N508" s="131"/>
      <c r="O508" s="131"/>
      <c r="P508" s="131"/>
      <c r="Q508" s="131"/>
      <c r="R508" s="131"/>
      <c r="S508" s="131"/>
      <c r="T508" s="131"/>
      <c r="U508" s="131"/>
      <c r="V508" s="131"/>
      <c r="W508" s="131"/>
      <c r="X508" s="131"/>
      <c r="Y508" s="131"/>
      <c r="Z508" s="131"/>
    </row>
    <row r="509" spans="1:26" ht="15.75" customHeight="1">
      <c r="A509" s="210"/>
      <c r="B509" s="210"/>
      <c r="C509" s="210"/>
      <c r="D509" s="178"/>
      <c r="E509" s="569"/>
      <c r="F509" s="569"/>
      <c r="G509" s="569"/>
      <c r="H509" s="569"/>
      <c r="I509" s="569"/>
      <c r="J509" s="131"/>
      <c r="K509" s="131"/>
      <c r="L509" s="131"/>
      <c r="M509" s="131"/>
      <c r="N509" s="131"/>
      <c r="O509" s="131"/>
      <c r="P509" s="131"/>
      <c r="Q509" s="131"/>
      <c r="R509" s="131"/>
      <c r="S509" s="131"/>
      <c r="T509" s="131"/>
      <c r="U509" s="131"/>
      <c r="V509" s="131"/>
      <c r="W509" s="131"/>
      <c r="X509" s="131"/>
      <c r="Y509" s="131"/>
      <c r="Z509" s="131"/>
    </row>
    <row r="510" spans="1:26" ht="15.75" customHeight="1">
      <c r="A510" s="210"/>
      <c r="B510" s="210"/>
      <c r="C510" s="210"/>
      <c r="D510" s="178"/>
      <c r="E510" s="569"/>
      <c r="F510" s="569"/>
      <c r="G510" s="569"/>
      <c r="H510" s="569"/>
      <c r="I510" s="569"/>
      <c r="J510" s="131"/>
      <c r="K510" s="131"/>
      <c r="L510" s="131"/>
      <c r="M510" s="131"/>
      <c r="N510" s="131"/>
      <c r="O510" s="131"/>
      <c r="P510" s="131"/>
      <c r="Q510" s="131"/>
      <c r="R510" s="131"/>
      <c r="S510" s="131"/>
      <c r="T510" s="131"/>
      <c r="U510" s="131"/>
      <c r="V510" s="131"/>
      <c r="W510" s="131"/>
      <c r="X510" s="131"/>
      <c r="Y510" s="131"/>
      <c r="Z510" s="131"/>
    </row>
    <row r="511" spans="1:26" ht="15.75" customHeight="1">
      <c r="A511" s="210"/>
      <c r="B511" s="210"/>
      <c r="C511" s="210"/>
      <c r="D511" s="178"/>
      <c r="E511" s="569"/>
      <c r="F511" s="569"/>
      <c r="G511" s="569"/>
      <c r="H511" s="569"/>
      <c r="I511" s="569"/>
      <c r="J511" s="131"/>
      <c r="K511" s="131"/>
      <c r="L511" s="131"/>
      <c r="M511" s="131"/>
      <c r="N511" s="131"/>
      <c r="O511" s="131"/>
      <c r="P511" s="131"/>
      <c r="Q511" s="131"/>
      <c r="R511" s="131"/>
      <c r="S511" s="131"/>
      <c r="T511" s="131"/>
      <c r="U511" s="131"/>
      <c r="V511" s="131"/>
      <c r="W511" s="131"/>
      <c r="X511" s="131"/>
      <c r="Y511" s="131"/>
      <c r="Z511" s="131"/>
    </row>
    <row r="512" spans="1:26" ht="15.75" customHeight="1">
      <c r="A512" s="210"/>
      <c r="B512" s="210"/>
      <c r="C512" s="210"/>
      <c r="D512" s="178"/>
      <c r="E512" s="569"/>
      <c r="F512" s="569"/>
      <c r="G512" s="569"/>
      <c r="H512" s="569"/>
      <c r="I512" s="569"/>
      <c r="J512" s="131"/>
      <c r="K512" s="131"/>
      <c r="L512" s="131"/>
      <c r="M512" s="131"/>
      <c r="N512" s="131"/>
      <c r="O512" s="131"/>
      <c r="P512" s="131"/>
      <c r="Q512" s="131"/>
      <c r="R512" s="131"/>
      <c r="S512" s="131"/>
      <c r="T512" s="131"/>
      <c r="U512" s="131"/>
      <c r="V512" s="131"/>
      <c r="W512" s="131"/>
      <c r="X512" s="131"/>
      <c r="Y512" s="131"/>
      <c r="Z512" s="131"/>
    </row>
    <row r="513" spans="1:26" ht="15.75" customHeight="1">
      <c r="A513" s="210"/>
      <c r="B513" s="210"/>
      <c r="C513" s="210"/>
      <c r="D513" s="178"/>
      <c r="E513" s="569"/>
      <c r="F513" s="569"/>
      <c r="G513" s="569"/>
      <c r="H513" s="569"/>
      <c r="I513" s="569"/>
      <c r="J513" s="131"/>
      <c r="K513" s="131"/>
      <c r="L513" s="131"/>
      <c r="M513" s="131"/>
      <c r="N513" s="131"/>
      <c r="O513" s="131"/>
      <c r="P513" s="131"/>
      <c r="Q513" s="131"/>
      <c r="R513" s="131"/>
      <c r="S513" s="131"/>
      <c r="T513" s="131"/>
      <c r="U513" s="131"/>
      <c r="V513" s="131"/>
      <c r="W513" s="131"/>
      <c r="X513" s="131"/>
      <c r="Y513" s="131"/>
      <c r="Z513" s="131"/>
    </row>
    <row r="514" spans="1:26" ht="15.75" customHeight="1">
      <c r="A514" s="210"/>
      <c r="B514" s="210"/>
      <c r="C514" s="210"/>
      <c r="D514" s="178"/>
      <c r="E514" s="569"/>
      <c r="F514" s="569"/>
      <c r="G514" s="569"/>
      <c r="H514" s="569"/>
      <c r="I514" s="569"/>
      <c r="J514" s="131"/>
      <c r="K514" s="131"/>
      <c r="L514" s="131"/>
      <c r="M514" s="131"/>
      <c r="N514" s="131"/>
      <c r="O514" s="131"/>
      <c r="P514" s="131"/>
      <c r="Q514" s="131"/>
      <c r="R514" s="131"/>
      <c r="S514" s="131"/>
      <c r="T514" s="131"/>
      <c r="U514" s="131"/>
      <c r="V514" s="131"/>
      <c r="W514" s="131"/>
      <c r="X514" s="131"/>
      <c r="Y514" s="131"/>
      <c r="Z514" s="131"/>
    </row>
    <row r="515" spans="1:26" ht="15.75" customHeight="1">
      <c r="A515" s="210"/>
      <c r="B515" s="210"/>
      <c r="C515" s="210"/>
      <c r="D515" s="178"/>
      <c r="E515" s="569"/>
      <c r="F515" s="569"/>
      <c r="G515" s="569"/>
      <c r="H515" s="569"/>
      <c r="I515" s="569"/>
      <c r="J515" s="131"/>
      <c r="K515" s="131"/>
      <c r="L515" s="131"/>
      <c r="M515" s="131"/>
      <c r="N515" s="131"/>
      <c r="O515" s="131"/>
      <c r="P515" s="131"/>
      <c r="Q515" s="131"/>
      <c r="R515" s="131"/>
      <c r="S515" s="131"/>
      <c r="T515" s="131"/>
      <c r="U515" s="131"/>
      <c r="V515" s="131"/>
      <c r="W515" s="131"/>
      <c r="X515" s="131"/>
      <c r="Y515" s="131"/>
      <c r="Z515" s="131"/>
    </row>
    <row r="516" spans="1:26" ht="15.75" customHeight="1">
      <c r="A516" s="210"/>
      <c r="B516" s="210"/>
      <c r="C516" s="210"/>
      <c r="D516" s="178"/>
      <c r="E516" s="569"/>
      <c r="F516" s="569"/>
      <c r="G516" s="569"/>
      <c r="H516" s="569"/>
      <c r="I516" s="569"/>
      <c r="J516" s="131"/>
      <c r="K516" s="131"/>
      <c r="L516" s="131"/>
      <c r="M516" s="131"/>
      <c r="N516" s="131"/>
      <c r="O516" s="131"/>
      <c r="P516" s="131"/>
      <c r="Q516" s="131"/>
      <c r="R516" s="131"/>
      <c r="S516" s="131"/>
      <c r="T516" s="131"/>
      <c r="U516" s="131"/>
      <c r="V516" s="131"/>
      <c r="W516" s="131"/>
      <c r="X516" s="131"/>
      <c r="Y516" s="131"/>
      <c r="Z516" s="131"/>
    </row>
    <row r="517" spans="1:26" ht="15.75" customHeight="1">
      <c r="A517" s="210"/>
      <c r="B517" s="210"/>
      <c r="C517" s="210"/>
      <c r="D517" s="178"/>
      <c r="E517" s="569"/>
      <c r="F517" s="569"/>
      <c r="G517" s="569"/>
      <c r="H517" s="569"/>
      <c r="I517" s="569"/>
      <c r="J517" s="131"/>
      <c r="K517" s="131"/>
      <c r="L517" s="131"/>
      <c r="M517" s="131"/>
      <c r="N517" s="131"/>
      <c r="O517" s="131"/>
      <c r="P517" s="131"/>
      <c r="Q517" s="131"/>
      <c r="R517" s="131"/>
      <c r="S517" s="131"/>
      <c r="T517" s="131"/>
      <c r="U517" s="131"/>
      <c r="V517" s="131"/>
      <c r="W517" s="131"/>
      <c r="X517" s="131"/>
      <c r="Y517" s="131"/>
      <c r="Z517" s="131"/>
    </row>
    <row r="518" spans="1:26" ht="15.75" customHeight="1">
      <c r="A518" s="210"/>
      <c r="B518" s="210"/>
      <c r="C518" s="210"/>
      <c r="D518" s="178"/>
      <c r="E518" s="569"/>
      <c r="F518" s="569"/>
      <c r="G518" s="569"/>
      <c r="H518" s="569"/>
      <c r="I518" s="569"/>
      <c r="J518" s="131"/>
      <c r="K518" s="131"/>
      <c r="L518" s="131"/>
      <c r="M518" s="131"/>
      <c r="N518" s="131"/>
      <c r="O518" s="131"/>
      <c r="P518" s="131"/>
      <c r="Q518" s="131"/>
      <c r="R518" s="131"/>
      <c r="S518" s="131"/>
      <c r="T518" s="131"/>
      <c r="U518" s="131"/>
      <c r="V518" s="131"/>
      <c r="W518" s="131"/>
      <c r="X518" s="131"/>
      <c r="Y518" s="131"/>
      <c r="Z518" s="131"/>
    </row>
    <row r="519" spans="1:26" ht="15.75" customHeight="1">
      <c r="A519" s="210"/>
      <c r="B519" s="210"/>
      <c r="C519" s="210"/>
      <c r="D519" s="178"/>
      <c r="E519" s="569"/>
      <c r="F519" s="569"/>
      <c r="G519" s="569"/>
      <c r="H519" s="569"/>
      <c r="I519" s="569"/>
      <c r="J519" s="131"/>
      <c r="K519" s="131"/>
      <c r="L519" s="131"/>
      <c r="M519" s="131"/>
      <c r="N519" s="131"/>
      <c r="O519" s="131"/>
      <c r="P519" s="131"/>
      <c r="Q519" s="131"/>
      <c r="R519" s="131"/>
      <c r="S519" s="131"/>
      <c r="T519" s="131"/>
      <c r="U519" s="131"/>
      <c r="V519" s="131"/>
      <c r="W519" s="131"/>
      <c r="X519" s="131"/>
      <c r="Y519" s="131"/>
      <c r="Z519" s="131"/>
    </row>
    <row r="520" spans="1:26" ht="15.75" customHeight="1">
      <c r="A520" s="210"/>
      <c r="B520" s="210"/>
      <c r="C520" s="210"/>
      <c r="D520" s="178"/>
      <c r="E520" s="569"/>
      <c r="F520" s="569"/>
      <c r="G520" s="569"/>
      <c r="H520" s="569"/>
      <c r="I520" s="569"/>
      <c r="J520" s="131"/>
      <c r="K520" s="131"/>
      <c r="L520" s="131"/>
      <c r="M520" s="131"/>
      <c r="N520" s="131"/>
      <c r="O520" s="131"/>
      <c r="P520" s="131"/>
      <c r="Q520" s="131"/>
      <c r="R520" s="131"/>
      <c r="S520" s="131"/>
      <c r="T520" s="131"/>
      <c r="U520" s="131"/>
      <c r="V520" s="131"/>
      <c r="W520" s="131"/>
      <c r="X520" s="131"/>
      <c r="Y520" s="131"/>
      <c r="Z520" s="131"/>
    </row>
    <row r="521" spans="1:26" ht="15.75" customHeight="1">
      <c r="A521" s="210"/>
      <c r="B521" s="210"/>
      <c r="C521" s="210"/>
      <c r="D521" s="178"/>
      <c r="E521" s="569"/>
      <c r="F521" s="569"/>
      <c r="G521" s="569"/>
      <c r="H521" s="569"/>
      <c r="I521" s="569"/>
      <c r="J521" s="131"/>
      <c r="K521" s="131"/>
      <c r="L521" s="131"/>
      <c r="M521" s="131"/>
      <c r="N521" s="131"/>
      <c r="O521" s="131"/>
      <c r="P521" s="131"/>
      <c r="Q521" s="131"/>
      <c r="R521" s="131"/>
      <c r="S521" s="131"/>
      <c r="T521" s="131"/>
      <c r="U521" s="131"/>
      <c r="V521" s="131"/>
      <c r="W521" s="131"/>
      <c r="X521" s="131"/>
      <c r="Y521" s="131"/>
      <c r="Z521" s="131"/>
    </row>
    <row r="522" spans="1:26" ht="15.75" customHeight="1">
      <c r="A522" s="210"/>
      <c r="B522" s="210"/>
      <c r="C522" s="210"/>
      <c r="D522" s="178"/>
      <c r="E522" s="569"/>
      <c r="F522" s="569"/>
      <c r="G522" s="569"/>
      <c r="H522" s="569"/>
      <c r="I522" s="569"/>
      <c r="J522" s="131"/>
      <c r="K522" s="131"/>
      <c r="L522" s="131"/>
      <c r="M522" s="131"/>
      <c r="N522" s="131"/>
      <c r="O522" s="131"/>
      <c r="P522" s="131"/>
      <c r="Q522" s="131"/>
      <c r="R522" s="131"/>
      <c r="S522" s="131"/>
      <c r="T522" s="131"/>
      <c r="U522" s="131"/>
      <c r="V522" s="131"/>
      <c r="W522" s="131"/>
      <c r="X522" s="131"/>
      <c r="Y522" s="131"/>
      <c r="Z522" s="131"/>
    </row>
    <row r="523" spans="1:26" ht="15.75" customHeight="1">
      <c r="A523" s="210"/>
      <c r="B523" s="210"/>
      <c r="C523" s="210"/>
      <c r="D523" s="178"/>
      <c r="E523" s="569"/>
      <c r="F523" s="569"/>
      <c r="G523" s="569"/>
      <c r="H523" s="569"/>
      <c r="I523" s="569"/>
      <c r="J523" s="131"/>
      <c r="K523" s="131"/>
      <c r="L523" s="131"/>
      <c r="M523" s="131"/>
      <c r="N523" s="131"/>
      <c r="O523" s="131"/>
      <c r="P523" s="131"/>
      <c r="Q523" s="131"/>
      <c r="R523" s="131"/>
      <c r="S523" s="131"/>
      <c r="T523" s="131"/>
      <c r="U523" s="131"/>
      <c r="V523" s="131"/>
      <c r="W523" s="131"/>
      <c r="X523" s="131"/>
      <c r="Y523" s="131"/>
      <c r="Z523" s="131"/>
    </row>
    <row r="524" spans="1:26" ht="15.75" customHeight="1">
      <c r="A524" s="210"/>
      <c r="B524" s="210"/>
      <c r="C524" s="210"/>
      <c r="D524" s="178"/>
      <c r="E524" s="569"/>
      <c r="F524" s="569"/>
      <c r="G524" s="569"/>
      <c r="H524" s="569"/>
      <c r="I524" s="569"/>
      <c r="J524" s="131"/>
      <c r="K524" s="131"/>
      <c r="L524" s="131"/>
      <c r="M524" s="131"/>
      <c r="N524" s="131"/>
      <c r="O524" s="131"/>
      <c r="P524" s="131"/>
      <c r="Q524" s="131"/>
      <c r="R524" s="131"/>
      <c r="S524" s="131"/>
      <c r="T524" s="131"/>
      <c r="U524" s="131"/>
      <c r="V524" s="131"/>
      <c r="W524" s="131"/>
      <c r="X524" s="131"/>
      <c r="Y524" s="131"/>
      <c r="Z524" s="131"/>
    </row>
    <row r="525" spans="1:26" ht="15.75" customHeight="1">
      <c r="A525" s="210"/>
      <c r="B525" s="210"/>
      <c r="C525" s="210"/>
      <c r="D525" s="178"/>
      <c r="E525" s="569"/>
      <c r="F525" s="569"/>
      <c r="G525" s="569"/>
      <c r="H525" s="569"/>
      <c r="I525" s="569"/>
      <c r="J525" s="131"/>
      <c r="K525" s="131"/>
      <c r="L525" s="131"/>
      <c r="M525" s="131"/>
      <c r="N525" s="131"/>
      <c r="O525" s="131"/>
      <c r="P525" s="131"/>
      <c r="Q525" s="131"/>
      <c r="R525" s="131"/>
      <c r="S525" s="131"/>
      <c r="T525" s="131"/>
      <c r="U525" s="131"/>
      <c r="V525" s="131"/>
      <c r="W525" s="131"/>
      <c r="X525" s="131"/>
      <c r="Y525" s="131"/>
      <c r="Z525" s="131"/>
    </row>
    <row r="526" spans="1:26" ht="15.75" customHeight="1">
      <c r="A526" s="210"/>
      <c r="B526" s="210"/>
      <c r="C526" s="210"/>
      <c r="D526" s="178"/>
      <c r="E526" s="569"/>
      <c r="F526" s="569"/>
      <c r="G526" s="569"/>
      <c r="H526" s="569"/>
      <c r="I526" s="569"/>
      <c r="J526" s="131"/>
      <c r="K526" s="131"/>
      <c r="L526" s="131"/>
      <c r="M526" s="131"/>
      <c r="N526" s="131"/>
      <c r="O526" s="131"/>
      <c r="P526" s="131"/>
      <c r="Q526" s="131"/>
      <c r="R526" s="131"/>
      <c r="S526" s="131"/>
      <c r="T526" s="131"/>
      <c r="U526" s="131"/>
      <c r="V526" s="131"/>
      <c r="W526" s="131"/>
      <c r="X526" s="131"/>
      <c r="Y526" s="131"/>
      <c r="Z526" s="131"/>
    </row>
    <row r="527" spans="1:26" ht="15.75" customHeight="1">
      <c r="A527" s="210"/>
      <c r="B527" s="210"/>
      <c r="C527" s="210"/>
      <c r="D527" s="178"/>
      <c r="E527" s="569"/>
      <c r="F527" s="569"/>
      <c r="G527" s="569"/>
      <c r="H527" s="569"/>
      <c r="I527" s="569"/>
      <c r="J527" s="131"/>
      <c r="K527" s="131"/>
      <c r="L527" s="131"/>
      <c r="M527" s="131"/>
      <c r="N527" s="131"/>
      <c r="O527" s="131"/>
      <c r="P527" s="131"/>
      <c r="Q527" s="131"/>
      <c r="R527" s="131"/>
      <c r="S527" s="131"/>
      <c r="T527" s="131"/>
      <c r="U527" s="131"/>
      <c r="V527" s="131"/>
      <c r="W527" s="131"/>
      <c r="X527" s="131"/>
      <c r="Y527" s="131"/>
      <c r="Z527" s="131"/>
    </row>
    <row r="528" spans="1:26" ht="15.75" customHeight="1">
      <c r="A528" s="210"/>
      <c r="B528" s="210"/>
      <c r="C528" s="210"/>
      <c r="D528" s="178"/>
      <c r="E528" s="569"/>
      <c r="F528" s="569"/>
      <c r="G528" s="569"/>
      <c r="H528" s="569"/>
      <c r="I528" s="569"/>
      <c r="J528" s="131"/>
      <c r="K528" s="131"/>
      <c r="L528" s="131"/>
      <c r="M528" s="131"/>
      <c r="N528" s="131"/>
      <c r="O528" s="131"/>
      <c r="P528" s="131"/>
      <c r="Q528" s="131"/>
      <c r="R528" s="131"/>
      <c r="S528" s="131"/>
      <c r="T528" s="131"/>
      <c r="U528" s="131"/>
      <c r="V528" s="131"/>
      <c r="W528" s="131"/>
      <c r="X528" s="131"/>
      <c r="Y528" s="131"/>
      <c r="Z528" s="131"/>
    </row>
    <row r="529" spans="1:26" ht="15.75" customHeight="1">
      <c r="A529" s="210"/>
      <c r="B529" s="210"/>
      <c r="C529" s="210"/>
      <c r="D529" s="178"/>
      <c r="E529" s="569"/>
      <c r="F529" s="569"/>
      <c r="G529" s="569"/>
      <c r="H529" s="569"/>
      <c r="I529" s="569"/>
      <c r="J529" s="131"/>
      <c r="K529" s="131"/>
      <c r="L529" s="131"/>
      <c r="M529" s="131"/>
      <c r="N529" s="131"/>
      <c r="O529" s="131"/>
      <c r="P529" s="131"/>
      <c r="Q529" s="131"/>
      <c r="R529" s="131"/>
      <c r="S529" s="131"/>
      <c r="T529" s="131"/>
      <c r="U529" s="131"/>
      <c r="V529" s="131"/>
      <c r="W529" s="131"/>
      <c r="X529" s="131"/>
      <c r="Y529" s="131"/>
      <c r="Z529" s="131"/>
    </row>
    <row r="530" spans="1:26" ht="15.75" customHeight="1">
      <c r="A530" s="210"/>
      <c r="B530" s="210"/>
      <c r="C530" s="210"/>
      <c r="D530" s="178"/>
      <c r="E530" s="569"/>
      <c r="F530" s="569"/>
      <c r="G530" s="569"/>
      <c r="H530" s="569"/>
      <c r="I530" s="569"/>
      <c r="J530" s="131"/>
      <c r="K530" s="131"/>
      <c r="L530" s="131"/>
      <c r="M530" s="131"/>
      <c r="N530" s="131"/>
      <c r="O530" s="131"/>
      <c r="P530" s="131"/>
      <c r="Q530" s="131"/>
      <c r="R530" s="131"/>
      <c r="S530" s="131"/>
      <c r="T530" s="131"/>
      <c r="U530" s="131"/>
      <c r="V530" s="131"/>
      <c r="W530" s="131"/>
      <c r="X530" s="131"/>
      <c r="Y530" s="131"/>
      <c r="Z530" s="131"/>
    </row>
    <row r="531" spans="1:26" ht="15.75" customHeight="1">
      <c r="A531" s="210"/>
      <c r="B531" s="210"/>
      <c r="C531" s="210"/>
      <c r="D531" s="178"/>
      <c r="E531" s="569"/>
      <c r="F531" s="569"/>
      <c r="G531" s="569"/>
      <c r="H531" s="569"/>
      <c r="I531" s="569"/>
      <c r="J531" s="131"/>
      <c r="K531" s="131"/>
      <c r="L531" s="131"/>
      <c r="M531" s="131"/>
      <c r="N531" s="131"/>
      <c r="O531" s="131"/>
      <c r="P531" s="131"/>
      <c r="Q531" s="131"/>
      <c r="R531" s="131"/>
      <c r="S531" s="131"/>
      <c r="T531" s="131"/>
      <c r="U531" s="131"/>
      <c r="V531" s="131"/>
      <c r="W531" s="131"/>
      <c r="X531" s="131"/>
      <c r="Y531" s="131"/>
      <c r="Z531" s="131"/>
    </row>
    <row r="532" spans="1:26" ht="15.75" customHeight="1">
      <c r="A532" s="210"/>
      <c r="B532" s="210"/>
      <c r="C532" s="210"/>
      <c r="D532" s="178"/>
      <c r="E532" s="569"/>
      <c r="F532" s="569"/>
      <c r="G532" s="569"/>
      <c r="H532" s="569"/>
      <c r="I532" s="569"/>
      <c r="J532" s="131"/>
      <c r="K532" s="131"/>
      <c r="L532" s="131"/>
      <c r="M532" s="131"/>
      <c r="N532" s="131"/>
      <c r="O532" s="131"/>
      <c r="P532" s="131"/>
      <c r="Q532" s="131"/>
      <c r="R532" s="131"/>
      <c r="S532" s="131"/>
      <c r="T532" s="131"/>
      <c r="U532" s="131"/>
      <c r="V532" s="131"/>
      <c r="W532" s="131"/>
      <c r="X532" s="131"/>
      <c r="Y532" s="131"/>
      <c r="Z532" s="131"/>
    </row>
    <row r="533" spans="1:26" ht="15.75" customHeight="1">
      <c r="A533" s="210"/>
      <c r="B533" s="210"/>
      <c r="C533" s="210"/>
      <c r="D533" s="178"/>
      <c r="E533" s="569"/>
      <c r="F533" s="569"/>
      <c r="G533" s="569"/>
      <c r="H533" s="569"/>
      <c r="I533" s="569"/>
      <c r="J533" s="131"/>
      <c r="K533" s="131"/>
      <c r="L533" s="131"/>
      <c r="M533" s="131"/>
      <c r="N533" s="131"/>
      <c r="O533" s="131"/>
      <c r="P533" s="131"/>
      <c r="Q533" s="131"/>
      <c r="R533" s="131"/>
      <c r="S533" s="131"/>
      <c r="T533" s="131"/>
      <c r="U533" s="131"/>
      <c r="V533" s="131"/>
      <c r="W533" s="131"/>
      <c r="X533" s="131"/>
      <c r="Y533" s="131"/>
      <c r="Z533" s="131"/>
    </row>
    <row r="534" spans="1:26" ht="15.75" customHeight="1">
      <c r="A534" s="210"/>
      <c r="B534" s="210"/>
      <c r="C534" s="210"/>
      <c r="D534" s="178"/>
      <c r="E534" s="569"/>
      <c r="F534" s="569"/>
      <c r="G534" s="569"/>
      <c r="H534" s="569"/>
      <c r="I534" s="569"/>
      <c r="J534" s="131"/>
      <c r="K534" s="131"/>
      <c r="L534" s="131"/>
      <c r="M534" s="131"/>
      <c r="N534" s="131"/>
      <c r="O534" s="131"/>
      <c r="P534" s="131"/>
      <c r="Q534" s="131"/>
      <c r="R534" s="131"/>
      <c r="S534" s="131"/>
      <c r="T534" s="131"/>
      <c r="U534" s="131"/>
      <c r="V534" s="131"/>
      <c r="W534" s="131"/>
      <c r="X534" s="131"/>
      <c r="Y534" s="131"/>
      <c r="Z534" s="131"/>
    </row>
    <row r="535" spans="1:26" ht="15.75" customHeight="1">
      <c r="A535" s="210"/>
      <c r="B535" s="210"/>
      <c r="C535" s="210"/>
      <c r="D535" s="178"/>
      <c r="E535" s="569"/>
      <c r="F535" s="569"/>
      <c r="G535" s="569"/>
      <c r="H535" s="569"/>
      <c r="I535" s="569"/>
      <c r="J535" s="131"/>
      <c r="K535" s="131"/>
      <c r="L535" s="131"/>
      <c r="M535" s="131"/>
      <c r="N535" s="131"/>
      <c r="O535" s="131"/>
      <c r="P535" s="131"/>
      <c r="Q535" s="131"/>
      <c r="R535" s="131"/>
      <c r="S535" s="131"/>
      <c r="T535" s="131"/>
      <c r="U535" s="131"/>
      <c r="V535" s="131"/>
      <c r="W535" s="131"/>
      <c r="X535" s="131"/>
      <c r="Y535" s="131"/>
      <c r="Z535" s="131"/>
    </row>
    <row r="536" spans="1:26" ht="15.75" customHeight="1">
      <c r="A536" s="210"/>
      <c r="B536" s="210"/>
      <c r="C536" s="210"/>
      <c r="D536" s="178"/>
      <c r="E536" s="569"/>
      <c r="F536" s="569"/>
      <c r="G536" s="569"/>
      <c r="H536" s="569"/>
      <c r="I536" s="569"/>
      <c r="J536" s="131"/>
      <c r="K536" s="131"/>
      <c r="L536" s="131"/>
      <c r="M536" s="131"/>
      <c r="N536" s="131"/>
      <c r="O536" s="131"/>
      <c r="P536" s="131"/>
      <c r="Q536" s="131"/>
      <c r="R536" s="131"/>
      <c r="S536" s="131"/>
      <c r="T536" s="131"/>
      <c r="U536" s="131"/>
      <c r="V536" s="131"/>
      <c r="W536" s="131"/>
      <c r="X536" s="131"/>
      <c r="Y536" s="131"/>
      <c r="Z536" s="131"/>
    </row>
    <row r="537" spans="1:26" ht="15.75" customHeight="1">
      <c r="A537" s="210"/>
      <c r="B537" s="210"/>
      <c r="C537" s="210"/>
      <c r="D537" s="178"/>
      <c r="E537" s="569"/>
      <c r="F537" s="569"/>
      <c r="G537" s="569"/>
      <c r="H537" s="569"/>
      <c r="I537" s="569"/>
      <c r="J537" s="131"/>
      <c r="K537" s="131"/>
      <c r="L537" s="131"/>
      <c r="M537" s="131"/>
      <c r="N537" s="131"/>
      <c r="O537" s="131"/>
      <c r="P537" s="131"/>
      <c r="Q537" s="131"/>
      <c r="R537" s="131"/>
      <c r="S537" s="131"/>
      <c r="T537" s="131"/>
      <c r="U537" s="131"/>
      <c r="V537" s="131"/>
      <c r="W537" s="131"/>
      <c r="X537" s="131"/>
      <c r="Y537" s="131"/>
      <c r="Z537" s="131"/>
    </row>
    <row r="538" spans="1:26" ht="15.75" customHeight="1">
      <c r="A538" s="210"/>
      <c r="B538" s="210"/>
      <c r="C538" s="210"/>
      <c r="D538" s="178"/>
      <c r="E538" s="569"/>
      <c r="F538" s="569"/>
      <c r="G538" s="569"/>
      <c r="H538" s="569"/>
      <c r="I538" s="569"/>
      <c r="J538" s="131"/>
      <c r="K538" s="131"/>
      <c r="L538" s="131"/>
      <c r="M538" s="131"/>
      <c r="N538" s="131"/>
      <c r="O538" s="131"/>
      <c r="P538" s="131"/>
      <c r="Q538" s="131"/>
      <c r="R538" s="131"/>
      <c r="S538" s="131"/>
      <c r="T538" s="131"/>
      <c r="U538" s="131"/>
      <c r="V538" s="131"/>
      <c r="W538" s="131"/>
      <c r="X538" s="131"/>
      <c r="Y538" s="131"/>
      <c r="Z538" s="131"/>
    </row>
    <row r="539" spans="1:26" ht="15.75" customHeight="1">
      <c r="A539" s="210"/>
      <c r="B539" s="210"/>
      <c r="C539" s="210"/>
      <c r="D539" s="178"/>
      <c r="E539" s="569"/>
      <c r="F539" s="569"/>
      <c r="G539" s="569"/>
      <c r="H539" s="569"/>
      <c r="I539" s="569"/>
      <c r="J539" s="131"/>
      <c r="K539" s="131"/>
      <c r="L539" s="131"/>
      <c r="M539" s="131"/>
      <c r="N539" s="131"/>
      <c r="O539" s="131"/>
      <c r="P539" s="131"/>
      <c r="Q539" s="131"/>
      <c r="R539" s="131"/>
      <c r="S539" s="131"/>
      <c r="T539" s="131"/>
      <c r="U539" s="131"/>
      <c r="V539" s="131"/>
      <c r="W539" s="131"/>
      <c r="X539" s="131"/>
      <c r="Y539" s="131"/>
      <c r="Z539" s="131"/>
    </row>
    <row r="540" spans="1:26" ht="15.75" customHeight="1">
      <c r="A540" s="210"/>
      <c r="B540" s="210"/>
      <c r="C540" s="210"/>
      <c r="D540" s="178"/>
      <c r="E540" s="569"/>
      <c r="F540" s="569"/>
      <c r="G540" s="569"/>
      <c r="H540" s="569"/>
      <c r="I540" s="569"/>
      <c r="J540" s="131"/>
      <c r="K540" s="131"/>
      <c r="L540" s="131"/>
      <c r="M540" s="131"/>
      <c r="N540" s="131"/>
      <c r="O540" s="131"/>
      <c r="P540" s="131"/>
      <c r="Q540" s="131"/>
      <c r="R540" s="131"/>
      <c r="S540" s="131"/>
      <c r="T540" s="131"/>
      <c r="U540" s="131"/>
      <c r="V540" s="131"/>
      <c r="W540" s="131"/>
      <c r="X540" s="131"/>
      <c r="Y540" s="131"/>
      <c r="Z540" s="131"/>
    </row>
    <row r="541" spans="1:26" ht="15.75" customHeight="1">
      <c r="A541" s="210"/>
      <c r="B541" s="210"/>
      <c r="C541" s="210"/>
      <c r="D541" s="178"/>
      <c r="E541" s="569"/>
      <c r="F541" s="569"/>
      <c r="G541" s="569"/>
      <c r="H541" s="569"/>
      <c r="I541" s="569"/>
      <c r="J541" s="131"/>
      <c r="K541" s="131"/>
      <c r="L541" s="131"/>
      <c r="M541" s="131"/>
      <c r="N541" s="131"/>
      <c r="O541" s="131"/>
      <c r="P541" s="131"/>
      <c r="Q541" s="131"/>
      <c r="R541" s="131"/>
      <c r="S541" s="131"/>
      <c r="T541" s="131"/>
      <c r="U541" s="131"/>
      <c r="V541" s="131"/>
      <c r="W541" s="131"/>
      <c r="X541" s="131"/>
      <c r="Y541" s="131"/>
      <c r="Z541" s="131"/>
    </row>
    <row r="542" spans="1:26" ht="15.75" customHeight="1">
      <c r="A542" s="210"/>
      <c r="B542" s="210"/>
      <c r="C542" s="210"/>
      <c r="D542" s="178"/>
      <c r="E542" s="569"/>
      <c r="F542" s="569"/>
      <c r="G542" s="569"/>
      <c r="H542" s="569"/>
      <c r="I542" s="569"/>
      <c r="J542" s="131"/>
      <c r="K542" s="131"/>
      <c r="L542" s="131"/>
      <c r="M542" s="131"/>
      <c r="N542" s="131"/>
      <c r="O542" s="131"/>
      <c r="P542" s="131"/>
      <c r="Q542" s="131"/>
      <c r="R542" s="131"/>
      <c r="S542" s="131"/>
      <c r="T542" s="131"/>
      <c r="U542" s="131"/>
      <c r="V542" s="131"/>
      <c r="W542" s="131"/>
      <c r="X542" s="131"/>
      <c r="Y542" s="131"/>
      <c r="Z542" s="131"/>
    </row>
    <row r="543" spans="1:26" ht="15.75" customHeight="1">
      <c r="A543" s="210"/>
      <c r="B543" s="210"/>
      <c r="C543" s="210"/>
      <c r="D543" s="178"/>
      <c r="E543" s="569"/>
      <c r="F543" s="569"/>
      <c r="G543" s="569"/>
      <c r="H543" s="569"/>
      <c r="I543" s="569"/>
      <c r="J543" s="131"/>
      <c r="K543" s="131"/>
      <c r="L543" s="131"/>
      <c r="M543" s="131"/>
      <c r="N543" s="131"/>
      <c r="O543" s="131"/>
      <c r="P543" s="131"/>
      <c r="Q543" s="131"/>
      <c r="R543" s="131"/>
      <c r="S543" s="131"/>
      <c r="T543" s="131"/>
      <c r="U543" s="131"/>
      <c r="V543" s="131"/>
      <c r="W543" s="131"/>
      <c r="X543" s="131"/>
      <c r="Y543" s="131"/>
      <c r="Z543" s="131"/>
    </row>
    <row r="544" spans="1:26" ht="15.75" customHeight="1">
      <c r="A544" s="210"/>
      <c r="B544" s="210"/>
      <c r="C544" s="210"/>
      <c r="D544" s="178"/>
      <c r="E544" s="569"/>
      <c r="F544" s="569"/>
      <c r="G544" s="569"/>
      <c r="H544" s="569"/>
      <c r="I544" s="569"/>
      <c r="J544" s="131"/>
      <c r="K544" s="131"/>
      <c r="L544" s="131"/>
      <c r="M544" s="131"/>
      <c r="N544" s="131"/>
      <c r="O544" s="131"/>
      <c r="P544" s="131"/>
      <c r="Q544" s="131"/>
      <c r="R544" s="131"/>
      <c r="S544" s="131"/>
      <c r="T544" s="131"/>
      <c r="U544" s="131"/>
      <c r="V544" s="131"/>
      <c r="W544" s="131"/>
      <c r="X544" s="131"/>
      <c r="Y544" s="131"/>
      <c r="Z544" s="131"/>
    </row>
    <row r="545" spans="1:26" ht="15.75" customHeight="1">
      <c r="A545" s="210"/>
      <c r="B545" s="210"/>
      <c r="C545" s="210"/>
      <c r="D545" s="178"/>
      <c r="E545" s="569"/>
      <c r="F545" s="569"/>
      <c r="G545" s="569"/>
      <c r="H545" s="569"/>
      <c r="I545" s="569"/>
      <c r="J545" s="131"/>
      <c r="K545" s="131"/>
      <c r="L545" s="131"/>
      <c r="M545" s="131"/>
      <c r="N545" s="131"/>
      <c r="O545" s="131"/>
      <c r="P545" s="131"/>
      <c r="Q545" s="131"/>
      <c r="R545" s="131"/>
      <c r="S545" s="131"/>
      <c r="T545" s="131"/>
      <c r="U545" s="131"/>
      <c r="V545" s="131"/>
      <c r="W545" s="131"/>
      <c r="X545" s="131"/>
      <c r="Y545" s="131"/>
      <c r="Z545" s="131"/>
    </row>
    <row r="546" spans="1:26" ht="15.75" customHeight="1">
      <c r="A546" s="210"/>
      <c r="B546" s="210"/>
      <c r="C546" s="210"/>
      <c r="D546" s="178"/>
      <c r="E546" s="569"/>
      <c r="F546" s="569"/>
      <c r="G546" s="569"/>
      <c r="H546" s="569"/>
      <c r="I546" s="569"/>
      <c r="J546" s="131"/>
      <c r="K546" s="131"/>
      <c r="L546" s="131"/>
      <c r="M546" s="131"/>
      <c r="N546" s="131"/>
      <c r="O546" s="131"/>
      <c r="P546" s="131"/>
      <c r="Q546" s="131"/>
      <c r="R546" s="131"/>
      <c r="S546" s="131"/>
      <c r="T546" s="131"/>
      <c r="U546" s="131"/>
      <c r="V546" s="131"/>
      <c r="W546" s="131"/>
      <c r="X546" s="131"/>
      <c r="Y546" s="131"/>
      <c r="Z546" s="131"/>
    </row>
    <row r="547" spans="1:26" ht="15.75" customHeight="1">
      <c r="A547" s="210"/>
      <c r="B547" s="210"/>
      <c r="C547" s="210"/>
      <c r="D547" s="178"/>
      <c r="E547" s="569"/>
      <c r="F547" s="569"/>
      <c r="G547" s="569"/>
      <c r="H547" s="569"/>
      <c r="I547" s="569"/>
      <c r="J547" s="131"/>
      <c r="K547" s="131"/>
      <c r="L547" s="131"/>
      <c r="M547" s="131"/>
      <c r="N547" s="131"/>
      <c r="O547" s="131"/>
      <c r="P547" s="131"/>
      <c r="Q547" s="131"/>
      <c r="R547" s="131"/>
      <c r="S547" s="131"/>
      <c r="T547" s="131"/>
      <c r="U547" s="131"/>
      <c r="V547" s="131"/>
      <c r="W547" s="131"/>
      <c r="X547" s="131"/>
      <c r="Y547" s="131"/>
      <c r="Z547" s="131"/>
    </row>
    <row r="548" spans="1:26" ht="15.75" customHeight="1">
      <c r="A548" s="210"/>
      <c r="B548" s="210"/>
      <c r="C548" s="210"/>
      <c r="D548" s="178"/>
      <c r="E548" s="569"/>
      <c r="F548" s="569"/>
      <c r="G548" s="569"/>
      <c r="H548" s="569"/>
      <c r="I548" s="569"/>
      <c r="J548" s="131"/>
      <c r="K548" s="131"/>
      <c r="L548" s="131"/>
      <c r="M548" s="131"/>
      <c r="N548" s="131"/>
      <c r="O548" s="131"/>
      <c r="P548" s="131"/>
      <c r="Q548" s="131"/>
      <c r="R548" s="131"/>
      <c r="S548" s="131"/>
      <c r="T548" s="131"/>
      <c r="U548" s="131"/>
      <c r="V548" s="131"/>
      <c r="W548" s="131"/>
      <c r="X548" s="131"/>
      <c r="Y548" s="131"/>
      <c r="Z548" s="131"/>
    </row>
    <row r="549" spans="1:26" ht="15.75" customHeight="1">
      <c r="A549" s="210"/>
      <c r="B549" s="210"/>
      <c r="C549" s="210"/>
      <c r="D549" s="178"/>
      <c r="E549" s="569"/>
      <c r="F549" s="569"/>
      <c r="G549" s="569"/>
      <c r="H549" s="569"/>
      <c r="I549" s="569"/>
      <c r="J549" s="131"/>
      <c r="K549" s="131"/>
      <c r="L549" s="131"/>
      <c r="M549" s="131"/>
      <c r="N549" s="131"/>
      <c r="O549" s="131"/>
      <c r="P549" s="131"/>
      <c r="Q549" s="131"/>
      <c r="R549" s="131"/>
      <c r="S549" s="131"/>
      <c r="T549" s="131"/>
      <c r="U549" s="131"/>
      <c r="V549" s="131"/>
      <c r="W549" s="131"/>
      <c r="X549" s="131"/>
      <c r="Y549" s="131"/>
      <c r="Z549" s="131"/>
    </row>
    <row r="550" spans="1:26" ht="15.75" customHeight="1">
      <c r="A550" s="210"/>
      <c r="B550" s="210"/>
      <c r="C550" s="210"/>
      <c r="D550" s="178"/>
      <c r="E550" s="569"/>
      <c r="F550" s="569"/>
      <c r="G550" s="569"/>
      <c r="H550" s="569"/>
      <c r="I550" s="569"/>
      <c r="J550" s="131"/>
      <c r="K550" s="131"/>
      <c r="L550" s="131"/>
      <c r="M550" s="131"/>
      <c r="N550" s="131"/>
      <c r="O550" s="131"/>
      <c r="P550" s="131"/>
      <c r="Q550" s="131"/>
      <c r="R550" s="131"/>
      <c r="S550" s="131"/>
      <c r="T550" s="131"/>
      <c r="U550" s="131"/>
      <c r="V550" s="131"/>
      <c r="W550" s="131"/>
      <c r="X550" s="131"/>
      <c r="Y550" s="131"/>
      <c r="Z550" s="131"/>
    </row>
    <row r="551" spans="1:26" ht="15.75" customHeight="1">
      <c r="A551" s="210"/>
      <c r="B551" s="210"/>
      <c r="C551" s="210"/>
      <c r="D551" s="178"/>
      <c r="E551" s="569"/>
      <c r="F551" s="569"/>
      <c r="G551" s="569"/>
      <c r="H551" s="569"/>
      <c r="I551" s="569"/>
      <c r="J551" s="131"/>
      <c r="K551" s="131"/>
      <c r="L551" s="131"/>
      <c r="M551" s="131"/>
      <c r="N551" s="131"/>
      <c r="O551" s="131"/>
      <c r="P551" s="131"/>
      <c r="Q551" s="131"/>
      <c r="R551" s="131"/>
      <c r="S551" s="131"/>
      <c r="T551" s="131"/>
      <c r="U551" s="131"/>
      <c r="V551" s="131"/>
      <c r="W551" s="131"/>
      <c r="X551" s="131"/>
      <c r="Y551" s="131"/>
      <c r="Z551" s="131"/>
    </row>
    <row r="552" spans="1:26" ht="15.75" customHeight="1">
      <c r="A552" s="210"/>
      <c r="B552" s="210"/>
      <c r="C552" s="210"/>
      <c r="D552" s="178"/>
      <c r="E552" s="569"/>
      <c r="F552" s="569"/>
      <c r="G552" s="569"/>
      <c r="H552" s="569"/>
      <c r="I552" s="569"/>
      <c r="J552" s="131"/>
      <c r="K552" s="131"/>
      <c r="L552" s="131"/>
      <c r="M552" s="131"/>
      <c r="N552" s="131"/>
      <c r="O552" s="131"/>
      <c r="P552" s="131"/>
      <c r="Q552" s="131"/>
      <c r="R552" s="131"/>
      <c r="S552" s="131"/>
      <c r="T552" s="131"/>
      <c r="U552" s="131"/>
      <c r="V552" s="131"/>
      <c r="W552" s="131"/>
      <c r="X552" s="131"/>
      <c r="Y552" s="131"/>
      <c r="Z552" s="131"/>
    </row>
    <row r="553" spans="1:26" ht="15.75" customHeight="1">
      <c r="A553" s="210"/>
      <c r="B553" s="210"/>
      <c r="C553" s="210"/>
      <c r="D553" s="178"/>
      <c r="E553" s="569"/>
      <c r="F553" s="569"/>
      <c r="G553" s="569"/>
      <c r="H553" s="569"/>
      <c r="I553" s="569"/>
      <c r="J553" s="131"/>
      <c r="K553" s="131"/>
      <c r="L553" s="131"/>
      <c r="M553" s="131"/>
      <c r="N553" s="131"/>
      <c r="O553" s="131"/>
      <c r="P553" s="131"/>
      <c r="Q553" s="131"/>
      <c r="R553" s="131"/>
      <c r="S553" s="131"/>
      <c r="T553" s="131"/>
      <c r="U553" s="131"/>
      <c r="V553" s="131"/>
      <c r="W553" s="131"/>
      <c r="X553" s="131"/>
      <c r="Y553" s="131"/>
      <c r="Z553" s="131"/>
    </row>
    <row r="554" spans="1:26" ht="15.75" customHeight="1">
      <c r="A554" s="210"/>
      <c r="B554" s="210"/>
      <c r="C554" s="210"/>
      <c r="D554" s="178"/>
      <c r="E554" s="569"/>
      <c r="F554" s="569"/>
      <c r="G554" s="569"/>
      <c r="H554" s="569"/>
      <c r="I554" s="569"/>
      <c r="J554" s="131"/>
      <c r="K554" s="131"/>
      <c r="L554" s="131"/>
      <c r="M554" s="131"/>
      <c r="N554" s="131"/>
      <c r="O554" s="131"/>
      <c r="P554" s="131"/>
      <c r="Q554" s="131"/>
      <c r="R554" s="131"/>
      <c r="S554" s="131"/>
      <c r="T554" s="131"/>
      <c r="U554" s="131"/>
      <c r="V554" s="131"/>
      <c r="W554" s="131"/>
      <c r="X554" s="131"/>
      <c r="Y554" s="131"/>
      <c r="Z554" s="131"/>
    </row>
    <row r="555" spans="1:26" ht="15.75" customHeight="1">
      <c r="A555" s="210"/>
      <c r="B555" s="210"/>
      <c r="C555" s="210"/>
      <c r="D555" s="178"/>
      <c r="E555" s="569"/>
      <c r="F555" s="569"/>
      <c r="G555" s="569"/>
      <c r="H555" s="569"/>
      <c r="I555" s="569"/>
      <c r="J555" s="131"/>
      <c r="K555" s="131"/>
      <c r="L555" s="131"/>
      <c r="M555" s="131"/>
      <c r="N555" s="131"/>
      <c r="O555" s="131"/>
      <c r="P555" s="131"/>
      <c r="Q555" s="131"/>
      <c r="R555" s="131"/>
      <c r="S555" s="131"/>
      <c r="T555" s="131"/>
      <c r="U555" s="131"/>
      <c r="V555" s="131"/>
      <c r="W555" s="131"/>
      <c r="X555" s="131"/>
      <c r="Y555" s="131"/>
      <c r="Z555" s="131"/>
    </row>
    <row r="556" spans="1:26" ht="15.75" customHeight="1">
      <c r="A556" s="210"/>
      <c r="B556" s="210"/>
      <c r="C556" s="210"/>
      <c r="D556" s="178"/>
      <c r="E556" s="569"/>
      <c r="F556" s="569"/>
      <c r="G556" s="569"/>
      <c r="H556" s="569"/>
      <c r="I556" s="569"/>
      <c r="J556" s="131"/>
      <c r="K556" s="131"/>
      <c r="L556" s="131"/>
      <c r="M556" s="131"/>
      <c r="N556" s="131"/>
      <c r="O556" s="131"/>
      <c r="P556" s="131"/>
      <c r="Q556" s="131"/>
      <c r="R556" s="131"/>
      <c r="S556" s="131"/>
      <c r="T556" s="131"/>
      <c r="U556" s="131"/>
      <c r="V556" s="131"/>
      <c r="W556" s="131"/>
      <c r="X556" s="131"/>
      <c r="Y556" s="131"/>
      <c r="Z556" s="131"/>
    </row>
    <row r="557" spans="1:26" ht="15.75" customHeight="1">
      <c r="A557" s="210"/>
      <c r="B557" s="210"/>
      <c r="C557" s="210"/>
      <c r="D557" s="178"/>
      <c r="E557" s="569"/>
      <c r="F557" s="569"/>
      <c r="G557" s="569"/>
      <c r="H557" s="569"/>
      <c r="I557" s="569"/>
      <c r="J557" s="131"/>
      <c r="K557" s="131"/>
      <c r="L557" s="131"/>
      <c r="M557" s="131"/>
      <c r="N557" s="131"/>
      <c r="O557" s="131"/>
      <c r="P557" s="131"/>
      <c r="Q557" s="131"/>
      <c r="R557" s="131"/>
      <c r="S557" s="131"/>
      <c r="T557" s="131"/>
      <c r="U557" s="131"/>
      <c r="V557" s="131"/>
      <c r="W557" s="131"/>
      <c r="X557" s="131"/>
      <c r="Y557" s="131"/>
      <c r="Z557" s="131"/>
    </row>
    <row r="558" spans="1:26" ht="15.75" customHeight="1">
      <c r="A558" s="210"/>
      <c r="B558" s="210"/>
      <c r="C558" s="210"/>
      <c r="D558" s="178"/>
      <c r="E558" s="569"/>
      <c r="F558" s="569"/>
      <c r="G558" s="569"/>
      <c r="H558" s="569"/>
      <c r="I558" s="569"/>
      <c r="J558" s="131"/>
      <c r="K558" s="131"/>
      <c r="L558" s="131"/>
      <c r="M558" s="131"/>
      <c r="N558" s="131"/>
      <c r="O558" s="131"/>
      <c r="P558" s="131"/>
      <c r="Q558" s="131"/>
      <c r="R558" s="131"/>
      <c r="S558" s="131"/>
      <c r="T558" s="131"/>
      <c r="U558" s="131"/>
      <c r="V558" s="131"/>
      <c r="W558" s="131"/>
      <c r="X558" s="131"/>
      <c r="Y558" s="131"/>
      <c r="Z558" s="131"/>
    </row>
    <row r="559" spans="1:26" ht="15.75" customHeight="1">
      <c r="A559" s="210"/>
      <c r="B559" s="210"/>
      <c r="C559" s="210"/>
      <c r="D559" s="178"/>
      <c r="E559" s="569"/>
      <c r="F559" s="569"/>
      <c r="G559" s="569"/>
      <c r="H559" s="569"/>
      <c r="I559" s="569"/>
      <c r="J559" s="131"/>
      <c r="K559" s="131"/>
      <c r="L559" s="131"/>
      <c r="M559" s="131"/>
      <c r="N559" s="131"/>
      <c r="O559" s="131"/>
      <c r="P559" s="131"/>
      <c r="Q559" s="131"/>
      <c r="R559" s="131"/>
      <c r="S559" s="131"/>
      <c r="T559" s="131"/>
      <c r="U559" s="131"/>
      <c r="V559" s="131"/>
      <c r="W559" s="131"/>
      <c r="X559" s="131"/>
      <c r="Y559" s="131"/>
      <c r="Z559" s="131"/>
    </row>
    <row r="560" spans="1:26" ht="15.75" customHeight="1">
      <c r="A560" s="210"/>
      <c r="B560" s="210"/>
      <c r="C560" s="210"/>
      <c r="D560" s="178"/>
      <c r="E560" s="569"/>
      <c r="F560" s="569"/>
      <c r="G560" s="569"/>
      <c r="H560" s="569"/>
      <c r="I560" s="569"/>
      <c r="J560" s="131"/>
      <c r="K560" s="131"/>
      <c r="L560" s="131"/>
      <c r="M560" s="131"/>
      <c r="N560" s="131"/>
      <c r="O560" s="131"/>
      <c r="P560" s="131"/>
      <c r="Q560" s="131"/>
      <c r="R560" s="131"/>
      <c r="S560" s="131"/>
      <c r="T560" s="131"/>
      <c r="U560" s="131"/>
      <c r="V560" s="131"/>
      <c r="W560" s="131"/>
      <c r="X560" s="131"/>
      <c r="Y560" s="131"/>
      <c r="Z560" s="131"/>
    </row>
    <row r="561" spans="1:26" ht="15.75" customHeight="1">
      <c r="A561" s="210"/>
      <c r="B561" s="210"/>
      <c r="C561" s="210"/>
      <c r="D561" s="178"/>
      <c r="E561" s="569"/>
      <c r="F561" s="569"/>
      <c r="G561" s="569"/>
      <c r="H561" s="569"/>
      <c r="I561" s="569"/>
      <c r="J561" s="131"/>
      <c r="K561" s="131"/>
      <c r="L561" s="131"/>
      <c r="M561" s="131"/>
      <c r="N561" s="131"/>
      <c r="O561" s="131"/>
      <c r="P561" s="131"/>
      <c r="Q561" s="131"/>
      <c r="R561" s="131"/>
      <c r="S561" s="131"/>
      <c r="T561" s="131"/>
      <c r="U561" s="131"/>
      <c r="V561" s="131"/>
      <c r="W561" s="131"/>
      <c r="X561" s="131"/>
      <c r="Y561" s="131"/>
      <c r="Z561" s="131"/>
    </row>
    <row r="562" spans="1:26" ht="15.75" customHeight="1">
      <c r="A562" s="210"/>
      <c r="B562" s="210"/>
      <c r="C562" s="210"/>
      <c r="D562" s="178"/>
      <c r="E562" s="569"/>
      <c r="F562" s="569"/>
      <c r="G562" s="569"/>
      <c r="H562" s="569"/>
      <c r="I562" s="569"/>
      <c r="J562" s="131"/>
      <c r="K562" s="131"/>
      <c r="L562" s="131"/>
      <c r="M562" s="131"/>
      <c r="N562" s="131"/>
      <c r="O562" s="131"/>
      <c r="P562" s="131"/>
      <c r="Q562" s="131"/>
      <c r="R562" s="131"/>
      <c r="S562" s="131"/>
      <c r="T562" s="131"/>
      <c r="U562" s="131"/>
      <c r="V562" s="131"/>
      <c r="W562" s="131"/>
      <c r="X562" s="131"/>
      <c r="Y562" s="131"/>
      <c r="Z562" s="131"/>
    </row>
    <row r="563" spans="1:26" ht="15.75" customHeight="1">
      <c r="A563" s="210"/>
      <c r="B563" s="210"/>
      <c r="C563" s="210"/>
      <c r="D563" s="178"/>
      <c r="E563" s="569"/>
      <c r="F563" s="569"/>
      <c r="G563" s="569"/>
      <c r="H563" s="569"/>
      <c r="I563" s="569"/>
      <c r="J563" s="131"/>
      <c r="K563" s="131"/>
      <c r="L563" s="131"/>
      <c r="M563" s="131"/>
      <c r="N563" s="131"/>
      <c r="O563" s="131"/>
      <c r="P563" s="131"/>
      <c r="Q563" s="131"/>
      <c r="R563" s="131"/>
      <c r="S563" s="131"/>
      <c r="T563" s="131"/>
      <c r="U563" s="131"/>
      <c r="V563" s="131"/>
      <c r="W563" s="131"/>
      <c r="X563" s="131"/>
      <c r="Y563" s="131"/>
      <c r="Z563" s="131"/>
    </row>
    <row r="564" spans="1:26" ht="15.75" customHeight="1">
      <c r="A564" s="210"/>
      <c r="B564" s="210"/>
      <c r="C564" s="210"/>
      <c r="D564" s="178"/>
      <c r="E564" s="569"/>
      <c r="F564" s="569"/>
      <c r="G564" s="569"/>
      <c r="H564" s="569"/>
      <c r="I564" s="569"/>
      <c r="J564" s="131"/>
      <c r="K564" s="131"/>
      <c r="L564" s="131"/>
      <c r="M564" s="131"/>
      <c r="N564" s="131"/>
      <c r="O564" s="131"/>
      <c r="P564" s="131"/>
      <c r="Q564" s="131"/>
      <c r="R564" s="131"/>
      <c r="S564" s="131"/>
      <c r="T564" s="131"/>
      <c r="U564" s="131"/>
      <c r="V564" s="131"/>
      <c r="W564" s="131"/>
      <c r="X564" s="131"/>
      <c r="Y564" s="131"/>
      <c r="Z564" s="131"/>
    </row>
    <row r="565" spans="1:26" ht="15.75" customHeight="1">
      <c r="A565" s="210"/>
      <c r="B565" s="210"/>
      <c r="C565" s="210"/>
      <c r="D565" s="178"/>
      <c r="E565" s="569"/>
      <c r="F565" s="569"/>
      <c r="G565" s="569"/>
      <c r="H565" s="569"/>
      <c r="I565" s="569"/>
      <c r="J565" s="131"/>
      <c r="K565" s="131"/>
      <c r="L565" s="131"/>
      <c r="M565" s="131"/>
      <c r="N565" s="131"/>
      <c r="O565" s="131"/>
      <c r="P565" s="131"/>
      <c r="Q565" s="131"/>
      <c r="R565" s="131"/>
      <c r="S565" s="131"/>
      <c r="T565" s="131"/>
      <c r="U565" s="131"/>
      <c r="V565" s="131"/>
      <c r="W565" s="131"/>
      <c r="X565" s="131"/>
      <c r="Y565" s="131"/>
      <c r="Z565" s="131"/>
    </row>
    <row r="566" spans="1:26" ht="15.75" customHeight="1">
      <c r="A566" s="210"/>
      <c r="B566" s="210"/>
      <c r="C566" s="210"/>
      <c r="D566" s="178"/>
      <c r="E566" s="569"/>
      <c r="F566" s="569"/>
      <c r="G566" s="569"/>
      <c r="H566" s="569"/>
      <c r="I566" s="569"/>
      <c r="J566" s="131"/>
      <c r="K566" s="131"/>
      <c r="L566" s="131"/>
      <c r="M566" s="131"/>
      <c r="N566" s="131"/>
      <c r="O566" s="131"/>
      <c r="P566" s="131"/>
      <c r="Q566" s="131"/>
      <c r="R566" s="131"/>
      <c r="S566" s="131"/>
      <c r="T566" s="131"/>
      <c r="U566" s="131"/>
      <c r="V566" s="131"/>
      <c r="W566" s="131"/>
      <c r="X566" s="131"/>
      <c r="Y566" s="131"/>
      <c r="Z566" s="131"/>
    </row>
    <row r="567" spans="1:26" ht="15.75" customHeight="1">
      <c r="A567" s="210"/>
      <c r="B567" s="210"/>
      <c r="C567" s="210"/>
      <c r="D567" s="178"/>
      <c r="E567" s="569"/>
      <c r="F567" s="569"/>
      <c r="G567" s="569"/>
      <c r="H567" s="569"/>
      <c r="I567" s="569"/>
      <c r="J567" s="131"/>
      <c r="K567" s="131"/>
      <c r="L567" s="131"/>
      <c r="M567" s="131"/>
      <c r="N567" s="131"/>
      <c r="O567" s="131"/>
      <c r="P567" s="131"/>
      <c r="Q567" s="131"/>
      <c r="R567" s="131"/>
      <c r="S567" s="131"/>
      <c r="T567" s="131"/>
      <c r="U567" s="131"/>
      <c r="V567" s="131"/>
      <c r="W567" s="131"/>
      <c r="X567" s="131"/>
      <c r="Y567" s="131"/>
      <c r="Z567" s="131"/>
    </row>
    <row r="568" spans="1:26" ht="15.75" customHeight="1">
      <c r="A568" s="210"/>
      <c r="B568" s="210"/>
      <c r="C568" s="210"/>
      <c r="D568" s="178"/>
      <c r="E568" s="569"/>
      <c r="F568" s="569"/>
      <c r="G568" s="569"/>
      <c r="H568" s="569"/>
      <c r="I568" s="569"/>
      <c r="J568" s="131"/>
      <c r="K568" s="131"/>
      <c r="L568" s="131"/>
      <c r="M568" s="131"/>
      <c r="N568" s="131"/>
      <c r="O568" s="131"/>
      <c r="P568" s="131"/>
      <c r="Q568" s="131"/>
      <c r="R568" s="131"/>
      <c r="S568" s="131"/>
      <c r="T568" s="131"/>
      <c r="U568" s="131"/>
      <c r="V568" s="131"/>
      <c r="W568" s="131"/>
      <c r="X568" s="131"/>
      <c r="Y568" s="131"/>
      <c r="Z568" s="131"/>
    </row>
    <row r="569" spans="1:26" ht="15.75" customHeight="1">
      <c r="A569" s="210"/>
      <c r="B569" s="210"/>
      <c r="C569" s="210"/>
      <c r="D569" s="178"/>
      <c r="E569" s="569"/>
      <c r="F569" s="569"/>
      <c r="G569" s="569"/>
      <c r="H569" s="569"/>
      <c r="I569" s="569"/>
      <c r="J569" s="131"/>
      <c r="K569" s="131"/>
      <c r="L569" s="131"/>
      <c r="M569" s="131"/>
      <c r="N569" s="131"/>
      <c r="O569" s="131"/>
      <c r="P569" s="131"/>
      <c r="Q569" s="131"/>
      <c r="R569" s="131"/>
      <c r="S569" s="131"/>
      <c r="T569" s="131"/>
      <c r="U569" s="131"/>
      <c r="V569" s="131"/>
      <c r="W569" s="131"/>
      <c r="X569" s="131"/>
      <c r="Y569" s="131"/>
      <c r="Z569" s="131"/>
    </row>
    <row r="570" spans="1:26" ht="15.75" customHeight="1">
      <c r="A570" s="210"/>
      <c r="B570" s="210"/>
      <c r="C570" s="210"/>
      <c r="D570" s="178"/>
      <c r="E570" s="569"/>
      <c r="F570" s="569"/>
      <c r="G570" s="569"/>
      <c r="H570" s="569"/>
      <c r="I570" s="569"/>
      <c r="J570" s="131"/>
      <c r="K570" s="131"/>
      <c r="L570" s="131"/>
      <c r="M570" s="131"/>
      <c r="N570" s="131"/>
      <c r="O570" s="131"/>
      <c r="P570" s="131"/>
      <c r="Q570" s="131"/>
      <c r="R570" s="131"/>
      <c r="S570" s="131"/>
      <c r="T570" s="131"/>
      <c r="U570" s="131"/>
      <c r="V570" s="131"/>
      <c r="W570" s="131"/>
      <c r="X570" s="131"/>
      <c r="Y570" s="131"/>
      <c r="Z570" s="131"/>
    </row>
    <row r="571" spans="1:26" ht="15.75" customHeight="1">
      <c r="A571" s="210"/>
      <c r="B571" s="210"/>
      <c r="C571" s="210"/>
      <c r="D571" s="178"/>
      <c r="E571" s="569"/>
      <c r="F571" s="569"/>
      <c r="G571" s="569"/>
      <c r="H571" s="569"/>
      <c r="I571" s="569"/>
      <c r="J571" s="131"/>
      <c r="K571" s="131"/>
      <c r="L571" s="131"/>
      <c r="M571" s="131"/>
      <c r="N571" s="131"/>
      <c r="O571" s="131"/>
      <c r="P571" s="131"/>
      <c r="Q571" s="131"/>
      <c r="R571" s="131"/>
      <c r="S571" s="131"/>
      <c r="T571" s="131"/>
      <c r="U571" s="131"/>
      <c r="V571" s="131"/>
      <c r="W571" s="131"/>
      <c r="X571" s="131"/>
      <c r="Y571" s="131"/>
      <c r="Z571" s="131"/>
    </row>
    <row r="572" spans="1:26" ht="15.75" customHeight="1">
      <c r="A572" s="210"/>
      <c r="B572" s="210"/>
      <c r="C572" s="210"/>
      <c r="D572" s="178"/>
      <c r="E572" s="569"/>
      <c r="F572" s="569"/>
      <c r="G572" s="569"/>
      <c r="H572" s="569"/>
      <c r="I572" s="569"/>
      <c r="J572" s="131"/>
      <c r="K572" s="131"/>
      <c r="L572" s="131"/>
      <c r="M572" s="131"/>
      <c r="N572" s="131"/>
      <c r="O572" s="131"/>
      <c r="P572" s="131"/>
      <c r="Q572" s="131"/>
      <c r="R572" s="131"/>
      <c r="S572" s="131"/>
      <c r="T572" s="131"/>
      <c r="U572" s="131"/>
      <c r="V572" s="131"/>
      <c r="W572" s="131"/>
      <c r="X572" s="131"/>
      <c r="Y572" s="131"/>
      <c r="Z572" s="131"/>
    </row>
    <row r="573" spans="1:26" ht="15.75" customHeight="1">
      <c r="A573" s="210"/>
      <c r="B573" s="210"/>
      <c r="C573" s="210"/>
      <c r="D573" s="178"/>
      <c r="E573" s="569"/>
      <c r="F573" s="569"/>
      <c r="G573" s="569"/>
      <c r="H573" s="569"/>
      <c r="I573" s="569"/>
      <c r="J573" s="131"/>
      <c r="K573" s="131"/>
      <c r="L573" s="131"/>
      <c r="M573" s="131"/>
      <c r="N573" s="131"/>
      <c r="O573" s="131"/>
      <c r="P573" s="131"/>
      <c r="Q573" s="131"/>
      <c r="R573" s="131"/>
      <c r="S573" s="131"/>
      <c r="T573" s="131"/>
      <c r="U573" s="131"/>
      <c r="V573" s="131"/>
      <c r="W573" s="131"/>
      <c r="X573" s="131"/>
      <c r="Y573" s="131"/>
      <c r="Z573" s="131"/>
    </row>
    <row r="574" spans="1:26" ht="15.75" customHeight="1">
      <c r="A574" s="210"/>
      <c r="B574" s="210"/>
      <c r="C574" s="210"/>
      <c r="D574" s="178"/>
      <c r="E574" s="569"/>
      <c r="F574" s="569"/>
      <c r="G574" s="569"/>
      <c r="H574" s="569"/>
      <c r="I574" s="569"/>
      <c r="J574" s="131"/>
      <c r="K574" s="131"/>
      <c r="L574" s="131"/>
      <c r="M574" s="131"/>
      <c r="N574" s="131"/>
      <c r="O574" s="131"/>
      <c r="P574" s="131"/>
      <c r="Q574" s="131"/>
      <c r="R574" s="131"/>
      <c r="S574" s="131"/>
      <c r="T574" s="131"/>
      <c r="U574" s="131"/>
      <c r="V574" s="131"/>
      <c r="W574" s="131"/>
      <c r="X574" s="131"/>
      <c r="Y574" s="131"/>
      <c r="Z574" s="131"/>
    </row>
    <row r="575" spans="1:26" ht="15.75" customHeight="1">
      <c r="A575" s="210"/>
      <c r="B575" s="210"/>
      <c r="C575" s="210"/>
      <c r="D575" s="178"/>
      <c r="E575" s="569"/>
      <c r="F575" s="569"/>
      <c r="G575" s="569"/>
      <c r="H575" s="569"/>
      <c r="I575" s="569"/>
      <c r="J575" s="131"/>
      <c r="K575" s="131"/>
      <c r="L575" s="131"/>
      <c r="M575" s="131"/>
      <c r="N575" s="131"/>
      <c r="O575" s="131"/>
      <c r="P575" s="131"/>
      <c r="Q575" s="131"/>
      <c r="R575" s="131"/>
      <c r="S575" s="131"/>
      <c r="T575" s="131"/>
      <c r="U575" s="131"/>
      <c r="V575" s="131"/>
      <c r="W575" s="131"/>
      <c r="X575" s="131"/>
      <c r="Y575" s="131"/>
      <c r="Z575" s="131"/>
    </row>
    <row r="576" spans="1:26" ht="15.75" customHeight="1">
      <c r="A576" s="210"/>
      <c r="B576" s="210"/>
      <c r="C576" s="210"/>
      <c r="D576" s="178"/>
      <c r="E576" s="569"/>
      <c r="F576" s="569"/>
      <c r="G576" s="569"/>
      <c r="H576" s="569"/>
      <c r="I576" s="569"/>
      <c r="J576" s="131"/>
      <c r="K576" s="131"/>
      <c r="L576" s="131"/>
      <c r="M576" s="131"/>
      <c r="N576" s="131"/>
      <c r="O576" s="131"/>
      <c r="P576" s="131"/>
      <c r="Q576" s="131"/>
      <c r="R576" s="131"/>
      <c r="S576" s="131"/>
      <c r="T576" s="131"/>
      <c r="U576" s="131"/>
      <c r="V576" s="131"/>
      <c r="W576" s="131"/>
      <c r="X576" s="131"/>
      <c r="Y576" s="131"/>
      <c r="Z576" s="131"/>
    </row>
    <row r="577" spans="1:26" ht="15.75" customHeight="1">
      <c r="A577" s="210"/>
      <c r="B577" s="210"/>
      <c r="C577" s="210"/>
      <c r="D577" s="178"/>
      <c r="E577" s="569"/>
      <c r="F577" s="569"/>
      <c r="G577" s="569"/>
      <c r="H577" s="569"/>
      <c r="I577" s="569"/>
      <c r="J577" s="131"/>
      <c r="K577" s="131"/>
      <c r="L577" s="131"/>
      <c r="M577" s="131"/>
      <c r="N577" s="131"/>
      <c r="O577" s="131"/>
      <c r="P577" s="131"/>
      <c r="Q577" s="131"/>
      <c r="R577" s="131"/>
      <c r="S577" s="131"/>
      <c r="T577" s="131"/>
      <c r="U577" s="131"/>
      <c r="V577" s="131"/>
      <c r="W577" s="131"/>
      <c r="X577" s="131"/>
      <c r="Y577" s="131"/>
      <c r="Z577" s="131"/>
    </row>
    <row r="578" spans="1:26" ht="15.75" customHeight="1">
      <c r="A578" s="210"/>
      <c r="B578" s="210"/>
      <c r="C578" s="210"/>
      <c r="D578" s="178"/>
      <c r="E578" s="569"/>
      <c r="F578" s="569"/>
      <c r="G578" s="569"/>
      <c r="H578" s="569"/>
      <c r="I578" s="569"/>
      <c r="J578" s="131"/>
      <c r="K578" s="131"/>
      <c r="L578" s="131"/>
      <c r="M578" s="131"/>
      <c r="N578" s="131"/>
      <c r="O578" s="131"/>
      <c r="P578" s="131"/>
      <c r="Q578" s="131"/>
      <c r="R578" s="131"/>
      <c r="S578" s="131"/>
      <c r="T578" s="131"/>
      <c r="U578" s="131"/>
      <c r="V578" s="131"/>
      <c r="W578" s="131"/>
      <c r="X578" s="131"/>
      <c r="Y578" s="131"/>
      <c r="Z578" s="131"/>
    </row>
    <row r="579" spans="1:26" ht="15.75" customHeight="1">
      <c r="A579" s="210"/>
      <c r="B579" s="210"/>
      <c r="C579" s="210"/>
      <c r="D579" s="178"/>
      <c r="E579" s="569"/>
      <c r="F579" s="569"/>
      <c r="G579" s="569"/>
      <c r="H579" s="569"/>
      <c r="I579" s="569"/>
      <c r="J579" s="131"/>
      <c r="K579" s="131"/>
      <c r="L579" s="131"/>
      <c r="M579" s="131"/>
      <c r="N579" s="131"/>
      <c r="O579" s="131"/>
      <c r="P579" s="131"/>
      <c r="Q579" s="131"/>
      <c r="R579" s="131"/>
      <c r="S579" s="131"/>
      <c r="T579" s="131"/>
      <c r="U579" s="131"/>
      <c r="V579" s="131"/>
      <c r="W579" s="131"/>
      <c r="X579" s="131"/>
      <c r="Y579" s="131"/>
      <c r="Z579" s="131"/>
    </row>
    <row r="580" spans="1:26" ht="15.75" customHeight="1">
      <c r="A580" s="210"/>
      <c r="B580" s="210"/>
      <c r="C580" s="210"/>
      <c r="D580" s="178"/>
      <c r="E580" s="569"/>
      <c r="F580" s="569"/>
      <c r="G580" s="569"/>
      <c r="H580" s="569"/>
      <c r="I580" s="569"/>
      <c r="J580" s="131"/>
      <c r="K580" s="131"/>
      <c r="L580" s="131"/>
      <c r="M580" s="131"/>
      <c r="N580" s="131"/>
      <c r="O580" s="131"/>
      <c r="P580" s="131"/>
      <c r="Q580" s="131"/>
      <c r="R580" s="131"/>
      <c r="S580" s="131"/>
      <c r="T580" s="131"/>
      <c r="U580" s="131"/>
      <c r="V580" s="131"/>
      <c r="W580" s="131"/>
      <c r="X580" s="131"/>
      <c r="Y580" s="131"/>
      <c r="Z580" s="131"/>
    </row>
    <row r="581" spans="1:26" ht="15.75" customHeight="1">
      <c r="A581" s="210"/>
      <c r="B581" s="210"/>
      <c r="C581" s="210"/>
      <c r="D581" s="178"/>
      <c r="E581" s="569"/>
      <c r="F581" s="569"/>
      <c r="G581" s="569"/>
      <c r="H581" s="569"/>
      <c r="I581" s="569"/>
      <c r="J581" s="131"/>
      <c r="K581" s="131"/>
      <c r="L581" s="131"/>
      <c r="M581" s="131"/>
      <c r="N581" s="131"/>
      <c r="O581" s="131"/>
      <c r="P581" s="131"/>
      <c r="Q581" s="131"/>
      <c r="R581" s="131"/>
      <c r="S581" s="131"/>
      <c r="T581" s="131"/>
      <c r="U581" s="131"/>
      <c r="V581" s="131"/>
      <c r="W581" s="131"/>
      <c r="X581" s="131"/>
      <c r="Y581" s="131"/>
      <c r="Z581" s="131"/>
    </row>
    <row r="582" spans="1:26" ht="15.75" customHeight="1">
      <c r="A582" s="210"/>
      <c r="B582" s="210"/>
      <c r="C582" s="210"/>
      <c r="D582" s="178"/>
      <c r="E582" s="569"/>
      <c r="F582" s="569"/>
      <c r="G582" s="569"/>
      <c r="H582" s="569"/>
      <c r="I582" s="569"/>
      <c r="J582" s="131"/>
      <c r="K582" s="131"/>
      <c r="L582" s="131"/>
      <c r="M582" s="131"/>
      <c r="N582" s="131"/>
      <c r="O582" s="131"/>
      <c r="P582" s="131"/>
      <c r="Q582" s="131"/>
      <c r="R582" s="131"/>
      <c r="S582" s="131"/>
      <c r="T582" s="131"/>
      <c r="U582" s="131"/>
      <c r="V582" s="131"/>
      <c r="W582" s="131"/>
      <c r="X582" s="131"/>
      <c r="Y582" s="131"/>
      <c r="Z582" s="131"/>
    </row>
    <row r="583" spans="1:26" ht="15.75" customHeight="1">
      <c r="A583" s="210"/>
      <c r="B583" s="210"/>
      <c r="C583" s="210"/>
      <c r="D583" s="178"/>
      <c r="E583" s="569"/>
      <c r="F583" s="569"/>
      <c r="G583" s="569"/>
      <c r="H583" s="569"/>
      <c r="I583" s="569"/>
      <c r="J583" s="131"/>
      <c r="K583" s="131"/>
      <c r="L583" s="131"/>
      <c r="M583" s="131"/>
      <c r="N583" s="131"/>
      <c r="O583" s="131"/>
      <c r="P583" s="131"/>
      <c r="Q583" s="131"/>
      <c r="R583" s="131"/>
      <c r="S583" s="131"/>
      <c r="T583" s="131"/>
      <c r="U583" s="131"/>
      <c r="V583" s="131"/>
      <c r="W583" s="131"/>
      <c r="X583" s="131"/>
      <c r="Y583" s="131"/>
      <c r="Z583" s="131"/>
    </row>
    <row r="584" spans="1:26" ht="15.75" customHeight="1">
      <c r="A584" s="210"/>
      <c r="B584" s="210"/>
      <c r="C584" s="210"/>
      <c r="D584" s="178"/>
      <c r="E584" s="569"/>
      <c r="F584" s="569"/>
      <c r="G584" s="569"/>
      <c r="H584" s="569"/>
      <c r="I584" s="569"/>
      <c r="J584" s="131"/>
      <c r="K584" s="131"/>
      <c r="L584" s="131"/>
      <c r="M584" s="131"/>
      <c r="N584" s="131"/>
      <c r="O584" s="131"/>
      <c r="P584" s="131"/>
      <c r="Q584" s="131"/>
      <c r="R584" s="131"/>
      <c r="S584" s="131"/>
      <c r="T584" s="131"/>
      <c r="U584" s="131"/>
      <c r="V584" s="131"/>
      <c r="W584" s="131"/>
      <c r="X584" s="131"/>
      <c r="Y584" s="131"/>
      <c r="Z584" s="131"/>
    </row>
    <row r="585" spans="1:26" ht="15.75" customHeight="1">
      <c r="A585" s="210"/>
      <c r="B585" s="210"/>
      <c r="C585" s="210"/>
      <c r="D585" s="178"/>
      <c r="E585" s="569"/>
      <c r="F585" s="569"/>
      <c r="G585" s="569"/>
      <c r="H585" s="569"/>
      <c r="I585" s="569"/>
      <c r="J585" s="131"/>
      <c r="K585" s="131"/>
      <c r="L585" s="131"/>
      <c r="M585" s="131"/>
      <c r="N585" s="131"/>
      <c r="O585" s="131"/>
      <c r="P585" s="131"/>
      <c r="Q585" s="131"/>
      <c r="R585" s="131"/>
      <c r="S585" s="131"/>
      <c r="T585" s="131"/>
      <c r="U585" s="131"/>
      <c r="V585" s="131"/>
      <c r="W585" s="131"/>
      <c r="X585" s="131"/>
      <c r="Y585" s="131"/>
      <c r="Z585" s="131"/>
    </row>
    <row r="586" spans="1:26" ht="15.75" customHeight="1">
      <c r="A586" s="210"/>
      <c r="B586" s="210"/>
      <c r="C586" s="210"/>
      <c r="D586" s="178"/>
      <c r="E586" s="569"/>
      <c r="F586" s="569"/>
      <c r="G586" s="569"/>
      <c r="H586" s="569"/>
      <c r="I586" s="569"/>
      <c r="J586" s="131"/>
      <c r="K586" s="131"/>
      <c r="L586" s="131"/>
      <c r="M586" s="131"/>
      <c r="N586" s="131"/>
      <c r="O586" s="131"/>
      <c r="P586" s="131"/>
      <c r="Q586" s="131"/>
      <c r="R586" s="131"/>
      <c r="S586" s="131"/>
      <c r="T586" s="131"/>
      <c r="U586" s="131"/>
      <c r="V586" s="131"/>
      <c r="W586" s="131"/>
      <c r="X586" s="131"/>
      <c r="Y586" s="131"/>
      <c r="Z586" s="131"/>
    </row>
    <row r="587" spans="1:26" ht="15.75" customHeight="1">
      <c r="A587" s="210"/>
      <c r="B587" s="210"/>
      <c r="C587" s="210"/>
      <c r="D587" s="178"/>
      <c r="E587" s="569"/>
      <c r="F587" s="569"/>
      <c r="G587" s="569"/>
      <c r="H587" s="569"/>
      <c r="I587" s="569"/>
      <c r="J587" s="131"/>
      <c r="K587" s="131"/>
      <c r="L587" s="131"/>
      <c r="M587" s="131"/>
      <c r="N587" s="131"/>
      <c r="O587" s="131"/>
      <c r="P587" s="131"/>
      <c r="Q587" s="131"/>
      <c r="R587" s="131"/>
      <c r="S587" s="131"/>
      <c r="T587" s="131"/>
      <c r="U587" s="131"/>
      <c r="V587" s="131"/>
      <c r="W587" s="131"/>
      <c r="X587" s="131"/>
      <c r="Y587" s="131"/>
      <c r="Z587" s="131"/>
    </row>
    <row r="588" spans="1:26" ht="15.75" customHeight="1">
      <c r="A588" s="210"/>
      <c r="B588" s="210"/>
      <c r="C588" s="210"/>
      <c r="D588" s="178"/>
      <c r="E588" s="569"/>
      <c r="F588" s="569"/>
      <c r="G588" s="569"/>
      <c r="H588" s="569"/>
      <c r="I588" s="569"/>
      <c r="J588" s="131"/>
      <c r="K588" s="131"/>
      <c r="L588" s="131"/>
      <c r="M588" s="131"/>
      <c r="N588" s="131"/>
      <c r="O588" s="131"/>
      <c r="P588" s="131"/>
      <c r="Q588" s="131"/>
      <c r="R588" s="131"/>
      <c r="S588" s="131"/>
      <c r="T588" s="131"/>
      <c r="U588" s="131"/>
      <c r="V588" s="131"/>
      <c r="W588" s="131"/>
      <c r="X588" s="131"/>
      <c r="Y588" s="131"/>
      <c r="Z588" s="131"/>
    </row>
    <row r="589" spans="1:26" ht="15.75" customHeight="1">
      <c r="A589" s="210"/>
      <c r="B589" s="210"/>
      <c r="C589" s="210"/>
      <c r="D589" s="178"/>
      <c r="E589" s="569"/>
      <c r="F589" s="569"/>
      <c r="G589" s="569"/>
      <c r="H589" s="569"/>
      <c r="I589" s="569"/>
      <c r="J589" s="131"/>
      <c r="K589" s="131"/>
      <c r="L589" s="131"/>
      <c r="M589" s="131"/>
      <c r="N589" s="131"/>
      <c r="O589" s="131"/>
      <c r="P589" s="131"/>
      <c r="Q589" s="131"/>
      <c r="R589" s="131"/>
      <c r="S589" s="131"/>
      <c r="T589" s="131"/>
      <c r="U589" s="131"/>
      <c r="V589" s="131"/>
      <c r="W589" s="131"/>
      <c r="X589" s="131"/>
      <c r="Y589" s="131"/>
      <c r="Z589" s="131"/>
    </row>
    <row r="590" spans="1:26" ht="15.75" customHeight="1">
      <c r="A590" s="210"/>
      <c r="B590" s="210"/>
      <c r="C590" s="210"/>
      <c r="D590" s="178"/>
      <c r="E590" s="569"/>
      <c r="F590" s="569"/>
      <c r="G590" s="569"/>
      <c r="H590" s="569"/>
      <c r="I590" s="569"/>
      <c r="J590" s="131"/>
      <c r="K590" s="131"/>
      <c r="L590" s="131"/>
      <c r="M590" s="131"/>
      <c r="N590" s="131"/>
      <c r="O590" s="131"/>
      <c r="P590" s="131"/>
      <c r="Q590" s="131"/>
      <c r="R590" s="131"/>
      <c r="S590" s="131"/>
      <c r="T590" s="131"/>
      <c r="U590" s="131"/>
      <c r="V590" s="131"/>
      <c r="W590" s="131"/>
      <c r="X590" s="131"/>
      <c r="Y590" s="131"/>
      <c r="Z590" s="131"/>
    </row>
    <row r="591" spans="1:26" ht="15.75" customHeight="1">
      <c r="A591" s="210"/>
      <c r="B591" s="210"/>
      <c r="C591" s="210"/>
      <c r="D591" s="178"/>
      <c r="E591" s="569"/>
      <c r="F591" s="569"/>
      <c r="G591" s="569"/>
      <c r="H591" s="569"/>
      <c r="I591" s="569"/>
      <c r="J591" s="131"/>
      <c r="K591" s="131"/>
      <c r="L591" s="131"/>
      <c r="M591" s="131"/>
      <c r="N591" s="131"/>
      <c r="O591" s="131"/>
      <c r="P591" s="131"/>
      <c r="Q591" s="131"/>
      <c r="R591" s="131"/>
      <c r="S591" s="131"/>
      <c r="T591" s="131"/>
      <c r="U591" s="131"/>
      <c r="V591" s="131"/>
      <c r="W591" s="131"/>
      <c r="X591" s="131"/>
      <c r="Y591" s="131"/>
      <c r="Z591" s="131"/>
    </row>
    <row r="592" spans="1:26" ht="15.75" customHeight="1">
      <c r="A592" s="210"/>
      <c r="B592" s="210"/>
      <c r="C592" s="210"/>
      <c r="D592" s="178"/>
      <c r="E592" s="569"/>
      <c r="F592" s="569"/>
      <c r="G592" s="569"/>
      <c r="H592" s="569"/>
      <c r="I592" s="569"/>
      <c r="J592" s="131"/>
      <c r="K592" s="131"/>
      <c r="L592" s="131"/>
      <c r="M592" s="131"/>
      <c r="N592" s="131"/>
      <c r="O592" s="131"/>
      <c r="P592" s="131"/>
      <c r="Q592" s="131"/>
      <c r="R592" s="131"/>
      <c r="S592" s="131"/>
      <c r="T592" s="131"/>
      <c r="U592" s="131"/>
      <c r="V592" s="131"/>
      <c r="W592" s="131"/>
      <c r="X592" s="131"/>
      <c r="Y592" s="131"/>
      <c r="Z592" s="131"/>
    </row>
    <row r="593" spans="1:26" ht="15.75" customHeight="1">
      <c r="A593" s="210"/>
      <c r="B593" s="210"/>
      <c r="C593" s="210"/>
      <c r="D593" s="178"/>
      <c r="E593" s="569"/>
      <c r="F593" s="569"/>
      <c r="G593" s="569"/>
      <c r="H593" s="569"/>
      <c r="I593" s="569"/>
      <c r="J593" s="131"/>
      <c r="K593" s="131"/>
      <c r="L593" s="131"/>
      <c r="M593" s="131"/>
      <c r="N593" s="131"/>
      <c r="O593" s="131"/>
      <c r="P593" s="131"/>
      <c r="Q593" s="131"/>
      <c r="R593" s="131"/>
      <c r="S593" s="131"/>
      <c r="T593" s="131"/>
      <c r="U593" s="131"/>
      <c r="V593" s="131"/>
      <c r="W593" s="131"/>
      <c r="X593" s="131"/>
      <c r="Y593" s="131"/>
      <c r="Z593" s="131"/>
    </row>
    <row r="594" spans="1:26" ht="15.75" customHeight="1">
      <c r="A594" s="210"/>
      <c r="B594" s="210"/>
      <c r="C594" s="210"/>
      <c r="D594" s="178"/>
      <c r="E594" s="569"/>
      <c r="F594" s="569"/>
      <c r="G594" s="569"/>
      <c r="H594" s="569"/>
      <c r="I594" s="569"/>
      <c r="J594" s="131"/>
      <c r="K594" s="131"/>
      <c r="L594" s="131"/>
      <c r="M594" s="131"/>
      <c r="N594" s="131"/>
      <c r="O594" s="131"/>
      <c r="P594" s="131"/>
      <c r="Q594" s="131"/>
      <c r="R594" s="131"/>
      <c r="S594" s="131"/>
      <c r="T594" s="131"/>
      <c r="U594" s="131"/>
      <c r="V594" s="131"/>
      <c r="W594" s="131"/>
      <c r="X594" s="131"/>
      <c r="Y594" s="131"/>
      <c r="Z594" s="131"/>
    </row>
    <row r="595" spans="1:26" ht="15.75" customHeight="1">
      <c r="A595" s="210"/>
      <c r="B595" s="210"/>
      <c r="C595" s="210"/>
      <c r="D595" s="178"/>
      <c r="E595" s="569"/>
      <c r="F595" s="569"/>
      <c r="G595" s="569"/>
      <c r="H595" s="569"/>
      <c r="I595" s="569"/>
      <c r="J595" s="131"/>
      <c r="K595" s="131"/>
      <c r="L595" s="131"/>
      <c r="M595" s="131"/>
      <c r="N595" s="131"/>
      <c r="O595" s="131"/>
      <c r="P595" s="131"/>
      <c r="Q595" s="131"/>
      <c r="R595" s="131"/>
      <c r="S595" s="131"/>
      <c r="T595" s="131"/>
      <c r="U595" s="131"/>
      <c r="V595" s="131"/>
      <c r="W595" s="131"/>
      <c r="X595" s="131"/>
      <c r="Y595" s="131"/>
      <c r="Z595" s="131"/>
    </row>
    <row r="596" spans="1:26" ht="15.75" customHeight="1">
      <c r="A596" s="210"/>
      <c r="B596" s="210"/>
      <c r="C596" s="210"/>
      <c r="D596" s="178"/>
      <c r="E596" s="569"/>
      <c r="F596" s="569"/>
      <c r="G596" s="569"/>
      <c r="H596" s="569"/>
      <c r="I596" s="569"/>
      <c r="J596" s="131"/>
      <c r="K596" s="131"/>
      <c r="L596" s="131"/>
      <c r="M596" s="131"/>
      <c r="N596" s="131"/>
      <c r="O596" s="131"/>
      <c r="P596" s="131"/>
      <c r="Q596" s="131"/>
      <c r="R596" s="131"/>
      <c r="S596" s="131"/>
      <c r="T596" s="131"/>
      <c r="U596" s="131"/>
      <c r="V596" s="131"/>
      <c r="W596" s="131"/>
      <c r="X596" s="131"/>
      <c r="Y596" s="131"/>
      <c r="Z596" s="131"/>
    </row>
    <row r="597" spans="1:26" ht="15.75" customHeight="1">
      <c r="A597" s="210"/>
      <c r="B597" s="210"/>
      <c r="C597" s="210"/>
      <c r="D597" s="178"/>
      <c r="E597" s="569"/>
      <c r="F597" s="569"/>
      <c r="G597" s="569"/>
      <c r="H597" s="569"/>
      <c r="I597" s="569"/>
      <c r="J597" s="131"/>
      <c r="K597" s="131"/>
      <c r="L597" s="131"/>
      <c r="M597" s="131"/>
      <c r="N597" s="131"/>
      <c r="O597" s="131"/>
      <c r="P597" s="131"/>
      <c r="Q597" s="131"/>
      <c r="R597" s="131"/>
      <c r="S597" s="131"/>
      <c r="T597" s="131"/>
      <c r="U597" s="131"/>
      <c r="V597" s="131"/>
      <c r="W597" s="131"/>
      <c r="X597" s="131"/>
      <c r="Y597" s="131"/>
      <c r="Z597" s="131"/>
    </row>
    <row r="598" spans="1:26" ht="15.75" customHeight="1">
      <c r="A598" s="210"/>
      <c r="B598" s="210"/>
      <c r="C598" s="210"/>
      <c r="D598" s="178"/>
      <c r="E598" s="569"/>
      <c r="F598" s="569"/>
      <c r="G598" s="569"/>
      <c r="H598" s="569"/>
      <c r="I598" s="569"/>
      <c r="J598" s="131"/>
      <c r="K598" s="131"/>
      <c r="L598" s="131"/>
      <c r="M598" s="131"/>
      <c r="N598" s="131"/>
      <c r="O598" s="131"/>
      <c r="P598" s="131"/>
      <c r="Q598" s="131"/>
      <c r="R598" s="131"/>
      <c r="S598" s="131"/>
      <c r="T598" s="131"/>
      <c r="U598" s="131"/>
      <c r="V598" s="131"/>
      <c r="W598" s="131"/>
      <c r="X598" s="131"/>
      <c r="Y598" s="131"/>
      <c r="Z598" s="131"/>
    </row>
    <row r="599" spans="1:26" ht="15.75" customHeight="1">
      <c r="A599" s="210"/>
      <c r="B599" s="210"/>
      <c r="C599" s="210"/>
      <c r="D599" s="178"/>
      <c r="E599" s="569"/>
      <c r="F599" s="569"/>
      <c r="G599" s="569"/>
      <c r="H599" s="569"/>
      <c r="I599" s="569"/>
      <c r="J599" s="131"/>
      <c r="K599" s="131"/>
      <c r="L599" s="131"/>
      <c r="M599" s="131"/>
      <c r="N599" s="131"/>
      <c r="O599" s="131"/>
      <c r="P599" s="131"/>
      <c r="Q599" s="131"/>
      <c r="R599" s="131"/>
      <c r="S599" s="131"/>
      <c r="T599" s="131"/>
      <c r="U599" s="131"/>
      <c r="V599" s="131"/>
      <c r="W599" s="131"/>
      <c r="X599" s="131"/>
      <c r="Y599" s="131"/>
      <c r="Z599" s="131"/>
    </row>
    <row r="600" spans="1:26" ht="15.75" customHeight="1">
      <c r="A600" s="210"/>
      <c r="B600" s="210"/>
      <c r="C600" s="210"/>
      <c r="D600" s="178"/>
      <c r="E600" s="569"/>
      <c r="F600" s="569"/>
      <c r="G600" s="569"/>
      <c r="H600" s="569"/>
      <c r="I600" s="569"/>
      <c r="J600" s="131"/>
      <c r="K600" s="131"/>
      <c r="L600" s="131"/>
      <c r="M600" s="131"/>
      <c r="N600" s="131"/>
      <c r="O600" s="131"/>
      <c r="P600" s="131"/>
      <c r="Q600" s="131"/>
      <c r="R600" s="131"/>
      <c r="S600" s="131"/>
      <c r="T600" s="131"/>
      <c r="U600" s="131"/>
      <c r="V600" s="131"/>
      <c r="W600" s="131"/>
      <c r="X600" s="131"/>
      <c r="Y600" s="131"/>
      <c r="Z600" s="131"/>
    </row>
    <row r="601" spans="1:26" ht="15.75" customHeight="1">
      <c r="A601" s="210"/>
      <c r="B601" s="210"/>
      <c r="C601" s="210"/>
      <c r="D601" s="178"/>
      <c r="E601" s="569"/>
      <c r="F601" s="569"/>
      <c r="G601" s="569"/>
      <c r="H601" s="569"/>
      <c r="I601" s="569"/>
      <c r="J601" s="131"/>
      <c r="K601" s="131"/>
      <c r="L601" s="131"/>
      <c r="M601" s="131"/>
      <c r="N601" s="131"/>
      <c r="O601" s="131"/>
      <c r="P601" s="131"/>
      <c r="Q601" s="131"/>
      <c r="R601" s="131"/>
      <c r="S601" s="131"/>
      <c r="T601" s="131"/>
      <c r="U601" s="131"/>
      <c r="V601" s="131"/>
      <c r="W601" s="131"/>
      <c r="X601" s="131"/>
      <c r="Y601" s="131"/>
      <c r="Z601" s="131"/>
    </row>
    <row r="602" spans="1:26" ht="15.75" customHeight="1">
      <c r="A602" s="210"/>
      <c r="B602" s="210"/>
      <c r="C602" s="210"/>
      <c r="D602" s="178"/>
      <c r="E602" s="569"/>
      <c r="F602" s="569"/>
      <c r="G602" s="569"/>
      <c r="H602" s="569"/>
      <c r="I602" s="569"/>
      <c r="J602" s="131"/>
      <c r="K602" s="131"/>
      <c r="L602" s="131"/>
      <c r="M602" s="131"/>
      <c r="N602" s="131"/>
      <c r="O602" s="131"/>
      <c r="P602" s="131"/>
      <c r="Q602" s="131"/>
      <c r="R602" s="131"/>
      <c r="S602" s="131"/>
      <c r="T602" s="131"/>
      <c r="U602" s="131"/>
      <c r="V602" s="131"/>
      <c r="W602" s="131"/>
      <c r="X602" s="131"/>
      <c r="Y602" s="131"/>
      <c r="Z602" s="131"/>
    </row>
    <row r="603" spans="1:26" ht="15.75" customHeight="1">
      <c r="A603" s="210"/>
      <c r="B603" s="210"/>
      <c r="C603" s="210"/>
      <c r="D603" s="178"/>
      <c r="E603" s="569"/>
      <c r="F603" s="569"/>
      <c r="G603" s="569"/>
      <c r="H603" s="569"/>
      <c r="I603" s="569"/>
      <c r="J603" s="131"/>
      <c r="K603" s="131"/>
      <c r="L603" s="131"/>
      <c r="M603" s="131"/>
      <c r="N603" s="131"/>
      <c r="O603" s="131"/>
      <c r="P603" s="131"/>
      <c r="Q603" s="131"/>
      <c r="R603" s="131"/>
      <c r="S603" s="131"/>
      <c r="T603" s="131"/>
      <c r="U603" s="131"/>
      <c r="V603" s="131"/>
      <c r="W603" s="131"/>
      <c r="X603" s="131"/>
      <c r="Y603" s="131"/>
      <c r="Z603" s="131"/>
    </row>
    <row r="604" spans="1:26" ht="15.75" customHeight="1">
      <c r="A604" s="210"/>
      <c r="B604" s="210"/>
      <c r="C604" s="210"/>
      <c r="D604" s="178"/>
      <c r="E604" s="569"/>
      <c r="F604" s="569"/>
      <c r="G604" s="569"/>
      <c r="H604" s="569"/>
      <c r="I604" s="569"/>
      <c r="J604" s="131"/>
      <c r="K604" s="131"/>
      <c r="L604" s="131"/>
      <c r="M604" s="131"/>
      <c r="N604" s="131"/>
      <c r="O604" s="131"/>
      <c r="P604" s="131"/>
      <c r="Q604" s="131"/>
      <c r="R604" s="131"/>
      <c r="S604" s="131"/>
      <c r="T604" s="131"/>
      <c r="U604" s="131"/>
      <c r="V604" s="131"/>
      <c r="W604" s="131"/>
      <c r="X604" s="131"/>
      <c r="Y604" s="131"/>
      <c r="Z604" s="131"/>
    </row>
    <row r="605" spans="1:26" ht="15.75" customHeight="1">
      <c r="A605" s="210"/>
      <c r="B605" s="210"/>
      <c r="C605" s="210"/>
      <c r="D605" s="178"/>
      <c r="E605" s="569"/>
      <c r="F605" s="569"/>
      <c r="G605" s="569"/>
      <c r="H605" s="569"/>
      <c r="I605" s="569"/>
      <c r="J605" s="131"/>
      <c r="K605" s="131"/>
      <c r="L605" s="131"/>
      <c r="M605" s="131"/>
      <c r="N605" s="131"/>
      <c r="O605" s="131"/>
      <c r="P605" s="131"/>
      <c r="Q605" s="131"/>
      <c r="R605" s="131"/>
      <c r="S605" s="131"/>
      <c r="T605" s="131"/>
      <c r="U605" s="131"/>
      <c r="V605" s="131"/>
      <c r="W605" s="131"/>
      <c r="X605" s="131"/>
      <c r="Y605" s="131"/>
      <c r="Z605" s="131"/>
    </row>
    <row r="606" spans="1:26" ht="15.75" customHeight="1">
      <c r="A606" s="210"/>
      <c r="B606" s="210"/>
      <c r="C606" s="210"/>
      <c r="D606" s="178"/>
      <c r="E606" s="569"/>
      <c r="F606" s="569"/>
      <c r="G606" s="569"/>
      <c r="H606" s="569"/>
      <c r="I606" s="569"/>
      <c r="J606" s="131"/>
      <c r="K606" s="131"/>
      <c r="L606" s="131"/>
      <c r="M606" s="131"/>
      <c r="N606" s="131"/>
      <c r="O606" s="131"/>
      <c r="P606" s="131"/>
      <c r="Q606" s="131"/>
      <c r="R606" s="131"/>
      <c r="S606" s="131"/>
      <c r="T606" s="131"/>
      <c r="U606" s="131"/>
      <c r="V606" s="131"/>
      <c r="W606" s="131"/>
      <c r="X606" s="131"/>
      <c r="Y606" s="131"/>
      <c r="Z606" s="131"/>
    </row>
    <row r="607" spans="1:26" ht="15.75" customHeight="1">
      <c r="A607" s="210"/>
      <c r="B607" s="210"/>
      <c r="C607" s="210"/>
      <c r="D607" s="178"/>
      <c r="E607" s="569"/>
      <c r="F607" s="569"/>
      <c r="G607" s="569"/>
      <c r="H607" s="569"/>
      <c r="I607" s="569"/>
      <c r="J607" s="131"/>
      <c r="K607" s="131"/>
      <c r="L607" s="131"/>
      <c r="M607" s="131"/>
      <c r="N607" s="131"/>
      <c r="O607" s="131"/>
      <c r="P607" s="131"/>
      <c r="Q607" s="131"/>
      <c r="R607" s="131"/>
      <c r="S607" s="131"/>
      <c r="T607" s="131"/>
      <c r="U607" s="131"/>
      <c r="V607" s="131"/>
      <c r="W607" s="131"/>
      <c r="X607" s="131"/>
      <c r="Y607" s="131"/>
      <c r="Z607" s="131"/>
    </row>
    <row r="608" spans="1:26" ht="15.75" customHeight="1">
      <c r="A608" s="210"/>
      <c r="B608" s="210"/>
      <c r="C608" s="210"/>
      <c r="D608" s="178"/>
      <c r="E608" s="569"/>
      <c r="F608" s="569"/>
      <c r="G608" s="569"/>
      <c r="H608" s="569"/>
      <c r="I608" s="569"/>
      <c r="J608" s="131"/>
      <c r="K608" s="131"/>
      <c r="L608" s="131"/>
      <c r="M608" s="131"/>
      <c r="N608" s="131"/>
      <c r="O608" s="131"/>
      <c r="P608" s="131"/>
      <c r="Q608" s="131"/>
      <c r="R608" s="131"/>
      <c r="S608" s="131"/>
      <c r="T608" s="131"/>
      <c r="U608" s="131"/>
      <c r="V608" s="131"/>
      <c r="W608" s="131"/>
      <c r="X608" s="131"/>
      <c r="Y608" s="131"/>
      <c r="Z608" s="131"/>
    </row>
    <row r="609" spans="1:26" ht="15.75" customHeight="1">
      <c r="A609" s="210"/>
      <c r="B609" s="210"/>
      <c r="C609" s="210"/>
      <c r="D609" s="178"/>
      <c r="E609" s="569"/>
      <c r="F609" s="569"/>
      <c r="G609" s="569"/>
      <c r="H609" s="569"/>
      <c r="I609" s="569"/>
      <c r="J609" s="131"/>
      <c r="K609" s="131"/>
      <c r="L609" s="131"/>
      <c r="M609" s="131"/>
      <c r="N609" s="131"/>
      <c r="O609" s="131"/>
      <c r="P609" s="131"/>
      <c r="Q609" s="131"/>
      <c r="R609" s="131"/>
      <c r="S609" s="131"/>
      <c r="T609" s="131"/>
      <c r="U609" s="131"/>
      <c r="V609" s="131"/>
      <c r="W609" s="131"/>
      <c r="X609" s="131"/>
      <c r="Y609" s="131"/>
      <c r="Z609" s="131"/>
    </row>
    <row r="610" spans="1:26" ht="15.75" customHeight="1">
      <c r="A610" s="210"/>
      <c r="B610" s="210"/>
      <c r="C610" s="210"/>
      <c r="D610" s="178"/>
      <c r="E610" s="569"/>
      <c r="F610" s="569"/>
      <c r="G610" s="569"/>
      <c r="H610" s="569"/>
      <c r="I610" s="569"/>
      <c r="J610" s="131"/>
      <c r="K610" s="131"/>
      <c r="L610" s="131"/>
      <c r="M610" s="131"/>
      <c r="N610" s="131"/>
      <c r="O610" s="131"/>
      <c r="P610" s="131"/>
      <c r="Q610" s="131"/>
      <c r="R610" s="131"/>
      <c r="S610" s="131"/>
      <c r="T610" s="131"/>
      <c r="U610" s="131"/>
      <c r="V610" s="131"/>
      <c r="W610" s="131"/>
      <c r="X610" s="131"/>
      <c r="Y610" s="131"/>
      <c r="Z610" s="131"/>
    </row>
    <row r="611" spans="1:26" ht="15.75" customHeight="1">
      <c r="A611" s="210"/>
      <c r="B611" s="210"/>
      <c r="C611" s="210"/>
      <c r="D611" s="178"/>
      <c r="E611" s="569"/>
      <c r="F611" s="569"/>
      <c r="G611" s="569"/>
      <c r="H611" s="569"/>
      <c r="I611" s="569"/>
      <c r="J611" s="131"/>
      <c r="K611" s="131"/>
      <c r="L611" s="131"/>
      <c r="M611" s="131"/>
      <c r="N611" s="131"/>
      <c r="O611" s="131"/>
      <c r="P611" s="131"/>
      <c r="Q611" s="131"/>
      <c r="R611" s="131"/>
      <c r="S611" s="131"/>
      <c r="T611" s="131"/>
      <c r="U611" s="131"/>
      <c r="V611" s="131"/>
      <c r="W611" s="131"/>
      <c r="X611" s="131"/>
      <c r="Y611" s="131"/>
      <c r="Z611" s="131"/>
    </row>
    <row r="612" spans="1:26" ht="15.75" customHeight="1">
      <c r="A612" s="210"/>
      <c r="B612" s="210"/>
      <c r="C612" s="210"/>
      <c r="D612" s="178"/>
      <c r="E612" s="569"/>
      <c r="F612" s="569"/>
      <c r="G612" s="569"/>
      <c r="H612" s="569"/>
      <c r="I612" s="569"/>
      <c r="J612" s="131"/>
      <c r="K612" s="131"/>
      <c r="L612" s="131"/>
      <c r="M612" s="131"/>
      <c r="N612" s="131"/>
      <c r="O612" s="131"/>
      <c r="P612" s="131"/>
      <c r="Q612" s="131"/>
      <c r="R612" s="131"/>
      <c r="S612" s="131"/>
      <c r="T612" s="131"/>
      <c r="U612" s="131"/>
      <c r="V612" s="131"/>
      <c r="W612" s="131"/>
      <c r="X612" s="131"/>
      <c r="Y612" s="131"/>
      <c r="Z612" s="131"/>
    </row>
    <row r="613" spans="1:26" ht="15.75" customHeight="1">
      <c r="A613" s="210"/>
      <c r="B613" s="210"/>
      <c r="C613" s="210"/>
      <c r="D613" s="178"/>
      <c r="E613" s="569"/>
      <c r="F613" s="569"/>
      <c r="G613" s="569"/>
      <c r="H613" s="569"/>
      <c r="I613" s="569"/>
      <c r="J613" s="131"/>
      <c r="K613" s="131"/>
      <c r="L613" s="131"/>
      <c r="M613" s="131"/>
      <c r="N613" s="131"/>
      <c r="O613" s="131"/>
      <c r="P613" s="131"/>
      <c r="Q613" s="131"/>
      <c r="R613" s="131"/>
      <c r="S613" s="131"/>
      <c r="T613" s="131"/>
      <c r="U613" s="131"/>
      <c r="V613" s="131"/>
      <c r="W613" s="131"/>
      <c r="X613" s="131"/>
      <c r="Y613" s="131"/>
      <c r="Z613" s="131"/>
    </row>
    <row r="614" spans="1:26" ht="15.75" customHeight="1">
      <c r="A614" s="210"/>
      <c r="B614" s="210"/>
      <c r="C614" s="210"/>
      <c r="D614" s="178"/>
      <c r="E614" s="569"/>
      <c r="F614" s="569"/>
      <c r="G614" s="569"/>
      <c r="H614" s="569"/>
      <c r="I614" s="569"/>
      <c r="J614" s="131"/>
      <c r="K614" s="131"/>
      <c r="L614" s="131"/>
      <c r="M614" s="131"/>
      <c r="N614" s="131"/>
      <c r="O614" s="131"/>
      <c r="P614" s="131"/>
      <c r="Q614" s="131"/>
      <c r="R614" s="131"/>
      <c r="S614" s="131"/>
      <c r="T614" s="131"/>
      <c r="U614" s="131"/>
      <c r="V614" s="131"/>
      <c r="W614" s="131"/>
      <c r="X614" s="131"/>
      <c r="Y614" s="131"/>
      <c r="Z614" s="131"/>
    </row>
    <row r="615" spans="1:26" ht="15.75" customHeight="1">
      <c r="A615" s="210"/>
      <c r="B615" s="210"/>
      <c r="C615" s="210"/>
      <c r="D615" s="178"/>
      <c r="E615" s="569"/>
      <c r="F615" s="569"/>
      <c r="G615" s="569"/>
      <c r="H615" s="569"/>
      <c r="I615" s="569"/>
      <c r="J615" s="131"/>
      <c r="K615" s="131"/>
      <c r="L615" s="131"/>
      <c r="M615" s="131"/>
      <c r="N615" s="131"/>
      <c r="O615" s="131"/>
      <c r="P615" s="131"/>
      <c r="Q615" s="131"/>
      <c r="R615" s="131"/>
      <c r="S615" s="131"/>
      <c r="T615" s="131"/>
      <c r="U615" s="131"/>
      <c r="V615" s="131"/>
      <c r="W615" s="131"/>
      <c r="X615" s="131"/>
      <c r="Y615" s="131"/>
      <c r="Z615" s="131"/>
    </row>
    <row r="616" spans="1:26" ht="15.75" customHeight="1">
      <c r="A616" s="210"/>
      <c r="B616" s="210"/>
      <c r="C616" s="210"/>
      <c r="D616" s="178"/>
      <c r="E616" s="569"/>
      <c r="F616" s="569"/>
      <c r="G616" s="569"/>
      <c r="H616" s="569"/>
      <c r="I616" s="569"/>
      <c r="J616" s="131"/>
      <c r="K616" s="131"/>
      <c r="L616" s="131"/>
      <c r="M616" s="131"/>
      <c r="N616" s="131"/>
      <c r="O616" s="131"/>
      <c r="P616" s="131"/>
      <c r="Q616" s="131"/>
      <c r="R616" s="131"/>
      <c r="S616" s="131"/>
      <c r="T616" s="131"/>
      <c r="U616" s="131"/>
      <c r="V616" s="131"/>
      <c r="W616" s="131"/>
      <c r="X616" s="131"/>
      <c r="Y616" s="131"/>
      <c r="Z616" s="131"/>
    </row>
    <row r="617" spans="1:26" ht="15.75" customHeight="1">
      <c r="A617" s="210"/>
      <c r="B617" s="210"/>
      <c r="C617" s="210"/>
      <c r="D617" s="178"/>
      <c r="E617" s="569"/>
      <c r="F617" s="569"/>
      <c r="G617" s="569"/>
      <c r="H617" s="569"/>
      <c r="I617" s="569"/>
      <c r="J617" s="131"/>
      <c r="K617" s="131"/>
      <c r="L617" s="131"/>
      <c r="M617" s="131"/>
      <c r="N617" s="131"/>
      <c r="O617" s="131"/>
      <c r="P617" s="131"/>
      <c r="Q617" s="131"/>
      <c r="R617" s="131"/>
      <c r="S617" s="131"/>
      <c r="T617" s="131"/>
      <c r="U617" s="131"/>
      <c r="V617" s="131"/>
      <c r="W617" s="131"/>
      <c r="X617" s="131"/>
      <c r="Y617" s="131"/>
      <c r="Z617" s="131"/>
    </row>
    <row r="618" spans="1:26" ht="15.75" customHeight="1">
      <c r="A618" s="210"/>
      <c r="B618" s="210"/>
      <c r="C618" s="210"/>
      <c r="D618" s="178"/>
      <c r="E618" s="569"/>
      <c r="F618" s="569"/>
      <c r="G618" s="569"/>
      <c r="H618" s="569"/>
      <c r="I618" s="569"/>
      <c r="J618" s="131"/>
      <c r="K618" s="131"/>
      <c r="L618" s="131"/>
      <c r="M618" s="131"/>
      <c r="N618" s="131"/>
      <c r="O618" s="131"/>
      <c r="P618" s="131"/>
      <c r="Q618" s="131"/>
      <c r="R618" s="131"/>
      <c r="S618" s="131"/>
      <c r="T618" s="131"/>
      <c r="U618" s="131"/>
      <c r="V618" s="131"/>
      <c r="W618" s="131"/>
      <c r="X618" s="131"/>
      <c r="Y618" s="131"/>
      <c r="Z618" s="131"/>
    </row>
    <row r="619" spans="1:26" ht="15.75" customHeight="1">
      <c r="A619" s="210"/>
      <c r="B619" s="210"/>
      <c r="C619" s="210"/>
      <c r="D619" s="178"/>
      <c r="E619" s="569"/>
      <c r="F619" s="569"/>
      <c r="G619" s="569"/>
      <c r="H619" s="569"/>
      <c r="I619" s="569"/>
      <c r="J619" s="131"/>
      <c r="K619" s="131"/>
      <c r="L619" s="131"/>
      <c r="M619" s="131"/>
      <c r="N619" s="131"/>
      <c r="O619" s="131"/>
      <c r="P619" s="131"/>
      <c r="Q619" s="131"/>
      <c r="R619" s="131"/>
      <c r="S619" s="131"/>
      <c r="T619" s="131"/>
      <c r="U619" s="131"/>
      <c r="V619" s="131"/>
      <c r="W619" s="131"/>
      <c r="X619" s="131"/>
      <c r="Y619" s="131"/>
      <c r="Z619" s="131"/>
    </row>
    <row r="620" spans="1:26" ht="15.75" customHeight="1">
      <c r="A620" s="210"/>
      <c r="B620" s="210"/>
      <c r="C620" s="210"/>
      <c r="D620" s="178"/>
      <c r="E620" s="569"/>
      <c r="F620" s="569"/>
      <c r="G620" s="569"/>
      <c r="H620" s="569"/>
      <c r="I620" s="569"/>
      <c r="J620" s="131"/>
      <c r="K620" s="131"/>
      <c r="L620" s="131"/>
      <c r="M620" s="131"/>
      <c r="N620" s="131"/>
      <c r="O620" s="131"/>
      <c r="P620" s="131"/>
      <c r="Q620" s="131"/>
      <c r="R620" s="131"/>
      <c r="S620" s="131"/>
      <c r="T620" s="131"/>
      <c r="U620" s="131"/>
      <c r="V620" s="131"/>
      <c r="W620" s="131"/>
      <c r="X620" s="131"/>
      <c r="Y620" s="131"/>
      <c r="Z620" s="131"/>
    </row>
    <row r="621" spans="1:26" ht="15.75" customHeight="1">
      <c r="A621" s="210"/>
      <c r="B621" s="210"/>
      <c r="C621" s="210"/>
      <c r="D621" s="178"/>
      <c r="E621" s="569"/>
      <c r="F621" s="569"/>
      <c r="G621" s="569"/>
      <c r="H621" s="569"/>
      <c r="I621" s="569"/>
      <c r="J621" s="131"/>
      <c r="K621" s="131"/>
      <c r="L621" s="131"/>
      <c r="M621" s="131"/>
      <c r="N621" s="131"/>
      <c r="O621" s="131"/>
      <c r="P621" s="131"/>
      <c r="Q621" s="131"/>
      <c r="R621" s="131"/>
      <c r="S621" s="131"/>
      <c r="T621" s="131"/>
      <c r="U621" s="131"/>
      <c r="V621" s="131"/>
      <c r="W621" s="131"/>
      <c r="X621" s="131"/>
      <c r="Y621" s="131"/>
      <c r="Z621" s="131"/>
    </row>
    <row r="622" spans="1:26" ht="15.75" customHeight="1">
      <c r="A622" s="210"/>
      <c r="B622" s="210"/>
      <c r="C622" s="210"/>
      <c r="D622" s="178"/>
      <c r="E622" s="569"/>
      <c r="F622" s="569"/>
      <c r="G622" s="569"/>
      <c r="H622" s="569"/>
      <c r="I622" s="569"/>
      <c r="J622" s="131"/>
      <c r="K622" s="131"/>
      <c r="L622" s="131"/>
      <c r="M622" s="131"/>
      <c r="N622" s="131"/>
      <c r="O622" s="131"/>
      <c r="P622" s="131"/>
      <c r="Q622" s="131"/>
      <c r="R622" s="131"/>
      <c r="S622" s="131"/>
      <c r="T622" s="131"/>
      <c r="U622" s="131"/>
      <c r="V622" s="131"/>
      <c r="W622" s="131"/>
      <c r="X622" s="131"/>
      <c r="Y622" s="131"/>
      <c r="Z622" s="131"/>
    </row>
    <row r="623" spans="1:26" ht="15.75" customHeight="1">
      <c r="A623" s="210"/>
      <c r="B623" s="210"/>
      <c r="C623" s="210"/>
      <c r="D623" s="178"/>
      <c r="E623" s="569"/>
      <c r="F623" s="569"/>
      <c r="G623" s="569"/>
      <c r="H623" s="569"/>
      <c r="I623" s="569"/>
      <c r="J623" s="131"/>
      <c r="K623" s="131"/>
      <c r="L623" s="131"/>
      <c r="M623" s="131"/>
      <c r="N623" s="131"/>
      <c r="O623" s="131"/>
      <c r="P623" s="131"/>
      <c r="Q623" s="131"/>
      <c r="R623" s="131"/>
      <c r="S623" s="131"/>
      <c r="T623" s="131"/>
      <c r="U623" s="131"/>
      <c r="V623" s="131"/>
      <c r="W623" s="131"/>
      <c r="X623" s="131"/>
      <c r="Y623" s="131"/>
      <c r="Z623" s="131"/>
    </row>
    <row r="624" spans="1:26" ht="15.75" customHeight="1">
      <c r="A624" s="210"/>
      <c r="B624" s="210"/>
      <c r="C624" s="210"/>
      <c r="D624" s="178"/>
      <c r="E624" s="569"/>
      <c r="F624" s="569"/>
      <c r="G624" s="569"/>
      <c r="H624" s="569"/>
      <c r="I624" s="569"/>
      <c r="J624" s="131"/>
      <c r="K624" s="131"/>
      <c r="L624" s="131"/>
      <c r="M624" s="131"/>
      <c r="N624" s="131"/>
      <c r="O624" s="131"/>
      <c r="P624" s="131"/>
      <c r="Q624" s="131"/>
      <c r="R624" s="131"/>
      <c r="S624" s="131"/>
      <c r="T624" s="131"/>
      <c r="U624" s="131"/>
      <c r="V624" s="131"/>
      <c r="W624" s="131"/>
      <c r="X624" s="131"/>
      <c r="Y624" s="131"/>
      <c r="Z624" s="131"/>
    </row>
    <row r="625" spans="1:26" ht="15.75" customHeight="1">
      <c r="A625" s="210"/>
      <c r="B625" s="210"/>
      <c r="C625" s="210"/>
      <c r="D625" s="178"/>
      <c r="E625" s="569"/>
      <c r="F625" s="569"/>
      <c r="G625" s="569"/>
      <c r="H625" s="569"/>
      <c r="I625" s="569"/>
      <c r="J625" s="131"/>
      <c r="K625" s="131"/>
      <c r="L625" s="131"/>
      <c r="M625" s="131"/>
      <c r="N625" s="131"/>
      <c r="O625" s="131"/>
      <c r="P625" s="131"/>
      <c r="Q625" s="131"/>
      <c r="R625" s="131"/>
      <c r="S625" s="131"/>
      <c r="T625" s="131"/>
      <c r="U625" s="131"/>
      <c r="V625" s="131"/>
      <c r="W625" s="131"/>
      <c r="X625" s="131"/>
      <c r="Y625" s="131"/>
      <c r="Z625" s="131"/>
    </row>
    <row r="626" spans="1:26" ht="15.75" customHeight="1">
      <c r="A626" s="210"/>
      <c r="B626" s="210"/>
      <c r="C626" s="210"/>
      <c r="D626" s="178"/>
      <c r="E626" s="569"/>
      <c r="F626" s="569"/>
      <c r="G626" s="569"/>
      <c r="H626" s="569"/>
      <c r="I626" s="569"/>
      <c r="J626" s="131"/>
      <c r="K626" s="131"/>
      <c r="L626" s="131"/>
      <c r="M626" s="131"/>
      <c r="N626" s="131"/>
      <c r="O626" s="131"/>
      <c r="P626" s="131"/>
      <c r="Q626" s="131"/>
      <c r="R626" s="131"/>
      <c r="S626" s="131"/>
      <c r="T626" s="131"/>
      <c r="U626" s="131"/>
      <c r="V626" s="131"/>
      <c r="W626" s="131"/>
      <c r="X626" s="131"/>
      <c r="Y626" s="131"/>
      <c r="Z626" s="131"/>
    </row>
    <row r="627" spans="1:26" ht="15.75" customHeight="1">
      <c r="A627" s="210"/>
      <c r="B627" s="210"/>
      <c r="C627" s="210"/>
      <c r="D627" s="178"/>
      <c r="E627" s="569"/>
      <c r="F627" s="569"/>
      <c r="G627" s="569"/>
      <c r="H627" s="569"/>
      <c r="I627" s="569"/>
      <c r="J627" s="131"/>
      <c r="K627" s="131"/>
      <c r="L627" s="131"/>
      <c r="M627" s="131"/>
      <c r="N627" s="131"/>
      <c r="O627" s="131"/>
      <c r="P627" s="131"/>
      <c r="Q627" s="131"/>
      <c r="R627" s="131"/>
      <c r="S627" s="131"/>
      <c r="T627" s="131"/>
      <c r="U627" s="131"/>
      <c r="V627" s="131"/>
      <c r="W627" s="131"/>
      <c r="X627" s="131"/>
      <c r="Y627" s="131"/>
      <c r="Z627" s="131"/>
    </row>
    <row r="628" spans="1:26" ht="15.75" customHeight="1">
      <c r="A628" s="210"/>
      <c r="B628" s="210"/>
      <c r="C628" s="210"/>
      <c r="D628" s="178"/>
      <c r="E628" s="569"/>
      <c r="F628" s="569"/>
      <c r="G628" s="569"/>
      <c r="H628" s="569"/>
      <c r="I628" s="569"/>
      <c r="J628" s="131"/>
      <c r="K628" s="131"/>
      <c r="L628" s="131"/>
      <c r="M628" s="131"/>
      <c r="N628" s="131"/>
      <c r="O628" s="131"/>
      <c r="P628" s="131"/>
      <c r="Q628" s="131"/>
      <c r="R628" s="131"/>
      <c r="S628" s="131"/>
      <c r="T628" s="131"/>
      <c r="U628" s="131"/>
      <c r="V628" s="131"/>
      <c r="W628" s="131"/>
      <c r="X628" s="131"/>
      <c r="Y628" s="131"/>
      <c r="Z628" s="131"/>
    </row>
    <row r="629" spans="1:26" ht="15.75" customHeight="1">
      <c r="A629" s="210"/>
      <c r="B629" s="210"/>
      <c r="C629" s="210"/>
      <c r="D629" s="178"/>
      <c r="E629" s="569"/>
      <c r="F629" s="569"/>
      <c r="G629" s="569"/>
      <c r="H629" s="569"/>
      <c r="I629" s="569"/>
      <c r="J629" s="131"/>
      <c r="K629" s="131"/>
      <c r="L629" s="131"/>
      <c r="M629" s="131"/>
      <c r="N629" s="131"/>
      <c r="O629" s="131"/>
      <c r="P629" s="131"/>
      <c r="Q629" s="131"/>
      <c r="R629" s="131"/>
      <c r="S629" s="131"/>
      <c r="T629" s="131"/>
      <c r="U629" s="131"/>
      <c r="V629" s="131"/>
      <c r="W629" s="131"/>
      <c r="X629" s="131"/>
      <c r="Y629" s="131"/>
      <c r="Z629" s="131"/>
    </row>
    <row r="630" spans="1:26" ht="15.75" customHeight="1">
      <c r="A630" s="210"/>
      <c r="B630" s="210"/>
      <c r="C630" s="210"/>
      <c r="D630" s="178"/>
      <c r="E630" s="569"/>
      <c r="F630" s="569"/>
      <c r="G630" s="569"/>
      <c r="H630" s="569"/>
      <c r="I630" s="569"/>
      <c r="J630" s="131"/>
      <c r="K630" s="131"/>
      <c r="L630" s="131"/>
      <c r="M630" s="131"/>
      <c r="N630" s="131"/>
      <c r="O630" s="131"/>
      <c r="P630" s="131"/>
      <c r="Q630" s="131"/>
      <c r="R630" s="131"/>
      <c r="S630" s="131"/>
      <c r="T630" s="131"/>
      <c r="U630" s="131"/>
      <c r="V630" s="131"/>
      <c r="W630" s="131"/>
      <c r="X630" s="131"/>
      <c r="Y630" s="131"/>
      <c r="Z630" s="131"/>
    </row>
    <row r="631" spans="1:26" ht="15.75" customHeight="1">
      <c r="A631" s="210"/>
      <c r="B631" s="210"/>
      <c r="C631" s="210"/>
      <c r="D631" s="178"/>
      <c r="E631" s="569"/>
      <c r="F631" s="569"/>
      <c r="G631" s="569"/>
      <c r="H631" s="569"/>
      <c r="I631" s="569"/>
      <c r="J631" s="131"/>
      <c r="K631" s="131"/>
      <c r="L631" s="131"/>
      <c r="M631" s="131"/>
      <c r="N631" s="131"/>
      <c r="O631" s="131"/>
      <c r="P631" s="131"/>
      <c r="Q631" s="131"/>
      <c r="R631" s="131"/>
      <c r="S631" s="131"/>
      <c r="T631" s="131"/>
      <c r="U631" s="131"/>
      <c r="V631" s="131"/>
      <c r="W631" s="131"/>
      <c r="X631" s="131"/>
      <c r="Y631" s="131"/>
      <c r="Z631" s="131"/>
    </row>
    <row r="632" spans="1:26" ht="15.75" customHeight="1">
      <c r="A632" s="210"/>
      <c r="B632" s="210"/>
      <c r="C632" s="210"/>
      <c r="D632" s="178"/>
      <c r="E632" s="569"/>
      <c r="F632" s="569"/>
      <c r="G632" s="569"/>
      <c r="H632" s="569"/>
      <c r="I632" s="569"/>
      <c r="J632" s="131"/>
      <c r="K632" s="131"/>
      <c r="L632" s="131"/>
      <c r="M632" s="131"/>
      <c r="N632" s="131"/>
      <c r="O632" s="131"/>
      <c r="P632" s="131"/>
      <c r="Q632" s="131"/>
      <c r="R632" s="131"/>
      <c r="S632" s="131"/>
      <c r="T632" s="131"/>
      <c r="U632" s="131"/>
      <c r="V632" s="131"/>
      <c r="W632" s="131"/>
      <c r="X632" s="131"/>
      <c r="Y632" s="131"/>
      <c r="Z632" s="131"/>
    </row>
    <row r="633" spans="1:26" ht="15.75" customHeight="1">
      <c r="A633" s="210"/>
      <c r="B633" s="210"/>
      <c r="C633" s="210"/>
      <c r="D633" s="178"/>
      <c r="E633" s="569"/>
      <c r="F633" s="569"/>
      <c r="G633" s="569"/>
      <c r="H633" s="569"/>
      <c r="I633" s="569"/>
      <c r="J633" s="131"/>
      <c r="K633" s="131"/>
      <c r="L633" s="131"/>
      <c r="M633" s="131"/>
      <c r="N633" s="131"/>
      <c r="O633" s="131"/>
      <c r="P633" s="131"/>
      <c r="Q633" s="131"/>
      <c r="R633" s="131"/>
      <c r="S633" s="131"/>
      <c r="T633" s="131"/>
      <c r="U633" s="131"/>
      <c r="V633" s="131"/>
      <c r="W633" s="131"/>
      <c r="X633" s="131"/>
      <c r="Y633" s="131"/>
      <c r="Z633" s="131"/>
    </row>
    <row r="634" spans="1:26" ht="15.75" customHeight="1">
      <c r="A634" s="210"/>
      <c r="B634" s="210"/>
      <c r="C634" s="210"/>
      <c r="D634" s="178"/>
      <c r="E634" s="569"/>
      <c r="F634" s="569"/>
      <c r="G634" s="569"/>
      <c r="H634" s="569"/>
      <c r="I634" s="569"/>
      <c r="J634" s="131"/>
      <c r="K634" s="131"/>
      <c r="L634" s="131"/>
      <c r="M634" s="131"/>
      <c r="N634" s="131"/>
      <c r="O634" s="131"/>
      <c r="P634" s="131"/>
      <c r="Q634" s="131"/>
      <c r="R634" s="131"/>
      <c r="S634" s="131"/>
      <c r="T634" s="131"/>
      <c r="U634" s="131"/>
      <c r="V634" s="131"/>
      <c r="W634" s="131"/>
      <c r="X634" s="131"/>
      <c r="Y634" s="131"/>
      <c r="Z634" s="131"/>
    </row>
    <row r="635" spans="1:26" ht="15.75" customHeight="1">
      <c r="A635" s="210"/>
      <c r="B635" s="210"/>
      <c r="C635" s="210"/>
      <c r="D635" s="178"/>
      <c r="E635" s="569"/>
      <c r="F635" s="569"/>
      <c r="G635" s="569"/>
      <c r="H635" s="569"/>
      <c r="I635" s="569"/>
      <c r="J635" s="131"/>
      <c r="K635" s="131"/>
      <c r="L635" s="131"/>
      <c r="M635" s="131"/>
      <c r="N635" s="131"/>
      <c r="O635" s="131"/>
      <c r="P635" s="131"/>
      <c r="Q635" s="131"/>
      <c r="R635" s="131"/>
      <c r="S635" s="131"/>
      <c r="T635" s="131"/>
      <c r="U635" s="131"/>
      <c r="V635" s="131"/>
      <c r="W635" s="131"/>
      <c r="X635" s="131"/>
      <c r="Y635" s="131"/>
      <c r="Z635" s="131"/>
    </row>
    <row r="636" spans="1:26" ht="15.75" customHeight="1">
      <c r="A636" s="210"/>
      <c r="B636" s="210"/>
      <c r="C636" s="210"/>
      <c r="D636" s="178"/>
      <c r="E636" s="569"/>
      <c r="F636" s="569"/>
      <c r="G636" s="569"/>
      <c r="H636" s="569"/>
      <c r="I636" s="569"/>
      <c r="J636" s="131"/>
      <c r="K636" s="131"/>
      <c r="L636" s="131"/>
      <c r="M636" s="131"/>
      <c r="N636" s="131"/>
      <c r="O636" s="131"/>
      <c r="P636" s="131"/>
      <c r="Q636" s="131"/>
      <c r="R636" s="131"/>
      <c r="S636" s="131"/>
      <c r="T636" s="131"/>
      <c r="U636" s="131"/>
      <c r="V636" s="131"/>
      <c r="W636" s="131"/>
      <c r="X636" s="131"/>
      <c r="Y636" s="131"/>
      <c r="Z636" s="131"/>
    </row>
    <row r="637" spans="1:26" ht="15.75" customHeight="1">
      <c r="A637" s="210"/>
      <c r="B637" s="210"/>
      <c r="C637" s="210"/>
      <c r="D637" s="178"/>
      <c r="E637" s="569"/>
      <c r="F637" s="569"/>
      <c r="G637" s="569"/>
      <c r="H637" s="569"/>
      <c r="I637" s="569"/>
      <c r="J637" s="131"/>
      <c r="K637" s="131"/>
      <c r="L637" s="131"/>
      <c r="M637" s="131"/>
      <c r="N637" s="131"/>
      <c r="O637" s="131"/>
      <c r="P637" s="131"/>
      <c r="Q637" s="131"/>
      <c r="R637" s="131"/>
      <c r="S637" s="131"/>
      <c r="T637" s="131"/>
      <c r="U637" s="131"/>
      <c r="V637" s="131"/>
      <c r="W637" s="131"/>
      <c r="X637" s="131"/>
      <c r="Y637" s="131"/>
      <c r="Z637" s="131"/>
    </row>
    <row r="638" spans="1:26" ht="15.75" customHeight="1">
      <c r="A638" s="210"/>
      <c r="B638" s="210"/>
      <c r="C638" s="210"/>
      <c r="D638" s="178"/>
      <c r="E638" s="569"/>
      <c r="F638" s="569"/>
      <c r="G638" s="569"/>
      <c r="H638" s="569"/>
      <c r="I638" s="569"/>
      <c r="J638" s="131"/>
      <c r="K638" s="131"/>
      <c r="L638" s="131"/>
      <c r="M638" s="131"/>
      <c r="N638" s="131"/>
      <c r="O638" s="131"/>
      <c r="P638" s="131"/>
      <c r="Q638" s="131"/>
      <c r="R638" s="131"/>
      <c r="S638" s="131"/>
      <c r="T638" s="131"/>
      <c r="U638" s="131"/>
      <c r="V638" s="131"/>
      <c r="W638" s="131"/>
      <c r="X638" s="131"/>
      <c r="Y638" s="131"/>
      <c r="Z638" s="131"/>
    </row>
    <row r="639" spans="1:26" ht="15.75" customHeight="1">
      <c r="A639" s="210"/>
      <c r="B639" s="210"/>
      <c r="C639" s="210"/>
      <c r="D639" s="178"/>
      <c r="E639" s="569"/>
      <c r="F639" s="569"/>
      <c r="G639" s="569"/>
      <c r="H639" s="569"/>
      <c r="I639" s="569"/>
      <c r="J639" s="131"/>
      <c r="K639" s="131"/>
      <c r="L639" s="131"/>
      <c r="M639" s="131"/>
      <c r="N639" s="131"/>
      <c r="O639" s="131"/>
      <c r="P639" s="131"/>
      <c r="Q639" s="131"/>
      <c r="R639" s="131"/>
      <c r="S639" s="131"/>
      <c r="T639" s="131"/>
      <c r="U639" s="131"/>
      <c r="V639" s="131"/>
      <c r="W639" s="131"/>
      <c r="X639" s="131"/>
      <c r="Y639" s="131"/>
      <c r="Z639" s="131"/>
    </row>
    <row r="640" spans="1:26" ht="15.75" customHeight="1">
      <c r="A640" s="210"/>
      <c r="B640" s="210"/>
      <c r="C640" s="210"/>
      <c r="D640" s="178"/>
      <c r="E640" s="569"/>
      <c r="F640" s="569"/>
      <c r="G640" s="569"/>
      <c r="H640" s="569"/>
      <c r="I640" s="569"/>
      <c r="J640" s="131"/>
      <c r="K640" s="131"/>
      <c r="L640" s="131"/>
      <c r="M640" s="131"/>
      <c r="N640" s="131"/>
      <c r="O640" s="131"/>
      <c r="P640" s="131"/>
      <c r="Q640" s="131"/>
      <c r="R640" s="131"/>
      <c r="S640" s="131"/>
      <c r="T640" s="131"/>
      <c r="U640" s="131"/>
      <c r="V640" s="131"/>
      <c r="W640" s="131"/>
      <c r="X640" s="131"/>
      <c r="Y640" s="131"/>
      <c r="Z640" s="131"/>
    </row>
    <row r="641" spans="1:26" ht="15.75" customHeight="1">
      <c r="A641" s="210"/>
      <c r="B641" s="210"/>
      <c r="C641" s="210"/>
      <c r="D641" s="178"/>
      <c r="E641" s="569"/>
      <c r="F641" s="569"/>
      <c r="G641" s="569"/>
      <c r="H641" s="569"/>
      <c r="I641" s="569"/>
      <c r="J641" s="131"/>
      <c r="K641" s="131"/>
      <c r="L641" s="131"/>
      <c r="M641" s="131"/>
      <c r="N641" s="131"/>
      <c r="O641" s="131"/>
      <c r="P641" s="131"/>
      <c r="Q641" s="131"/>
      <c r="R641" s="131"/>
      <c r="S641" s="131"/>
      <c r="T641" s="131"/>
      <c r="U641" s="131"/>
      <c r="V641" s="131"/>
      <c r="W641" s="131"/>
      <c r="X641" s="131"/>
      <c r="Y641" s="131"/>
      <c r="Z641" s="131"/>
    </row>
    <row r="642" spans="1:26" ht="15.75" customHeight="1">
      <c r="A642" s="210"/>
      <c r="B642" s="210"/>
      <c r="C642" s="210"/>
      <c r="D642" s="178"/>
      <c r="E642" s="569"/>
      <c r="F642" s="569"/>
      <c r="G642" s="569"/>
      <c r="H642" s="569"/>
      <c r="I642" s="569"/>
      <c r="J642" s="131"/>
      <c r="K642" s="131"/>
      <c r="L642" s="131"/>
      <c r="M642" s="131"/>
      <c r="N642" s="131"/>
      <c r="O642" s="131"/>
      <c r="P642" s="131"/>
      <c r="Q642" s="131"/>
      <c r="R642" s="131"/>
      <c r="S642" s="131"/>
      <c r="T642" s="131"/>
      <c r="U642" s="131"/>
      <c r="V642" s="131"/>
      <c r="W642" s="131"/>
      <c r="X642" s="131"/>
      <c r="Y642" s="131"/>
      <c r="Z642" s="131"/>
    </row>
    <row r="643" spans="1:26" ht="15.75" customHeight="1">
      <c r="A643" s="210"/>
      <c r="B643" s="210"/>
      <c r="C643" s="210"/>
      <c r="D643" s="178"/>
      <c r="E643" s="569"/>
      <c r="F643" s="569"/>
      <c r="G643" s="569"/>
      <c r="H643" s="569"/>
      <c r="I643" s="569"/>
      <c r="J643" s="131"/>
      <c r="K643" s="131"/>
      <c r="L643" s="131"/>
      <c r="M643" s="131"/>
      <c r="N643" s="131"/>
      <c r="O643" s="131"/>
      <c r="P643" s="131"/>
      <c r="Q643" s="131"/>
      <c r="R643" s="131"/>
      <c r="S643" s="131"/>
      <c r="T643" s="131"/>
      <c r="U643" s="131"/>
      <c r="V643" s="131"/>
      <c r="W643" s="131"/>
      <c r="X643" s="131"/>
      <c r="Y643" s="131"/>
      <c r="Z643" s="131"/>
    </row>
    <row r="644" spans="1:26" ht="15.75" customHeight="1">
      <c r="A644" s="210"/>
      <c r="B644" s="210"/>
      <c r="C644" s="210"/>
      <c r="D644" s="178"/>
      <c r="E644" s="569"/>
      <c r="F644" s="569"/>
      <c r="G644" s="569"/>
      <c r="H644" s="569"/>
      <c r="I644" s="569"/>
      <c r="J644" s="131"/>
      <c r="K644" s="131"/>
      <c r="L644" s="131"/>
      <c r="M644" s="131"/>
      <c r="N644" s="131"/>
      <c r="O644" s="131"/>
      <c r="P644" s="131"/>
      <c r="Q644" s="131"/>
      <c r="R644" s="131"/>
      <c r="S644" s="131"/>
      <c r="T644" s="131"/>
      <c r="U644" s="131"/>
      <c r="V644" s="131"/>
      <c r="W644" s="131"/>
      <c r="X644" s="131"/>
      <c r="Y644" s="131"/>
      <c r="Z644" s="131"/>
    </row>
    <row r="645" spans="1:26" ht="15.75" customHeight="1">
      <c r="A645" s="210"/>
      <c r="B645" s="210"/>
      <c r="C645" s="210"/>
      <c r="D645" s="178"/>
      <c r="E645" s="569"/>
      <c r="F645" s="569"/>
      <c r="G645" s="569"/>
      <c r="H645" s="569"/>
      <c r="I645" s="569"/>
      <c r="J645" s="131"/>
      <c r="K645" s="131"/>
      <c r="L645" s="131"/>
      <c r="M645" s="131"/>
      <c r="N645" s="131"/>
      <c r="O645" s="131"/>
      <c r="P645" s="131"/>
      <c r="Q645" s="131"/>
      <c r="R645" s="131"/>
      <c r="S645" s="131"/>
      <c r="T645" s="131"/>
      <c r="U645" s="131"/>
      <c r="V645" s="131"/>
      <c r="W645" s="131"/>
      <c r="X645" s="131"/>
      <c r="Y645" s="131"/>
      <c r="Z645" s="131"/>
    </row>
    <row r="646" spans="1:26" ht="15.75" customHeight="1">
      <c r="A646" s="210"/>
      <c r="B646" s="210"/>
      <c r="C646" s="210"/>
      <c r="D646" s="178"/>
      <c r="E646" s="569"/>
      <c r="F646" s="569"/>
      <c r="G646" s="569"/>
      <c r="H646" s="569"/>
      <c r="I646" s="569"/>
      <c r="J646" s="131"/>
      <c r="K646" s="131"/>
      <c r="L646" s="131"/>
      <c r="M646" s="131"/>
      <c r="N646" s="131"/>
      <c r="O646" s="131"/>
      <c r="P646" s="131"/>
      <c r="Q646" s="131"/>
      <c r="R646" s="131"/>
      <c r="S646" s="131"/>
      <c r="T646" s="131"/>
      <c r="U646" s="131"/>
      <c r="V646" s="131"/>
      <c r="W646" s="131"/>
      <c r="X646" s="131"/>
      <c r="Y646" s="131"/>
      <c r="Z646" s="131"/>
    </row>
    <row r="647" spans="1:26" ht="15.75" customHeight="1">
      <c r="A647" s="210"/>
      <c r="B647" s="210"/>
      <c r="C647" s="210"/>
      <c r="D647" s="178"/>
      <c r="E647" s="569"/>
      <c r="F647" s="569"/>
      <c r="G647" s="569"/>
      <c r="H647" s="569"/>
      <c r="I647" s="569"/>
      <c r="J647" s="131"/>
      <c r="K647" s="131"/>
      <c r="L647" s="131"/>
      <c r="M647" s="131"/>
      <c r="N647" s="131"/>
      <c r="O647" s="131"/>
      <c r="P647" s="131"/>
      <c r="Q647" s="131"/>
      <c r="R647" s="131"/>
      <c r="S647" s="131"/>
      <c r="T647" s="131"/>
      <c r="U647" s="131"/>
      <c r="V647" s="131"/>
      <c r="W647" s="131"/>
      <c r="X647" s="131"/>
      <c r="Y647" s="131"/>
      <c r="Z647" s="131"/>
    </row>
    <row r="648" spans="1:26" ht="15.75" customHeight="1">
      <c r="A648" s="210"/>
      <c r="B648" s="210"/>
      <c r="C648" s="210"/>
      <c r="D648" s="178"/>
      <c r="E648" s="569"/>
      <c r="F648" s="569"/>
      <c r="G648" s="569"/>
      <c r="H648" s="569"/>
      <c r="I648" s="569"/>
      <c r="J648" s="131"/>
      <c r="K648" s="131"/>
      <c r="L648" s="131"/>
      <c r="M648" s="131"/>
      <c r="N648" s="131"/>
      <c r="O648" s="131"/>
      <c r="P648" s="131"/>
      <c r="Q648" s="131"/>
      <c r="R648" s="131"/>
      <c r="S648" s="131"/>
      <c r="T648" s="131"/>
      <c r="U648" s="131"/>
      <c r="V648" s="131"/>
      <c r="W648" s="131"/>
      <c r="X648" s="131"/>
      <c r="Y648" s="131"/>
      <c r="Z648" s="131"/>
    </row>
    <row r="649" spans="1:26" ht="15.75" customHeight="1">
      <c r="A649" s="210"/>
      <c r="B649" s="210"/>
      <c r="C649" s="210"/>
      <c r="D649" s="178"/>
      <c r="E649" s="569"/>
      <c r="F649" s="569"/>
      <c r="G649" s="569"/>
      <c r="H649" s="569"/>
      <c r="I649" s="569"/>
      <c r="J649" s="131"/>
      <c r="K649" s="131"/>
      <c r="L649" s="131"/>
      <c r="M649" s="131"/>
      <c r="N649" s="131"/>
      <c r="O649" s="131"/>
      <c r="P649" s="131"/>
      <c r="Q649" s="131"/>
      <c r="R649" s="131"/>
      <c r="S649" s="131"/>
      <c r="T649" s="131"/>
      <c r="U649" s="131"/>
      <c r="V649" s="131"/>
      <c r="W649" s="131"/>
      <c r="X649" s="131"/>
      <c r="Y649" s="131"/>
      <c r="Z649" s="131"/>
    </row>
    <row r="650" spans="1:26" ht="15.75" customHeight="1">
      <c r="A650" s="210"/>
      <c r="B650" s="210"/>
      <c r="C650" s="210"/>
      <c r="D650" s="178"/>
      <c r="E650" s="569"/>
      <c r="F650" s="569"/>
      <c r="G650" s="569"/>
      <c r="H650" s="569"/>
      <c r="I650" s="569"/>
      <c r="J650" s="131"/>
      <c r="K650" s="131"/>
      <c r="L650" s="131"/>
      <c r="M650" s="131"/>
      <c r="N650" s="131"/>
      <c r="O650" s="131"/>
      <c r="P650" s="131"/>
      <c r="Q650" s="131"/>
      <c r="R650" s="131"/>
      <c r="S650" s="131"/>
      <c r="T650" s="131"/>
      <c r="U650" s="131"/>
      <c r="V650" s="131"/>
      <c r="W650" s="131"/>
      <c r="X650" s="131"/>
      <c r="Y650" s="131"/>
      <c r="Z650" s="131"/>
    </row>
    <row r="651" spans="1:26" ht="15.75" customHeight="1">
      <c r="A651" s="210"/>
      <c r="B651" s="210"/>
      <c r="C651" s="210"/>
      <c r="D651" s="178"/>
      <c r="E651" s="569"/>
      <c r="F651" s="569"/>
      <c r="G651" s="569"/>
      <c r="H651" s="569"/>
      <c r="I651" s="569"/>
      <c r="J651" s="131"/>
      <c r="K651" s="131"/>
      <c r="L651" s="131"/>
      <c r="M651" s="131"/>
      <c r="N651" s="131"/>
      <c r="O651" s="131"/>
      <c r="P651" s="131"/>
      <c r="Q651" s="131"/>
      <c r="R651" s="131"/>
      <c r="S651" s="131"/>
      <c r="T651" s="131"/>
      <c r="U651" s="131"/>
      <c r="V651" s="131"/>
      <c r="W651" s="131"/>
      <c r="X651" s="131"/>
      <c r="Y651" s="131"/>
      <c r="Z651" s="131"/>
    </row>
    <row r="652" spans="1:26" ht="15.75" customHeight="1">
      <c r="A652" s="210"/>
      <c r="B652" s="210"/>
      <c r="C652" s="210"/>
      <c r="D652" s="178"/>
      <c r="E652" s="569"/>
      <c r="F652" s="569"/>
      <c r="G652" s="569"/>
      <c r="H652" s="569"/>
      <c r="I652" s="569"/>
      <c r="J652" s="131"/>
      <c r="K652" s="131"/>
      <c r="L652" s="131"/>
      <c r="M652" s="131"/>
      <c r="N652" s="131"/>
      <c r="O652" s="131"/>
      <c r="P652" s="131"/>
      <c r="Q652" s="131"/>
      <c r="R652" s="131"/>
      <c r="S652" s="131"/>
      <c r="T652" s="131"/>
      <c r="U652" s="131"/>
      <c r="V652" s="131"/>
      <c r="W652" s="131"/>
      <c r="X652" s="131"/>
      <c r="Y652" s="131"/>
      <c r="Z652" s="131"/>
    </row>
    <row r="653" spans="1:26" ht="15.75" customHeight="1">
      <c r="A653" s="210"/>
      <c r="B653" s="210"/>
      <c r="C653" s="210"/>
      <c r="D653" s="178"/>
      <c r="E653" s="569"/>
      <c r="F653" s="569"/>
      <c r="G653" s="569"/>
      <c r="H653" s="569"/>
      <c r="I653" s="569"/>
      <c r="J653" s="131"/>
      <c r="K653" s="131"/>
      <c r="L653" s="131"/>
      <c r="M653" s="131"/>
      <c r="N653" s="131"/>
      <c r="O653" s="131"/>
      <c r="P653" s="131"/>
      <c r="Q653" s="131"/>
      <c r="R653" s="131"/>
      <c r="S653" s="131"/>
      <c r="T653" s="131"/>
      <c r="U653" s="131"/>
      <c r="V653" s="131"/>
      <c r="W653" s="131"/>
      <c r="X653" s="131"/>
      <c r="Y653" s="131"/>
      <c r="Z653" s="131"/>
    </row>
    <row r="654" spans="1:26" ht="15.75" customHeight="1">
      <c r="A654" s="210"/>
      <c r="B654" s="210"/>
      <c r="C654" s="210"/>
      <c r="D654" s="178"/>
      <c r="E654" s="569"/>
      <c r="F654" s="569"/>
      <c r="G654" s="569"/>
      <c r="H654" s="569"/>
      <c r="I654" s="569"/>
      <c r="J654" s="131"/>
      <c r="K654" s="131"/>
      <c r="L654" s="131"/>
      <c r="M654" s="131"/>
      <c r="N654" s="131"/>
      <c r="O654" s="131"/>
      <c r="P654" s="131"/>
      <c r="Q654" s="131"/>
      <c r="R654" s="131"/>
      <c r="S654" s="131"/>
      <c r="T654" s="131"/>
      <c r="U654" s="131"/>
      <c r="V654" s="131"/>
      <c r="W654" s="131"/>
      <c r="X654" s="131"/>
      <c r="Y654" s="131"/>
      <c r="Z654" s="131"/>
    </row>
    <row r="655" spans="1:26" ht="15.75" customHeight="1">
      <c r="A655" s="210"/>
      <c r="B655" s="210"/>
      <c r="C655" s="210"/>
      <c r="D655" s="178"/>
      <c r="E655" s="569"/>
      <c r="F655" s="569"/>
      <c r="G655" s="569"/>
      <c r="H655" s="569"/>
      <c r="I655" s="569"/>
      <c r="J655" s="131"/>
      <c r="K655" s="131"/>
      <c r="L655" s="131"/>
      <c r="M655" s="131"/>
      <c r="N655" s="131"/>
      <c r="O655" s="131"/>
      <c r="P655" s="131"/>
      <c r="Q655" s="131"/>
      <c r="R655" s="131"/>
      <c r="S655" s="131"/>
      <c r="T655" s="131"/>
      <c r="U655" s="131"/>
      <c r="V655" s="131"/>
      <c r="W655" s="131"/>
      <c r="X655" s="131"/>
      <c r="Y655" s="131"/>
      <c r="Z655" s="131"/>
    </row>
    <row r="656" spans="1:26" ht="15.75" customHeight="1">
      <c r="A656" s="210"/>
      <c r="B656" s="210"/>
      <c r="C656" s="210"/>
      <c r="D656" s="178"/>
      <c r="E656" s="569"/>
      <c r="F656" s="569"/>
      <c r="G656" s="569"/>
      <c r="H656" s="569"/>
      <c r="I656" s="569"/>
      <c r="J656" s="131"/>
      <c r="K656" s="131"/>
      <c r="L656" s="131"/>
      <c r="M656" s="131"/>
      <c r="N656" s="131"/>
      <c r="O656" s="131"/>
      <c r="P656" s="131"/>
      <c r="Q656" s="131"/>
      <c r="R656" s="131"/>
      <c r="S656" s="131"/>
      <c r="T656" s="131"/>
      <c r="U656" s="131"/>
      <c r="V656" s="131"/>
      <c r="W656" s="131"/>
      <c r="X656" s="131"/>
      <c r="Y656" s="131"/>
      <c r="Z656" s="131"/>
    </row>
    <row r="657" spans="1:26" ht="15.75" customHeight="1">
      <c r="A657" s="210"/>
      <c r="B657" s="210"/>
      <c r="C657" s="210"/>
      <c r="D657" s="178"/>
      <c r="E657" s="569"/>
      <c r="F657" s="569"/>
      <c r="G657" s="569"/>
      <c r="H657" s="569"/>
      <c r="I657" s="569"/>
      <c r="J657" s="131"/>
      <c r="K657" s="131"/>
      <c r="L657" s="131"/>
      <c r="M657" s="131"/>
      <c r="N657" s="131"/>
      <c r="O657" s="131"/>
      <c r="P657" s="131"/>
      <c r="Q657" s="131"/>
      <c r="R657" s="131"/>
      <c r="S657" s="131"/>
      <c r="T657" s="131"/>
      <c r="U657" s="131"/>
      <c r="V657" s="131"/>
      <c r="W657" s="131"/>
      <c r="X657" s="131"/>
      <c r="Y657" s="131"/>
      <c r="Z657" s="131"/>
    </row>
    <row r="658" spans="1:26" ht="15.75" customHeight="1">
      <c r="A658" s="210"/>
      <c r="B658" s="210"/>
      <c r="C658" s="210"/>
      <c r="D658" s="178"/>
      <c r="E658" s="569"/>
      <c r="F658" s="569"/>
      <c r="G658" s="569"/>
      <c r="H658" s="569"/>
      <c r="I658" s="569"/>
      <c r="J658" s="131"/>
      <c r="K658" s="131"/>
      <c r="L658" s="131"/>
      <c r="M658" s="131"/>
      <c r="N658" s="131"/>
      <c r="O658" s="131"/>
      <c r="P658" s="131"/>
      <c r="Q658" s="131"/>
      <c r="R658" s="131"/>
      <c r="S658" s="131"/>
      <c r="T658" s="131"/>
      <c r="U658" s="131"/>
      <c r="V658" s="131"/>
      <c r="W658" s="131"/>
      <c r="X658" s="131"/>
      <c r="Y658" s="131"/>
      <c r="Z658" s="131"/>
    </row>
    <row r="659" spans="1:26" ht="15.75" customHeight="1">
      <c r="A659" s="210"/>
      <c r="B659" s="210"/>
      <c r="C659" s="210"/>
      <c r="D659" s="178"/>
      <c r="E659" s="569"/>
      <c r="F659" s="569"/>
      <c r="G659" s="569"/>
      <c r="H659" s="569"/>
      <c r="I659" s="569"/>
      <c r="J659" s="131"/>
      <c r="K659" s="131"/>
      <c r="L659" s="131"/>
      <c r="M659" s="131"/>
      <c r="N659" s="131"/>
      <c r="O659" s="131"/>
      <c r="P659" s="131"/>
      <c r="Q659" s="131"/>
      <c r="R659" s="131"/>
      <c r="S659" s="131"/>
      <c r="T659" s="131"/>
      <c r="U659" s="131"/>
      <c r="V659" s="131"/>
      <c r="W659" s="131"/>
      <c r="X659" s="131"/>
      <c r="Y659" s="131"/>
      <c r="Z659" s="131"/>
    </row>
    <row r="660" spans="1:26" ht="15.75" customHeight="1">
      <c r="A660" s="210"/>
      <c r="B660" s="210"/>
      <c r="C660" s="210"/>
      <c r="D660" s="178"/>
      <c r="E660" s="569"/>
      <c r="F660" s="569"/>
      <c r="G660" s="569"/>
      <c r="H660" s="569"/>
      <c r="I660" s="569"/>
      <c r="J660" s="131"/>
      <c r="K660" s="131"/>
      <c r="L660" s="131"/>
      <c r="M660" s="131"/>
      <c r="N660" s="131"/>
      <c r="O660" s="131"/>
      <c r="P660" s="131"/>
      <c r="Q660" s="131"/>
      <c r="R660" s="131"/>
      <c r="S660" s="131"/>
      <c r="T660" s="131"/>
      <c r="U660" s="131"/>
      <c r="V660" s="131"/>
      <c r="W660" s="131"/>
      <c r="X660" s="131"/>
      <c r="Y660" s="131"/>
      <c r="Z660" s="131"/>
    </row>
    <row r="661" spans="1:26" ht="15.75" customHeight="1">
      <c r="A661" s="210"/>
      <c r="B661" s="210"/>
      <c r="C661" s="210"/>
      <c r="D661" s="178"/>
      <c r="E661" s="569"/>
      <c r="F661" s="569"/>
      <c r="G661" s="569"/>
      <c r="H661" s="569"/>
      <c r="I661" s="569"/>
      <c r="J661" s="131"/>
      <c r="K661" s="131"/>
      <c r="L661" s="131"/>
      <c r="M661" s="131"/>
      <c r="N661" s="131"/>
      <c r="O661" s="131"/>
      <c r="P661" s="131"/>
      <c r="Q661" s="131"/>
      <c r="R661" s="131"/>
      <c r="S661" s="131"/>
      <c r="T661" s="131"/>
      <c r="U661" s="131"/>
      <c r="V661" s="131"/>
      <c r="W661" s="131"/>
      <c r="X661" s="131"/>
      <c r="Y661" s="131"/>
      <c r="Z661" s="131"/>
    </row>
    <row r="662" spans="1:26" ht="15.75" customHeight="1">
      <c r="A662" s="210"/>
      <c r="B662" s="210"/>
      <c r="C662" s="210"/>
      <c r="D662" s="178"/>
      <c r="E662" s="569"/>
      <c r="F662" s="569"/>
      <c r="G662" s="569"/>
      <c r="H662" s="569"/>
      <c r="I662" s="569"/>
      <c r="J662" s="131"/>
      <c r="K662" s="131"/>
      <c r="L662" s="131"/>
      <c r="M662" s="131"/>
      <c r="N662" s="131"/>
      <c r="O662" s="131"/>
      <c r="P662" s="131"/>
      <c r="Q662" s="131"/>
      <c r="R662" s="131"/>
      <c r="S662" s="131"/>
      <c r="T662" s="131"/>
      <c r="U662" s="131"/>
      <c r="V662" s="131"/>
      <c r="W662" s="131"/>
      <c r="X662" s="131"/>
      <c r="Y662" s="131"/>
      <c r="Z662" s="131"/>
    </row>
    <row r="663" spans="1:26" ht="15.75" customHeight="1">
      <c r="A663" s="210"/>
      <c r="B663" s="210"/>
      <c r="C663" s="210"/>
      <c r="D663" s="178"/>
      <c r="E663" s="569"/>
      <c r="F663" s="569"/>
      <c r="G663" s="569"/>
      <c r="H663" s="569"/>
      <c r="I663" s="569"/>
      <c r="J663" s="131"/>
      <c r="K663" s="131"/>
      <c r="L663" s="131"/>
      <c r="M663" s="131"/>
      <c r="N663" s="131"/>
      <c r="O663" s="131"/>
      <c r="P663" s="131"/>
      <c r="Q663" s="131"/>
      <c r="R663" s="131"/>
      <c r="S663" s="131"/>
      <c r="T663" s="131"/>
      <c r="U663" s="131"/>
      <c r="V663" s="131"/>
      <c r="W663" s="131"/>
      <c r="X663" s="131"/>
      <c r="Y663" s="131"/>
      <c r="Z663" s="131"/>
    </row>
    <row r="664" spans="1:26" ht="15.75" customHeight="1">
      <c r="A664" s="210"/>
      <c r="B664" s="210"/>
      <c r="C664" s="210"/>
      <c r="D664" s="178"/>
      <c r="E664" s="569"/>
      <c r="F664" s="569"/>
      <c r="G664" s="569"/>
      <c r="H664" s="569"/>
      <c r="I664" s="569"/>
      <c r="J664" s="131"/>
      <c r="K664" s="131"/>
      <c r="L664" s="131"/>
      <c r="M664" s="131"/>
      <c r="N664" s="131"/>
      <c r="O664" s="131"/>
      <c r="P664" s="131"/>
      <c r="Q664" s="131"/>
      <c r="R664" s="131"/>
      <c r="S664" s="131"/>
      <c r="T664" s="131"/>
      <c r="U664" s="131"/>
      <c r="V664" s="131"/>
      <c r="W664" s="131"/>
      <c r="X664" s="131"/>
      <c r="Y664" s="131"/>
      <c r="Z664" s="131"/>
    </row>
    <row r="665" spans="1:26" ht="15.75" customHeight="1">
      <c r="A665" s="210"/>
      <c r="B665" s="210"/>
      <c r="C665" s="210"/>
      <c r="D665" s="178"/>
      <c r="E665" s="569"/>
      <c r="F665" s="569"/>
      <c r="G665" s="569"/>
      <c r="H665" s="569"/>
      <c r="I665" s="569"/>
      <c r="J665" s="131"/>
      <c r="K665" s="131"/>
      <c r="L665" s="131"/>
      <c r="M665" s="131"/>
      <c r="N665" s="131"/>
      <c r="O665" s="131"/>
      <c r="P665" s="131"/>
      <c r="Q665" s="131"/>
      <c r="R665" s="131"/>
      <c r="S665" s="131"/>
      <c r="T665" s="131"/>
      <c r="U665" s="131"/>
      <c r="V665" s="131"/>
      <c r="W665" s="131"/>
      <c r="X665" s="131"/>
      <c r="Y665" s="131"/>
      <c r="Z665" s="131"/>
    </row>
    <row r="666" spans="1:26" ht="15.75" customHeight="1">
      <c r="A666" s="210"/>
      <c r="B666" s="210"/>
      <c r="C666" s="210"/>
      <c r="D666" s="178"/>
      <c r="E666" s="569"/>
      <c r="F666" s="569"/>
      <c r="G666" s="569"/>
      <c r="H666" s="569"/>
      <c r="I666" s="569"/>
      <c r="J666" s="131"/>
      <c r="K666" s="131"/>
      <c r="L666" s="131"/>
      <c r="M666" s="131"/>
      <c r="N666" s="131"/>
      <c r="O666" s="131"/>
      <c r="P666" s="131"/>
      <c r="Q666" s="131"/>
      <c r="R666" s="131"/>
      <c r="S666" s="131"/>
      <c r="T666" s="131"/>
      <c r="U666" s="131"/>
      <c r="V666" s="131"/>
      <c r="W666" s="131"/>
      <c r="X666" s="131"/>
      <c r="Y666" s="131"/>
      <c r="Z666" s="131"/>
    </row>
    <row r="667" spans="1:26" ht="15.75" customHeight="1">
      <c r="A667" s="210"/>
      <c r="B667" s="210"/>
      <c r="C667" s="210"/>
      <c r="D667" s="178"/>
      <c r="E667" s="569"/>
      <c r="F667" s="569"/>
      <c r="G667" s="569"/>
      <c r="H667" s="569"/>
      <c r="I667" s="569"/>
      <c r="J667" s="131"/>
      <c r="K667" s="131"/>
      <c r="L667" s="131"/>
      <c r="M667" s="131"/>
      <c r="N667" s="131"/>
      <c r="O667" s="131"/>
      <c r="P667" s="131"/>
      <c r="Q667" s="131"/>
      <c r="R667" s="131"/>
      <c r="S667" s="131"/>
      <c r="T667" s="131"/>
      <c r="U667" s="131"/>
      <c r="V667" s="131"/>
      <c r="W667" s="131"/>
      <c r="X667" s="131"/>
      <c r="Y667" s="131"/>
      <c r="Z667" s="131"/>
    </row>
    <row r="668" spans="1:26" ht="15.75" customHeight="1">
      <c r="A668" s="210"/>
      <c r="B668" s="210"/>
      <c r="C668" s="210"/>
      <c r="D668" s="178"/>
      <c r="E668" s="569"/>
      <c r="F668" s="569"/>
      <c r="G668" s="569"/>
      <c r="H668" s="569"/>
      <c r="I668" s="569"/>
      <c r="J668" s="131"/>
      <c r="K668" s="131"/>
      <c r="L668" s="131"/>
      <c r="M668" s="131"/>
      <c r="N668" s="131"/>
      <c r="O668" s="131"/>
      <c r="P668" s="131"/>
      <c r="Q668" s="131"/>
      <c r="R668" s="131"/>
      <c r="S668" s="131"/>
      <c r="T668" s="131"/>
      <c r="U668" s="131"/>
      <c r="V668" s="131"/>
      <c r="W668" s="131"/>
      <c r="X668" s="131"/>
      <c r="Y668" s="131"/>
      <c r="Z668" s="131"/>
    </row>
    <row r="669" spans="1:26" ht="15.75" customHeight="1">
      <c r="A669" s="210"/>
      <c r="B669" s="210"/>
      <c r="C669" s="210"/>
      <c r="D669" s="178"/>
      <c r="E669" s="569"/>
      <c r="F669" s="569"/>
      <c r="G669" s="569"/>
      <c r="H669" s="569"/>
      <c r="I669" s="569"/>
      <c r="J669" s="131"/>
      <c r="K669" s="131"/>
      <c r="L669" s="131"/>
      <c r="M669" s="131"/>
      <c r="N669" s="131"/>
      <c r="O669" s="131"/>
      <c r="P669" s="131"/>
      <c r="Q669" s="131"/>
      <c r="R669" s="131"/>
      <c r="S669" s="131"/>
      <c r="T669" s="131"/>
      <c r="U669" s="131"/>
      <c r="V669" s="131"/>
      <c r="W669" s="131"/>
      <c r="X669" s="131"/>
      <c r="Y669" s="131"/>
      <c r="Z669" s="131"/>
    </row>
    <row r="670" spans="1:26" ht="15.75" customHeight="1">
      <c r="A670" s="210"/>
      <c r="B670" s="210"/>
      <c r="C670" s="210"/>
      <c r="D670" s="178"/>
      <c r="E670" s="569"/>
      <c r="F670" s="569"/>
      <c r="G670" s="569"/>
      <c r="H670" s="569"/>
      <c r="I670" s="569"/>
      <c r="J670" s="131"/>
      <c r="K670" s="131"/>
      <c r="L670" s="131"/>
      <c r="M670" s="131"/>
      <c r="N670" s="131"/>
      <c r="O670" s="131"/>
      <c r="P670" s="131"/>
      <c r="Q670" s="131"/>
      <c r="R670" s="131"/>
      <c r="S670" s="131"/>
      <c r="T670" s="131"/>
      <c r="U670" s="131"/>
      <c r="V670" s="131"/>
      <c r="W670" s="131"/>
      <c r="X670" s="131"/>
      <c r="Y670" s="131"/>
      <c r="Z670" s="131"/>
    </row>
    <row r="671" spans="1:26" ht="15.75" customHeight="1">
      <c r="A671" s="210"/>
      <c r="B671" s="210"/>
      <c r="C671" s="210"/>
      <c r="D671" s="178"/>
      <c r="E671" s="569"/>
      <c r="F671" s="569"/>
      <c r="G671" s="569"/>
      <c r="H671" s="569"/>
      <c r="I671" s="569"/>
      <c r="J671" s="131"/>
      <c r="K671" s="131"/>
      <c r="L671" s="131"/>
      <c r="M671" s="131"/>
      <c r="N671" s="131"/>
      <c r="O671" s="131"/>
      <c r="P671" s="131"/>
      <c r="Q671" s="131"/>
      <c r="R671" s="131"/>
      <c r="S671" s="131"/>
      <c r="T671" s="131"/>
      <c r="U671" s="131"/>
      <c r="V671" s="131"/>
      <c r="W671" s="131"/>
      <c r="X671" s="131"/>
      <c r="Y671" s="131"/>
      <c r="Z671" s="131"/>
    </row>
    <row r="672" spans="1:26" ht="15.75" customHeight="1">
      <c r="A672" s="210"/>
      <c r="B672" s="210"/>
      <c r="C672" s="210"/>
      <c r="D672" s="178"/>
      <c r="E672" s="569"/>
      <c r="F672" s="569"/>
      <c r="G672" s="569"/>
      <c r="H672" s="569"/>
      <c r="I672" s="569"/>
      <c r="J672" s="131"/>
      <c r="K672" s="131"/>
      <c r="L672" s="131"/>
      <c r="M672" s="131"/>
      <c r="N672" s="131"/>
      <c r="O672" s="131"/>
      <c r="P672" s="131"/>
      <c r="Q672" s="131"/>
      <c r="R672" s="131"/>
      <c r="S672" s="131"/>
      <c r="T672" s="131"/>
      <c r="U672" s="131"/>
      <c r="V672" s="131"/>
      <c r="W672" s="131"/>
      <c r="X672" s="131"/>
      <c r="Y672" s="131"/>
      <c r="Z672" s="131"/>
    </row>
    <row r="673" spans="1:26" ht="15.75" customHeight="1">
      <c r="A673" s="210"/>
      <c r="B673" s="210"/>
      <c r="C673" s="210"/>
      <c r="D673" s="178"/>
      <c r="E673" s="569"/>
      <c r="F673" s="569"/>
      <c r="G673" s="569"/>
      <c r="H673" s="569"/>
      <c r="I673" s="569"/>
      <c r="J673" s="131"/>
      <c r="K673" s="131"/>
      <c r="L673" s="131"/>
      <c r="M673" s="131"/>
      <c r="N673" s="131"/>
      <c r="O673" s="131"/>
      <c r="P673" s="131"/>
      <c r="Q673" s="131"/>
      <c r="R673" s="131"/>
      <c r="S673" s="131"/>
      <c r="T673" s="131"/>
      <c r="U673" s="131"/>
      <c r="V673" s="131"/>
      <c r="W673" s="131"/>
      <c r="X673" s="131"/>
      <c r="Y673" s="131"/>
      <c r="Z673" s="131"/>
    </row>
    <row r="674" spans="1:26" ht="15.75" customHeight="1">
      <c r="A674" s="210"/>
      <c r="B674" s="210"/>
      <c r="C674" s="210"/>
      <c r="D674" s="178"/>
      <c r="E674" s="569"/>
      <c r="F674" s="569"/>
      <c r="G674" s="569"/>
      <c r="H674" s="569"/>
      <c r="I674" s="569"/>
      <c r="J674" s="131"/>
      <c r="K674" s="131"/>
      <c r="L674" s="131"/>
      <c r="M674" s="131"/>
      <c r="N674" s="131"/>
      <c r="O674" s="131"/>
      <c r="P674" s="131"/>
      <c r="Q674" s="131"/>
      <c r="R674" s="131"/>
      <c r="S674" s="131"/>
      <c r="T674" s="131"/>
      <c r="U674" s="131"/>
      <c r="V674" s="131"/>
      <c r="W674" s="131"/>
      <c r="X674" s="131"/>
      <c r="Y674" s="131"/>
      <c r="Z674" s="131"/>
    </row>
    <row r="675" spans="1:26" ht="15.75" customHeight="1">
      <c r="A675" s="210"/>
      <c r="B675" s="210"/>
      <c r="C675" s="210"/>
      <c r="D675" s="178"/>
      <c r="E675" s="569"/>
      <c r="F675" s="569"/>
      <c r="G675" s="569"/>
      <c r="H675" s="569"/>
      <c r="I675" s="569"/>
      <c r="J675" s="131"/>
      <c r="K675" s="131"/>
      <c r="L675" s="131"/>
      <c r="M675" s="131"/>
      <c r="N675" s="131"/>
      <c r="O675" s="131"/>
      <c r="P675" s="131"/>
      <c r="Q675" s="131"/>
      <c r="R675" s="131"/>
      <c r="S675" s="131"/>
      <c r="T675" s="131"/>
      <c r="U675" s="131"/>
      <c r="V675" s="131"/>
      <c r="W675" s="131"/>
      <c r="X675" s="131"/>
      <c r="Y675" s="131"/>
      <c r="Z675" s="131"/>
    </row>
    <row r="676" spans="1:26" ht="15.75" customHeight="1">
      <c r="A676" s="210"/>
      <c r="B676" s="210"/>
      <c r="C676" s="210"/>
      <c r="D676" s="178"/>
      <c r="E676" s="569"/>
      <c r="F676" s="569"/>
      <c r="G676" s="569"/>
      <c r="H676" s="569"/>
      <c r="I676" s="569"/>
      <c r="J676" s="131"/>
      <c r="K676" s="131"/>
      <c r="L676" s="131"/>
      <c r="M676" s="131"/>
      <c r="N676" s="131"/>
      <c r="O676" s="131"/>
      <c r="P676" s="131"/>
      <c r="Q676" s="131"/>
      <c r="R676" s="131"/>
      <c r="S676" s="131"/>
      <c r="T676" s="131"/>
      <c r="U676" s="131"/>
      <c r="V676" s="131"/>
      <c r="W676" s="131"/>
      <c r="X676" s="131"/>
      <c r="Y676" s="131"/>
      <c r="Z676" s="131"/>
    </row>
    <row r="677" spans="1:26" ht="15.75" customHeight="1">
      <c r="A677" s="210"/>
      <c r="B677" s="210"/>
      <c r="C677" s="210"/>
      <c r="D677" s="178"/>
      <c r="E677" s="569"/>
      <c r="F677" s="569"/>
      <c r="G677" s="569"/>
      <c r="H677" s="569"/>
      <c r="I677" s="569"/>
      <c r="J677" s="131"/>
      <c r="K677" s="131"/>
      <c r="L677" s="131"/>
      <c r="M677" s="131"/>
      <c r="N677" s="131"/>
      <c r="O677" s="131"/>
      <c r="P677" s="131"/>
      <c r="Q677" s="131"/>
      <c r="R677" s="131"/>
      <c r="S677" s="131"/>
      <c r="T677" s="131"/>
      <c r="U677" s="131"/>
      <c r="V677" s="131"/>
      <c r="W677" s="131"/>
      <c r="X677" s="131"/>
      <c r="Y677" s="131"/>
      <c r="Z677" s="131"/>
    </row>
    <row r="678" spans="1:26" ht="15.75" customHeight="1">
      <c r="A678" s="210"/>
      <c r="B678" s="210"/>
      <c r="C678" s="210"/>
      <c r="D678" s="178"/>
      <c r="E678" s="569"/>
      <c r="F678" s="569"/>
      <c r="G678" s="569"/>
      <c r="H678" s="569"/>
      <c r="I678" s="569"/>
      <c r="J678" s="131"/>
      <c r="K678" s="131"/>
      <c r="L678" s="131"/>
      <c r="M678" s="131"/>
      <c r="N678" s="131"/>
      <c r="O678" s="131"/>
      <c r="P678" s="131"/>
      <c r="Q678" s="131"/>
      <c r="R678" s="131"/>
      <c r="S678" s="131"/>
      <c r="T678" s="131"/>
      <c r="U678" s="131"/>
      <c r="V678" s="131"/>
      <c r="W678" s="131"/>
      <c r="X678" s="131"/>
      <c r="Y678" s="131"/>
      <c r="Z678" s="131"/>
    </row>
    <row r="679" spans="1:26" ht="15.75" customHeight="1">
      <c r="A679" s="210"/>
      <c r="B679" s="210"/>
      <c r="C679" s="210"/>
      <c r="D679" s="178"/>
      <c r="E679" s="569"/>
      <c r="F679" s="569"/>
      <c r="G679" s="569"/>
      <c r="H679" s="569"/>
      <c r="I679" s="569"/>
      <c r="J679" s="131"/>
      <c r="K679" s="131"/>
      <c r="L679" s="131"/>
      <c r="M679" s="131"/>
      <c r="N679" s="131"/>
      <c r="O679" s="131"/>
      <c r="P679" s="131"/>
      <c r="Q679" s="131"/>
      <c r="R679" s="131"/>
      <c r="S679" s="131"/>
      <c r="T679" s="131"/>
      <c r="U679" s="131"/>
      <c r="V679" s="131"/>
      <c r="W679" s="131"/>
      <c r="X679" s="131"/>
      <c r="Y679" s="131"/>
      <c r="Z679" s="131"/>
    </row>
    <row r="680" spans="1:26" ht="15.75" customHeight="1">
      <c r="A680" s="210"/>
      <c r="B680" s="210"/>
      <c r="C680" s="210"/>
      <c r="D680" s="178"/>
      <c r="E680" s="569"/>
      <c r="F680" s="569"/>
      <c r="G680" s="569"/>
      <c r="H680" s="569"/>
      <c r="I680" s="569"/>
      <c r="J680" s="131"/>
      <c r="K680" s="131"/>
      <c r="L680" s="131"/>
      <c r="M680" s="131"/>
      <c r="N680" s="131"/>
      <c r="O680" s="131"/>
      <c r="P680" s="131"/>
      <c r="Q680" s="131"/>
      <c r="R680" s="131"/>
      <c r="S680" s="131"/>
      <c r="T680" s="131"/>
      <c r="U680" s="131"/>
      <c r="V680" s="131"/>
      <c r="W680" s="131"/>
      <c r="X680" s="131"/>
      <c r="Y680" s="131"/>
      <c r="Z680" s="131"/>
    </row>
    <row r="681" spans="1:26" ht="15.75" customHeight="1">
      <c r="A681" s="210"/>
      <c r="B681" s="210"/>
      <c r="C681" s="210"/>
      <c r="D681" s="178"/>
      <c r="E681" s="569"/>
      <c r="F681" s="569"/>
      <c r="G681" s="569"/>
      <c r="H681" s="569"/>
      <c r="I681" s="569"/>
      <c r="J681" s="131"/>
      <c r="K681" s="131"/>
      <c r="L681" s="131"/>
      <c r="M681" s="131"/>
      <c r="N681" s="131"/>
      <c r="O681" s="131"/>
      <c r="P681" s="131"/>
      <c r="Q681" s="131"/>
      <c r="R681" s="131"/>
      <c r="S681" s="131"/>
      <c r="T681" s="131"/>
      <c r="U681" s="131"/>
      <c r="V681" s="131"/>
      <c r="W681" s="131"/>
      <c r="X681" s="131"/>
      <c r="Y681" s="131"/>
      <c r="Z681" s="131"/>
    </row>
    <row r="682" spans="1:26" ht="15.75" customHeight="1">
      <c r="A682" s="210"/>
      <c r="B682" s="210"/>
      <c r="C682" s="210"/>
      <c r="D682" s="178"/>
      <c r="E682" s="569"/>
      <c r="F682" s="569"/>
      <c r="G682" s="569"/>
      <c r="H682" s="569"/>
      <c r="I682" s="569"/>
      <c r="J682" s="131"/>
      <c r="K682" s="131"/>
      <c r="L682" s="131"/>
      <c r="M682" s="131"/>
      <c r="N682" s="131"/>
      <c r="O682" s="131"/>
      <c r="P682" s="131"/>
      <c r="Q682" s="131"/>
      <c r="R682" s="131"/>
      <c r="S682" s="131"/>
      <c r="T682" s="131"/>
      <c r="U682" s="131"/>
      <c r="V682" s="131"/>
      <c r="W682" s="131"/>
      <c r="X682" s="131"/>
      <c r="Y682" s="131"/>
      <c r="Z682" s="131"/>
    </row>
    <row r="683" spans="1:26" ht="15.75" customHeight="1">
      <c r="A683" s="210"/>
      <c r="B683" s="210"/>
      <c r="C683" s="210"/>
      <c r="D683" s="178"/>
      <c r="E683" s="569"/>
      <c r="F683" s="569"/>
      <c r="G683" s="569"/>
      <c r="H683" s="569"/>
      <c r="I683" s="569"/>
      <c r="J683" s="131"/>
      <c r="K683" s="131"/>
      <c r="L683" s="131"/>
      <c r="M683" s="131"/>
      <c r="N683" s="131"/>
      <c r="O683" s="131"/>
      <c r="P683" s="131"/>
      <c r="Q683" s="131"/>
      <c r="R683" s="131"/>
      <c r="S683" s="131"/>
      <c r="T683" s="131"/>
      <c r="U683" s="131"/>
      <c r="V683" s="131"/>
      <c r="W683" s="131"/>
      <c r="X683" s="131"/>
      <c r="Y683" s="131"/>
      <c r="Z683" s="131"/>
    </row>
    <row r="684" spans="1:26" ht="15.75" customHeight="1">
      <c r="A684" s="210"/>
      <c r="B684" s="210"/>
      <c r="C684" s="210"/>
      <c r="D684" s="178"/>
      <c r="E684" s="569"/>
      <c r="F684" s="569"/>
      <c r="G684" s="569"/>
      <c r="H684" s="569"/>
      <c r="I684" s="569"/>
      <c r="J684" s="131"/>
      <c r="K684" s="131"/>
      <c r="L684" s="131"/>
      <c r="M684" s="131"/>
      <c r="N684" s="131"/>
      <c r="O684" s="131"/>
      <c r="P684" s="131"/>
      <c r="Q684" s="131"/>
      <c r="R684" s="131"/>
      <c r="S684" s="131"/>
      <c r="T684" s="131"/>
      <c r="U684" s="131"/>
      <c r="V684" s="131"/>
      <c r="W684" s="131"/>
      <c r="X684" s="131"/>
      <c r="Y684" s="131"/>
      <c r="Z684" s="131"/>
    </row>
    <row r="685" spans="1:26" ht="15.75" customHeight="1">
      <c r="A685" s="210"/>
      <c r="B685" s="210"/>
      <c r="C685" s="210"/>
      <c r="D685" s="178"/>
      <c r="E685" s="569"/>
      <c r="F685" s="569"/>
      <c r="G685" s="569"/>
      <c r="H685" s="569"/>
      <c r="I685" s="569"/>
      <c r="J685" s="131"/>
      <c r="K685" s="131"/>
      <c r="L685" s="131"/>
      <c r="M685" s="131"/>
      <c r="N685" s="131"/>
      <c r="O685" s="131"/>
      <c r="P685" s="131"/>
      <c r="Q685" s="131"/>
      <c r="R685" s="131"/>
      <c r="S685" s="131"/>
      <c r="T685" s="131"/>
      <c r="U685" s="131"/>
      <c r="V685" s="131"/>
      <c r="W685" s="131"/>
      <c r="X685" s="131"/>
      <c r="Y685" s="131"/>
      <c r="Z685" s="131"/>
    </row>
    <row r="686" spans="1:26" ht="15.75" customHeight="1">
      <c r="A686" s="210"/>
      <c r="B686" s="210"/>
      <c r="C686" s="210"/>
      <c r="D686" s="178"/>
      <c r="E686" s="569"/>
      <c r="F686" s="569"/>
      <c r="G686" s="569"/>
      <c r="H686" s="569"/>
      <c r="I686" s="569"/>
      <c r="J686" s="131"/>
      <c r="K686" s="131"/>
      <c r="L686" s="131"/>
      <c r="M686" s="131"/>
      <c r="N686" s="131"/>
      <c r="O686" s="131"/>
      <c r="P686" s="131"/>
      <c r="Q686" s="131"/>
      <c r="R686" s="131"/>
      <c r="S686" s="131"/>
      <c r="T686" s="131"/>
      <c r="U686" s="131"/>
      <c r="V686" s="131"/>
      <c r="W686" s="131"/>
      <c r="X686" s="131"/>
      <c r="Y686" s="131"/>
      <c r="Z686" s="131"/>
    </row>
    <row r="687" spans="1:26" ht="15.75" customHeight="1">
      <c r="A687" s="210"/>
      <c r="B687" s="210"/>
      <c r="C687" s="210"/>
      <c r="D687" s="178"/>
      <c r="E687" s="569"/>
      <c r="F687" s="569"/>
      <c r="G687" s="569"/>
      <c r="H687" s="569"/>
      <c r="I687" s="569"/>
      <c r="J687" s="131"/>
      <c r="K687" s="131"/>
      <c r="L687" s="131"/>
      <c r="M687" s="131"/>
      <c r="N687" s="131"/>
      <c r="O687" s="131"/>
      <c r="P687" s="131"/>
      <c r="Q687" s="131"/>
      <c r="R687" s="131"/>
      <c r="S687" s="131"/>
      <c r="T687" s="131"/>
      <c r="U687" s="131"/>
      <c r="V687" s="131"/>
      <c r="W687" s="131"/>
      <c r="X687" s="131"/>
      <c r="Y687" s="131"/>
      <c r="Z687" s="131"/>
    </row>
    <row r="688" spans="1:26" ht="15.75" customHeight="1">
      <c r="A688" s="210"/>
      <c r="B688" s="210"/>
      <c r="C688" s="210"/>
      <c r="D688" s="178"/>
      <c r="E688" s="569"/>
      <c r="F688" s="569"/>
      <c r="G688" s="569"/>
      <c r="H688" s="569"/>
      <c r="I688" s="569"/>
      <c r="J688" s="131"/>
      <c r="K688" s="131"/>
      <c r="L688" s="131"/>
      <c r="M688" s="131"/>
      <c r="N688" s="131"/>
      <c r="O688" s="131"/>
      <c r="P688" s="131"/>
      <c r="Q688" s="131"/>
      <c r="R688" s="131"/>
      <c r="S688" s="131"/>
      <c r="T688" s="131"/>
      <c r="U688" s="131"/>
      <c r="V688" s="131"/>
      <c r="W688" s="131"/>
      <c r="X688" s="131"/>
      <c r="Y688" s="131"/>
      <c r="Z688" s="131"/>
    </row>
    <row r="689" spans="1:26" ht="15.75" customHeight="1">
      <c r="A689" s="210"/>
      <c r="B689" s="210"/>
      <c r="C689" s="210"/>
      <c r="D689" s="178"/>
      <c r="E689" s="569"/>
      <c r="F689" s="569"/>
      <c r="G689" s="569"/>
      <c r="H689" s="569"/>
      <c r="I689" s="569"/>
      <c r="J689" s="131"/>
      <c r="K689" s="131"/>
      <c r="L689" s="131"/>
      <c r="M689" s="131"/>
      <c r="N689" s="131"/>
      <c r="O689" s="131"/>
      <c r="P689" s="131"/>
      <c r="Q689" s="131"/>
      <c r="R689" s="131"/>
      <c r="S689" s="131"/>
      <c r="T689" s="131"/>
      <c r="U689" s="131"/>
      <c r="V689" s="131"/>
      <c r="W689" s="131"/>
      <c r="X689" s="131"/>
      <c r="Y689" s="131"/>
      <c r="Z689" s="131"/>
    </row>
    <row r="690" spans="1:26" ht="15.75" customHeight="1">
      <c r="A690" s="210"/>
      <c r="B690" s="210"/>
      <c r="C690" s="210"/>
      <c r="D690" s="178"/>
      <c r="E690" s="569"/>
      <c r="F690" s="569"/>
      <c r="G690" s="569"/>
      <c r="H690" s="569"/>
      <c r="I690" s="569"/>
      <c r="J690" s="131"/>
      <c r="K690" s="131"/>
      <c r="L690" s="131"/>
      <c r="M690" s="131"/>
      <c r="N690" s="131"/>
      <c r="O690" s="131"/>
      <c r="P690" s="131"/>
      <c r="Q690" s="131"/>
      <c r="R690" s="131"/>
      <c r="S690" s="131"/>
      <c r="T690" s="131"/>
      <c r="U690" s="131"/>
      <c r="V690" s="131"/>
      <c r="W690" s="131"/>
      <c r="X690" s="131"/>
      <c r="Y690" s="131"/>
      <c r="Z690" s="131"/>
    </row>
    <row r="691" spans="1:26" ht="15.75" customHeight="1">
      <c r="A691" s="210"/>
      <c r="B691" s="210"/>
      <c r="C691" s="210"/>
      <c r="D691" s="178"/>
      <c r="E691" s="569"/>
      <c r="F691" s="569"/>
      <c r="G691" s="569"/>
      <c r="H691" s="569"/>
      <c r="I691" s="569"/>
      <c r="J691" s="131"/>
      <c r="K691" s="131"/>
      <c r="L691" s="131"/>
      <c r="M691" s="131"/>
      <c r="N691" s="131"/>
      <c r="O691" s="131"/>
      <c r="P691" s="131"/>
      <c r="Q691" s="131"/>
      <c r="R691" s="131"/>
      <c r="S691" s="131"/>
      <c r="T691" s="131"/>
      <c r="U691" s="131"/>
      <c r="V691" s="131"/>
      <c r="W691" s="131"/>
      <c r="X691" s="131"/>
      <c r="Y691" s="131"/>
      <c r="Z691" s="131"/>
    </row>
    <row r="692" spans="1:26" ht="15.75" customHeight="1">
      <c r="A692" s="210"/>
      <c r="B692" s="210"/>
      <c r="C692" s="210"/>
      <c r="D692" s="178"/>
      <c r="E692" s="569"/>
      <c r="F692" s="569"/>
      <c r="G692" s="569"/>
      <c r="H692" s="569"/>
      <c r="I692" s="569"/>
      <c r="J692" s="131"/>
      <c r="K692" s="131"/>
      <c r="L692" s="131"/>
      <c r="M692" s="131"/>
      <c r="N692" s="131"/>
      <c r="O692" s="131"/>
      <c r="P692" s="131"/>
      <c r="Q692" s="131"/>
      <c r="R692" s="131"/>
      <c r="S692" s="131"/>
      <c r="T692" s="131"/>
      <c r="U692" s="131"/>
      <c r="V692" s="131"/>
      <c r="W692" s="131"/>
      <c r="X692" s="131"/>
      <c r="Y692" s="131"/>
      <c r="Z692" s="131"/>
    </row>
    <row r="693" spans="1:26" ht="15.75" customHeight="1">
      <c r="A693" s="210"/>
      <c r="B693" s="210"/>
      <c r="C693" s="210"/>
      <c r="D693" s="178"/>
      <c r="E693" s="569"/>
      <c r="F693" s="569"/>
      <c r="G693" s="569"/>
      <c r="H693" s="569"/>
      <c r="I693" s="569"/>
      <c r="J693" s="131"/>
      <c r="K693" s="131"/>
      <c r="L693" s="131"/>
      <c r="M693" s="131"/>
      <c r="N693" s="131"/>
      <c r="O693" s="131"/>
      <c r="P693" s="131"/>
      <c r="Q693" s="131"/>
      <c r="R693" s="131"/>
      <c r="S693" s="131"/>
      <c r="T693" s="131"/>
      <c r="U693" s="131"/>
      <c r="V693" s="131"/>
      <c r="W693" s="131"/>
      <c r="X693" s="131"/>
      <c r="Y693" s="131"/>
      <c r="Z693" s="131"/>
    </row>
    <row r="694" spans="1:26" ht="15.75" customHeight="1">
      <c r="A694" s="210"/>
      <c r="B694" s="210"/>
      <c r="C694" s="210"/>
      <c r="D694" s="178"/>
      <c r="E694" s="569"/>
      <c r="F694" s="569"/>
      <c r="G694" s="569"/>
      <c r="H694" s="569"/>
      <c r="I694" s="569"/>
      <c r="J694" s="131"/>
      <c r="K694" s="131"/>
      <c r="L694" s="131"/>
      <c r="M694" s="131"/>
      <c r="N694" s="131"/>
      <c r="O694" s="131"/>
      <c r="P694" s="131"/>
      <c r="Q694" s="131"/>
      <c r="R694" s="131"/>
      <c r="S694" s="131"/>
      <c r="T694" s="131"/>
      <c r="U694" s="131"/>
      <c r="V694" s="131"/>
      <c r="W694" s="131"/>
      <c r="X694" s="131"/>
      <c r="Y694" s="131"/>
      <c r="Z694" s="131"/>
    </row>
    <row r="695" spans="1:26" ht="15.75" customHeight="1">
      <c r="A695" s="210"/>
      <c r="B695" s="210"/>
      <c r="C695" s="210"/>
      <c r="D695" s="178"/>
      <c r="E695" s="569"/>
      <c r="F695" s="569"/>
      <c r="G695" s="569"/>
      <c r="H695" s="569"/>
      <c r="I695" s="569"/>
      <c r="J695" s="131"/>
      <c r="K695" s="131"/>
      <c r="L695" s="131"/>
      <c r="M695" s="131"/>
      <c r="N695" s="131"/>
      <c r="O695" s="131"/>
      <c r="P695" s="131"/>
      <c r="Q695" s="131"/>
      <c r="R695" s="131"/>
      <c r="S695" s="131"/>
      <c r="T695" s="131"/>
      <c r="U695" s="131"/>
      <c r="V695" s="131"/>
      <c r="W695" s="131"/>
      <c r="X695" s="131"/>
      <c r="Y695" s="131"/>
      <c r="Z695" s="131"/>
    </row>
    <row r="696" spans="1:26" ht="15.75" customHeight="1">
      <c r="A696" s="210"/>
      <c r="B696" s="210"/>
      <c r="C696" s="210"/>
      <c r="D696" s="178"/>
      <c r="E696" s="569"/>
      <c r="F696" s="569"/>
      <c r="G696" s="569"/>
      <c r="H696" s="569"/>
      <c r="I696" s="569"/>
      <c r="J696" s="131"/>
      <c r="K696" s="131"/>
      <c r="L696" s="131"/>
      <c r="M696" s="131"/>
      <c r="N696" s="131"/>
      <c r="O696" s="131"/>
      <c r="P696" s="131"/>
      <c r="Q696" s="131"/>
      <c r="R696" s="131"/>
      <c r="S696" s="131"/>
      <c r="T696" s="131"/>
      <c r="U696" s="131"/>
      <c r="V696" s="131"/>
      <c r="W696" s="131"/>
      <c r="X696" s="131"/>
      <c r="Y696" s="131"/>
      <c r="Z696" s="131"/>
    </row>
    <row r="697" spans="1:26" ht="15.75" customHeight="1">
      <c r="A697" s="210"/>
      <c r="B697" s="210"/>
      <c r="C697" s="210"/>
      <c r="D697" s="178"/>
      <c r="E697" s="569"/>
      <c r="F697" s="569"/>
      <c r="G697" s="569"/>
      <c r="H697" s="569"/>
      <c r="I697" s="569"/>
      <c r="J697" s="131"/>
      <c r="K697" s="131"/>
      <c r="L697" s="131"/>
      <c r="M697" s="131"/>
      <c r="N697" s="131"/>
      <c r="O697" s="131"/>
      <c r="P697" s="131"/>
      <c r="Q697" s="131"/>
      <c r="R697" s="131"/>
      <c r="S697" s="131"/>
      <c r="T697" s="131"/>
      <c r="U697" s="131"/>
      <c r="V697" s="131"/>
      <c r="W697" s="131"/>
      <c r="X697" s="131"/>
      <c r="Y697" s="131"/>
      <c r="Z697" s="131"/>
    </row>
    <row r="698" spans="1:26" ht="15.75" customHeight="1">
      <c r="A698" s="210"/>
      <c r="B698" s="210"/>
      <c r="C698" s="210"/>
      <c r="D698" s="178"/>
      <c r="E698" s="569"/>
      <c r="F698" s="569"/>
      <c r="G698" s="569"/>
      <c r="H698" s="569"/>
      <c r="I698" s="569"/>
      <c r="J698" s="131"/>
      <c r="K698" s="131"/>
      <c r="L698" s="131"/>
      <c r="M698" s="131"/>
      <c r="N698" s="131"/>
      <c r="O698" s="131"/>
      <c r="P698" s="131"/>
      <c r="Q698" s="131"/>
      <c r="R698" s="131"/>
      <c r="S698" s="131"/>
      <c r="T698" s="131"/>
      <c r="U698" s="131"/>
      <c r="V698" s="131"/>
      <c r="W698" s="131"/>
      <c r="X698" s="131"/>
      <c r="Y698" s="131"/>
      <c r="Z698" s="131"/>
    </row>
    <row r="699" spans="1:26" ht="15.75" customHeight="1">
      <c r="A699" s="210"/>
      <c r="B699" s="210"/>
      <c r="C699" s="210"/>
      <c r="D699" s="178"/>
      <c r="E699" s="569"/>
      <c r="F699" s="569"/>
      <c r="G699" s="569"/>
      <c r="H699" s="569"/>
      <c r="I699" s="569"/>
      <c r="J699" s="131"/>
      <c r="K699" s="131"/>
      <c r="L699" s="131"/>
      <c r="M699" s="131"/>
      <c r="N699" s="131"/>
      <c r="O699" s="131"/>
      <c r="P699" s="131"/>
      <c r="Q699" s="131"/>
      <c r="R699" s="131"/>
      <c r="S699" s="131"/>
      <c r="T699" s="131"/>
      <c r="U699" s="131"/>
      <c r="V699" s="131"/>
      <c r="W699" s="131"/>
      <c r="X699" s="131"/>
      <c r="Y699" s="131"/>
      <c r="Z699" s="131"/>
    </row>
    <row r="700" spans="1:26" ht="15.75" customHeight="1">
      <c r="A700" s="210"/>
      <c r="B700" s="210"/>
      <c r="C700" s="210"/>
      <c r="D700" s="178"/>
      <c r="E700" s="569"/>
      <c r="F700" s="569"/>
      <c r="G700" s="569"/>
      <c r="H700" s="569"/>
      <c r="I700" s="569"/>
      <c r="J700" s="131"/>
      <c r="K700" s="131"/>
      <c r="L700" s="131"/>
      <c r="M700" s="131"/>
      <c r="N700" s="131"/>
      <c r="O700" s="131"/>
      <c r="P700" s="131"/>
      <c r="Q700" s="131"/>
      <c r="R700" s="131"/>
      <c r="S700" s="131"/>
      <c r="T700" s="131"/>
      <c r="U700" s="131"/>
      <c r="V700" s="131"/>
      <c r="W700" s="131"/>
      <c r="X700" s="131"/>
      <c r="Y700" s="131"/>
      <c r="Z700" s="131"/>
    </row>
    <row r="701" spans="1:26" ht="15.75" customHeight="1">
      <c r="A701" s="210"/>
      <c r="B701" s="210"/>
      <c r="C701" s="210"/>
      <c r="D701" s="178"/>
      <c r="E701" s="569"/>
      <c r="F701" s="569"/>
      <c r="G701" s="569"/>
      <c r="H701" s="569"/>
      <c r="I701" s="569"/>
      <c r="J701" s="131"/>
      <c r="K701" s="131"/>
      <c r="L701" s="131"/>
      <c r="M701" s="131"/>
      <c r="N701" s="131"/>
      <c r="O701" s="131"/>
      <c r="P701" s="131"/>
      <c r="Q701" s="131"/>
      <c r="R701" s="131"/>
      <c r="S701" s="131"/>
      <c r="T701" s="131"/>
      <c r="U701" s="131"/>
      <c r="V701" s="131"/>
      <c r="W701" s="131"/>
      <c r="X701" s="131"/>
      <c r="Y701" s="131"/>
      <c r="Z701" s="131"/>
    </row>
    <row r="702" spans="1:26" ht="15.75" customHeight="1">
      <c r="A702" s="210"/>
      <c r="B702" s="210"/>
      <c r="C702" s="210"/>
      <c r="D702" s="178"/>
      <c r="E702" s="569"/>
      <c r="F702" s="569"/>
      <c r="G702" s="569"/>
      <c r="H702" s="569"/>
      <c r="I702" s="569"/>
      <c r="J702" s="131"/>
      <c r="K702" s="131"/>
      <c r="L702" s="131"/>
      <c r="M702" s="131"/>
      <c r="N702" s="131"/>
      <c r="O702" s="131"/>
      <c r="P702" s="131"/>
      <c r="Q702" s="131"/>
      <c r="R702" s="131"/>
      <c r="S702" s="131"/>
      <c r="T702" s="131"/>
      <c r="U702" s="131"/>
      <c r="V702" s="131"/>
      <c r="W702" s="131"/>
      <c r="X702" s="131"/>
      <c r="Y702" s="131"/>
      <c r="Z702" s="131"/>
    </row>
    <row r="703" spans="1:26" ht="15.75" customHeight="1">
      <c r="A703" s="210"/>
      <c r="B703" s="210"/>
      <c r="C703" s="210"/>
      <c r="D703" s="178"/>
      <c r="E703" s="569"/>
      <c r="F703" s="569"/>
      <c r="G703" s="569"/>
      <c r="H703" s="569"/>
      <c r="I703" s="569"/>
      <c r="J703" s="131"/>
      <c r="K703" s="131"/>
      <c r="L703" s="131"/>
      <c r="M703" s="131"/>
      <c r="N703" s="131"/>
      <c r="O703" s="131"/>
      <c r="P703" s="131"/>
      <c r="Q703" s="131"/>
      <c r="R703" s="131"/>
      <c r="S703" s="131"/>
      <c r="T703" s="131"/>
      <c r="U703" s="131"/>
      <c r="V703" s="131"/>
      <c r="W703" s="131"/>
      <c r="X703" s="131"/>
      <c r="Y703" s="131"/>
      <c r="Z703" s="131"/>
    </row>
    <row r="704" spans="1:26" ht="15.75" customHeight="1">
      <c r="A704" s="210"/>
      <c r="B704" s="210"/>
      <c r="C704" s="210"/>
      <c r="D704" s="178"/>
      <c r="E704" s="569"/>
      <c r="F704" s="569"/>
      <c r="G704" s="569"/>
      <c r="H704" s="569"/>
      <c r="I704" s="569"/>
      <c r="J704" s="131"/>
      <c r="K704" s="131"/>
      <c r="L704" s="131"/>
      <c r="M704" s="131"/>
      <c r="N704" s="131"/>
      <c r="O704" s="131"/>
      <c r="P704" s="131"/>
      <c r="Q704" s="131"/>
      <c r="R704" s="131"/>
      <c r="S704" s="131"/>
      <c r="T704" s="131"/>
      <c r="U704" s="131"/>
      <c r="V704" s="131"/>
      <c r="W704" s="131"/>
      <c r="X704" s="131"/>
      <c r="Y704" s="131"/>
      <c r="Z704" s="131"/>
    </row>
    <row r="705" spans="1:26" ht="15.75" customHeight="1">
      <c r="A705" s="210"/>
      <c r="B705" s="210"/>
      <c r="C705" s="210"/>
      <c r="D705" s="178"/>
      <c r="E705" s="569"/>
      <c r="F705" s="569"/>
      <c r="G705" s="569"/>
      <c r="H705" s="569"/>
      <c r="I705" s="569"/>
      <c r="J705" s="131"/>
      <c r="K705" s="131"/>
      <c r="L705" s="131"/>
      <c r="M705" s="131"/>
      <c r="N705" s="131"/>
      <c r="O705" s="131"/>
      <c r="P705" s="131"/>
      <c r="Q705" s="131"/>
      <c r="R705" s="131"/>
      <c r="S705" s="131"/>
      <c r="T705" s="131"/>
      <c r="U705" s="131"/>
      <c r="V705" s="131"/>
      <c r="W705" s="131"/>
      <c r="X705" s="131"/>
      <c r="Y705" s="131"/>
      <c r="Z705" s="131"/>
    </row>
    <row r="706" spans="1:26" ht="15.75" customHeight="1">
      <c r="A706" s="210"/>
      <c r="B706" s="210"/>
      <c r="C706" s="210"/>
      <c r="D706" s="178"/>
      <c r="E706" s="569"/>
      <c r="F706" s="569"/>
      <c r="G706" s="569"/>
      <c r="H706" s="569"/>
      <c r="I706" s="569"/>
      <c r="J706" s="131"/>
      <c r="K706" s="131"/>
      <c r="L706" s="131"/>
      <c r="M706" s="131"/>
      <c r="N706" s="131"/>
      <c r="O706" s="131"/>
      <c r="P706" s="131"/>
      <c r="Q706" s="131"/>
      <c r="R706" s="131"/>
      <c r="S706" s="131"/>
      <c r="T706" s="131"/>
      <c r="U706" s="131"/>
      <c r="V706" s="131"/>
      <c r="W706" s="131"/>
      <c r="X706" s="131"/>
      <c r="Y706" s="131"/>
      <c r="Z706" s="131"/>
    </row>
    <row r="707" spans="1:26" ht="15.75" customHeight="1">
      <c r="A707" s="210"/>
      <c r="B707" s="210"/>
      <c r="C707" s="210"/>
      <c r="D707" s="178"/>
      <c r="E707" s="569"/>
      <c r="F707" s="569"/>
      <c r="G707" s="569"/>
      <c r="H707" s="569"/>
      <c r="I707" s="569"/>
      <c r="J707" s="131"/>
      <c r="K707" s="131"/>
      <c r="L707" s="131"/>
      <c r="M707" s="131"/>
      <c r="N707" s="131"/>
      <c r="O707" s="131"/>
      <c r="P707" s="131"/>
      <c r="Q707" s="131"/>
      <c r="R707" s="131"/>
      <c r="S707" s="131"/>
      <c r="T707" s="131"/>
      <c r="U707" s="131"/>
      <c r="V707" s="131"/>
      <c r="W707" s="131"/>
      <c r="X707" s="131"/>
      <c r="Y707" s="131"/>
      <c r="Z707" s="131"/>
    </row>
    <row r="708" spans="1:26" ht="15.75" customHeight="1">
      <c r="A708" s="210"/>
      <c r="B708" s="210"/>
      <c r="C708" s="210"/>
      <c r="D708" s="178"/>
      <c r="E708" s="569"/>
      <c r="F708" s="569"/>
      <c r="G708" s="569"/>
      <c r="H708" s="569"/>
      <c r="I708" s="569"/>
      <c r="J708" s="131"/>
      <c r="K708" s="131"/>
      <c r="L708" s="131"/>
      <c r="M708" s="131"/>
      <c r="N708" s="131"/>
      <c r="O708" s="131"/>
      <c r="P708" s="131"/>
      <c r="Q708" s="131"/>
      <c r="R708" s="131"/>
      <c r="S708" s="131"/>
      <c r="T708" s="131"/>
      <c r="U708" s="131"/>
      <c r="V708" s="131"/>
      <c r="W708" s="131"/>
      <c r="X708" s="131"/>
      <c r="Y708" s="131"/>
      <c r="Z708" s="131"/>
    </row>
    <row r="709" spans="1:26" ht="15.75" customHeight="1">
      <c r="A709" s="210"/>
      <c r="B709" s="210"/>
      <c r="C709" s="210"/>
      <c r="D709" s="178"/>
      <c r="E709" s="569"/>
      <c r="F709" s="569"/>
      <c r="G709" s="569"/>
      <c r="H709" s="569"/>
      <c r="I709" s="569"/>
      <c r="J709" s="131"/>
      <c r="K709" s="131"/>
      <c r="L709" s="131"/>
      <c r="M709" s="131"/>
      <c r="N709" s="131"/>
      <c r="O709" s="131"/>
      <c r="P709" s="131"/>
      <c r="Q709" s="131"/>
      <c r="R709" s="131"/>
      <c r="S709" s="131"/>
      <c r="T709" s="131"/>
      <c r="U709" s="131"/>
      <c r="V709" s="131"/>
      <c r="W709" s="131"/>
      <c r="X709" s="131"/>
      <c r="Y709" s="131"/>
      <c r="Z709" s="131"/>
    </row>
    <row r="710" spans="1:26" ht="15.75" customHeight="1">
      <c r="A710" s="210"/>
      <c r="B710" s="210"/>
      <c r="C710" s="210"/>
      <c r="D710" s="178"/>
      <c r="E710" s="569"/>
      <c r="F710" s="569"/>
      <c r="G710" s="569"/>
      <c r="H710" s="569"/>
      <c r="I710" s="569"/>
      <c r="J710" s="131"/>
      <c r="K710" s="131"/>
      <c r="L710" s="131"/>
      <c r="M710" s="131"/>
      <c r="N710" s="131"/>
      <c r="O710" s="131"/>
      <c r="P710" s="131"/>
      <c r="Q710" s="131"/>
      <c r="R710" s="131"/>
      <c r="S710" s="131"/>
      <c r="T710" s="131"/>
      <c r="U710" s="131"/>
      <c r="V710" s="131"/>
      <c r="W710" s="131"/>
      <c r="X710" s="131"/>
      <c r="Y710" s="131"/>
      <c r="Z710" s="131"/>
    </row>
    <row r="711" spans="1:26" ht="15.75" customHeight="1">
      <c r="A711" s="210"/>
      <c r="B711" s="210"/>
      <c r="C711" s="210"/>
      <c r="D711" s="178"/>
      <c r="E711" s="569"/>
      <c r="F711" s="569"/>
      <c r="G711" s="569"/>
      <c r="H711" s="569"/>
      <c r="I711" s="569"/>
      <c r="J711" s="131"/>
      <c r="K711" s="131"/>
      <c r="L711" s="131"/>
      <c r="M711" s="131"/>
      <c r="N711" s="131"/>
      <c r="O711" s="131"/>
      <c r="P711" s="131"/>
      <c r="Q711" s="131"/>
      <c r="R711" s="131"/>
      <c r="S711" s="131"/>
      <c r="T711" s="131"/>
      <c r="U711" s="131"/>
      <c r="V711" s="131"/>
      <c r="W711" s="131"/>
      <c r="X711" s="131"/>
      <c r="Y711" s="131"/>
      <c r="Z711" s="131"/>
    </row>
    <row r="712" spans="1:26" ht="15.75" customHeight="1">
      <c r="A712" s="210"/>
      <c r="B712" s="210"/>
      <c r="C712" s="210"/>
      <c r="D712" s="178"/>
      <c r="E712" s="569"/>
      <c r="F712" s="569"/>
      <c r="G712" s="569"/>
      <c r="H712" s="569"/>
      <c r="I712" s="569"/>
      <c r="J712" s="131"/>
      <c r="K712" s="131"/>
      <c r="L712" s="131"/>
      <c r="M712" s="131"/>
      <c r="N712" s="131"/>
      <c r="O712" s="131"/>
      <c r="P712" s="131"/>
      <c r="Q712" s="131"/>
      <c r="R712" s="131"/>
      <c r="S712" s="131"/>
      <c r="T712" s="131"/>
      <c r="U712" s="131"/>
      <c r="V712" s="131"/>
      <c r="W712" s="131"/>
      <c r="X712" s="131"/>
      <c r="Y712" s="131"/>
      <c r="Z712" s="131"/>
    </row>
    <row r="713" spans="1:26" ht="15.75" customHeight="1">
      <c r="A713" s="210"/>
      <c r="B713" s="210"/>
      <c r="C713" s="210"/>
      <c r="D713" s="178"/>
      <c r="E713" s="569"/>
      <c r="F713" s="569"/>
      <c r="G713" s="569"/>
      <c r="H713" s="569"/>
      <c r="I713" s="569"/>
      <c r="J713" s="131"/>
      <c r="K713" s="131"/>
      <c r="L713" s="131"/>
      <c r="M713" s="131"/>
      <c r="N713" s="131"/>
      <c r="O713" s="131"/>
      <c r="P713" s="131"/>
      <c r="Q713" s="131"/>
      <c r="R713" s="131"/>
      <c r="S713" s="131"/>
      <c r="T713" s="131"/>
      <c r="U713" s="131"/>
      <c r="V713" s="131"/>
      <c r="W713" s="131"/>
      <c r="X713" s="131"/>
      <c r="Y713" s="131"/>
      <c r="Z713" s="131"/>
    </row>
    <row r="714" spans="1:26" ht="15.75" customHeight="1">
      <c r="A714" s="210"/>
      <c r="B714" s="210"/>
      <c r="C714" s="210"/>
      <c r="D714" s="178"/>
      <c r="E714" s="569"/>
      <c r="F714" s="569"/>
      <c r="G714" s="569"/>
      <c r="H714" s="569"/>
      <c r="I714" s="569"/>
      <c r="J714" s="131"/>
      <c r="K714" s="131"/>
      <c r="L714" s="131"/>
      <c r="M714" s="131"/>
      <c r="N714" s="131"/>
      <c r="O714" s="131"/>
      <c r="P714" s="131"/>
      <c r="Q714" s="131"/>
      <c r="R714" s="131"/>
      <c r="S714" s="131"/>
      <c r="T714" s="131"/>
      <c r="U714" s="131"/>
      <c r="V714" s="131"/>
      <c r="W714" s="131"/>
      <c r="X714" s="131"/>
      <c r="Y714" s="131"/>
      <c r="Z714" s="131"/>
    </row>
    <row r="715" spans="1:26" ht="15.75" customHeight="1">
      <c r="A715" s="210"/>
      <c r="B715" s="210"/>
      <c r="C715" s="210"/>
      <c r="D715" s="178"/>
      <c r="E715" s="569"/>
      <c r="F715" s="569"/>
      <c r="G715" s="569"/>
      <c r="H715" s="569"/>
      <c r="I715" s="569"/>
      <c r="J715" s="131"/>
      <c r="K715" s="131"/>
      <c r="L715" s="131"/>
      <c r="M715" s="131"/>
      <c r="N715" s="131"/>
      <c r="O715" s="131"/>
      <c r="P715" s="131"/>
      <c r="Q715" s="131"/>
      <c r="R715" s="131"/>
      <c r="S715" s="131"/>
      <c r="T715" s="131"/>
      <c r="U715" s="131"/>
      <c r="V715" s="131"/>
      <c r="W715" s="131"/>
      <c r="X715" s="131"/>
      <c r="Y715" s="131"/>
      <c r="Z715" s="131"/>
    </row>
    <row r="716" spans="1:26" ht="15.75" customHeight="1">
      <c r="A716" s="210"/>
      <c r="B716" s="210"/>
      <c r="C716" s="210"/>
      <c r="D716" s="178"/>
      <c r="E716" s="569"/>
      <c r="F716" s="569"/>
      <c r="G716" s="569"/>
      <c r="H716" s="569"/>
      <c r="I716" s="569"/>
      <c r="J716" s="131"/>
      <c r="K716" s="131"/>
      <c r="L716" s="131"/>
      <c r="M716" s="131"/>
      <c r="N716" s="131"/>
      <c r="O716" s="131"/>
      <c r="P716" s="131"/>
      <c r="Q716" s="131"/>
      <c r="R716" s="131"/>
      <c r="S716" s="131"/>
      <c r="T716" s="131"/>
      <c r="U716" s="131"/>
      <c r="V716" s="131"/>
      <c r="W716" s="131"/>
      <c r="X716" s="131"/>
      <c r="Y716" s="131"/>
      <c r="Z716" s="131"/>
    </row>
    <row r="717" spans="1:26" ht="15.75" customHeight="1">
      <c r="A717" s="210"/>
      <c r="B717" s="210"/>
      <c r="C717" s="210"/>
      <c r="D717" s="178"/>
      <c r="E717" s="569"/>
      <c r="F717" s="569"/>
      <c r="G717" s="569"/>
      <c r="H717" s="569"/>
      <c r="I717" s="569"/>
      <c r="J717" s="131"/>
      <c r="K717" s="131"/>
      <c r="L717" s="131"/>
      <c r="M717" s="131"/>
      <c r="N717" s="131"/>
      <c r="O717" s="131"/>
      <c r="P717" s="131"/>
      <c r="Q717" s="131"/>
      <c r="R717" s="131"/>
      <c r="S717" s="131"/>
      <c r="T717" s="131"/>
      <c r="U717" s="131"/>
      <c r="V717" s="131"/>
      <c r="W717" s="131"/>
      <c r="X717" s="131"/>
      <c r="Y717" s="131"/>
      <c r="Z717" s="131"/>
    </row>
    <row r="718" spans="1:26" ht="15.75" customHeight="1">
      <c r="A718" s="210"/>
      <c r="B718" s="210"/>
      <c r="C718" s="210"/>
      <c r="D718" s="178"/>
      <c r="E718" s="569"/>
      <c r="F718" s="569"/>
      <c r="G718" s="569"/>
      <c r="H718" s="569"/>
      <c r="I718" s="569"/>
      <c r="J718" s="131"/>
      <c r="K718" s="131"/>
      <c r="L718" s="131"/>
      <c r="M718" s="131"/>
      <c r="N718" s="131"/>
      <c r="O718" s="131"/>
      <c r="P718" s="131"/>
      <c r="Q718" s="131"/>
      <c r="R718" s="131"/>
      <c r="S718" s="131"/>
      <c r="T718" s="131"/>
      <c r="U718" s="131"/>
      <c r="V718" s="131"/>
      <c r="W718" s="131"/>
      <c r="X718" s="131"/>
      <c r="Y718" s="131"/>
      <c r="Z718" s="131"/>
    </row>
    <row r="719" spans="1:26" ht="15.75" customHeight="1">
      <c r="A719" s="210"/>
      <c r="B719" s="210"/>
      <c r="C719" s="210"/>
      <c r="D719" s="178"/>
      <c r="E719" s="569"/>
      <c r="F719" s="569"/>
      <c r="G719" s="569"/>
      <c r="H719" s="569"/>
      <c r="I719" s="569"/>
      <c r="J719" s="131"/>
      <c r="K719" s="131"/>
      <c r="L719" s="131"/>
      <c r="M719" s="131"/>
      <c r="N719" s="131"/>
      <c r="O719" s="131"/>
      <c r="P719" s="131"/>
      <c r="Q719" s="131"/>
      <c r="R719" s="131"/>
      <c r="S719" s="131"/>
      <c r="T719" s="131"/>
      <c r="U719" s="131"/>
      <c r="V719" s="131"/>
      <c r="W719" s="131"/>
      <c r="X719" s="131"/>
      <c r="Y719" s="131"/>
      <c r="Z719" s="131"/>
    </row>
    <row r="720" spans="1:26" ht="15.75" customHeight="1">
      <c r="A720" s="210"/>
      <c r="B720" s="210"/>
      <c r="C720" s="210"/>
      <c r="D720" s="178"/>
      <c r="E720" s="569"/>
      <c r="F720" s="569"/>
      <c r="G720" s="569"/>
      <c r="H720" s="569"/>
      <c r="I720" s="569"/>
      <c r="J720" s="131"/>
      <c r="K720" s="131"/>
      <c r="L720" s="131"/>
      <c r="M720" s="131"/>
      <c r="N720" s="131"/>
      <c r="O720" s="131"/>
      <c r="P720" s="131"/>
      <c r="Q720" s="131"/>
      <c r="R720" s="131"/>
      <c r="S720" s="131"/>
      <c r="T720" s="131"/>
      <c r="U720" s="131"/>
      <c r="V720" s="131"/>
      <c r="W720" s="131"/>
      <c r="X720" s="131"/>
      <c r="Y720" s="131"/>
      <c r="Z720" s="131"/>
    </row>
    <row r="721" spans="1:26" ht="15.75" customHeight="1">
      <c r="A721" s="210"/>
      <c r="B721" s="210"/>
      <c r="C721" s="210"/>
      <c r="D721" s="178"/>
      <c r="E721" s="569"/>
      <c r="F721" s="569"/>
      <c r="G721" s="569"/>
      <c r="H721" s="569"/>
      <c r="I721" s="569"/>
      <c r="J721" s="131"/>
      <c r="K721" s="131"/>
      <c r="L721" s="131"/>
      <c r="M721" s="131"/>
      <c r="N721" s="131"/>
      <c r="O721" s="131"/>
      <c r="P721" s="131"/>
      <c r="Q721" s="131"/>
      <c r="R721" s="131"/>
      <c r="S721" s="131"/>
      <c r="T721" s="131"/>
      <c r="U721" s="131"/>
      <c r="V721" s="131"/>
      <c r="W721" s="131"/>
      <c r="X721" s="131"/>
      <c r="Y721" s="131"/>
      <c r="Z721" s="131"/>
    </row>
    <row r="722" spans="1:26" ht="15.75" customHeight="1">
      <c r="A722" s="210"/>
      <c r="B722" s="210"/>
      <c r="C722" s="210"/>
      <c r="D722" s="178"/>
      <c r="E722" s="569"/>
      <c r="F722" s="569"/>
      <c r="G722" s="569"/>
      <c r="H722" s="569"/>
      <c r="I722" s="569"/>
      <c r="J722" s="131"/>
      <c r="K722" s="131"/>
      <c r="L722" s="131"/>
      <c r="M722" s="131"/>
      <c r="N722" s="131"/>
      <c r="O722" s="131"/>
      <c r="P722" s="131"/>
      <c r="Q722" s="131"/>
      <c r="R722" s="131"/>
      <c r="S722" s="131"/>
      <c r="T722" s="131"/>
      <c r="U722" s="131"/>
      <c r="V722" s="131"/>
      <c r="W722" s="131"/>
      <c r="X722" s="131"/>
      <c r="Y722" s="131"/>
      <c r="Z722" s="131"/>
    </row>
    <row r="723" spans="1:26" ht="15.75" customHeight="1">
      <c r="A723" s="210"/>
      <c r="B723" s="210"/>
      <c r="C723" s="210"/>
      <c r="D723" s="178"/>
      <c r="E723" s="569"/>
      <c r="F723" s="569"/>
      <c r="G723" s="569"/>
      <c r="H723" s="569"/>
      <c r="I723" s="569"/>
      <c r="J723" s="131"/>
      <c r="K723" s="131"/>
      <c r="L723" s="131"/>
      <c r="M723" s="131"/>
      <c r="N723" s="131"/>
      <c r="O723" s="131"/>
      <c r="P723" s="131"/>
      <c r="Q723" s="131"/>
      <c r="R723" s="131"/>
      <c r="S723" s="131"/>
      <c r="T723" s="131"/>
      <c r="U723" s="131"/>
      <c r="V723" s="131"/>
      <c r="W723" s="131"/>
      <c r="X723" s="131"/>
      <c r="Y723" s="131"/>
      <c r="Z723" s="131"/>
    </row>
    <row r="724" spans="1:26" ht="15.75" customHeight="1">
      <c r="A724" s="210"/>
      <c r="B724" s="210"/>
      <c r="C724" s="210"/>
      <c r="D724" s="178"/>
      <c r="E724" s="569"/>
      <c r="F724" s="569"/>
      <c r="G724" s="569"/>
      <c r="H724" s="569"/>
      <c r="I724" s="569"/>
      <c r="J724" s="131"/>
      <c r="K724" s="131"/>
      <c r="L724" s="131"/>
      <c r="M724" s="131"/>
      <c r="N724" s="131"/>
      <c r="O724" s="131"/>
      <c r="P724" s="131"/>
      <c r="Q724" s="131"/>
      <c r="R724" s="131"/>
      <c r="S724" s="131"/>
      <c r="T724" s="131"/>
      <c r="U724" s="131"/>
      <c r="V724" s="131"/>
      <c r="W724" s="131"/>
      <c r="X724" s="131"/>
      <c r="Y724" s="131"/>
      <c r="Z724" s="131"/>
    </row>
    <row r="725" spans="1:26" ht="15.75" customHeight="1">
      <c r="A725" s="210"/>
      <c r="B725" s="210"/>
      <c r="C725" s="210"/>
      <c r="D725" s="178"/>
      <c r="E725" s="569"/>
      <c r="F725" s="569"/>
      <c r="G725" s="569"/>
      <c r="H725" s="569"/>
      <c r="I725" s="569"/>
      <c r="J725" s="131"/>
      <c r="K725" s="131"/>
      <c r="L725" s="131"/>
      <c r="M725" s="131"/>
      <c r="N725" s="131"/>
      <c r="O725" s="131"/>
      <c r="P725" s="131"/>
      <c r="Q725" s="131"/>
      <c r="R725" s="131"/>
      <c r="S725" s="131"/>
      <c r="T725" s="131"/>
      <c r="U725" s="131"/>
      <c r="V725" s="131"/>
      <c r="W725" s="131"/>
      <c r="X725" s="131"/>
      <c r="Y725" s="131"/>
      <c r="Z725" s="131"/>
    </row>
    <row r="726" spans="1:26" ht="15.75" customHeight="1">
      <c r="A726" s="210"/>
      <c r="B726" s="210"/>
      <c r="C726" s="210"/>
      <c r="D726" s="178"/>
      <c r="E726" s="569"/>
      <c r="F726" s="569"/>
      <c r="G726" s="569"/>
      <c r="H726" s="569"/>
      <c r="I726" s="569"/>
      <c r="J726" s="131"/>
      <c r="K726" s="131"/>
      <c r="L726" s="131"/>
      <c r="M726" s="131"/>
      <c r="N726" s="131"/>
      <c r="O726" s="131"/>
      <c r="P726" s="131"/>
      <c r="Q726" s="131"/>
      <c r="R726" s="131"/>
      <c r="S726" s="131"/>
      <c r="T726" s="131"/>
      <c r="U726" s="131"/>
      <c r="V726" s="131"/>
      <c r="W726" s="131"/>
      <c r="X726" s="131"/>
      <c r="Y726" s="131"/>
      <c r="Z726" s="131"/>
    </row>
    <row r="727" spans="1:26" ht="15.75" customHeight="1">
      <c r="A727" s="210"/>
      <c r="B727" s="210"/>
      <c r="C727" s="210"/>
      <c r="D727" s="178"/>
      <c r="E727" s="569"/>
      <c r="F727" s="569"/>
      <c r="G727" s="569"/>
      <c r="H727" s="569"/>
      <c r="I727" s="569"/>
      <c r="J727" s="131"/>
      <c r="K727" s="131"/>
      <c r="L727" s="131"/>
      <c r="M727" s="131"/>
      <c r="N727" s="131"/>
      <c r="O727" s="131"/>
      <c r="P727" s="131"/>
      <c r="Q727" s="131"/>
      <c r="R727" s="131"/>
      <c r="S727" s="131"/>
      <c r="T727" s="131"/>
      <c r="U727" s="131"/>
      <c r="V727" s="131"/>
      <c r="W727" s="131"/>
      <c r="X727" s="131"/>
      <c r="Y727" s="131"/>
      <c r="Z727" s="131"/>
    </row>
    <row r="728" spans="1:26" ht="15.75" customHeight="1">
      <c r="A728" s="210"/>
      <c r="B728" s="210"/>
      <c r="C728" s="210"/>
      <c r="D728" s="178"/>
      <c r="E728" s="569"/>
      <c r="F728" s="569"/>
      <c r="G728" s="569"/>
      <c r="H728" s="569"/>
      <c r="I728" s="569"/>
      <c r="J728" s="131"/>
      <c r="K728" s="131"/>
      <c r="L728" s="131"/>
      <c r="M728" s="131"/>
      <c r="N728" s="131"/>
      <c r="O728" s="131"/>
      <c r="P728" s="131"/>
      <c r="Q728" s="131"/>
      <c r="R728" s="131"/>
      <c r="S728" s="131"/>
      <c r="T728" s="131"/>
      <c r="U728" s="131"/>
      <c r="V728" s="131"/>
      <c r="W728" s="131"/>
      <c r="X728" s="131"/>
      <c r="Y728" s="131"/>
      <c r="Z728" s="131"/>
    </row>
    <row r="729" spans="1:26" ht="15.75" customHeight="1">
      <c r="A729" s="210"/>
      <c r="B729" s="210"/>
      <c r="C729" s="210"/>
      <c r="D729" s="178"/>
      <c r="E729" s="569"/>
      <c r="F729" s="569"/>
      <c r="G729" s="569"/>
      <c r="H729" s="569"/>
      <c r="I729" s="569"/>
      <c r="J729" s="131"/>
      <c r="K729" s="131"/>
      <c r="L729" s="131"/>
      <c r="M729" s="131"/>
      <c r="N729" s="131"/>
      <c r="O729" s="131"/>
      <c r="P729" s="131"/>
      <c r="Q729" s="131"/>
      <c r="R729" s="131"/>
      <c r="S729" s="131"/>
      <c r="T729" s="131"/>
      <c r="U729" s="131"/>
      <c r="V729" s="131"/>
      <c r="W729" s="131"/>
      <c r="X729" s="131"/>
      <c r="Y729" s="131"/>
      <c r="Z729" s="131"/>
    </row>
    <row r="730" spans="1:26" ht="15.75" customHeight="1">
      <c r="A730" s="210"/>
      <c r="B730" s="210"/>
      <c r="C730" s="210"/>
      <c r="D730" s="178"/>
      <c r="E730" s="569"/>
      <c r="F730" s="569"/>
      <c r="G730" s="569"/>
      <c r="H730" s="569"/>
      <c r="I730" s="569"/>
      <c r="J730" s="131"/>
      <c r="K730" s="131"/>
      <c r="L730" s="131"/>
      <c r="M730" s="131"/>
      <c r="N730" s="131"/>
      <c r="O730" s="131"/>
      <c r="P730" s="131"/>
      <c r="Q730" s="131"/>
      <c r="R730" s="131"/>
      <c r="S730" s="131"/>
      <c r="T730" s="131"/>
      <c r="U730" s="131"/>
      <c r="V730" s="131"/>
      <c r="W730" s="131"/>
      <c r="X730" s="131"/>
      <c r="Y730" s="131"/>
      <c r="Z730" s="131"/>
    </row>
    <row r="731" spans="1:26" ht="15.75" customHeight="1">
      <c r="A731" s="210"/>
      <c r="B731" s="210"/>
      <c r="C731" s="210"/>
      <c r="D731" s="178"/>
      <c r="E731" s="569"/>
      <c r="F731" s="569"/>
      <c r="G731" s="569"/>
      <c r="H731" s="569"/>
      <c r="I731" s="569"/>
      <c r="J731" s="131"/>
      <c r="K731" s="131"/>
      <c r="L731" s="131"/>
      <c r="M731" s="131"/>
      <c r="N731" s="131"/>
      <c r="O731" s="131"/>
      <c r="P731" s="131"/>
      <c r="Q731" s="131"/>
      <c r="R731" s="131"/>
      <c r="S731" s="131"/>
      <c r="T731" s="131"/>
      <c r="U731" s="131"/>
      <c r="V731" s="131"/>
      <c r="W731" s="131"/>
      <c r="X731" s="131"/>
      <c r="Y731" s="131"/>
      <c r="Z731" s="131"/>
    </row>
    <row r="732" spans="1:26" ht="15.75" customHeight="1">
      <c r="A732" s="210"/>
      <c r="B732" s="210"/>
      <c r="C732" s="210"/>
      <c r="D732" s="178"/>
      <c r="E732" s="569"/>
      <c r="F732" s="569"/>
      <c r="G732" s="569"/>
      <c r="H732" s="569"/>
      <c r="I732" s="569"/>
      <c r="J732" s="131"/>
      <c r="K732" s="131"/>
      <c r="L732" s="131"/>
      <c r="M732" s="131"/>
      <c r="N732" s="131"/>
      <c r="O732" s="131"/>
      <c r="P732" s="131"/>
      <c r="Q732" s="131"/>
      <c r="R732" s="131"/>
      <c r="S732" s="131"/>
      <c r="T732" s="131"/>
      <c r="U732" s="131"/>
      <c r="V732" s="131"/>
      <c r="W732" s="131"/>
      <c r="X732" s="131"/>
      <c r="Y732" s="131"/>
      <c r="Z732" s="131"/>
    </row>
    <row r="733" spans="1:26" ht="15.75" customHeight="1">
      <c r="A733" s="210"/>
      <c r="B733" s="210"/>
      <c r="C733" s="210"/>
      <c r="D733" s="178"/>
      <c r="E733" s="569"/>
      <c r="F733" s="569"/>
      <c r="G733" s="569"/>
      <c r="H733" s="569"/>
      <c r="I733" s="569"/>
      <c r="J733" s="131"/>
      <c r="K733" s="131"/>
      <c r="L733" s="131"/>
      <c r="M733" s="131"/>
      <c r="N733" s="131"/>
      <c r="O733" s="131"/>
      <c r="P733" s="131"/>
      <c r="Q733" s="131"/>
      <c r="R733" s="131"/>
      <c r="S733" s="131"/>
      <c r="T733" s="131"/>
      <c r="U733" s="131"/>
      <c r="V733" s="131"/>
      <c r="W733" s="131"/>
      <c r="X733" s="131"/>
      <c r="Y733" s="131"/>
      <c r="Z733" s="131"/>
    </row>
    <row r="734" spans="1:26" ht="15.75" customHeight="1">
      <c r="A734" s="210"/>
      <c r="B734" s="210"/>
      <c r="C734" s="210"/>
      <c r="D734" s="178"/>
      <c r="E734" s="569"/>
      <c r="F734" s="569"/>
      <c r="G734" s="569"/>
      <c r="H734" s="569"/>
      <c r="I734" s="569"/>
      <c r="J734" s="131"/>
      <c r="K734" s="131"/>
      <c r="L734" s="131"/>
      <c r="M734" s="131"/>
      <c r="N734" s="131"/>
      <c r="O734" s="131"/>
      <c r="P734" s="131"/>
      <c r="Q734" s="131"/>
      <c r="R734" s="131"/>
      <c r="S734" s="131"/>
      <c r="T734" s="131"/>
      <c r="U734" s="131"/>
      <c r="V734" s="131"/>
      <c r="W734" s="131"/>
      <c r="X734" s="131"/>
      <c r="Y734" s="131"/>
      <c r="Z734" s="131"/>
    </row>
    <row r="735" spans="1:26" ht="15.75" customHeight="1">
      <c r="A735" s="210"/>
      <c r="B735" s="210"/>
      <c r="C735" s="210"/>
      <c r="D735" s="178"/>
      <c r="E735" s="569"/>
      <c r="F735" s="569"/>
      <c r="G735" s="569"/>
      <c r="H735" s="569"/>
      <c r="I735" s="569"/>
      <c r="J735" s="131"/>
      <c r="K735" s="131"/>
      <c r="L735" s="131"/>
      <c r="M735" s="131"/>
      <c r="N735" s="131"/>
      <c r="O735" s="131"/>
      <c r="P735" s="131"/>
      <c r="Q735" s="131"/>
      <c r="R735" s="131"/>
      <c r="S735" s="131"/>
      <c r="T735" s="131"/>
      <c r="U735" s="131"/>
      <c r="V735" s="131"/>
      <c r="W735" s="131"/>
      <c r="X735" s="131"/>
      <c r="Y735" s="131"/>
      <c r="Z735" s="131"/>
    </row>
    <row r="736" spans="1:26" ht="15.75" customHeight="1">
      <c r="A736" s="210"/>
      <c r="B736" s="210"/>
      <c r="C736" s="210"/>
      <c r="D736" s="178"/>
      <c r="E736" s="569"/>
      <c r="F736" s="569"/>
      <c r="G736" s="569"/>
      <c r="H736" s="569"/>
      <c r="I736" s="569"/>
      <c r="J736" s="131"/>
      <c r="K736" s="131"/>
      <c r="L736" s="131"/>
      <c r="M736" s="131"/>
      <c r="N736" s="131"/>
      <c r="O736" s="131"/>
      <c r="P736" s="131"/>
      <c r="Q736" s="131"/>
      <c r="R736" s="131"/>
      <c r="S736" s="131"/>
      <c r="T736" s="131"/>
      <c r="U736" s="131"/>
      <c r="V736" s="131"/>
      <c r="W736" s="131"/>
      <c r="X736" s="131"/>
      <c r="Y736" s="131"/>
      <c r="Z736" s="131"/>
    </row>
    <row r="737" spans="1:26" ht="15.75" customHeight="1">
      <c r="A737" s="210"/>
      <c r="B737" s="210"/>
      <c r="C737" s="210"/>
      <c r="D737" s="178"/>
      <c r="E737" s="569"/>
      <c r="F737" s="569"/>
      <c r="G737" s="569"/>
      <c r="H737" s="569"/>
      <c r="I737" s="569"/>
      <c r="J737" s="131"/>
      <c r="K737" s="131"/>
      <c r="L737" s="131"/>
      <c r="M737" s="131"/>
      <c r="N737" s="131"/>
      <c r="O737" s="131"/>
      <c r="P737" s="131"/>
      <c r="Q737" s="131"/>
      <c r="R737" s="131"/>
      <c r="S737" s="131"/>
      <c r="T737" s="131"/>
      <c r="U737" s="131"/>
      <c r="V737" s="131"/>
      <c r="W737" s="131"/>
      <c r="X737" s="131"/>
      <c r="Y737" s="131"/>
      <c r="Z737" s="131"/>
    </row>
    <row r="738" spans="1:26" ht="15.75" customHeight="1">
      <c r="A738" s="210"/>
      <c r="B738" s="210"/>
      <c r="C738" s="210"/>
      <c r="D738" s="178"/>
      <c r="E738" s="569"/>
      <c r="F738" s="569"/>
      <c r="G738" s="569"/>
      <c r="H738" s="569"/>
      <c r="I738" s="569"/>
      <c r="J738" s="131"/>
      <c r="K738" s="131"/>
      <c r="L738" s="131"/>
      <c r="M738" s="131"/>
      <c r="N738" s="131"/>
      <c r="O738" s="131"/>
      <c r="P738" s="131"/>
      <c r="Q738" s="131"/>
      <c r="R738" s="131"/>
      <c r="S738" s="131"/>
      <c r="T738" s="131"/>
      <c r="U738" s="131"/>
      <c r="V738" s="131"/>
      <c r="W738" s="131"/>
      <c r="X738" s="131"/>
      <c r="Y738" s="131"/>
      <c r="Z738" s="131"/>
    </row>
    <row r="739" spans="1:26" ht="15.75" customHeight="1">
      <c r="A739" s="210"/>
      <c r="B739" s="210"/>
      <c r="C739" s="210"/>
      <c r="D739" s="178"/>
      <c r="E739" s="569"/>
      <c r="F739" s="569"/>
      <c r="G739" s="569"/>
      <c r="H739" s="569"/>
      <c r="I739" s="569"/>
      <c r="J739" s="131"/>
      <c r="K739" s="131"/>
      <c r="L739" s="131"/>
      <c r="M739" s="131"/>
      <c r="N739" s="131"/>
      <c r="O739" s="131"/>
      <c r="P739" s="131"/>
      <c r="Q739" s="131"/>
      <c r="R739" s="131"/>
      <c r="S739" s="131"/>
      <c r="T739" s="131"/>
      <c r="U739" s="131"/>
      <c r="V739" s="131"/>
      <c r="W739" s="131"/>
      <c r="X739" s="131"/>
      <c r="Y739" s="131"/>
      <c r="Z739" s="131"/>
    </row>
    <row r="740" spans="1:26" ht="15.75" customHeight="1">
      <c r="A740" s="210"/>
      <c r="B740" s="210"/>
      <c r="C740" s="210"/>
      <c r="D740" s="178"/>
      <c r="E740" s="569"/>
      <c r="F740" s="569"/>
      <c r="G740" s="569"/>
      <c r="H740" s="569"/>
      <c r="I740" s="569"/>
      <c r="J740" s="131"/>
      <c r="K740" s="131"/>
      <c r="L740" s="131"/>
      <c r="M740" s="131"/>
      <c r="N740" s="131"/>
      <c r="O740" s="131"/>
      <c r="P740" s="131"/>
      <c r="Q740" s="131"/>
      <c r="R740" s="131"/>
      <c r="S740" s="131"/>
      <c r="T740" s="131"/>
      <c r="U740" s="131"/>
      <c r="V740" s="131"/>
      <c r="W740" s="131"/>
      <c r="X740" s="131"/>
      <c r="Y740" s="131"/>
      <c r="Z740" s="131"/>
    </row>
    <row r="741" spans="1:26" ht="15.75" customHeight="1">
      <c r="A741" s="210"/>
      <c r="B741" s="210"/>
      <c r="C741" s="210"/>
      <c r="D741" s="178"/>
      <c r="E741" s="569"/>
      <c r="F741" s="569"/>
      <c r="G741" s="569"/>
      <c r="H741" s="569"/>
      <c r="I741" s="569"/>
      <c r="J741" s="131"/>
      <c r="K741" s="131"/>
      <c r="L741" s="131"/>
      <c r="M741" s="131"/>
      <c r="N741" s="131"/>
      <c r="O741" s="131"/>
      <c r="P741" s="131"/>
      <c r="Q741" s="131"/>
      <c r="R741" s="131"/>
      <c r="S741" s="131"/>
      <c r="T741" s="131"/>
      <c r="U741" s="131"/>
      <c r="V741" s="131"/>
      <c r="W741" s="131"/>
      <c r="X741" s="131"/>
      <c r="Y741" s="131"/>
      <c r="Z741" s="131"/>
    </row>
    <row r="742" spans="1:26" ht="15.75" customHeight="1">
      <c r="A742" s="210"/>
      <c r="B742" s="210"/>
      <c r="C742" s="210"/>
      <c r="D742" s="178"/>
      <c r="E742" s="569"/>
      <c r="F742" s="569"/>
      <c r="G742" s="569"/>
      <c r="H742" s="569"/>
      <c r="I742" s="569"/>
      <c r="J742" s="131"/>
      <c r="K742" s="131"/>
      <c r="L742" s="131"/>
      <c r="M742" s="131"/>
      <c r="N742" s="131"/>
      <c r="O742" s="131"/>
      <c r="P742" s="131"/>
      <c r="Q742" s="131"/>
      <c r="R742" s="131"/>
      <c r="S742" s="131"/>
      <c r="T742" s="131"/>
      <c r="U742" s="131"/>
      <c r="V742" s="131"/>
      <c r="W742" s="131"/>
      <c r="X742" s="131"/>
      <c r="Y742" s="131"/>
      <c r="Z742" s="131"/>
    </row>
    <row r="743" spans="1:26" ht="15.75" customHeight="1">
      <c r="A743" s="210"/>
      <c r="B743" s="210"/>
      <c r="C743" s="210"/>
      <c r="D743" s="178"/>
      <c r="E743" s="569"/>
      <c r="F743" s="569"/>
      <c r="G743" s="569"/>
      <c r="H743" s="569"/>
      <c r="I743" s="569"/>
      <c r="J743" s="131"/>
      <c r="K743" s="131"/>
      <c r="L743" s="131"/>
      <c r="M743" s="131"/>
      <c r="N743" s="131"/>
      <c r="O743" s="131"/>
      <c r="P743" s="131"/>
      <c r="Q743" s="131"/>
      <c r="R743" s="131"/>
      <c r="S743" s="131"/>
      <c r="T743" s="131"/>
      <c r="U743" s="131"/>
      <c r="V743" s="131"/>
      <c r="W743" s="131"/>
      <c r="X743" s="131"/>
      <c r="Y743" s="131"/>
      <c r="Z743" s="131"/>
    </row>
    <row r="744" spans="1:26" ht="15.75" customHeight="1">
      <c r="A744" s="210"/>
      <c r="B744" s="210"/>
      <c r="C744" s="210"/>
      <c r="D744" s="178"/>
      <c r="E744" s="569"/>
      <c r="F744" s="569"/>
      <c r="G744" s="569"/>
      <c r="H744" s="569"/>
      <c r="I744" s="569"/>
      <c r="J744" s="131"/>
      <c r="K744" s="131"/>
      <c r="L744" s="131"/>
      <c r="M744" s="131"/>
      <c r="N744" s="131"/>
      <c r="O744" s="131"/>
      <c r="P744" s="131"/>
      <c r="Q744" s="131"/>
      <c r="R744" s="131"/>
      <c r="S744" s="131"/>
      <c r="T744" s="131"/>
      <c r="U744" s="131"/>
      <c r="V744" s="131"/>
      <c r="W744" s="131"/>
      <c r="X744" s="131"/>
      <c r="Y744" s="131"/>
      <c r="Z744" s="131"/>
    </row>
    <row r="745" spans="1:26" ht="15.75" customHeight="1">
      <c r="A745" s="210"/>
      <c r="B745" s="210"/>
      <c r="C745" s="210"/>
      <c r="D745" s="178"/>
      <c r="E745" s="569"/>
      <c r="F745" s="569"/>
      <c r="G745" s="569"/>
      <c r="H745" s="569"/>
      <c r="I745" s="569"/>
      <c r="J745" s="131"/>
      <c r="K745" s="131"/>
      <c r="L745" s="131"/>
      <c r="M745" s="131"/>
      <c r="N745" s="131"/>
      <c r="O745" s="131"/>
      <c r="P745" s="131"/>
      <c r="Q745" s="131"/>
      <c r="R745" s="131"/>
      <c r="S745" s="131"/>
      <c r="T745" s="131"/>
      <c r="U745" s="131"/>
      <c r="V745" s="131"/>
      <c r="W745" s="131"/>
      <c r="X745" s="131"/>
      <c r="Y745" s="131"/>
      <c r="Z745" s="131"/>
    </row>
    <row r="746" spans="1:26" ht="15.75" customHeight="1">
      <c r="A746" s="210"/>
      <c r="B746" s="210"/>
      <c r="C746" s="210"/>
      <c r="D746" s="178"/>
      <c r="E746" s="569"/>
      <c r="F746" s="569"/>
      <c r="G746" s="569"/>
      <c r="H746" s="569"/>
      <c r="I746" s="569"/>
      <c r="J746" s="131"/>
      <c r="K746" s="131"/>
      <c r="L746" s="131"/>
      <c r="M746" s="131"/>
      <c r="N746" s="131"/>
      <c r="O746" s="131"/>
      <c r="P746" s="131"/>
      <c r="Q746" s="131"/>
      <c r="R746" s="131"/>
      <c r="S746" s="131"/>
      <c r="T746" s="131"/>
      <c r="U746" s="131"/>
      <c r="V746" s="131"/>
      <c r="W746" s="131"/>
      <c r="X746" s="131"/>
      <c r="Y746" s="131"/>
      <c r="Z746" s="131"/>
    </row>
    <row r="747" spans="1:26" ht="15.75" customHeight="1">
      <c r="A747" s="210"/>
      <c r="B747" s="210"/>
      <c r="C747" s="210"/>
      <c r="D747" s="178"/>
      <c r="E747" s="569"/>
      <c r="F747" s="569"/>
      <c r="G747" s="569"/>
      <c r="H747" s="569"/>
      <c r="I747" s="569"/>
      <c r="J747" s="131"/>
      <c r="K747" s="131"/>
      <c r="L747" s="131"/>
      <c r="M747" s="131"/>
      <c r="N747" s="131"/>
      <c r="O747" s="131"/>
      <c r="P747" s="131"/>
      <c r="Q747" s="131"/>
      <c r="R747" s="131"/>
      <c r="S747" s="131"/>
      <c r="T747" s="131"/>
      <c r="U747" s="131"/>
      <c r="V747" s="131"/>
      <c r="W747" s="131"/>
      <c r="X747" s="131"/>
      <c r="Y747" s="131"/>
      <c r="Z747" s="131"/>
    </row>
    <row r="748" spans="1:26" ht="15.75" customHeight="1">
      <c r="A748" s="210"/>
      <c r="B748" s="210"/>
      <c r="C748" s="210"/>
      <c r="D748" s="178"/>
      <c r="E748" s="569"/>
      <c r="F748" s="569"/>
      <c r="G748" s="569"/>
      <c r="H748" s="569"/>
      <c r="I748" s="569"/>
      <c r="J748" s="131"/>
      <c r="K748" s="131"/>
      <c r="L748" s="131"/>
      <c r="M748" s="131"/>
      <c r="N748" s="131"/>
      <c r="O748" s="131"/>
      <c r="P748" s="131"/>
      <c r="Q748" s="131"/>
      <c r="R748" s="131"/>
      <c r="S748" s="131"/>
      <c r="T748" s="131"/>
      <c r="U748" s="131"/>
      <c r="V748" s="131"/>
      <c r="W748" s="131"/>
      <c r="X748" s="131"/>
      <c r="Y748" s="131"/>
      <c r="Z748" s="131"/>
    </row>
    <row r="749" spans="1:26" ht="15.75" customHeight="1">
      <c r="A749" s="210"/>
      <c r="B749" s="210"/>
      <c r="C749" s="210"/>
      <c r="D749" s="178"/>
      <c r="E749" s="569"/>
      <c r="F749" s="569"/>
      <c r="G749" s="569"/>
      <c r="H749" s="569"/>
      <c r="I749" s="569"/>
      <c r="J749" s="131"/>
      <c r="K749" s="131"/>
      <c r="L749" s="131"/>
      <c r="M749" s="131"/>
      <c r="N749" s="131"/>
      <c r="O749" s="131"/>
      <c r="P749" s="131"/>
      <c r="Q749" s="131"/>
      <c r="R749" s="131"/>
      <c r="S749" s="131"/>
      <c r="T749" s="131"/>
      <c r="U749" s="131"/>
      <c r="V749" s="131"/>
      <c r="W749" s="131"/>
      <c r="X749" s="131"/>
      <c r="Y749" s="131"/>
      <c r="Z749" s="131"/>
    </row>
    <row r="750" spans="1:26" ht="15.75" customHeight="1">
      <c r="A750" s="210"/>
      <c r="B750" s="210"/>
      <c r="C750" s="210"/>
      <c r="D750" s="178"/>
      <c r="E750" s="569"/>
      <c r="F750" s="569"/>
      <c r="G750" s="569"/>
      <c r="H750" s="569"/>
      <c r="I750" s="569"/>
      <c r="J750" s="131"/>
      <c r="K750" s="131"/>
      <c r="L750" s="131"/>
      <c r="M750" s="131"/>
      <c r="N750" s="131"/>
      <c r="O750" s="131"/>
      <c r="P750" s="131"/>
      <c r="Q750" s="131"/>
      <c r="R750" s="131"/>
      <c r="S750" s="131"/>
      <c r="T750" s="131"/>
      <c r="U750" s="131"/>
      <c r="V750" s="131"/>
      <c r="W750" s="131"/>
      <c r="X750" s="131"/>
      <c r="Y750" s="131"/>
      <c r="Z750" s="131"/>
    </row>
    <row r="751" spans="1:26" ht="15.75" customHeight="1">
      <c r="A751" s="210"/>
      <c r="B751" s="210"/>
      <c r="C751" s="210"/>
      <c r="D751" s="178"/>
      <c r="E751" s="569"/>
      <c r="F751" s="569"/>
      <c r="G751" s="569"/>
      <c r="H751" s="569"/>
      <c r="I751" s="569"/>
      <c r="J751" s="131"/>
      <c r="K751" s="131"/>
      <c r="L751" s="131"/>
      <c r="M751" s="131"/>
      <c r="N751" s="131"/>
      <c r="O751" s="131"/>
      <c r="P751" s="131"/>
      <c r="Q751" s="131"/>
      <c r="R751" s="131"/>
      <c r="S751" s="131"/>
      <c r="T751" s="131"/>
      <c r="U751" s="131"/>
      <c r="V751" s="131"/>
      <c r="W751" s="131"/>
      <c r="X751" s="131"/>
      <c r="Y751" s="131"/>
      <c r="Z751" s="131"/>
    </row>
    <row r="752" spans="1:26" ht="15.75" customHeight="1">
      <c r="A752" s="210"/>
      <c r="B752" s="210"/>
      <c r="C752" s="210"/>
      <c r="D752" s="178"/>
      <c r="E752" s="569"/>
      <c r="F752" s="569"/>
      <c r="G752" s="569"/>
      <c r="H752" s="569"/>
      <c r="I752" s="569"/>
      <c r="J752" s="131"/>
      <c r="K752" s="131"/>
      <c r="L752" s="131"/>
      <c r="M752" s="131"/>
      <c r="N752" s="131"/>
      <c r="O752" s="131"/>
      <c r="P752" s="131"/>
      <c r="Q752" s="131"/>
      <c r="R752" s="131"/>
      <c r="S752" s="131"/>
      <c r="T752" s="131"/>
      <c r="U752" s="131"/>
      <c r="V752" s="131"/>
      <c r="W752" s="131"/>
      <c r="X752" s="131"/>
      <c r="Y752" s="131"/>
      <c r="Z752" s="131"/>
    </row>
    <row r="753" spans="1:26" ht="15.75" customHeight="1">
      <c r="A753" s="210"/>
      <c r="B753" s="210"/>
      <c r="C753" s="210"/>
      <c r="D753" s="178"/>
      <c r="E753" s="569"/>
      <c r="F753" s="569"/>
      <c r="G753" s="569"/>
      <c r="H753" s="569"/>
      <c r="I753" s="569"/>
      <c r="J753" s="131"/>
      <c r="K753" s="131"/>
      <c r="L753" s="131"/>
      <c r="M753" s="131"/>
      <c r="N753" s="131"/>
      <c r="O753" s="131"/>
      <c r="P753" s="131"/>
      <c r="Q753" s="131"/>
      <c r="R753" s="131"/>
      <c r="S753" s="131"/>
      <c r="T753" s="131"/>
      <c r="U753" s="131"/>
      <c r="V753" s="131"/>
      <c r="W753" s="131"/>
      <c r="X753" s="131"/>
      <c r="Y753" s="131"/>
      <c r="Z753" s="131"/>
    </row>
    <row r="754" spans="1:26" ht="15.75" customHeight="1">
      <c r="A754" s="210"/>
      <c r="B754" s="210"/>
      <c r="C754" s="210"/>
      <c r="D754" s="178"/>
      <c r="E754" s="569"/>
      <c r="F754" s="569"/>
      <c r="G754" s="569"/>
      <c r="H754" s="569"/>
      <c r="I754" s="569"/>
      <c r="J754" s="131"/>
      <c r="K754" s="131"/>
      <c r="L754" s="131"/>
      <c r="M754" s="131"/>
      <c r="N754" s="131"/>
      <c r="O754" s="131"/>
      <c r="P754" s="131"/>
      <c r="Q754" s="131"/>
      <c r="R754" s="131"/>
      <c r="S754" s="131"/>
      <c r="T754" s="131"/>
      <c r="U754" s="131"/>
      <c r="V754" s="131"/>
      <c r="W754" s="131"/>
      <c r="X754" s="131"/>
      <c r="Y754" s="131"/>
      <c r="Z754" s="131"/>
    </row>
    <row r="755" spans="1:26" ht="15.75" customHeight="1">
      <c r="A755" s="210"/>
      <c r="B755" s="210"/>
      <c r="C755" s="210"/>
      <c r="D755" s="178"/>
      <c r="E755" s="569"/>
      <c r="F755" s="569"/>
      <c r="G755" s="569"/>
      <c r="H755" s="569"/>
      <c r="I755" s="569"/>
      <c r="J755" s="131"/>
      <c r="K755" s="131"/>
      <c r="L755" s="131"/>
      <c r="M755" s="131"/>
      <c r="N755" s="131"/>
      <c r="O755" s="131"/>
      <c r="P755" s="131"/>
      <c r="Q755" s="131"/>
      <c r="R755" s="131"/>
      <c r="S755" s="131"/>
      <c r="T755" s="131"/>
      <c r="U755" s="131"/>
      <c r="V755" s="131"/>
      <c r="W755" s="131"/>
      <c r="X755" s="131"/>
      <c r="Y755" s="131"/>
      <c r="Z755" s="131"/>
    </row>
    <row r="756" spans="1:26" ht="15.75" customHeight="1">
      <c r="A756" s="210"/>
      <c r="B756" s="210"/>
      <c r="C756" s="210"/>
      <c r="D756" s="178"/>
      <c r="E756" s="569"/>
      <c r="F756" s="569"/>
      <c r="G756" s="569"/>
      <c r="H756" s="569"/>
      <c r="I756" s="569"/>
      <c r="J756" s="131"/>
      <c r="K756" s="131"/>
      <c r="L756" s="131"/>
      <c r="M756" s="131"/>
      <c r="N756" s="131"/>
      <c r="O756" s="131"/>
      <c r="P756" s="131"/>
      <c r="Q756" s="131"/>
      <c r="R756" s="131"/>
      <c r="S756" s="131"/>
      <c r="T756" s="131"/>
      <c r="U756" s="131"/>
      <c r="V756" s="131"/>
      <c r="W756" s="131"/>
      <c r="X756" s="131"/>
      <c r="Y756" s="131"/>
      <c r="Z756" s="131"/>
    </row>
    <row r="757" spans="1:26" ht="15.75" customHeight="1">
      <c r="A757" s="210"/>
      <c r="B757" s="210"/>
      <c r="C757" s="210"/>
      <c r="D757" s="178"/>
      <c r="E757" s="569"/>
      <c r="F757" s="569"/>
      <c r="G757" s="569"/>
      <c r="H757" s="569"/>
      <c r="I757" s="569"/>
      <c r="J757" s="131"/>
      <c r="K757" s="131"/>
      <c r="L757" s="131"/>
      <c r="M757" s="131"/>
      <c r="N757" s="131"/>
      <c r="O757" s="131"/>
      <c r="P757" s="131"/>
      <c r="Q757" s="131"/>
      <c r="R757" s="131"/>
      <c r="S757" s="131"/>
      <c r="T757" s="131"/>
      <c r="U757" s="131"/>
      <c r="V757" s="131"/>
      <c r="W757" s="131"/>
      <c r="X757" s="131"/>
      <c r="Y757" s="131"/>
      <c r="Z757" s="131"/>
    </row>
    <row r="758" spans="1:26" ht="15.75" customHeight="1">
      <c r="A758" s="210"/>
      <c r="B758" s="210"/>
      <c r="C758" s="210"/>
      <c r="D758" s="178"/>
      <c r="E758" s="569"/>
      <c r="F758" s="569"/>
      <c r="G758" s="569"/>
      <c r="H758" s="569"/>
      <c r="I758" s="569"/>
      <c r="J758" s="131"/>
      <c r="K758" s="131"/>
      <c r="L758" s="131"/>
      <c r="M758" s="131"/>
      <c r="N758" s="131"/>
      <c r="O758" s="131"/>
      <c r="P758" s="131"/>
      <c r="Q758" s="131"/>
      <c r="R758" s="131"/>
      <c r="S758" s="131"/>
      <c r="T758" s="131"/>
      <c r="U758" s="131"/>
      <c r="V758" s="131"/>
      <c r="W758" s="131"/>
      <c r="X758" s="131"/>
      <c r="Y758" s="131"/>
      <c r="Z758" s="131"/>
    </row>
    <row r="759" spans="1:26" ht="15.75" customHeight="1">
      <c r="A759" s="210"/>
      <c r="B759" s="210"/>
      <c r="C759" s="210"/>
      <c r="D759" s="178"/>
      <c r="E759" s="569"/>
      <c r="F759" s="569"/>
      <c r="G759" s="569"/>
      <c r="H759" s="569"/>
      <c r="I759" s="569"/>
      <c r="J759" s="131"/>
      <c r="K759" s="131"/>
      <c r="L759" s="131"/>
      <c r="M759" s="131"/>
      <c r="N759" s="131"/>
      <c r="O759" s="131"/>
      <c r="P759" s="131"/>
      <c r="Q759" s="131"/>
      <c r="R759" s="131"/>
      <c r="S759" s="131"/>
      <c r="T759" s="131"/>
      <c r="U759" s="131"/>
      <c r="V759" s="131"/>
      <c r="W759" s="131"/>
      <c r="X759" s="131"/>
      <c r="Y759" s="131"/>
      <c r="Z759" s="131"/>
    </row>
    <row r="760" spans="1:26" ht="15.75" customHeight="1">
      <c r="A760" s="210"/>
      <c r="B760" s="210"/>
      <c r="C760" s="210"/>
      <c r="D760" s="178"/>
      <c r="E760" s="569"/>
      <c r="F760" s="569"/>
      <c r="G760" s="569"/>
      <c r="H760" s="569"/>
      <c r="I760" s="569"/>
      <c r="J760" s="131"/>
      <c r="K760" s="131"/>
      <c r="L760" s="131"/>
      <c r="M760" s="131"/>
      <c r="N760" s="131"/>
      <c r="O760" s="131"/>
      <c r="P760" s="131"/>
      <c r="Q760" s="131"/>
      <c r="R760" s="131"/>
      <c r="S760" s="131"/>
      <c r="T760" s="131"/>
      <c r="U760" s="131"/>
      <c r="V760" s="131"/>
      <c r="W760" s="131"/>
      <c r="X760" s="131"/>
      <c r="Y760" s="131"/>
      <c r="Z760" s="131"/>
    </row>
    <row r="761" spans="1:26" ht="15.75" customHeight="1">
      <c r="A761" s="210"/>
      <c r="B761" s="210"/>
      <c r="C761" s="210"/>
      <c r="D761" s="178"/>
      <c r="E761" s="569"/>
      <c r="F761" s="569"/>
      <c r="G761" s="569"/>
      <c r="H761" s="569"/>
      <c r="I761" s="569"/>
      <c r="J761" s="131"/>
      <c r="K761" s="131"/>
      <c r="L761" s="131"/>
      <c r="M761" s="131"/>
      <c r="N761" s="131"/>
      <c r="O761" s="131"/>
      <c r="P761" s="131"/>
      <c r="Q761" s="131"/>
      <c r="R761" s="131"/>
      <c r="S761" s="131"/>
      <c r="T761" s="131"/>
      <c r="U761" s="131"/>
      <c r="V761" s="131"/>
      <c r="W761" s="131"/>
      <c r="X761" s="131"/>
      <c r="Y761" s="131"/>
      <c r="Z761" s="131"/>
    </row>
    <row r="762" spans="1:26" ht="15.75" customHeight="1">
      <c r="A762" s="210"/>
      <c r="B762" s="210"/>
      <c r="C762" s="210"/>
      <c r="D762" s="178"/>
      <c r="E762" s="569"/>
      <c r="F762" s="569"/>
      <c r="G762" s="569"/>
      <c r="H762" s="569"/>
      <c r="I762" s="569"/>
      <c r="J762" s="131"/>
      <c r="K762" s="131"/>
      <c r="L762" s="131"/>
      <c r="M762" s="131"/>
      <c r="N762" s="131"/>
      <c r="O762" s="131"/>
      <c r="P762" s="131"/>
      <c r="Q762" s="131"/>
      <c r="R762" s="131"/>
      <c r="S762" s="131"/>
      <c r="T762" s="131"/>
      <c r="U762" s="131"/>
      <c r="V762" s="131"/>
      <c r="W762" s="131"/>
      <c r="X762" s="131"/>
      <c r="Y762" s="131"/>
      <c r="Z762" s="131"/>
    </row>
    <row r="763" spans="1:26" ht="15.75" customHeight="1">
      <c r="A763" s="210"/>
      <c r="B763" s="210"/>
      <c r="C763" s="210"/>
      <c r="D763" s="178"/>
      <c r="E763" s="569"/>
      <c r="F763" s="569"/>
      <c r="G763" s="569"/>
      <c r="H763" s="569"/>
      <c r="I763" s="569"/>
      <c r="J763" s="131"/>
      <c r="K763" s="131"/>
      <c r="L763" s="131"/>
      <c r="M763" s="131"/>
      <c r="N763" s="131"/>
      <c r="O763" s="131"/>
      <c r="P763" s="131"/>
      <c r="Q763" s="131"/>
      <c r="R763" s="131"/>
      <c r="S763" s="131"/>
      <c r="T763" s="131"/>
      <c r="U763" s="131"/>
      <c r="V763" s="131"/>
      <c r="W763" s="131"/>
      <c r="X763" s="131"/>
      <c r="Y763" s="131"/>
      <c r="Z763" s="131"/>
    </row>
    <row r="764" spans="1:26" ht="15.75" customHeight="1">
      <c r="A764" s="210"/>
      <c r="B764" s="210"/>
      <c r="C764" s="210"/>
      <c r="D764" s="178"/>
      <c r="E764" s="569"/>
      <c r="F764" s="569"/>
      <c r="G764" s="569"/>
      <c r="H764" s="569"/>
      <c r="I764" s="569"/>
      <c r="J764" s="131"/>
      <c r="K764" s="131"/>
      <c r="L764" s="131"/>
      <c r="M764" s="131"/>
      <c r="N764" s="131"/>
      <c r="O764" s="131"/>
      <c r="P764" s="131"/>
      <c r="Q764" s="131"/>
      <c r="R764" s="131"/>
      <c r="S764" s="131"/>
      <c r="T764" s="131"/>
      <c r="U764" s="131"/>
      <c r="V764" s="131"/>
      <c r="W764" s="131"/>
      <c r="X764" s="131"/>
      <c r="Y764" s="131"/>
      <c r="Z764" s="131"/>
    </row>
    <row r="765" spans="1:26" ht="15.75" customHeight="1">
      <c r="A765" s="210"/>
      <c r="B765" s="210"/>
      <c r="C765" s="210"/>
      <c r="D765" s="178"/>
      <c r="E765" s="569"/>
      <c r="F765" s="569"/>
      <c r="G765" s="569"/>
      <c r="H765" s="569"/>
      <c r="I765" s="569"/>
      <c r="J765" s="131"/>
      <c r="K765" s="131"/>
      <c r="L765" s="131"/>
      <c r="M765" s="131"/>
      <c r="N765" s="131"/>
      <c r="O765" s="131"/>
      <c r="P765" s="131"/>
      <c r="Q765" s="131"/>
      <c r="R765" s="131"/>
      <c r="S765" s="131"/>
      <c r="T765" s="131"/>
      <c r="U765" s="131"/>
      <c r="V765" s="131"/>
      <c r="W765" s="131"/>
      <c r="X765" s="131"/>
      <c r="Y765" s="131"/>
      <c r="Z765" s="131"/>
    </row>
    <row r="766" spans="1:26" ht="15.75" customHeight="1">
      <c r="A766" s="210"/>
      <c r="B766" s="210"/>
      <c r="C766" s="210"/>
      <c r="D766" s="178"/>
      <c r="E766" s="569"/>
      <c r="F766" s="569"/>
      <c r="G766" s="569"/>
      <c r="H766" s="569"/>
      <c r="I766" s="569"/>
      <c r="J766" s="131"/>
      <c r="K766" s="131"/>
      <c r="L766" s="131"/>
      <c r="M766" s="131"/>
      <c r="N766" s="131"/>
      <c r="O766" s="131"/>
      <c r="P766" s="131"/>
      <c r="Q766" s="131"/>
      <c r="R766" s="131"/>
      <c r="S766" s="131"/>
      <c r="T766" s="131"/>
      <c r="U766" s="131"/>
      <c r="V766" s="131"/>
      <c r="W766" s="131"/>
      <c r="X766" s="131"/>
      <c r="Y766" s="131"/>
      <c r="Z766" s="131"/>
    </row>
    <row r="767" spans="1:26" ht="15.75" customHeight="1">
      <c r="A767" s="210"/>
      <c r="B767" s="210"/>
      <c r="C767" s="210"/>
      <c r="D767" s="178"/>
      <c r="E767" s="569"/>
      <c r="F767" s="569"/>
      <c r="G767" s="569"/>
      <c r="H767" s="569"/>
      <c r="I767" s="569"/>
      <c r="J767" s="131"/>
      <c r="K767" s="131"/>
      <c r="L767" s="131"/>
      <c r="M767" s="131"/>
      <c r="N767" s="131"/>
      <c r="O767" s="131"/>
      <c r="P767" s="131"/>
      <c r="Q767" s="131"/>
      <c r="R767" s="131"/>
      <c r="S767" s="131"/>
      <c r="T767" s="131"/>
      <c r="U767" s="131"/>
      <c r="V767" s="131"/>
      <c r="W767" s="131"/>
      <c r="X767" s="131"/>
      <c r="Y767" s="131"/>
      <c r="Z767" s="131"/>
    </row>
    <row r="768" spans="1:26" ht="15.75" customHeight="1">
      <c r="A768" s="210"/>
      <c r="B768" s="210"/>
      <c r="C768" s="210"/>
      <c r="D768" s="178"/>
      <c r="E768" s="569"/>
      <c r="F768" s="569"/>
      <c r="G768" s="569"/>
      <c r="H768" s="569"/>
      <c r="I768" s="569"/>
      <c r="J768" s="131"/>
      <c r="K768" s="131"/>
      <c r="L768" s="131"/>
      <c r="M768" s="131"/>
      <c r="N768" s="131"/>
      <c r="O768" s="131"/>
      <c r="P768" s="131"/>
      <c r="Q768" s="131"/>
      <c r="R768" s="131"/>
      <c r="S768" s="131"/>
      <c r="T768" s="131"/>
      <c r="U768" s="131"/>
      <c r="V768" s="131"/>
      <c r="W768" s="131"/>
      <c r="X768" s="131"/>
      <c r="Y768" s="131"/>
      <c r="Z768" s="131"/>
    </row>
    <row r="769" spans="1:26" ht="15.75" customHeight="1">
      <c r="A769" s="210"/>
      <c r="B769" s="210"/>
      <c r="C769" s="210"/>
      <c r="D769" s="178"/>
      <c r="E769" s="569"/>
      <c r="F769" s="569"/>
      <c r="G769" s="569"/>
      <c r="H769" s="569"/>
      <c r="I769" s="569"/>
      <c r="J769" s="131"/>
      <c r="K769" s="131"/>
      <c r="L769" s="131"/>
      <c r="M769" s="131"/>
      <c r="N769" s="131"/>
      <c r="O769" s="131"/>
      <c r="P769" s="131"/>
      <c r="Q769" s="131"/>
      <c r="R769" s="131"/>
      <c r="S769" s="131"/>
      <c r="T769" s="131"/>
      <c r="U769" s="131"/>
      <c r="V769" s="131"/>
      <c r="W769" s="131"/>
      <c r="X769" s="131"/>
      <c r="Y769" s="131"/>
      <c r="Z769" s="131"/>
    </row>
    <row r="770" spans="1:26" ht="15.75" customHeight="1">
      <c r="A770" s="210"/>
      <c r="B770" s="210"/>
      <c r="C770" s="210"/>
      <c r="D770" s="178"/>
      <c r="E770" s="569"/>
      <c r="F770" s="569"/>
      <c r="G770" s="569"/>
      <c r="H770" s="569"/>
      <c r="I770" s="569"/>
      <c r="J770" s="131"/>
      <c r="K770" s="131"/>
      <c r="L770" s="131"/>
      <c r="M770" s="131"/>
      <c r="N770" s="131"/>
      <c r="O770" s="131"/>
      <c r="P770" s="131"/>
      <c r="Q770" s="131"/>
      <c r="R770" s="131"/>
      <c r="S770" s="131"/>
      <c r="T770" s="131"/>
      <c r="U770" s="131"/>
      <c r="V770" s="131"/>
      <c r="W770" s="131"/>
      <c r="X770" s="131"/>
      <c r="Y770" s="131"/>
      <c r="Z770" s="131"/>
    </row>
    <row r="771" spans="1:26" ht="15.75" customHeight="1">
      <c r="A771" s="210"/>
      <c r="B771" s="210"/>
      <c r="C771" s="210"/>
      <c r="D771" s="178"/>
      <c r="E771" s="569"/>
      <c r="F771" s="569"/>
      <c r="G771" s="569"/>
      <c r="H771" s="569"/>
      <c r="I771" s="569"/>
      <c r="J771" s="131"/>
      <c r="K771" s="131"/>
      <c r="L771" s="131"/>
      <c r="M771" s="131"/>
      <c r="N771" s="131"/>
      <c r="O771" s="131"/>
      <c r="P771" s="131"/>
      <c r="Q771" s="131"/>
      <c r="R771" s="131"/>
      <c r="S771" s="131"/>
      <c r="T771" s="131"/>
      <c r="U771" s="131"/>
      <c r="V771" s="131"/>
      <c r="W771" s="131"/>
      <c r="X771" s="131"/>
      <c r="Y771" s="131"/>
      <c r="Z771" s="131"/>
    </row>
    <row r="772" spans="1:26" ht="15.75" customHeight="1">
      <c r="A772" s="210"/>
      <c r="B772" s="210"/>
      <c r="C772" s="210"/>
      <c r="D772" s="178"/>
      <c r="E772" s="569"/>
      <c r="F772" s="569"/>
      <c r="G772" s="569"/>
      <c r="H772" s="569"/>
      <c r="I772" s="569"/>
      <c r="J772" s="131"/>
      <c r="K772" s="131"/>
      <c r="L772" s="131"/>
      <c r="M772" s="131"/>
      <c r="N772" s="131"/>
      <c r="O772" s="131"/>
      <c r="P772" s="131"/>
      <c r="Q772" s="131"/>
      <c r="R772" s="131"/>
      <c r="S772" s="131"/>
      <c r="T772" s="131"/>
      <c r="U772" s="131"/>
      <c r="V772" s="131"/>
      <c r="W772" s="131"/>
      <c r="X772" s="131"/>
      <c r="Y772" s="131"/>
      <c r="Z772" s="131"/>
    </row>
    <row r="773" spans="1:26" ht="15.75" customHeight="1">
      <c r="A773" s="210"/>
      <c r="B773" s="210"/>
      <c r="C773" s="210"/>
      <c r="D773" s="178"/>
      <c r="E773" s="569"/>
      <c r="F773" s="569"/>
      <c r="G773" s="569"/>
      <c r="H773" s="569"/>
      <c r="I773" s="569"/>
      <c r="J773" s="131"/>
      <c r="K773" s="131"/>
      <c r="L773" s="131"/>
      <c r="M773" s="131"/>
      <c r="N773" s="131"/>
      <c r="O773" s="131"/>
      <c r="P773" s="131"/>
      <c r="Q773" s="131"/>
      <c r="R773" s="131"/>
      <c r="S773" s="131"/>
      <c r="T773" s="131"/>
      <c r="U773" s="131"/>
      <c r="V773" s="131"/>
      <c r="W773" s="131"/>
      <c r="X773" s="131"/>
      <c r="Y773" s="131"/>
      <c r="Z773" s="131"/>
    </row>
    <row r="774" spans="1:26" ht="15.75" customHeight="1">
      <c r="A774" s="210"/>
      <c r="B774" s="210"/>
      <c r="C774" s="210"/>
      <c r="D774" s="178"/>
      <c r="E774" s="569"/>
      <c r="F774" s="569"/>
      <c r="G774" s="569"/>
      <c r="H774" s="569"/>
      <c r="I774" s="569"/>
      <c r="J774" s="131"/>
      <c r="K774" s="131"/>
      <c r="L774" s="131"/>
      <c r="M774" s="131"/>
      <c r="N774" s="131"/>
      <c r="O774" s="131"/>
      <c r="P774" s="131"/>
      <c r="Q774" s="131"/>
      <c r="R774" s="131"/>
      <c r="S774" s="131"/>
      <c r="T774" s="131"/>
      <c r="U774" s="131"/>
      <c r="V774" s="131"/>
      <c r="W774" s="131"/>
      <c r="X774" s="131"/>
      <c r="Y774" s="131"/>
      <c r="Z774" s="131"/>
    </row>
    <row r="775" spans="1:26" ht="15.75" customHeight="1">
      <c r="A775" s="210"/>
      <c r="B775" s="210"/>
      <c r="C775" s="210"/>
      <c r="D775" s="178"/>
      <c r="E775" s="569"/>
      <c r="F775" s="569"/>
      <c r="G775" s="569"/>
      <c r="H775" s="569"/>
      <c r="I775" s="569"/>
      <c r="J775" s="131"/>
      <c r="K775" s="131"/>
      <c r="L775" s="131"/>
      <c r="M775" s="131"/>
      <c r="N775" s="131"/>
      <c r="O775" s="131"/>
      <c r="P775" s="131"/>
      <c r="Q775" s="131"/>
      <c r="R775" s="131"/>
      <c r="S775" s="131"/>
      <c r="T775" s="131"/>
      <c r="U775" s="131"/>
      <c r="V775" s="131"/>
      <c r="W775" s="131"/>
      <c r="X775" s="131"/>
      <c r="Y775" s="131"/>
      <c r="Z775" s="131"/>
    </row>
    <row r="776" spans="1:26" ht="15.75" customHeight="1">
      <c r="A776" s="210"/>
      <c r="B776" s="210"/>
      <c r="C776" s="210"/>
      <c r="D776" s="178"/>
      <c r="E776" s="569"/>
      <c r="F776" s="569"/>
      <c r="G776" s="569"/>
      <c r="H776" s="569"/>
      <c r="I776" s="569"/>
      <c r="J776" s="131"/>
      <c r="K776" s="131"/>
      <c r="L776" s="131"/>
      <c r="M776" s="131"/>
      <c r="N776" s="131"/>
      <c r="O776" s="131"/>
      <c r="P776" s="131"/>
      <c r="Q776" s="131"/>
      <c r="R776" s="131"/>
      <c r="S776" s="131"/>
      <c r="T776" s="131"/>
      <c r="U776" s="131"/>
      <c r="V776" s="131"/>
      <c r="W776" s="131"/>
      <c r="X776" s="131"/>
      <c r="Y776" s="131"/>
      <c r="Z776" s="131"/>
    </row>
    <row r="777" spans="1:26" ht="15.75" customHeight="1">
      <c r="A777" s="210"/>
      <c r="B777" s="210"/>
      <c r="C777" s="210"/>
      <c r="D777" s="178"/>
      <c r="E777" s="569"/>
      <c r="F777" s="569"/>
      <c r="G777" s="569"/>
      <c r="H777" s="569"/>
      <c r="I777" s="569"/>
      <c r="J777" s="131"/>
      <c r="K777" s="131"/>
      <c r="L777" s="131"/>
      <c r="M777" s="131"/>
      <c r="N777" s="131"/>
      <c r="O777" s="131"/>
      <c r="P777" s="131"/>
      <c r="Q777" s="131"/>
      <c r="R777" s="131"/>
      <c r="S777" s="131"/>
      <c r="T777" s="131"/>
      <c r="U777" s="131"/>
      <c r="V777" s="131"/>
      <c r="W777" s="131"/>
      <c r="X777" s="131"/>
      <c r="Y777" s="131"/>
      <c r="Z777" s="131"/>
    </row>
    <row r="778" spans="1:26" ht="15.75" customHeight="1">
      <c r="A778" s="210"/>
      <c r="B778" s="210"/>
      <c r="C778" s="210"/>
      <c r="D778" s="178"/>
      <c r="E778" s="569"/>
      <c r="F778" s="569"/>
      <c r="G778" s="569"/>
      <c r="H778" s="569"/>
      <c r="I778" s="569"/>
      <c r="J778" s="131"/>
      <c r="K778" s="131"/>
      <c r="L778" s="131"/>
      <c r="M778" s="131"/>
      <c r="N778" s="131"/>
      <c r="O778" s="131"/>
      <c r="P778" s="131"/>
      <c r="Q778" s="131"/>
      <c r="R778" s="131"/>
      <c r="S778" s="131"/>
      <c r="T778" s="131"/>
      <c r="U778" s="131"/>
      <c r="V778" s="131"/>
      <c r="W778" s="131"/>
      <c r="X778" s="131"/>
      <c r="Y778" s="131"/>
      <c r="Z778" s="131"/>
    </row>
    <row r="779" spans="1:26" ht="15.75" customHeight="1">
      <c r="A779" s="210"/>
      <c r="B779" s="210"/>
      <c r="C779" s="210"/>
      <c r="D779" s="178"/>
      <c r="E779" s="569"/>
      <c r="F779" s="569"/>
      <c r="G779" s="569"/>
      <c r="H779" s="569"/>
      <c r="I779" s="569"/>
      <c r="J779" s="131"/>
      <c r="K779" s="131"/>
      <c r="L779" s="131"/>
      <c r="M779" s="131"/>
      <c r="N779" s="131"/>
      <c r="O779" s="131"/>
      <c r="P779" s="131"/>
      <c r="Q779" s="131"/>
      <c r="R779" s="131"/>
      <c r="S779" s="131"/>
      <c r="T779" s="131"/>
      <c r="U779" s="131"/>
      <c r="V779" s="131"/>
      <c r="W779" s="131"/>
      <c r="X779" s="131"/>
      <c r="Y779" s="131"/>
      <c r="Z779" s="131"/>
    </row>
    <row r="780" spans="1:26" ht="15.75" customHeight="1">
      <c r="A780" s="210"/>
      <c r="B780" s="210"/>
      <c r="C780" s="210"/>
      <c r="D780" s="178"/>
      <c r="E780" s="569"/>
      <c r="F780" s="569"/>
      <c r="G780" s="569"/>
      <c r="H780" s="569"/>
      <c r="I780" s="569"/>
      <c r="J780" s="131"/>
      <c r="K780" s="131"/>
      <c r="L780" s="131"/>
      <c r="M780" s="131"/>
      <c r="N780" s="131"/>
      <c r="O780" s="131"/>
      <c r="P780" s="131"/>
      <c r="Q780" s="131"/>
      <c r="R780" s="131"/>
      <c r="S780" s="131"/>
      <c r="T780" s="131"/>
      <c r="U780" s="131"/>
      <c r="V780" s="131"/>
      <c r="W780" s="131"/>
      <c r="X780" s="131"/>
      <c r="Y780" s="131"/>
      <c r="Z780" s="131"/>
    </row>
    <row r="781" spans="1:26" ht="15.75" customHeight="1">
      <c r="A781" s="210"/>
      <c r="B781" s="210"/>
      <c r="C781" s="210"/>
      <c r="D781" s="178"/>
      <c r="E781" s="569"/>
      <c r="F781" s="569"/>
      <c r="G781" s="569"/>
      <c r="H781" s="569"/>
      <c r="I781" s="569"/>
      <c r="J781" s="131"/>
      <c r="K781" s="131"/>
      <c r="L781" s="131"/>
      <c r="M781" s="131"/>
      <c r="N781" s="131"/>
      <c r="O781" s="131"/>
      <c r="P781" s="131"/>
      <c r="Q781" s="131"/>
      <c r="R781" s="131"/>
      <c r="S781" s="131"/>
      <c r="T781" s="131"/>
      <c r="U781" s="131"/>
      <c r="V781" s="131"/>
      <c r="W781" s="131"/>
      <c r="X781" s="131"/>
      <c r="Y781" s="131"/>
      <c r="Z781" s="131"/>
    </row>
    <row r="782" spans="1:26" ht="15.75" customHeight="1">
      <c r="A782" s="210"/>
      <c r="B782" s="210"/>
      <c r="C782" s="210"/>
      <c r="D782" s="178"/>
      <c r="E782" s="569"/>
      <c r="F782" s="569"/>
      <c r="G782" s="569"/>
      <c r="H782" s="569"/>
      <c r="I782" s="569"/>
      <c r="J782" s="131"/>
      <c r="K782" s="131"/>
      <c r="L782" s="131"/>
      <c r="M782" s="131"/>
      <c r="N782" s="131"/>
      <c r="O782" s="131"/>
      <c r="P782" s="131"/>
      <c r="Q782" s="131"/>
      <c r="R782" s="131"/>
      <c r="S782" s="131"/>
      <c r="T782" s="131"/>
      <c r="U782" s="131"/>
      <c r="V782" s="131"/>
      <c r="W782" s="131"/>
      <c r="X782" s="131"/>
      <c r="Y782" s="131"/>
      <c r="Z782" s="131"/>
    </row>
    <row r="783" spans="1:26" ht="15.75" customHeight="1">
      <c r="A783" s="210"/>
      <c r="B783" s="210"/>
      <c r="C783" s="210"/>
      <c r="D783" s="178"/>
      <c r="E783" s="569"/>
      <c r="F783" s="569"/>
      <c r="G783" s="569"/>
      <c r="H783" s="569"/>
      <c r="I783" s="569"/>
      <c r="J783" s="131"/>
      <c r="K783" s="131"/>
      <c r="L783" s="131"/>
      <c r="M783" s="131"/>
      <c r="N783" s="131"/>
      <c r="O783" s="131"/>
      <c r="P783" s="131"/>
      <c r="Q783" s="131"/>
      <c r="R783" s="131"/>
      <c r="S783" s="131"/>
      <c r="T783" s="131"/>
      <c r="U783" s="131"/>
      <c r="V783" s="131"/>
      <c r="W783" s="131"/>
      <c r="X783" s="131"/>
      <c r="Y783" s="131"/>
      <c r="Z783" s="131"/>
    </row>
    <row r="784" spans="1:26" ht="15.75" customHeight="1">
      <c r="A784" s="210"/>
      <c r="B784" s="210"/>
      <c r="C784" s="210"/>
      <c r="D784" s="178"/>
      <c r="E784" s="569"/>
      <c r="F784" s="569"/>
      <c r="G784" s="569"/>
      <c r="H784" s="569"/>
      <c r="I784" s="569"/>
      <c r="J784" s="131"/>
      <c r="K784" s="131"/>
      <c r="L784" s="131"/>
      <c r="M784" s="131"/>
      <c r="N784" s="131"/>
      <c r="O784" s="131"/>
      <c r="P784" s="131"/>
      <c r="Q784" s="131"/>
      <c r="R784" s="131"/>
      <c r="S784" s="131"/>
      <c r="T784" s="131"/>
      <c r="U784" s="131"/>
      <c r="V784" s="131"/>
      <c r="W784" s="131"/>
      <c r="X784" s="131"/>
      <c r="Y784" s="131"/>
      <c r="Z784" s="131"/>
    </row>
    <row r="785" spans="1:26" ht="15.75" customHeight="1">
      <c r="A785" s="210"/>
      <c r="B785" s="210"/>
      <c r="C785" s="210"/>
      <c r="D785" s="178"/>
      <c r="E785" s="569"/>
      <c r="F785" s="569"/>
      <c r="G785" s="569"/>
      <c r="H785" s="569"/>
      <c r="I785" s="569"/>
      <c r="J785" s="131"/>
      <c r="K785" s="131"/>
      <c r="L785" s="131"/>
      <c r="M785" s="131"/>
      <c r="N785" s="131"/>
      <c r="O785" s="131"/>
      <c r="P785" s="131"/>
      <c r="Q785" s="131"/>
      <c r="R785" s="131"/>
      <c r="S785" s="131"/>
      <c r="T785" s="131"/>
      <c r="U785" s="131"/>
      <c r="V785" s="131"/>
      <c r="W785" s="131"/>
      <c r="X785" s="131"/>
      <c r="Y785" s="131"/>
      <c r="Z785" s="131"/>
    </row>
    <row r="786" spans="1:26" ht="15.75" customHeight="1">
      <c r="A786" s="210"/>
      <c r="B786" s="210"/>
      <c r="C786" s="210"/>
      <c r="D786" s="178"/>
      <c r="E786" s="569"/>
      <c r="F786" s="569"/>
      <c r="G786" s="569"/>
      <c r="H786" s="569"/>
      <c r="I786" s="569"/>
      <c r="J786" s="131"/>
      <c r="K786" s="131"/>
      <c r="L786" s="131"/>
      <c r="M786" s="131"/>
      <c r="N786" s="131"/>
      <c r="O786" s="131"/>
      <c r="P786" s="131"/>
      <c r="Q786" s="131"/>
      <c r="R786" s="131"/>
      <c r="S786" s="131"/>
      <c r="T786" s="131"/>
      <c r="U786" s="131"/>
      <c r="V786" s="131"/>
      <c r="W786" s="131"/>
      <c r="X786" s="131"/>
      <c r="Y786" s="131"/>
      <c r="Z786" s="131"/>
    </row>
    <row r="787" spans="1:26" ht="15.75" customHeight="1">
      <c r="A787" s="210"/>
      <c r="B787" s="210"/>
      <c r="C787" s="210"/>
      <c r="D787" s="178"/>
      <c r="E787" s="569"/>
      <c r="F787" s="569"/>
      <c r="G787" s="569"/>
      <c r="H787" s="569"/>
      <c r="I787" s="569"/>
      <c r="J787" s="131"/>
      <c r="K787" s="131"/>
      <c r="L787" s="131"/>
      <c r="M787" s="131"/>
      <c r="N787" s="131"/>
      <c r="O787" s="131"/>
      <c r="P787" s="131"/>
      <c r="Q787" s="131"/>
      <c r="R787" s="131"/>
      <c r="S787" s="131"/>
      <c r="T787" s="131"/>
      <c r="U787" s="131"/>
      <c r="V787" s="131"/>
      <c r="W787" s="131"/>
      <c r="X787" s="131"/>
      <c r="Y787" s="131"/>
      <c r="Z787" s="131"/>
    </row>
    <row r="788" spans="1:26" ht="15.75" customHeight="1">
      <c r="A788" s="210"/>
      <c r="B788" s="210"/>
      <c r="C788" s="210"/>
      <c r="D788" s="178"/>
      <c r="E788" s="569"/>
      <c r="F788" s="569"/>
      <c r="G788" s="569"/>
      <c r="H788" s="569"/>
      <c r="I788" s="569"/>
      <c r="J788" s="131"/>
      <c r="K788" s="131"/>
      <c r="L788" s="131"/>
      <c r="M788" s="131"/>
      <c r="N788" s="131"/>
      <c r="O788" s="131"/>
      <c r="P788" s="131"/>
      <c r="Q788" s="131"/>
      <c r="R788" s="131"/>
      <c r="S788" s="131"/>
      <c r="T788" s="131"/>
      <c r="U788" s="131"/>
      <c r="V788" s="131"/>
      <c r="W788" s="131"/>
      <c r="X788" s="131"/>
      <c r="Y788" s="131"/>
      <c r="Z788" s="131"/>
    </row>
    <row r="789" spans="1:26" ht="15.75" customHeight="1">
      <c r="A789" s="210"/>
      <c r="B789" s="210"/>
      <c r="C789" s="210"/>
      <c r="D789" s="178"/>
      <c r="E789" s="569"/>
      <c r="F789" s="569"/>
      <c r="G789" s="569"/>
      <c r="H789" s="569"/>
      <c r="I789" s="569"/>
      <c r="J789" s="131"/>
      <c r="K789" s="131"/>
      <c r="L789" s="131"/>
      <c r="M789" s="131"/>
      <c r="N789" s="131"/>
      <c r="O789" s="131"/>
      <c r="P789" s="131"/>
      <c r="Q789" s="131"/>
      <c r="R789" s="131"/>
      <c r="S789" s="131"/>
      <c r="T789" s="131"/>
      <c r="U789" s="131"/>
      <c r="V789" s="131"/>
      <c r="W789" s="131"/>
      <c r="X789" s="131"/>
      <c r="Y789" s="131"/>
      <c r="Z789" s="131"/>
    </row>
    <row r="790" spans="1:26" ht="15.75" customHeight="1">
      <c r="A790" s="210"/>
      <c r="B790" s="210"/>
      <c r="C790" s="210"/>
      <c r="D790" s="178"/>
      <c r="E790" s="569"/>
      <c r="F790" s="569"/>
      <c r="G790" s="569"/>
      <c r="H790" s="569"/>
      <c r="I790" s="569"/>
      <c r="J790" s="131"/>
      <c r="K790" s="131"/>
      <c r="L790" s="131"/>
      <c r="M790" s="131"/>
      <c r="N790" s="131"/>
      <c r="O790" s="131"/>
      <c r="P790" s="131"/>
      <c r="Q790" s="131"/>
      <c r="R790" s="131"/>
      <c r="S790" s="131"/>
      <c r="T790" s="131"/>
      <c r="U790" s="131"/>
      <c r="V790" s="131"/>
      <c r="W790" s="131"/>
      <c r="X790" s="131"/>
      <c r="Y790" s="131"/>
      <c r="Z790" s="131"/>
    </row>
    <row r="791" spans="1:26" ht="15.75" customHeight="1">
      <c r="A791" s="210"/>
      <c r="B791" s="210"/>
      <c r="C791" s="210"/>
      <c r="D791" s="178"/>
      <c r="E791" s="569"/>
      <c r="F791" s="569"/>
      <c r="G791" s="569"/>
      <c r="H791" s="569"/>
      <c r="I791" s="569"/>
      <c r="J791" s="131"/>
      <c r="K791" s="131"/>
      <c r="L791" s="131"/>
      <c r="M791" s="131"/>
      <c r="N791" s="131"/>
      <c r="O791" s="131"/>
      <c r="P791" s="131"/>
      <c r="Q791" s="131"/>
      <c r="R791" s="131"/>
      <c r="S791" s="131"/>
      <c r="T791" s="131"/>
      <c r="U791" s="131"/>
      <c r="V791" s="131"/>
      <c r="W791" s="131"/>
      <c r="X791" s="131"/>
      <c r="Y791" s="131"/>
      <c r="Z791" s="131"/>
    </row>
    <row r="792" spans="1:26" ht="15.75" customHeight="1">
      <c r="A792" s="210"/>
      <c r="B792" s="210"/>
      <c r="C792" s="210"/>
      <c r="D792" s="178"/>
      <c r="E792" s="569"/>
      <c r="F792" s="569"/>
      <c r="G792" s="569"/>
      <c r="H792" s="569"/>
      <c r="I792" s="569"/>
      <c r="J792" s="131"/>
      <c r="K792" s="131"/>
      <c r="L792" s="131"/>
      <c r="M792" s="131"/>
      <c r="N792" s="131"/>
      <c r="O792" s="131"/>
      <c r="P792" s="131"/>
      <c r="Q792" s="131"/>
      <c r="R792" s="131"/>
      <c r="S792" s="131"/>
      <c r="T792" s="131"/>
      <c r="U792" s="131"/>
      <c r="V792" s="131"/>
      <c r="W792" s="131"/>
      <c r="X792" s="131"/>
      <c r="Y792" s="131"/>
      <c r="Z792" s="131"/>
    </row>
    <row r="793" spans="1:26" ht="15.75" customHeight="1">
      <c r="A793" s="210"/>
      <c r="B793" s="210"/>
      <c r="C793" s="210"/>
      <c r="D793" s="178"/>
      <c r="E793" s="569"/>
      <c r="F793" s="569"/>
      <c r="G793" s="569"/>
      <c r="H793" s="569"/>
      <c r="I793" s="569"/>
      <c r="J793" s="131"/>
      <c r="K793" s="131"/>
      <c r="L793" s="131"/>
      <c r="M793" s="131"/>
      <c r="N793" s="131"/>
      <c r="O793" s="131"/>
      <c r="P793" s="131"/>
      <c r="Q793" s="131"/>
      <c r="R793" s="131"/>
      <c r="S793" s="131"/>
      <c r="T793" s="131"/>
      <c r="U793" s="131"/>
      <c r="V793" s="131"/>
      <c r="W793" s="131"/>
      <c r="X793" s="131"/>
      <c r="Y793" s="131"/>
      <c r="Z793" s="131"/>
    </row>
    <row r="794" spans="1:26" ht="15.75" customHeight="1">
      <c r="A794" s="210"/>
      <c r="B794" s="210"/>
      <c r="C794" s="210"/>
      <c r="D794" s="178"/>
      <c r="E794" s="569"/>
      <c r="F794" s="569"/>
      <c r="G794" s="569"/>
      <c r="H794" s="569"/>
      <c r="I794" s="569"/>
      <c r="J794" s="131"/>
      <c r="K794" s="131"/>
      <c r="L794" s="131"/>
      <c r="M794" s="131"/>
      <c r="N794" s="131"/>
      <c r="O794" s="131"/>
      <c r="P794" s="131"/>
      <c r="Q794" s="131"/>
      <c r="R794" s="131"/>
      <c r="S794" s="131"/>
      <c r="T794" s="131"/>
      <c r="U794" s="131"/>
      <c r="V794" s="131"/>
      <c r="W794" s="131"/>
      <c r="X794" s="131"/>
      <c r="Y794" s="131"/>
      <c r="Z794" s="131"/>
    </row>
    <row r="795" spans="1:26" ht="15.75" customHeight="1">
      <c r="A795" s="210"/>
      <c r="B795" s="210"/>
      <c r="C795" s="210"/>
      <c r="D795" s="178"/>
      <c r="E795" s="569"/>
      <c r="F795" s="569"/>
      <c r="G795" s="569"/>
      <c r="H795" s="569"/>
      <c r="I795" s="569"/>
      <c r="J795" s="131"/>
      <c r="K795" s="131"/>
      <c r="L795" s="131"/>
      <c r="M795" s="131"/>
      <c r="N795" s="131"/>
      <c r="O795" s="131"/>
      <c r="P795" s="131"/>
      <c r="Q795" s="131"/>
      <c r="R795" s="131"/>
      <c r="S795" s="131"/>
      <c r="T795" s="131"/>
      <c r="U795" s="131"/>
      <c r="V795" s="131"/>
      <c r="W795" s="131"/>
      <c r="X795" s="131"/>
      <c r="Y795" s="131"/>
      <c r="Z795" s="131"/>
    </row>
    <row r="796" spans="1:26" ht="15.75" customHeight="1">
      <c r="A796" s="210"/>
      <c r="B796" s="210"/>
      <c r="C796" s="210"/>
      <c r="D796" s="178"/>
      <c r="E796" s="569"/>
      <c r="F796" s="569"/>
      <c r="G796" s="569"/>
      <c r="H796" s="569"/>
      <c r="I796" s="569"/>
      <c r="J796" s="131"/>
      <c r="K796" s="131"/>
      <c r="L796" s="131"/>
      <c r="M796" s="131"/>
      <c r="N796" s="131"/>
      <c r="O796" s="131"/>
      <c r="P796" s="131"/>
      <c r="Q796" s="131"/>
      <c r="R796" s="131"/>
      <c r="S796" s="131"/>
      <c r="T796" s="131"/>
      <c r="U796" s="131"/>
      <c r="V796" s="131"/>
      <c r="W796" s="131"/>
      <c r="X796" s="131"/>
      <c r="Y796" s="131"/>
      <c r="Z796" s="131"/>
    </row>
    <row r="797" spans="1:26" ht="15.75" customHeight="1">
      <c r="A797" s="210"/>
      <c r="B797" s="210"/>
      <c r="C797" s="210"/>
      <c r="D797" s="178"/>
      <c r="E797" s="569"/>
      <c r="F797" s="569"/>
      <c r="G797" s="569"/>
      <c r="H797" s="569"/>
      <c r="I797" s="569"/>
      <c r="J797" s="131"/>
      <c r="K797" s="131"/>
      <c r="L797" s="131"/>
      <c r="M797" s="131"/>
      <c r="N797" s="131"/>
      <c r="O797" s="131"/>
      <c r="P797" s="131"/>
      <c r="Q797" s="131"/>
      <c r="R797" s="131"/>
      <c r="S797" s="131"/>
      <c r="T797" s="131"/>
      <c r="U797" s="131"/>
      <c r="V797" s="131"/>
      <c r="W797" s="131"/>
      <c r="X797" s="131"/>
      <c r="Y797" s="131"/>
      <c r="Z797" s="131"/>
    </row>
    <row r="798" spans="1:26" ht="15.75" customHeight="1">
      <c r="A798" s="210"/>
      <c r="B798" s="210"/>
      <c r="C798" s="210"/>
      <c r="D798" s="178"/>
      <c r="E798" s="569"/>
      <c r="F798" s="569"/>
      <c r="G798" s="569"/>
      <c r="H798" s="569"/>
      <c r="I798" s="569"/>
      <c r="J798" s="131"/>
      <c r="K798" s="131"/>
      <c r="L798" s="131"/>
      <c r="M798" s="131"/>
      <c r="N798" s="131"/>
      <c r="O798" s="131"/>
      <c r="P798" s="131"/>
      <c r="Q798" s="131"/>
      <c r="R798" s="131"/>
      <c r="S798" s="131"/>
      <c r="T798" s="131"/>
      <c r="U798" s="131"/>
      <c r="V798" s="131"/>
      <c r="W798" s="131"/>
      <c r="X798" s="131"/>
      <c r="Y798" s="131"/>
      <c r="Z798" s="131"/>
    </row>
    <row r="799" spans="1:26" ht="15.75" customHeight="1">
      <c r="A799" s="210"/>
      <c r="B799" s="210"/>
      <c r="C799" s="210"/>
      <c r="D799" s="178"/>
      <c r="E799" s="569"/>
      <c r="F799" s="569"/>
      <c r="G799" s="569"/>
      <c r="H799" s="569"/>
      <c r="I799" s="569"/>
      <c r="J799" s="131"/>
      <c r="K799" s="131"/>
      <c r="L799" s="131"/>
      <c r="M799" s="131"/>
      <c r="N799" s="131"/>
      <c r="O799" s="131"/>
      <c r="P799" s="131"/>
      <c r="Q799" s="131"/>
      <c r="R799" s="131"/>
      <c r="S799" s="131"/>
      <c r="T799" s="131"/>
      <c r="U799" s="131"/>
      <c r="V799" s="131"/>
      <c r="W799" s="131"/>
      <c r="X799" s="131"/>
      <c r="Y799" s="131"/>
      <c r="Z799" s="131"/>
    </row>
    <row r="800" spans="1:26" ht="15.75" customHeight="1">
      <c r="A800" s="210"/>
      <c r="B800" s="210"/>
      <c r="C800" s="210"/>
      <c r="D800" s="178"/>
      <c r="E800" s="569"/>
      <c r="F800" s="569"/>
      <c r="G800" s="569"/>
      <c r="H800" s="569"/>
      <c r="I800" s="569"/>
      <c r="J800" s="131"/>
      <c r="K800" s="131"/>
      <c r="L800" s="131"/>
      <c r="M800" s="131"/>
      <c r="N800" s="131"/>
      <c r="O800" s="131"/>
      <c r="P800" s="131"/>
      <c r="Q800" s="131"/>
      <c r="R800" s="131"/>
      <c r="S800" s="131"/>
      <c r="T800" s="131"/>
      <c r="U800" s="131"/>
      <c r="V800" s="131"/>
      <c r="W800" s="131"/>
      <c r="X800" s="131"/>
      <c r="Y800" s="131"/>
      <c r="Z800" s="131"/>
    </row>
    <row r="801" spans="1:26" ht="15.75" customHeight="1">
      <c r="A801" s="210"/>
      <c r="B801" s="210"/>
      <c r="C801" s="210"/>
      <c r="D801" s="178"/>
      <c r="E801" s="569"/>
      <c r="F801" s="569"/>
      <c r="G801" s="569"/>
      <c r="H801" s="569"/>
      <c r="I801" s="569"/>
      <c r="J801" s="131"/>
      <c r="K801" s="131"/>
      <c r="L801" s="131"/>
      <c r="M801" s="131"/>
      <c r="N801" s="131"/>
      <c r="O801" s="131"/>
      <c r="P801" s="131"/>
      <c r="Q801" s="131"/>
      <c r="R801" s="131"/>
      <c r="S801" s="131"/>
      <c r="T801" s="131"/>
      <c r="U801" s="131"/>
      <c r="V801" s="131"/>
      <c r="W801" s="131"/>
      <c r="X801" s="131"/>
      <c r="Y801" s="131"/>
      <c r="Z801" s="131"/>
    </row>
    <row r="802" spans="1:26" ht="15.75" customHeight="1">
      <c r="A802" s="210"/>
      <c r="B802" s="210"/>
      <c r="C802" s="210"/>
      <c r="D802" s="178"/>
      <c r="E802" s="569"/>
      <c r="F802" s="569"/>
      <c r="G802" s="569"/>
      <c r="H802" s="569"/>
      <c r="I802" s="569"/>
      <c r="J802" s="131"/>
      <c r="K802" s="131"/>
      <c r="L802" s="131"/>
      <c r="M802" s="131"/>
      <c r="N802" s="131"/>
      <c r="O802" s="131"/>
      <c r="P802" s="131"/>
      <c r="Q802" s="131"/>
      <c r="R802" s="131"/>
      <c r="S802" s="131"/>
      <c r="T802" s="131"/>
      <c r="U802" s="131"/>
      <c r="V802" s="131"/>
      <c r="W802" s="131"/>
      <c r="X802" s="131"/>
      <c r="Y802" s="131"/>
      <c r="Z802" s="131"/>
    </row>
    <row r="803" spans="1:26" ht="15.75" customHeight="1">
      <c r="A803" s="210"/>
      <c r="B803" s="210"/>
      <c r="C803" s="210"/>
      <c r="D803" s="178"/>
      <c r="E803" s="569"/>
      <c r="F803" s="569"/>
      <c r="G803" s="569"/>
      <c r="H803" s="569"/>
      <c r="I803" s="569"/>
      <c r="J803" s="131"/>
      <c r="K803" s="131"/>
      <c r="L803" s="131"/>
      <c r="M803" s="131"/>
      <c r="N803" s="131"/>
      <c r="O803" s="131"/>
      <c r="P803" s="131"/>
      <c r="Q803" s="131"/>
      <c r="R803" s="131"/>
      <c r="S803" s="131"/>
      <c r="T803" s="131"/>
      <c r="U803" s="131"/>
      <c r="V803" s="131"/>
      <c r="W803" s="131"/>
      <c r="X803" s="131"/>
      <c r="Y803" s="131"/>
      <c r="Z803" s="131"/>
    </row>
    <row r="804" spans="1:26" ht="15.75" customHeight="1">
      <c r="A804" s="210"/>
      <c r="B804" s="210"/>
      <c r="C804" s="210"/>
      <c r="D804" s="178"/>
      <c r="E804" s="569"/>
      <c r="F804" s="569"/>
      <c r="G804" s="569"/>
      <c r="H804" s="569"/>
      <c r="I804" s="569"/>
      <c r="J804" s="131"/>
      <c r="K804" s="131"/>
      <c r="L804" s="131"/>
      <c r="M804" s="131"/>
      <c r="N804" s="131"/>
      <c r="O804" s="131"/>
      <c r="P804" s="131"/>
      <c r="Q804" s="131"/>
      <c r="R804" s="131"/>
      <c r="S804" s="131"/>
      <c r="T804" s="131"/>
      <c r="U804" s="131"/>
      <c r="V804" s="131"/>
      <c r="W804" s="131"/>
      <c r="X804" s="131"/>
      <c r="Y804" s="131"/>
      <c r="Z804" s="131"/>
    </row>
    <row r="805" spans="1:26" ht="15.75" customHeight="1">
      <c r="A805" s="210"/>
      <c r="B805" s="210"/>
      <c r="C805" s="210"/>
      <c r="D805" s="178"/>
      <c r="E805" s="569"/>
      <c r="F805" s="569"/>
      <c r="G805" s="569"/>
      <c r="H805" s="569"/>
      <c r="I805" s="569"/>
      <c r="J805" s="131"/>
      <c r="K805" s="131"/>
      <c r="L805" s="131"/>
      <c r="M805" s="131"/>
      <c r="N805" s="131"/>
      <c r="O805" s="131"/>
      <c r="P805" s="131"/>
      <c r="Q805" s="131"/>
      <c r="R805" s="131"/>
      <c r="S805" s="131"/>
      <c r="T805" s="131"/>
      <c r="U805" s="131"/>
      <c r="V805" s="131"/>
      <c r="W805" s="131"/>
      <c r="X805" s="131"/>
      <c r="Y805" s="131"/>
      <c r="Z805" s="131"/>
    </row>
    <row r="806" spans="1:26" ht="15.75" customHeight="1">
      <c r="A806" s="210"/>
      <c r="B806" s="210"/>
      <c r="C806" s="210"/>
      <c r="D806" s="178"/>
      <c r="E806" s="569"/>
      <c r="F806" s="569"/>
      <c r="G806" s="569"/>
      <c r="H806" s="569"/>
      <c r="I806" s="569"/>
      <c r="J806" s="131"/>
      <c r="K806" s="131"/>
      <c r="L806" s="131"/>
      <c r="M806" s="131"/>
      <c r="N806" s="131"/>
      <c r="O806" s="131"/>
      <c r="P806" s="131"/>
      <c r="Q806" s="131"/>
      <c r="R806" s="131"/>
      <c r="S806" s="131"/>
      <c r="T806" s="131"/>
      <c r="U806" s="131"/>
      <c r="V806" s="131"/>
      <c r="W806" s="131"/>
      <c r="X806" s="131"/>
      <c r="Y806" s="131"/>
      <c r="Z806" s="131"/>
    </row>
    <row r="807" spans="1:26" ht="15.75" customHeight="1">
      <c r="A807" s="210"/>
      <c r="B807" s="210"/>
      <c r="C807" s="210"/>
      <c r="D807" s="178"/>
      <c r="E807" s="569"/>
      <c r="F807" s="569"/>
      <c r="G807" s="569"/>
      <c r="H807" s="569"/>
      <c r="I807" s="569"/>
      <c r="J807" s="131"/>
      <c r="K807" s="131"/>
      <c r="L807" s="131"/>
      <c r="M807" s="131"/>
      <c r="N807" s="131"/>
      <c r="O807" s="131"/>
      <c r="P807" s="131"/>
      <c r="Q807" s="131"/>
      <c r="R807" s="131"/>
      <c r="S807" s="131"/>
      <c r="T807" s="131"/>
      <c r="U807" s="131"/>
      <c r="V807" s="131"/>
      <c r="W807" s="131"/>
      <c r="X807" s="131"/>
      <c r="Y807" s="131"/>
      <c r="Z807" s="131"/>
    </row>
    <row r="808" spans="1:26" ht="15.75" customHeight="1">
      <c r="A808" s="210"/>
      <c r="B808" s="210"/>
      <c r="C808" s="210"/>
      <c r="D808" s="178"/>
      <c r="E808" s="569"/>
      <c r="F808" s="569"/>
      <c r="G808" s="569"/>
      <c r="H808" s="569"/>
      <c r="I808" s="569"/>
      <c r="J808" s="131"/>
      <c r="K808" s="131"/>
      <c r="L808" s="131"/>
      <c r="M808" s="131"/>
      <c r="N808" s="131"/>
      <c r="O808" s="131"/>
      <c r="P808" s="131"/>
      <c r="Q808" s="131"/>
      <c r="R808" s="131"/>
      <c r="S808" s="131"/>
      <c r="T808" s="131"/>
      <c r="U808" s="131"/>
      <c r="V808" s="131"/>
      <c r="W808" s="131"/>
      <c r="X808" s="131"/>
      <c r="Y808" s="131"/>
      <c r="Z808" s="131"/>
    </row>
    <row r="809" spans="1:26" ht="15.75" customHeight="1">
      <c r="A809" s="210"/>
      <c r="B809" s="210"/>
      <c r="C809" s="210"/>
      <c r="D809" s="178"/>
      <c r="E809" s="569"/>
      <c r="F809" s="569"/>
      <c r="G809" s="569"/>
      <c r="H809" s="569"/>
      <c r="I809" s="569"/>
      <c r="J809" s="131"/>
      <c r="K809" s="131"/>
      <c r="L809" s="131"/>
      <c r="M809" s="131"/>
      <c r="N809" s="131"/>
      <c r="O809" s="131"/>
      <c r="P809" s="131"/>
      <c r="Q809" s="131"/>
      <c r="R809" s="131"/>
      <c r="S809" s="131"/>
      <c r="T809" s="131"/>
      <c r="U809" s="131"/>
      <c r="V809" s="131"/>
      <c r="W809" s="131"/>
      <c r="X809" s="131"/>
      <c r="Y809" s="131"/>
      <c r="Z809" s="131"/>
    </row>
    <row r="810" spans="1:26" ht="15.75" customHeight="1">
      <c r="A810" s="210"/>
      <c r="B810" s="210"/>
      <c r="C810" s="210"/>
      <c r="D810" s="178"/>
      <c r="E810" s="569"/>
      <c r="F810" s="569"/>
      <c r="G810" s="569"/>
      <c r="H810" s="569"/>
      <c r="I810" s="569"/>
      <c r="J810" s="131"/>
      <c r="K810" s="131"/>
      <c r="L810" s="131"/>
      <c r="M810" s="131"/>
      <c r="N810" s="131"/>
      <c r="O810" s="131"/>
      <c r="P810" s="131"/>
      <c r="Q810" s="131"/>
      <c r="R810" s="131"/>
      <c r="S810" s="131"/>
      <c r="T810" s="131"/>
      <c r="U810" s="131"/>
      <c r="V810" s="131"/>
      <c r="W810" s="131"/>
      <c r="X810" s="131"/>
      <c r="Y810" s="131"/>
      <c r="Z810" s="131"/>
    </row>
    <row r="811" spans="1:26" ht="15.75" customHeight="1">
      <c r="A811" s="210"/>
      <c r="B811" s="210"/>
      <c r="C811" s="210"/>
      <c r="D811" s="178"/>
      <c r="E811" s="569"/>
      <c r="F811" s="569"/>
      <c r="G811" s="569"/>
      <c r="H811" s="569"/>
      <c r="I811" s="569"/>
      <c r="J811" s="131"/>
      <c r="K811" s="131"/>
      <c r="L811" s="131"/>
      <c r="M811" s="131"/>
      <c r="N811" s="131"/>
      <c r="O811" s="131"/>
      <c r="P811" s="131"/>
      <c r="Q811" s="131"/>
      <c r="R811" s="131"/>
      <c r="S811" s="131"/>
      <c r="T811" s="131"/>
      <c r="U811" s="131"/>
      <c r="V811" s="131"/>
      <c r="W811" s="131"/>
      <c r="X811" s="131"/>
      <c r="Y811" s="131"/>
      <c r="Z811" s="131"/>
    </row>
    <row r="812" spans="1:26" ht="15.75" customHeight="1">
      <c r="A812" s="210"/>
      <c r="B812" s="210"/>
      <c r="C812" s="210"/>
      <c r="D812" s="178"/>
      <c r="E812" s="569"/>
      <c r="F812" s="569"/>
      <c r="G812" s="569"/>
      <c r="H812" s="569"/>
      <c r="I812" s="569"/>
      <c r="J812" s="131"/>
      <c r="K812" s="131"/>
      <c r="L812" s="131"/>
      <c r="M812" s="131"/>
      <c r="N812" s="131"/>
      <c r="O812" s="131"/>
      <c r="P812" s="131"/>
      <c r="Q812" s="131"/>
      <c r="R812" s="131"/>
      <c r="S812" s="131"/>
      <c r="T812" s="131"/>
      <c r="U812" s="131"/>
      <c r="V812" s="131"/>
      <c r="W812" s="131"/>
      <c r="X812" s="131"/>
      <c r="Y812" s="131"/>
      <c r="Z812" s="131"/>
    </row>
    <row r="813" spans="1:26" ht="15.75" customHeight="1">
      <c r="A813" s="210"/>
      <c r="B813" s="210"/>
      <c r="C813" s="210"/>
      <c r="D813" s="178"/>
      <c r="E813" s="569"/>
      <c r="F813" s="569"/>
      <c r="G813" s="569"/>
      <c r="H813" s="569"/>
      <c r="I813" s="569"/>
      <c r="J813" s="131"/>
      <c r="K813" s="131"/>
      <c r="L813" s="131"/>
      <c r="M813" s="131"/>
      <c r="N813" s="131"/>
      <c r="O813" s="131"/>
      <c r="P813" s="131"/>
      <c r="Q813" s="131"/>
      <c r="R813" s="131"/>
      <c r="S813" s="131"/>
      <c r="T813" s="131"/>
      <c r="U813" s="131"/>
      <c r="V813" s="131"/>
      <c r="W813" s="131"/>
      <c r="X813" s="131"/>
      <c r="Y813" s="131"/>
      <c r="Z813" s="131"/>
    </row>
    <row r="814" spans="1:26" ht="15.75" customHeight="1">
      <c r="A814" s="210"/>
      <c r="B814" s="210"/>
      <c r="C814" s="210"/>
      <c r="D814" s="178"/>
      <c r="E814" s="569"/>
      <c r="F814" s="569"/>
      <c r="G814" s="569"/>
      <c r="H814" s="569"/>
      <c r="I814" s="569"/>
      <c r="J814" s="131"/>
      <c r="K814" s="131"/>
      <c r="L814" s="131"/>
      <c r="M814" s="131"/>
      <c r="N814" s="131"/>
      <c r="O814" s="131"/>
      <c r="P814" s="131"/>
      <c r="Q814" s="131"/>
      <c r="R814" s="131"/>
      <c r="S814" s="131"/>
      <c r="T814" s="131"/>
      <c r="U814" s="131"/>
      <c r="V814" s="131"/>
      <c r="W814" s="131"/>
      <c r="X814" s="131"/>
      <c r="Y814" s="131"/>
      <c r="Z814" s="131"/>
    </row>
    <row r="815" spans="1:26" ht="15.75" customHeight="1">
      <c r="A815" s="210"/>
      <c r="B815" s="210"/>
      <c r="C815" s="210"/>
      <c r="D815" s="178"/>
      <c r="E815" s="569"/>
      <c r="F815" s="569"/>
      <c r="G815" s="569"/>
      <c r="H815" s="569"/>
      <c r="I815" s="569"/>
      <c r="J815" s="131"/>
      <c r="K815" s="131"/>
      <c r="L815" s="131"/>
      <c r="M815" s="131"/>
      <c r="N815" s="131"/>
      <c r="O815" s="131"/>
      <c r="P815" s="131"/>
      <c r="Q815" s="131"/>
      <c r="R815" s="131"/>
      <c r="S815" s="131"/>
      <c r="T815" s="131"/>
      <c r="U815" s="131"/>
      <c r="V815" s="131"/>
      <c r="W815" s="131"/>
      <c r="X815" s="131"/>
      <c r="Y815" s="131"/>
      <c r="Z815" s="131"/>
    </row>
    <row r="816" spans="1:26" ht="15.75" customHeight="1">
      <c r="A816" s="210"/>
      <c r="B816" s="210"/>
      <c r="C816" s="210"/>
      <c r="D816" s="178"/>
      <c r="E816" s="569"/>
      <c r="F816" s="569"/>
      <c r="G816" s="569"/>
      <c r="H816" s="569"/>
      <c r="I816" s="569"/>
      <c r="J816" s="131"/>
      <c r="K816" s="131"/>
      <c r="L816" s="131"/>
      <c r="M816" s="131"/>
      <c r="N816" s="131"/>
      <c r="O816" s="131"/>
      <c r="P816" s="131"/>
      <c r="Q816" s="131"/>
      <c r="R816" s="131"/>
      <c r="S816" s="131"/>
      <c r="T816" s="131"/>
      <c r="U816" s="131"/>
      <c r="V816" s="131"/>
      <c r="W816" s="131"/>
      <c r="X816" s="131"/>
      <c r="Y816" s="131"/>
      <c r="Z816" s="131"/>
    </row>
    <row r="817" spans="1:26" ht="15.75" customHeight="1">
      <c r="A817" s="210"/>
      <c r="B817" s="210"/>
      <c r="C817" s="210"/>
      <c r="D817" s="178"/>
      <c r="E817" s="569"/>
      <c r="F817" s="569"/>
      <c r="G817" s="569"/>
      <c r="H817" s="569"/>
      <c r="I817" s="569"/>
      <c r="J817" s="131"/>
      <c r="K817" s="131"/>
      <c r="L817" s="131"/>
      <c r="M817" s="131"/>
      <c r="N817" s="131"/>
      <c r="O817" s="131"/>
      <c r="P817" s="131"/>
      <c r="Q817" s="131"/>
      <c r="R817" s="131"/>
      <c r="S817" s="131"/>
      <c r="T817" s="131"/>
      <c r="U817" s="131"/>
      <c r="V817" s="131"/>
      <c r="W817" s="131"/>
      <c r="X817" s="131"/>
      <c r="Y817" s="131"/>
      <c r="Z817" s="131"/>
    </row>
    <row r="818" spans="1:26" ht="15.75" customHeight="1">
      <c r="A818" s="210"/>
      <c r="B818" s="210"/>
      <c r="C818" s="210"/>
      <c r="D818" s="178"/>
      <c r="E818" s="569"/>
      <c r="F818" s="569"/>
      <c r="G818" s="569"/>
      <c r="H818" s="569"/>
      <c r="I818" s="569"/>
      <c r="J818" s="131"/>
      <c r="K818" s="131"/>
      <c r="L818" s="131"/>
      <c r="M818" s="131"/>
      <c r="N818" s="131"/>
      <c r="O818" s="131"/>
      <c r="P818" s="131"/>
      <c r="Q818" s="131"/>
      <c r="R818" s="131"/>
      <c r="S818" s="131"/>
      <c r="T818" s="131"/>
      <c r="U818" s="131"/>
      <c r="V818" s="131"/>
      <c r="W818" s="131"/>
      <c r="X818" s="131"/>
      <c r="Y818" s="131"/>
      <c r="Z818" s="131"/>
    </row>
    <row r="819" spans="1:26" ht="15.75" customHeight="1">
      <c r="A819" s="210"/>
      <c r="B819" s="210"/>
      <c r="C819" s="210"/>
      <c r="D819" s="178"/>
      <c r="E819" s="569"/>
      <c r="F819" s="569"/>
      <c r="G819" s="569"/>
      <c r="H819" s="569"/>
      <c r="I819" s="569"/>
      <c r="J819" s="131"/>
      <c r="K819" s="131"/>
      <c r="L819" s="131"/>
      <c r="M819" s="131"/>
      <c r="N819" s="131"/>
      <c r="O819" s="131"/>
      <c r="P819" s="131"/>
      <c r="Q819" s="131"/>
      <c r="R819" s="131"/>
      <c r="S819" s="131"/>
      <c r="T819" s="131"/>
      <c r="U819" s="131"/>
      <c r="V819" s="131"/>
      <c r="W819" s="131"/>
      <c r="X819" s="131"/>
      <c r="Y819" s="131"/>
      <c r="Z819" s="131"/>
    </row>
    <row r="820" spans="1:26" ht="15.75" customHeight="1">
      <c r="A820" s="210"/>
      <c r="B820" s="210"/>
      <c r="C820" s="210"/>
      <c r="D820" s="178"/>
      <c r="E820" s="569"/>
      <c r="F820" s="569"/>
      <c r="G820" s="569"/>
      <c r="H820" s="569"/>
      <c r="I820" s="569"/>
      <c r="J820" s="131"/>
      <c r="K820" s="131"/>
      <c r="L820" s="131"/>
      <c r="M820" s="131"/>
      <c r="N820" s="131"/>
      <c r="O820" s="131"/>
      <c r="P820" s="131"/>
      <c r="Q820" s="131"/>
      <c r="R820" s="131"/>
      <c r="S820" s="131"/>
      <c r="T820" s="131"/>
      <c r="U820" s="131"/>
      <c r="V820" s="131"/>
      <c r="W820" s="131"/>
      <c r="X820" s="131"/>
      <c r="Y820" s="131"/>
      <c r="Z820" s="131"/>
    </row>
    <row r="821" spans="1:26" ht="15.75" customHeight="1">
      <c r="A821" s="210"/>
      <c r="B821" s="210"/>
      <c r="C821" s="210"/>
      <c r="D821" s="178"/>
      <c r="E821" s="569"/>
      <c r="F821" s="569"/>
      <c r="G821" s="569"/>
      <c r="H821" s="569"/>
      <c r="I821" s="569"/>
      <c r="J821" s="131"/>
      <c r="K821" s="131"/>
      <c r="L821" s="131"/>
      <c r="M821" s="131"/>
      <c r="N821" s="131"/>
      <c r="O821" s="131"/>
      <c r="P821" s="131"/>
      <c r="Q821" s="131"/>
      <c r="R821" s="131"/>
      <c r="S821" s="131"/>
      <c r="T821" s="131"/>
      <c r="U821" s="131"/>
      <c r="V821" s="131"/>
      <c r="W821" s="131"/>
      <c r="X821" s="131"/>
      <c r="Y821" s="131"/>
      <c r="Z821" s="131"/>
    </row>
    <row r="822" spans="1:26" ht="15.75" customHeight="1">
      <c r="A822" s="210"/>
      <c r="B822" s="210"/>
      <c r="C822" s="210"/>
      <c r="D822" s="178"/>
      <c r="E822" s="569"/>
      <c r="F822" s="569"/>
      <c r="G822" s="569"/>
      <c r="H822" s="569"/>
      <c r="I822" s="569"/>
      <c r="J822" s="131"/>
      <c r="K822" s="131"/>
      <c r="L822" s="131"/>
      <c r="M822" s="131"/>
      <c r="N822" s="131"/>
      <c r="O822" s="131"/>
      <c r="P822" s="131"/>
      <c r="Q822" s="131"/>
      <c r="R822" s="131"/>
      <c r="S822" s="131"/>
      <c r="T822" s="131"/>
      <c r="U822" s="131"/>
      <c r="V822" s="131"/>
      <c r="W822" s="131"/>
      <c r="X822" s="131"/>
      <c r="Y822" s="131"/>
      <c r="Z822" s="131"/>
    </row>
    <row r="823" spans="1:26" ht="15.75" customHeight="1">
      <c r="A823" s="210"/>
      <c r="B823" s="210"/>
      <c r="C823" s="210"/>
      <c r="D823" s="178"/>
      <c r="E823" s="569"/>
      <c r="F823" s="569"/>
      <c r="G823" s="569"/>
      <c r="H823" s="569"/>
      <c r="I823" s="569"/>
      <c r="J823" s="131"/>
      <c r="K823" s="131"/>
      <c r="L823" s="131"/>
      <c r="M823" s="131"/>
      <c r="N823" s="131"/>
      <c r="O823" s="131"/>
      <c r="P823" s="131"/>
      <c r="Q823" s="131"/>
      <c r="R823" s="131"/>
      <c r="S823" s="131"/>
      <c r="T823" s="131"/>
      <c r="U823" s="131"/>
      <c r="V823" s="131"/>
      <c r="W823" s="131"/>
      <c r="X823" s="131"/>
      <c r="Y823" s="131"/>
      <c r="Z823" s="131"/>
    </row>
    <row r="824" spans="1:26" ht="15.75" customHeight="1">
      <c r="A824" s="210"/>
      <c r="B824" s="210"/>
      <c r="C824" s="210"/>
      <c r="D824" s="178"/>
      <c r="E824" s="569"/>
      <c r="F824" s="569"/>
      <c r="G824" s="569"/>
      <c r="H824" s="569"/>
      <c r="I824" s="569"/>
      <c r="J824" s="131"/>
      <c r="K824" s="131"/>
      <c r="L824" s="131"/>
      <c r="M824" s="131"/>
      <c r="N824" s="131"/>
      <c r="O824" s="131"/>
      <c r="P824" s="131"/>
      <c r="Q824" s="131"/>
      <c r="R824" s="131"/>
      <c r="S824" s="131"/>
      <c r="T824" s="131"/>
      <c r="U824" s="131"/>
      <c r="V824" s="131"/>
      <c r="W824" s="131"/>
      <c r="X824" s="131"/>
      <c r="Y824" s="131"/>
      <c r="Z824" s="131"/>
    </row>
    <row r="825" spans="1:26" ht="15.75" customHeight="1">
      <c r="A825" s="210"/>
      <c r="B825" s="210"/>
      <c r="C825" s="210"/>
      <c r="D825" s="178"/>
      <c r="E825" s="569"/>
      <c r="F825" s="569"/>
      <c r="G825" s="569"/>
      <c r="H825" s="569"/>
      <c r="I825" s="569"/>
      <c r="J825" s="131"/>
      <c r="K825" s="131"/>
      <c r="L825" s="131"/>
      <c r="M825" s="131"/>
      <c r="N825" s="131"/>
      <c r="O825" s="131"/>
      <c r="P825" s="131"/>
      <c r="Q825" s="131"/>
      <c r="R825" s="131"/>
      <c r="S825" s="131"/>
      <c r="T825" s="131"/>
      <c r="U825" s="131"/>
      <c r="V825" s="131"/>
      <c r="W825" s="131"/>
      <c r="X825" s="131"/>
      <c r="Y825" s="131"/>
      <c r="Z825" s="131"/>
    </row>
    <row r="826" spans="1:26" ht="15.75" customHeight="1">
      <c r="A826" s="210"/>
      <c r="B826" s="210"/>
      <c r="C826" s="210"/>
      <c r="D826" s="178"/>
      <c r="E826" s="569"/>
      <c r="F826" s="569"/>
      <c r="G826" s="569"/>
      <c r="H826" s="569"/>
      <c r="I826" s="569"/>
      <c r="J826" s="131"/>
      <c r="K826" s="131"/>
      <c r="L826" s="131"/>
      <c r="M826" s="131"/>
      <c r="N826" s="131"/>
      <c r="O826" s="131"/>
      <c r="P826" s="131"/>
      <c r="Q826" s="131"/>
      <c r="R826" s="131"/>
      <c r="S826" s="131"/>
      <c r="T826" s="131"/>
      <c r="U826" s="131"/>
      <c r="V826" s="131"/>
      <c r="W826" s="131"/>
      <c r="X826" s="131"/>
      <c r="Y826" s="131"/>
      <c r="Z826" s="131"/>
    </row>
    <row r="827" spans="1:26" ht="15.75" customHeight="1">
      <c r="A827" s="210"/>
      <c r="B827" s="210"/>
      <c r="C827" s="210"/>
      <c r="D827" s="178"/>
      <c r="E827" s="569"/>
      <c r="F827" s="569"/>
      <c r="G827" s="569"/>
      <c r="H827" s="569"/>
      <c r="I827" s="569"/>
      <c r="J827" s="131"/>
      <c r="K827" s="131"/>
      <c r="L827" s="131"/>
      <c r="M827" s="131"/>
      <c r="N827" s="131"/>
      <c r="O827" s="131"/>
      <c r="P827" s="131"/>
      <c r="Q827" s="131"/>
      <c r="R827" s="131"/>
      <c r="S827" s="131"/>
      <c r="T827" s="131"/>
      <c r="U827" s="131"/>
      <c r="V827" s="131"/>
      <c r="W827" s="131"/>
      <c r="X827" s="131"/>
      <c r="Y827" s="131"/>
      <c r="Z827" s="131"/>
    </row>
    <row r="828" spans="1:26" ht="15.75" customHeight="1">
      <c r="A828" s="210"/>
      <c r="B828" s="210"/>
      <c r="C828" s="210"/>
      <c r="D828" s="178"/>
      <c r="E828" s="569"/>
      <c r="F828" s="569"/>
      <c r="G828" s="569"/>
      <c r="H828" s="569"/>
      <c r="I828" s="569"/>
      <c r="J828" s="131"/>
      <c r="K828" s="131"/>
      <c r="L828" s="131"/>
      <c r="M828" s="131"/>
      <c r="N828" s="131"/>
      <c r="O828" s="131"/>
      <c r="P828" s="131"/>
      <c r="Q828" s="131"/>
      <c r="R828" s="131"/>
      <c r="S828" s="131"/>
      <c r="T828" s="131"/>
      <c r="U828" s="131"/>
      <c r="V828" s="131"/>
      <c r="W828" s="131"/>
      <c r="X828" s="131"/>
      <c r="Y828" s="131"/>
      <c r="Z828" s="131"/>
    </row>
    <row r="829" spans="1:26" ht="15.75" customHeight="1">
      <c r="A829" s="210"/>
      <c r="B829" s="210"/>
      <c r="C829" s="210"/>
      <c r="D829" s="178"/>
      <c r="E829" s="569"/>
      <c r="F829" s="569"/>
      <c r="G829" s="569"/>
      <c r="H829" s="569"/>
      <c r="I829" s="569"/>
      <c r="J829" s="131"/>
      <c r="K829" s="131"/>
      <c r="L829" s="131"/>
      <c r="M829" s="131"/>
      <c r="N829" s="131"/>
      <c r="O829" s="131"/>
      <c r="P829" s="131"/>
      <c r="Q829" s="131"/>
      <c r="R829" s="131"/>
      <c r="S829" s="131"/>
      <c r="T829" s="131"/>
      <c r="U829" s="131"/>
      <c r="V829" s="131"/>
      <c r="W829" s="131"/>
      <c r="X829" s="131"/>
      <c r="Y829" s="131"/>
      <c r="Z829" s="131"/>
    </row>
    <row r="830" spans="1:26" ht="15.75" customHeight="1">
      <c r="A830" s="210"/>
      <c r="B830" s="210"/>
      <c r="C830" s="210"/>
      <c r="D830" s="178"/>
      <c r="E830" s="569"/>
      <c r="F830" s="569"/>
      <c r="G830" s="569"/>
      <c r="H830" s="569"/>
      <c r="I830" s="569"/>
      <c r="J830" s="131"/>
      <c r="K830" s="131"/>
      <c r="L830" s="131"/>
      <c r="M830" s="131"/>
      <c r="N830" s="131"/>
      <c r="O830" s="131"/>
      <c r="P830" s="131"/>
      <c r="Q830" s="131"/>
      <c r="R830" s="131"/>
      <c r="S830" s="131"/>
      <c r="T830" s="131"/>
      <c r="U830" s="131"/>
      <c r="V830" s="131"/>
      <c r="W830" s="131"/>
      <c r="X830" s="131"/>
      <c r="Y830" s="131"/>
      <c r="Z830" s="131"/>
    </row>
    <row r="831" spans="1:26" ht="15.75" customHeight="1">
      <c r="A831" s="210"/>
      <c r="B831" s="210"/>
      <c r="C831" s="210"/>
      <c r="D831" s="178"/>
      <c r="E831" s="569"/>
      <c r="F831" s="569"/>
      <c r="G831" s="569"/>
      <c r="H831" s="569"/>
      <c r="I831" s="569"/>
      <c r="J831" s="131"/>
      <c r="K831" s="131"/>
      <c r="L831" s="131"/>
      <c r="M831" s="131"/>
      <c r="N831" s="131"/>
      <c r="O831" s="131"/>
      <c r="P831" s="131"/>
      <c r="Q831" s="131"/>
      <c r="R831" s="131"/>
      <c r="S831" s="131"/>
      <c r="T831" s="131"/>
      <c r="U831" s="131"/>
      <c r="V831" s="131"/>
      <c r="W831" s="131"/>
      <c r="X831" s="131"/>
      <c r="Y831" s="131"/>
      <c r="Z831" s="131"/>
    </row>
    <row r="832" spans="1:26" ht="15.75" customHeight="1">
      <c r="A832" s="210"/>
      <c r="B832" s="210"/>
      <c r="C832" s="210"/>
      <c r="D832" s="178"/>
      <c r="E832" s="569"/>
      <c r="F832" s="569"/>
      <c r="G832" s="569"/>
      <c r="H832" s="569"/>
      <c r="I832" s="569"/>
      <c r="J832" s="131"/>
      <c r="K832" s="131"/>
      <c r="L832" s="131"/>
      <c r="M832" s="131"/>
      <c r="N832" s="131"/>
      <c r="O832" s="131"/>
      <c r="P832" s="131"/>
      <c r="Q832" s="131"/>
      <c r="R832" s="131"/>
      <c r="S832" s="131"/>
      <c r="T832" s="131"/>
      <c r="U832" s="131"/>
      <c r="V832" s="131"/>
      <c r="W832" s="131"/>
      <c r="X832" s="131"/>
      <c r="Y832" s="131"/>
      <c r="Z832" s="131"/>
    </row>
    <row r="833" spans="1:26" ht="15.75" customHeight="1">
      <c r="A833" s="210"/>
      <c r="B833" s="210"/>
      <c r="C833" s="210"/>
      <c r="D833" s="178"/>
      <c r="E833" s="569"/>
      <c r="F833" s="569"/>
      <c r="G833" s="569"/>
      <c r="H833" s="569"/>
      <c r="I833" s="569"/>
      <c r="J833" s="131"/>
      <c r="K833" s="131"/>
      <c r="L833" s="131"/>
      <c r="M833" s="131"/>
      <c r="N833" s="131"/>
      <c r="O833" s="131"/>
      <c r="P833" s="131"/>
      <c r="Q833" s="131"/>
      <c r="R833" s="131"/>
      <c r="S833" s="131"/>
      <c r="T833" s="131"/>
      <c r="U833" s="131"/>
      <c r="V833" s="131"/>
      <c r="W833" s="131"/>
      <c r="X833" s="131"/>
      <c r="Y833" s="131"/>
      <c r="Z833" s="131"/>
    </row>
    <row r="834" spans="1:26" ht="15.75" customHeight="1">
      <c r="A834" s="210"/>
      <c r="B834" s="210"/>
      <c r="C834" s="210"/>
      <c r="D834" s="178"/>
      <c r="E834" s="569"/>
      <c r="F834" s="569"/>
      <c r="G834" s="569"/>
      <c r="H834" s="569"/>
      <c r="I834" s="569"/>
      <c r="J834" s="131"/>
      <c r="K834" s="131"/>
      <c r="L834" s="131"/>
      <c r="M834" s="131"/>
      <c r="N834" s="131"/>
      <c r="O834" s="131"/>
      <c r="P834" s="131"/>
      <c r="Q834" s="131"/>
      <c r="R834" s="131"/>
      <c r="S834" s="131"/>
      <c r="T834" s="131"/>
      <c r="U834" s="131"/>
      <c r="V834" s="131"/>
      <c r="W834" s="131"/>
      <c r="X834" s="131"/>
      <c r="Y834" s="131"/>
      <c r="Z834" s="131"/>
    </row>
    <row r="835" spans="1:26" ht="15.75" customHeight="1">
      <c r="A835" s="210"/>
      <c r="B835" s="210"/>
      <c r="C835" s="210"/>
      <c r="D835" s="178"/>
      <c r="E835" s="569"/>
      <c r="F835" s="569"/>
      <c r="G835" s="569"/>
      <c r="H835" s="569"/>
      <c r="I835" s="569"/>
      <c r="J835" s="131"/>
      <c r="K835" s="131"/>
      <c r="L835" s="131"/>
      <c r="M835" s="131"/>
      <c r="N835" s="131"/>
      <c r="O835" s="131"/>
      <c r="P835" s="131"/>
      <c r="Q835" s="131"/>
      <c r="R835" s="131"/>
      <c r="S835" s="131"/>
      <c r="T835" s="131"/>
      <c r="U835" s="131"/>
      <c r="V835" s="131"/>
      <c r="W835" s="131"/>
      <c r="X835" s="131"/>
      <c r="Y835" s="131"/>
      <c r="Z835" s="131"/>
    </row>
    <row r="836" spans="1:26" ht="15.75" customHeight="1">
      <c r="A836" s="210"/>
      <c r="B836" s="210"/>
      <c r="C836" s="210"/>
      <c r="D836" s="178"/>
      <c r="E836" s="569"/>
      <c r="F836" s="569"/>
      <c r="G836" s="569"/>
      <c r="H836" s="569"/>
      <c r="I836" s="569"/>
      <c r="J836" s="131"/>
      <c r="K836" s="131"/>
      <c r="L836" s="131"/>
      <c r="M836" s="131"/>
      <c r="N836" s="131"/>
      <c r="O836" s="131"/>
      <c r="P836" s="131"/>
      <c r="Q836" s="131"/>
      <c r="R836" s="131"/>
      <c r="S836" s="131"/>
      <c r="T836" s="131"/>
      <c r="U836" s="131"/>
      <c r="V836" s="131"/>
      <c r="W836" s="131"/>
      <c r="X836" s="131"/>
      <c r="Y836" s="131"/>
      <c r="Z836" s="131"/>
    </row>
    <row r="837" spans="1:26" ht="15.75" customHeight="1">
      <c r="A837" s="210"/>
      <c r="B837" s="210"/>
      <c r="C837" s="210"/>
      <c r="D837" s="178"/>
      <c r="E837" s="569"/>
      <c r="F837" s="569"/>
      <c r="G837" s="569"/>
      <c r="H837" s="569"/>
      <c r="I837" s="569"/>
      <c r="J837" s="131"/>
      <c r="K837" s="131"/>
      <c r="L837" s="131"/>
      <c r="M837" s="131"/>
      <c r="N837" s="131"/>
      <c r="O837" s="131"/>
      <c r="P837" s="131"/>
      <c r="Q837" s="131"/>
      <c r="R837" s="131"/>
      <c r="S837" s="131"/>
      <c r="T837" s="131"/>
      <c r="U837" s="131"/>
      <c r="V837" s="131"/>
      <c r="W837" s="131"/>
      <c r="X837" s="131"/>
      <c r="Y837" s="131"/>
      <c r="Z837" s="131"/>
    </row>
    <row r="838" spans="1:26" ht="15.75" customHeight="1">
      <c r="A838" s="210"/>
      <c r="B838" s="210"/>
      <c r="C838" s="210"/>
      <c r="D838" s="178"/>
      <c r="E838" s="569"/>
      <c r="F838" s="569"/>
      <c r="G838" s="569"/>
      <c r="H838" s="569"/>
      <c r="I838" s="569"/>
      <c r="J838" s="131"/>
      <c r="K838" s="131"/>
      <c r="L838" s="131"/>
      <c r="M838" s="131"/>
      <c r="N838" s="131"/>
      <c r="O838" s="131"/>
      <c r="P838" s="131"/>
      <c r="Q838" s="131"/>
      <c r="R838" s="131"/>
      <c r="S838" s="131"/>
      <c r="T838" s="131"/>
      <c r="U838" s="131"/>
      <c r="V838" s="131"/>
      <c r="W838" s="131"/>
      <c r="X838" s="131"/>
      <c r="Y838" s="131"/>
      <c r="Z838" s="131"/>
    </row>
    <row r="839" spans="1:26" ht="15.75" customHeight="1">
      <c r="A839" s="210"/>
      <c r="B839" s="210"/>
      <c r="C839" s="210"/>
      <c r="D839" s="178"/>
      <c r="E839" s="569"/>
      <c r="F839" s="569"/>
      <c r="G839" s="569"/>
      <c r="H839" s="569"/>
      <c r="I839" s="569"/>
      <c r="J839" s="131"/>
      <c r="K839" s="131"/>
      <c r="L839" s="131"/>
      <c r="M839" s="131"/>
      <c r="N839" s="131"/>
      <c r="O839" s="131"/>
      <c r="P839" s="131"/>
      <c r="Q839" s="131"/>
      <c r="R839" s="131"/>
      <c r="S839" s="131"/>
      <c r="T839" s="131"/>
      <c r="U839" s="131"/>
      <c r="V839" s="131"/>
      <c r="W839" s="131"/>
      <c r="X839" s="131"/>
      <c r="Y839" s="131"/>
      <c r="Z839" s="131"/>
    </row>
    <row r="840" spans="1:26" ht="15.75" customHeight="1">
      <c r="A840" s="210"/>
      <c r="B840" s="210"/>
      <c r="C840" s="210"/>
      <c r="D840" s="178"/>
      <c r="E840" s="569"/>
      <c r="F840" s="569"/>
      <c r="G840" s="569"/>
      <c r="H840" s="569"/>
      <c r="I840" s="569"/>
      <c r="J840" s="131"/>
      <c r="K840" s="131"/>
      <c r="L840" s="131"/>
      <c r="M840" s="131"/>
      <c r="N840" s="131"/>
      <c r="O840" s="131"/>
      <c r="P840" s="131"/>
      <c r="Q840" s="131"/>
      <c r="R840" s="131"/>
      <c r="S840" s="131"/>
      <c r="T840" s="131"/>
      <c r="U840" s="131"/>
      <c r="V840" s="131"/>
      <c r="W840" s="131"/>
      <c r="X840" s="131"/>
      <c r="Y840" s="131"/>
      <c r="Z840" s="131"/>
    </row>
    <row r="841" spans="1:26" ht="15.75" customHeight="1">
      <c r="A841" s="210"/>
      <c r="B841" s="210"/>
      <c r="C841" s="210"/>
      <c r="D841" s="178"/>
      <c r="E841" s="569"/>
      <c r="F841" s="569"/>
      <c r="G841" s="569"/>
      <c r="H841" s="569"/>
      <c r="I841" s="569"/>
      <c r="J841" s="131"/>
      <c r="K841" s="131"/>
      <c r="L841" s="131"/>
      <c r="M841" s="131"/>
      <c r="N841" s="131"/>
      <c r="O841" s="131"/>
      <c r="P841" s="131"/>
      <c r="Q841" s="131"/>
      <c r="R841" s="131"/>
      <c r="S841" s="131"/>
      <c r="T841" s="131"/>
      <c r="U841" s="131"/>
      <c r="V841" s="131"/>
      <c r="W841" s="131"/>
      <c r="X841" s="131"/>
      <c r="Y841" s="131"/>
      <c r="Z841" s="131"/>
    </row>
    <row r="842" spans="1:26" ht="15.75" customHeight="1">
      <c r="A842" s="210"/>
      <c r="B842" s="210"/>
      <c r="C842" s="210"/>
      <c r="D842" s="178"/>
      <c r="E842" s="569"/>
      <c r="F842" s="569"/>
      <c r="G842" s="569"/>
      <c r="H842" s="569"/>
      <c r="I842" s="569"/>
      <c r="J842" s="131"/>
      <c r="K842" s="131"/>
      <c r="L842" s="131"/>
      <c r="M842" s="131"/>
      <c r="N842" s="131"/>
      <c r="O842" s="131"/>
      <c r="P842" s="131"/>
      <c r="Q842" s="131"/>
      <c r="R842" s="131"/>
      <c r="S842" s="131"/>
      <c r="T842" s="131"/>
      <c r="U842" s="131"/>
      <c r="V842" s="131"/>
      <c r="W842" s="131"/>
      <c r="X842" s="131"/>
      <c r="Y842" s="131"/>
      <c r="Z842" s="131"/>
    </row>
    <row r="843" spans="1:26" ht="15.75" customHeight="1">
      <c r="A843" s="210"/>
      <c r="B843" s="210"/>
      <c r="C843" s="210"/>
      <c r="D843" s="178"/>
      <c r="E843" s="569"/>
      <c r="F843" s="569"/>
      <c r="G843" s="569"/>
      <c r="H843" s="569"/>
      <c r="I843" s="569"/>
      <c r="J843" s="131"/>
      <c r="K843" s="131"/>
      <c r="L843" s="131"/>
      <c r="M843" s="131"/>
      <c r="N843" s="131"/>
      <c r="O843" s="131"/>
      <c r="P843" s="131"/>
      <c r="Q843" s="131"/>
      <c r="R843" s="131"/>
      <c r="S843" s="131"/>
      <c r="T843" s="131"/>
      <c r="U843" s="131"/>
      <c r="V843" s="131"/>
      <c r="W843" s="131"/>
      <c r="X843" s="131"/>
      <c r="Y843" s="131"/>
      <c r="Z843" s="131"/>
    </row>
    <row r="844" spans="1:26" ht="15.75" customHeight="1">
      <c r="A844" s="210"/>
      <c r="B844" s="210"/>
      <c r="C844" s="210"/>
      <c r="D844" s="178"/>
      <c r="E844" s="569"/>
      <c r="F844" s="569"/>
      <c r="G844" s="569"/>
      <c r="H844" s="569"/>
      <c r="I844" s="569"/>
      <c r="J844" s="131"/>
      <c r="K844" s="131"/>
      <c r="L844" s="131"/>
      <c r="M844" s="131"/>
      <c r="N844" s="131"/>
      <c r="O844" s="131"/>
      <c r="P844" s="131"/>
      <c r="Q844" s="131"/>
      <c r="R844" s="131"/>
      <c r="S844" s="131"/>
      <c r="T844" s="131"/>
      <c r="U844" s="131"/>
      <c r="V844" s="131"/>
      <c r="W844" s="131"/>
      <c r="X844" s="131"/>
      <c r="Y844" s="131"/>
      <c r="Z844" s="131"/>
    </row>
    <row r="845" spans="1:26" ht="15.75" customHeight="1">
      <c r="A845" s="210"/>
      <c r="B845" s="210"/>
      <c r="C845" s="210"/>
      <c r="D845" s="178"/>
      <c r="E845" s="569"/>
      <c r="F845" s="569"/>
      <c r="G845" s="569"/>
      <c r="H845" s="569"/>
      <c r="I845" s="569"/>
      <c r="J845" s="131"/>
      <c r="K845" s="131"/>
      <c r="L845" s="131"/>
      <c r="M845" s="131"/>
      <c r="N845" s="131"/>
      <c r="O845" s="131"/>
      <c r="P845" s="131"/>
      <c r="Q845" s="131"/>
      <c r="R845" s="131"/>
      <c r="S845" s="131"/>
      <c r="T845" s="131"/>
      <c r="U845" s="131"/>
      <c r="V845" s="131"/>
      <c r="W845" s="131"/>
      <c r="X845" s="131"/>
      <c r="Y845" s="131"/>
      <c r="Z845" s="131"/>
    </row>
    <row r="846" spans="1:26" ht="15.75" customHeight="1">
      <c r="A846" s="210"/>
      <c r="B846" s="210"/>
      <c r="C846" s="210"/>
      <c r="D846" s="178"/>
      <c r="E846" s="569"/>
      <c r="F846" s="569"/>
      <c r="G846" s="569"/>
      <c r="H846" s="569"/>
      <c r="I846" s="569"/>
      <c r="J846" s="131"/>
      <c r="K846" s="131"/>
      <c r="L846" s="131"/>
      <c r="M846" s="131"/>
      <c r="N846" s="131"/>
      <c r="O846" s="131"/>
      <c r="P846" s="131"/>
      <c r="Q846" s="131"/>
      <c r="R846" s="131"/>
      <c r="S846" s="131"/>
      <c r="T846" s="131"/>
      <c r="U846" s="131"/>
      <c r="V846" s="131"/>
      <c r="W846" s="131"/>
      <c r="X846" s="131"/>
      <c r="Y846" s="131"/>
      <c r="Z846" s="131"/>
    </row>
    <row r="847" spans="1:26" ht="15.75" customHeight="1">
      <c r="A847" s="210"/>
      <c r="B847" s="210"/>
      <c r="C847" s="210"/>
      <c r="D847" s="178"/>
      <c r="E847" s="569"/>
      <c r="F847" s="569"/>
      <c r="G847" s="569"/>
      <c r="H847" s="569"/>
      <c r="I847" s="569"/>
      <c r="J847" s="131"/>
      <c r="K847" s="131"/>
      <c r="L847" s="131"/>
      <c r="M847" s="131"/>
      <c r="N847" s="131"/>
      <c r="O847" s="131"/>
      <c r="P847" s="131"/>
      <c r="Q847" s="131"/>
      <c r="R847" s="131"/>
      <c r="S847" s="131"/>
      <c r="T847" s="131"/>
      <c r="U847" s="131"/>
      <c r="V847" s="131"/>
      <c r="W847" s="131"/>
      <c r="X847" s="131"/>
      <c r="Y847" s="131"/>
      <c r="Z847" s="131"/>
    </row>
    <row r="848" spans="1:26" ht="15.75" customHeight="1">
      <c r="A848" s="210"/>
      <c r="B848" s="210"/>
      <c r="C848" s="210"/>
      <c r="D848" s="178"/>
      <c r="E848" s="569"/>
      <c r="F848" s="569"/>
      <c r="G848" s="569"/>
      <c r="H848" s="569"/>
      <c r="I848" s="569"/>
      <c r="J848" s="131"/>
      <c r="K848" s="131"/>
      <c r="L848" s="131"/>
      <c r="M848" s="131"/>
      <c r="N848" s="131"/>
      <c r="O848" s="131"/>
      <c r="P848" s="131"/>
      <c r="Q848" s="131"/>
      <c r="R848" s="131"/>
      <c r="S848" s="131"/>
      <c r="T848" s="131"/>
      <c r="U848" s="131"/>
      <c r="V848" s="131"/>
      <c r="W848" s="131"/>
      <c r="X848" s="131"/>
      <c r="Y848" s="131"/>
      <c r="Z848" s="131"/>
    </row>
    <row r="849" spans="1:26" ht="15.75" customHeight="1">
      <c r="A849" s="210"/>
      <c r="B849" s="210"/>
      <c r="C849" s="210"/>
      <c r="D849" s="178"/>
      <c r="E849" s="569"/>
      <c r="F849" s="569"/>
      <c r="G849" s="569"/>
      <c r="H849" s="569"/>
      <c r="I849" s="569"/>
      <c r="J849" s="131"/>
      <c r="K849" s="131"/>
      <c r="L849" s="131"/>
      <c r="M849" s="131"/>
      <c r="N849" s="131"/>
      <c r="O849" s="131"/>
      <c r="P849" s="131"/>
      <c r="Q849" s="131"/>
      <c r="R849" s="131"/>
      <c r="S849" s="131"/>
      <c r="T849" s="131"/>
      <c r="U849" s="131"/>
      <c r="V849" s="131"/>
      <c r="W849" s="131"/>
      <c r="X849" s="131"/>
      <c r="Y849" s="131"/>
      <c r="Z849" s="131"/>
    </row>
    <row r="850" spans="1:26" ht="15.75" customHeight="1">
      <c r="A850" s="210"/>
      <c r="B850" s="210"/>
      <c r="C850" s="210"/>
      <c r="D850" s="178"/>
      <c r="E850" s="569"/>
      <c r="F850" s="569"/>
      <c r="G850" s="569"/>
      <c r="H850" s="569"/>
      <c r="I850" s="569"/>
      <c r="J850" s="131"/>
      <c r="K850" s="131"/>
      <c r="L850" s="131"/>
      <c r="M850" s="131"/>
      <c r="N850" s="131"/>
      <c r="O850" s="131"/>
      <c r="P850" s="131"/>
      <c r="Q850" s="131"/>
      <c r="R850" s="131"/>
      <c r="S850" s="131"/>
      <c r="T850" s="131"/>
      <c r="U850" s="131"/>
      <c r="V850" s="131"/>
      <c r="W850" s="131"/>
      <c r="X850" s="131"/>
      <c r="Y850" s="131"/>
      <c r="Z850" s="131"/>
    </row>
    <row r="851" spans="1:26" ht="15.75" customHeight="1">
      <c r="A851" s="210"/>
      <c r="B851" s="210"/>
      <c r="C851" s="210"/>
      <c r="D851" s="178"/>
      <c r="E851" s="569"/>
      <c r="F851" s="569"/>
      <c r="G851" s="569"/>
      <c r="H851" s="569"/>
      <c r="I851" s="569"/>
      <c r="J851" s="131"/>
      <c r="K851" s="131"/>
      <c r="L851" s="131"/>
      <c r="M851" s="131"/>
      <c r="N851" s="131"/>
      <c r="O851" s="131"/>
      <c r="P851" s="131"/>
      <c r="Q851" s="131"/>
      <c r="R851" s="131"/>
      <c r="S851" s="131"/>
      <c r="T851" s="131"/>
      <c r="U851" s="131"/>
      <c r="V851" s="131"/>
      <c r="W851" s="131"/>
      <c r="X851" s="131"/>
      <c r="Y851" s="131"/>
      <c r="Z851" s="131"/>
    </row>
    <row r="852" spans="1:26" ht="15.75" customHeight="1">
      <c r="A852" s="210"/>
      <c r="B852" s="210"/>
      <c r="C852" s="210"/>
      <c r="D852" s="178"/>
      <c r="E852" s="569"/>
      <c r="F852" s="569"/>
      <c r="G852" s="569"/>
      <c r="H852" s="569"/>
      <c r="I852" s="569"/>
      <c r="J852" s="131"/>
      <c r="K852" s="131"/>
      <c r="L852" s="131"/>
      <c r="M852" s="131"/>
      <c r="N852" s="131"/>
      <c r="O852" s="131"/>
      <c r="P852" s="131"/>
      <c r="Q852" s="131"/>
      <c r="R852" s="131"/>
      <c r="S852" s="131"/>
      <c r="T852" s="131"/>
      <c r="U852" s="131"/>
      <c r="V852" s="131"/>
      <c r="W852" s="131"/>
      <c r="X852" s="131"/>
      <c r="Y852" s="131"/>
      <c r="Z852" s="131"/>
    </row>
    <row r="853" spans="1:26" ht="15.75" customHeight="1">
      <c r="A853" s="210"/>
      <c r="B853" s="210"/>
      <c r="C853" s="210"/>
      <c r="D853" s="178"/>
      <c r="E853" s="569"/>
      <c r="F853" s="569"/>
      <c r="G853" s="569"/>
      <c r="H853" s="569"/>
      <c r="I853" s="569"/>
      <c r="J853" s="131"/>
      <c r="K853" s="131"/>
      <c r="L853" s="131"/>
      <c r="M853" s="131"/>
      <c r="N853" s="131"/>
      <c r="O853" s="131"/>
      <c r="P853" s="131"/>
      <c r="Q853" s="131"/>
      <c r="R853" s="131"/>
      <c r="S853" s="131"/>
      <c r="T853" s="131"/>
      <c r="U853" s="131"/>
      <c r="V853" s="131"/>
      <c r="W853" s="131"/>
      <c r="X853" s="131"/>
      <c r="Y853" s="131"/>
      <c r="Z853" s="131"/>
    </row>
    <row r="854" spans="1:26" ht="15.75" customHeight="1">
      <c r="A854" s="210"/>
      <c r="B854" s="210"/>
      <c r="C854" s="210"/>
      <c r="D854" s="178"/>
      <c r="E854" s="569"/>
      <c r="F854" s="569"/>
      <c r="G854" s="569"/>
      <c r="H854" s="569"/>
      <c r="I854" s="569"/>
      <c r="J854" s="131"/>
      <c r="K854" s="131"/>
      <c r="L854" s="131"/>
      <c r="M854" s="131"/>
      <c r="N854" s="131"/>
      <c r="O854" s="131"/>
      <c r="P854" s="131"/>
      <c r="Q854" s="131"/>
      <c r="R854" s="131"/>
      <c r="S854" s="131"/>
      <c r="T854" s="131"/>
      <c r="U854" s="131"/>
      <c r="V854" s="131"/>
      <c r="W854" s="131"/>
      <c r="X854" s="131"/>
      <c r="Y854" s="131"/>
      <c r="Z854" s="131"/>
    </row>
    <row r="855" spans="1:26" ht="15.75" customHeight="1">
      <c r="A855" s="210"/>
      <c r="B855" s="210"/>
      <c r="C855" s="210"/>
      <c r="D855" s="178"/>
      <c r="E855" s="569"/>
      <c r="F855" s="569"/>
      <c r="G855" s="569"/>
      <c r="H855" s="569"/>
      <c r="I855" s="569"/>
      <c r="J855" s="131"/>
      <c r="K855" s="131"/>
      <c r="L855" s="131"/>
      <c r="M855" s="131"/>
      <c r="N855" s="131"/>
      <c r="O855" s="131"/>
      <c r="P855" s="131"/>
      <c r="Q855" s="131"/>
      <c r="R855" s="131"/>
      <c r="S855" s="131"/>
      <c r="T855" s="131"/>
      <c r="U855" s="131"/>
      <c r="V855" s="131"/>
      <c r="W855" s="131"/>
      <c r="X855" s="131"/>
      <c r="Y855" s="131"/>
      <c r="Z855" s="131"/>
    </row>
    <row r="856" spans="1:26" ht="15.75" customHeight="1">
      <c r="A856" s="210"/>
      <c r="B856" s="210"/>
      <c r="C856" s="210"/>
      <c r="D856" s="178"/>
      <c r="E856" s="569"/>
      <c r="F856" s="569"/>
      <c r="G856" s="569"/>
      <c r="H856" s="569"/>
      <c r="I856" s="569"/>
      <c r="J856" s="131"/>
      <c r="K856" s="131"/>
      <c r="L856" s="131"/>
      <c r="M856" s="131"/>
      <c r="N856" s="131"/>
      <c r="O856" s="131"/>
      <c r="P856" s="131"/>
      <c r="Q856" s="131"/>
      <c r="R856" s="131"/>
      <c r="S856" s="131"/>
      <c r="T856" s="131"/>
      <c r="U856" s="131"/>
      <c r="V856" s="131"/>
      <c r="W856" s="131"/>
      <c r="X856" s="131"/>
      <c r="Y856" s="131"/>
      <c r="Z856" s="131"/>
    </row>
    <row r="857" spans="1:26" ht="15.75" customHeight="1">
      <c r="A857" s="210"/>
      <c r="B857" s="210"/>
      <c r="C857" s="210"/>
      <c r="D857" s="178"/>
      <c r="E857" s="569"/>
      <c r="F857" s="569"/>
      <c r="G857" s="569"/>
      <c r="H857" s="569"/>
      <c r="I857" s="569"/>
      <c r="J857" s="131"/>
      <c r="K857" s="131"/>
      <c r="L857" s="131"/>
      <c r="M857" s="131"/>
      <c r="N857" s="131"/>
      <c r="O857" s="131"/>
      <c r="P857" s="131"/>
      <c r="Q857" s="131"/>
      <c r="R857" s="131"/>
      <c r="S857" s="131"/>
      <c r="T857" s="131"/>
      <c r="U857" s="131"/>
      <c r="V857" s="131"/>
      <c r="W857" s="131"/>
      <c r="X857" s="131"/>
      <c r="Y857" s="131"/>
      <c r="Z857" s="131"/>
    </row>
    <row r="858" spans="1:26" ht="15.75" customHeight="1">
      <c r="A858" s="210"/>
      <c r="B858" s="210"/>
      <c r="C858" s="210"/>
      <c r="D858" s="178"/>
      <c r="E858" s="569"/>
      <c r="F858" s="569"/>
      <c r="G858" s="569"/>
      <c r="H858" s="569"/>
      <c r="I858" s="569"/>
      <c r="J858" s="131"/>
      <c r="K858" s="131"/>
      <c r="L858" s="131"/>
      <c r="M858" s="131"/>
      <c r="N858" s="131"/>
      <c r="O858" s="131"/>
      <c r="P858" s="131"/>
      <c r="Q858" s="131"/>
      <c r="R858" s="131"/>
      <c r="S858" s="131"/>
      <c r="T858" s="131"/>
      <c r="U858" s="131"/>
      <c r="V858" s="131"/>
      <c r="W858" s="131"/>
      <c r="X858" s="131"/>
      <c r="Y858" s="131"/>
      <c r="Z858" s="131"/>
    </row>
    <row r="859" spans="1:26" ht="15.75" customHeight="1">
      <c r="A859" s="210"/>
      <c r="B859" s="210"/>
      <c r="C859" s="210"/>
      <c r="D859" s="178"/>
      <c r="E859" s="569"/>
      <c r="F859" s="569"/>
      <c r="G859" s="569"/>
      <c r="H859" s="569"/>
      <c r="I859" s="569"/>
      <c r="J859" s="131"/>
      <c r="K859" s="131"/>
      <c r="L859" s="131"/>
      <c r="M859" s="131"/>
      <c r="N859" s="131"/>
      <c r="O859" s="131"/>
      <c r="P859" s="131"/>
      <c r="Q859" s="131"/>
      <c r="R859" s="131"/>
      <c r="S859" s="131"/>
      <c r="T859" s="131"/>
      <c r="U859" s="131"/>
      <c r="V859" s="131"/>
      <c r="W859" s="131"/>
      <c r="X859" s="131"/>
      <c r="Y859" s="131"/>
      <c r="Z859" s="131"/>
    </row>
    <row r="860" spans="1:26" ht="15.75" customHeight="1">
      <c r="A860" s="210"/>
      <c r="B860" s="210"/>
      <c r="C860" s="210"/>
      <c r="D860" s="178"/>
      <c r="E860" s="569"/>
      <c r="F860" s="569"/>
      <c r="G860" s="569"/>
      <c r="H860" s="569"/>
      <c r="I860" s="569"/>
      <c r="J860" s="131"/>
      <c r="K860" s="131"/>
      <c r="L860" s="131"/>
      <c r="M860" s="131"/>
      <c r="N860" s="131"/>
      <c r="O860" s="131"/>
      <c r="P860" s="131"/>
      <c r="Q860" s="131"/>
      <c r="R860" s="131"/>
      <c r="S860" s="131"/>
      <c r="T860" s="131"/>
      <c r="U860" s="131"/>
      <c r="V860" s="131"/>
      <c r="W860" s="131"/>
      <c r="X860" s="131"/>
      <c r="Y860" s="131"/>
      <c r="Z860" s="131"/>
    </row>
    <row r="861" spans="1:26" ht="15.75" customHeight="1">
      <c r="A861" s="210"/>
      <c r="B861" s="210"/>
      <c r="C861" s="210"/>
      <c r="D861" s="178"/>
      <c r="E861" s="569"/>
      <c r="F861" s="569"/>
      <c r="G861" s="569"/>
      <c r="H861" s="569"/>
      <c r="I861" s="569"/>
      <c r="J861" s="131"/>
      <c r="K861" s="131"/>
      <c r="L861" s="131"/>
      <c r="M861" s="131"/>
      <c r="N861" s="131"/>
      <c r="O861" s="131"/>
      <c r="P861" s="131"/>
      <c r="Q861" s="131"/>
      <c r="R861" s="131"/>
      <c r="S861" s="131"/>
      <c r="T861" s="131"/>
      <c r="U861" s="131"/>
      <c r="V861" s="131"/>
      <c r="W861" s="131"/>
      <c r="X861" s="131"/>
      <c r="Y861" s="131"/>
      <c r="Z861" s="131"/>
    </row>
    <row r="862" spans="1:26" ht="15.75" customHeight="1">
      <c r="A862" s="210"/>
      <c r="B862" s="210"/>
      <c r="C862" s="210"/>
      <c r="D862" s="178"/>
      <c r="E862" s="569"/>
      <c r="F862" s="569"/>
      <c r="G862" s="569"/>
      <c r="H862" s="569"/>
      <c r="I862" s="569"/>
      <c r="J862" s="131"/>
      <c r="K862" s="131"/>
      <c r="L862" s="131"/>
      <c r="M862" s="131"/>
      <c r="N862" s="131"/>
      <c r="O862" s="131"/>
      <c r="P862" s="131"/>
      <c r="Q862" s="131"/>
      <c r="R862" s="131"/>
      <c r="S862" s="131"/>
      <c r="T862" s="131"/>
      <c r="U862" s="131"/>
      <c r="V862" s="131"/>
      <c r="W862" s="131"/>
      <c r="X862" s="131"/>
      <c r="Y862" s="131"/>
      <c r="Z862" s="131"/>
    </row>
    <row r="863" spans="1:26" ht="15.75" customHeight="1">
      <c r="A863" s="210"/>
      <c r="B863" s="210"/>
      <c r="C863" s="210"/>
      <c r="D863" s="178"/>
      <c r="E863" s="569"/>
      <c r="F863" s="569"/>
      <c r="G863" s="569"/>
      <c r="H863" s="569"/>
      <c r="I863" s="569"/>
      <c r="J863" s="131"/>
      <c r="K863" s="131"/>
      <c r="L863" s="131"/>
      <c r="M863" s="131"/>
      <c r="N863" s="131"/>
      <c r="O863" s="131"/>
      <c r="P863" s="131"/>
      <c r="Q863" s="131"/>
      <c r="R863" s="131"/>
      <c r="S863" s="131"/>
      <c r="T863" s="131"/>
      <c r="U863" s="131"/>
      <c r="V863" s="131"/>
      <c r="W863" s="131"/>
      <c r="X863" s="131"/>
      <c r="Y863" s="131"/>
      <c r="Z863" s="131"/>
    </row>
    <row r="864" spans="1:26" ht="15.75" customHeight="1">
      <c r="A864" s="210"/>
      <c r="B864" s="210"/>
      <c r="C864" s="210"/>
      <c r="D864" s="178"/>
      <c r="E864" s="569"/>
      <c r="F864" s="569"/>
      <c r="G864" s="569"/>
      <c r="H864" s="569"/>
      <c r="I864" s="569"/>
      <c r="J864" s="131"/>
      <c r="K864" s="131"/>
      <c r="L864" s="131"/>
      <c r="M864" s="131"/>
      <c r="N864" s="131"/>
      <c r="O864" s="131"/>
      <c r="P864" s="131"/>
      <c r="Q864" s="131"/>
      <c r="R864" s="131"/>
      <c r="S864" s="131"/>
      <c r="T864" s="131"/>
      <c r="U864" s="131"/>
      <c r="V864" s="131"/>
      <c r="W864" s="131"/>
      <c r="X864" s="131"/>
      <c r="Y864" s="131"/>
      <c r="Z864" s="131"/>
    </row>
    <row r="865" spans="1:26" ht="15.75" customHeight="1">
      <c r="A865" s="210"/>
      <c r="B865" s="210"/>
      <c r="C865" s="210"/>
      <c r="D865" s="178"/>
      <c r="E865" s="569"/>
      <c r="F865" s="569"/>
      <c r="G865" s="569"/>
      <c r="H865" s="569"/>
      <c r="I865" s="569"/>
      <c r="J865" s="131"/>
      <c r="K865" s="131"/>
      <c r="L865" s="131"/>
      <c r="M865" s="131"/>
      <c r="N865" s="131"/>
      <c r="O865" s="131"/>
      <c r="P865" s="131"/>
      <c r="Q865" s="131"/>
      <c r="R865" s="131"/>
      <c r="S865" s="131"/>
      <c r="T865" s="131"/>
      <c r="U865" s="131"/>
      <c r="V865" s="131"/>
      <c r="W865" s="131"/>
      <c r="X865" s="131"/>
      <c r="Y865" s="131"/>
      <c r="Z865" s="131"/>
    </row>
    <row r="866" spans="1:26" ht="15.75" customHeight="1">
      <c r="A866" s="210"/>
      <c r="B866" s="210"/>
      <c r="C866" s="210"/>
      <c r="D866" s="178"/>
      <c r="E866" s="569"/>
      <c r="F866" s="569"/>
      <c r="G866" s="569"/>
      <c r="H866" s="569"/>
      <c r="I866" s="569"/>
      <c r="J866" s="131"/>
      <c r="K866" s="131"/>
      <c r="L866" s="131"/>
      <c r="M866" s="131"/>
      <c r="N866" s="131"/>
      <c r="O866" s="131"/>
      <c r="P866" s="131"/>
      <c r="Q866" s="131"/>
      <c r="R866" s="131"/>
      <c r="S866" s="131"/>
      <c r="T866" s="131"/>
      <c r="U866" s="131"/>
      <c r="V866" s="131"/>
      <c r="W866" s="131"/>
      <c r="X866" s="131"/>
      <c r="Y866" s="131"/>
      <c r="Z866" s="131"/>
    </row>
    <row r="867" spans="1:26" ht="15.75" customHeight="1">
      <c r="A867" s="210"/>
      <c r="B867" s="210"/>
      <c r="C867" s="210"/>
      <c r="D867" s="178"/>
      <c r="E867" s="569"/>
      <c r="F867" s="569"/>
      <c r="G867" s="569"/>
      <c r="H867" s="569"/>
      <c r="I867" s="569"/>
      <c r="J867" s="131"/>
      <c r="K867" s="131"/>
      <c r="L867" s="131"/>
      <c r="M867" s="131"/>
      <c r="N867" s="131"/>
      <c r="O867" s="131"/>
      <c r="P867" s="131"/>
      <c r="Q867" s="131"/>
      <c r="R867" s="131"/>
      <c r="S867" s="131"/>
      <c r="T867" s="131"/>
      <c r="U867" s="131"/>
      <c r="V867" s="131"/>
      <c r="W867" s="131"/>
      <c r="X867" s="131"/>
      <c r="Y867" s="131"/>
      <c r="Z867" s="131"/>
    </row>
    <row r="868" spans="1:26" ht="15.75" customHeight="1">
      <c r="A868" s="210"/>
      <c r="B868" s="210"/>
      <c r="C868" s="210"/>
      <c r="D868" s="178"/>
      <c r="E868" s="569"/>
      <c r="F868" s="569"/>
      <c r="G868" s="569"/>
      <c r="H868" s="569"/>
      <c r="I868" s="569"/>
      <c r="J868" s="131"/>
      <c r="K868" s="131"/>
      <c r="L868" s="131"/>
      <c r="M868" s="131"/>
      <c r="N868" s="131"/>
      <c r="O868" s="131"/>
      <c r="P868" s="131"/>
      <c r="Q868" s="131"/>
      <c r="R868" s="131"/>
      <c r="S868" s="131"/>
      <c r="T868" s="131"/>
      <c r="U868" s="131"/>
      <c r="V868" s="131"/>
      <c r="W868" s="131"/>
      <c r="X868" s="131"/>
      <c r="Y868" s="131"/>
      <c r="Z868" s="131"/>
    </row>
    <row r="869" spans="1:26" ht="15.75" customHeight="1">
      <c r="A869" s="210"/>
      <c r="B869" s="210"/>
      <c r="C869" s="210"/>
      <c r="D869" s="178"/>
      <c r="E869" s="569"/>
      <c r="F869" s="569"/>
      <c r="G869" s="569"/>
      <c r="H869" s="569"/>
      <c r="I869" s="569"/>
      <c r="J869" s="131"/>
      <c r="K869" s="131"/>
      <c r="L869" s="131"/>
      <c r="M869" s="131"/>
      <c r="N869" s="131"/>
      <c r="O869" s="131"/>
      <c r="P869" s="131"/>
      <c r="Q869" s="131"/>
      <c r="R869" s="131"/>
      <c r="S869" s="131"/>
      <c r="T869" s="131"/>
      <c r="U869" s="131"/>
      <c r="V869" s="131"/>
      <c r="W869" s="131"/>
      <c r="X869" s="131"/>
      <c r="Y869" s="131"/>
      <c r="Z869" s="131"/>
    </row>
    <row r="870" spans="1:26" ht="15.75" customHeight="1">
      <c r="A870" s="210"/>
      <c r="B870" s="210"/>
      <c r="C870" s="210"/>
      <c r="D870" s="178"/>
      <c r="E870" s="569"/>
      <c r="F870" s="569"/>
      <c r="G870" s="569"/>
      <c r="H870" s="569"/>
      <c r="I870" s="569"/>
      <c r="J870" s="131"/>
      <c r="K870" s="131"/>
      <c r="L870" s="131"/>
      <c r="M870" s="131"/>
      <c r="N870" s="131"/>
      <c r="O870" s="131"/>
      <c r="P870" s="131"/>
      <c r="Q870" s="131"/>
      <c r="R870" s="131"/>
      <c r="S870" s="131"/>
      <c r="T870" s="131"/>
      <c r="U870" s="131"/>
      <c r="V870" s="131"/>
      <c r="W870" s="131"/>
      <c r="X870" s="131"/>
      <c r="Y870" s="131"/>
      <c r="Z870" s="131"/>
    </row>
    <row r="871" spans="1:26" ht="15.75" customHeight="1">
      <c r="A871" s="210"/>
      <c r="B871" s="210"/>
      <c r="C871" s="210"/>
      <c r="D871" s="178"/>
      <c r="E871" s="569"/>
      <c r="F871" s="569"/>
      <c r="G871" s="569"/>
      <c r="H871" s="569"/>
      <c r="I871" s="569"/>
      <c r="J871" s="131"/>
      <c r="K871" s="131"/>
      <c r="L871" s="131"/>
      <c r="M871" s="131"/>
      <c r="N871" s="131"/>
      <c r="O871" s="131"/>
      <c r="P871" s="131"/>
      <c r="Q871" s="131"/>
      <c r="R871" s="131"/>
      <c r="S871" s="131"/>
      <c r="T871" s="131"/>
      <c r="U871" s="131"/>
      <c r="V871" s="131"/>
      <c r="W871" s="131"/>
      <c r="X871" s="131"/>
      <c r="Y871" s="131"/>
      <c r="Z871" s="131"/>
    </row>
    <row r="872" spans="1:26" ht="15.75" customHeight="1">
      <c r="A872" s="210"/>
      <c r="B872" s="210"/>
      <c r="C872" s="210"/>
      <c r="D872" s="178"/>
      <c r="E872" s="569"/>
      <c r="F872" s="569"/>
      <c r="G872" s="569"/>
      <c r="H872" s="569"/>
      <c r="I872" s="569"/>
      <c r="J872" s="131"/>
      <c r="K872" s="131"/>
      <c r="L872" s="131"/>
      <c r="M872" s="131"/>
      <c r="N872" s="131"/>
      <c r="O872" s="131"/>
      <c r="P872" s="131"/>
      <c r="Q872" s="131"/>
      <c r="R872" s="131"/>
      <c r="S872" s="131"/>
      <c r="T872" s="131"/>
      <c r="U872" s="131"/>
      <c r="V872" s="131"/>
      <c r="W872" s="131"/>
      <c r="X872" s="131"/>
      <c r="Y872" s="131"/>
      <c r="Z872" s="131"/>
    </row>
    <row r="873" spans="1:26" ht="15.75" customHeight="1">
      <c r="A873" s="210"/>
      <c r="B873" s="210"/>
      <c r="C873" s="210"/>
      <c r="D873" s="178"/>
      <c r="E873" s="569"/>
      <c r="F873" s="569"/>
      <c r="G873" s="569"/>
      <c r="H873" s="569"/>
      <c r="I873" s="569"/>
      <c r="J873" s="131"/>
      <c r="K873" s="131"/>
      <c r="L873" s="131"/>
      <c r="M873" s="131"/>
      <c r="N873" s="131"/>
      <c r="O873" s="131"/>
      <c r="P873" s="131"/>
      <c r="Q873" s="131"/>
      <c r="R873" s="131"/>
      <c r="S873" s="131"/>
      <c r="T873" s="131"/>
      <c r="U873" s="131"/>
      <c r="V873" s="131"/>
      <c r="W873" s="131"/>
      <c r="X873" s="131"/>
      <c r="Y873" s="131"/>
      <c r="Z873" s="131"/>
    </row>
    <row r="874" spans="1:26" ht="15.75" customHeight="1">
      <c r="A874" s="210"/>
      <c r="B874" s="210"/>
      <c r="C874" s="210"/>
      <c r="D874" s="178"/>
      <c r="E874" s="569"/>
      <c r="F874" s="569"/>
      <c r="G874" s="569"/>
      <c r="H874" s="569"/>
      <c r="I874" s="569"/>
      <c r="J874" s="131"/>
      <c r="K874" s="131"/>
      <c r="L874" s="131"/>
      <c r="M874" s="131"/>
      <c r="N874" s="131"/>
      <c r="O874" s="131"/>
      <c r="P874" s="131"/>
      <c r="Q874" s="131"/>
      <c r="R874" s="131"/>
      <c r="S874" s="131"/>
      <c r="T874" s="131"/>
      <c r="U874" s="131"/>
      <c r="V874" s="131"/>
      <c r="W874" s="131"/>
      <c r="X874" s="131"/>
      <c r="Y874" s="131"/>
      <c r="Z874" s="131"/>
    </row>
    <row r="875" spans="1:26" ht="15.75" customHeight="1">
      <c r="A875" s="210"/>
      <c r="B875" s="210"/>
      <c r="C875" s="210"/>
      <c r="D875" s="178"/>
      <c r="E875" s="569"/>
      <c r="F875" s="569"/>
      <c r="G875" s="569"/>
      <c r="H875" s="569"/>
      <c r="I875" s="569"/>
      <c r="J875" s="131"/>
      <c r="K875" s="131"/>
      <c r="L875" s="131"/>
      <c r="M875" s="131"/>
      <c r="N875" s="131"/>
      <c r="O875" s="131"/>
      <c r="P875" s="131"/>
      <c r="Q875" s="131"/>
      <c r="R875" s="131"/>
      <c r="S875" s="131"/>
      <c r="T875" s="131"/>
      <c r="U875" s="131"/>
      <c r="V875" s="131"/>
      <c r="W875" s="131"/>
      <c r="X875" s="131"/>
      <c r="Y875" s="131"/>
      <c r="Z875" s="131"/>
    </row>
    <row r="876" spans="1:26" ht="15.75" customHeight="1">
      <c r="A876" s="210"/>
      <c r="B876" s="210"/>
      <c r="C876" s="210"/>
      <c r="D876" s="178"/>
      <c r="E876" s="569"/>
      <c r="F876" s="569"/>
      <c r="G876" s="569"/>
      <c r="H876" s="569"/>
      <c r="I876" s="569"/>
      <c r="J876" s="131"/>
      <c r="K876" s="131"/>
      <c r="L876" s="131"/>
      <c r="M876" s="131"/>
      <c r="N876" s="131"/>
      <c r="O876" s="131"/>
      <c r="P876" s="131"/>
      <c r="Q876" s="131"/>
      <c r="R876" s="131"/>
      <c r="S876" s="131"/>
      <c r="T876" s="131"/>
      <c r="U876" s="131"/>
      <c r="V876" s="131"/>
      <c r="W876" s="131"/>
      <c r="X876" s="131"/>
      <c r="Y876" s="131"/>
      <c r="Z876" s="131"/>
    </row>
    <row r="877" spans="1:26" ht="15.75" customHeight="1">
      <c r="A877" s="210"/>
      <c r="B877" s="210"/>
      <c r="C877" s="210"/>
      <c r="D877" s="178"/>
      <c r="E877" s="569"/>
      <c r="F877" s="569"/>
      <c r="G877" s="569"/>
      <c r="H877" s="569"/>
      <c r="I877" s="569"/>
      <c r="J877" s="131"/>
      <c r="K877" s="131"/>
      <c r="L877" s="131"/>
      <c r="M877" s="131"/>
      <c r="N877" s="131"/>
      <c r="O877" s="131"/>
      <c r="P877" s="131"/>
      <c r="Q877" s="131"/>
      <c r="R877" s="131"/>
      <c r="S877" s="131"/>
      <c r="T877" s="131"/>
      <c r="U877" s="131"/>
      <c r="V877" s="131"/>
      <c r="W877" s="131"/>
      <c r="X877" s="131"/>
      <c r="Y877" s="131"/>
      <c r="Z877" s="131"/>
    </row>
    <row r="878" spans="1:26" ht="15.75" customHeight="1">
      <c r="A878" s="210"/>
      <c r="B878" s="210"/>
      <c r="C878" s="210"/>
      <c r="D878" s="178"/>
      <c r="E878" s="569"/>
      <c r="F878" s="569"/>
      <c r="G878" s="569"/>
      <c r="H878" s="569"/>
      <c r="I878" s="569"/>
      <c r="J878" s="131"/>
      <c r="K878" s="131"/>
      <c r="L878" s="131"/>
      <c r="M878" s="131"/>
      <c r="N878" s="131"/>
      <c r="O878" s="131"/>
      <c r="P878" s="131"/>
      <c r="Q878" s="131"/>
      <c r="R878" s="131"/>
      <c r="S878" s="131"/>
      <c r="T878" s="131"/>
      <c r="U878" s="131"/>
      <c r="V878" s="131"/>
      <c r="W878" s="131"/>
      <c r="X878" s="131"/>
      <c r="Y878" s="131"/>
      <c r="Z878" s="131"/>
    </row>
    <row r="879" spans="1:26" ht="15.75" customHeight="1">
      <c r="A879" s="210"/>
      <c r="B879" s="210"/>
      <c r="C879" s="210"/>
      <c r="D879" s="178"/>
      <c r="E879" s="569"/>
      <c r="F879" s="569"/>
      <c r="G879" s="569"/>
      <c r="H879" s="569"/>
      <c r="I879" s="569"/>
      <c r="J879" s="131"/>
      <c r="K879" s="131"/>
      <c r="L879" s="131"/>
      <c r="M879" s="131"/>
      <c r="N879" s="131"/>
      <c r="O879" s="131"/>
      <c r="P879" s="131"/>
      <c r="Q879" s="131"/>
      <c r="R879" s="131"/>
      <c r="S879" s="131"/>
      <c r="T879" s="131"/>
      <c r="U879" s="131"/>
      <c r="V879" s="131"/>
      <c r="W879" s="131"/>
      <c r="X879" s="131"/>
      <c r="Y879" s="131"/>
      <c r="Z879" s="131"/>
    </row>
    <row r="880" spans="1:26" ht="15.75" customHeight="1">
      <c r="A880" s="210"/>
      <c r="B880" s="210"/>
      <c r="C880" s="210"/>
      <c r="D880" s="178"/>
      <c r="E880" s="569"/>
      <c r="F880" s="569"/>
      <c r="G880" s="569"/>
      <c r="H880" s="569"/>
      <c r="I880" s="569"/>
      <c r="J880" s="131"/>
      <c r="K880" s="131"/>
      <c r="L880" s="131"/>
      <c r="M880" s="131"/>
      <c r="N880" s="131"/>
      <c r="O880" s="131"/>
      <c r="P880" s="131"/>
      <c r="Q880" s="131"/>
      <c r="R880" s="131"/>
      <c r="S880" s="131"/>
      <c r="T880" s="131"/>
      <c r="U880" s="131"/>
      <c r="V880" s="131"/>
      <c r="W880" s="131"/>
      <c r="X880" s="131"/>
      <c r="Y880" s="131"/>
      <c r="Z880" s="131"/>
    </row>
    <row r="881" spans="1:26" ht="15.75" customHeight="1">
      <c r="A881" s="210"/>
      <c r="B881" s="210"/>
      <c r="C881" s="210"/>
      <c r="D881" s="178"/>
      <c r="E881" s="569"/>
      <c r="F881" s="569"/>
      <c r="G881" s="569"/>
      <c r="H881" s="569"/>
      <c r="I881" s="569"/>
      <c r="J881" s="131"/>
      <c r="K881" s="131"/>
      <c r="L881" s="131"/>
      <c r="M881" s="131"/>
      <c r="N881" s="131"/>
      <c r="O881" s="131"/>
      <c r="P881" s="131"/>
      <c r="Q881" s="131"/>
      <c r="R881" s="131"/>
      <c r="S881" s="131"/>
      <c r="T881" s="131"/>
      <c r="U881" s="131"/>
      <c r="V881" s="131"/>
      <c r="W881" s="131"/>
      <c r="X881" s="131"/>
      <c r="Y881" s="131"/>
      <c r="Z881" s="131"/>
    </row>
    <row r="882" spans="1:26" ht="15.75" customHeight="1">
      <c r="A882" s="210"/>
      <c r="B882" s="210"/>
      <c r="C882" s="210"/>
      <c r="D882" s="178"/>
      <c r="E882" s="569"/>
      <c r="F882" s="569"/>
      <c r="G882" s="569"/>
      <c r="H882" s="569"/>
      <c r="I882" s="569"/>
      <c r="J882" s="131"/>
      <c r="K882" s="131"/>
      <c r="L882" s="131"/>
      <c r="M882" s="131"/>
      <c r="N882" s="131"/>
      <c r="O882" s="131"/>
      <c r="P882" s="131"/>
      <c r="Q882" s="131"/>
      <c r="R882" s="131"/>
      <c r="S882" s="131"/>
      <c r="T882" s="131"/>
      <c r="U882" s="131"/>
      <c r="V882" s="131"/>
      <c r="W882" s="131"/>
      <c r="X882" s="131"/>
      <c r="Y882" s="131"/>
      <c r="Z882" s="131"/>
    </row>
    <row r="883" spans="1:26" ht="15.75" customHeight="1">
      <c r="A883" s="210"/>
      <c r="B883" s="210"/>
      <c r="C883" s="210"/>
      <c r="D883" s="178"/>
      <c r="E883" s="569"/>
      <c r="F883" s="569"/>
      <c r="G883" s="569"/>
      <c r="H883" s="569"/>
      <c r="I883" s="569"/>
      <c r="J883" s="131"/>
      <c r="K883" s="131"/>
      <c r="L883" s="131"/>
      <c r="M883" s="131"/>
      <c r="N883" s="131"/>
      <c r="O883" s="131"/>
      <c r="P883" s="131"/>
      <c r="Q883" s="131"/>
      <c r="R883" s="131"/>
      <c r="S883" s="131"/>
      <c r="T883" s="131"/>
      <c r="U883" s="131"/>
      <c r="V883" s="131"/>
      <c r="W883" s="131"/>
      <c r="X883" s="131"/>
      <c r="Y883" s="131"/>
      <c r="Z883" s="131"/>
    </row>
    <row r="884" spans="1:26" ht="15.75" customHeight="1">
      <c r="A884" s="210"/>
      <c r="B884" s="210"/>
      <c r="C884" s="210"/>
      <c r="D884" s="178"/>
      <c r="E884" s="569"/>
      <c r="F884" s="569"/>
      <c r="G884" s="569"/>
      <c r="H884" s="569"/>
      <c r="I884" s="569"/>
      <c r="J884" s="131"/>
      <c r="K884" s="131"/>
      <c r="L884" s="131"/>
      <c r="M884" s="131"/>
      <c r="N884" s="131"/>
      <c r="O884" s="131"/>
      <c r="P884" s="131"/>
      <c r="Q884" s="131"/>
      <c r="R884" s="131"/>
      <c r="S884" s="131"/>
      <c r="T884" s="131"/>
      <c r="U884" s="131"/>
      <c r="V884" s="131"/>
      <c r="W884" s="131"/>
      <c r="X884" s="131"/>
      <c r="Y884" s="131"/>
      <c r="Z884" s="131"/>
    </row>
    <row r="885" spans="1:26" ht="15.75" customHeight="1">
      <c r="A885" s="210"/>
      <c r="B885" s="210"/>
      <c r="C885" s="210"/>
      <c r="D885" s="178"/>
      <c r="E885" s="569"/>
      <c r="F885" s="569"/>
      <c r="G885" s="569"/>
      <c r="H885" s="569"/>
      <c r="I885" s="569"/>
      <c r="J885" s="131"/>
      <c r="K885" s="131"/>
      <c r="L885" s="131"/>
      <c r="M885" s="131"/>
      <c r="N885" s="131"/>
      <c r="O885" s="131"/>
      <c r="P885" s="131"/>
      <c r="Q885" s="131"/>
      <c r="R885" s="131"/>
      <c r="S885" s="131"/>
      <c r="T885" s="131"/>
      <c r="U885" s="131"/>
      <c r="V885" s="131"/>
      <c r="W885" s="131"/>
      <c r="X885" s="131"/>
      <c r="Y885" s="131"/>
      <c r="Z885" s="131"/>
    </row>
    <row r="886" spans="1:26" ht="15.75" customHeight="1">
      <c r="A886" s="210"/>
      <c r="B886" s="210"/>
      <c r="C886" s="210"/>
      <c r="D886" s="178"/>
      <c r="E886" s="569"/>
      <c r="F886" s="569"/>
      <c r="G886" s="569"/>
      <c r="H886" s="569"/>
      <c r="I886" s="569"/>
      <c r="J886" s="131"/>
      <c r="K886" s="131"/>
      <c r="L886" s="131"/>
      <c r="M886" s="131"/>
      <c r="N886" s="131"/>
      <c r="O886" s="131"/>
      <c r="P886" s="131"/>
      <c r="Q886" s="131"/>
      <c r="R886" s="131"/>
      <c r="S886" s="131"/>
      <c r="T886" s="131"/>
      <c r="U886" s="131"/>
      <c r="V886" s="131"/>
      <c r="W886" s="131"/>
      <c r="X886" s="131"/>
      <c r="Y886" s="131"/>
      <c r="Z886" s="131"/>
    </row>
    <row r="887" spans="1:26" ht="15.75" customHeight="1">
      <c r="A887" s="210"/>
      <c r="B887" s="210"/>
      <c r="C887" s="210"/>
      <c r="D887" s="178"/>
      <c r="E887" s="569"/>
      <c r="F887" s="569"/>
      <c r="G887" s="569"/>
      <c r="H887" s="569"/>
      <c r="I887" s="569"/>
      <c r="J887" s="131"/>
      <c r="K887" s="131"/>
      <c r="L887" s="131"/>
      <c r="M887" s="131"/>
      <c r="N887" s="131"/>
      <c r="O887" s="131"/>
      <c r="P887" s="131"/>
      <c r="Q887" s="131"/>
      <c r="R887" s="131"/>
      <c r="S887" s="131"/>
      <c r="T887" s="131"/>
      <c r="U887" s="131"/>
      <c r="V887" s="131"/>
      <c r="W887" s="131"/>
      <c r="X887" s="131"/>
      <c r="Y887" s="131"/>
      <c r="Z887" s="131"/>
    </row>
    <row r="888" spans="1:26" ht="15.75" customHeight="1">
      <c r="A888" s="210"/>
      <c r="B888" s="210"/>
      <c r="C888" s="210"/>
      <c r="D888" s="178"/>
      <c r="E888" s="569"/>
      <c r="F888" s="569"/>
      <c r="G888" s="569"/>
      <c r="H888" s="569"/>
      <c r="I888" s="569"/>
      <c r="J888" s="131"/>
      <c r="K888" s="131"/>
      <c r="L888" s="131"/>
      <c r="M888" s="131"/>
      <c r="N888" s="131"/>
      <c r="O888" s="131"/>
      <c r="P888" s="131"/>
      <c r="Q888" s="131"/>
      <c r="R888" s="131"/>
      <c r="S888" s="131"/>
      <c r="T888" s="131"/>
      <c r="U888" s="131"/>
      <c r="V888" s="131"/>
      <c r="W888" s="131"/>
      <c r="X888" s="131"/>
      <c r="Y888" s="131"/>
      <c r="Z888" s="131"/>
    </row>
    <row r="889" spans="1:26" ht="15.75" customHeight="1">
      <c r="A889" s="210"/>
      <c r="B889" s="210"/>
      <c r="C889" s="210"/>
      <c r="D889" s="178"/>
      <c r="E889" s="569"/>
      <c r="F889" s="569"/>
      <c r="G889" s="569"/>
      <c r="H889" s="569"/>
      <c r="I889" s="569"/>
      <c r="J889" s="131"/>
      <c r="K889" s="131"/>
      <c r="L889" s="131"/>
      <c r="M889" s="131"/>
      <c r="N889" s="131"/>
      <c r="O889" s="131"/>
      <c r="P889" s="131"/>
      <c r="Q889" s="131"/>
      <c r="R889" s="131"/>
      <c r="S889" s="131"/>
      <c r="T889" s="131"/>
      <c r="U889" s="131"/>
      <c r="V889" s="131"/>
      <c r="W889" s="131"/>
      <c r="X889" s="131"/>
      <c r="Y889" s="131"/>
      <c r="Z889" s="131"/>
    </row>
    <row r="890" spans="1:26" ht="15.75" customHeight="1">
      <c r="A890" s="210"/>
      <c r="B890" s="210"/>
      <c r="C890" s="210"/>
      <c r="D890" s="178"/>
      <c r="E890" s="569"/>
      <c r="F890" s="569"/>
      <c r="G890" s="569"/>
      <c r="H890" s="569"/>
      <c r="I890" s="569"/>
      <c r="J890" s="131"/>
      <c r="K890" s="131"/>
      <c r="L890" s="131"/>
      <c r="M890" s="131"/>
      <c r="N890" s="131"/>
      <c r="O890" s="131"/>
      <c r="P890" s="131"/>
      <c r="Q890" s="131"/>
      <c r="R890" s="131"/>
      <c r="S890" s="131"/>
      <c r="T890" s="131"/>
      <c r="U890" s="131"/>
      <c r="V890" s="131"/>
      <c r="W890" s="131"/>
      <c r="X890" s="131"/>
      <c r="Y890" s="131"/>
      <c r="Z890" s="131"/>
    </row>
    <row r="891" spans="1:26" ht="15.75" customHeight="1">
      <c r="A891" s="210"/>
      <c r="B891" s="210"/>
      <c r="C891" s="210"/>
      <c r="D891" s="178"/>
      <c r="E891" s="569"/>
      <c r="F891" s="569"/>
      <c r="G891" s="569"/>
      <c r="H891" s="569"/>
      <c r="I891" s="569"/>
      <c r="J891" s="131"/>
      <c r="K891" s="131"/>
      <c r="L891" s="131"/>
      <c r="M891" s="131"/>
      <c r="N891" s="131"/>
      <c r="O891" s="131"/>
      <c r="P891" s="131"/>
      <c r="Q891" s="131"/>
      <c r="R891" s="131"/>
      <c r="S891" s="131"/>
      <c r="T891" s="131"/>
      <c r="U891" s="131"/>
      <c r="V891" s="131"/>
      <c r="W891" s="131"/>
      <c r="X891" s="131"/>
      <c r="Y891" s="131"/>
      <c r="Z891" s="131"/>
    </row>
    <row r="892" spans="1:26" ht="15.75" customHeight="1">
      <c r="A892" s="210"/>
      <c r="B892" s="210"/>
      <c r="C892" s="210"/>
      <c r="D892" s="178"/>
      <c r="E892" s="569"/>
      <c r="F892" s="569"/>
      <c r="G892" s="569"/>
      <c r="H892" s="569"/>
      <c r="I892" s="569"/>
      <c r="J892" s="131"/>
      <c r="K892" s="131"/>
      <c r="L892" s="131"/>
      <c r="M892" s="131"/>
      <c r="N892" s="131"/>
      <c r="O892" s="131"/>
      <c r="P892" s="131"/>
      <c r="Q892" s="131"/>
      <c r="R892" s="131"/>
      <c r="S892" s="131"/>
      <c r="T892" s="131"/>
      <c r="U892" s="131"/>
      <c r="V892" s="131"/>
      <c r="W892" s="131"/>
      <c r="X892" s="131"/>
      <c r="Y892" s="131"/>
      <c r="Z892" s="131"/>
    </row>
    <row r="893" spans="1:26" ht="15.75" customHeight="1">
      <c r="A893" s="210"/>
      <c r="B893" s="210"/>
      <c r="C893" s="210"/>
      <c r="D893" s="178"/>
      <c r="E893" s="569"/>
      <c r="F893" s="569"/>
      <c r="G893" s="569"/>
      <c r="H893" s="569"/>
      <c r="I893" s="569"/>
      <c r="J893" s="131"/>
      <c r="K893" s="131"/>
      <c r="L893" s="131"/>
      <c r="M893" s="131"/>
      <c r="N893" s="131"/>
      <c r="O893" s="131"/>
      <c r="P893" s="131"/>
      <c r="Q893" s="131"/>
      <c r="R893" s="131"/>
      <c r="S893" s="131"/>
      <c r="T893" s="131"/>
      <c r="U893" s="131"/>
      <c r="V893" s="131"/>
      <c r="W893" s="131"/>
      <c r="X893" s="131"/>
      <c r="Y893" s="131"/>
      <c r="Z893" s="131"/>
    </row>
    <row r="894" spans="1:26" ht="15.75" customHeight="1">
      <c r="A894" s="210"/>
      <c r="B894" s="210"/>
      <c r="C894" s="210"/>
      <c r="D894" s="178"/>
      <c r="E894" s="569"/>
      <c r="F894" s="569"/>
      <c r="G894" s="569"/>
      <c r="H894" s="569"/>
      <c r="I894" s="569"/>
      <c r="J894" s="131"/>
      <c r="K894" s="131"/>
      <c r="L894" s="131"/>
      <c r="M894" s="131"/>
      <c r="N894" s="131"/>
      <c r="O894" s="131"/>
      <c r="P894" s="131"/>
      <c r="Q894" s="131"/>
      <c r="R894" s="131"/>
      <c r="S894" s="131"/>
      <c r="T894" s="131"/>
      <c r="U894" s="131"/>
      <c r="V894" s="131"/>
      <c r="W894" s="131"/>
      <c r="X894" s="131"/>
      <c r="Y894" s="131"/>
      <c r="Z894" s="131"/>
    </row>
    <row r="895" spans="1:26" ht="15.75" customHeight="1">
      <c r="A895" s="210"/>
      <c r="B895" s="210"/>
      <c r="C895" s="210"/>
      <c r="D895" s="178"/>
      <c r="E895" s="569"/>
      <c r="F895" s="569"/>
      <c r="G895" s="569"/>
      <c r="H895" s="569"/>
      <c r="I895" s="569"/>
      <c r="J895" s="131"/>
      <c r="K895" s="131"/>
      <c r="L895" s="131"/>
      <c r="M895" s="131"/>
      <c r="N895" s="131"/>
      <c r="O895" s="131"/>
      <c r="P895" s="131"/>
      <c r="Q895" s="131"/>
      <c r="R895" s="131"/>
      <c r="S895" s="131"/>
      <c r="T895" s="131"/>
      <c r="U895" s="131"/>
      <c r="V895" s="131"/>
      <c r="W895" s="131"/>
      <c r="X895" s="131"/>
      <c r="Y895" s="131"/>
      <c r="Z895" s="131"/>
    </row>
    <row r="896" spans="1:26" ht="15.75" customHeight="1">
      <c r="A896" s="210"/>
      <c r="B896" s="210"/>
      <c r="C896" s="210"/>
      <c r="D896" s="178"/>
      <c r="E896" s="569"/>
      <c r="F896" s="569"/>
      <c r="G896" s="569"/>
      <c r="H896" s="569"/>
      <c r="I896" s="569"/>
      <c r="J896" s="131"/>
      <c r="K896" s="131"/>
      <c r="L896" s="131"/>
      <c r="M896" s="131"/>
      <c r="N896" s="131"/>
      <c r="O896" s="131"/>
      <c r="P896" s="131"/>
      <c r="Q896" s="131"/>
      <c r="R896" s="131"/>
      <c r="S896" s="131"/>
      <c r="T896" s="131"/>
      <c r="U896" s="131"/>
      <c r="V896" s="131"/>
      <c r="W896" s="131"/>
      <c r="X896" s="131"/>
      <c r="Y896" s="131"/>
      <c r="Z896" s="131"/>
    </row>
    <row r="897" spans="1:26" ht="15.75" customHeight="1">
      <c r="A897" s="210"/>
      <c r="B897" s="210"/>
      <c r="C897" s="210"/>
      <c r="D897" s="178"/>
      <c r="E897" s="569"/>
      <c r="F897" s="569"/>
      <c r="G897" s="569"/>
      <c r="H897" s="569"/>
      <c r="I897" s="569"/>
      <c r="J897" s="131"/>
      <c r="K897" s="131"/>
      <c r="L897" s="131"/>
      <c r="M897" s="131"/>
      <c r="N897" s="131"/>
      <c r="O897" s="131"/>
      <c r="P897" s="131"/>
      <c r="Q897" s="131"/>
      <c r="R897" s="131"/>
      <c r="S897" s="131"/>
      <c r="T897" s="131"/>
      <c r="U897" s="131"/>
      <c r="V897" s="131"/>
      <c r="W897" s="131"/>
      <c r="X897" s="131"/>
      <c r="Y897" s="131"/>
      <c r="Z897" s="131"/>
    </row>
    <row r="898" spans="1:26" ht="15.75" customHeight="1">
      <c r="A898" s="210"/>
      <c r="B898" s="210"/>
      <c r="C898" s="210"/>
      <c r="D898" s="178"/>
      <c r="E898" s="569"/>
      <c r="F898" s="569"/>
      <c r="G898" s="569"/>
      <c r="H898" s="569"/>
      <c r="I898" s="569"/>
      <c r="J898" s="131"/>
      <c r="K898" s="131"/>
      <c r="L898" s="131"/>
      <c r="M898" s="131"/>
      <c r="N898" s="131"/>
      <c r="O898" s="131"/>
      <c r="P898" s="131"/>
      <c r="Q898" s="131"/>
      <c r="R898" s="131"/>
      <c r="S898" s="131"/>
      <c r="T898" s="131"/>
      <c r="U898" s="131"/>
      <c r="V898" s="131"/>
      <c r="W898" s="131"/>
      <c r="X898" s="131"/>
      <c r="Y898" s="131"/>
      <c r="Z898" s="131"/>
    </row>
    <row r="899" spans="1:26" ht="15.75" customHeight="1">
      <c r="A899" s="210"/>
      <c r="B899" s="210"/>
      <c r="C899" s="210"/>
      <c r="D899" s="178"/>
      <c r="E899" s="569"/>
      <c r="F899" s="569"/>
      <c r="G899" s="569"/>
      <c r="H899" s="569"/>
      <c r="I899" s="569"/>
      <c r="J899" s="131"/>
      <c r="K899" s="131"/>
      <c r="L899" s="131"/>
      <c r="M899" s="131"/>
      <c r="N899" s="131"/>
      <c r="O899" s="131"/>
      <c r="P899" s="131"/>
      <c r="Q899" s="131"/>
      <c r="R899" s="131"/>
      <c r="S899" s="131"/>
      <c r="T899" s="131"/>
      <c r="U899" s="131"/>
      <c r="V899" s="131"/>
      <c r="W899" s="131"/>
      <c r="X899" s="131"/>
      <c r="Y899" s="131"/>
      <c r="Z899" s="131"/>
    </row>
    <row r="900" spans="1:26" ht="15.75" customHeight="1">
      <c r="A900" s="210"/>
      <c r="B900" s="210"/>
      <c r="C900" s="210"/>
      <c r="D900" s="178"/>
      <c r="E900" s="569"/>
      <c r="F900" s="569"/>
      <c r="G900" s="569"/>
      <c r="H900" s="569"/>
      <c r="I900" s="569"/>
      <c r="J900" s="131"/>
      <c r="K900" s="131"/>
      <c r="L900" s="131"/>
      <c r="M900" s="131"/>
      <c r="N900" s="131"/>
      <c r="O900" s="131"/>
      <c r="P900" s="131"/>
      <c r="Q900" s="131"/>
      <c r="R900" s="131"/>
      <c r="S900" s="131"/>
      <c r="T900" s="131"/>
      <c r="U900" s="131"/>
      <c r="V900" s="131"/>
      <c r="W900" s="131"/>
      <c r="X900" s="131"/>
      <c r="Y900" s="131"/>
      <c r="Z900" s="131"/>
    </row>
    <row r="901" spans="1:26" ht="15.75" customHeight="1">
      <c r="A901" s="210"/>
      <c r="B901" s="210"/>
      <c r="C901" s="210"/>
      <c r="D901" s="178"/>
      <c r="E901" s="569"/>
      <c r="F901" s="569"/>
      <c r="G901" s="569"/>
      <c r="H901" s="569"/>
      <c r="I901" s="569"/>
      <c r="J901" s="131"/>
      <c r="K901" s="131"/>
      <c r="L901" s="131"/>
      <c r="M901" s="131"/>
      <c r="N901" s="131"/>
      <c r="O901" s="131"/>
      <c r="P901" s="131"/>
      <c r="Q901" s="131"/>
      <c r="R901" s="131"/>
      <c r="S901" s="131"/>
      <c r="T901" s="131"/>
      <c r="U901" s="131"/>
      <c r="V901" s="131"/>
      <c r="W901" s="131"/>
      <c r="X901" s="131"/>
      <c r="Y901" s="131"/>
      <c r="Z901" s="131"/>
    </row>
    <row r="902" spans="1:26" ht="15.75" customHeight="1">
      <c r="A902" s="210"/>
      <c r="B902" s="210"/>
      <c r="C902" s="210"/>
      <c r="D902" s="178"/>
      <c r="E902" s="569"/>
      <c r="F902" s="569"/>
      <c r="G902" s="569"/>
      <c r="H902" s="569"/>
      <c r="I902" s="569"/>
      <c r="J902" s="131"/>
      <c r="K902" s="131"/>
      <c r="L902" s="131"/>
      <c r="M902" s="131"/>
      <c r="N902" s="131"/>
      <c r="O902" s="131"/>
      <c r="P902" s="131"/>
      <c r="Q902" s="131"/>
      <c r="R902" s="131"/>
      <c r="S902" s="131"/>
      <c r="T902" s="131"/>
      <c r="U902" s="131"/>
      <c r="V902" s="131"/>
      <c r="W902" s="131"/>
      <c r="X902" s="131"/>
      <c r="Y902" s="131"/>
      <c r="Z902" s="131"/>
    </row>
    <row r="903" spans="1:26" ht="15.75" customHeight="1">
      <c r="A903" s="210"/>
      <c r="B903" s="210"/>
      <c r="C903" s="210"/>
      <c r="D903" s="178"/>
      <c r="E903" s="569"/>
      <c r="F903" s="569"/>
      <c r="G903" s="569"/>
      <c r="H903" s="569"/>
      <c r="I903" s="569"/>
      <c r="J903" s="131"/>
      <c r="K903" s="131"/>
      <c r="L903" s="131"/>
      <c r="M903" s="131"/>
      <c r="N903" s="131"/>
      <c r="O903" s="131"/>
      <c r="P903" s="131"/>
      <c r="Q903" s="131"/>
      <c r="R903" s="131"/>
      <c r="S903" s="131"/>
      <c r="T903" s="131"/>
      <c r="U903" s="131"/>
      <c r="V903" s="131"/>
      <c r="W903" s="131"/>
      <c r="X903" s="131"/>
      <c r="Y903" s="131"/>
      <c r="Z903" s="131"/>
    </row>
    <row r="904" spans="1:26" ht="15.75" customHeight="1">
      <c r="A904" s="210"/>
      <c r="B904" s="210"/>
      <c r="C904" s="210"/>
      <c r="D904" s="178"/>
      <c r="E904" s="569"/>
      <c r="F904" s="569"/>
      <c r="G904" s="569"/>
      <c r="H904" s="569"/>
      <c r="I904" s="569"/>
      <c r="J904" s="131"/>
      <c r="K904" s="131"/>
      <c r="L904" s="131"/>
      <c r="M904" s="131"/>
      <c r="N904" s="131"/>
      <c r="O904" s="131"/>
      <c r="P904" s="131"/>
      <c r="Q904" s="131"/>
      <c r="R904" s="131"/>
      <c r="S904" s="131"/>
      <c r="T904" s="131"/>
      <c r="U904" s="131"/>
      <c r="V904" s="131"/>
      <c r="W904" s="131"/>
      <c r="X904" s="131"/>
      <c r="Y904" s="131"/>
      <c r="Z904" s="131"/>
    </row>
    <row r="905" spans="1:26" ht="15.75" customHeight="1">
      <c r="A905" s="210"/>
      <c r="B905" s="210"/>
      <c r="C905" s="210"/>
      <c r="D905" s="178"/>
      <c r="E905" s="569"/>
      <c r="F905" s="569"/>
      <c r="G905" s="569"/>
      <c r="H905" s="569"/>
      <c r="I905" s="569"/>
      <c r="J905" s="131"/>
      <c r="K905" s="131"/>
      <c r="L905" s="131"/>
      <c r="M905" s="131"/>
      <c r="N905" s="131"/>
      <c r="O905" s="131"/>
      <c r="P905" s="131"/>
      <c r="Q905" s="131"/>
      <c r="R905" s="131"/>
      <c r="S905" s="131"/>
      <c r="T905" s="131"/>
      <c r="U905" s="131"/>
      <c r="V905" s="131"/>
      <c r="W905" s="131"/>
      <c r="X905" s="131"/>
      <c r="Y905" s="131"/>
      <c r="Z905" s="131"/>
    </row>
    <row r="906" spans="1:26" ht="15.75" customHeight="1">
      <c r="A906" s="210"/>
      <c r="B906" s="210"/>
      <c r="C906" s="210"/>
      <c r="D906" s="178"/>
      <c r="E906" s="569"/>
      <c r="F906" s="569"/>
      <c r="G906" s="569"/>
      <c r="H906" s="569"/>
      <c r="I906" s="569"/>
      <c r="J906" s="131"/>
      <c r="K906" s="131"/>
      <c r="L906" s="131"/>
      <c r="M906" s="131"/>
      <c r="N906" s="131"/>
      <c r="O906" s="131"/>
      <c r="P906" s="131"/>
      <c r="Q906" s="131"/>
      <c r="R906" s="131"/>
      <c r="S906" s="131"/>
      <c r="T906" s="131"/>
      <c r="U906" s="131"/>
      <c r="V906" s="131"/>
      <c r="W906" s="131"/>
      <c r="X906" s="131"/>
      <c r="Y906" s="131"/>
      <c r="Z906" s="131"/>
    </row>
    <row r="907" spans="1:26" ht="15.75" customHeight="1">
      <c r="A907" s="210"/>
      <c r="B907" s="210"/>
      <c r="C907" s="210"/>
      <c r="D907" s="178"/>
      <c r="E907" s="569"/>
      <c r="F907" s="569"/>
      <c r="G907" s="569"/>
      <c r="H907" s="569"/>
      <c r="I907" s="569"/>
      <c r="J907" s="131"/>
      <c r="K907" s="131"/>
      <c r="L907" s="131"/>
      <c r="M907" s="131"/>
      <c r="N907" s="131"/>
      <c r="O907" s="131"/>
      <c r="P907" s="131"/>
      <c r="Q907" s="131"/>
      <c r="R907" s="131"/>
      <c r="S907" s="131"/>
      <c r="T907" s="131"/>
      <c r="U907" s="131"/>
      <c r="V907" s="131"/>
      <c r="W907" s="131"/>
      <c r="X907" s="131"/>
      <c r="Y907" s="131"/>
      <c r="Z907" s="131"/>
    </row>
    <row r="908" spans="1:26" ht="15.75" customHeight="1">
      <c r="A908" s="210"/>
      <c r="B908" s="210"/>
      <c r="C908" s="210"/>
      <c r="D908" s="178"/>
      <c r="E908" s="569"/>
      <c r="F908" s="569"/>
      <c r="G908" s="569"/>
      <c r="H908" s="569"/>
      <c r="I908" s="569"/>
      <c r="J908" s="131"/>
      <c r="K908" s="131"/>
      <c r="L908" s="131"/>
      <c r="M908" s="131"/>
      <c r="N908" s="131"/>
      <c r="O908" s="131"/>
      <c r="P908" s="131"/>
      <c r="Q908" s="131"/>
      <c r="R908" s="131"/>
      <c r="S908" s="131"/>
      <c r="T908" s="131"/>
      <c r="U908" s="131"/>
      <c r="V908" s="131"/>
      <c r="W908" s="131"/>
      <c r="X908" s="131"/>
      <c r="Y908" s="131"/>
      <c r="Z908" s="131"/>
    </row>
    <row r="909" spans="1:26" ht="15.75" customHeight="1">
      <c r="A909" s="210"/>
      <c r="B909" s="210"/>
      <c r="C909" s="210"/>
      <c r="D909" s="178"/>
      <c r="E909" s="569"/>
      <c r="F909" s="569"/>
      <c r="G909" s="569"/>
      <c r="H909" s="569"/>
      <c r="I909" s="569"/>
      <c r="J909" s="131"/>
      <c r="K909" s="131"/>
      <c r="L909" s="131"/>
      <c r="M909" s="131"/>
      <c r="N909" s="131"/>
      <c r="O909" s="131"/>
      <c r="P909" s="131"/>
      <c r="Q909" s="131"/>
      <c r="R909" s="131"/>
      <c r="S909" s="131"/>
      <c r="T909" s="131"/>
      <c r="U909" s="131"/>
      <c r="V909" s="131"/>
      <c r="W909" s="131"/>
      <c r="X909" s="131"/>
      <c r="Y909" s="131"/>
      <c r="Z909" s="131"/>
    </row>
    <row r="910" spans="1:26" ht="15.75" customHeight="1">
      <c r="A910" s="210"/>
      <c r="B910" s="210"/>
      <c r="C910" s="210"/>
      <c r="D910" s="178"/>
      <c r="E910" s="569"/>
      <c r="F910" s="569"/>
      <c r="G910" s="569"/>
      <c r="H910" s="569"/>
      <c r="I910" s="569"/>
      <c r="J910" s="131"/>
      <c r="K910" s="131"/>
      <c r="L910" s="131"/>
      <c r="M910" s="131"/>
      <c r="N910" s="131"/>
      <c r="O910" s="131"/>
      <c r="P910" s="131"/>
      <c r="Q910" s="131"/>
      <c r="R910" s="131"/>
      <c r="S910" s="131"/>
      <c r="T910" s="131"/>
      <c r="U910" s="131"/>
      <c r="V910" s="131"/>
      <c r="W910" s="131"/>
      <c r="X910" s="131"/>
      <c r="Y910" s="131"/>
      <c r="Z910" s="131"/>
    </row>
    <row r="911" spans="1:26" ht="15.75" customHeight="1">
      <c r="A911" s="210"/>
      <c r="B911" s="210"/>
      <c r="C911" s="210"/>
      <c r="D911" s="178"/>
      <c r="E911" s="569"/>
      <c r="F911" s="569"/>
      <c r="G911" s="569"/>
      <c r="H911" s="569"/>
      <c r="I911" s="569"/>
      <c r="J911" s="131"/>
      <c r="K911" s="131"/>
      <c r="L911" s="131"/>
      <c r="M911" s="131"/>
      <c r="N911" s="131"/>
      <c r="O911" s="131"/>
      <c r="P911" s="131"/>
      <c r="Q911" s="131"/>
      <c r="R911" s="131"/>
      <c r="S911" s="131"/>
      <c r="T911" s="131"/>
      <c r="U911" s="131"/>
      <c r="V911" s="131"/>
      <c r="W911" s="131"/>
      <c r="X911" s="131"/>
      <c r="Y911" s="131"/>
      <c r="Z911" s="131"/>
    </row>
    <row r="912" spans="1:26" ht="15.75" customHeight="1">
      <c r="A912" s="210"/>
      <c r="B912" s="210"/>
      <c r="C912" s="210"/>
      <c r="D912" s="178"/>
      <c r="E912" s="569"/>
      <c r="F912" s="569"/>
      <c r="G912" s="569"/>
      <c r="H912" s="569"/>
      <c r="I912" s="569"/>
      <c r="J912" s="131"/>
      <c r="K912" s="131"/>
      <c r="L912" s="131"/>
      <c r="M912" s="131"/>
      <c r="N912" s="131"/>
      <c r="O912" s="131"/>
      <c r="P912" s="131"/>
      <c r="Q912" s="131"/>
      <c r="R912" s="131"/>
      <c r="S912" s="131"/>
      <c r="T912" s="131"/>
      <c r="U912" s="131"/>
      <c r="V912" s="131"/>
      <c r="W912" s="131"/>
      <c r="X912" s="131"/>
      <c r="Y912" s="131"/>
      <c r="Z912" s="131"/>
    </row>
    <row r="913" spans="1:26" ht="15.75" customHeight="1">
      <c r="A913" s="210"/>
      <c r="B913" s="210"/>
      <c r="C913" s="210"/>
      <c r="D913" s="178"/>
      <c r="E913" s="569"/>
      <c r="F913" s="569"/>
      <c r="G913" s="569"/>
      <c r="H913" s="569"/>
      <c r="I913" s="569"/>
      <c r="J913" s="131"/>
      <c r="K913" s="131"/>
      <c r="L913" s="131"/>
      <c r="M913" s="131"/>
      <c r="N913" s="131"/>
      <c r="O913" s="131"/>
      <c r="P913" s="131"/>
      <c r="Q913" s="131"/>
      <c r="R913" s="131"/>
      <c r="S913" s="131"/>
      <c r="T913" s="131"/>
      <c r="U913" s="131"/>
      <c r="V913" s="131"/>
      <c r="W913" s="131"/>
      <c r="X913" s="131"/>
      <c r="Y913" s="131"/>
      <c r="Z913" s="131"/>
    </row>
    <row r="914" spans="1:26" ht="15.75" customHeight="1">
      <c r="A914" s="210"/>
      <c r="B914" s="210"/>
      <c r="C914" s="210"/>
      <c r="D914" s="178"/>
      <c r="E914" s="569"/>
      <c r="F914" s="569"/>
      <c r="G914" s="569"/>
      <c r="H914" s="569"/>
      <c r="I914" s="569"/>
      <c r="J914" s="131"/>
      <c r="K914" s="131"/>
      <c r="L914" s="131"/>
      <c r="M914" s="131"/>
      <c r="N914" s="131"/>
      <c r="O914" s="131"/>
      <c r="P914" s="131"/>
      <c r="Q914" s="131"/>
      <c r="R914" s="131"/>
      <c r="S914" s="131"/>
      <c r="T914" s="131"/>
      <c r="U914" s="131"/>
      <c r="V914" s="131"/>
      <c r="W914" s="131"/>
      <c r="X914" s="131"/>
      <c r="Y914" s="131"/>
      <c r="Z914" s="131"/>
    </row>
    <row r="915" spans="1:26" ht="15.75" customHeight="1">
      <c r="A915" s="210"/>
      <c r="B915" s="210"/>
      <c r="C915" s="210"/>
      <c r="D915" s="178"/>
      <c r="E915" s="569"/>
      <c r="F915" s="569"/>
      <c r="G915" s="569"/>
      <c r="H915" s="569"/>
      <c r="I915" s="569"/>
      <c r="J915" s="131"/>
      <c r="K915" s="131"/>
      <c r="L915" s="131"/>
      <c r="M915" s="131"/>
      <c r="N915" s="131"/>
      <c r="O915" s="131"/>
      <c r="P915" s="131"/>
      <c r="Q915" s="131"/>
      <c r="R915" s="131"/>
      <c r="S915" s="131"/>
      <c r="T915" s="131"/>
      <c r="U915" s="131"/>
      <c r="V915" s="131"/>
      <c r="W915" s="131"/>
      <c r="X915" s="131"/>
      <c r="Y915" s="131"/>
      <c r="Z915" s="131"/>
    </row>
    <row r="916" spans="1:26" ht="15.75" customHeight="1">
      <c r="A916" s="210"/>
      <c r="B916" s="210"/>
      <c r="C916" s="210"/>
      <c r="D916" s="178"/>
      <c r="E916" s="569"/>
      <c r="F916" s="569"/>
      <c r="G916" s="569"/>
      <c r="H916" s="569"/>
      <c r="I916" s="569"/>
      <c r="J916" s="131"/>
      <c r="K916" s="131"/>
      <c r="L916" s="131"/>
      <c r="M916" s="131"/>
      <c r="N916" s="131"/>
      <c r="O916" s="131"/>
      <c r="P916" s="131"/>
      <c r="Q916" s="131"/>
      <c r="R916" s="131"/>
      <c r="S916" s="131"/>
      <c r="T916" s="131"/>
      <c r="U916" s="131"/>
      <c r="V916" s="131"/>
      <c r="W916" s="131"/>
      <c r="X916" s="131"/>
      <c r="Y916" s="131"/>
      <c r="Z916" s="131"/>
    </row>
    <row r="917" spans="1:26" ht="15.75" customHeight="1">
      <c r="A917" s="210"/>
      <c r="B917" s="210"/>
      <c r="C917" s="210"/>
      <c r="D917" s="178"/>
      <c r="E917" s="569"/>
      <c r="F917" s="569"/>
      <c r="G917" s="569"/>
      <c r="H917" s="569"/>
      <c r="I917" s="569"/>
      <c r="J917" s="131"/>
      <c r="K917" s="131"/>
      <c r="L917" s="131"/>
      <c r="M917" s="131"/>
      <c r="N917" s="131"/>
      <c r="O917" s="131"/>
      <c r="P917" s="131"/>
      <c r="Q917" s="131"/>
      <c r="R917" s="131"/>
      <c r="S917" s="131"/>
      <c r="T917" s="131"/>
      <c r="U917" s="131"/>
      <c r="V917" s="131"/>
      <c r="W917" s="131"/>
      <c r="X917" s="131"/>
      <c r="Y917" s="131"/>
      <c r="Z917" s="131"/>
    </row>
    <row r="918" spans="1:26" ht="15.75" customHeight="1">
      <c r="A918" s="210"/>
      <c r="B918" s="210"/>
      <c r="C918" s="210"/>
      <c r="D918" s="178"/>
      <c r="E918" s="569"/>
      <c r="F918" s="569"/>
      <c r="G918" s="569"/>
      <c r="H918" s="569"/>
      <c r="I918" s="569"/>
      <c r="J918" s="131"/>
      <c r="K918" s="131"/>
      <c r="L918" s="131"/>
      <c r="M918" s="131"/>
      <c r="N918" s="131"/>
      <c r="O918" s="131"/>
      <c r="P918" s="131"/>
      <c r="Q918" s="131"/>
      <c r="R918" s="131"/>
      <c r="S918" s="131"/>
      <c r="T918" s="131"/>
      <c r="U918" s="131"/>
      <c r="V918" s="131"/>
      <c r="W918" s="131"/>
      <c r="X918" s="131"/>
      <c r="Y918" s="131"/>
      <c r="Z918" s="131"/>
    </row>
    <row r="919" spans="1:26" ht="15.75" customHeight="1">
      <c r="A919" s="210"/>
      <c r="B919" s="210"/>
      <c r="C919" s="210"/>
      <c r="D919" s="178"/>
      <c r="E919" s="569"/>
      <c r="F919" s="569"/>
      <c r="G919" s="569"/>
      <c r="H919" s="569"/>
      <c r="I919" s="569"/>
      <c r="J919" s="131"/>
      <c r="K919" s="131"/>
      <c r="L919" s="131"/>
      <c r="M919" s="131"/>
      <c r="N919" s="131"/>
      <c r="O919" s="131"/>
      <c r="P919" s="131"/>
      <c r="Q919" s="131"/>
      <c r="R919" s="131"/>
      <c r="S919" s="131"/>
      <c r="T919" s="131"/>
      <c r="U919" s="131"/>
      <c r="V919" s="131"/>
      <c r="W919" s="131"/>
      <c r="X919" s="131"/>
      <c r="Y919" s="131"/>
      <c r="Z919" s="131"/>
    </row>
    <row r="920" spans="1:26" ht="15.75" customHeight="1">
      <c r="A920" s="210"/>
      <c r="B920" s="210"/>
      <c r="C920" s="210"/>
      <c r="D920" s="178"/>
      <c r="E920" s="569"/>
      <c r="F920" s="569"/>
      <c r="G920" s="569"/>
      <c r="H920" s="569"/>
      <c r="I920" s="569"/>
      <c r="J920" s="131"/>
      <c r="K920" s="131"/>
      <c r="L920" s="131"/>
      <c r="M920" s="131"/>
      <c r="N920" s="131"/>
      <c r="O920" s="131"/>
      <c r="P920" s="131"/>
      <c r="Q920" s="131"/>
      <c r="R920" s="131"/>
      <c r="S920" s="131"/>
      <c r="T920" s="131"/>
      <c r="U920" s="131"/>
      <c r="V920" s="131"/>
      <c r="W920" s="131"/>
      <c r="X920" s="131"/>
      <c r="Y920" s="131"/>
      <c r="Z920" s="131"/>
    </row>
    <row r="921" spans="1:26" ht="15.75" customHeight="1">
      <c r="A921" s="210"/>
      <c r="B921" s="210"/>
      <c r="C921" s="210"/>
      <c r="D921" s="178"/>
      <c r="E921" s="569"/>
      <c r="F921" s="569"/>
      <c r="G921" s="569"/>
      <c r="H921" s="569"/>
      <c r="I921" s="569"/>
      <c r="J921" s="131"/>
      <c r="K921" s="131"/>
      <c r="L921" s="131"/>
      <c r="M921" s="131"/>
      <c r="N921" s="131"/>
      <c r="O921" s="131"/>
      <c r="P921" s="131"/>
      <c r="Q921" s="131"/>
      <c r="R921" s="131"/>
      <c r="S921" s="131"/>
      <c r="T921" s="131"/>
      <c r="U921" s="131"/>
      <c r="V921" s="131"/>
      <c r="W921" s="131"/>
      <c r="X921" s="131"/>
      <c r="Y921" s="131"/>
      <c r="Z921" s="131"/>
    </row>
    <row r="922" spans="1:26" ht="15.75" customHeight="1">
      <c r="A922" s="210"/>
      <c r="B922" s="210"/>
      <c r="C922" s="210"/>
      <c r="D922" s="178"/>
      <c r="E922" s="569"/>
      <c r="F922" s="569"/>
      <c r="G922" s="569"/>
      <c r="H922" s="569"/>
      <c r="I922" s="569"/>
      <c r="J922" s="131"/>
      <c r="K922" s="131"/>
      <c r="L922" s="131"/>
      <c r="M922" s="131"/>
      <c r="N922" s="131"/>
      <c r="O922" s="131"/>
      <c r="P922" s="131"/>
      <c r="Q922" s="131"/>
      <c r="R922" s="131"/>
      <c r="S922" s="131"/>
      <c r="T922" s="131"/>
      <c r="U922" s="131"/>
      <c r="V922" s="131"/>
      <c r="W922" s="131"/>
      <c r="X922" s="131"/>
      <c r="Y922" s="131"/>
      <c r="Z922" s="131"/>
    </row>
    <row r="923" spans="1:26" ht="15.75" customHeight="1">
      <c r="A923" s="210"/>
      <c r="B923" s="210"/>
      <c r="C923" s="210"/>
      <c r="D923" s="178"/>
      <c r="E923" s="569"/>
      <c r="F923" s="569"/>
      <c r="G923" s="569"/>
      <c r="H923" s="569"/>
      <c r="I923" s="569"/>
      <c r="J923" s="131"/>
      <c r="K923" s="131"/>
      <c r="L923" s="131"/>
      <c r="M923" s="131"/>
      <c r="N923" s="131"/>
      <c r="O923" s="131"/>
      <c r="P923" s="131"/>
      <c r="Q923" s="131"/>
      <c r="R923" s="131"/>
      <c r="S923" s="131"/>
      <c r="T923" s="131"/>
      <c r="U923" s="131"/>
      <c r="V923" s="131"/>
      <c r="W923" s="131"/>
      <c r="X923" s="131"/>
      <c r="Y923" s="131"/>
      <c r="Z923" s="131"/>
    </row>
    <row r="924" spans="1:26" ht="15.75" customHeight="1">
      <c r="A924" s="210"/>
      <c r="B924" s="210"/>
      <c r="C924" s="210"/>
      <c r="D924" s="178"/>
      <c r="E924" s="569"/>
      <c r="F924" s="569"/>
      <c r="G924" s="569"/>
      <c r="H924" s="569"/>
      <c r="I924" s="569"/>
      <c r="J924" s="131"/>
      <c r="K924" s="131"/>
      <c r="L924" s="131"/>
      <c r="M924" s="131"/>
      <c r="N924" s="131"/>
      <c r="O924" s="131"/>
      <c r="P924" s="131"/>
      <c r="Q924" s="131"/>
      <c r="R924" s="131"/>
      <c r="S924" s="131"/>
      <c r="T924" s="131"/>
      <c r="U924" s="131"/>
      <c r="V924" s="131"/>
      <c r="W924" s="131"/>
      <c r="X924" s="131"/>
      <c r="Y924" s="131"/>
      <c r="Z924" s="131"/>
    </row>
    <row r="925" spans="1:26" ht="15.75" customHeight="1">
      <c r="A925" s="210"/>
      <c r="B925" s="210"/>
      <c r="C925" s="210"/>
      <c r="D925" s="178"/>
      <c r="E925" s="569"/>
      <c r="F925" s="569"/>
      <c r="G925" s="569"/>
      <c r="H925" s="569"/>
      <c r="I925" s="569"/>
      <c r="J925" s="131"/>
      <c r="K925" s="131"/>
      <c r="L925" s="131"/>
      <c r="M925" s="131"/>
      <c r="N925" s="131"/>
      <c r="O925" s="131"/>
      <c r="P925" s="131"/>
      <c r="Q925" s="131"/>
      <c r="R925" s="131"/>
      <c r="S925" s="131"/>
      <c r="T925" s="131"/>
      <c r="U925" s="131"/>
      <c r="V925" s="131"/>
      <c r="W925" s="131"/>
      <c r="X925" s="131"/>
      <c r="Y925" s="131"/>
      <c r="Z925" s="131"/>
    </row>
    <row r="926" spans="1:26" ht="15.75" customHeight="1">
      <c r="A926" s="210"/>
      <c r="B926" s="210"/>
      <c r="C926" s="210"/>
      <c r="D926" s="178"/>
      <c r="E926" s="569"/>
      <c r="F926" s="569"/>
      <c r="G926" s="569"/>
      <c r="H926" s="569"/>
      <c r="I926" s="569"/>
      <c r="J926" s="131"/>
      <c r="K926" s="131"/>
      <c r="L926" s="131"/>
      <c r="M926" s="131"/>
      <c r="N926" s="131"/>
      <c r="O926" s="131"/>
      <c r="P926" s="131"/>
      <c r="Q926" s="131"/>
      <c r="R926" s="131"/>
      <c r="S926" s="131"/>
      <c r="T926" s="131"/>
      <c r="U926" s="131"/>
      <c r="V926" s="131"/>
      <c r="W926" s="131"/>
      <c r="X926" s="131"/>
      <c r="Y926" s="131"/>
      <c r="Z926" s="131"/>
    </row>
    <row r="927" spans="1:26" ht="15.75" customHeight="1">
      <c r="A927" s="210"/>
      <c r="B927" s="210"/>
      <c r="C927" s="210"/>
      <c r="D927" s="178"/>
      <c r="E927" s="569"/>
      <c r="F927" s="569"/>
      <c r="G927" s="569"/>
      <c r="H927" s="569"/>
      <c r="I927" s="569"/>
      <c r="J927" s="131"/>
      <c r="K927" s="131"/>
      <c r="L927" s="131"/>
      <c r="M927" s="131"/>
      <c r="N927" s="131"/>
      <c r="O927" s="131"/>
      <c r="P927" s="131"/>
      <c r="Q927" s="131"/>
      <c r="R927" s="131"/>
      <c r="S927" s="131"/>
      <c r="T927" s="131"/>
      <c r="U927" s="131"/>
      <c r="V927" s="131"/>
      <c r="W927" s="131"/>
      <c r="X927" s="131"/>
      <c r="Y927" s="131"/>
      <c r="Z927" s="131"/>
    </row>
    <row r="928" spans="1:26" ht="15.75" customHeight="1">
      <c r="A928" s="210"/>
      <c r="B928" s="210"/>
      <c r="C928" s="210"/>
      <c r="D928" s="178"/>
      <c r="E928" s="569"/>
      <c r="F928" s="569"/>
      <c r="G928" s="569"/>
      <c r="H928" s="569"/>
      <c r="I928" s="569"/>
      <c r="J928" s="131"/>
      <c r="K928" s="131"/>
      <c r="L928" s="131"/>
      <c r="M928" s="131"/>
      <c r="N928" s="131"/>
      <c r="O928" s="131"/>
      <c r="P928" s="131"/>
      <c r="Q928" s="131"/>
      <c r="R928" s="131"/>
      <c r="S928" s="131"/>
      <c r="T928" s="131"/>
      <c r="U928" s="131"/>
      <c r="V928" s="131"/>
      <c r="W928" s="131"/>
      <c r="X928" s="131"/>
      <c r="Y928" s="131"/>
      <c r="Z928" s="131"/>
    </row>
    <row r="929" spans="1:26" ht="15.75" customHeight="1">
      <c r="A929" s="210"/>
      <c r="B929" s="210"/>
      <c r="C929" s="210"/>
      <c r="D929" s="178"/>
      <c r="E929" s="569"/>
      <c r="F929" s="569"/>
      <c r="G929" s="569"/>
      <c r="H929" s="569"/>
      <c r="I929" s="569"/>
      <c r="J929" s="131"/>
      <c r="K929" s="131"/>
      <c r="L929" s="131"/>
      <c r="M929" s="131"/>
      <c r="N929" s="131"/>
      <c r="O929" s="131"/>
      <c r="P929" s="131"/>
      <c r="Q929" s="131"/>
      <c r="R929" s="131"/>
      <c r="S929" s="131"/>
      <c r="T929" s="131"/>
      <c r="U929" s="131"/>
      <c r="V929" s="131"/>
      <c r="W929" s="131"/>
      <c r="X929" s="131"/>
      <c r="Y929" s="131"/>
      <c r="Z929" s="131"/>
    </row>
    <row r="930" spans="1:26" ht="15.75" customHeight="1">
      <c r="A930" s="210"/>
      <c r="B930" s="210"/>
      <c r="C930" s="210"/>
      <c r="D930" s="178"/>
      <c r="E930" s="569"/>
      <c r="F930" s="569"/>
      <c r="G930" s="569"/>
      <c r="H930" s="569"/>
      <c r="I930" s="569"/>
      <c r="J930" s="131"/>
      <c r="K930" s="131"/>
      <c r="L930" s="131"/>
      <c r="M930" s="131"/>
      <c r="N930" s="131"/>
      <c r="O930" s="131"/>
      <c r="P930" s="131"/>
      <c r="Q930" s="131"/>
      <c r="R930" s="131"/>
      <c r="S930" s="131"/>
      <c r="T930" s="131"/>
      <c r="U930" s="131"/>
      <c r="V930" s="131"/>
      <c r="W930" s="131"/>
      <c r="X930" s="131"/>
      <c r="Y930" s="131"/>
      <c r="Z930" s="131"/>
    </row>
    <row r="931" spans="1:26" ht="15.75" customHeight="1">
      <c r="A931" s="210"/>
      <c r="B931" s="210"/>
      <c r="C931" s="210"/>
      <c r="D931" s="178"/>
      <c r="E931" s="569"/>
      <c r="F931" s="569"/>
      <c r="G931" s="569"/>
      <c r="H931" s="569"/>
      <c r="I931" s="569"/>
      <c r="J931" s="131"/>
      <c r="K931" s="131"/>
      <c r="L931" s="131"/>
      <c r="M931" s="131"/>
      <c r="N931" s="131"/>
      <c r="O931" s="131"/>
      <c r="P931" s="131"/>
      <c r="Q931" s="131"/>
      <c r="R931" s="131"/>
      <c r="S931" s="131"/>
      <c r="T931" s="131"/>
      <c r="U931" s="131"/>
      <c r="V931" s="131"/>
      <c r="W931" s="131"/>
      <c r="X931" s="131"/>
      <c r="Y931" s="131"/>
      <c r="Z931" s="131"/>
    </row>
    <row r="932" spans="1:26" ht="15.75" customHeight="1">
      <c r="A932" s="210"/>
      <c r="B932" s="210"/>
      <c r="C932" s="210"/>
      <c r="D932" s="178"/>
      <c r="E932" s="569"/>
      <c r="F932" s="569"/>
      <c r="G932" s="569"/>
      <c r="H932" s="569"/>
      <c r="I932" s="569"/>
      <c r="J932" s="131"/>
      <c r="K932" s="131"/>
      <c r="L932" s="131"/>
      <c r="M932" s="131"/>
      <c r="N932" s="131"/>
      <c r="O932" s="131"/>
      <c r="P932" s="131"/>
      <c r="Q932" s="131"/>
      <c r="R932" s="131"/>
      <c r="S932" s="131"/>
      <c r="T932" s="131"/>
      <c r="U932" s="131"/>
      <c r="V932" s="131"/>
      <c r="W932" s="131"/>
      <c r="X932" s="131"/>
      <c r="Y932" s="131"/>
      <c r="Z932" s="131"/>
    </row>
    <row r="933" spans="1:26" ht="15.75" customHeight="1">
      <c r="A933" s="210"/>
      <c r="B933" s="210"/>
      <c r="C933" s="210"/>
      <c r="D933" s="178"/>
      <c r="E933" s="569"/>
      <c r="F933" s="569"/>
      <c r="G933" s="569"/>
      <c r="H933" s="569"/>
      <c r="I933" s="569"/>
      <c r="J933" s="131"/>
      <c r="K933" s="131"/>
      <c r="L933" s="131"/>
      <c r="M933" s="131"/>
      <c r="N933" s="131"/>
      <c r="O933" s="131"/>
      <c r="P933" s="131"/>
      <c r="Q933" s="131"/>
      <c r="R933" s="131"/>
      <c r="S933" s="131"/>
      <c r="T933" s="131"/>
      <c r="U933" s="131"/>
      <c r="V933" s="131"/>
      <c r="W933" s="131"/>
      <c r="X933" s="131"/>
      <c r="Y933" s="131"/>
      <c r="Z933" s="131"/>
    </row>
    <row r="934" spans="1:26" ht="15.75" customHeight="1">
      <c r="A934" s="210"/>
      <c r="B934" s="210"/>
      <c r="C934" s="210"/>
      <c r="D934" s="178"/>
      <c r="E934" s="569"/>
      <c r="F934" s="569"/>
      <c r="G934" s="569"/>
      <c r="H934" s="569"/>
      <c r="I934" s="569"/>
      <c r="J934" s="131"/>
      <c r="K934" s="131"/>
      <c r="L934" s="131"/>
      <c r="M934" s="131"/>
      <c r="N934" s="131"/>
      <c r="O934" s="131"/>
      <c r="P934" s="131"/>
      <c r="Q934" s="131"/>
      <c r="R934" s="131"/>
      <c r="S934" s="131"/>
      <c r="T934" s="131"/>
      <c r="U934" s="131"/>
      <c r="V934" s="131"/>
      <c r="W934" s="131"/>
      <c r="X934" s="131"/>
      <c r="Y934" s="131"/>
      <c r="Z934" s="131"/>
    </row>
    <row r="935" spans="1:26" ht="15.75" customHeight="1">
      <c r="A935" s="210"/>
      <c r="B935" s="210"/>
      <c r="C935" s="210"/>
      <c r="D935" s="178"/>
      <c r="E935" s="569"/>
      <c r="F935" s="569"/>
      <c r="G935" s="569"/>
      <c r="H935" s="569"/>
      <c r="I935" s="569"/>
      <c r="J935" s="131"/>
      <c r="K935" s="131"/>
      <c r="L935" s="131"/>
      <c r="M935" s="131"/>
      <c r="N935" s="131"/>
      <c r="O935" s="131"/>
      <c r="P935" s="131"/>
      <c r="Q935" s="131"/>
      <c r="R935" s="131"/>
      <c r="S935" s="131"/>
      <c r="T935" s="131"/>
      <c r="U935" s="131"/>
      <c r="V935" s="131"/>
      <c r="W935" s="131"/>
      <c r="X935" s="131"/>
      <c r="Y935" s="131"/>
      <c r="Z935" s="131"/>
    </row>
    <row r="936" spans="1:26" ht="15.75" customHeight="1">
      <c r="A936" s="210"/>
      <c r="B936" s="210"/>
      <c r="C936" s="210"/>
      <c r="D936" s="178"/>
      <c r="E936" s="569"/>
      <c r="F936" s="569"/>
      <c r="G936" s="569"/>
      <c r="H936" s="569"/>
      <c r="I936" s="569"/>
      <c r="J936" s="131"/>
      <c r="K936" s="131"/>
      <c r="L936" s="131"/>
      <c r="M936" s="131"/>
      <c r="N936" s="131"/>
      <c r="O936" s="131"/>
      <c r="P936" s="131"/>
      <c r="Q936" s="131"/>
      <c r="R936" s="131"/>
      <c r="S936" s="131"/>
      <c r="T936" s="131"/>
      <c r="U936" s="131"/>
      <c r="V936" s="131"/>
      <c r="W936" s="131"/>
      <c r="X936" s="131"/>
      <c r="Y936" s="131"/>
      <c r="Z936" s="131"/>
    </row>
    <row r="937" spans="1:26" ht="15.75" customHeight="1">
      <c r="A937" s="210"/>
      <c r="B937" s="210"/>
      <c r="C937" s="210"/>
      <c r="D937" s="178"/>
      <c r="E937" s="569"/>
      <c r="F937" s="569"/>
      <c r="G937" s="569"/>
      <c r="H937" s="569"/>
      <c r="I937" s="569"/>
      <c r="J937" s="131"/>
      <c r="K937" s="131"/>
      <c r="L937" s="131"/>
      <c r="M937" s="131"/>
      <c r="N937" s="131"/>
      <c r="O937" s="131"/>
      <c r="P937" s="131"/>
      <c r="Q937" s="131"/>
      <c r="R937" s="131"/>
      <c r="S937" s="131"/>
      <c r="T937" s="131"/>
      <c r="U937" s="131"/>
      <c r="V937" s="131"/>
      <c r="W937" s="131"/>
      <c r="X937" s="131"/>
      <c r="Y937" s="131"/>
      <c r="Z937" s="131"/>
    </row>
    <row r="938" spans="1:26" ht="15.75" customHeight="1">
      <c r="A938" s="210"/>
      <c r="B938" s="210"/>
      <c r="C938" s="210"/>
      <c r="D938" s="178"/>
      <c r="E938" s="569"/>
      <c r="F938" s="569"/>
      <c r="G938" s="569"/>
      <c r="H938" s="569"/>
      <c r="I938" s="569"/>
      <c r="J938" s="131"/>
      <c r="K938" s="131"/>
      <c r="L938" s="131"/>
      <c r="M938" s="131"/>
      <c r="N938" s="131"/>
      <c r="O938" s="131"/>
      <c r="P938" s="131"/>
      <c r="Q938" s="131"/>
      <c r="R938" s="131"/>
      <c r="S938" s="131"/>
      <c r="T938" s="131"/>
      <c r="U938" s="131"/>
      <c r="V938" s="131"/>
      <c r="W938" s="131"/>
      <c r="X938" s="131"/>
      <c r="Y938" s="131"/>
      <c r="Z938" s="131"/>
    </row>
    <row r="939" spans="1:26" ht="15.75" customHeight="1">
      <c r="A939" s="210"/>
      <c r="B939" s="210"/>
      <c r="C939" s="210"/>
      <c r="D939" s="178"/>
      <c r="E939" s="569"/>
      <c r="F939" s="569"/>
      <c r="G939" s="569"/>
      <c r="H939" s="569"/>
      <c r="I939" s="569"/>
      <c r="J939" s="131"/>
      <c r="K939" s="131"/>
      <c r="L939" s="131"/>
      <c r="M939" s="131"/>
      <c r="N939" s="131"/>
      <c r="O939" s="131"/>
      <c r="P939" s="131"/>
      <c r="Q939" s="131"/>
      <c r="R939" s="131"/>
      <c r="S939" s="131"/>
      <c r="T939" s="131"/>
      <c r="U939" s="131"/>
      <c r="V939" s="131"/>
      <c r="W939" s="131"/>
      <c r="X939" s="131"/>
      <c r="Y939" s="131"/>
      <c r="Z939" s="131"/>
    </row>
    <row r="940" spans="1:26" ht="15.75" customHeight="1">
      <c r="A940" s="210"/>
      <c r="B940" s="210"/>
      <c r="C940" s="210"/>
      <c r="D940" s="178"/>
      <c r="E940" s="569"/>
      <c r="F940" s="569"/>
      <c r="G940" s="569"/>
      <c r="H940" s="569"/>
      <c r="I940" s="569"/>
      <c r="J940" s="131"/>
      <c r="K940" s="131"/>
      <c r="L940" s="131"/>
      <c r="M940" s="131"/>
      <c r="N940" s="131"/>
      <c r="O940" s="131"/>
      <c r="P940" s="131"/>
      <c r="Q940" s="131"/>
      <c r="R940" s="131"/>
      <c r="S940" s="131"/>
      <c r="T940" s="131"/>
      <c r="U940" s="131"/>
      <c r="V940" s="131"/>
      <c r="W940" s="131"/>
      <c r="X940" s="131"/>
      <c r="Y940" s="131"/>
      <c r="Z940" s="131"/>
    </row>
    <row r="941" spans="1:26" ht="15.75" customHeight="1">
      <c r="A941" s="210"/>
      <c r="B941" s="210"/>
      <c r="C941" s="210"/>
      <c r="D941" s="178"/>
      <c r="E941" s="569"/>
      <c r="F941" s="569"/>
      <c r="G941" s="569"/>
      <c r="H941" s="569"/>
      <c r="I941" s="569"/>
      <c r="J941" s="131"/>
      <c r="K941" s="131"/>
      <c r="L941" s="131"/>
      <c r="M941" s="131"/>
      <c r="N941" s="131"/>
      <c r="O941" s="131"/>
      <c r="P941" s="131"/>
      <c r="Q941" s="131"/>
      <c r="R941" s="131"/>
      <c r="S941" s="131"/>
      <c r="T941" s="131"/>
      <c r="U941" s="131"/>
      <c r="V941" s="131"/>
      <c r="W941" s="131"/>
      <c r="X941" s="131"/>
      <c r="Y941" s="131"/>
      <c r="Z941" s="131"/>
    </row>
    <row r="942" spans="1:26" ht="15.75" customHeight="1">
      <c r="A942" s="210"/>
      <c r="B942" s="210"/>
      <c r="C942" s="210"/>
      <c r="D942" s="178"/>
      <c r="E942" s="569"/>
      <c r="F942" s="569"/>
      <c r="G942" s="569"/>
      <c r="H942" s="569"/>
      <c r="I942" s="569"/>
      <c r="J942" s="131"/>
      <c r="K942" s="131"/>
      <c r="L942" s="131"/>
      <c r="M942" s="131"/>
      <c r="N942" s="131"/>
      <c r="O942" s="131"/>
      <c r="P942" s="131"/>
      <c r="Q942" s="131"/>
      <c r="R942" s="131"/>
      <c r="S942" s="131"/>
      <c r="T942" s="131"/>
      <c r="U942" s="131"/>
      <c r="V942" s="131"/>
      <c r="W942" s="131"/>
      <c r="X942" s="131"/>
      <c r="Y942" s="131"/>
      <c r="Z942" s="131"/>
    </row>
    <row r="943" spans="1:26" ht="15.75" customHeight="1">
      <c r="A943" s="210"/>
      <c r="B943" s="210"/>
      <c r="C943" s="210"/>
      <c r="D943" s="178"/>
      <c r="E943" s="569"/>
      <c r="F943" s="569"/>
      <c r="G943" s="569"/>
      <c r="H943" s="569"/>
      <c r="I943" s="569"/>
      <c r="J943" s="131"/>
      <c r="K943" s="131"/>
      <c r="L943" s="131"/>
      <c r="M943" s="131"/>
      <c r="N943" s="131"/>
      <c r="O943" s="131"/>
      <c r="P943" s="131"/>
      <c r="Q943" s="131"/>
      <c r="R943" s="131"/>
      <c r="S943" s="131"/>
      <c r="T943" s="131"/>
      <c r="U943" s="131"/>
      <c r="V943" s="131"/>
      <c r="W943" s="131"/>
      <c r="X943" s="131"/>
      <c r="Y943" s="131"/>
      <c r="Z943" s="131"/>
    </row>
    <row r="944" spans="1:26" ht="15.75" customHeight="1">
      <c r="A944" s="210"/>
      <c r="B944" s="210"/>
      <c r="C944" s="210"/>
      <c r="D944" s="178"/>
      <c r="E944" s="569"/>
      <c r="F944" s="569"/>
      <c r="G944" s="569"/>
      <c r="H944" s="569"/>
      <c r="I944" s="569"/>
      <c r="J944" s="131"/>
      <c r="K944" s="131"/>
      <c r="L944" s="131"/>
      <c r="M944" s="131"/>
      <c r="N944" s="131"/>
      <c r="O944" s="131"/>
      <c r="P944" s="131"/>
      <c r="Q944" s="131"/>
      <c r="R944" s="131"/>
      <c r="S944" s="131"/>
      <c r="T944" s="131"/>
      <c r="U944" s="131"/>
      <c r="V944" s="131"/>
      <c r="W944" s="131"/>
      <c r="X944" s="131"/>
      <c r="Y944" s="131"/>
      <c r="Z944" s="131"/>
    </row>
    <row r="945" spans="1:26" ht="15.75" customHeight="1">
      <c r="A945" s="210"/>
      <c r="B945" s="210"/>
      <c r="C945" s="210"/>
      <c r="D945" s="178"/>
      <c r="E945" s="569"/>
      <c r="F945" s="569"/>
      <c r="G945" s="569"/>
      <c r="H945" s="569"/>
      <c r="I945" s="569"/>
      <c r="J945" s="131"/>
      <c r="K945" s="131"/>
      <c r="L945" s="131"/>
      <c r="M945" s="131"/>
      <c r="N945" s="131"/>
      <c r="O945" s="131"/>
      <c r="P945" s="131"/>
      <c r="Q945" s="131"/>
      <c r="R945" s="131"/>
      <c r="S945" s="131"/>
      <c r="T945" s="131"/>
      <c r="U945" s="131"/>
      <c r="V945" s="131"/>
      <c r="W945" s="131"/>
      <c r="X945" s="131"/>
      <c r="Y945" s="131"/>
      <c r="Z945" s="131"/>
    </row>
    <row r="946" spans="1:26" ht="15.75" customHeight="1">
      <c r="A946" s="210"/>
      <c r="B946" s="210"/>
      <c r="C946" s="210"/>
      <c r="D946" s="178"/>
      <c r="E946" s="569"/>
      <c r="F946" s="569"/>
      <c r="G946" s="569"/>
      <c r="H946" s="569"/>
      <c r="I946" s="569"/>
      <c r="J946" s="131"/>
      <c r="K946" s="131"/>
      <c r="L946" s="131"/>
      <c r="M946" s="131"/>
      <c r="N946" s="131"/>
      <c r="O946" s="131"/>
      <c r="P946" s="131"/>
      <c r="Q946" s="131"/>
      <c r="R946" s="131"/>
      <c r="S946" s="131"/>
      <c r="T946" s="131"/>
      <c r="U946" s="131"/>
      <c r="V946" s="131"/>
      <c r="W946" s="131"/>
      <c r="X946" s="131"/>
      <c r="Y946" s="131"/>
      <c r="Z946" s="131"/>
    </row>
    <row r="947" spans="1:26" ht="15.75" customHeight="1">
      <c r="A947" s="210"/>
      <c r="B947" s="210"/>
      <c r="C947" s="210"/>
      <c r="D947" s="178"/>
      <c r="E947" s="569"/>
      <c r="F947" s="569"/>
      <c r="G947" s="569"/>
      <c r="H947" s="569"/>
      <c r="I947" s="569"/>
      <c r="J947" s="131"/>
      <c r="K947" s="131"/>
      <c r="L947" s="131"/>
      <c r="M947" s="131"/>
      <c r="N947" s="131"/>
      <c r="O947" s="131"/>
      <c r="P947" s="131"/>
      <c r="Q947" s="131"/>
      <c r="R947" s="131"/>
      <c r="S947" s="131"/>
      <c r="T947" s="131"/>
      <c r="U947" s="131"/>
      <c r="V947" s="131"/>
      <c r="W947" s="131"/>
      <c r="X947" s="131"/>
      <c r="Y947" s="131"/>
      <c r="Z947" s="131"/>
    </row>
    <row r="948" spans="1:26" ht="15.75" customHeight="1">
      <c r="A948" s="210"/>
      <c r="B948" s="210"/>
      <c r="C948" s="210"/>
      <c r="D948" s="178"/>
      <c r="E948" s="569"/>
      <c r="F948" s="569"/>
      <c r="G948" s="569"/>
      <c r="H948" s="569"/>
      <c r="I948" s="569"/>
      <c r="J948" s="131"/>
      <c r="K948" s="131"/>
      <c r="L948" s="131"/>
      <c r="M948" s="131"/>
      <c r="N948" s="131"/>
      <c r="O948" s="131"/>
      <c r="P948" s="131"/>
      <c r="Q948" s="131"/>
      <c r="R948" s="131"/>
      <c r="S948" s="131"/>
      <c r="T948" s="131"/>
      <c r="U948" s="131"/>
      <c r="V948" s="131"/>
      <c r="W948" s="131"/>
      <c r="X948" s="131"/>
      <c r="Y948" s="131"/>
      <c r="Z948" s="131"/>
    </row>
    <row r="949" spans="1:26" ht="15.75" customHeight="1">
      <c r="A949" s="210"/>
      <c r="B949" s="210"/>
      <c r="C949" s="210"/>
      <c r="D949" s="178"/>
      <c r="E949" s="569"/>
      <c r="F949" s="569"/>
      <c r="G949" s="569"/>
      <c r="H949" s="569"/>
      <c r="I949" s="569"/>
      <c r="J949" s="131"/>
      <c r="K949" s="131"/>
      <c r="L949" s="131"/>
      <c r="M949" s="131"/>
      <c r="N949" s="131"/>
      <c r="O949" s="131"/>
      <c r="P949" s="131"/>
      <c r="Q949" s="131"/>
      <c r="R949" s="131"/>
      <c r="S949" s="131"/>
      <c r="T949" s="131"/>
      <c r="U949" s="131"/>
      <c r="V949" s="131"/>
      <c r="W949" s="131"/>
      <c r="X949" s="131"/>
      <c r="Y949" s="131"/>
      <c r="Z949" s="131"/>
    </row>
    <row r="950" spans="1:26" ht="15.75" customHeight="1">
      <c r="A950" s="210"/>
      <c r="B950" s="210"/>
      <c r="C950" s="210"/>
      <c r="D950" s="178"/>
      <c r="E950" s="569"/>
      <c r="F950" s="569"/>
      <c r="G950" s="569"/>
      <c r="H950" s="569"/>
      <c r="I950" s="569"/>
      <c r="J950" s="131"/>
      <c r="K950" s="131"/>
      <c r="L950" s="131"/>
      <c r="M950" s="131"/>
      <c r="N950" s="131"/>
      <c r="O950" s="131"/>
      <c r="P950" s="131"/>
      <c r="Q950" s="131"/>
      <c r="R950" s="131"/>
      <c r="S950" s="131"/>
      <c r="T950" s="131"/>
      <c r="U950" s="131"/>
      <c r="V950" s="131"/>
      <c r="W950" s="131"/>
      <c r="X950" s="131"/>
      <c r="Y950" s="131"/>
      <c r="Z950" s="131"/>
    </row>
    <row r="951" spans="1:26" ht="15.75" customHeight="1">
      <c r="A951" s="210"/>
      <c r="B951" s="210"/>
      <c r="C951" s="210"/>
      <c r="D951" s="178"/>
      <c r="E951" s="569"/>
      <c r="F951" s="569"/>
      <c r="G951" s="569"/>
      <c r="H951" s="569"/>
      <c r="I951" s="569"/>
      <c r="J951" s="131"/>
      <c r="K951" s="131"/>
      <c r="L951" s="131"/>
      <c r="M951" s="131"/>
      <c r="N951" s="131"/>
      <c r="O951" s="131"/>
      <c r="P951" s="131"/>
      <c r="Q951" s="131"/>
      <c r="R951" s="131"/>
      <c r="S951" s="131"/>
      <c r="T951" s="131"/>
      <c r="U951" s="131"/>
      <c r="V951" s="131"/>
      <c r="W951" s="131"/>
      <c r="X951" s="131"/>
      <c r="Y951" s="131"/>
      <c r="Z951" s="131"/>
    </row>
    <row r="952" spans="1:26" ht="15.75" customHeight="1">
      <c r="A952" s="210"/>
      <c r="B952" s="210"/>
      <c r="C952" s="210"/>
      <c r="D952" s="178"/>
      <c r="E952" s="569"/>
      <c r="F952" s="569"/>
      <c r="G952" s="569"/>
      <c r="H952" s="569"/>
      <c r="I952" s="569"/>
      <c r="J952" s="131"/>
      <c r="K952" s="131"/>
      <c r="L952" s="131"/>
      <c r="M952" s="131"/>
      <c r="N952" s="131"/>
      <c r="O952" s="131"/>
      <c r="P952" s="131"/>
      <c r="Q952" s="131"/>
      <c r="R952" s="131"/>
      <c r="S952" s="131"/>
      <c r="T952" s="131"/>
      <c r="U952" s="131"/>
      <c r="V952" s="131"/>
      <c r="W952" s="131"/>
      <c r="X952" s="131"/>
      <c r="Y952" s="131"/>
      <c r="Z952" s="131"/>
    </row>
    <row r="953" spans="1:26" ht="15.75" customHeight="1">
      <c r="A953" s="210"/>
      <c r="B953" s="210"/>
      <c r="C953" s="210"/>
      <c r="D953" s="178"/>
      <c r="E953" s="569"/>
      <c r="F953" s="569"/>
      <c r="G953" s="569"/>
      <c r="H953" s="569"/>
      <c r="I953" s="569"/>
      <c r="J953" s="131"/>
      <c r="K953" s="131"/>
      <c r="L953" s="131"/>
      <c r="M953" s="131"/>
      <c r="N953" s="131"/>
      <c r="O953" s="131"/>
      <c r="P953" s="131"/>
      <c r="Q953" s="131"/>
      <c r="R953" s="131"/>
      <c r="S953" s="131"/>
      <c r="T953" s="131"/>
      <c r="U953" s="131"/>
      <c r="V953" s="131"/>
      <c r="W953" s="131"/>
      <c r="X953" s="131"/>
      <c r="Y953" s="131"/>
      <c r="Z953" s="131"/>
    </row>
    <row r="954" spans="1:26" ht="15.75" customHeight="1">
      <c r="A954" s="210"/>
      <c r="B954" s="210"/>
      <c r="C954" s="210"/>
      <c r="D954" s="178"/>
      <c r="E954" s="569"/>
      <c r="F954" s="569"/>
      <c r="G954" s="569"/>
      <c r="H954" s="569"/>
      <c r="I954" s="569"/>
      <c r="J954" s="131"/>
      <c r="K954" s="131"/>
      <c r="L954" s="131"/>
      <c r="M954" s="131"/>
      <c r="N954" s="131"/>
      <c r="O954" s="131"/>
      <c r="P954" s="131"/>
      <c r="Q954" s="131"/>
      <c r="R954" s="131"/>
      <c r="S954" s="131"/>
      <c r="T954" s="131"/>
      <c r="U954" s="131"/>
      <c r="V954" s="131"/>
      <c r="W954" s="131"/>
      <c r="X954" s="131"/>
      <c r="Y954" s="131"/>
      <c r="Z954" s="131"/>
    </row>
    <row r="955" spans="1:26" ht="15.75" customHeight="1">
      <c r="A955" s="210"/>
      <c r="B955" s="210"/>
      <c r="C955" s="210"/>
      <c r="D955" s="178"/>
      <c r="E955" s="569"/>
      <c r="F955" s="569"/>
      <c r="G955" s="569"/>
      <c r="H955" s="569"/>
      <c r="I955" s="569"/>
      <c r="J955" s="131"/>
      <c r="K955" s="131"/>
      <c r="L955" s="131"/>
      <c r="M955" s="131"/>
      <c r="N955" s="131"/>
      <c r="O955" s="131"/>
      <c r="P955" s="131"/>
      <c r="Q955" s="131"/>
      <c r="R955" s="131"/>
      <c r="S955" s="131"/>
      <c r="T955" s="131"/>
      <c r="U955" s="131"/>
      <c r="V955" s="131"/>
      <c r="W955" s="131"/>
      <c r="X955" s="131"/>
      <c r="Y955" s="131"/>
      <c r="Z955" s="131"/>
    </row>
    <row r="956" spans="1:26" ht="15.75" customHeight="1">
      <c r="A956" s="210"/>
      <c r="B956" s="210"/>
      <c r="C956" s="210"/>
      <c r="D956" s="178"/>
      <c r="E956" s="569"/>
      <c r="F956" s="569"/>
      <c r="G956" s="569"/>
      <c r="H956" s="569"/>
      <c r="I956" s="569"/>
      <c r="J956" s="131"/>
      <c r="K956" s="131"/>
      <c r="L956" s="131"/>
      <c r="M956" s="131"/>
      <c r="N956" s="131"/>
      <c r="O956" s="131"/>
      <c r="P956" s="131"/>
      <c r="Q956" s="131"/>
      <c r="R956" s="131"/>
      <c r="S956" s="131"/>
      <c r="T956" s="131"/>
      <c r="U956" s="131"/>
      <c r="V956" s="131"/>
      <c r="W956" s="131"/>
      <c r="X956" s="131"/>
      <c r="Y956" s="131"/>
      <c r="Z956" s="131"/>
    </row>
    <row r="957" spans="1:26" ht="15.75" customHeight="1">
      <c r="A957" s="210"/>
      <c r="B957" s="210"/>
      <c r="C957" s="210"/>
      <c r="D957" s="178"/>
      <c r="E957" s="569"/>
      <c r="F957" s="569"/>
      <c r="G957" s="569"/>
      <c r="H957" s="569"/>
      <c r="I957" s="569"/>
      <c r="J957" s="131"/>
      <c r="K957" s="131"/>
      <c r="L957" s="131"/>
      <c r="M957" s="131"/>
      <c r="N957" s="131"/>
      <c r="O957" s="131"/>
      <c r="P957" s="131"/>
      <c r="Q957" s="131"/>
      <c r="R957" s="131"/>
      <c r="S957" s="131"/>
      <c r="T957" s="131"/>
      <c r="U957" s="131"/>
      <c r="V957" s="131"/>
      <c r="W957" s="131"/>
      <c r="X957" s="131"/>
      <c r="Y957" s="131"/>
      <c r="Z957" s="131"/>
    </row>
    <row r="958" spans="1:26" ht="15.75" customHeight="1">
      <c r="A958" s="210"/>
      <c r="B958" s="210"/>
      <c r="C958" s="210"/>
      <c r="D958" s="178"/>
      <c r="E958" s="569"/>
      <c r="F958" s="569"/>
      <c r="G958" s="569"/>
      <c r="H958" s="569"/>
      <c r="I958" s="569"/>
      <c r="J958" s="131"/>
      <c r="K958" s="131"/>
      <c r="L958" s="131"/>
      <c r="M958" s="131"/>
      <c r="N958" s="131"/>
      <c r="O958" s="131"/>
      <c r="P958" s="131"/>
      <c r="Q958" s="131"/>
      <c r="R958" s="131"/>
      <c r="S958" s="131"/>
      <c r="T958" s="131"/>
      <c r="U958" s="131"/>
      <c r="V958" s="131"/>
      <c r="W958" s="131"/>
      <c r="X958" s="131"/>
      <c r="Y958" s="131"/>
      <c r="Z958" s="131"/>
    </row>
    <row r="959" spans="1:26" ht="15.75" customHeight="1">
      <c r="A959" s="210"/>
      <c r="B959" s="210"/>
      <c r="C959" s="210"/>
      <c r="D959" s="178"/>
      <c r="E959" s="569"/>
      <c r="F959" s="569"/>
      <c r="G959" s="569"/>
      <c r="H959" s="569"/>
      <c r="I959" s="569"/>
      <c r="J959" s="131"/>
      <c r="K959" s="131"/>
      <c r="L959" s="131"/>
      <c r="M959" s="131"/>
      <c r="N959" s="131"/>
      <c r="O959" s="131"/>
      <c r="P959" s="131"/>
      <c r="Q959" s="131"/>
      <c r="R959" s="131"/>
      <c r="S959" s="131"/>
      <c r="T959" s="131"/>
      <c r="U959" s="131"/>
      <c r="V959" s="131"/>
      <c r="W959" s="131"/>
      <c r="X959" s="131"/>
      <c r="Y959" s="131"/>
      <c r="Z959" s="131"/>
    </row>
    <row r="960" spans="1:26" ht="15.75" customHeight="1">
      <c r="A960" s="210"/>
      <c r="B960" s="210"/>
      <c r="C960" s="210"/>
      <c r="D960" s="178"/>
      <c r="E960" s="569"/>
      <c r="F960" s="569"/>
      <c r="G960" s="569"/>
      <c r="H960" s="569"/>
      <c r="I960" s="569"/>
      <c r="J960" s="131"/>
      <c r="K960" s="131"/>
      <c r="L960" s="131"/>
      <c r="M960" s="131"/>
      <c r="N960" s="131"/>
      <c r="O960" s="131"/>
      <c r="P960" s="131"/>
      <c r="Q960" s="131"/>
      <c r="R960" s="131"/>
      <c r="S960" s="131"/>
      <c r="T960" s="131"/>
      <c r="U960" s="131"/>
      <c r="V960" s="131"/>
      <c r="W960" s="131"/>
      <c r="X960" s="131"/>
      <c r="Y960" s="131"/>
      <c r="Z960" s="131"/>
    </row>
    <row r="961" spans="1:26" ht="15.75" customHeight="1">
      <c r="A961" s="210"/>
      <c r="B961" s="210"/>
      <c r="C961" s="210"/>
      <c r="D961" s="178"/>
      <c r="E961" s="569"/>
      <c r="F961" s="569"/>
      <c r="G961" s="569"/>
      <c r="H961" s="569"/>
      <c r="I961" s="569"/>
      <c r="J961" s="131"/>
      <c r="K961" s="131"/>
      <c r="L961" s="131"/>
      <c r="M961" s="131"/>
      <c r="N961" s="131"/>
      <c r="O961" s="131"/>
      <c r="P961" s="131"/>
      <c r="Q961" s="131"/>
      <c r="R961" s="131"/>
      <c r="S961" s="131"/>
      <c r="T961" s="131"/>
      <c r="U961" s="131"/>
      <c r="V961" s="131"/>
      <c r="W961" s="131"/>
      <c r="X961" s="131"/>
      <c r="Y961" s="131"/>
      <c r="Z961" s="131"/>
    </row>
    <row r="962" spans="1:26" ht="15.75" customHeight="1">
      <c r="A962" s="210"/>
      <c r="B962" s="210"/>
      <c r="C962" s="210"/>
      <c r="D962" s="178"/>
      <c r="E962" s="569"/>
      <c r="F962" s="569"/>
      <c r="G962" s="569"/>
      <c r="H962" s="569"/>
      <c r="I962" s="569"/>
      <c r="J962" s="131"/>
      <c r="K962" s="131"/>
      <c r="L962" s="131"/>
      <c r="M962" s="131"/>
      <c r="N962" s="131"/>
      <c r="O962" s="131"/>
      <c r="P962" s="131"/>
      <c r="Q962" s="131"/>
      <c r="R962" s="131"/>
      <c r="S962" s="131"/>
      <c r="T962" s="131"/>
      <c r="U962" s="131"/>
      <c r="V962" s="131"/>
      <c r="W962" s="131"/>
      <c r="X962" s="131"/>
      <c r="Y962" s="131"/>
      <c r="Z962" s="131"/>
    </row>
    <row r="963" spans="1:26" ht="15.75" customHeight="1">
      <c r="A963" s="210"/>
      <c r="B963" s="210"/>
      <c r="C963" s="210"/>
      <c r="D963" s="178"/>
      <c r="E963" s="569"/>
      <c r="F963" s="569"/>
      <c r="G963" s="569"/>
      <c r="H963" s="569"/>
      <c r="I963" s="569"/>
      <c r="J963" s="131"/>
      <c r="K963" s="131"/>
      <c r="L963" s="131"/>
      <c r="M963" s="131"/>
      <c r="N963" s="131"/>
      <c r="O963" s="131"/>
      <c r="P963" s="131"/>
      <c r="Q963" s="131"/>
      <c r="R963" s="131"/>
      <c r="S963" s="131"/>
      <c r="T963" s="131"/>
      <c r="U963" s="131"/>
      <c r="V963" s="131"/>
      <c r="W963" s="131"/>
      <c r="X963" s="131"/>
      <c r="Y963" s="131"/>
      <c r="Z963" s="131"/>
    </row>
    <row r="964" spans="1:26" ht="15.75" customHeight="1">
      <c r="A964" s="210"/>
      <c r="B964" s="210"/>
      <c r="C964" s="210"/>
      <c r="D964" s="178"/>
      <c r="E964" s="569"/>
      <c r="F964" s="569"/>
      <c r="G964" s="569"/>
      <c r="H964" s="569"/>
      <c r="I964" s="569"/>
      <c r="J964" s="131"/>
      <c r="K964" s="131"/>
      <c r="L964" s="131"/>
      <c r="M964" s="131"/>
      <c r="N964" s="131"/>
      <c r="O964" s="131"/>
      <c r="P964" s="131"/>
      <c r="Q964" s="131"/>
      <c r="R964" s="131"/>
      <c r="S964" s="131"/>
      <c r="T964" s="131"/>
      <c r="U964" s="131"/>
      <c r="V964" s="131"/>
      <c r="W964" s="131"/>
      <c r="X964" s="131"/>
      <c r="Y964" s="131"/>
      <c r="Z964" s="131"/>
    </row>
    <row r="965" spans="1:26" ht="15.75" customHeight="1">
      <c r="A965" s="210"/>
      <c r="B965" s="210"/>
      <c r="C965" s="210"/>
      <c r="D965" s="178"/>
      <c r="E965" s="569"/>
      <c r="F965" s="569"/>
      <c r="G965" s="569"/>
      <c r="H965" s="569"/>
      <c r="I965" s="569"/>
      <c r="J965" s="131"/>
      <c r="K965" s="131"/>
      <c r="L965" s="131"/>
      <c r="M965" s="131"/>
      <c r="N965" s="131"/>
      <c r="O965" s="131"/>
      <c r="P965" s="131"/>
      <c r="Q965" s="131"/>
      <c r="R965" s="131"/>
      <c r="S965" s="131"/>
      <c r="T965" s="131"/>
      <c r="U965" s="131"/>
      <c r="V965" s="131"/>
      <c r="W965" s="131"/>
      <c r="X965" s="131"/>
      <c r="Y965" s="131"/>
      <c r="Z965" s="131"/>
    </row>
    <row r="966" spans="1:26" ht="15.75" customHeight="1">
      <c r="A966" s="210"/>
      <c r="B966" s="210"/>
      <c r="C966" s="210"/>
      <c r="D966" s="178"/>
      <c r="E966" s="569"/>
      <c r="F966" s="569"/>
      <c r="G966" s="569"/>
      <c r="H966" s="569"/>
      <c r="I966" s="569"/>
      <c r="J966" s="131"/>
      <c r="K966" s="131"/>
      <c r="L966" s="131"/>
      <c r="M966" s="131"/>
      <c r="N966" s="131"/>
      <c r="O966" s="131"/>
      <c r="P966" s="131"/>
      <c r="Q966" s="131"/>
      <c r="R966" s="131"/>
      <c r="S966" s="131"/>
      <c r="T966" s="131"/>
      <c r="U966" s="131"/>
      <c r="V966" s="131"/>
      <c r="W966" s="131"/>
      <c r="X966" s="131"/>
      <c r="Y966" s="131"/>
      <c r="Z966" s="131"/>
    </row>
    <row r="967" spans="1:26" ht="15.75" customHeight="1">
      <c r="A967" s="210"/>
      <c r="B967" s="210"/>
      <c r="C967" s="210"/>
      <c r="D967" s="178"/>
      <c r="E967" s="569"/>
      <c r="F967" s="569"/>
      <c r="G967" s="569"/>
      <c r="H967" s="569"/>
      <c r="I967" s="569"/>
      <c r="J967" s="131"/>
      <c r="K967" s="131"/>
      <c r="L967" s="131"/>
      <c r="M967" s="131"/>
      <c r="N967" s="131"/>
      <c r="O967" s="131"/>
      <c r="P967" s="131"/>
      <c r="Q967" s="131"/>
      <c r="R967" s="131"/>
      <c r="S967" s="131"/>
      <c r="T967" s="131"/>
      <c r="U967" s="131"/>
      <c r="V967" s="131"/>
      <c r="W967" s="131"/>
      <c r="X967" s="131"/>
      <c r="Y967" s="131"/>
      <c r="Z967" s="131"/>
    </row>
    <row r="968" spans="1:26" ht="15.75" customHeight="1">
      <c r="A968" s="210"/>
      <c r="B968" s="210"/>
      <c r="C968" s="210"/>
      <c r="D968" s="178"/>
      <c r="E968" s="569"/>
      <c r="F968" s="569"/>
      <c r="G968" s="569"/>
      <c r="H968" s="569"/>
      <c r="I968" s="569"/>
      <c r="J968" s="131"/>
      <c r="K968" s="131"/>
      <c r="L968" s="131"/>
      <c r="M968" s="131"/>
      <c r="N968" s="131"/>
      <c r="O968" s="131"/>
      <c r="P968" s="131"/>
      <c r="Q968" s="131"/>
      <c r="R968" s="131"/>
      <c r="S968" s="131"/>
      <c r="T968" s="131"/>
      <c r="U968" s="131"/>
      <c r="V968" s="131"/>
      <c r="W968" s="131"/>
      <c r="X968" s="131"/>
      <c r="Y968" s="131"/>
      <c r="Z968" s="131"/>
    </row>
    <row r="969" spans="1:26" ht="15.75" customHeight="1">
      <c r="A969" s="210"/>
      <c r="B969" s="210"/>
      <c r="C969" s="210"/>
      <c r="D969" s="178"/>
      <c r="E969" s="569"/>
      <c r="F969" s="569"/>
      <c r="G969" s="569"/>
      <c r="H969" s="569"/>
      <c r="I969" s="569"/>
      <c r="J969" s="131"/>
      <c r="K969" s="131"/>
      <c r="L969" s="131"/>
      <c r="M969" s="131"/>
      <c r="N969" s="131"/>
      <c r="O969" s="131"/>
      <c r="P969" s="131"/>
      <c r="Q969" s="131"/>
      <c r="R969" s="131"/>
      <c r="S969" s="131"/>
      <c r="T969" s="131"/>
      <c r="U969" s="131"/>
      <c r="V969" s="131"/>
      <c r="W969" s="131"/>
      <c r="X969" s="131"/>
      <c r="Y969" s="131"/>
      <c r="Z969" s="131"/>
    </row>
    <row r="970" spans="1:26" ht="15.75" customHeight="1">
      <c r="A970" s="210"/>
      <c r="B970" s="210"/>
      <c r="C970" s="210"/>
      <c r="D970" s="178"/>
      <c r="E970" s="569"/>
      <c r="F970" s="569"/>
      <c r="G970" s="569"/>
      <c r="H970" s="569"/>
      <c r="I970" s="569"/>
      <c r="J970" s="131"/>
      <c r="K970" s="131"/>
      <c r="L970" s="131"/>
      <c r="M970" s="131"/>
      <c r="N970" s="131"/>
      <c r="O970" s="131"/>
      <c r="P970" s="131"/>
      <c r="Q970" s="131"/>
      <c r="R970" s="131"/>
      <c r="S970" s="131"/>
      <c r="T970" s="131"/>
      <c r="U970" s="131"/>
      <c r="V970" s="131"/>
      <c r="W970" s="131"/>
      <c r="X970" s="131"/>
      <c r="Y970" s="131"/>
      <c r="Z970" s="131"/>
    </row>
    <row r="971" spans="1:26" ht="15.75" customHeight="1">
      <c r="A971" s="210"/>
      <c r="B971" s="210"/>
      <c r="C971" s="210"/>
      <c r="D971" s="178"/>
      <c r="E971" s="569"/>
      <c r="F971" s="569"/>
      <c r="G971" s="569"/>
      <c r="H971" s="569"/>
      <c r="I971" s="569"/>
      <c r="J971" s="131"/>
      <c r="K971" s="131"/>
      <c r="L971" s="131"/>
      <c r="M971" s="131"/>
      <c r="N971" s="131"/>
      <c r="O971" s="131"/>
      <c r="P971" s="131"/>
      <c r="Q971" s="131"/>
      <c r="R971" s="131"/>
      <c r="S971" s="131"/>
      <c r="T971" s="131"/>
      <c r="U971" s="131"/>
      <c r="V971" s="131"/>
      <c r="W971" s="131"/>
      <c r="X971" s="131"/>
      <c r="Y971" s="131"/>
      <c r="Z971" s="131"/>
    </row>
    <row r="972" spans="1:26" ht="15.75" customHeight="1">
      <c r="A972" s="210"/>
      <c r="B972" s="210"/>
      <c r="C972" s="210"/>
      <c r="D972" s="178"/>
      <c r="E972" s="569"/>
      <c r="F972" s="569"/>
      <c r="G972" s="569"/>
      <c r="H972" s="569"/>
      <c r="I972" s="569"/>
      <c r="J972" s="131"/>
      <c r="K972" s="131"/>
      <c r="L972" s="131"/>
      <c r="M972" s="131"/>
      <c r="N972" s="131"/>
      <c r="O972" s="131"/>
      <c r="P972" s="131"/>
      <c r="Q972" s="131"/>
      <c r="R972" s="131"/>
      <c r="S972" s="131"/>
      <c r="T972" s="131"/>
      <c r="U972" s="131"/>
      <c r="V972" s="131"/>
      <c r="W972" s="131"/>
      <c r="X972" s="131"/>
      <c r="Y972" s="131"/>
      <c r="Z972" s="131"/>
    </row>
    <row r="973" spans="1:26" ht="15.75" customHeight="1">
      <c r="A973" s="210"/>
      <c r="B973" s="210"/>
      <c r="C973" s="210"/>
      <c r="D973" s="178"/>
      <c r="E973" s="569"/>
      <c r="F973" s="569"/>
      <c r="G973" s="569"/>
      <c r="H973" s="569"/>
      <c r="I973" s="569"/>
      <c r="J973" s="131"/>
      <c r="K973" s="131"/>
      <c r="L973" s="131"/>
      <c r="M973" s="131"/>
      <c r="N973" s="131"/>
      <c r="O973" s="131"/>
      <c r="P973" s="131"/>
      <c r="Q973" s="131"/>
      <c r="R973" s="131"/>
      <c r="S973" s="131"/>
      <c r="T973" s="131"/>
      <c r="U973" s="131"/>
      <c r="V973" s="131"/>
      <c r="W973" s="131"/>
      <c r="X973" s="131"/>
      <c r="Y973" s="131"/>
      <c r="Z973" s="131"/>
    </row>
    <row r="974" spans="1:26" ht="15.75" customHeight="1">
      <c r="A974" s="210"/>
      <c r="B974" s="210"/>
      <c r="C974" s="210"/>
      <c r="D974" s="178"/>
      <c r="E974" s="569"/>
      <c r="F974" s="569"/>
      <c r="G974" s="569"/>
      <c r="H974" s="569"/>
      <c r="I974" s="569"/>
      <c r="J974" s="131"/>
      <c r="K974" s="131"/>
      <c r="L974" s="131"/>
      <c r="M974" s="131"/>
      <c r="N974" s="131"/>
      <c r="O974" s="131"/>
      <c r="P974" s="131"/>
      <c r="Q974" s="131"/>
      <c r="R974" s="131"/>
      <c r="S974" s="131"/>
      <c r="T974" s="131"/>
      <c r="U974" s="131"/>
      <c r="V974" s="131"/>
      <c r="W974" s="131"/>
      <c r="X974" s="131"/>
      <c r="Y974" s="131"/>
      <c r="Z974" s="131"/>
    </row>
    <row r="975" spans="1:26" ht="15.75" customHeight="1">
      <c r="A975" s="210"/>
      <c r="B975" s="210"/>
      <c r="C975" s="210"/>
      <c r="D975" s="178"/>
      <c r="E975" s="569"/>
      <c r="F975" s="569"/>
      <c r="G975" s="569"/>
      <c r="H975" s="569"/>
      <c r="I975" s="569"/>
      <c r="J975" s="131"/>
      <c r="K975" s="131"/>
      <c r="L975" s="131"/>
      <c r="M975" s="131"/>
      <c r="N975" s="131"/>
      <c r="O975" s="131"/>
      <c r="P975" s="131"/>
      <c r="Q975" s="131"/>
      <c r="R975" s="131"/>
      <c r="S975" s="131"/>
      <c r="T975" s="131"/>
      <c r="U975" s="131"/>
      <c r="V975" s="131"/>
      <c r="W975" s="131"/>
      <c r="X975" s="131"/>
      <c r="Y975" s="131"/>
      <c r="Z975" s="131"/>
    </row>
    <row r="976" spans="1:26" ht="15.75" customHeight="1">
      <c r="A976" s="210"/>
      <c r="B976" s="210"/>
      <c r="C976" s="210"/>
      <c r="D976" s="178"/>
      <c r="E976" s="569"/>
      <c r="F976" s="569"/>
      <c r="G976" s="569"/>
      <c r="H976" s="569"/>
      <c r="I976" s="569"/>
      <c r="J976" s="131"/>
      <c r="K976" s="131"/>
      <c r="L976" s="131"/>
      <c r="M976" s="131"/>
      <c r="N976" s="131"/>
      <c r="O976" s="131"/>
      <c r="P976" s="131"/>
      <c r="Q976" s="131"/>
      <c r="R976" s="131"/>
      <c r="S976" s="131"/>
      <c r="T976" s="131"/>
      <c r="U976" s="131"/>
      <c r="V976" s="131"/>
      <c r="W976" s="131"/>
      <c r="X976" s="131"/>
      <c r="Y976" s="131"/>
      <c r="Z976" s="131"/>
    </row>
    <row r="977" spans="1:26" ht="15.75" customHeight="1">
      <c r="A977" s="210"/>
      <c r="B977" s="210"/>
      <c r="C977" s="210"/>
      <c r="D977" s="178"/>
      <c r="E977" s="569"/>
      <c r="F977" s="569"/>
      <c r="G977" s="569"/>
      <c r="H977" s="569"/>
      <c r="I977" s="569"/>
      <c r="J977" s="131"/>
      <c r="K977" s="131"/>
      <c r="L977" s="131"/>
      <c r="M977" s="131"/>
      <c r="N977" s="131"/>
      <c r="O977" s="131"/>
      <c r="P977" s="131"/>
      <c r="Q977" s="131"/>
      <c r="R977" s="131"/>
      <c r="S977" s="131"/>
      <c r="T977" s="131"/>
      <c r="U977" s="131"/>
      <c r="V977" s="131"/>
      <c r="W977" s="131"/>
      <c r="X977" s="131"/>
      <c r="Y977" s="131"/>
      <c r="Z977" s="131"/>
    </row>
    <row r="978" spans="1:26" ht="15.75" customHeight="1">
      <c r="A978" s="210"/>
      <c r="B978" s="210"/>
      <c r="C978" s="210"/>
      <c r="D978" s="178"/>
      <c r="E978" s="569"/>
      <c r="F978" s="569"/>
      <c r="G978" s="569"/>
      <c r="H978" s="569"/>
      <c r="I978" s="569"/>
      <c r="J978" s="131"/>
      <c r="K978" s="131"/>
      <c r="L978" s="131"/>
      <c r="M978" s="131"/>
      <c r="N978" s="131"/>
      <c r="O978" s="131"/>
      <c r="P978" s="131"/>
      <c r="Q978" s="131"/>
      <c r="R978" s="131"/>
      <c r="S978" s="131"/>
      <c r="T978" s="131"/>
      <c r="U978" s="131"/>
      <c r="V978" s="131"/>
      <c r="W978" s="131"/>
      <c r="X978" s="131"/>
      <c r="Y978" s="131"/>
      <c r="Z978" s="131"/>
    </row>
    <row r="979" spans="1:26" ht="15.75" customHeight="1">
      <c r="A979" s="210"/>
      <c r="B979" s="210"/>
      <c r="C979" s="210"/>
      <c r="D979" s="178"/>
      <c r="E979" s="569"/>
      <c r="F979" s="569"/>
      <c r="G979" s="569"/>
      <c r="H979" s="569"/>
      <c r="I979" s="569"/>
      <c r="J979" s="131"/>
      <c r="K979" s="131"/>
      <c r="L979" s="131"/>
      <c r="M979" s="131"/>
      <c r="N979" s="131"/>
      <c r="O979" s="131"/>
      <c r="P979" s="131"/>
      <c r="Q979" s="131"/>
      <c r="R979" s="131"/>
      <c r="S979" s="131"/>
      <c r="T979" s="131"/>
      <c r="U979" s="131"/>
      <c r="V979" s="131"/>
      <c r="W979" s="131"/>
      <c r="X979" s="131"/>
      <c r="Y979" s="131"/>
      <c r="Z979" s="131"/>
    </row>
    <row r="980" spans="1:26" ht="15.75" customHeight="1">
      <c r="A980" s="210"/>
      <c r="B980" s="210"/>
      <c r="C980" s="210"/>
      <c r="D980" s="178"/>
      <c r="E980" s="569"/>
      <c r="F980" s="569"/>
      <c r="G980" s="569"/>
      <c r="H980" s="569"/>
      <c r="I980" s="569"/>
      <c r="J980" s="131"/>
      <c r="K980" s="131"/>
      <c r="L980" s="131"/>
      <c r="M980" s="131"/>
      <c r="N980" s="131"/>
      <c r="O980" s="131"/>
      <c r="P980" s="131"/>
      <c r="Q980" s="131"/>
      <c r="R980" s="131"/>
      <c r="S980" s="131"/>
      <c r="T980" s="131"/>
      <c r="U980" s="131"/>
      <c r="V980" s="131"/>
      <c r="W980" s="131"/>
      <c r="X980" s="131"/>
      <c r="Y980" s="131"/>
      <c r="Z980" s="131"/>
    </row>
    <row r="981" spans="1:26" ht="15.75" customHeight="1">
      <c r="A981" s="210"/>
      <c r="B981" s="210"/>
      <c r="C981" s="210"/>
      <c r="D981" s="178"/>
      <c r="E981" s="569"/>
      <c r="F981" s="569"/>
      <c r="G981" s="569"/>
      <c r="H981" s="569"/>
      <c r="I981" s="569"/>
      <c r="J981" s="131"/>
      <c r="K981" s="131"/>
      <c r="L981" s="131"/>
      <c r="M981" s="131"/>
      <c r="N981" s="131"/>
      <c r="O981" s="131"/>
      <c r="P981" s="131"/>
      <c r="Q981" s="131"/>
      <c r="R981" s="131"/>
      <c r="S981" s="131"/>
      <c r="T981" s="131"/>
      <c r="U981" s="131"/>
      <c r="V981" s="131"/>
      <c r="W981" s="131"/>
      <c r="X981" s="131"/>
      <c r="Y981" s="131"/>
      <c r="Z981" s="131"/>
    </row>
    <row r="982" spans="1:26" ht="15.75" customHeight="1">
      <c r="A982" s="210"/>
      <c r="B982" s="210"/>
      <c r="C982" s="210"/>
      <c r="D982" s="178"/>
      <c r="E982" s="569"/>
      <c r="F982" s="569"/>
      <c r="G982" s="569"/>
      <c r="H982" s="569"/>
      <c r="I982" s="569"/>
      <c r="J982" s="131"/>
      <c r="K982" s="131"/>
      <c r="L982" s="131"/>
      <c r="M982" s="131"/>
      <c r="N982" s="131"/>
      <c r="O982" s="131"/>
      <c r="P982" s="131"/>
      <c r="Q982" s="131"/>
      <c r="R982" s="131"/>
      <c r="S982" s="131"/>
      <c r="T982" s="131"/>
      <c r="U982" s="131"/>
      <c r="V982" s="131"/>
      <c r="W982" s="131"/>
      <c r="X982" s="131"/>
      <c r="Y982" s="131"/>
      <c r="Z982" s="131"/>
    </row>
    <row r="983" spans="1:26" ht="15.75" customHeight="1">
      <c r="A983" s="210"/>
      <c r="B983" s="210"/>
      <c r="C983" s="210"/>
      <c r="D983" s="178"/>
      <c r="E983" s="569"/>
      <c r="F983" s="569"/>
      <c r="G983" s="569"/>
      <c r="H983" s="569"/>
      <c r="I983" s="569"/>
      <c r="J983" s="131"/>
      <c r="K983" s="131"/>
      <c r="L983" s="131"/>
      <c r="M983" s="131"/>
      <c r="N983" s="131"/>
      <c r="O983" s="131"/>
      <c r="P983" s="131"/>
      <c r="Q983" s="131"/>
      <c r="R983" s="131"/>
      <c r="S983" s="131"/>
      <c r="T983" s="131"/>
      <c r="U983" s="131"/>
      <c r="V983" s="131"/>
      <c r="W983" s="131"/>
      <c r="X983" s="131"/>
      <c r="Y983" s="131"/>
      <c r="Z983" s="131"/>
    </row>
    <row r="984" spans="1:26" ht="15.75" customHeight="1">
      <c r="A984" s="210"/>
      <c r="B984" s="210"/>
      <c r="C984" s="210"/>
      <c r="D984" s="178"/>
      <c r="E984" s="569"/>
      <c r="F984" s="569"/>
      <c r="G984" s="569"/>
      <c r="H984" s="569"/>
      <c r="I984" s="569"/>
      <c r="J984" s="131"/>
      <c r="K984" s="131"/>
      <c r="L984" s="131"/>
      <c r="M984" s="131"/>
      <c r="N984" s="131"/>
      <c r="O984" s="131"/>
      <c r="P984" s="131"/>
      <c r="Q984" s="131"/>
      <c r="R984" s="131"/>
      <c r="S984" s="131"/>
      <c r="T984" s="131"/>
      <c r="U984" s="131"/>
      <c r="V984" s="131"/>
      <c r="W984" s="131"/>
      <c r="X984" s="131"/>
      <c r="Y984" s="131"/>
      <c r="Z984" s="131"/>
    </row>
    <row r="985" spans="1:26" ht="15.75" customHeight="1">
      <c r="A985" s="210"/>
      <c r="B985" s="210"/>
      <c r="C985" s="210"/>
      <c r="D985" s="178"/>
      <c r="E985" s="569"/>
      <c r="F985" s="569"/>
      <c r="G985" s="569"/>
      <c r="H985" s="569"/>
      <c r="I985" s="569"/>
      <c r="J985" s="131"/>
      <c r="K985" s="131"/>
      <c r="L985" s="131"/>
      <c r="M985" s="131"/>
      <c r="N985" s="131"/>
      <c r="O985" s="131"/>
      <c r="P985" s="131"/>
      <c r="Q985" s="131"/>
      <c r="R985" s="131"/>
      <c r="S985" s="131"/>
      <c r="T985" s="131"/>
      <c r="U985" s="131"/>
      <c r="V985" s="131"/>
      <c r="W985" s="131"/>
      <c r="X985" s="131"/>
      <c r="Y985" s="131"/>
      <c r="Z985" s="131"/>
    </row>
    <row r="986" spans="1:26" ht="15.75" customHeight="1">
      <c r="A986" s="210"/>
      <c r="B986" s="210"/>
      <c r="C986" s="210"/>
      <c r="D986" s="178"/>
      <c r="E986" s="569"/>
      <c r="F986" s="569"/>
      <c r="G986" s="569"/>
      <c r="H986" s="569"/>
      <c r="I986" s="569"/>
      <c r="J986" s="131"/>
      <c r="K986" s="131"/>
      <c r="L986" s="131"/>
      <c r="M986" s="131"/>
      <c r="N986" s="131"/>
      <c r="O986" s="131"/>
      <c r="P986" s="131"/>
      <c r="Q986" s="131"/>
      <c r="R986" s="131"/>
      <c r="S986" s="131"/>
      <c r="T986" s="131"/>
      <c r="U986" s="131"/>
      <c r="V986" s="131"/>
      <c r="W986" s="131"/>
      <c r="X986" s="131"/>
      <c r="Y986" s="131"/>
      <c r="Z986" s="131"/>
    </row>
    <row r="987" spans="1:26" ht="15.75" customHeight="1">
      <c r="A987" s="210"/>
      <c r="B987" s="210"/>
      <c r="C987" s="210"/>
      <c r="D987" s="178"/>
      <c r="E987" s="569"/>
      <c r="F987" s="569"/>
      <c r="G987" s="569"/>
      <c r="H987" s="569"/>
      <c r="I987" s="569"/>
      <c r="J987" s="131"/>
      <c r="K987" s="131"/>
      <c r="L987" s="131"/>
      <c r="M987" s="131"/>
      <c r="N987" s="131"/>
      <c r="O987" s="131"/>
      <c r="P987" s="131"/>
      <c r="Q987" s="131"/>
      <c r="R987" s="131"/>
      <c r="S987" s="131"/>
      <c r="T987" s="131"/>
      <c r="U987" s="131"/>
      <c r="V987" s="131"/>
      <c r="W987" s="131"/>
      <c r="X987" s="131"/>
      <c r="Y987" s="131"/>
      <c r="Z987" s="131"/>
    </row>
    <row r="988" spans="1:26" ht="15.75" customHeight="1">
      <c r="A988" s="210"/>
      <c r="B988" s="210"/>
      <c r="C988" s="210"/>
      <c r="D988" s="178"/>
      <c r="E988" s="569"/>
      <c r="F988" s="569"/>
      <c r="G988" s="569"/>
      <c r="H988" s="569"/>
      <c r="I988" s="569"/>
      <c r="J988" s="131"/>
      <c r="K988" s="131"/>
      <c r="L988" s="131"/>
      <c r="M988" s="131"/>
      <c r="N988" s="131"/>
      <c r="O988" s="131"/>
      <c r="P988" s="131"/>
      <c r="Q988" s="131"/>
      <c r="R988" s="131"/>
      <c r="S988" s="131"/>
      <c r="T988" s="131"/>
      <c r="U988" s="131"/>
      <c r="V988" s="131"/>
      <c r="W988" s="131"/>
      <c r="X988" s="131"/>
      <c r="Y988" s="131"/>
      <c r="Z988" s="131"/>
    </row>
    <row r="989" spans="1:26" ht="15.75" customHeight="1">
      <c r="A989" s="210"/>
      <c r="B989" s="210"/>
      <c r="C989" s="210"/>
      <c r="D989" s="178"/>
      <c r="E989" s="569"/>
      <c r="F989" s="569"/>
      <c r="G989" s="569"/>
      <c r="H989" s="569"/>
      <c r="I989" s="569"/>
      <c r="J989" s="131"/>
      <c r="K989" s="131"/>
      <c r="L989" s="131"/>
      <c r="M989" s="131"/>
      <c r="N989" s="131"/>
      <c r="O989" s="131"/>
      <c r="P989" s="131"/>
      <c r="Q989" s="131"/>
      <c r="R989" s="131"/>
      <c r="S989" s="131"/>
      <c r="T989" s="131"/>
      <c r="U989" s="131"/>
      <c r="V989" s="131"/>
      <c r="W989" s="131"/>
      <c r="X989" s="131"/>
      <c r="Y989" s="131"/>
      <c r="Z989" s="131"/>
    </row>
    <row r="990" spans="1:26" ht="15.75" customHeight="1">
      <c r="A990" s="210"/>
      <c r="B990" s="210"/>
      <c r="C990" s="210"/>
      <c r="D990" s="178"/>
      <c r="E990" s="569"/>
      <c r="F990" s="569"/>
      <c r="G990" s="569"/>
      <c r="H990" s="569"/>
      <c r="I990" s="569"/>
      <c r="J990" s="131"/>
      <c r="K990" s="131"/>
      <c r="L990" s="131"/>
      <c r="M990" s="131"/>
      <c r="N990" s="131"/>
      <c r="O990" s="131"/>
      <c r="P990" s="131"/>
      <c r="Q990" s="131"/>
      <c r="R990" s="131"/>
      <c r="S990" s="131"/>
      <c r="T990" s="131"/>
      <c r="U990" s="131"/>
      <c r="V990" s="131"/>
      <c r="W990" s="131"/>
      <c r="X990" s="131"/>
      <c r="Y990" s="131"/>
      <c r="Z990" s="131"/>
    </row>
    <row r="991" spans="1:26" ht="15.75" customHeight="1">
      <c r="A991" s="210"/>
      <c r="B991" s="210"/>
      <c r="C991" s="210"/>
      <c r="D991" s="178"/>
      <c r="E991" s="569"/>
      <c r="F991" s="569"/>
      <c r="G991" s="569"/>
      <c r="H991" s="569"/>
      <c r="I991" s="569"/>
      <c r="J991" s="131"/>
      <c r="K991" s="131"/>
      <c r="L991" s="131"/>
      <c r="M991" s="131"/>
      <c r="N991" s="131"/>
      <c r="O991" s="131"/>
      <c r="P991" s="131"/>
      <c r="Q991" s="131"/>
      <c r="R991" s="131"/>
      <c r="S991" s="131"/>
      <c r="T991" s="131"/>
      <c r="U991" s="131"/>
      <c r="V991" s="131"/>
      <c r="W991" s="131"/>
      <c r="X991" s="131"/>
      <c r="Y991" s="131"/>
      <c r="Z991" s="131"/>
    </row>
    <row r="992" spans="1:26" ht="15.75" customHeight="1">
      <c r="A992" s="210"/>
      <c r="B992" s="210"/>
      <c r="C992" s="210"/>
      <c r="D992" s="178"/>
      <c r="E992" s="569"/>
      <c r="F992" s="569"/>
      <c r="G992" s="569"/>
      <c r="H992" s="569"/>
      <c r="I992" s="569"/>
      <c r="J992" s="131"/>
      <c r="K992" s="131"/>
      <c r="L992" s="131"/>
      <c r="M992" s="131"/>
      <c r="N992" s="131"/>
      <c r="O992" s="131"/>
      <c r="P992" s="131"/>
      <c r="Q992" s="131"/>
      <c r="R992" s="131"/>
      <c r="S992" s="131"/>
      <c r="T992" s="131"/>
      <c r="U992" s="131"/>
      <c r="V992" s="131"/>
      <c r="W992" s="131"/>
      <c r="X992" s="131"/>
      <c r="Y992" s="131"/>
      <c r="Z992" s="131"/>
    </row>
    <row r="993" spans="1:26" ht="15.75" customHeight="1">
      <c r="A993" s="210"/>
      <c r="B993" s="210"/>
      <c r="C993" s="210"/>
      <c r="D993" s="178"/>
      <c r="E993" s="569"/>
      <c r="F993" s="569"/>
      <c r="G993" s="569"/>
      <c r="H993" s="569"/>
      <c r="I993" s="569"/>
      <c r="J993" s="131"/>
      <c r="K993" s="131"/>
      <c r="L993" s="131"/>
      <c r="M993" s="131"/>
      <c r="N993" s="131"/>
      <c r="O993" s="131"/>
      <c r="P993" s="131"/>
      <c r="Q993" s="131"/>
      <c r="R993" s="131"/>
      <c r="S993" s="131"/>
      <c r="T993" s="131"/>
      <c r="U993" s="131"/>
      <c r="V993" s="131"/>
      <c r="W993" s="131"/>
      <c r="X993" s="131"/>
      <c r="Y993" s="131"/>
      <c r="Z993" s="131"/>
    </row>
    <row r="994" spans="1:26" ht="15.75" customHeight="1">
      <c r="A994" s="210"/>
      <c r="B994" s="210"/>
      <c r="C994" s="210"/>
      <c r="D994" s="178"/>
      <c r="E994" s="569"/>
      <c r="F994" s="569"/>
      <c r="G994" s="569"/>
      <c r="H994" s="569"/>
      <c r="I994" s="569"/>
      <c r="J994" s="131"/>
      <c r="K994" s="131"/>
      <c r="L994" s="131"/>
      <c r="M994" s="131"/>
      <c r="N994" s="131"/>
      <c r="O994" s="131"/>
      <c r="P994" s="131"/>
      <c r="Q994" s="131"/>
      <c r="R994" s="131"/>
      <c r="S994" s="131"/>
      <c r="T994" s="131"/>
      <c r="U994" s="131"/>
      <c r="V994" s="131"/>
      <c r="W994" s="131"/>
      <c r="X994" s="131"/>
      <c r="Y994" s="131"/>
      <c r="Z994" s="131"/>
    </row>
    <row r="995" spans="1:26" ht="15.75" customHeight="1">
      <c r="A995" s="210"/>
      <c r="B995" s="210"/>
      <c r="C995" s="210"/>
      <c r="D995" s="178"/>
      <c r="E995" s="569"/>
      <c r="F995" s="569"/>
      <c r="G995" s="569"/>
      <c r="H995" s="569"/>
      <c r="I995" s="569"/>
      <c r="J995" s="131"/>
      <c r="K995" s="131"/>
      <c r="L995" s="131"/>
      <c r="M995" s="131"/>
      <c r="N995" s="131"/>
      <c r="O995" s="131"/>
      <c r="P995" s="131"/>
      <c r="Q995" s="131"/>
      <c r="R995" s="131"/>
      <c r="S995" s="131"/>
      <c r="T995" s="131"/>
      <c r="U995" s="131"/>
      <c r="V995" s="131"/>
      <c r="W995" s="131"/>
      <c r="X995" s="131"/>
      <c r="Y995" s="131"/>
      <c r="Z995" s="131"/>
    </row>
    <row r="996" spans="1:26" ht="15.75" customHeight="1">
      <c r="A996" s="210"/>
      <c r="B996" s="210"/>
      <c r="C996" s="210"/>
      <c r="D996" s="178"/>
      <c r="E996" s="569"/>
      <c r="F996" s="569"/>
      <c r="G996" s="569"/>
      <c r="H996" s="569"/>
      <c r="I996" s="569"/>
      <c r="J996" s="131"/>
      <c r="K996" s="131"/>
      <c r="L996" s="131"/>
      <c r="M996" s="131"/>
      <c r="N996" s="131"/>
      <c r="O996" s="131"/>
      <c r="P996" s="131"/>
      <c r="Q996" s="131"/>
      <c r="R996" s="131"/>
      <c r="S996" s="131"/>
      <c r="T996" s="131"/>
      <c r="U996" s="131"/>
      <c r="V996" s="131"/>
      <c r="W996" s="131"/>
      <c r="X996" s="131"/>
      <c r="Y996" s="131"/>
      <c r="Z996" s="131"/>
    </row>
    <row r="997" spans="1:26" ht="15.75" customHeight="1">
      <c r="A997" s="210"/>
      <c r="B997" s="210"/>
      <c r="C997" s="210"/>
      <c r="D997" s="178"/>
      <c r="E997" s="569"/>
      <c r="F997" s="569"/>
      <c r="G997" s="569"/>
      <c r="H997" s="569"/>
      <c r="I997" s="569"/>
      <c r="J997" s="131"/>
      <c r="K997" s="131"/>
      <c r="L997" s="131"/>
      <c r="M997" s="131"/>
      <c r="N997" s="131"/>
      <c r="O997" s="131"/>
      <c r="P997" s="131"/>
      <c r="Q997" s="131"/>
      <c r="R997" s="131"/>
      <c r="S997" s="131"/>
      <c r="T997" s="131"/>
      <c r="U997" s="131"/>
      <c r="V997" s="131"/>
      <c r="W997" s="131"/>
      <c r="X997" s="131"/>
      <c r="Y997" s="131"/>
      <c r="Z997" s="131"/>
    </row>
    <row r="998" spans="1:26" ht="15.75" customHeight="1">
      <c r="A998" s="210"/>
      <c r="B998" s="210"/>
      <c r="C998" s="210"/>
      <c r="D998" s="178"/>
      <c r="E998" s="569"/>
      <c r="F998" s="569"/>
      <c r="G998" s="569"/>
      <c r="H998" s="569"/>
      <c r="I998" s="569"/>
      <c r="J998" s="131"/>
      <c r="K998" s="131"/>
      <c r="L998" s="131"/>
      <c r="M998" s="131"/>
      <c r="N998" s="131"/>
      <c r="O998" s="131"/>
      <c r="P998" s="131"/>
      <c r="Q998" s="131"/>
      <c r="R998" s="131"/>
      <c r="S998" s="131"/>
      <c r="T998" s="131"/>
      <c r="U998" s="131"/>
      <c r="V998" s="131"/>
      <c r="W998" s="131"/>
      <c r="X998" s="131"/>
      <c r="Y998" s="131"/>
      <c r="Z998" s="131"/>
    </row>
    <row r="999" spans="1:26" ht="15.75" customHeight="1">
      <c r="A999" s="210"/>
      <c r="B999" s="210"/>
      <c r="C999" s="210"/>
      <c r="D999" s="178"/>
      <c r="E999" s="569"/>
      <c r="F999" s="569"/>
      <c r="G999" s="569"/>
      <c r="H999" s="569"/>
      <c r="I999" s="569"/>
      <c r="J999" s="131"/>
      <c r="K999" s="131"/>
      <c r="L999" s="131"/>
      <c r="M999" s="131"/>
      <c r="N999" s="131"/>
      <c r="O999" s="131"/>
      <c r="P999" s="131"/>
      <c r="Q999" s="131"/>
      <c r="R999" s="131"/>
      <c r="S999" s="131"/>
      <c r="T999" s="131"/>
      <c r="U999" s="131"/>
      <c r="V999" s="131"/>
      <c r="W999" s="131"/>
      <c r="X999" s="131"/>
      <c r="Y999" s="131"/>
      <c r="Z999" s="131"/>
    </row>
    <row r="1000" spans="1:26" ht="15.75" customHeight="1">
      <c r="A1000" s="210"/>
      <c r="B1000" s="210"/>
      <c r="C1000" s="210"/>
      <c r="D1000" s="178"/>
      <c r="E1000" s="569"/>
      <c r="F1000" s="569"/>
      <c r="G1000" s="569"/>
      <c r="H1000" s="569"/>
      <c r="I1000" s="569"/>
      <c r="J1000" s="131"/>
      <c r="K1000" s="131"/>
      <c r="L1000" s="131"/>
      <c r="M1000" s="131"/>
      <c r="N1000" s="131"/>
      <c r="O1000" s="131"/>
      <c r="P1000" s="131"/>
      <c r="Q1000" s="131"/>
      <c r="R1000" s="131"/>
      <c r="S1000" s="131"/>
      <c r="T1000" s="131"/>
      <c r="U1000" s="131"/>
      <c r="V1000" s="131"/>
      <c r="W1000" s="131"/>
      <c r="X1000" s="131"/>
      <c r="Y1000" s="131"/>
      <c r="Z1000" s="131"/>
    </row>
  </sheetData>
  <mergeCells count="10">
    <mergeCell ref="D32:D33"/>
    <mergeCell ref="D34:D35"/>
    <mergeCell ref="F34:H35"/>
    <mergeCell ref="A1:I1"/>
    <mergeCell ref="A2:I2"/>
    <mergeCell ref="A3:I3"/>
    <mergeCell ref="A4:I4"/>
    <mergeCell ref="A5:D5"/>
    <mergeCell ref="D26:I28"/>
    <mergeCell ref="F32:H33"/>
  </mergeCells>
  <printOptions horizontalCentered="1"/>
  <pageMargins left="0.39370078740157483" right="0.39370078740157483" top="0.59055118110236227" bottom="0.59055118110236227" header="0" footer="0"/>
  <pageSetup orientation="landscape"/>
  <headerFooter>
    <oddFooter>&amp;REstado Analítico del Activo Página &amp;P de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pageSetUpPr fitToPage="1"/>
  </sheetPr>
  <dimension ref="A1:Z2224"/>
  <sheetViews>
    <sheetView showGridLines="0" workbookViewId="0">
      <pane ySplit="2" topLeftCell="A3" activePane="bottomLeft" state="frozen"/>
      <selection pane="bottomLeft" activeCell="B4" sqref="B4"/>
    </sheetView>
  </sheetViews>
  <sheetFormatPr baseColWidth="10" defaultColWidth="14.42578125" defaultRowHeight="15" customHeight="1"/>
  <cols>
    <col min="1" max="1" width="12.85546875" customWidth="1"/>
    <col min="2" max="2" width="87.42578125" customWidth="1"/>
    <col min="3" max="8" width="18" customWidth="1"/>
    <col min="9" max="26" width="10.7109375" customWidth="1"/>
  </cols>
  <sheetData>
    <row r="1" spans="1:26" ht="27.75" customHeight="1">
      <c r="A1" s="729" t="s">
        <v>514</v>
      </c>
      <c r="B1" s="731" t="s">
        <v>515</v>
      </c>
      <c r="C1" s="732" t="str">
        <f>"SALDO AL 31 DE
 DICIEMBRE DE "&amp;Validacion!F186</f>
        <v>SALDO AL 31 DE
 DICIEMBRE DE 2024</v>
      </c>
      <c r="D1" s="733"/>
      <c r="E1" s="734" t="s">
        <v>516</v>
      </c>
      <c r="F1" s="733"/>
      <c r="G1" s="732" t="str">
        <f>"SALDO FINAL DEL PERIODO A INFORMAR EJERCICIO "&amp;Validacion!F185</f>
        <v>SALDO FINAL DEL PERIODO A INFORMAR EJERCICIO 2025</v>
      </c>
      <c r="H1" s="733"/>
    </row>
    <row r="2" spans="1:26" ht="27.75" customHeight="1">
      <c r="A2" s="730"/>
      <c r="B2" s="730"/>
      <c r="C2" s="21" t="s">
        <v>517</v>
      </c>
      <c r="D2" s="21" t="s">
        <v>518</v>
      </c>
      <c r="E2" s="21" t="s">
        <v>517</v>
      </c>
      <c r="F2" s="21" t="s">
        <v>518</v>
      </c>
      <c r="G2" s="21" t="s">
        <v>517</v>
      </c>
      <c r="H2" s="21" t="s">
        <v>518</v>
      </c>
      <c r="I2" s="22"/>
      <c r="J2" s="22"/>
      <c r="K2" s="22"/>
      <c r="L2" s="22"/>
      <c r="M2" s="22"/>
      <c r="N2" s="22"/>
      <c r="O2" s="22"/>
      <c r="P2" s="22"/>
      <c r="Q2" s="22"/>
      <c r="R2" s="22"/>
      <c r="S2" s="22"/>
      <c r="T2" s="22"/>
      <c r="U2" s="22"/>
      <c r="V2" s="22"/>
      <c r="W2" s="22"/>
      <c r="X2" s="22"/>
      <c r="Y2" s="22"/>
      <c r="Z2" s="22"/>
    </row>
    <row r="3" spans="1:26" ht="30" customHeight="1">
      <c r="A3" s="23">
        <v>10000</v>
      </c>
      <c r="B3" s="24" t="s">
        <v>519</v>
      </c>
      <c r="C3" s="25">
        <f>C4+C43</f>
        <v>13636481384.42</v>
      </c>
      <c r="D3" s="25"/>
      <c r="E3" s="25">
        <f t="shared" ref="E3:G3" si="0">E4+E43</f>
        <v>39168552453.230003</v>
      </c>
      <c r="F3" s="25">
        <f t="shared" si="0"/>
        <v>35758992336.309998</v>
      </c>
      <c r="G3" s="26">
        <f t="shared" si="0"/>
        <v>17046041501.34</v>
      </c>
      <c r="H3" s="26"/>
      <c r="I3" s="27"/>
      <c r="J3" s="27"/>
      <c r="K3" s="27"/>
      <c r="L3" s="27"/>
      <c r="M3" s="27"/>
      <c r="N3" s="27"/>
      <c r="O3" s="27"/>
      <c r="P3" s="27"/>
      <c r="Q3" s="27"/>
      <c r="R3" s="27"/>
      <c r="S3" s="27"/>
      <c r="T3" s="27"/>
      <c r="U3" s="27"/>
      <c r="V3" s="27"/>
      <c r="W3" s="27"/>
      <c r="X3" s="27"/>
      <c r="Y3" s="27"/>
      <c r="Z3" s="27"/>
    </row>
    <row r="4" spans="1:26" ht="30" customHeight="1">
      <c r="A4" s="28">
        <v>11000</v>
      </c>
      <c r="B4" s="29" t="s">
        <v>520</v>
      </c>
      <c r="C4" s="30">
        <f>C5+C13+C21+C27+C33+C35+C38</f>
        <v>257917953.57999995</v>
      </c>
      <c r="D4" s="30"/>
      <c r="E4" s="30">
        <f t="shared" ref="E4:G4" si="1">E5+E13+E21+E27+E33+E35+E38</f>
        <v>36892921387.230003</v>
      </c>
      <c r="F4" s="30">
        <f t="shared" si="1"/>
        <v>34120587117.449997</v>
      </c>
      <c r="G4" s="31">
        <f t="shared" si="1"/>
        <v>3030252223.3600006</v>
      </c>
      <c r="H4" s="31"/>
      <c r="I4" s="27"/>
      <c r="J4" s="27"/>
      <c r="K4" s="27"/>
      <c r="L4" s="27"/>
      <c r="M4" s="27"/>
      <c r="N4" s="27"/>
      <c r="O4" s="27"/>
      <c r="P4" s="27"/>
      <c r="Q4" s="27"/>
      <c r="R4" s="27"/>
      <c r="S4" s="27"/>
      <c r="T4" s="27"/>
      <c r="U4" s="27"/>
      <c r="V4" s="27"/>
      <c r="W4" s="27"/>
      <c r="X4" s="27"/>
      <c r="Y4" s="27"/>
      <c r="Z4" s="27"/>
    </row>
    <row r="5" spans="1:26" ht="30" customHeight="1">
      <c r="A5" s="32">
        <v>11100</v>
      </c>
      <c r="B5" s="33" t="s">
        <v>521</v>
      </c>
      <c r="C5" s="34">
        <f>SUM(C6:C12)</f>
        <v>203522811.58999997</v>
      </c>
      <c r="D5" s="34"/>
      <c r="E5" s="34">
        <f t="shared" ref="E5:G5" si="2">SUM(E6:E12)</f>
        <v>27089570220.210003</v>
      </c>
      <c r="F5" s="34">
        <f t="shared" si="2"/>
        <v>24409196211.84</v>
      </c>
      <c r="G5" s="35">
        <f t="shared" si="2"/>
        <v>2883896819.9600005</v>
      </c>
      <c r="H5" s="35"/>
      <c r="I5" s="27"/>
      <c r="J5" s="27"/>
      <c r="K5" s="27"/>
      <c r="L5" s="27"/>
      <c r="M5" s="27"/>
      <c r="N5" s="27"/>
      <c r="O5" s="27"/>
      <c r="P5" s="27"/>
      <c r="Q5" s="27"/>
      <c r="R5" s="27"/>
      <c r="S5" s="27"/>
      <c r="T5" s="27"/>
      <c r="U5" s="27"/>
      <c r="V5" s="27"/>
      <c r="W5" s="27"/>
      <c r="X5" s="27"/>
      <c r="Y5" s="27"/>
      <c r="Z5" s="27"/>
    </row>
    <row r="6" spans="1:26" ht="30" customHeight="1">
      <c r="A6" s="36">
        <v>11110</v>
      </c>
      <c r="B6" s="37" t="s">
        <v>522</v>
      </c>
      <c r="C6" s="38">
        <v>557588.04</v>
      </c>
      <c r="D6" s="39"/>
      <c r="E6" s="38">
        <v>506318.58</v>
      </c>
      <c r="F6" s="38">
        <v>475480.3</v>
      </c>
      <c r="G6" s="40">
        <f t="shared" ref="G6:G12" si="3">ROUND(C6+E6-F6,2)</f>
        <v>588426.31999999995</v>
      </c>
      <c r="H6" s="40"/>
      <c r="I6" s="27"/>
      <c r="J6" s="27"/>
      <c r="K6" s="27"/>
      <c r="L6" s="27"/>
      <c r="M6" s="27"/>
      <c r="N6" s="27"/>
      <c r="O6" s="27"/>
      <c r="P6" s="27"/>
      <c r="Q6" s="27"/>
      <c r="R6" s="27"/>
      <c r="S6" s="27"/>
      <c r="T6" s="27"/>
      <c r="U6" s="27"/>
      <c r="V6" s="27"/>
      <c r="W6" s="27"/>
      <c r="X6" s="27"/>
      <c r="Y6" s="27"/>
      <c r="Z6" s="27"/>
    </row>
    <row r="7" spans="1:26" ht="30" customHeight="1">
      <c r="A7" s="36">
        <v>11120</v>
      </c>
      <c r="B7" s="37" t="s">
        <v>523</v>
      </c>
      <c r="C7" s="38">
        <v>190527200.34999999</v>
      </c>
      <c r="D7" s="39"/>
      <c r="E7" s="38">
        <v>26890180228.450001</v>
      </c>
      <c r="F7" s="38">
        <v>23903923316.880001</v>
      </c>
      <c r="G7" s="40">
        <f t="shared" si="3"/>
        <v>3176784111.9200001</v>
      </c>
      <c r="H7" s="40"/>
      <c r="I7" s="27"/>
      <c r="J7" s="27"/>
      <c r="K7" s="27"/>
      <c r="L7" s="27"/>
      <c r="M7" s="27"/>
      <c r="N7" s="27"/>
      <c r="O7" s="27"/>
      <c r="P7" s="27"/>
      <c r="Q7" s="27"/>
      <c r="R7" s="27"/>
      <c r="S7" s="27"/>
      <c r="T7" s="27"/>
      <c r="U7" s="27"/>
      <c r="V7" s="27"/>
      <c r="W7" s="27"/>
      <c r="X7" s="27"/>
      <c r="Y7" s="27"/>
      <c r="Z7" s="27"/>
    </row>
    <row r="8" spans="1:26" ht="30" customHeight="1">
      <c r="A8" s="36">
        <v>11130</v>
      </c>
      <c r="B8" s="37" t="s">
        <v>524</v>
      </c>
      <c r="C8" s="38"/>
      <c r="D8" s="39"/>
      <c r="E8" s="38"/>
      <c r="F8" s="38"/>
      <c r="G8" s="40">
        <f t="shared" si="3"/>
        <v>0</v>
      </c>
      <c r="H8" s="40"/>
      <c r="I8" s="27"/>
      <c r="J8" s="27"/>
      <c r="K8" s="27"/>
      <c r="L8" s="27"/>
      <c r="M8" s="27"/>
      <c r="N8" s="27"/>
      <c r="O8" s="27"/>
      <c r="P8" s="27"/>
      <c r="Q8" s="27"/>
      <c r="R8" s="27"/>
      <c r="S8" s="27"/>
      <c r="T8" s="27"/>
      <c r="U8" s="27"/>
      <c r="V8" s="27"/>
      <c r="W8" s="27"/>
      <c r="X8" s="27"/>
      <c r="Y8" s="27"/>
      <c r="Z8" s="27"/>
    </row>
    <row r="9" spans="1:26" ht="30" customHeight="1">
      <c r="A9" s="36">
        <v>11140</v>
      </c>
      <c r="B9" s="37" t="s">
        <v>525</v>
      </c>
      <c r="C9" s="38">
        <v>7996532.0999999996</v>
      </c>
      <c r="D9" s="39"/>
      <c r="E9" s="38">
        <v>112366228.31999999</v>
      </c>
      <c r="F9" s="38">
        <v>432605118.32999998</v>
      </c>
      <c r="G9" s="40">
        <f t="shared" si="3"/>
        <v>-312242357.91000003</v>
      </c>
      <c r="H9" s="40"/>
      <c r="I9" s="27"/>
      <c r="J9" s="27"/>
      <c r="K9" s="27"/>
      <c r="L9" s="27"/>
      <c r="M9" s="27"/>
      <c r="N9" s="27"/>
      <c r="O9" s="27"/>
      <c r="P9" s="27"/>
      <c r="Q9" s="27"/>
      <c r="R9" s="27"/>
      <c r="S9" s="27"/>
      <c r="T9" s="27"/>
      <c r="U9" s="27"/>
      <c r="V9" s="27"/>
      <c r="W9" s="27"/>
      <c r="X9" s="27"/>
      <c r="Y9" s="27"/>
      <c r="Z9" s="27"/>
    </row>
    <row r="10" spans="1:26" ht="30" customHeight="1">
      <c r="A10" s="36">
        <v>11150</v>
      </c>
      <c r="B10" s="37" t="s">
        <v>526</v>
      </c>
      <c r="C10" s="38">
        <v>137939.59</v>
      </c>
      <c r="D10" s="39"/>
      <c r="E10" s="38">
        <v>0</v>
      </c>
      <c r="F10" s="38">
        <v>17176077.190000001</v>
      </c>
      <c r="G10" s="40">
        <f t="shared" si="3"/>
        <v>-17038137.600000001</v>
      </c>
      <c r="H10" s="40"/>
      <c r="I10" s="27"/>
      <c r="J10" s="27"/>
      <c r="K10" s="27"/>
      <c r="L10" s="27"/>
      <c r="M10" s="27"/>
      <c r="N10" s="27"/>
      <c r="O10" s="27"/>
      <c r="P10" s="27"/>
      <c r="Q10" s="27"/>
      <c r="R10" s="27"/>
      <c r="S10" s="27"/>
      <c r="T10" s="27"/>
      <c r="U10" s="27"/>
      <c r="V10" s="27"/>
      <c r="W10" s="27"/>
      <c r="X10" s="27"/>
      <c r="Y10" s="27"/>
      <c r="Z10" s="27"/>
    </row>
    <row r="11" spans="1:26" ht="30" customHeight="1">
      <c r="A11" s="36">
        <v>11160</v>
      </c>
      <c r="B11" s="37" t="s">
        <v>527</v>
      </c>
      <c r="C11" s="38">
        <v>799113.45</v>
      </c>
      <c r="D11" s="39"/>
      <c r="E11" s="38">
        <v>0</v>
      </c>
      <c r="F11" s="38">
        <v>0</v>
      </c>
      <c r="G11" s="40">
        <f t="shared" si="3"/>
        <v>799113.45</v>
      </c>
      <c r="H11" s="40"/>
      <c r="I11" s="27"/>
      <c r="J11" s="27"/>
      <c r="K11" s="27"/>
      <c r="L11" s="27"/>
      <c r="M11" s="27"/>
      <c r="N11" s="27"/>
      <c r="O11" s="27"/>
      <c r="P11" s="27"/>
      <c r="Q11" s="27"/>
      <c r="R11" s="27"/>
      <c r="S11" s="27"/>
      <c r="T11" s="27"/>
      <c r="U11" s="27"/>
      <c r="V11" s="27"/>
      <c r="W11" s="27"/>
      <c r="X11" s="27"/>
      <c r="Y11" s="27"/>
      <c r="Z11" s="27"/>
    </row>
    <row r="12" spans="1:26" ht="30" customHeight="1">
      <c r="A12" s="36">
        <v>11190</v>
      </c>
      <c r="B12" s="37" t="s">
        <v>528</v>
      </c>
      <c r="C12" s="38">
        <v>3504438.06</v>
      </c>
      <c r="D12" s="39"/>
      <c r="E12" s="38">
        <v>86517444.859999999</v>
      </c>
      <c r="F12" s="38">
        <v>55016219.140000001</v>
      </c>
      <c r="G12" s="40">
        <f t="shared" si="3"/>
        <v>35005663.780000001</v>
      </c>
      <c r="H12" s="40"/>
      <c r="I12" s="27"/>
      <c r="J12" s="27"/>
      <c r="K12" s="27"/>
      <c r="L12" s="27"/>
      <c r="M12" s="27"/>
      <c r="N12" s="27"/>
      <c r="O12" s="27"/>
      <c r="P12" s="27"/>
      <c r="Q12" s="27"/>
      <c r="R12" s="27"/>
      <c r="S12" s="27"/>
      <c r="T12" s="27"/>
      <c r="U12" s="27"/>
      <c r="V12" s="27"/>
      <c r="W12" s="27"/>
      <c r="X12" s="27"/>
      <c r="Y12" s="27"/>
      <c r="Z12" s="27"/>
    </row>
    <row r="13" spans="1:26" ht="30" customHeight="1">
      <c r="A13" s="32">
        <v>11200</v>
      </c>
      <c r="B13" s="41" t="s">
        <v>529</v>
      </c>
      <c r="C13" s="34">
        <f>SUM(C14:C20)</f>
        <v>51253093.140000001</v>
      </c>
      <c r="D13" s="34"/>
      <c r="E13" s="34">
        <f t="shared" ref="E13:G13" si="4">SUM(E14:E20)</f>
        <v>9672098954.460001</v>
      </c>
      <c r="F13" s="34">
        <f t="shared" si="4"/>
        <v>9654542619.5799999</v>
      </c>
      <c r="G13" s="35">
        <f t="shared" si="4"/>
        <v>68809428.020000011</v>
      </c>
      <c r="H13" s="35"/>
      <c r="I13" s="27"/>
      <c r="J13" s="27"/>
      <c r="K13" s="27"/>
      <c r="L13" s="27"/>
      <c r="M13" s="27"/>
      <c r="N13" s="27"/>
      <c r="O13" s="27"/>
      <c r="P13" s="27"/>
      <c r="Q13" s="27"/>
      <c r="R13" s="27"/>
      <c r="S13" s="27"/>
      <c r="T13" s="27"/>
      <c r="U13" s="27"/>
      <c r="V13" s="27"/>
      <c r="W13" s="27"/>
      <c r="X13" s="27"/>
      <c r="Y13" s="27"/>
      <c r="Z13" s="27"/>
    </row>
    <row r="14" spans="1:26" ht="30" customHeight="1">
      <c r="A14" s="36">
        <v>11210</v>
      </c>
      <c r="B14" s="37" t="s">
        <v>530</v>
      </c>
      <c r="C14" s="38"/>
      <c r="D14" s="39"/>
      <c r="E14" s="38"/>
      <c r="F14" s="38"/>
      <c r="G14" s="40">
        <f t="shared" ref="G14:G20" si="5">ROUND(C14+E14-F14,2)</f>
        <v>0</v>
      </c>
      <c r="H14" s="40"/>
      <c r="I14" s="27"/>
      <c r="J14" s="27"/>
      <c r="K14" s="27"/>
      <c r="L14" s="27"/>
      <c r="M14" s="27"/>
      <c r="N14" s="27"/>
      <c r="O14" s="27"/>
      <c r="P14" s="27"/>
      <c r="Q14" s="27"/>
      <c r="R14" s="27"/>
      <c r="S14" s="27"/>
      <c r="T14" s="27"/>
      <c r="U14" s="27"/>
      <c r="V14" s="27"/>
      <c r="W14" s="27"/>
      <c r="X14" s="27"/>
      <c r="Y14" s="27"/>
      <c r="Z14" s="27"/>
    </row>
    <row r="15" spans="1:26" ht="30" customHeight="1">
      <c r="A15" s="36">
        <v>11220</v>
      </c>
      <c r="B15" s="37" t="s">
        <v>531</v>
      </c>
      <c r="C15" s="38">
        <v>33477622.41</v>
      </c>
      <c r="D15" s="39"/>
      <c r="E15" s="38">
        <v>5819619023.0500002</v>
      </c>
      <c r="F15" s="38">
        <v>5804049509.6400003</v>
      </c>
      <c r="G15" s="40">
        <f t="shared" si="5"/>
        <v>49047135.82</v>
      </c>
      <c r="H15" s="40"/>
      <c r="I15" s="27"/>
      <c r="J15" s="27"/>
      <c r="K15" s="27"/>
      <c r="L15" s="27"/>
      <c r="M15" s="27"/>
      <c r="N15" s="27"/>
      <c r="O15" s="27"/>
      <c r="P15" s="27"/>
      <c r="Q15" s="27"/>
      <c r="R15" s="27"/>
      <c r="S15" s="27"/>
      <c r="T15" s="27"/>
      <c r="U15" s="27"/>
      <c r="V15" s="27"/>
      <c r="W15" s="27"/>
      <c r="X15" s="27"/>
      <c r="Y15" s="27"/>
      <c r="Z15" s="27"/>
    </row>
    <row r="16" spans="1:26" ht="30" customHeight="1">
      <c r="A16" s="36" t="s">
        <v>532</v>
      </c>
      <c r="B16" s="37" t="s">
        <v>533</v>
      </c>
      <c r="C16" s="38">
        <v>11886013.84</v>
      </c>
      <c r="D16" s="39"/>
      <c r="E16" s="38">
        <v>13804945.84</v>
      </c>
      <c r="F16" s="38">
        <v>12515264.279999999</v>
      </c>
      <c r="G16" s="40">
        <f t="shared" si="5"/>
        <v>13175695.4</v>
      </c>
      <c r="H16" s="40"/>
      <c r="I16" s="27"/>
      <c r="J16" s="27"/>
      <c r="K16" s="27"/>
      <c r="L16" s="27"/>
      <c r="M16" s="27"/>
      <c r="N16" s="27"/>
      <c r="O16" s="27"/>
      <c r="P16" s="27"/>
      <c r="Q16" s="27"/>
      <c r="R16" s="27"/>
      <c r="S16" s="27"/>
      <c r="T16" s="27"/>
      <c r="U16" s="27"/>
      <c r="V16" s="27"/>
      <c r="W16" s="27"/>
      <c r="X16" s="27"/>
      <c r="Y16" s="27"/>
      <c r="Z16" s="27"/>
    </row>
    <row r="17" spans="1:26" ht="30" customHeight="1">
      <c r="A17" s="36" t="s">
        <v>534</v>
      </c>
      <c r="B17" s="37" t="s">
        <v>535</v>
      </c>
      <c r="C17" s="38">
        <v>5690917.96</v>
      </c>
      <c r="D17" s="39"/>
      <c r="E17" s="38">
        <v>3838674985.5700002</v>
      </c>
      <c r="F17" s="38">
        <v>3837977845.6599998</v>
      </c>
      <c r="G17" s="40">
        <f t="shared" si="5"/>
        <v>6388057.8700000001</v>
      </c>
      <c r="H17" s="40"/>
      <c r="I17" s="27"/>
      <c r="J17" s="27"/>
      <c r="K17" s="27"/>
      <c r="L17" s="27"/>
      <c r="M17" s="27"/>
      <c r="N17" s="27"/>
      <c r="O17" s="27"/>
      <c r="P17" s="27"/>
      <c r="Q17" s="27"/>
      <c r="R17" s="27"/>
      <c r="S17" s="27"/>
      <c r="T17" s="27"/>
      <c r="U17" s="27"/>
      <c r="V17" s="27"/>
      <c r="W17" s="27"/>
      <c r="X17" s="27"/>
      <c r="Y17" s="27"/>
      <c r="Z17" s="27"/>
    </row>
    <row r="18" spans="1:26" ht="30" customHeight="1">
      <c r="A18" s="36" t="s">
        <v>536</v>
      </c>
      <c r="B18" s="37" t="s">
        <v>537</v>
      </c>
      <c r="C18" s="38">
        <v>198538.93</v>
      </c>
      <c r="D18" s="39"/>
      <c r="E18" s="38"/>
      <c r="F18" s="38"/>
      <c r="G18" s="40">
        <f t="shared" si="5"/>
        <v>198538.93</v>
      </c>
      <c r="H18" s="40"/>
      <c r="I18" s="27"/>
      <c r="J18" s="27"/>
      <c r="K18" s="27"/>
      <c r="L18" s="27"/>
      <c r="M18" s="27"/>
      <c r="N18" s="27"/>
      <c r="O18" s="27"/>
      <c r="P18" s="27"/>
      <c r="Q18" s="27"/>
      <c r="R18" s="27"/>
      <c r="S18" s="27"/>
      <c r="T18" s="27"/>
      <c r="U18" s="27"/>
      <c r="V18" s="27"/>
      <c r="W18" s="27"/>
      <c r="X18" s="27"/>
      <c r="Y18" s="27"/>
      <c r="Z18" s="27"/>
    </row>
    <row r="19" spans="1:26" ht="30" customHeight="1">
      <c r="A19" s="36" t="s">
        <v>538</v>
      </c>
      <c r="B19" s="37" t="s">
        <v>539</v>
      </c>
      <c r="C19" s="38"/>
      <c r="D19" s="39"/>
      <c r="E19" s="38"/>
      <c r="F19" s="38"/>
      <c r="G19" s="40">
        <f t="shared" si="5"/>
        <v>0</v>
      </c>
      <c r="H19" s="40"/>
      <c r="I19" s="27"/>
      <c r="J19" s="27"/>
      <c r="K19" s="27"/>
      <c r="L19" s="27"/>
      <c r="M19" s="27"/>
      <c r="N19" s="27"/>
      <c r="O19" s="27"/>
      <c r="P19" s="27"/>
      <c r="Q19" s="27"/>
      <c r="R19" s="27"/>
      <c r="S19" s="27"/>
      <c r="T19" s="27"/>
      <c r="U19" s="27"/>
      <c r="V19" s="27"/>
      <c r="W19" s="27"/>
      <c r="X19" s="27"/>
      <c r="Y19" s="27"/>
      <c r="Z19" s="27"/>
    </row>
    <row r="20" spans="1:26" ht="30" customHeight="1">
      <c r="A20" s="36" t="s">
        <v>540</v>
      </c>
      <c r="B20" s="37" t="s">
        <v>541</v>
      </c>
      <c r="C20" s="38"/>
      <c r="D20" s="39"/>
      <c r="E20" s="38"/>
      <c r="F20" s="38"/>
      <c r="G20" s="40">
        <f t="shared" si="5"/>
        <v>0</v>
      </c>
      <c r="H20" s="40"/>
      <c r="I20" s="27"/>
      <c r="J20" s="27"/>
      <c r="K20" s="27"/>
      <c r="L20" s="27"/>
      <c r="M20" s="27"/>
      <c r="N20" s="27"/>
      <c r="O20" s="27"/>
      <c r="P20" s="27"/>
      <c r="Q20" s="27"/>
      <c r="R20" s="27"/>
      <c r="S20" s="27"/>
      <c r="T20" s="27"/>
      <c r="U20" s="27"/>
      <c r="V20" s="27"/>
      <c r="W20" s="27"/>
      <c r="X20" s="27"/>
      <c r="Y20" s="27"/>
      <c r="Z20" s="27"/>
    </row>
    <row r="21" spans="1:26" ht="30" customHeight="1">
      <c r="A21" s="32" t="s">
        <v>542</v>
      </c>
      <c r="B21" s="41" t="s">
        <v>543</v>
      </c>
      <c r="C21" s="34">
        <f>SUM(C22:C26)</f>
        <v>3142048.85</v>
      </c>
      <c r="D21" s="34"/>
      <c r="E21" s="34">
        <f t="shared" ref="E21:G21" si="6">SUM(E22:E26)</f>
        <v>131252212.56</v>
      </c>
      <c r="F21" s="34">
        <f t="shared" si="6"/>
        <v>56848286.030000001</v>
      </c>
      <c r="G21" s="35">
        <f t="shared" si="6"/>
        <v>77545975.379999995</v>
      </c>
      <c r="H21" s="35"/>
      <c r="I21" s="27"/>
      <c r="J21" s="27"/>
      <c r="K21" s="27"/>
      <c r="L21" s="27"/>
      <c r="M21" s="27"/>
      <c r="N21" s="27"/>
      <c r="O21" s="27"/>
      <c r="P21" s="27"/>
      <c r="Q21" s="27"/>
      <c r="R21" s="27"/>
      <c r="S21" s="27"/>
      <c r="T21" s="27"/>
      <c r="U21" s="27"/>
      <c r="V21" s="27"/>
      <c r="W21" s="27"/>
      <c r="X21" s="27"/>
      <c r="Y21" s="27"/>
      <c r="Z21" s="27"/>
    </row>
    <row r="22" spans="1:26" ht="30" customHeight="1">
      <c r="A22" s="36" t="s">
        <v>544</v>
      </c>
      <c r="B22" s="37" t="s">
        <v>545</v>
      </c>
      <c r="C22" s="38">
        <v>3142048.85</v>
      </c>
      <c r="D22" s="39"/>
      <c r="E22" s="38">
        <v>131252212.56</v>
      </c>
      <c r="F22" s="38">
        <v>56848286.030000001</v>
      </c>
      <c r="G22" s="40">
        <f t="shared" ref="G22:G26" si="7">ROUND(C22+E22-F22,2)</f>
        <v>77545975.379999995</v>
      </c>
      <c r="H22" s="40"/>
      <c r="I22" s="27"/>
      <c r="J22" s="27"/>
      <c r="K22" s="27"/>
      <c r="L22" s="27"/>
      <c r="M22" s="27"/>
      <c r="N22" s="27"/>
      <c r="O22" s="27"/>
      <c r="P22" s="27"/>
      <c r="Q22" s="27"/>
      <c r="R22" s="27"/>
      <c r="S22" s="27"/>
      <c r="T22" s="27"/>
      <c r="U22" s="27"/>
      <c r="V22" s="27"/>
      <c r="W22" s="27"/>
      <c r="X22" s="27"/>
      <c r="Y22" s="27"/>
      <c r="Z22" s="27"/>
    </row>
    <row r="23" spans="1:26" ht="30" customHeight="1">
      <c r="A23" s="36" t="s">
        <v>546</v>
      </c>
      <c r="B23" s="37" t="s">
        <v>547</v>
      </c>
      <c r="C23" s="38"/>
      <c r="D23" s="39"/>
      <c r="E23" s="38"/>
      <c r="F23" s="38"/>
      <c r="G23" s="40">
        <f t="shared" si="7"/>
        <v>0</v>
      </c>
      <c r="H23" s="40"/>
      <c r="I23" s="27"/>
      <c r="J23" s="27"/>
      <c r="K23" s="27"/>
      <c r="L23" s="27"/>
      <c r="M23" s="27"/>
      <c r="N23" s="27"/>
      <c r="O23" s="27"/>
      <c r="P23" s="27"/>
      <c r="Q23" s="27"/>
      <c r="R23" s="27"/>
      <c r="S23" s="27"/>
      <c r="T23" s="27"/>
      <c r="U23" s="27"/>
      <c r="V23" s="27"/>
      <c r="W23" s="27"/>
      <c r="X23" s="27"/>
      <c r="Y23" s="27"/>
      <c r="Z23" s="27"/>
    </row>
    <row r="24" spans="1:26" ht="30" customHeight="1">
      <c r="A24" s="36" t="s">
        <v>548</v>
      </c>
      <c r="B24" s="37" t="s">
        <v>549</v>
      </c>
      <c r="C24" s="38"/>
      <c r="D24" s="39"/>
      <c r="E24" s="38"/>
      <c r="F24" s="38"/>
      <c r="G24" s="40">
        <f t="shared" si="7"/>
        <v>0</v>
      </c>
      <c r="H24" s="40"/>
      <c r="I24" s="27"/>
      <c r="J24" s="27"/>
      <c r="K24" s="27"/>
      <c r="L24" s="27"/>
      <c r="M24" s="27"/>
      <c r="N24" s="27"/>
      <c r="O24" s="27"/>
      <c r="P24" s="27"/>
      <c r="Q24" s="27"/>
      <c r="R24" s="27"/>
      <c r="S24" s="27"/>
      <c r="T24" s="27"/>
      <c r="U24" s="27"/>
      <c r="V24" s="27"/>
      <c r="W24" s="27"/>
      <c r="X24" s="27"/>
      <c r="Y24" s="27"/>
      <c r="Z24" s="27"/>
    </row>
    <row r="25" spans="1:26" ht="30" customHeight="1">
      <c r="A25" s="36" t="s">
        <v>550</v>
      </c>
      <c r="B25" s="37" t="s">
        <v>551</v>
      </c>
      <c r="C25" s="38"/>
      <c r="D25" s="39"/>
      <c r="E25" s="38"/>
      <c r="F25" s="38"/>
      <c r="G25" s="40">
        <f t="shared" si="7"/>
        <v>0</v>
      </c>
      <c r="H25" s="40"/>
      <c r="I25" s="27"/>
      <c r="J25" s="27"/>
      <c r="K25" s="27"/>
      <c r="L25" s="27"/>
      <c r="M25" s="27"/>
      <c r="N25" s="27"/>
      <c r="O25" s="27"/>
      <c r="P25" s="27"/>
      <c r="Q25" s="27"/>
      <c r="R25" s="27"/>
      <c r="S25" s="27"/>
      <c r="T25" s="27"/>
      <c r="U25" s="27"/>
      <c r="V25" s="27"/>
      <c r="W25" s="27"/>
      <c r="X25" s="27"/>
      <c r="Y25" s="27"/>
      <c r="Z25" s="27"/>
    </row>
    <row r="26" spans="1:26" ht="30" customHeight="1">
      <c r="A26" s="36" t="s">
        <v>552</v>
      </c>
      <c r="B26" s="37" t="s">
        <v>553</v>
      </c>
      <c r="C26" s="38"/>
      <c r="D26" s="39"/>
      <c r="E26" s="38"/>
      <c r="F26" s="38"/>
      <c r="G26" s="40">
        <f t="shared" si="7"/>
        <v>0</v>
      </c>
      <c r="H26" s="40"/>
      <c r="I26" s="27"/>
      <c r="J26" s="27"/>
      <c r="K26" s="27"/>
      <c r="L26" s="27"/>
      <c r="M26" s="27"/>
      <c r="N26" s="27"/>
      <c r="O26" s="27"/>
      <c r="P26" s="27"/>
      <c r="Q26" s="27"/>
      <c r="R26" s="27"/>
      <c r="S26" s="27"/>
      <c r="T26" s="27"/>
      <c r="U26" s="27"/>
      <c r="V26" s="27"/>
      <c r="W26" s="27"/>
      <c r="X26" s="27"/>
      <c r="Y26" s="27"/>
      <c r="Z26" s="27"/>
    </row>
    <row r="27" spans="1:26" ht="30" customHeight="1">
      <c r="A27" s="32" t="s">
        <v>554</v>
      </c>
      <c r="B27" s="41" t="s">
        <v>555</v>
      </c>
      <c r="C27" s="34">
        <f>SUM(C28:C32)</f>
        <v>0</v>
      </c>
      <c r="D27" s="34"/>
      <c r="E27" s="34">
        <f t="shared" ref="E27:G27" si="8">SUM(E28:E32)</f>
        <v>0</v>
      </c>
      <c r="F27" s="34">
        <f t="shared" si="8"/>
        <v>0</v>
      </c>
      <c r="G27" s="34">
        <f t="shared" si="8"/>
        <v>0</v>
      </c>
      <c r="H27" s="35"/>
      <c r="I27" s="27"/>
      <c r="J27" s="27"/>
      <c r="K27" s="27"/>
      <c r="L27" s="27"/>
      <c r="M27" s="27"/>
      <c r="N27" s="27"/>
      <c r="O27" s="27"/>
      <c r="P27" s="27"/>
      <c r="Q27" s="27"/>
      <c r="R27" s="27"/>
      <c r="S27" s="27"/>
      <c r="T27" s="27"/>
      <c r="U27" s="27"/>
      <c r="V27" s="27"/>
      <c r="W27" s="27"/>
      <c r="X27" s="27"/>
      <c r="Y27" s="27"/>
      <c r="Z27" s="27"/>
    </row>
    <row r="28" spans="1:26" ht="30" customHeight="1">
      <c r="A28" s="36" t="s">
        <v>556</v>
      </c>
      <c r="B28" s="37" t="s">
        <v>557</v>
      </c>
      <c r="C28" s="42"/>
      <c r="D28" s="39"/>
      <c r="E28" s="39"/>
      <c r="F28" s="39"/>
      <c r="G28" s="40"/>
      <c r="H28" s="40"/>
      <c r="I28" s="27"/>
      <c r="J28" s="27"/>
      <c r="K28" s="27"/>
      <c r="L28" s="27"/>
      <c r="M28" s="27"/>
      <c r="N28" s="27"/>
      <c r="O28" s="27"/>
      <c r="P28" s="27"/>
      <c r="Q28" s="27"/>
      <c r="R28" s="27"/>
      <c r="S28" s="27"/>
      <c r="T28" s="27"/>
      <c r="U28" s="27"/>
      <c r="V28" s="27"/>
      <c r="W28" s="27"/>
      <c r="X28" s="27"/>
      <c r="Y28" s="27"/>
      <c r="Z28" s="27"/>
    </row>
    <row r="29" spans="1:26" ht="30" customHeight="1">
      <c r="A29" s="36" t="s">
        <v>558</v>
      </c>
      <c r="B29" s="37" t="s">
        <v>559</v>
      </c>
      <c r="C29" s="42"/>
      <c r="D29" s="39"/>
      <c r="E29" s="39"/>
      <c r="F29" s="39"/>
      <c r="G29" s="40"/>
      <c r="H29" s="40"/>
      <c r="I29" s="27"/>
      <c r="J29" s="27"/>
      <c r="K29" s="27"/>
      <c r="L29" s="27"/>
      <c r="M29" s="27"/>
      <c r="N29" s="27"/>
      <c r="O29" s="27"/>
      <c r="P29" s="27"/>
      <c r="Q29" s="27"/>
      <c r="R29" s="27"/>
      <c r="S29" s="27"/>
      <c r="T29" s="27"/>
      <c r="U29" s="27"/>
      <c r="V29" s="27"/>
      <c r="W29" s="27"/>
      <c r="X29" s="27"/>
      <c r="Y29" s="27"/>
      <c r="Z29" s="27"/>
    </row>
    <row r="30" spans="1:26" ht="30" customHeight="1">
      <c r="A30" s="36" t="s">
        <v>560</v>
      </c>
      <c r="B30" s="37" t="s">
        <v>561</v>
      </c>
      <c r="C30" s="42"/>
      <c r="D30" s="39"/>
      <c r="E30" s="39"/>
      <c r="F30" s="39"/>
      <c r="G30" s="40"/>
      <c r="H30" s="40"/>
      <c r="I30" s="27"/>
      <c r="J30" s="27"/>
      <c r="K30" s="27"/>
      <c r="L30" s="27"/>
      <c r="M30" s="27"/>
      <c r="N30" s="27"/>
      <c r="O30" s="27"/>
      <c r="P30" s="27"/>
      <c r="Q30" s="27"/>
      <c r="R30" s="27"/>
      <c r="S30" s="27"/>
      <c r="T30" s="27"/>
      <c r="U30" s="27"/>
      <c r="V30" s="27"/>
      <c r="W30" s="27"/>
      <c r="X30" s="27"/>
      <c r="Y30" s="27"/>
      <c r="Z30" s="27"/>
    </row>
    <row r="31" spans="1:26" ht="30" customHeight="1">
      <c r="A31" s="36" t="s">
        <v>562</v>
      </c>
      <c r="B31" s="37" t="s">
        <v>563</v>
      </c>
      <c r="C31" s="42"/>
      <c r="D31" s="39"/>
      <c r="E31" s="39"/>
      <c r="F31" s="39"/>
      <c r="G31" s="40"/>
      <c r="H31" s="40"/>
      <c r="I31" s="27"/>
      <c r="J31" s="27"/>
      <c r="K31" s="27"/>
      <c r="L31" s="27"/>
      <c r="M31" s="27"/>
      <c r="N31" s="27"/>
      <c r="O31" s="27"/>
      <c r="P31" s="27"/>
      <c r="Q31" s="27"/>
      <c r="R31" s="27"/>
      <c r="S31" s="27"/>
      <c r="T31" s="27"/>
      <c r="U31" s="27"/>
      <c r="V31" s="27"/>
      <c r="W31" s="27"/>
      <c r="X31" s="27"/>
      <c r="Y31" s="27"/>
      <c r="Z31" s="27"/>
    </row>
    <row r="32" spans="1:26" ht="30" customHeight="1">
      <c r="A32" s="36" t="s">
        <v>564</v>
      </c>
      <c r="B32" s="37" t="s">
        <v>565</v>
      </c>
      <c r="C32" s="42"/>
      <c r="D32" s="39"/>
      <c r="E32" s="39"/>
      <c r="F32" s="39"/>
      <c r="G32" s="40"/>
      <c r="H32" s="40"/>
      <c r="I32" s="27"/>
      <c r="J32" s="27"/>
      <c r="K32" s="27"/>
      <c r="L32" s="27"/>
      <c r="M32" s="27"/>
      <c r="N32" s="27"/>
      <c r="O32" s="27"/>
      <c r="P32" s="27"/>
      <c r="Q32" s="27"/>
      <c r="R32" s="27"/>
      <c r="S32" s="27"/>
      <c r="T32" s="27"/>
      <c r="U32" s="27"/>
      <c r="V32" s="27"/>
      <c r="W32" s="27"/>
      <c r="X32" s="27"/>
      <c r="Y32" s="27"/>
      <c r="Z32" s="27"/>
    </row>
    <row r="33" spans="1:26" ht="30" customHeight="1">
      <c r="A33" s="32" t="s">
        <v>566</v>
      </c>
      <c r="B33" s="43" t="s">
        <v>567</v>
      </c>
      <c r="C33" s="34">
        <f>SUM(C34)</f>
        <v>0</v>
      </c>
      <c r="D33" s="34"/>
      <c r="E33" s="34">
        <f t="shared" ref="E33:G33" si="9">SUM(E34)</f>
        <v>0</v>
      </c>
      <c r="F33" s="34">
        <f t="shared" si="9"/>
        <v>0</v>
      </c>
      <c r="G33" s="35">
        <f t="shared" si="9"/>
        <v>0</v>
      </c>
      <c r="H33" s="35"/>
      <c r="I33" s="27"/>
      <c r="J33" s="27"/>
      <c r="K33" s="27"/>
      <c r="L33" s="27"/>
      <c r="M33" s="27"/>
      <c r="N33" s="27"/>
      <c r="O33" s="27"/>
      <c r="P33" s="27"/>
      <c r="Q33" s="27"/>
      <c r="R33" s="27"/>
      <c r="S33" s="27"/>
      <c r="T33" s="27"/>
      <c r="U33" s="27"/>
      <c r="V33" s="27"/>
      <c r="W33" s="27"/>
      <c r="X33" s="27"/>
      <c r="Y33" s="27"/>
      <c r="Z33" s="27"/>
    </row>
    <row r="34" spans="1:26" ht="30" customHeight="1">
      <c r="A34" s="44" t="s">
        <v>568</v>
      </c>
      <c r="B34" s="37" t="s">
        <v>569</v>
      </c>
      <c r="C34" s="38"/>
      <c r="D34" s="39"/>
      <c r="E34" s="38"/>
      <c r="F34" s="38"/>
      <c r="G34" s="40">
        <f>ROUND(C34+E34-F34,2)</f>
        <v>0</v>
      </c>
      <c r="H34" s="40"/>
      <c r="I34" s="27"/>
      <c r="J34" s="27"/>
      <c r="K34" s="27"/>
      <c r="L34" s="27"/>
      <c r="M34" s="27"/>
      <c r="N34" s="27"/>
      <c r="O34" s="27"/>
      <c r="P34" s="27"/>
      <c r="Q34" s="27"/>
      <c r="R34" s="27"/>
      <c r="S34" s="27"/>
      <c r="T34" s="27"/>
      <c r="U34" s="27"/>
      <c r="V34" s="27"/>
      <c r="W34" s="27"/>
      <c r="X34" s="27"/>
      <c r="Y34" s="27"/>
      <c r="Z34" s="27"/>
    </row>
    <row r="35" spans="1:26" ht="30" customHeight="1">
      <c r="A35" s="32" t="s">
        <v>570</v>
      </c>
      <c r="B35" s="33" t="s">
        <v>571</v>
      </c>
      <c r="C35" s="34">
        <f>SUM(C36:C37)</f>
        <v>0</v>
      </c>
      <c r="D35" s="34"/>
      <c r="E35" s="34">
        <f t="shared" ref="E35:G35" si="10">SUM(E36:E37)</f>
        <v>0</v>
      </c>
      <c r="F35" s="34">
        <f t="shared" si="10"/>
        <v>0</v>
      </c>
      <c r="G35" s="35">
        <f t="shared" si="10"/>
        <v>0</v>
      </c>
      <c r="H35" s="35"/>
      <c r="I35" s="27"/>
      <c r="J35" s="27"/>
      <c r="K35" s="27"/>
      <c r="L35" s="27"/>
      <c r="M35" s="27"/>
      <c r="N35" s="27"/>
      <c r="O35" s="27"/>
      <c r="P35" s="27"/>
      <c r="Q35" s="27"/>
      <c r="R35" s="27"/>
      <c r="S35" s="27"/>
      <c r="T35" s="27"/>
      <c r="U35" s="27"/>
      <c r="V35" s="27"/>
      <c r="W35" s="27"/>
      <c r="X35" s="27"/>
      <c r="Y35" s="27"/>
      <c r="Z35" s="27"/>
    </row>
    <row r="36" spans="1:26" ht="30" customHeight="1">
      <c r="A36" s="36" t="s">
        <v>572</v>
      </c>
      <c r="B36" s="37" t="s">
        <v>573</v>
      </c>
      <c r="C36" s="38"/>
      <c r="D36" s="39"/>
      <c r="E36" s="38"/>
      <c r="F36" s="38"/>
      <c r="G36" s="40">
        <f t="shared" ref="G36:G37" si="11">ROUND(C36+E36-F36,2)</f>
        <v>0</v>
      </c>
      <c r="H36" s="40"/>
      <c r="I36" s="27"/>
      <c r="J36" s="27"/>
      <c r="K36" s="27"/>
      <c r="L36" s="27"/>
      <c r="M36" s="27"/>
      <c r="N36" s="27"/>
      <c r="O36" s="27"/>
      <c r="P36" s="27"/>
      <c r="Q36" s="27"/>
      <c r="R36" s="27"/>
      <c r="S36" s="27"/>
      <c r="T36" s="27"/>
      <c r="U36" s="27"/>
      <c r="V36" s="27"/>
      <c r="W36" s="27"/>
      <c r="X36" s="27"/>
      <c r="Y36" s="27"/>
      <c r="Z36" s="27"/>
    </row>
    <row r="37" spans="1:26" ht="30" customHeight="1">
      <c r="A37" s="36" t="s">
        <v>574</v>
      </c>
      <c r="B37" s="37" t="s">
        <v>575</v>
      </c>
      <c r="C37" s="38"/>
      <c r="D37" s="39"/>
      <c r="E37" s="38"/>
      <c r="F37" s="38"/>
      <c r="G37" s="40">
        <f t="shared" si="11"/>
        <v>0</v>
      </c>
      <c r="H37" s="40"/>
      <c r="I37" s="27"/>
      <c r="J37" s="27"/>
      <c r="K37" s="27"/>
      <c r="L37" s="27"/>
      <c r="M37" s="27"/>
      <c r="N37" s="27"/>
      <c r="O37" s="27"/>
      <c r="P37" s="27"/>
      <c r="Q37" s="27"/>
      <c r="R37" s="27"/>
      <c r="S37" s="27"/>
      <c r="T37" s="27"/>
      <c r="U37" s="27"/>
      <c r="V37" s="27"/>
      <c r="W37" s="27"/>
      <c r="X37" s="27"/>
      <c r="Y37" s="27"/>
      <c r="Z37" s="27"/>
    </row>
    <row r="38" spans="1:26" ht="30" customHeight="1">
      <c r="A38" s="32" t="s">
        <v>576</v>
      </c>
      <c r="B38" s="41" t="s">
        <v>577</v>
      </c>
      <c r="C38" s="34">
        <f>SUM(C39:C42)</f>
        <v>0</v>
      </c>
      <c r="D38" s="34"/>
      <c r="E38" s="34">
        <f t="shared" ref="E38:G38" si="12">SUM(E39:E42)</f>
        <v>0</v>
      </c>
      <c r="F38" s="34">
        <f t="shared" si="12"/>
        <v>0</v>
      </c>
      <c r="G38" s="35">
        <f t="shared" si="12"/>
        <v>0</v>
      </c>
      <c r="H38" s="35"/>
      <c r="I38" s="27"/>
      <c r="J38" s="27"/>
      <c r="K38" s="27"/>
      <c r="L38" s="27"/>
      <c r="M38" s="27"/>
      <c r="N38" s="27"/>
      <c r="O38" s="27"/>
      <c r="P38" s="27"/>
      <c r="Q38" s="27"/>
      <c r="R38" s="27"/>
      <c r="S38" s="27"/>
      <c r="T38" s="27"/>
      <c r="U38" s="27"/>
      <c r="V38" s="27"/>
      <c r="W38" s="27"/>
      <c r="X38" s="27"/>
      <c r="Y38" s="27"/>
      <c r="Z38" s="27"/>
    </row>
    <row r="39" spans="1:26" ht="30" customHeight="1">
      <c r="A39" s="36" t="s">
        <v>578</v>
      </c>
      <c r="B39" s="37" t="s">
        <v>579</v>
      </c>
      <c r="C39" s="38"/>
      <c r="D39" s="39"/>
      <c r="E39" s="38"/>
      <c r="F39" s="38"/>
      <c r="G39" s="40">
        <f t="shared" ref="G39:G42" si="13">ROUND(C39+E39-F39,2)</f>
        <v>0</v>
      </c>
      <c r="H39" s="40"/>
      <c r="I39" s="27"/>
      <c r="J39" s="27"/>
      <c r="K39" s="27"/>
      <c r="L39" s="27"/>
      <c r="M39" s="27"/>
      <c r="N39" s="27"/>
      <c r="O39" s="27"/>
      <c r="P39" s="27"/>
      <c r="Q39" s="27"/>
      <c r="R39" s="27"/>
      <c r="S39" s="27"/>
      <c r="T39" s="27"/>
      <c r="U39" s="27"/>
      <c r="V39" s="27"/>
      <c r="W39" s="27"/>
      <c r="X39" s="27"/>
      <c r="Y39" s="27"/>
      <c r="Z39" s="27"/>
    </row>
    <row r="40" spans="1:26" ht="30" customHeight="1">
      <c r="A40" s="36" t="s">
        <v>580</v>
      </c>
      <c r="B40" s="37" t="s">
        <v>581</v>
      </c>
      <c r="C40" s="38"/>
      <c r="D40" s="39"/>
      <c r="E40" s="38"/>
      <c r="F40" s="38"/>
      <c r="G40" s="40">
        <f t="shared" si="13"/>
        <v>0</v>
      </c>
      <c r="H40" s="40"/>
      <c r="I40" s="27"/>
      <c r="J40" s="27"/>
      <c r="K40" s="27"/>
      <c r="L40" s="27"/>
      <c r="M40" s="27"/>
      <c r="N40" s="27"/>
      <c r="O40" s="27"/>
      <c r="P40" s="27"/>
      <c r="Q40" s="27"/>
      <c r="R40" s="27"/>
      <c r="S40" s="27"/>
      <c r="T40" s="27"/>
      <c r="U40" s="27"/>
      <c r="V40" s="27"/>
      <c r="W40" s="27"/>
      <c r="X40" s="27"/>
      <c r="Y40" s="27"/>
      <c r="Z40" s="27"/>
    </row>
    <row r="41" spans="1:26" ht="30" customHeight="1">
      <c r="A41" s="36" t="s">
        <v>582</v>
      </c>
      <c r="B41" s="37" t="s">
        <v>583</v>
      </c>
      <c r="C41" s="38"/>
      <c r="D41" s="39"/>
      <c r="E41" s="38"/>
      <c r="F41" s="38"/>
      <c r="G41" s="40">
        <f t="shared" si="13"/>
        <v>0</v>
      </c>
      <c r="H41" s="40"/>
      <c r="I41" s="27"/>
      <c r="J41" s="27"/>
      <c r="K41" s="27"/>
      <c r="L41" s="27"/>
      <c r="M41" s="27"/>
      <c r="N41" s="27"/>
      <c r="O41" s="27"/>
      <c r="P41" s="27"/>
      <c r="Q41" s="27"/>
      <c r="R41" s="27"/>
      <c r="S41" s="27"/>
      <c r="T41" s="27"/>
      <c r="U41" s="27"/>
      <c r="V41" s="27"/>
      <c r="W41" s="27"/>
      <c r="X41" s="27"/>
      <c r="Y41" s="27"/>
      <c r="Z41" s="27"/>
    </row>
    <row r="42" spans="1:26" ht="30" customHeight="1">
      <c r="A42" s="36" t="s">
        <v>584</v>
      </c>
      <c r="B42" s="45" t="s">
        <v>585</v>
      </c>
      <c r="C42" s="38"/>
      <c r="D42" s="39"/>
      <c r="E42" s="38"/>
      <c r="F42" s="38"/>
      <c r="G42" s="40">
        <f t="shared" si="13"/>
        <v>0</v>
      </c>
      <c r="H42" s="40"/>
      <c r="I42" s="27"/>
      <c r="J42" s="27"/>
      <c r="K42" s="27"/>
      <c r="L42" s="27"/>
      <c r="M42" s="27"/>
      <c r="N42" s="27"/>
      <c r="O42" s="27"/>
      <c r="P42" s="27"/>
      <c r="Q42" s="27"/>
      <c r="R42" s="27"/>
      <c r="S42" s="27"/>
      <c r="T42" s="27"/>
      <c r="U42" s="27"/>
      <c r="V42" s="27"/>
      <c r="W42" s="27"/>
      <c r="X42" s="27"/>
      <c r="Y42" s="27"/>
      <c r="Z42" s="27"/>
    </row>
    <row r="43" spans="1:26" ht="30" customHeight="1">
      <c r="A43" s="28" t="s">
        <v>586</v>
      </c>
      <c r="B43" s="29" t="s">
        <v>587</v>
      </c>
      <c r="C43" s="30">
        <f>C44+C49+C55+C63+C72+C78+C84+C91+C97-D43</f>
        <v>13378563430.84</v>
      </c>
      <c r="D43" s="30">
        <f t="shared" ref="D43:F43" si="14">D44+D49+D55+D63+D72+D78+D84+D91+D97</f>
        <v>0</v>
      </c>
      <c r="E43" s="30">
        <f t="shared" si="14"/>
        <v>2275631066</v>
      </c>
      <c r="F43" s="30">
        <f t="shared" si="14"/>
        <v>1638405218.8599999</v>
      </c>
      <c r="G43" s="31">
        <f>G44+G49+G55+G63+G72+G78+G84+G91+G97-H43</f>
        <v>14015789277.98</v>
      </c>
      <c r="H43" s="31">
        <f>H44+H49+H55+H63+H72+H78+H84+H91+H97</f>
        <v>0</v>
      </c>
      <c r="I43" s="27"/>
      <c r="J43" s="27"/>
      <c r="K43" s="27"/>
      <c r="L43" s="27"/>
      <c r="M43" s="27"/>
      <c r="N43" s="27"/>
      <c r="O43" s="27"/>
      <c r="P43" s="27"/>
      <c r="Q43" s="27"/>
      <c r="R43" s="27"/>
      <c r="S43" s="27"/>
      <c r="T43" s="27"/>
      <c r="U43" s="27"/>
      <c r="V43" s="27"/>
      <c r="W43" s="27"/>
      <c r="X43" s="27"/>
      <c r="Y43" s="27"/>
      <c r="Z43" s="27"/>
    </row>
    <row r="44" spans="1:26" ht="30" customHeight="1">
      <c r="A44" s="32" t="s">
        <v>588</v>
      </c>
      <c r="B44" s="33" t="s">
        <v>589</v>
      </c>
      <c r="C44" s="34">
        <f>SUM(C45:C48)</f>
        <v>271372363.85000002</v>
      </c>
      <c r="D44" s="34"/>
      <c r="E44" s="34">
        <f t="shared" ref="E44:G44" si="15">SUM(E45:E48)</f>
        <v>1688371329.0899999</v>
      </c>
      <c r="F44" s="34">
        <f t="shared" si="15"/>
        <v>1638405218.8599999</v>
      </c>
      <c r="G44" s="35">
        <f t="shared" si="15"/>
        <v>321338474.07999998</v>
      </c>
      <c r="H44" s="35"/>
      <c r="I44" s="27"/>
      <c r="J44" s="27"/>
      <c r="K44" s="27"/>
      <c r="L44" s="27"/>
      <c r="M44" s="27"/>
      <c r="N44" s="27"/>
      <c r="O44" s="27"/>
      <c r="P44" s="27"/>
      <c r="Q44" s="27"/>
      <c r="R44" s="27"/>
      <c r="S44" s="27"/>
      <c r="T44" s="27"/>
      <c r="U44" s="27"/>
      <c r="V44" s="27"/>
      <c r="W44" s="27"/>
      <c r="X44" s="27"/>
      <c r="Y44" s="27"/>
      <c r="Z44" s="27"/>
    </row>
    <row r="45" spans="1:26" ht="30" customHeight="1">
      <c r="A45" s="36" t="s">
        <v>590</v>
      </c>
      <c r="B45" s="37" t="s">
        <v>591</v>
      </c>
      <c r="C45" s="38">
        <v>503608</v>
      </c>
      <c r="D45" s="39"/>
      <c r="E45" s="38"/>
      <c r="F45" s="38"/>
      <c r="G45" s="40">
        <f t="shared" ref="G45:G48" si="16">ROUND(C45+E45-F45,2)</f>
        <v>503608</v>
      </c>
      <c r="H45" s="40"/>
      <c r="I45" s="27"/>
      <c r="J45" s="27"/>
      <c r="K45" s="27"/>
      <c r="L45" s="27"/>
      <c r="M45" s="27"/>
      <c r="N45" s="27"/>
      <c r="O45" s="27"/>
      <c r="P45" s="27"/>
      <c r="Q45" s="27"/>
      <c r="R45" s="27"/>
      <c r="S45" s="27"/>
      <c r="T45" s="27"/>
      <c r="U45" s="27"/>
      <c r="V45" s="27"/>
      <c r="W45" s="27"/>
      <c r="X45" s="27"/>
      <c r="Y45" s="27"/>
      <c r="Z45" s="27"/>
    </row>
    <row r="46" spans="1:26" ht="30" customHeight="1">
      <c r="A46" s="36" t="s">
        <v>592</v>
      </c>
      <c r="B46" s="37" t="s">
        <v>593</v>
      </c>
      <c r="C46" s="38">
        <v>100</v>
      </c>
      <c r="D46" s="39"/>
      <c r="E46" s="38"/>
      <c r="F46" s="38"/>
      <c r="G46" s="40">
        <f t="shared" si="16"/>
        <v>100</v>
      </c>
      <c r="H46" s="40"/>
      <c r="I46" s="27"/>
      <c r="J46" s="27"/>
      <c r="K46" s="27"/>
      <c r="L46" s="27"/>
      <c r="M46" s="27"/>
      <c r="N46" s="27"/>
      <c r="O46" s="27"/>
      <c r="P46" s="27"/>
      <c r="Q46" s="27"/>
      <c r="R46" s="27"/>
      <c r="S46" s="27"/>
      <c r="T46" s="27"/>
      <c r="U46" s="27"/>
      <c r="V46" s="27"/>
      <c r="W46" s="27"/>
      <c r="X46" s="27"/>
      <c r="Y46" s="27"/>
      <c r="Z46" s="27"/>
    </row>
    <row r="47" spans="1:26" ht="30" customHeight="1">
      <c r="A47" s="36" t="s">
        <v>594</v>
      </c>
      <c r="B47" s="37" t="s">
        <v>595</v>
      </c>
      <c r="C47" s="38">
        <v>270868655.85000002</v>
      </c>
      <c r="D47" s="39"/>
      <c r="E47" s="38">
        <v>1688371329.0899999</v>
      </c>
      <c r="F47" s="38">
        <v>1638405218.8599999</v>
      </c>
      <c r="G47" s="40">
        <f t="shared" si="16"/>
        <v>320834766.07999998</v>
      </c>
      <c r="H47" s="40"/>
      <c r="I47" s="27"/>
      <c r="J47" s="27"/>
      <c r="K47" s="27"/>
      <c r="L47" s="27"/>
      <c r="M47" s="27"/>
      <c r="N47" s="27"/>
      <c r="O47" s="27"/>
      <c r="P47" s="27"/>
      <c r="Q47" s="27"/>
      <c r="R47" s="27"/>
      <c r="S47" s="27"/>
      <c r="T47" s="27"/>
      <c r="U47" s="27"/>
      <c r="V47" s="27"/>
      <c r="W47" s="27"/>
      <c r="X47" s="27"/>
      <c r="Y47" s="27"/>
      <c r="Z47" s="27"/>
    </row>
    <row r="48" spans="1:26" ht="30" customHeight="1">
      <c r="A48" s="36" t="s">
        <v>596</v>
      </c>
      <c r="B48" s="37" t="s">
        <v>597</v>
      </c>
      <c r="C48" s="38"/>
      <c r="D48" s="39"/>
      <c r="E48" s="38"/>
      <c r="F48" s="38"/>
      <c r="G48" s="40">
        <f t="shared" si="16"/>
        <v>0</v>
      </c>
      <c r="H48" s="40"/>
      <c r="I48" s="27"/>
      <c r="J48" s="27"/>
      <c r="K48" s="27"/>
      <c r="L48" s="27"/>
      <c r="M48" s="27"/>
      <c r="N48" s="27"/>
      <c r="O48" s="27"/>
      <c r="P48" s="27"/>
      <c r="Q48" s="27"/>
      <c r="R48" s="27"/>
      <c r="S48" s="27"/>
      <c r="T48" s="27"/>
      <c r="U48" s="27"/>
      <c r="V48" s="27"/>
      <c r="W48" s="27"/>
      <c r="X48" s="27"/>
      <c r="Y48" s="27"/>
      <c r="Z48" s="27"/>
    </row>
    <row r="49" spans="1:26" ht="30" customHeight="1">
      <c r="A49" s="32" t="s">
        <v>598</v>
      </c>
      <c r="B49" s="41" t="s">
        <v>599</v>
      </c>
      <c r="C49" s="34">
        <f>SUM(C50:C54)</f>
        <v>644018.16</v>
      </c>
      <c r="D49" s="34"/>
      <c r="E49" s="34">
        <f t="shared" ref="E49:G49" si="17">SUM(E50:E54)</f>
        <v>0</v>
      </c>
      <c r="F49" s="34">
        <f t="shared" si="17"/>
        <v>0</v>
      </c>
      <c r="G49" s="35">
        <f t="shared" si="17"/>
        <v>644018.16</v>
      </c>
      <c r="H49" s="35"/>
      <c r="I49" s="27"/>
      <c r="J49" s="27"/>
      <c r="K49" s="27"/>
      <c r="L49" s="27"/>
      <c r="M49" s="27"/>
      <c r="N49" s="27"/>
      <c r="O49" s="27"/>
      <c r="P49" s="27"/>
      <c r="Q49" s="27"/>
      <c r="R49" s="27"/>
      <c r="S49" s="27"/>
      <c r="T49" s="27"/>
      <c r="U49" s="27"/>
      <c r="V49" s="27"/>
      <c r="W49" s="27"/>
      <c r="X49" s="27"/>
      <c r="Y49" s="27"/>
      <c r="Z49" s="27"/>
    </row>
    <row r="50" spans="1:26" ht="30" customHeight="1">
      <c r="A50" s="36" t="s">
        <v>600</v>
      </c>
      <c r="B50" s="37" t="s">
        <v>601</v>
      </c>
      <c r="C50" s="38"/>
      <c r="D50" s="39"/>
      <c r="E50" s="38"/>
      <c r="F50" s="38"/>
      <c r="G50" s="40">
        <f t="shared" ref="G50:G54" si="18">ROUND(C50+E50-F50,2)</f>
        <v>0</v>
      </c>
      <c r="H50" s="40"/>
      <c r="I50" s="27"/>
      <c r="J50" s="27"/>
      <c r="K50" s="27"/>
      <c r="L50" s="27"/>
      <c r="M50" s="27"/>
      <c r="N50" s="27"/>
      <c r="O50" s="27"/>
      <c r="P50" s="27"/>
      <c r="Q50" s="27"/>
      <c r="R50" s="27"/>
      <c r="S50" s="27"/>
      <c r="T50" s="27"/>
      <c r="U50" s="27"/>
      <c r="V50" s="27"/>
      <c r="W50" s="27"/>
      <c r="X50" s="27"/>
      <c r="Y50" s="27"/>
      <c r="Z50" s="27"/>
    </row>
    <row r="51" spans="1:26" ht="30" customHeight="1">
      <c r="A51" s="36" t="s">
        <v>602</v>
      </c>
      <c r="B51" s="37" t="s">
        <v>603</v>
      </c>
      <c r="C51" s="38">
        <v>644018.16</v>
      </c>
      <c r="D51" s="39"/>
      <c r="E51" s="38"/>
      <c r="F51" s="38"/>
      <c r="G51" s="40">
        <f t="shared" si="18"/>
        <v>644018.16</v>
      </c>
      <c r="H51" s="40"/>
      <c r="I51" s="27"/>
      <c r="J51" s="27"/>
      <c r="K51" s="27"/>
      <c r="L51" s="27"/>
      <c r="M51" s="27"/>
      <c r="N51" s="27"/>
      <c r="O51" s="27"/>
      <c r="P51" s="27"/>
      <c r="Q51" s="27"/>
      <c r="R51" s="27"/>
      <c r="S51" s="27"/>
      <c r="T51" s="27"/>
      <c r="U51" s="27"/>
      <c r="V51" s="27"/>
      <c r="W51" s="27"/>
      <c r="X51" s="27"/>
      <c r="Y51" s="27"/>
      <c r="Z51" s="27"/>
    </row>
    <row r="52" spans="1:26" ht="30" customHeight="1">
      <c r="A52" s="36" t="s">
        <v>604</v>
      </c>
      <c r="B52" s="37" t="s">
        <v>605</v>
      </c>
      <c r="C52" s="38"/>
      <c r="D52" s="39"/>
      <c r="E52" s="38"/>
      <c r="F52" s="38"/>
      <c r="G52" s="40">
        <f t="shared" si="18"/>
        <v>0</v>
      </c>
      <c r="H52" s="40"/>
      <c r="I52" s="27"/>
      <c r="J52" s="27"/>
      <c r="K52" s="27"/>
      <c r="L52" s="27"/>
      <c r="M52" s="27"/>
      <c r="N52" s="27"/>
      <c r="O52" s="27"/>
      <c r="P52" s="27"/>
      <c r="Q52" s="27"/>
      <c r="R52" s="27"/>
      <c r="S52" s="27"/>
      <c r="T52" s="27"/>
      <c r="U52" s="27"/>
      <c r="V52" s="27"/>
      <c r="W52" s="27"/>
      <c r="X52" s="27"/>
      <c r="Y52" s="27"/>
      <c r="Z52" s="27"/>
    </row>
    <row r="53" spans="1:26" ht="30" customHeight="1">
      <c r="A53" s="36" t="s">
        <v>606</v>
      </c>
      <c r="B53" s="37" t="s">
        <v>607</v>
      </c>
      <c r="C53" s="38"/>
      <c r="D53" s="39"/>
      <c r="E53" s="38"/>
      <c r="F53" s="38"/>
      <c r="G53" s="40">
        <f t="shared" si="18"/>
        <v>0</v>
      </c>
      <c r="H53" s="40"/>
      <c r="I53" s="27"/>
      <c r="J53" s="27"/>
      <c r="K53" s="27"/>
      <c r="L53" s="27"/>
      <c r="M53" s="27"/>
      <c r="N53" s="27"/>
      <c r="O53" s="27"/>
      <c r="P53" s="27"/>
      <c r="Q53" s="27"/>
      <c r="R53" s="27"/>
      <c r="S53" s="27"/>
      <c r="T53" s="27"/>
      <c r="U53" s="27"/>
      <c r="V53" s="27"/>
      <c r="W53" s="27"/>
      <c r="X53" s="27"/>
      <c r="Y53" s="27"/>
      <c r="Z53" s="27"/>
    </row>
    <row r="54" spans="1:26" ht="30" customHeight="1">
      <c r="A54" s="36" t="s">
        <v>608</v>
      </c>
      <c r="B54" s="37" t="s">
        <v>609</v>
      </c>
      <c r="C54" s="38"/>
      <c r="D54" s="39"/>
      <c r="E54" s="38"/>
      <c r="F54" s="38"/>
      <c r="G54" s="40">
        <f t="shared" si="18"/>
        <v>0</v>
      </c>
      <c r="H54" s="40"/>
      <c r="I54" s="27"/>
      <c r="J54" s="27"/>
      <c r="K54" s="27"/>
      <c r="L54" s="27"/>
      <c r="M54" s="27"/>
      <c r="N54" s="27"/>
      <c r="O54" s="27"/>
      <c r="P54" s="27"/>
      <c r="Q54" s="27"/>
      <c r="R54" s="27"/>
      <c r="S54" s="27"/>
      <c r="T54" s="27"/>
      <c r="U54" s="27"/>
      <c r="V54" s="27"/>
      <c r="W54" s="27"/>
      <c r="X54" s="27"/>
      <c r="Y54" s="27"/>
      <c r="Z54" s="27"/>
    </row>
    <row r="55" spans="1:26" ht="30" customHeight="1">
      <c r="A55" s="32" t="s">
        <v>610</v>
      </c>
      <c r="B55" s="41" t="s">
        <v>611</v>
      </c>
      <c r="C55" s="34">
        <f>SUM(C56:C62)</f>
        <v>9910739499.8099995</v>
      </c>
      <c r="D55" s="34"/>
      <c r="E55" s="34">
        <f t="shared" ref="E55:G55" si="19">SUM(E56:E62)</f>
        <v>338209649.38999999</v>
      </c>
      <c r="F55" s="34">
        <f t="shared" si="19"/>
        <v>0</v>
      </c>
      <c r="G55" s="35">
        <f t="shared" si="19"/>
        <v>10248949149.199999</v>
      </c>
      <c r="H55" s="35"/>
      <c r="I55" s="27"/>
      <c r="J55" s="27"/>
      <c r="K55" s="27"/>
      <c r="L55" s="27"/>
      <c r="M55" s="27"/>
      <c r="N55" s="27"/>
      <c r="O55" s="27"/>
      <c r="P55" s="27"/>
      <c r="Q55" s="27"/>
      <c r="R55" s="27"/>
      <c r="S55" s="27"/>
      <c r="T55" s="27"/>
      <c r="U55" s="27"/>
      <c r="V55" s="27"/>
      <c r="W55" s="27"/>
      <c r="X55" s="27"/>
      <c r="Y55" s="27"/>
      <c r="Z55" s="27"/>
    </row>
    <row r="56" spans="1:26" ht="30" customHeight="1">
      <c r="A56" s="36" t="s">
        <v>612</v>
      </c>
      <c r="B56" s="37" t="s">
        <v>613</v>
      </c>
      <c r="C56" s="38">
        <v>389839742.57999998</v>
      </c>
      <c r="D56" s="39"/>
      <c r="E56" s="38"/>
      <c r="F56" s="38"/>
      <c r="G56" s="40">
        <f t="shared" ref="G56:G62" si="20">ROUND(C56+E56-F56,2)</f>
        <v>389839742.57999998</v>
      </c>
      <c r="H56" s="40"/>
      <c r="I56" s="27"/>
      <c r="J56" s="27"/>
      <c r="K56" s="27"/>
      <c r="L56" s="27"/>
      <c r="M56" s="27"/>
      <c r="N56" s="27"/>
      <c r="O56" s="27"/>
      <c r="P56" s="27"/>
      <c r="Q56" s="27"/>
      <c r="R56" s="27"/>
      <c r="S56" s="27"/>
      <c r="T56" s="27"/>
      <c r="U56" s="27"/>
      <c r="V56" s="27"/>
      <c r="W56" s="27"/>
      <c r="X56" s="27"/>
      <c r="Y56" s="27"/>
      <c r="Z56" s="27"/>
    </row>
    <row r="57" spans="1:26" ht="30" customHeight="1">
      <c r="A57" s="36" t="s">
        <v>614</v>
      </c>
      <c r="B57" s="37" t="s">
        <v>615</v>
      </c>
      <c r="C57" s="38"/>
      <c r="D57" s="39"/>
      <c r="E57" s="38"/>
      <c r="F57" s="38"/>
      <c r="G57" s="40">
        <f t="shared" si="20"/>
        <v>0</v>
      </c>
      <c r="H57" s="40"/>
      <c r="I57" s="27"/>
      <c r="J57" s="27"/>
      <c r="K57" s="27"/>
      <c r="L57" s="27"/>
      <c r="M57" s="27"/>
      <c r="N57" s="27"/>
      <c r="O57" s="27"/>
      <c r="P57" s="27"/>
      <c r="Q57" s="27"/>
      <c r="R57" s="27"/>
      <c r="S57" s="27"/>
      <c r="T57" s="27"/>
      <c r="U57" s="27"/>
      <c r="V57" s="27"/>
      <c r="W57" s="27"/>
      <c r="X57" s="27"/>
      <c r="Y57" s="27"/>
      <c r="Z57" s="27"/>
    </row>
    <row r="58" spans="1:26" ht="30" customHeight="1">
      <c r="A58" s="36" t="s">
        <v>616</v>
      </c>
      <c r="B58" s="37" t="s">
        <v>617</v>
      </c>
      <c r="C58" s="38">
        <v>1297424423.3499999</v>
      </c>
      <c r="D58" s="39"/>
      <c r="E58" s="38"/>
      <c r="F58" s="38"/>
      <c r="G58" s="40">
        <f t="shared" si="20"/>
        <v>1297424423.3499999</v>
      </c>
      <c r="H58" s="40"/>
      <c r="I58" s="27"/>
      <c r="J58" s="27"/>
      <c r="K58" s="27"/>
      <c r="L58" s="27"/>
      <c r="M58" s="27"/>
      <c r="N58" s="27"/>
      <c r="O58" s="27"/>
      <c r="P58" s="27"/>
      <c r="Q58" s="27"/>
      <c r="R58" s="27"/>
      <c r="S58" s="27"/>
      <c r="T58" s="27"/>
      <c r="U58" s="27"/>
      <c r="V58" s="27"/>
      <c r="W58" s="27"/>
      <c r="X58" s="27"/>
      <c r="Y58" s="27"/>
      <c r="Z58" s="27"/>
    </row>
    <row r="59" spans="1:26" ht="30" customHeight="1">
      <c r="A59" s="36" t="s">
        <v>618</v>
      </c>
      <c r="B59" s="37" t="s">
        <v>619</v>
      </c>
      <c r="C59" s="38">
        <v>3940485680.1799998</v>
      </c>
      <c r="D59" s="39"/>
      <c r="E59" s="38"/>
      <c r="F59" s="38"/>
      <c r="G59" s="40">
        <f t="shared" si="20"/>
        <v>3940485680.1799998</v>
      </c>
      <c r="H59" s="40"/>
      <c r="I59" s="27"/>
      <c r="J59" s="27"/>
      <c r="K59" s="27"/>
      <c r="L59" s="27"/>
      <c r="M59" s="27"/>
      <c r="N59" s="27"/>
      <c r="O59" s="27"/>
      <c r="P59" s="27"/>
      <c r="Q59" s="27"/>
      <c r="R59" s="27"/>
      <c r="S59" s="27"/>
      <c r="T59" s="27"/>
      <c r="U59" s="27"/>
      <c r="V59" s="27"/>
      <c r="W59" s="27"/>
      <c r="X59" s="27"/>
      <c r="Y59" s="27"/>
      <c r="Z59" s="27"/>
    </row>
    <row r="60" spans="1:26" ht="30" customHeight="1">
      <c r="A60" s="36" t="s">
        <v>620</v>
      </c>
      <c r="B60" s="37" t="s">
        <v>621</v>
      </c>
      <c r="C60" s="38">
        <v>4045106603.5100002</v>
      </c>
      <c r="D60" s="39"/>
      <c r="E60" s="38">
        <v>338209649.38999999</v>
      </c>
      <c r="F60" s="38"/>
      <c r="G60" s="40">
        <f t="shared" si="20"/>
        <v>4383316252.8999996</v>
      </c>
      <c r="H60" s="40"/>
      <c r="I60" s="27"/>
      <c r="J60" s="27"/>
      <c r="K60" s="27"/>
      <c r="L60" s="27"/>
      <c r="M60" s="27"/>
      <c r="N60" s="27"/>
      <c r="O60" s="27"/>
      <c r="P60" s="27"/>
      <c r="Q60" s="27"/>
      <c r="R60" s="27"/>
      <c r="S60" s="27"/>
      <c r="T60" s="27"/>
      <c r="U60" s="27"/>
      <c r="V60" s="27"/>
      <c r="W60" s="27"/>
      <c r="X60" s="27"/>
      <c r="Y60" s="27"/>
      <c r="Z60" s="27"/>
    </row>
    <row r="61" spans="1:26" ht="30" customHeight="1">
      <c r="A61" s="36" t="s">
        <v>622</v>
      </c>
      <c r="B61" s="37" t="s">
        <v>623</v>
      </c>
      <c r="C61" s="38">
        <v>237883050.19</v>
      </c>
      <c r="D61" s="39"/>
      <c r="E61" s="38"/>
      <c r="F61" s="38"/>
      <c r="G61" s="40">
        <f t="shared" si="20"/>
        <v>237883050.19</v>
      </c>
      <c r="H61" s="40"/>
      <c r="I61" s="27"/>
      <c r="J61" s="27"/>
      <c r="K61" s="27"/>
      <c r="L61" s="27"/>
      <c r="M61" s="27"/>
      <c r="N61" s="27"/>
      <c r="O61" s="27"/>
      <c r="P61" s="27"/>
      <c r="Q61" s="27"/>
      <c r="R61" s="27"/>
      <c r="S61" s="27"/>
      <c r="T61" s="27"/>
      <c r="U61" s="27"/>
      <c r="V61" s="27"/>
      <c r="W61" s="27"/>
      <c r="X61" s="27"/>
      <c r="Y61" s="27"/>
      <c r="Z61" s="27"/>
    </row>
    <row r="62" spans="1:26" ht="30" customHeight="1">
      <c r="A62" s="36" t="s">
        <v>624</v>
      </c>
      <c r="B62" s="37" t="s">
        <v>625</v>
      </c>
      <c r="C62" s="38"/>
      <c r="D62" s="39"/>
      <c r="E62" s="38"/>
      <c r="F62" s="38"/>
      <c r="G62" s="40">
        <f t="shared" si="20"/>
        <v>0</v>
      </c>
      <c r="H62" s="40"/>
      <c r="I62" s="27"/>
      <c r="J62" s="27"/>
      <c r="K62" s="27"/>
      <c r="L62" s="27"/>
      <c r="M62" s="27"/>
      <c r="N62" s="27"/>
      <c r="O62" s="27"/>
      <c r="P62" s="27"/>
      <c r="Q62" s="27"/>
      <c r="R62" s="27"/>
      <c r="S62" s="27"/>
      <c r="T62" s="27"/>
      <c r="U62" s="27"/>
      <c r="V62" s="27"/>
      <c r="W62" s="27"/>
      <c r="X62" s="27"/>
      <c r="Y62" s="27"/>
      <c r="Z62" s="27"/>
    </row>
    <row r="63" spans="1:26" ht="30" customHeight="1">
      <c r="A63" s="32" t="s">
        <v>626</v>
      </c>
      <c r="B63" s="41" t="s">
        <v>627</v>
      </c>
      <c r="C63" s="34">
        <f>SUM(C64:C71)</f>
        <v>2907121555.0099998</v>
      </c>
      <c r="D63" s="34"/>
      <c r="E63" s="34">
        <f t="shared" ref="E63:G63" si="21">SUM(E64:E71)</f>
        <v>233774735.35999998</v>
      </c>
      <c r="F63" s="34">
        <f t="shared" si="21"/>
        <v>0</v>
      </c>
      <c r="G63" s="35">
        <f t="shared" si="21"/>
        <v>3140896290.3700004</v>
      </c>
      <c r="H63" s="35"/>
      <c r="I63" s="27"/>
      <c r="J63" s="27"/>
      <c r="K63" s="27"/>
      <c r="L63" s="27"/>
      <c r="M63" s="27"/>
      <c r="N63" s="27"/>
      <c r="O63" s="27"/>
      <c r="P63" s="27"/>
      <c r="Q63" s="27"/>
      <c r="R63" s="27"/>
      <c r="S63" s="27"/>
      <c r="T63" s="27"/>
      <c r="U63" s="27"/>
      <c r="V63" s="27"/>
      <c r="W63" s="27"/>
      <c r="X63" s="27"/>
      <c r="Y63" s="27"/>
      <c r="Z63" s="27"/>
    </row>
    <row r="64" spans="1:26" ht="30" customHeight="1">
      <c r="A64" s="36" t="s">
        <v>628</v>
      </c>
      <c r="B64" s="37" t="s">
        <v>629</v>
      </c>
      <c r="C64" s="38">
        <v>510491990.06</v>
      </c>
      <c r="D64" s="39"/>
      <c r="E64" s="38">
        <v>4688702.2300000004</v>
      </c>
      <c r="F64" s="38"/>
      <c r="G64" s="40">
        <f t="shared" ref="G64:G71" si="22">ROUND(C64+E64-F64,2)</f>
        <v>515180692.29000002</v>
      </c>
      <c r="H64" s="40"/>
      <c r="I64" s="27"/>
      <c r="J64" s="27"/>
      <c r="K64" s="27"/>
      <c r="L64" s="27"/>
      <c r="M64" s="27"/>
      <c r="N64" s="27"/>
      <c r="O64" s="27"/>
      <c r="P64" s="27"/>
      <c r="Q64" s="27"/>
      <c r="R64" s="27"/>
      <c r="S64" s="27"/>
      <c r="T64" s="27"/>
      <c r="U64" s="27"/>
      <c r="V64" s="27"/>
      <c r="W64" s="27"/>
      <c r="X64" s="27"/>
      <c r="Y64" s="27"/>
      <c r="Z64" s="27"/>
    </row>
    <row r="65" spans="1:26" ht="30" customHeight="1">
      <c r="A65" s="36" t="s">
        <v>630</v>
      </c>
      <c r="B65" s="37" t="s">
        <v>631</v>
      </c>
      <c r="C65" s="38">
        <v>132526798.09999999</v>
      </c>
      <c r="D65" s="39"/>
      <c r="E65" s="38">
        <v>0</v>
      </c>
      <c r="F65" s="38"/>
      <c r="G65" s="40">
        <f t="shared" si="22"/>
        <v>132526798.09999999</v>
      </c>
      <c r="H65" s="40"/>
      <c r="I65" s="27"/>
      <c r="J65" s="27"/>
      <c r="K65" s="27"/>
      <c r="L65" s="27"/>
      <c r="M65" s="27"/>
      <c r="N65" s="27"/>
      <c r="O65" s="27"/>
      <c r="P65" s="27"/>
      <c r="Q65" s="27"/>
      <c r="R65" s="27"/>
      <c r="S65" s="27"/>
      <c r="T65" s="27"/>
      <c r="U65" s="27"/>
      <c r="V65" s="27"/>
      <c r="W65" s="27"/>
      <c r="X65" s="27"/>
      <c r="Y65" s="27"/>
      <c r="Z65" s="27"/>
    </row>
    <row r="66" spans="1:26" ht="30" customHeight="1">
      <c r="A66" s="36" t="s">
        <v>632</v>
      </c>
      <c r="B66" s="37" t="s">
        <v>633</v>
      </c>
      <c r="C66" s="38">
        <v>86516440.469999999</v>
      </c>
      <c r="D66" s="39"/>
      <c r="E66" s="38">
        <v>11119270.27</v>
      </c>
      <c r="F66" s="38"/>
      <c r="G66" s="40">
        <f t="shared" si="22"/>
        <v>97635710.739999995</v>
      </c>
      <c r="H66" s="40"/>
      <c r="I66" s="27"/>
      <c r="J66" s="27"/>
      <c r="K66" s="27"/>
      <c r="L66" s="27"/>
      <c r="M66" s="27"/>
      <c r="N66" s="27"/>
      <c r="O66" s="27"/>
      <c r="P66" s="27"/>
      <c r="Q66" s="27"/>
      <c r="R66" s="27"/>
      <c r="S66" s="27"/>
      <c r="T66" s="27"/>
      <c r="U66" s="27"/>
      <c r="V66" s="27"/>
      <c r="W66" s="27"/>
      <c r="X66" s="27"/>
      <c r="Y66" s="27"/>
      <c r="Z66" s="27"/>
    </row>
    <row r="67" spans="1:26" ht="30" customHeight="1">
      <c r="A67" s="36" t="s">
        <v>634</v>
      </c>
      <c r="B67" s="45" t="s">
        <v>635</v>
      </c>
      <c r="C67" s="38">
        <v>1457448042.6099999</v>
      </c>
      <c r="D67" s="39"/>
      <c r="E67" s="38">
        <v>187354694.00999999</v>
      </c>
      <c r="F67" s="38"/>
      <c r="G67" s="40">
        <f t="shared" si="22"/>
        <v>1644802736.6199999</v>
      </c>
      <c r="H67" s="40"/>
      <c r="I67" s="27"/>
      <c r="J67" s="27"/>
      <c r="K67" s="27"/>
      <c r="L67" s="27"/>
      <c r="M67" s="27"/>
      <c r="N67" s="27"/>
      <c r="O67" s="27"/>
      <c r="P67" s="27"/>
      <c r="Q67" s="27"/>
      <c r="R67" s="27"/>
      <c r="S67" s="27"/>
      <c r="T67" s="27"/>
      <c r="U67" s="27"/>
      <c r="V67" s="27"/>
      <c r="W67" s="27"/>
      <c r="X67" s="27"/>
      <c r="Y67" s="27"/>
      <c r="Z67" s="27"/>
    </row>
    <row r="68" spans="1:26" ht="30" customHeight="1">
      <c r="A68" s="36" t="s">
        <v>636</v>
      </c>
      <c r="B68" s="37" t="s">
        <v>637</v>
      </c>
      <c r="C68" s="38">
        <v>161743844.66999999</v>
      </c>
      <c r="D68" s="39"/>
      <c r="E68" s="38">
        <v>10507501.130000001</v>
      </c>
      <c r="F68" s="38"/>
      <c r="G68" s="40">
        <f t="shared" si="22"/>
        <v>172251345.80000001</v>
      </c>
      <c r="H68" s="40"/>
      <c r="I68" s="27"/>
      <c r="J68" s="27"/>
      <c r="K68" s="27"/>
      <c r="L68" s="27"/>
      <c r="M68" s="27"/>
      <c r="N68" s="27"/>
      <c r="O68" s="27"/>
      <c r="P68" s="27"/>
      <c r="Q68" s="27"/>
      <c r="R68" s="27"/>
      <c r="S68" s="27"/>
      <c r="T68" s="27"/>
      <c r="U68" s="27"/>
      <c r="V68" s="27"/>
      <c r="W68" s="27"/>
      <c r="X68" s="27"/>
      <c r="Y68" s="27"/>
      <c r="Z68" s="27"/>
    </row>
    <row r="69" spans="1:26" ht="30" customHeight="1">
      <c r="A69" s="36" t="s">
        <v>638</v>
      </c>
      <c r="B69" s="37" t="s">
        <v>639</v>
      </c>
      <c r="C69" s="38">
        <v>527875954.37</v>
      </c>
      <c r="D69" s="39"/>
      <c r="E69" s="38">
        <v>20104567.719999999</v>
      </c>
      <c r="F69" s="38"/>
      <c r="G69" s="40">
        <f t="shared" si="22"/>
        <v>547980522.09000003</v>
      </c>
      <c r="H69" s="40"/>
      <c r="I69" s="27"/>
      <c r="J69" s="27"/>
      <c r="K69" s="27"/>
      <c r="L69" s="27"/>
      <c r="M69" s="27"/>
      <c r="N69" s="27"/>
      <c r="O69" s="27"/>
      <c r="P69" s="27"/>
      <c r="Q69" s="27"/>
      <c r="R69" s="27"/>
      <c r="S69" s="27"/>
      <c r="T69" s="27"/>
      <c r="U69" s="27"/>
      <c r="V69" s="27"/>
      <c r="W69" s="27"/>
      <c r="X69" s="27"/>
      <c r="Y69" s="27"/>
      <c r="Z69" s="27"/>
    </row>
    <row r="70" spans="1:26" ht="30" customHeight="1">
      <c r="A70" s="36" t="s">
        <v>640</v>
      </c>
      <c r="B70" s="37" t="s">
        <v>641</v>
      </c>
      <c r="C70" s="38">
        <v>29273238.23</v>
      </c>
      <c r="D70" s="39"/>
      <c r="E70" s="38"/>
      <c r="F70" s="38"/>
      <c r="G70" s="40">
        <f t="shared" si="22"/>
        <v>29273238.23</v>
      </c>
      <c r="H70" s="40"/>
      <c r="I70" s="27"/>
      <c r="J70" s="27"/>
      <c r="K70" s="27"/>
      <c r="L70" s="27"/>
      <c r="M70" s="27"/>
      <c r="N70" s="27"/>
      <c r="O70" s="27"/>
      <c r="P70" s="27"/>
      <c r="Q70" s="27"/>
      <c r="R70" s="27"/>
      <c r="S70" s="27"/>
      <c r="T70" s="27"/>
      <c r="U70" s="27"/>
      <c r="V70" s="27"/>
      <c r="W70" s="27"/>
      <c r="X70" s="27"/>
      <c r="Y70" s="27"/>
      <c r="Z70" s="27"/>
    </row>
    <row r="71" spans="1:26" ht="30" customHeight="1">
      <c r="A71" s="36" t="s">
        <v>642</v>
      </c>
      <c r="B71" s="37" t="s">
        <v>643</v>
      </c>
      <c r="C71" s="38">
        <v>1245246.5</v>
      </c>
      <c r="D71" s="39"/>
      <c r="E71" s="38"/>
      <c r="F71" s="38"/>
      <c r="G71" s="40">
        <f t="shared" si="22"/>
        <v>1245246.5</v>
      </c>
      <c r="H71" s="40"/>
      <c r="I71" s="27"/>
      <c r="J71" s="27"/>
      <c r="K71" s="27"/>
      <c r="L71" s="27"/>
      <c r="M71" s="27"/>
      <c r="N71" s="27"/>
      <c r="O71" s="27"/>
      <c r="P71" s="27"/>
      <c r="Q71" s="27"/>
      <c r="R71" s="27"/>
      <c r="S71" s="27"/>
      <c r="T71" s="27"/>
      <c r="U71" s="27"/>
      <c r="V71" s="27"/>
      <c r="W71" s="27"/>
      <c r="X71" s="27"/>
      <c r="Y71" s="27"/>
      <c r="Z71" s="27"/>
    </row>
    <row r="72" spans="1:26" ht="30" customHeight="1">
      <c r="A72" s="32" t="s">
        <v>644</v>
      </c>
      <c r="B72" s="41" t="s">
        <v>645</v>
      </c>
      <c r="C72" s="34">
        <f>SUM(C73:C77)</f>
        <v>212020646.59</v>
      </c>
      <c r="D72" s="34"/>
      <c r="E72" s="34">
        <f t="shared" ref="E72:G72" si="23">SUM(E73:E77)</f>
        <v>15275352.16</v>
      </c>
      <c r="F72" s="34">
        <f t="shared" si="23"/>
        <v>0</v>
      </c>
      <c r="G72" s="35">
        <f t="shared" si="23"/>
        <v>227295998.75000003</v>
      </c>
      <c r="H72" s="35"/>
      <c r="I72" s="27"/>
      <c r="J72" s="27"/>
      <c r="K72" s="27"/>
      <c r="L72" s="27"/>
      <c r="M72" s="27"/>
      <c r="N72" s="27"/>
      <c r="O72" s="27"/>
      <c r="P72" s="27"/>
      <c r="Q72" s="27"/>
      <c r="R72" s="27"/>
      <c r="S72" s="27"/>
      <c r="T72" s="27"/>
      <c r="U72" s="27"/>
      <c r="V72" s="27"/>
      <c r="W72" s="27"/>
      <c r="X72" s="27"/>
      <c r="Y72" s="27"/>
      <c r="Z72" s="27"/>
    </row>
    <row r="73" spans="1:26" ht="30" customHeight="1">
      <c r="A73" s="36" t="s">
        <v>646</v>
      </c>
      <c r="B73" s="37" t="s">
        <v>647</v>
      </c>
      <c r="C73" s="38">
        <v>75888804.909999996</v>
      </c>
      <c r="D73" s="39"/>
      <c r="E73" s="38"/>
      <c r="F73" s="38"/>
      <c r="G73" s="40">
        <f t="shared" ref="G73:G77" si="24">ROUND(C73+E73-F73,2)</f>
        <v>75888804.909999996</v>
      </c>
      <c r="H73" s="40"/>
      <c r="I73" s="27"/>
      <c r="J73" s="27"/>
      <c r="K73" s="27"/>
      <c r="L73" s="27"/>
      <c r="M73" s="27"/>
      <c r="N73" s="27"/>
      <c r="O73" s="27"/>
      <c r="P73" s="27"/>
      <c r="Q73" s="27"/>
      <c r="R73" s="27"/>
      <c r="S73" s="27"/>
      <c r="T73" s="27"/>
      <c r="U73" s="27"/>
      <c r="V73" s="27"/>
      <c r="W73" s="27"/>
      <c r="X73" s="27"/>
      <c r="Y73" s="27"/>
      <c r="Z73" s="27"/>
    </row>
    <row r="74" spans="1:26" ht="30" customHeight="1">
      <c r="A74" s="36" t="s">
        <v>648</v>
      </c>
      <c r="B74" s="37" t="s">
        <v>649</v>
      </c>
      <c r="C74" s="38">
        <v>15256513.119999999</v>
      </c>
      <c r="D74" s="39"/>
      <c r="E74" s="38"/>
      <c r="F74" s="38"/>
      <c r="G74" s="40">
        <f t="shared" si="24"/>
        <v>15256513.119999999</v>
      </c>
      <c r="H74" s="40"/>
      <c r="I74" s="27"/>
      <c r="J74" s="27"/>
      <c r="K74" s="27"/>
      <c r="L74" s="27"/>
      <c r="M74" s="27"/>
      <c r="N74" s="27"/>
      <c r="O74" s="27"/>
      <c r="P74" s="27"/>
      <c r="Q74" s="27"/>
      <c r="R74" s="27"/>
      <c r="S74" s="27"/>
      <c r="T74" s="27"/>
      <c r="U74" s="27"/>
      <c r="V74" s="27"/>
      <c r="W74" s="27"/>
      <c r="X74" s="27"/>
      <c r="Y74" s="27"/>
      <c r="Z74" s="27"/>
    </row>
    <row r="75" spans="1:26" ht="30" customHeight="1">
      <c r="A75" s="36" t="s">
        <v>650</v>
      </c>
      <c r="B75" s="37" t="s">
        <v>651</v>
      </c>
      <c r="C75" s="38">
        <v>107152372.79000001</v>
      </c>
      <c r="D75" s="39"/>
      <c r="E75" s="38">
        <v>15275352.16</v>
      </c>
      <c r="F75" s="38"/>
      <c r="G75" s="40">
        <f t="shared" si="24"/>
        <v>122427724.95</v>
      </c>
      <c r="H75" s="40"/>
      <c r="I75" s="27"/>
      <c r="J75" s="27"/>
      <c r="K75" s="27"/>
      <c r="L75" s="27"/>
      <c r="M75" s="27"/>
      <c r="N75" s="27"/>
      <c r="O75" s="27"/>
      <c r="P75" s="27"/>
      <c r="Q75" s="27"/>
      <c r="R75" s="27"/>
      <c r="S75" s="27"/>
      <c r="T75" s="27"/>
      <c r="U75" s="27"/>
      <c r="V75" s="27"/>
      <c r="W75" s="27"/>
      <c r="X75" s="27"/>
      <c r="Y75" s="27"/>
      <c r="Z75" s="27"/>
    </row>
    <row r="76" spans="1:26" ht="30" customHeight="1">
      <c r="A76" s="36" t="s">
        <v>652</v>
      </c>
      <c r="B76" s="37" t="s">
        <v>653</v>
      </c>
      <c r="C76" s="38">
        <v>5291245.37</v>
      </c>
      <c r="D76" s="39"/>
      <c r="E76" s="38"/>
      <c r="F76" s="38"/>
      <c r="G76" s="40">
        <f t="shared" si="24"/>
        <v>5291245.37</v>
      </c>
      <c r="H76" s="40"/>
      <c r="I76" s="27"/>
      <c r="J76" s="27"/>
      <c r="K76" s="27"/>
      <c r="L76" s="27"/>
      <c r="M76" s="27"/>
      <c r="N76" s="27"/>
      <c r="O76" s="27"/>
      <c r="P76" s="27"/>
      <c r="Q76" s="27"/>
      <c r="R76" s="27"/>
      <c r="S76" s="27"/>
      <c r="T76" s="27"/>
      <c r="U76" s="27"/>
      <c r="V76" s="27"/>
      <c r="W76" s="27"/>
      <c r="X76" s="27"/>
      <c r="Y76" s="27"/>
      <c r="Z76" s="27"/>
    </row>
    <row r="77" spans="1:26" ht="30" customHeight="1">
      <c r="A77" s="36" t="s">
        <v>654</v>
      </c>
      <c r="B77" s="37" t="s">
        <v>655</v>
      </c>
      <c r="C77" s="38">
        <v>8431710.4000000004</v>
      </c>
      <c r="D77" s="39"/>
      <c r="E77" s="38"/>
      <c r="F77" s="38"/>
      <c r="G77" s="40">
        <f t="shared" si="24"/>
        <v>8431710.4000000004</v>
      </c>
      <c r="H77" s="40"/>
      <c r="I77" s="27"/>
      <c r="J77" s="27"/>
      <c r="K77" s="27"/>
      <c r="L77" s="27"/>
      <c r="M77" s="27"/>
      <c r="N77" s="27"/>
      <c r="O77" s="27"/>
      <c r="P77" s="27"/>
      <c r="Q77" s="27"/>
      <c r="R77" s="27"/>
      <c r="S77" s="27"/>
      <c r="T77" s="27"/>
      <c r="U77" s="27"/>
      <c r="V77" s="27"/>
      <c r="W77" s="27"/>
      <c r="X77" s="27"/>
      <c r="Y77" s="27"/>
      <c r="Z77" s="27"/>
    </row>
    <row r="78" spans="1:26" ht="30" customHeight="1">
      <c r="A78" s="32" t="s">
        <v>656</v>
      </c>
      <c r="B78" s="41" t="s">
        <v>657</v>
      </c>
      <c r="C78" s="34"/>
      <c r="D78" s="34">
        <f t="shared" ref="D78:F78" si="25">SUM(D79:D83)</f>
        <v>0</v>
      </c>
      <c r="E78" s="34">
        <f t="shared" si="25"/>
        <v>0</v>
      </c>
      <c r="F78" s="34">
        <f t="shared" si="25"/>
        <v>0</v>
      </c>
      <c r="G78" s="35"/>
      <c r="H78" s="35">
        <f>D78+F78-E78</f>
        <v>0</v>
      </c>
      <c r="I78" s="27"/>
      <c r="J78" s="27"/>
      <c r="K78" s="27"/>
      <c r="L78" s="27"/>
      <c r="M78" s="27"/>
      <c r="N78" s="27"/>
      <c r="O78" s="27"/>
      <c r="P78" s="27"/>
      <c r="Q78" s="27"/>
      <c r="R78" s="27"/>
      <c r="S78" s="27"/>
      <c r="T78" s="27"/>
      <c r="U78" s="27"/>
      <c r="V78" s="27"/>
      <c r="W78" s="27"/>
      <c r="X78" s="27"/>
      <c r="Y78" s="27"/>
      <c r="Z78" s="27"/>
    </row>
    <row r="79" spans="1:26" ht="30" customHeight="1">
      <c r="A79" s="36" t="s">
        <v>658</v>
      </c>
      <c r="B79" s="37" t="s">
        <v>659</v>
      </c>
      <c r="C79" s="39"/>
      <c r="D79" s="38"/>
      <c r="E79" s="38"/>
      <c r="F79" s="38"/>
      <c r="G79" s="40"/>
      <c r="H79" s="40">
        <f t="shared" ref="H79:H83" si="26">ROUND(D79+F79-E79,2)</f>
        <v>0</v>
      </c>
      <c r="I79" s="27"/>
      <c r="J79" s="27"/>
      <c r="K79" s="27"/>
      <c r="L79" s="27"/>
      <c r="M79" s="27"/>
      <c r="N79" s="27"/>
      <c r="O79" s="27"/>
      <c r="P79" s="27"/>
      <c r="Q79" s="27"/>
      <c r="R79" s="27"/>
      <c r="S79" s="27"/>
      <c r="T79" s="27"/>
      <c r="U79" s="27"/>
      <c r="V79" s="27"/>
      <c r="W79" s="27"/>
      <c r="X79" s="27"/>
      <c r="Y79" s="27"/>
      <c r="Z79" s="27"/>
    </row>
    <row r="80" spans="1:26" ht="30" customHeight="1">
      <c r="A80" s="36" t="s">
        <v>660</v>
      </c>
      <c r="B80" s="37" t="s">
        <v>661</v>
      </c>
      <c r="C80" s="39"/>
      <c r="D80" s="38"/>
      <c r="E80" s="38"/>
      <c r="F80" s="38"/>
      <c r="G80" s="40"/>
      <c r="H80" s="40">
        <f t="shared" si="26"/>
        <v>0</v>
      </c>
      <c r="I80" s="27"/>
      <c r="J80" s="27"/>
      <c r="K80" s="27"/>
      <c r="L80" s="27"/>
      <c r="M80" s="27"/>
      <c r="N80" s="27"/>
      <c r="O80" s="27"/>
      <c r="P80" s="27"/>
      <c r="Q80" s="27"/>
      <c r="R80" s="27"/>
      <c r="S80" s="27"/>
      <c r="T80" s="27"/>
      <c r="U80" s="27"/>
      <c r="V80" s="27"/>
      <c r="W80" s="27"/>
      <c r="X80" s="27"/>
      <c r="Y80" s="27"/>
      <c r="Z80" s="27"/>
    </row>
    <row r="81" spans="1:26" ht="30" customHeight="1">
      <c r="A81" s="36" t="s">
        <v>662</v>
      </c>
      <c r="B81" s="37" t="s">
        <v>663</v>
      </c>
      <c r="C81" s="39"/>
      <c r="D81" s="38"/>
      <c r="E81" s="38"/>
      <c r="F81" s="38"/>
      <c r="G81" s="40"/>
      <c r="H81" s="40">
        <f t="shared" si="26"/>
        <v>0</v>
      </c>
      <c r="I81" s="27"/>
      <c r="J81" s="27"/>
      <c r="K81" s="27"/>
      <c r="L81" s="27"/>
      <c r="M81" s="27"/>
      <c r="N81" s="27"/>
      <c r="O81" s="27"/>
      <c r="P81" s="27"/>
      <c r="Q81" s="27"/>
      <c r="R81" s="27"/>
      <c r="S81" s="27"/>
      <c r="T81" s="27"/>
      <c r="U81" s="27"/>
      <c r="V81" s="27"/>
      <c r="W81" s="27"/>
      <c r="X81" s="27"/>
      <c r="Y81" s="27"/>
      <c r="Z81" s="27"/>
    </row>
    <row r="82" spans="1:26" ht="30" customHeight="1">
      <c r="A82" s="36" t="s">
        <v>664</v>
      </c>
      <c r="B82" s="37" t="s">
        <v>665</v>
      </c>
      <c r="C82" s="39"/>
      <c r="D82" s="38"/>
      <c r="E82" s="38"/>
      <c r="F82" s="38"/>
      <c r="G82" s="40"/>
      <c r="H82" s="40">
        <f t="shared" si="26"/>
        <v>0</v>
      </c>
      <c r="I82" s="27"/>
      <c r="J82" s="27"/>
      <c r="K82" s="27"/>
      <c r="L82" s="27"/>
      <c r="M82" s="27"/>
      <c r="N82" s="27"/>
      <c r="O82" s="27"/>
      <c r="P82" s="27"/>
      <c r="Q82" s="27"/>
      <c r="R82" s="27"/>
      <c r="S82" s="27"/>
      <c r="T82" s="27"/>
      <c r="U82" s="27"/>
      <c r="V82" s="27"/>
      <c r="W82" s="27"/>
      <c r="X82" s="27"/>
      <c r="Y82" s="27"/>
      <c r="Z82" s="27"/>
    </row>
    <row r="83" spans="1:26" ht="30" customHeight="1">
      <c r="A83" s="36" t="s">
        <v>666</v>
      </c>
      <c r="B83" s="37" t="s">
        <v>667</v>
      </c>
      <c r="C83" s="39"/>
      <c r="D83" s="38"/>
      <c r="E83" s="38"/>
      <c r="F83" s="38"/>
      <c r="G83" s="40"/>
      <c r="H83" s="40">
        <f t="shared" si="26"/>
        <v>0</v>
      </c>
      <c r="I83" s="27"/>
      <c r="J83" s="27"/>
      <c r="K83" s="27"/>
      <c r="L83" s="27"/>
      <c r="M83" s="27"/>
      <c r="N83" s="27"/>
      <c r="O83" s="27"/>
      <c r="P83" s="27"/>
      <c r="Q83" s="27"/>
      <c r="R83" s="27"/>
      <c r="S83" s="27"/>
      <c r="T83" s="27"/>
      <c r="U83" s="27"/>
      <c r="V83" s="27"/>
      <c r="W83" s="27"/>
      <c r="X83" s="27"/>
      <c r="Y83" s="27"/>
      <c r="Z83" s="27"/>
    </row>
    <row r="84" spans="1:26" ht="30" customHeight="1">
      <c r="A84" s="32" t="s">
        <v>668</v>
      </c>
      <c r="B84" s="41" t="s">
        <v>669</v>
      </c>
      <c r="C84" s="34">
        <f>SUM(C85:C90)</f>
        <v>75624760.670000002</v>
      </c>
      <c r="D84" s="34"/>
      <c r="E84" s="34">
        <f t="shared" ref="E84:G84" si="27">SUM(E85:E90)</f>
        <v>0</v>
      </c>
      <c r="F84" s="34">
        <f t="shared" si="27"/>
        <v>0</v>
      </c>
      <c r="G84" s="35">
        <f t="shared" si="27"/>
        <v>75624760.670000002</v>
      </c>
      <c r="H84" s="35"/>
      <c r="I84" s="27"/>
      <c r="J84" s="27"/>
      <c r="K84" s="27"/>
      <c r="L84" s="27"/>
      <c r="M84" s="27"/>
      <c r="N84" s="27"/>
      <c r="O84" s="27"/>
      <c r="P84" s="27"/>
      <c r="Q84" s="27"/>
      <c r="R84" s="27"/>
      <c r="S84" s="27"/>
      <c r="T84" s="27"/>
      <c r="U84" s="27"/>
      <c r="V84" s="27"/>
      <c r="W84" s="27"/>
      <c r="X84" s="27"/>
      <c r="Y84" s="27"/>
      <c r="Z84" s="27"/>
    </row>
    <row r="85" spans="1:26" ht="30" customHeight="1">
      <c r="A85" s="36" t="s">
        <v>670</v>
      </c>
      <c r="B85" s="37" t="s">
        <v>671</v>
      </c>
      <c r="C85" s="38">
        <v>35694322.07</v>
      </c>
      <c r="D85" s="39"/>
      <c r="E85" s="38"/>
      <c r="F85" s="38"/>
      <c r="G85" s="40">
        <f t="shared" ref="G85:G90" si="28">ROUND(C85+E85-F85,2)</f>
        <v>35694322.07</v>
      </c>
      <c r="H85" s="40"/>
      <c r="I85" s="27"/>
      <c r="J85" s="27"/>
      <c r="K85" s="27"/>
      <c r="L85" s="27"/>
      <c r="M85" s="27"/>
      <c r="N85" s="27"/>
      <c r="O85" s="27"/>
      <c r="P85" s="27"/>
      <c r="Q85" s="27"/>
      <c r="R85" s="27"/>
      <c r="S85" s="27"/>
      <c r="T85" s="27"/>
      <c r="U85" s="27"/>
      <c r="V85" s="27"/>
      <c r="W85" s="27"/>
      <c r="X85" s="27"/>
      <c r="Y85" s="27"/>
      <c r="Z85" s="27"/>
    </row>
    <row r="86" spans="1:26" ht="30" customHeight="1">
      <c r="A86" s="36" t="s">
        <v>672</v>
      </c>
      <c r="B86" s="37" t="s">
        <v>673</v>
      </c>
      <c r="C86" s="38"/>
      <c r="D86" s="39"/>
      <c r="E86" s="38"/>
      <c r="F86" s="38"/>
      <c r="G86" s="40">
        <f t="shared" si="28"/>
        <v>0</v>
      </c>
      <c r="H86" s="40"/>
      <c r="I86" s="27"/>
      <c r="J86" s="27"/>
      <c r="K86" s="27"/>
      <c r="L86" s="27"/>
      <c r="M86" s="27"/>
      <c r="N86" s="27"/>
      <c r="O86" s="27"/>
      <c r="P86" s="27"/>
      <c r="Q86" s="27"/>
      <c r="R86" s="27"/>
      <c r="S86" s="27"/>
      <c r="T86" s="27"/>
      <c r="U86" s="27"/>
      <c r="V86" s="27"/>
      <c r="W86" s="27"/>
      <c r="X86" s="27"/>
      <c r="Y86" s="27"/>
      <c r="Z86" s="27"/>
    </row>
    <row r="87" spans="1:26" ht="30" customHeight="1">
      <c r="A87" s="36" t="s">
        <v>674</v>
      </c>
      <c r="B87" s="37" t="s">
        <v>675</v>
      </c>
      <c r="C87" s="38"/>
      <c r="D87" s="39"/>
      <c r="E87" s="38"/>
      <c r="F87" s="38"/>
      <c r="G87" s="40">
        <f t="shared" si="28"/>
        <v>0</v>
      </c>
      <c r="H87" s="40"/>
      <c r="I87" s="27"/>
      <c r="J87" s="27"/>
      <c r="K87" s="27"/>
      <c r="L87" s="27"/>
      <c r="M87" s="27"/>
      <c r="N87" s="27"/>
      <c r="O87" s="27"/>
      <c r="P87" s="27"/>
      <c r="Q87" s="27"/>
      <c r="R87" s="27"/>
      <c r="S87" s="27"/>
      <c r="T87" s="27"/>
      <c r="U87" s="27"/>
      <c r="V87" s="27"/>
      <c r="W87" s="27"/>
      <c r="X87" s="27"/>
      <c r="Y87" s="27"/>
      <c r="Z87" s="27"/>
    </row>
    <row r="88" spans="1:26" ht="30" customHeight="1">
      <c r="A88" s="36" t="s">
        <v>676</v>
      </c>
      <c r="B88" s="37" t="s">
        <v>677</v>
      </c>
      <c r="C88" s="38">
        <v>39930438.600000001</v>
      </c>
      <c r="D88" s="39"/>
      <c r="E88" s="38"/>
      <c r="F88" s="38"/>
      <c r="G88" s="40">
        <f t="shared" si="28"/>
        <v>39930438.600000001</v>
      </c>
      <c r="H88" s="40"/>
      <c r="I88" s="27"/>
      <c r="J88" s="27"/>
      <c r="K88" s="27"/>
      <c r="L88" s="27"/>
      <c r="M88" s="27"/>
      <c r="N88" s="27"/>
      <c r="O88" s="27"/>
      <c r="P88" s="27"/>
      <c r="Q88" s="27"/>
      <c r="R88" s="27"/>
      <c r="S88" s="27"/>
      <c r="T88" s="27"/>
      <c r="U88" s="27"/>
      <c r="V88" s="27"/>
      <c r="W88" s="27"/>
      <c r="X88" s="27"/>
      <c r="Y88" s="27"/>
      <c r="Z88" s="27"/>
    </row>
    <row r="89" spans="1:26" ht="30" customHeight="1">
      <c r="A89" s="36" t="s">
        <v>678</v>
      </c>
      <c r="B89" s="37" t="s">
        <v>679</v>
      </c>
      <c r="C89" s="38"/>
      <c r="D89" s="39"/>
      <c r="E89" s="38"/>
      <c r="F89" s="38"/>
      <c r="G89" s="40">
        <f t="shared" si="28"/>
        <v>0</v>
      </c>
      <c r="H89" s="40"/>
      <c r="I89" s="27"/>
      <c r="J89" s="27"/>
      <c r="K89" s="27"/>
      <c r="L89" s="27"/>
      <c r="M89" s="27"/>
      <c r="N89" s="27"/>
      <c r="O89" s="27"/>
      <c r="P89" s="27"/>
      <c r="Q89" s="27"/>
      <c r="R89" s="27"/>
      <c r="S89" s="27"/>
      <c r="T89" s="27"/>
      <c r="U89" s="27"/>
      <c r="V89" s="27"/>
      <c r="W89" s="27"/>
      <c r="X89" s="27"/>
      <c r="Y89" s="27"/>
      <c r="Z89" s="27"/>
    </row>
    <row r="90" spans="1:26" ht="30" customHeight="1">
      <c r="A90" s="36" t="s">
        <v>680</v>
      </c>
      <c r="B90" s="37" t="s">
        <v>681</v>
      </c>
      <c r="C90" s="38"/>
      <c r="D90" s="39"/>
      <c r="E90" s="38"/>
      <c r="F90" s="38"/>
      <c r="G90" s="40">
        <f t="shared" si="28"/>
        <v>0</v>
      </c>
      <c r="H90" s="40"/>
      <c r="I90" s="27"/>
      <c r="J90" s="27"/>
      <c r="K90" s="27"/>
      <c r="L90" s="27"/>
      <c r="M90" s="27"/>
      <c r="N90" s="27"/>
      <c r="O90" s="27"/>
      <c r="P90" s="27"/>
      <c r="Q90" s="27"/>
      <c r="R90" s="27"/>
      <c r="S90" s="27"/>
      <c r="T90" s="27"/>
      <c r="U90" s="27"/>
      <c r="V90" s="27"/>
      <c r="W90" s="27"/>
      <c r="X90" s="27"/>
      <c r="Y90" s="27"/>
      <c r="Z90" s="27"/>
    </row>
    <row r="91" spans="1:26" ht="30" customHeight="1">
      <c r="A91" s="32" t="s">
        <v>682</v>
      </c>
      <c r="B91" s="41" t="s">
        <v>683</v>
      </c>
      <c r="C91" s="34"/>
      <c r="D91" s="34">
        <f t="shared" ref="D91:F91" si="29">SUM(D92:D96)</f>
        <v>0</v>
      </c>
      <c r="E91" s="34">
        <f t="shared" si="29"/>
        <v>0</v>
      </c>
      <c r="F91" s="34">
        <f t="shared" si="29"/>
        <v>0</v>
      </c>
      <c r="G91" s="35"/>
      <c r="H91" s="35">
        <f>D91+F91-E91</f>
        <v>0</v>
      </c>
      <c r="I91" s="27"/>
      <c r="J91" s="27"/>
      <c r="K91" s="27"/>
      <c r="L91" s="27"/>
      <c r="M91" s="27"/>
      <c r="N91" s="27"/>
      <c r="O91" s="27"/>
      <c r="P91" s="27"/>
      <c r="Q91" s="27"/>
      <c r="R91" s="27"/>
      <c r="S91" s="27"/>
      <c r="T91" s="27"/>
      <c r="U91" s="27"/>
      <c r="V91" s="27"/>
      <c r="W91" s="27"/>
      <c r="X91" s="27"/>
      <c r="Y91" s="27"/>
      <c r="Z91" s="27"/>
    </row>
    <row r="92" spans="1:26" ht="30" customHeight="1">
      <c r="A92" s="36" t="s">
        <v>684</v>
      </c>
      <c r="B92" s="37" t="s">
        <v>685</v>
      </c>
      <c r="C92" s="39"/>
      <c r="D92" s="38"/>
      <c r="E92" s="38"/>
      <c r="F92" s="38"/>
      <c r="G92" s="40"/>
      <c r="H92" s="40">
        <f t="shared" ref="H92:H96" si="30">ROUND(D92+F92-E92,2)</f>
        <v>0</v>
      </c>
      <c r="I92" s="27"/>
      <c r="J92" s="27"/>
      <c r="K92" s="27"/>
      <c r="L92" s="27"/>
      <c r="M92" s="27"/>
      <c r="N92" s="27"/>
      <c r="O92" s="27"/>
      <c r="P92" s="27"/>
      <c r="Q92" s="27"/>
      <c r="R92" s="27"/>
      <c r="S92" s="27"/>
      <c r="T92" s="27"/>
      <c r="U92" s="27"/>
      <c r="V92" s="27"/>
      <c r="W92" s="27"/>
      <c r="X92" s="27"/>
      <c r="Y92" s="27"/>
      <c r="Z92" s="27"/>
    </row>
    <row r="93" spans="1:26" ht="30" customHeight="1">
      <c r="A93" s="36" t="s">
        <v>686</v>
      </c>
      <c r="B93" s="37" t="s">
        <v>687</v>
      </c>
      <c r="C93" s="39"/>
      <c r="D93" s="38"/>
      <c r="E93" s="38"/>
      <c r="F93" s="38"/>
      <c r="G93" s="40"/>
      <c r="H93" s="40">
        <f t="shared" si="30"/>
        <v>0</v>
      </c>
      <c r="I93" s="27"/>
      <c r="J93" s="27"/>
      <c r="K93" s="27"/>
      <c r="L93" s="27"/>
      <c r="M93" s="27"/>
      <c r="N93" s="27"/>
      <c r="O93" s="27"/>
      <c r="P93" s="27"/>
      <c r="Q93" s="27"/>
      <c r="R93" s="27"/>
      <c r="S93" s="27"/>
      <c r="T93" s="27"/>
      <c r="U93" s="27"/>
      <c r="V93" s="27"/>
      <c r="W93" s="27"/>
      <c r="X93" s="27"/>
      <c r="Y93" s="27"/>
      <c r="Z93" s="27"/>
    </row>
    <row r="94" spans="1:26" ht="30" customHeight="1">
      <c r="A94" s="36" t="s">
        <v>688</v>
      </c>
      <c r="B94" s="37" t="s">
        <v>689</v>
      </c>
      <c r="C94" s="39"/>
      <c r="D94" s="38"/>
      <c r="E94" s="38"/>
      <c r="F94" s="38"/>
      <c r="G94" s="40"/>
      <c r="H94" s="40">
        <f t="shared" si="30"/>
        <v>0</v>
      </c>
      <c r="I94" s="27"/>
      <c r="J94" s="27"/>
      <c r="K94" s="27"/>
      <c r="L94" s="27"/>
      <c r="M94" s="27"/>
      <c r="N94" s="27"/>
      <c r="O94" s="27"/>
      <c r="P94" s="27"/>
      <c r="Q94" s="27"/>
      <c r="R94" s="27"/>
      <c r="S94" s="27"/>
      <c r="T94" s="27"/>
      <c r="U94" s="27"/>
      <c r="V94" s="27"/>
      <c r="W94" s="27"/>
      <c r="X94" s="27"/>
      <c r="Y94" s="27"/>
      <c r="Z94" s="27"/>
    </row>
    <row r="95" spans="1:26" ht="30" customHeight="1">
      <c r="A95" s="36" t="s">
        <v>690</v>
      </c>
      <c r="B95" s="37" t="s">
        <v>691</v>
      </c>
      <c r="C95" s="39"/>
      <c r="D95" s="38"/>
      <c r="E95" s="38"/>
      <c r="F95" s="38"/>
      <c r="G95" s="40"/>
      <c r="H95" s="40">
        <f t="shared" si="30"/>
        <v>0</v>
      </c>
      <c r="I95" s="27"/>
      <c r="J95" s="27"/>
      <c r="K95" s="27"/>
      <c r="L95" s="27"/>
      <c r="M95" s="27"/>
      <c r="N95" s="27"/>
      <c r="O95" s="27"/>
      <c r="P95" s="27"/>
      <c r="Q95" s="27"/>
      <c r="R95" s="27"/>
      <c r="S95" s="27"/>
      <c r="T95" s="27"/>
      <c r="U95" s="27"/>
      <c r="V95" s="27"/>
      <c r="W95" s="27"/>
      <c r="X95" s="27"/>
      <c r="Y95" s="27"/>
      <c r="Z95" s="27"/>
    </row>
    <row r="96" spans="1:26" ht="30" customHeight="1">
      <c r="A96" s="36" t="s">
        <v>692</v>
      </c>
      <c r="B96" s="37" t="s">
        <v>693</v>
      </c>
      <c r="C96" s="39"/>
      <c r="D96" s="38"/>
      <c r="E96" s="38"/>
      <c r="F96" s="38"/>
      <c r="G96" s="40"/>
      <c r="H96" s="40">
        <f t="shared" si="30"/>
        <v>0</v>
      </c>
      <c r="I96" s="27"/>
      <c r="J96" s="27"/>
      <c r="K96" s="27"/>
      <c r="L96" s="27"/>
      <c r="M96" s="27"/>
      <c r="N96" s="27"/>
      <c r="O96" s="27"/>
      <c r="P96" s="27"/>
      <c r="Q96" s="27"/>
      <c r="R96" s="27"/>
      <c r="S96" s="27"/>
      <c r="T96" s="27"/>
      <c r="U96" s="27"/>
      <c r="V96" s="27"/>
      <c r="W96" s="27"/>
      <c r="X96" s="27"/>
      <c r="Y96" s="27"/>
      <c r="Z96" s="27"/>
    </row>
    <row r="97" spans="1:26" ht="30" customHeight="1">
      <c r="A97" s="32" t="s">
        <v>694</v>
      </c>
      <c r="B97" s="41" t="s">
        <v>695</v>
      </c>
      <c r="C97" s="34">
        <f>SUM(C98:C100)</f>
        <v>1040586.75</v>
      </c>
      <c r="D97" s="34"/>
      <c r="E97" s="34">
        <f t="shared" ref="E97:G97" si="31">SUM(E98:E100)</f>
        <v>0</v>
      </c>
      <c r="F97" s="34">
        <f t="shared" si="31"/>
        <v>0</v>
      </c>
      <c r="G97" s="35">
        <f t="shared" si="31"/>
        <v>1040586.75</v>
      </c>
      <c r="H97" s="35"/>
      <c r="I97" s="27"/>
      <c r="J97" s="27"/>
      <c r="K97" s="27"/>
      <c r="L97" s="27"/>
      <c r="M97" s="27"/>
      <c r="N97" s="27"/>
      <c r="O97" s="27"/>
      <c r="P97" s="27"/>
      <c r="Q97" s="27"/>
      <c r="R97" s="27"/>
      <c r="S97" s="27"/>
      <c r="T97" s="27"/>
      <c r="U97" s="27"/>
      <c r="V97" s="27"/>
      <c r="W97" s="27"/>
      <c r="X97" s="27"/>
      <c r="Y97" s="27"/>
      <c r="Z97" s="27"/>
    </row>
    <row r="98" spans="1:26" ht="30" customHeight="1">
      <c r="A98" s="36" t="s">
        <v>696</v>
      </c>
      <c r="B98" s="37" t="s">
        <v>697</v>
      </c>
      <c r="C98" s="38"/>
      <c r="D98" s="39"/>
      <c r="E98" s="38"/>
      <c r="F98" s="38"/>
      <c r="G98" s="40">
        <f t="shared" ref="G98:G100" si="32">ROUND(C98+E98-F98,2)</f>
        <v>0</v>
      </c>
      <c r="H98" s="40"/>
      <c r="I98" s="27"/>
      <c r="J98" s="27"/>
      <c r="K98" s="27"/>
      <c r="L98" s="27"/>
      <c r="M98" s="27"/>
      <c r="N98" s="27"/>
      <c r="O98" s="27"/>
      <c r="P98" s="27"/>
      <c r="Q98" s="27"/>
      <c r="R98" s="27"/>
      <c r="S98" s="27"/>
      <c r="T98" s="27"/>
      <c r="U98" s="27"/>
      <c r="V98" s="27"/>
      <c r="W98" s="27"/>
      <c r="X98" s="27"/>
      <c r="Y98" s="27"/>
      <c r="Z98" s="27"/>
    </row>
    <row r="99" spans="1:26" ht="30" customHeight="1">
      <c r="A99" s="36" t="s">
        <v>698</v>
      </c>
      <c r="B99" s="37" t="s">
        <v>699</v>
      </c>
      <c r="C99" s="38"/>
      <c r="D99" s="39"/>
      <c r="E99" s="38"/>
      <c r="F99" s="38"/>
      <c r="G99" s="40">
        <f t="shared" si="32"/>
        <v>0</v>
      </c>
      <c r="H99" s="40"/>
      <c r="I99" s="27"/>
      <c r="J99" s="27"/>
      <c r="K99" s="27"/>
      <c r="L99" s="27"/>
      <c r="M99" s="27"/>
      <c r="N99" s="27"/>
      <c r="O99" s="27"/>
      <c r="P99" s="27"/>
      <c r="Q99" s="27"/>
      <c r="R99" s="27"/>
      <c r="S99" s="27"/>
      <c r="T99" s="27"/>
      <c r="U99" s="27"/>
      <c r="V99" s="27"/>
      <c r="W99" s="27"/>
      <c r="X99" s="27"/>
      <c r="Y99" s="27"/>
      <c r="Z99" s="27"/>
    </row>
    <row r="100" spans="1:26" ht="30" customHeight="1">
      <c r="A100" s="36" t="s">
        <v>700</v>
      </c>
      <c r="B100" s="37" t="s">
        <v>701</v>
      </c>
      <c r="C100" s="38">
        <v>1040586.75</v>
      </c>
      <c r="D100" s="39"/>
      <c r="E100" s="38"/>
      <c r="F100" s="38"/>
      <c r="G100" s="40">
        <f t="shared" si="32"/>
        <v>1040586.75</v>
      </c>
      <c r="H100" s="40"/>
      <c r="I100" s="27"/>
      <c r="J100" s="27"/>
      <c r="K100" s="27"/>
      <c r="L100" s="27"/>
      <c r="M100" s="27"/>
      <c r="N100" s="27"/>
      <c r="O100" s="27"/>
      <c r="P100" s="27"/>
      <c r="Q100" s="27"/>
      <c r="R100" s="27"/>
      <c r="S100" s="27"/>
      <c r="T100" s="27"/>
      <c r="U100" s="27"/>
      <c r="V100" s="27"/>
      <c r="W100" s="27"/>
      <c r="X100" s="27"/>
      <c r="Y100" s="27"/>
      <c r="Z100" s="27"/>
    </row>
    <row r="101" spans="1:26" ht="30" customHeight="1">
      <c r="A101" s="23" t="s">
        <v>702</v>
      </c>
      <c r="B101" s="46" t="s">
        <v>703</v>
      </c>
      <c r="C101" s="25"/>
      <c r="D101" s="25">
        <f t="shared" ref="D101:F101" si="33">D102+D143</f>
        <v>2060758660.3499999</v>
      </c>
      <c r="E101" s="25">
        <f t="shared" si="33"/>
        <v>8166551994.71</v>
      </c>
      <c r="F101" s="25">
        <f t="shared" si="33"/>
        <v>7421077102.4299984</v>
      </c>
      <c r="G101" s="26"/>
      <c r="H101" s="26">
        <f>H102+H143</f>
        <v>1315283768.0699999</v>
      </c>
      <c r="I101" s="27"/>
      <c r="J101" s="27"/>
      <c r="K101" s="27"/>
      <c r="L101" s="27"/>
      <c r="M101" s="27"/>
      <c r="N101" s="27"/>
      <c r="O101" s="27"/>
      <c r="P101" s="27"/>
      <c r="Q101" s="27"/>
      <c r="R101" s="27"/>
      <c r="S101" s="27"/>
      <c r="T101" s="27"/>
      <c r="U101" s="27"/>
      <c r="V101" s="27"/>
      <c r="W101" s="27"/>
      <c r="X101" s="27"/>
      <c r="Y101" s="27"/>
      <c r="Z101" s="27"/>
    </row>
    <row r="102" spans="1:26" ht="30" customHeight="1">
      <c r="A102" s="28" t="s">
        <v>704</v>
      </c>
      <c r="B102" s="29" t="s">
        <v>705</v>
      </c>
      <c r="C102" s="30"/>
      <c r="D102" s="30">
        <f t="shared" ref="D102:F102" si="34">D103+D113+D117+D121+D124+D128+D135+D139</f>
        <v>983019687.09000003</v>
      </c>
      <c r="E102" s="30">
        <f t="shared" si="34"/>
        <v>8052492426.6700001</v>
      </c>
      <c r="F102" s="30">
        <f t="shared" si="34"/>
        <v>7421077102.4299984</v>
      </c>
      <c r="G102" s="31"/>
      <c r="H102" s="31">
        <f>H103+H113+H117+H121+H124+H128+H135+H139</f>
        <v>351604362.84999996</v>
      </c>
      <c r="I102" s="27"/>
      <c r="J102" s="27"/>
      <c r="K102" s="27"/>
      <c r="L102" s="27"/>
      <c r="M102" s="27"/>
      <c r="N102" s="27"/>
      <c r="O102" s="27"/>
      <c r="P102" s="27"/>
      <c r="Q102" s="27"/>
      <c r="R102" s="27"/>
      <c r="S102" s="27"/>
      <c r="T102" s="27"/>
      <c r="U102" s="27"/>
      <c r="V102" s="27"/>
      <c r="W102" s="27"/>
      <c r="X102" s="27"/>
      <c r="Y102" s="27"/>
      <c r="Z102" s="27"/>
    </row>
    <row r="103" spans="1:26" ht="30" customHeight="1">
      <c r="A103" s="32" t="s">
        <v>706</v>
      </c>
      <c r="B103" s="33" t="s">
        <v>707</v>
      </c>
      <c r="C103" s="34"/>
      <c r="D103" s="34">
        <f t="shared" ref="D103:F103" si="35">SUM(D104:D112)</f>
        <v>682026886.76999998</v>
      </c>
      <c r="E103" s="34">
        <f t="shared" si="35"/>
        <v>7723408426.7200003</v>
      </c>
      <c r="F103" s="34">
        <f t="shared" si="35"/>
        <v>7247663798.2299986</v>
      </c>
      <c r="G103" s="35"/>
      <c r="H103" s="35">
        <f>SUM(H104:H112)</f>
        <v>206282258.27999997</v>
      </c>
      <c r="I103" s="27"/>
      <c r="J103" s="27"/>
      <c r="K103" s="27"/>
      <c r="L103" s="27"/>
      <c r="M103" s="27"/>
      <c r="N103" s="27"/>
      <c r="O103" s="27"/>
      <c r="P103" s="27"/>
      <c r="Q103" s="27"/>
      <c r="R103" s="27"/>
      <c r="S103" s="27"/>
      <c r="T103" s="27"/>
      <c r="U103" s="27"/>
      <c r="V103" s="27"/>
      <c r="W103" s="27"/>
      <c r="X103" s="27"/>
      <c r="Y103" s="27"/>
      <c r="Z103" s="27"/>
    </row>
    <row r="104" spans="1:26" ht="30" customHeight="1">
      <c r="A104" s="36" t="s">
        <v>708</v>
      </c>
      <c r="B104" s="37" t="s">
        <v>709</v>
      </c>
      <c r="C104" s="42"/>
      <c r="D104" s="38">
        <v>33988076.560000002</v>
      </c>
      <c r="E104" s="38">
        <v>2771294954.0500002</v>
      </c>
      <c r="F104" s="38">
        <v>2741529058.1599998</v>
      </c>
      <c r="G104" s="40"/>
      <c r="H104" s="40">
        <f t="shared" ref="H104:H112" si="36">ROUND(D104+F104-E104,2)</f>
        <v>4222180.67</v>
      </c>
      <c r="I104" s="27"/>
      <c r="J104" s="27"/>
      <c r="K104" s="27"/>
      <c r="L104" s="27"/>
      <c r="M104" s="27"/>
      <c r="N104" s="27"/>
      <c r="O104" s="27"/>
      <c r="P104" s="27"/>
      <c r="Q104" s="27"/>
      <c r="R104" s="27"/>
      <c r="S104" s="27"/>
      <c r="T104" s="27"/>
      <c r="U104" s="27"/>
      <c r="V104" s="27"/>
      <c r="W104" s="27"/>
      <c r="X104" s="27"/>
      <c r="Y104" s="27"/>
      <c r="Z104" s="27"/>
    </row>
    <row r="105" spans="1:26" ht="30" customHeight="1">
      <c r="A105" s="36" t="s">
        <v>710</v>
      </c>
      <c r="B105" s="37" t="s">
        <v>711</v>
      </c>
      <c r="C105" s="42"/>
      <c r="D105" s="38">
        <v>238919399.90000001</v>
      </c>
      <c r="E105" s="38">
        <v>1785044188.05</v>
      </c>
      <c r="F105" s="38">
        <v>1531994647.8299999</v>
      </c>
      <c r="G105" s="40"/>
      <c r="H105" s="40">
        <f t="shared" si="36"/>
        <v>-14130140.32</v>
      </c>
      <c r="I105" s="27"/>
      <c r="J105" s="27"/>
      <c r="K105" s="27"/>
      <c r="L105" s="27"/>
      <c r="M105" s="27"/>
      <c r="N105" s="27"/>
      <c r="O105" s="27"/>
      <c r="P105" s="27"/>
      <c r="Q105" s="27"/>
      <c r="R105" s="27"/>
      <c r="S105" s="27"/>
      <c r="T105" s="27"/>
      <c r="U105" s="27"/>
      <c r="V105" s="27"/>
      <c r="W105" s="27"/>
      <c r="X105" s="27"/>
      <c r="Y105" s="27"/>
      <c r="Z105" s="27"/>
    </row>
    <row r="106" spans="1:26" ht="30" customHeight="1">
      <c r="A106" s="36" t="s">
        <v>712</v>
      </c>
      <c r="B106" s="37" t="s">
        <v>713</v>
      </c>
      <c r="C106" s="42"/>
      <c r="D106" s="38">
        <v>180699024.49000001</v>
      </c>
      <c r="E106" s="38">
        <v>519207898.76999998</v>
      </c>
      <c r="F106" s="38">
        <v>337981743.12</v>
      </c>
      <c r="G106" s="40"/>
      <c r="H106" s="40">
        <f t="shared" si="36"/>
        <v>-527131.16</v>
      </c>
      <c r="I106" s="27"/>
      <c r="J106" s="27"/>
      <c r="K106" s="27"/>
      <c r="L106" s="27"/>
      <c r="M106" s="27"/>
      <c r="N106" s="27"/>
      <c r="O106" s="27"/>
      <c r="P106" s="27"/>
      <c r="Q106" s="27"/>
      <c r="R106" s="27"/>
      <c r="S106" s="27"/>
      <c r="T106" s="27"/>
      <c r="U106" s="27"/>
      <c r="V106" s="27"/>
      <c r="W106" s="27"/>
      <c r="X106" s="27"/>
      <c r="Y106" s="27"/>
      <c r="Z106" s="27"/>
    </row>
    <row r="107" spans="1:26" ht="30" customHeight="1">
      <c r="A107" s="36" t="s">
        <v>714</v>
      </c>
      <c r="B107" s="37" t="s">
        <v>715</v>
      </c>
      <c r="C107" s="42"/>
      <c r="D107" s="38"/>
      <c r="E107" s="38"/>
      <c r="F107" s="38"/>
      <c r="G107" s="40"/>
      <c r="H107" s="40">
        <f t="shared" si="36"/>
        <v>0</v>
      </c>
      <c r="I107" s="27"/>
      <c r="J107" s="27"/>
      <c r="K107" s="27"/>
      <c r="L107" s="27"/>
      <c r="M107" s="27"/>
      <c r="N107" s="27"/>
      <c r="O107" s="27"/>
      <c r="P107" s="27"/>
      <c r="Q107" s="27"/>
      <c r="R107" s="27"/>
      <c r="S107" s="27"/>
      <c r="T107" s="27"/>
      <c r="U107" s="27"/>
      <c r="V107" s="27"/>
      <c r="W107" s="27"/>
      <c r="X107" s="27"/>
      <c r="Y107" s="27"/>
      <c r="Z107" s="27"/>
    </row>
    <row r="108" spans="1:26" ht="30" customHeight="1">
      <c r="A108" s="36" t="s">
        <v>716</v>
      </c>
      <c r="B108" s="37" t="s">
        <v>717</v>
      </c>
      <c r="C108" s="42"/>
      <c r="D108" s="38">
        <v>67648596.150000006</v>
      </c>
      <c r="E108" s="38">
        <v>772019180.38</v>
      </c>
      <c r="F108" s="38">
        <v>764685134.27999997</v>
      </c>
      <c r="G108" s="40"/>
      <c r="H108" s="40">
        <f t="shared" si="36"/>
        <v>60314550.049999997</v>
      </c>
      <c r="I108" s="27"/>
      <c r="J108" s="27"/>
      <c r="K108" s="27"/>
      <c r="L108" s="27"/>
      <c r="M108" s="27"/>
      <c r="N108" s="27"/>
      <c r="O108" s="27"/>
      <c r="P108" s="27"/>
      <c r="Q108" s="27"/>
      <c r="R108" s="27"/>
      <c r="S108" s="27"/>
      <c r="T108" s="27"/>
      <c r="U108" s="27"/>
      <c r="V108" s="27"/>
      <c r="W108" s="27"/>
      <c r="X108" s="27"/>
      <c r="Y108" s="27"/>
      <c r="Z108" s="27"/>
    </row>
    <row r="109" spans="1:26" ht="30" customHeight="1">
      <c r="A109" s="36" t="s">
        <v>718</v>
      </c>
      <c r="B109" s="37" t="s">
        <v>719</v>
      </c>
      <c r="C109" s="42"/>
      <c r="D109" s="38"/>
      <c r="E109" s="38">
        <v>70433389.569999993</v>
      </c>
      <c r="F109" s="38">
        <v>70433389.569999993</v>
      </c>
      <c r="G109" s="40"/>
      <c r="H109" s="40">
        <f t="shared" si="36"/>
        <v>0</v>
      </c>
      <c r="I109" s="27"/>
      <c r="J109" s="27"/>
      <c r="K109" s="27"/>
      <c r="L109" s="27"/>
      <c r="M109" s="27"/>
      <c r="N109" s="27"/>
      <c r="O109" s="27"/>
      <c r="P109" s="27"/>
      <c r="Q109" s="27"/>
      <c r="R109" s="27"/>
      <c r="S109" s="27"/>
      <c r="T109" s="27"/>
      <c r="U109" s="27"/>
      <c r="V109" s="27"/>
      <c r="W109" s="27"/>
      <c r="X109" s="27"/>
      <c r="Y109" s="27"/>
      <c r="Z109" s="27"/>
    </row>
    <row r="110" spans="1:26" ht="30" customHeight="1">
      <c r="A110" s="36" t="s">
        <v>720</v>
      </c>
      <c r="B110" s="37" t="s">
        <v>721</v>
      </c>
      <c r="C110" s="42"/>
      <c r="D110" s="38">
        <v>106707722.84</v>
      </c>
      <c r="E110" s="38">
        <v>1076257796.6900001</v>
      </c>
      <c r="F110" s="38">
        <v>1061258871.2</v>
      </c>
      <c r="G110" s="40"/>
      <c r="H110" s="40">
        <f t="shared" si="36"/>
        <v>91708797.349999994</v>
      </c>
      <c r="I110" s="27"/>
      <c r="J110" s="27"/>
      <c r="K110" s="27"/>
      <c r="L110" s="27"/>
      <c r="M110" s="27"/>
      <c r="N110" s="27"/>
      <c r="O110" s="27"/>
      <c r="P110" s="27"/>
      <c r="Q110" s="27"/>
      <c r="R110" s="27"/>
      <c r="S110" s="27"/>
      <c r="T110" s="27"/>
      <c r="U110" s="27"/>
      <c r="V110" s="27"/>
      <c r="W110" s="27"/>
      <c r="X110" s="27"/>
      <c r="Y110" s="27"/>
      <c r="Z110" s="27"/>
    </row>
    <row r="111" spans="1:26" ht="30" customHeight="1">
      <c r="A111" s="36" t="s">
        <v>722</v>
      </c>
      <c r="B111" s="37" t="s">
        <v>723</v>
      </c>
      <c r="C111" s="42"/>
      <c r="D111" s="38">
        <v>50127584.149999999</v>
      </c>
      <c r="E111" s="38">
        <v>19616453.629999999</v>
      </c>
      <c r="F111" s="38">
        <v>34413408.369999997</v>
      </c>
      <c r="G111" s="40"/>
      <c r="H111" s="40">
        <f t="shared" si="36"/>
        <v>64924538.890000001</v>
      </c>
      <c r="I111" s="27"/>
      <c r="J111" s="27"/>
      <c r="K111" s="27"/>
      <c r="L111" s="27"/>
      <c r="M111" s="27"/>
      <c r="N111" s="27"/>
      <c r="O111" s="27"/>
      <c r="P111" s="27"/>
      <c r="Q111" s="27"/>
      <c r="R111" s="27"/>
      <c r="S111" s="27"/>
      <c r="T111" s="27"/>
      <c r="U111" s="27"/>
      <c r="V111" s="27"/>
      <c r="W111" s="27"/>
      <c r="X111" s="27"/>
      <c r="Y111" s="27"/>
      <c r="Z111" s="27"/>
    </row>
    <row r="112" spans="1:26" ht="30" customHeight="1">
      <c r="A112" s="36" t="s">
        <v>724</v>
      </c>
      <c r="B112" s="37" t="s">
        <v>725</v>
      </c>
      <c r="C112" s="42"/>
      <c r="D112" s="38">
        <v>3936482.68</v>
      </c>
      <c r="E112" s="38">
        <v>709534565.58000004</v>
      </c>
      <c r="F112" s="38">
        <v>705367545.70000005</v>
      </c>
      <c r="G112" s="40"/>
      <c r="H112" s="40">
        <f t="shared" si="36"/>
        <v>-230537.2</v>
      </c>
      <c r="I112" s="27"/>
      <c r="J112" s="27"/>
      <c r="K112" s="27"/>
      <c r="L112" s="27"/>
      <c r="M112" s="27"/>
      <c r="N112" s="27"/>
      <c r="O112" s="27"/>
      <c r="P112" s="27"/>
      <c r="Q112" s="27"/>
      <c r="R112" s="27"/>
      <c r="S112" s="27"/>
      <c r="T112" s="27"/>
      <c r="U112" s="27"/>
      <c r="V112" s="27"/>
      <c r="W112" s="27"/>
      <c r="X112" s="27"/>
      <c r="Y112" s="27"/>
      <c r="Z112" s="27"/>
    </row>
    <row r="113" spans="1:26" ht="30" customHeight="1">
      <c r="A113" s="32" t="s">
        <v>726</v>
      </c>
      <c r="B113" s="41" t="s">
        <v>727</v>
      </c>
      <c r="C113" s="34"/>
      <c r="D113" s="34">
        <f t="shared" ref="D113:F113" si="37">SUM(D114:D116)</f>
        <v>0</v>
      </c>
      <c r="E113" s="34">
        <f t="shared" si="37"/>
        <v>0</v>
      </c>
      <c r="F113" s="34">
        <f t="shared" si="37"/>
        <v>0</v>
      </c>
      <c r="G113" s="35"/>
      <c r="H113" s="35">
        <f>SUM(H114:H116)</f>
        <v>0</v>
      </c>
      <c r="I113" s="27"/>
      <c r="J113" s="27"/>
      <c r="K113" s="27"/>
      <c r="L113" s="27"/>
      <c r="M113" s="27"/>
      <c r="N113" s="27"/>
      <c r="O113" s="27"/>
      <c r="P113" s="27"/>
      <c r="Q113" s="27"/>
      <c r="R113" s="27"/>
      <c r="S113" s="27"/>
      <c r="T113" s="27"/>
      <c r="U113" s="27"/>
      <c r="V113" s="27"/>
      <c r="W113" s="27"/>
      <c r="X113" s="27"/>
      <c r="Y113" s="27"/>
      <c r="Z113" s="27"/>
    </row>
    <row r="114" spans="1:26" ht="30" customHeight="1">
      <c r="A114" s="36" t="s">
        <v>728</v>
      </c>
      <c r="B114" s="37" t="s">
        <v>729</v>
      </c>
      <c r="C114" s="42"/>
      <c r="D114" s="38"/>
      <c r="E114" s="38"/>
      <c r="F114" s="38"/>
      <c r="G114" s="40"/>
      <c r="H114" s="40">
        <f t="shared" ref="H114:H116" si="38">ROUND(D114+F114-E114,2)</f>
        <v>0</v>
      </c>
      <c r="I114" s="27"/>
      <c r="J114" s="27"/>
      <c r="K114" s="27"/>
      <c r="L114" s="27"/>
      <c r="M114" s="27"/>
      <c r="N114" s="27"/>
      <c r="O114" s="27"/>
      <c r="P114" s="27"/>
      <c r="Q114" s="27"/>
      <c r="R114" s="27"/>
      <c r="S114" s="27"/>
      <c r="T114" s="27"/>
      <c r="U114" s="27"/>
      <c r="V114" s="27"/>
      <c r="W114" s="27"/>
      <c r="X114" s="27"/>
      <c r="Y114" s="27"/>
      <c r="Z114" s="27"/>
    </row>
    <row r="115" spans="1:26" ht="30" customHeight="1">
      <c r="A115" s="36" t="s">
        <v>730</v>
      </c>
      <c r="B115" s="37" t="s">
        <v>731</v>
      </c>
      <c r="C115" s="42"/>
      <c r="D115" s="38"/>
      <c r="E115" s="38"/>
      <c r="F115" s="38"/>
      <c r="G115" s="40"/>
      <c r="H115" s="40">
        <f t="shared" si="38"/>
        <v>0</v>
      </c>
      <c r="I115" s="27"/>
      <c r="J115" s="27"/>
      <c r="K115" s="27"/>
      <c r="L115" s="27"/>
      <c r="M115" s="27"/>
      <c r="N115" s="27"/>
      <c r="O115" s="27"/>
      <c r="P115" s="27"/>
      <c r="Q115" s="27"/>
      <c r="R115" s="27"/>
      <c r="S115" s="27"/>
      <c r="T115" s="27"/>
      <c r="U115" s="27"/>
      <c r="V115" s="27"/>
      <c r="W115" s="27"/>
      <c r="X115" s="27"/>
      <c r="Y115" s="27"/>
      <c r="Z115" s="27"/>
    </row>
    <row r="116" spans="1:26" ht="30" customHeight="1">
      <c r="A116" s="36" t="s">
        <v>732</v>
      </c>
      <c r="B116" s="37" t="s">
        <v>733</v>
      </c>
      <c r="C116" s="42"/>
      <c r="D116" s="38"/>
      <c r="E116" s="38"/>
      <c r="F116" s="38"/>
      <c r="G116" s="40"/>
      <c r="H116" s="40">
        <f t="shared" si="38"/>
        <v>0</v>
      </c>
      <c r="I116" s="27"/>
      <c r="J116" s="27"/>
      <c r="K116" s="27"/>
      <c r="L116" s="27"/>
      <c r="M116" s="27"/>
      <c r="N116" s="27"/>
      <c r="O116" s="27"/>
      <c r="P116" s="27"/>
      <c r="Q116" s="27"/>
      <c r="R116" s="27"/>
      <c r="S116" s="27"/>
      <c r="T116" s="27"/>
      <c r="U116" s="27"/>
      <c r="V116" s="27"/>
      <c r="W116" s="27"/>
      <c r="X116" s="27"/>
      <c r="Y116" s="27"/>
      <c r="Z116" s="27"/>
    </row>
    <row r="117" spans="1:26" ht="30" customHeight="1">
      <c r="A117" s="32" t="s">
        <v>734</v>
      </c>
      <c r="B117" s="41" t="s">
        <v>735</v>
      </c>
      <c r="C117" s="34"/>
      <c r="D117" s="34">
        <f t="shared" ref="D117:F117" si="39">SUM(D118+D120)</f>
        <v>0</v>
      </c>
      <c r="E117" s="34">
        <f t="shared" si="39"/>
        <v>70156548.870000005</v>
      </c>
      <c r="F117" s="34">
        <f t="shared" si="39"/>
        <v>114059568.04000001</v>
      </c>
      <c r="G117" s="35"/>
      <c r="H117" s="35">
        <f>SUM(H118+H120)</f>
        <v>43903019.170000002</v>
      </c>
      <c r="I117" s="27"/>
      <c r="J117" s="27"/>
      <c r="K117" s="27"/>
      <c r="L117" s="27"/>
      <c r="M117" s="27"/>
      <c r="N117" s="27"/>
      <c r="O117" s="27"/>
      <c r="P117" s="27"/>
      <c r="Q117" s="27"/>
      <c r="R117" s="27"/>
      <c r="S117" s="27"/>
      <c r="T117" s="27"/>
      <c r="U117" s="27"/>
      <c r="V117" s="27"/>
      <c r="W117" s="27"/>
      <c r="X117" s="27"/>
      <c r="Y117" s="27"/>
      <c r="Z117" s="27"/>
    </row>
    <row r="118" spans="1:26" ht="30" customHeight="1">
      <c r="A118" s="36" t="s">
        <v>736</v>
      </c>
      <c r="B118" s="37" t="s">
        <v>737</v>
      </c>
      <c r="C118" s="42"/>
      <c r="D118" s="38"/>
      <c r="E118" s="38">
        <v>70156548.870000005</v>
      </c>
      <c r="F118" s="38">
        <v>114059568.04000001</v>
      </c>
      <c r="G118" s="40"/>
      <c r="H118" s="40">
        <f>ROUND(D118+F118-E118,2)</f>
        <v>43903019.170000002</v>
      </c>
      <c r="I118" s="27"/>
      <c r="J118" s="27"/>
      <c r="K118" s="27"/>
      <c r="L118" s="27"/>
      <c r="M118" s="27"/>
      <c r="N118" s="27"/>
      <c r="O118" s="27"/>
      <c r="P118" s="27"/>
      <c r="Q118" s="27"/>
      <c r="R118" s="27"/>
      <c r="S118" s="27"/>
      <c r="T118" s="27"/>
      <c r="U118" s="27"/>
      <c r="V118" s="27"/>
      <c r="W118" s="27"/>
      <c r="X118" s="27"/>
      <c r="Y118" s="27"/>
      <c r="Z118" s="27"/>
    </row>
    <row r="119" spans="1:26" ht="30" customHeight="1">
      <c r="A119" s="36" t="s">
        <v>738</v>
      </c>
      <c r="B119" s="37" t="s">
        <v>739</v>
      </c>
      <c r="C119" s="42"/>
      <c r="D119" s="39"/>
      <c r="E119" s="39"/>
      <c r="F119" s="39"/>
      <c r="G119" s="40"/>
      <c r="H119" s="40"/>
      <c r="I119" s="27"/>
      <c r="J119" s="27"/>
      <c r="K119" s="27"/>
      <c r="L119" s="27"/>
      <c r="M119" s="27"/>
      <c r="N119" s="27"/>
      <c r="O119" s="27"/>
      <c r="P119" s="27"/>
      <c r="Q119" s="27"/>
      <c r="R119" s="27"/>
      <c r="S119" s="27"/>
      <c r="T119" s="27"/>
      <c r="U119" s="27"/>
      <c r="V119" s="27"/>
      <c r="W119" s="27"/>
      <c r="X119" s="27"/>
      <c r="Y119" s="27"/>
      <c r="Z119" s="27"/>
    </row>
    <row r="120" spans="1:26" ht="30" customHeight="1">
      <c r="A120" s="36" t="s">
        <v>740</v>
      </c>
      <c r="B120" s="37" t="s">
        <v>741</v>
      </c>
      <c r="C120" s="42"/>
      <c r="D120" s="38"/>
      <c r="E120" s="38"/>
      <c r="F120" s="38"/>
      <c r="G120" s="40"/>
      <c r="H120" s="40">
        <f>ROUND(D120+F120-E120,2)</f>
        <v>0</v>
      </c>
      <c r="I120" s="27"/>
      <c r="J120" s="27"/>
      <c r="K120" s="27"/>
      <c r="L120" s="27"/>
      <c r="M120" s="27"/>
      <c r="N120" s="27"/>
      <c r="O120" s="27"/>
      <c r="P120" s="27"/>
      <c r="Q120" s="27"/>
      <c r="R120" s="27"/>
      <c r="S120" s="27"/>
      <c r="T120" s="27"/>
      <c r="U120" s="27"/>
      <c r="V120" s="27"/>
      <c r="W120" s="27"/>
      <c r="X120" s="27"/>
      <c r="Y120" s="27"/>
      <c r="Z120" s="27"/>
    </row>
    <row r="121" spans="1:26" ht="30" customHeight="1">
      <c r="A121" s="32" t="s">
        <v>742</v>
      </c>
      <c r="B121" s="41" t="s">
        <v>743</v>
      </c>
      <c r="C121" s="34"/>
      <c r="D121" s="34">
        <f t="shared" ref="D121:F121" si="40">SUM(D122)</f>
        <v>300000000</v>
      </c>
      <c r="E121" s="34">
        <f t="shared" si="40"/>
        <v>200000000</v>
      </c>
      <c r="F121" s="34">
        <f t="shared" si="40"/>
        <v>0</v>
      </c>
      <c r="G121" s="35"/>
      <c r="H121" s="35">
        <f>SUM(H122)</f>
        <v>100000000</v>
      </c>
      <c r="I121" s="27"/>
      <c r="J121" s="27"/>
      <c r="K121" s="27"/>
      <c r="L121" s="27"/>
      <c r="M121" s="27"/>
      <c r="N121" s="27"/>
      <c r="O121" s="27"/>
      <c r="P121" s="27"/>
      <c r="Q121" s="27"/>
      <c r="R121" s="27"/>
      <c r="S121" s="27"/>
      <c r="T121" s="27"/>
      <c r="U121" s="27"/>
      <c r="V121" s="27"/>
      <c r="W121" s="27"/>
      <c r="X121" s="27"/>
      <c r="Y121" s="27"/>
      <c r="Z121" s="27"/>
    </row>
    <row r="122" spans="1:26" ht="30" customHeight="1">
      <c r="A122" s="36" t="s">
        <v>744</v>
      </c>
      <c r="B122" s="37" t="s">
        <v>745</v>
      </c>
      <c r="C122" s="42"/>
      <c r="D122" s="38">
        <v>300000000</v>
      </c>
      <c r="E122" s="38">
        <v>200000000</v>
      </c>
      <c r="F122" s="38"/>
      <c r="G122" s="40"/>
      <c r="H122" s="40">
        <f>ROUND(D122+F122-E122,2)</f>
        <v>100000000</v>
      </c>
      <c r="I122" s="27"/>
      <c r="J122" s="27"/>
      <c r="K122" s="27"/>
      <c r="L122" s="27"/>
      <c r="M122" s="27"/>
      <c r="N122" s="27"/>
      <c r="O122" s="27"/>
      <c r="P122" s="27"/>
      <c r="Q122" s="27"/>
      <c r="R122" s="27"/>
      <c r="S122" s="27"/>
      <c r="T122" s="27"/>
      <c r="U122" s="27"/>
      <c r="V122" s="27"/>
      <c r="W122" s="27"/>
      <c r="X122" s="27"/>
      <c r="Y122" s="27"/>
      <c r="Z122" s="27"/>
    </row>
    <row r="123" spans="1:26" ht="30" customHeight="1">
      <c r="A123" s="36" t="s">
        <v>746</v>
      </c>
      <c r="B123" s="37" t="s">
        <v>747</v>
      </c>
      <c r="C123" s="42"/>
      <c r="D123" s="39"/>
      <c r="E123" s="39"/>
      <c r="F123" s="39"/>
      <c r="G123" s="40"/>
      <c r="H123" s="40"/>
      <c r="I123" s="27"/>
      <c r="J123" s="27"/>
      <c r="K123" s="27"/>
      <c r="L123" s="27"/>
      <c r="M123" s="27"/>
      <c r="N123" s="27"/>
      <c r="O123" s="27"/>
      <c r="P123" s="27"/>
      <c r="Q123" s="27"/>
      <c r="R123" s="27"/>
      <c r="S123" s="27"/>
      <c r="T123" s="27"/>
      <c r="U123" s="27"/>
      <c r="V123" s="27"/>
      <c r="W123" s="27"/>
      <c r="X123" s="27"/>
      <c r="Y123" s="27"/>
      <c r="Z123" s="27"/>
    </row>
    <row r="124" spans="1:26" ht="30" customHeight="1">
      <c r="A124" s="32" t="s">
        <v>748</v>
      </c>
      <c r="B124" s="41" t="s">
        <v>749</v>
      </c>
      <c r="C124" s="34"/>
      <c r="D124" s="34">
        <f t="shared" ref="D124:F124" si="41">SUM(D125:D127)</f>
        <v>0</v>
      </c>
      <c r="E124" s="34">
        <f t="shared" si="41"/>
        <v>0</v>
      </c>
      <c r="F124" s="34">
        <f t="shared" si="41"/>
        <v>0</v>
      </c>
      <c r="G124" s="35"/>
      <c r="H124" s="35">
        <f>SUM(H125:H127)</f>
        <v>0</v>
      </c>
      <c r="I124" s="27"/>
      <c r="J124" s="27"/>
      <c r="K124" s="27"/>
      <c r="L124" s="27"/>
      <c r="M124" s="27"/>
      <c r="N124" s="27"/>
      <c r="O124" s="27"/>
      <c r="P124" s="27"/>
      <c r="Q124" s="27"/>
      <c r="R124" s="27"/>
      <c r="S124" s="27"/>
      <c r="T124" s="27"/>
      <c r="U124" s="27"/>
      <c r="V124" s="27"/>
      <c r="W124" s="27"/>
      <c r="X124" s="27"/>
      <c r="Y124" s="27"/>
      <c r="Z124" s="27"/>
    </row>
    <row r="125" spans="1:26" ht="30" customHeight="1">
      <c r="A125" s="36" t="s">
        <v>750</v>
      </c>
      <c r="B125" s="37" t="s">
        <v>751</v>
      </c>
      <c r="C125" s="42"/>
      <c r="D125" s="38"/>
      <c r="E125" s="38"/>
      <c r="F125" s="38"/>
      <c r="G125" s="40"/>
      <c r="H125" s="40">
        <f t="shared" ref="H125:H127" si="42">ROUND(D125+F125-E125,2)</f>
        <v>0</v>
      </c>
      <c r="I125" s="27"/>
      <c r="J125" s="27"/>
      <c r="K125" s="27"/>
      <c r="L125" s="27"/>
      <c r="M125" s="27"/>
      <c r="N125" s="27"/>
      <c r="O125" s="27"/>
      <c r="P125" s="27"/>
      <c r="Q125" s="27"/>
      <c r="R125" s="27"/>
      <c r="S125" s="27"/>
      <c r="T125" s="27"/>
      <c r="U125" s="27"/>
      <c r="V125" s="27"/>
      <c r="W125" s="27"/>
      <c r="X125" s="27"/>
      <c r="Y125" s="27"/>
      <c r="Z125" s="27"/>
    </row>
    <row r="126" spans="1:26" ht="30" customHeight="1">
      <c r="A126" s="36" t="s">
        <v>752</v>
      </c>
      <c r="B126" s="37" t="s">
        <v>753</v>
      </c>
      <c r="C126" s="42"/>
      <c r="D126" s="38"/>
      <c r="E126" s="38"/>
      <c r="F126" s="38"/>
      <c r="G126" s="40"/>
      <c r="H126" s="40">
        <f t="shared" si="42"/>
        <v>0</v>
      </c>
      <c r="I126" s="27"/>
      <c r="J126" s="27"/>
      <c r="K126" s="27"/>
      <c r="L126" s="27"/>
      <c r="M126" s="27"/>
      <c r="N126" s="27"/>
      <c r="O126" s="27"/>
      <c r="P126" s="27"/>
      <c r="Q126" s="27"/>
      <c r="R126" s="27"/>
      <c r="S126" s="27"/>
      <c r="T126" s="27"/>
      <c r="U126" s="27"/>
      <c r="V126" s="27"/>
      <c r="W126" s="27"/>
      <c r="X126" s="27"/>
      <c r="Y126" s="27"/>
      <c r="Z126" s="27"/>
    </row>
    <row r="127" spans="1:26" ht="30" customHeight="1">
      <c r="A127" s="36" t="s">
        <v>754</v>
      </c>
      <c r="B127" s="37" t="s">
        <v>755</v>
      </c>
      <c r="C127" s="42"/>
      <c r="D127" s="38"/>
      <c r="E127" s="38"/>
      <c r="F127" s="38"/>
      <c r="G127" s="40"/>
      <c r="H127" s="40">
        <f t="shared" si="42"/>
        <v>0</v>
      </c>
      <c r="I127" s="27"/>
      <c r="J127" s="27"/>
      <c r="K127" s="27"/>
      <c r="L127" s="27"/>
      <c r="M127" s="27"/>
      <c r="N127" s="27"/>
      <c r="O127" s="27"/>
      <c r="P127" s="27"/>
      <c r="Q127" s="27"/>
      <c r="R127" s="27"/>
      <c r="S127" s="27"/>
      <c r="T127" s="27"/>
      <c r="U127" s="27"/>
      <c r="V127" s="27"/>
      <c r="W127" s="27"/>
      <c r="X127" s="27"/>
      <c r="Y127" s="27"/>
      <c r="Z127" s="27"/>
    </row>
    <row r="128" spans="1:26" ht="30" customHeight="1">
      <c r="A128" s="32" t="s">
        <v>756</v>
      </c>
      <c r="B128" s="41" t="s">
        <v>757</v>
      </c>
      <c r="C128" s="34"/>
      <c r="D128" s="34">
        <f t="shared" ref="D128:F128" si="43">SUM(D129:D134)</f>
        <v>779633.11</v>
      </c>
      <c r="E128" s="34">
        <f t="shared" si="43"/>
        <v>0</v>
      </c>
      <c r="F128" s="34">
        <f t="shared" si="43"/>
        <v>-88948.49</v>
      </c>
      <c r="G128" s="35"/>
      <c r="H128" s="35">
        <f>SUM(H129:H134)</f>
        <v>690684.62</v>
      </c>
      <c r="I128" s="27"/>
      <c r="J128" s="27"/>
      <c r="K128" s="27"/>
      <c r="L128" s="27"/>
      <c r="M128" s="27"/>
      <c r="N128" s="27"/>
      <c r="O128" s="27"/>
      <c r="P128" s="27"/>
      <c r="Q128" s="27"/>
      <c r="R128" s="27"/>
      <c r="S128" s="27"/>
      <c r="T128" s="27"/>
      <c r="U128" s="27"/>
      <c r="V128" s="27"/>
      <c r="W128" s="27"/>
      <c r="X128" s="27"/>
      <c r="Y128" s="27"/>
      <c r="Z128" s="27"/>
    </row>
    <row r="129" spans="1:26" ht="30" customHeight="1">
      <c r="A129" s="36" t="s">
        <v>758</v>
      </c>
      <c r="B129" s="37" t="s">
        <v>759</v>
      </c>
      <c r="C129" s="42"/>
      <c r="D129" s="38">
        <v>782517.26</v>
      </c>
      <c r="E129" s="38"/>
      <c r="F129" s="38">
        <v>-88949.49</v>
      </c>
      <c r="G129" s="40"/>
      <c r="H129" s="40">
        <f t="shared" ref="H129:H134" si="44">ROUND(D129+F129-E129,2)</f>
        <v>693567.77</v>
      </c>
      <c r="I129" s="27"/>
      <c r="J129" s="27"/>
      <c r="K129" s="27"/>
      <c r="L129" s="27"/>
      <c r="M129" s="27"/>
      <c r="N129" s="27"/>
      <c r="O129" s="27"/>
      <c r="P129" s="27"/>
      <c r="Q129" s="27"/>
      <c r="R129" s="27"/>
      <c r="S129" s="27"/>
      <c r="T129" s="27"/>
      <c r="U129" s="27"/>
      <c r="V129" s="27"/>
      <c r="W129" s="27"/>
      <c r="X129" s="27"/>
      <c r="Y129" s="27"/>
      <c r="Z129" s="27"/>
    </row>
    <row r="130" spans="1:26" ht="30" customHeight="1">
      <c r="A130" s="36" t="s">
        <v>760</v>
      </c>
      <c r="B130" s="37" t="s">
        <v>761</v>
      </c>
      <c r="C130" s="42"/>
      <c r="D130" s="38">
        <v>-2884.15</v>
      </c>
      <c r="E130" s="38"/>
      <c r="F130" s="38">
        <v>1</v>
      </c>
      <c r="G130" s="40"/>
      <c r="H130" s="40">
        <f t="shared" si="44"/>
        <v>-2883.15</v>
      </c>
      <c r="I130" s="27"/>
      <c r="J130" s="27"/>
      <c r="K130" s="27"/>
      <c r="L130" s="27"/>
      <c r="M130" s="27"/>
      <c r="N130" s="27"/>
      <c r="O130" s="27"/>
      <c r="P130" s="27"/>
      <c r="Q130" s="27"/>
      <c r="R130" s="27"/>
      <c r="S130" s="27"/>
      <c r="T130" s="27"/>
      <c r="U130" s="27"/>
      <c r="V130" s="27"/>
      <c r="W130" s="27"/>
      <c r="X130" s="27"/>
      <c r="Y130" s="27"/>
      <c r="Z130" s="27"/>
    </row>
    <row r="131" spans="1:26" ht="30" customHeight="1">
      <c r="A131" s="36" t="s">
        <v>762</v>
      </c>
      <c r="B131" s="37" t="s">
        <v>763</v>
      </c>
      <c r="C131" s="42"/>
      <c r="D131" s="38"/>
      <c r="E131" s="38"/>
      <c r="F131" s="38"/>
      <c r="G131" s="40"/>
      <c r="H131" s="40">
        <f t="shared" si="44"/>
        <v>0</v>
      </c>
      <c r="I131" s="27"/>
      <c r="J131" s="27"/>
      <c r="K131" s="27"/>
      <c r="L131" s="27"/>
      <c r="M131" s="27"/>
      <c r="N131" s="27"/>
      <c r="O131" s="27"/>
      <c r="P131" s="27"/>
      <c r="Q131" s="27"/>
      <c r="R131" s="27"/>
      <c r="S131" s="27"/>
      <c r="T131" s="27"/>
      <c r="U131" s="27"/>
      <c r="V131" s="27"/>
      <c r="W131" s="27"/>
      <c r="X131" s="27"/>
      <c r="Y131" s="27"/>
      <c r="Z131" s="27"/>
    </row>
    <row r="132" spans="1:26" ht="30" customHeight="1">
      <c r="A132" s="36" t="s">
        <v>764</v>
      </c>
      <c r="B132" s="37" t="s">
        <v>765</v>
      </c>
      <c r="C132" s="42"/>
      <c r="D132" s="38"/>
      <c r="E132" s="38"/>
      <c r="F132" s="38"/>
      <c r="G132" s="40"/>
      <c r="H132" s="40">
        <f t="shared" si="44"/>
        <v>0</v>
      </c>
      <c r="I132" s="27"/>
      <c r="J132" s="27"/>
      <c r="K132" s="27"/>
      <c r="L132" s="27"/>
      <c r="M132" s="27"/>
      <c r="N132" s="27"/>
      <c r="O132" s="27"/>
      <c r="P132" s="27"/>
      <c r="Q132" s="27"/>
      <c r="R132" s="27"/>
      <c r="S132" s="27"/>
      <c r="T132" s="27"/>
      <c r="U132" s="27"/>
      <c r="V132" s="27"/>
      <c r="W132" s="27"/>
      <c r="X132" s="27"/>
      <c r="Y132" s="27"/>
      <c r="Z132" s="27"/>
    </row>
    <row r="133" spans="1:26" ht="30" customHeight="1">
      <c r="A133" s="36" t="s">
        <v>766</v>
      </c>
      <c r="B133" s="37" t="s">
        <v>767</v>
      </c>
      <c r="C133" s="42"/>
      <c r="D133" s="38"/>
      <c r="E133" s="38"/>
      <c r="F133" s="38"/>
      <c r="G133" s="40"/>
      <c r="H133" s="40">
        <f t="shared" si="44"/>
        <v>0</v>
      </c>
      <c r="I133" s="27"/>
      <c r="J133" s="27"/>
      <c r="K133" s="27"/>
      <c r="L133" s="27"/>
      <c r="M133" s="27"/>
      <c r="N133" s="27"/>
      <c r="O133" s="27"/>
      <c r="P133" s="27"/>
      <c r="Q133" s="27"/>
      <c r="R133" s="27"/>
      <c r="S133" s="27"/>
      <c r="T133" s="27"/>
      <c r="U133" s="27"/>
      <c r="V133" s="27"/>
      <c r="W133" s="27"/>
      <c r="X133" s="27"/>
      <c r="Y133" s="27"/>
      <c r="Z133" s="27"/>
    </row>
    <row r="134" spans="1:26" ht="30" customHeight="1">
      <c r="A134" s="36" t="s">
        <v>768</v>
      </c>
      <c r="B134" s="37" t="s">
        <v>769</v>
      </c>
      <c r="C134" s="42"/>
      <c r="D134" s="38"/>
      <c r="E134" s="38"/>
      <c r="F134" s="38"/>
      <c r="G134" s="40"/>
      <c r="H134" s="40">
        <f t="shared" si="44"/>
        <v>0</v>
      </c>
      <c r="I134" s="27"/>
      <c r="J134" s="27"/>
      <c r="K134" s="27"/>
      <c r="L134" s="27"/>
      <c r="M134" s="27"/>
      <c r="N134" s="27"/>
      <c r="O134" s="27"/>
      <c r="P134" s="27"/>
      <c r="Q134" s="27"/>
      <c r="R134" s="27"/>
      <c r="S134" s="27"/>
      <c r="T134" s="27"/>
      <c r="U134" s="27"/>
      <c r="V134" s="27"/>
      <c r="W134" s="27"/>
      <c r="X134" s="27"/>
      <c r="Y134" s="27"/>
      <c r="Z134" s="27"/>
    </row>
    <row r="135" spans="1:26" ht="30" customHeight="1">
      <c r="A135" s="32" t="s">
        <v>770</v>
      </c>
      <c r="B135" s="41" t="s">
        <v>771</v>
      </c>
      <c r="C135" s="34"/>
      <c r="D135" s="34">
        <f t="shared" ref="D135:F135" si="45">SUM(D136:D138)</f>
        <v>109800</v>
      </c>
      <c r="E135" s="34">
        <f t="shared" si="45"/>
        <v>0</v>
      </c>
      <c r="F135" s="34">
        <f t="shared" si="45"/>
        <v>0</v>
      </c>
      <c r="G135" s="35"/>
      <c r="H135" s="35">
        <f>SUM(H136:H138)</f>
        <v>109800</v>
      </c>
      <c r="I135" s="27"/>
      <c r="J135" s="27"/>
      <c r="K135" s="27"/>
      <c r="L135" s="27"/>
      <c r="M135" s="27"/>
      <c r="N135" s="27"/>
      <c r="O135" s="27"/>
      <c r="P135" s="27"/>
      <c r="Q135" s="27"/>
      <c r="R135" s="27"/>
      <c r="S135" s="27"/>
      <c r="T135" s="27"/>
      <c r="U135" s="27"/>
      <c r="V135" s="27"/>
      <c r="W135" s="27"/>
      <c r="X135" s="27"/>
      <c r="Y135" s="27"/>
      <c r="Z135" s="27"/>
    </row>
    <row r="136" spans="1:26" ht="30" customHeight="1">
      <c r="A136" s="36" t="s">
        <v>772</v>
      </c>
      <c r="B136" s="37" t="s">
        <v>773</v>
      </c>
      <c r="C136" s="42"/>
      <c r="D136" s="38"/>
      <c r="E136" s="38"/>
      <c r="F136" s="38"/>
      <c r="G136" s="40"/>
      <c r="H136" s="40">
        <f t="shared" ref="H136:H138" si="46">ROUND(D136+F136-E136,2)</f>
        <v>0</v>
      </c>
      <c r="I136" s="27"/>
      <c r="J136" s="27"/>
      <c r="K136" s="27"/>
      <c r="L136" s="27"/>
      <c r="M136" s="27"/>
      <c r="N136" s="27"/>
      <c r="O136" s="27"/>
      <c r="P136" s="27"/>
      <c r="Q136" s="27"/>
      <c r="R136" s="27"/>
      <c r="S136" s="27"/>
      <c r="T136" s="27"/>
      <c r="U136" s="27"/>
      <c r="V136" s="27"/>
      <c r="W136" s="27"/>
      <c r="X136" s="27"/>
      <c r="Y136" s="27"/>
      <c r="Z136" s="27"/>
    </row>
    <row r="137" spans="1:26" ht="30" customHeight="1">
      <c r="A137" s="36" t="s">
        <v>774</v>
      </c>
      <c r="B137" s="37" t="s">
        <v>775</v>
      </c>
      <c r="C137" s="42"/>
      <c r="D137" s="38">
        <v>109800</v>
      </c>
      <c r="E137" s="38"/>
      <c r="F137" s="38"/>
      <c r="G137" s="40"/>
      <c r="H137" s="40">
        <f t="shared" si="46"/>
        <v>109800</v>
      </c>
      <c r="I137" s="27"/>
      <c r="J137" s="27"/>
      <c r="K137" s="27"/>
      <c r="L137" s="27"/>
      <c r="M137" s="27"/>
      <c r="N137" s="27"/>
      <c r="O137" s="27"/>
      <c r="P137" s="27"/>
      <c r="Q137" s="27"/>
      <c r="R137" s="27"/>
      <c r="S137" s="27"/>
      <c r="T137" s="27"/>
      <c r="U137" s="27"/>
      <c r="V137" s="27"/>
      <c r="W137" s="27"/>
      <c r="X137" s="27"/>
      <c r="Y137" s="27"/>
      <c r="Z137" s="27"/>
    </row>
    <row r="138" spans="1:26" ht="30" customHeight="1">
      <c r="A138" s="36" t="s">
        <v>776</v>
      </c>
      <c r="B138" s="37" t="s">
        <v>777</v>
      </c>
      <c r="C138" s="42"/>
      <c r="D138" s="38"/>
      <c r="E138" s="38"/>
      <c r="F138" s="38"/>
      <c r="G138" s="40"/>
      <c r="H138" s="40">
        <f t="shared" si="46"/>
        <v>0</v>
      </c>
      <c r="I138" s="27"/>
      <c r="J138" s="27"/>
      <c r="K138" s="27"/>
      <c r="L138" s="27"/>
      <c r="M138" s="27"/>
      <c r="N138" s="27"/>
      <c r="O138" s="27"/>
      <c r="P138" s="27"/>
      <c r="Q138" s="27"/>
      <c r="R138" s="27"/>
      <c r="S138" s="27"/>
      <c r="T138" s="27"/>
      <c r="U138" s="27"/>
      <c r="V138" s="27"/>
      <c r="W138" s="27"/>
      <c r="X138" s="27"/>
      <c r="Y138" s="27"/>
      <c r="Z138" s="27"/>
    </row>
    <row r="139" spans="1:26" ht="30" customHeight="1">
      <c r="A139" s="32" t="s">
        <v>778</v>
      </c>
      <c r="B139" s="41" t="s">
        <v>779</v>
      </c>
      <c r="C139" s="34"/>
      <c r="D139" s="34">
        <f t="shared" ref="D139:F139" si="47">SUM(D140:D142)</f>
        <v>103367.21</v>
      </c>
      <c r="E139" s="34">
        <f t="shared" si="47"/>
        <v>58927451.079999998</v>
      </c>
      <c r="F139" s="34">
        <f t="shared" si="47"/>
        <v>59442684.649999999</v>
      </c>
      <c r="G139" s="35"/>
      <c r="H139" s="35">
        <f>SUM(H140:H142)</f>
        <v>618600.78</v>
      </c>
      <c r="I139" s="27"/>
      <c r="J139" s="27"/>
      <c r="K139" s="27"/>
      <c r="L139" s="27"/>
      <c r="M139" s="27"/>
      <c r="N139" s="27"/>
      <c r="O139" s="27"/>
      <c r="P139" s="27"/>
      <c r="Q139" s="27"/>
      <c r="R139" s="27"/>
      <c r="S139" s="27"/>
      <c r="T139" s="27"/>
      <c r="U139" s="27"/>
      <c r="V139" s="27"/>
      <c r="W139" s="27"/>
      <c r="X139" s="27"/>
      <c r="Y139" s="27"/>
      <c r="Z139" s="27"/>
    </row>
    <row r="140" spans="1:26" ht="30" customHeight="1">
      <c r="A140" s="36" t="s">
        <v>780</v>
      </c>
      <c r="B140" s="37" t="s">
        <v>781</v>
      </c>
      <c r="C140" s="42"/>
      <c r="D140" s="38">
        <v>103367.21</v>
      </c>
      <c r="E140" s="38">
        <v>0</v>
      </c>
      <c r="F140" s="38">
        <v>515233.57</v>
      </c>
      <c r="G140" s="40"/>
      <c r="H140" s="40">
        <f t="shared" ref="H140:H142" si="48">ROUND(D140+F140-E140,2)</f>
        <v>618600.78</v>
      </c>
      <c r="I140" s="27"/>
      <c r="J140" s="27"/>
      <c r="K140" s="27"/>
      <c r="L140" s="27"/>
      <c r="M140" s="27"/>
      <c r="N140" s="27"/>
      <c r="O140" s="27"/>
      <c r="P140" s="27"/>
      <c r="Q140" s="27"/>
      <c r="R140" s="27"/>
      <c r="S140" s="27"/>
      <c r="T140" s="27"/>
      <c r="U140" s="27"/>
      <c r="V140" s="27"/>
      <c r="W140" s="27"/>
      <c r="X140" s="27"/>
      <c r="Y140" s="27"/>
      <c r="Z140" s="27"/>
    </row>
    <row r="141" spans="1:26" ht="30" customHeight="1">
      <c r="A141" s="36" t="s">
        <v>782</v>
      </c>
      <c r="B141" s="37" t="s">
        <v>783</v>
      </c>
      <c r="C141" s="42"/>
      <c r="D141" s="38"/>
      <c r="E141" s="38">
        <v>58927451.079999998</v>
      </c>
      <c r="F141" s="38">
        <v>58927451.079999998</v>
      </c>
      <c r="G141" s="40"/>
      <c r="H141" s="40">
        <f t="shared" si="48"/>
        <v>0</v>
      </c>
      <c r="I141" s="27"/>
      <c r="J141" s="27"/>
      <c r="K141" s="27"/>
      <c r="L141" s="27"/>
      <c r="M141" s="27"/>
      <c r="N141" s="27"/>
      <c r="O141" s="27"/>
      <c r="P141" s="27"/>
      <c r="Q141" s="27"/>
      <c r="R141" s="27"/>
      <c r="S141" s="27"/>
      <c r="T141" s="27"/>
      <c r="U141" s="27"/>
      <c r="V141" s="27"/>
      <c r="W141" s="27"/>
      <c r="X141" s="27"/>
      <c r="Y141" s="27"/>
      <c r="Z141" s="27"/>
    </row>
    <row r="142" spans="1:26" ht="30" customHeight="1">
      <c r="A142" s="36" t="s">
        <v>784</v>
      </c>
      <c r="B142" s="37" t="s">
        <v>785</v>
      </c>
      <c r="C142" s="42"/>
      <c r="D142" s="38"/>
      <c r="E142" s="38"/>
      <c r="F142" s="38"/>
      <c r="G142" s="40"/>
      <c r="H142" s="40">
        <f t="shared" si="48"/>
        <v>0</v>
      </c>
      <c r="I142" s="27"/>
      <c r="J142" s="27"/>
      <c r="K142" s="27"/>
      <c r="L142" s="27"/>
      <c r="M142" s="27"/>
      <c r="N142" s="27"/>
      <c r="O142" s="27"/>
      <c r="P142" s="27"/>
      <c r="Q142" s="27"/>
      <c r="R142" s="27"/>
      <c r="S142" s="27"/>
      <c r="T142" s="27"/>
      <c r="U142" s="27"/>
      <c r="V142" s="27"/>
      <c r="W142" s="27"/>
      <c r="X142" s="27"/>
      <c r="Y142" s="27"/>
      <c r="Z142" s="27"/>
    </row>
    <row r="143" spans="1:26" ht="30" customHeight="1">
      <c r="A143" s="28" t="s">
        <v>786</v>
      </c>
      <c r="B143" s="47" t="s">
        <v>787</v>
      </c>
      <c r="C143" s="30"/>
      <c r="D143" s="30">
        <f t="shared" ref="D143:F143" si="49">SUM(D144+D147+D151+D157+D161+D168)</f>
        <v>1077738973.26</v>
      </c>
      <c r="E143" s="30">
        <f t="shared" si="49"/>
        <v>114059568.04000001</v>
      </c>
      <c r="F143" s="30">
        <f t="shared" si="49"/>
        <v>0</v>
      </c>
      <c r="G143" s="31"/>
      <c r="H143" s="31">
        <f>SUM(H144+H147+H151+H157+H161+H168)</f>
        <v>963679405.22000003</v>
      </c>
      <c r="I143" s="27"/>
      <c r="J143" s="27"/>
      <c r="K143" s="27"/>
      <c r="L143" s="27"/>
      <c r="M143" s="27"/>
      <c r="N143" s="27"/>
      <c r="O143" s="27"/>
      <c r="P143" s="27"/>
      <c r="Q143" s="27"/>
      <c r="R143" s="27"/>
      <c r="S143" s="27"/>
      <c r="T143" s="27"/>
      <c r="U143" s="27"/>
      <c r="V143" s="27"/>
      <c r="W143" s="27"/>
      <c r="X143" s="27"/>
      <c r="Y143" s="27"/>
      <c r="Z143" s="27"/>
    </row>
    <row r="144" spans="1:26" ht="30" customHeight="1">
      <c r="A144" s="32" t="s">
        <v>788</v>
      </c>
      <c r="B144" s="33" t="s">
        <v>789</v>
      </c>
      <c r="C144" s="34"/>
      <c r="D144" s="34">
        <f t="shared" ref="D144:F144" si="50">SUM(D145:D146)</f>
        <v>0</v>
      </c>
      <c r="E144" s="34">
        <f t="shared" si="50"/>
        <v>0</v>
      </c>
      <c r="F144" s="34">
        <f t="shared" si="50"/>
        <v>0</v>
      </c>
      <c r="G144" s="35"/>
      <c r="H144" s="35">
        <f>SUM(H145:H146)</f>
        <v>0</v>
      </c>
      <c r="I144" s="27"/>
      <c r="J144" s="27"/>
      <c r="K144" s="27"/>
      <c r="L144" s="27"/>
      <c r="M144" s="27"/>
      <c r="N144" s="27"/>
      <c r="O144" s="27"/>
      <c r="P144" s="27"/>
      <c r="Q144" s="27"/>
      <c r="R144" s="27"/>
      <c r="S144" s="27"/>
      <c r="T144" s="27"/>
      <c r="U144" s="27"/>
      <c r="V144" s="27"/>
      <c r="W144" s="27"/>
      <c r="X144" s="27"/>
      <c r="Y144" s="27"/>
      <c r="Z144" s="27"/>
    </row>
    <row r="145" spans="1:26" ht="30" customHeight="1">
      <c r="A145" s="36" t="s">
        <v>790</v>
      </c>
      <c r="B145" s="37" t="s">
        <v>791</v>
      </c>
      <c r="C145" s="42"/>
      <c r="D145" s="38"/>
      <c r="E145" s="38"/>
      <c r="F145" s="38"/>
      <c r="G145" s="40"/>
      <c r="H145" s="40">
        <f t="shared" ref="H145:H146" si="51">ROUND(D145+F145-E145,2)</f>
        <v>0</v>
      </c>
      <c r="I145" s="27"/>
      <c r="J145" s="27"/>
      <c r="K145" s="27"/>
      <c r="L145" s="27"/>
      <c r="M145" s="27"/>
      <c r="N145" s="27"/>
      <c r="O145" s="27"/>
      <c r="P145" s="27"/>
      <c r="Q145" s="27"/>
      <c r="R145" s="27"/>
      <c r="S145" s="27"/>
      <c r="T145" s="27"/>
      <c r="U145" s="27"/>
      <c r="V145" s="27"/>
      <c r="W145" s="27"/>
      <c r="X145" s="27"/>
      <c r="Y145" s="27"/>
      <c r="Z145" s="27"/>
    </row>
    <row r="146" spans="1:26" ht="30" customHeight="1">
      <c r="A146" s="36" t="s">
        <v>792</v>
      </c>
      <c r="B146" s="37" t="s">
        <v>793</v>
      </c>
      <c r="C146" s="42"/>
      <c r="D146" s="38"/>
      <c r="E146" s="38"/>
      <c r="F146" s="38"/>
      <c r="G146" s="40"/>
      <c r="H146" s="40">
        <f t="shared" si="51"/>
        <v>0</v>
      </c>
      <c r="I146" s="27"/>
      <c r="J146" s="27"/>
      <c r="K146" s="27"/>
      <c r="L146" s="27"/>
      <c r="M146" s="27"/>
      <c r="N146" s="27"/>
      <c r="O146" s="27"/>
      <c r="P146" s="27"/>
      <c r="Q146" s="27"/>
      <c r="R146" s="27"/>
      <c r="S146" s="27"/>
      <c r="T146" s="27"/>
      <c r="U146" s="27"/>
      <c r="V146" s="27"/>
      <c r="W146" s="27"/>
      <c r="X146" s="27"/>
      <c r="Y146" s="27"/>
      <c r="Z146" s="27"/>
    </row>
    <row r="147" spans="1:26" ht="30" customHeight="1">
      <c r="A147" s="32" t="s">
        <v>794</v>
      </c>
      <c r="B147" s="41" t="s">
        <v>795</v>
      </c>
      <c r="C147" s="34"/>
      <c r="D147" s="34">
        <f t="shared" ref="D147:F147" si="52">SUM(D148:D150)</f>
        <v>0</v>
      </c>
      <c r="E147" s="34">
        <f t="shared" si="52"/>
        <v>0</v>
      </c>
      <c r="F147" s="34">
        <f t="shared" si="52"/>
        <v>0</v>
      </c>
      <c r="G147" s="35"/>
      <c r="H147" s="35">
        <f>SUM(H148:H150)</f>
        <v>0</v>
      </c>
      <c r="I147" s="27"/>
      <c r="J147" s="27"/>
      <c r="K147" s="27"/>
      <c r="L147" s="27"/>
      <c r="M147" s="27"/>
      <c r="N147" s="27"/>
      <c r="O147" s="27"/>
      <c r="P147" s="27"/>
      <c r="Q147" s="27"/>
      <c r="R147" s="27"/>
      <c r="S147" s="27"/>
      <c r="T147" s="27"/>
      <c r="U147" s="27"/>
      <c r="V147" s="27"/>
      <c r="W147" s="27"/>
      <c r="X147" s="27"/>
      <c r="Y147" s="27"/>
      <c r="Z147" s="27"/>
    </row>
    <row r="148" spans="1:26" ht="30" customHeight="1">
      <c r="A148" s="36" t="s">
        <v>796</v>
      </c>
      <c r="B148" s="37" t="s">
        <v>797</v>
      </c>
      <c r="C148" s="42"/>
      <c r="D148" s="38"/>
      <c r="E148" s="38"/>
      <c r="F148" s="38"/>
      <c r="G148" s="40"/>
      <c r="H148" s="40">
        <f t="shared" ref="H148:H150" si="53">ROUND(D148+F148-E148,2)</f>
        <v>0</v>
      </c>
      <c r="I148" s="27"/>
      <c r="J148" s="27"/>
      <c r="K148" s="27"/>
      <c r="L148" s="27"/>
      <c r="M148" s="27"/>
      <c r="N148" s="27"/>
      <c r="O148" s="27"/>
      <c r="P148" s="27"/>
      <c r="Q148" s="27"/>
      <c r="R148" s="27"/>
      <c r="S148" s="27"/>
      <c r="T148" s="27"/>
      <c r="U148" s="27"/>
      <c r="V148" s="27"/>
      <c r="W148" s="27"/>
      <c r="X148" s="27"/>
      <c r="Y148" s="27"/>
      <c r="Z148" s="27"/>
    </row>
    <row r="149" spans="1:26" ht="30" customHeight="1">
      <c r="A149" s="36" t="s">
        <v>798</v>
      </c>
      <c r="B149" s="37" t="s">
        <v>799</v>
      </c>
      <c r="C149" s="42"/>
      <c r="D149" s="38"/>
      <c r="E149" s="38"/>
      <c r="F149" s="38"/>
      <c r="G149" s="40"/>
      <c r="H149" s="40">
        <f t="shared" si="53"/>
        <v>0</v>
      </c>
      <c r="I149" s="27"/>
      <c r="J149" s="27"/>
      <c r="K149" s="27"/>
      <c r="L149" s="27"/>
      <c r="M149" s="27"/>
      <c r="N149" s="27"/>
      <c r="O149" s="27"/>
      <c r="P149" s="27"/>
      <c r="Q149" s="27"/>
      <c r="R149" s="27"/>
      <c r="S149" s="27"/>
      <c r="T149" s="27"/>
      <c r="U149" s="27"/>
      <c r="V149" s="27"/>
      <c r="W149" s="27"/>
      <c r="X149" s="27"/>
      <c r="Y149" s="27"/>
      <c r="Z149" s="27"/>
    </row>
    <row r="150" spans="1:26" ht="30" customHeight="1">
      <c r="A150" s="36" t="s">
        <v>800</v>
      </c>
      <c r="B150" s="37" t="s">
        <v>801</v>
      </c>
      <c r="C150" s="42"/>
      <c r="D150" s="38"/>
      <c r="E150" s="38"/>
      <c r="F150" s="38"/>
      <c r="G150" s="40"/>
      <c r="H150" s="40">
        <f t="shared" si="53"/>
        <v>0</v>
      </c>
      <c r="I150" s="27"/>
      <c r="J150" s="27"/>
      <c r="K150" s="27"/>
      <c r="L150" s="27"/>
      <c r="M150" s="27"/>
      <c r="N150" s="27"/>
      <c r="O150" s="27"/>
      <c r="P150" s="27"/>
      <c r="Q150" s="27"/>
      <c r="R150" s="27"/>
      <c r="S150" s="27"/>
      <c r="T150" s="27"/>
      <c r="U150" s="27"/>
      <c r="V150" s="27"/>
      <c r="W150" s="27"/>
      <c r="X150" s="27"/>
      <c r="Y150" s="27"/>
      <c r="Z150" s="27"/>
    </row>
    <row r="151" spans="1:26" ht="30" customHeight="1">
      <c r="A151" s="32" t="s">
        <v>802</v>
      </c>
      <c r="B151" s="41" t="s">
        <v>803</v>
      </c>
      <c r="C151" s="34"/>
      <c r="D151" s="34">
        <f t="shared" ref="D151:F151" si="54">SUM(D152:D156)</f>
        <v>1077738973.26</v>
      </c>
      <c r="E151" s="34">
        <f t="shared" si="54"/>
        <v>114059568.04000001</v>
      </c>
      <c r="F151" s="34">
        <f t="shared" si="54"/>
        <v>0</v>
      </c>
      <c r="G151" s="35"/>
      <c r="H151" s="35">
        <f>SUM(H152:H156)</f>
        <v>963679405.22000003</v>
      </c>
      <c r="I151" s="27"/>
      <c r="J151" s="27"/>
      <c r="K151" s="27"/>
      <c r="L151" s="27"/>
      <c r="M151" s="27"/>
      <c r="N151" s="27"/>
      <c r="O151" s="27"/>
      <c r="P151" s="27"/>
      <c r="Q151" s="27"/>
      <c r="R151" s="27"/>
      <c r="S151" s="27"/>
      <c r="T151" s="27"/>
      <c r="U151" s="27"/>
      <c r="V151" s="27"/>
      <c r="W151" s="27"/>
      <c r="X151" s="27"/>
      <c r="Y151" s="27"/>
      <c r="Z151" s="27"/>
    </row>
    <row r="152" spans="1:26" ht="30" customHeight="1">
      <c r="A152" s="36" t="s">
        <v>804</v>
      </c>
      <c r="B152" s="37" t="s">
        <v>805</v>
      </c>
      <c r="C152" s="42"/>
      <c r="D152" s="38"/>
      <c r="E152" s="38"/>
      <c r="F152" s="38"/>
      <c r="G152" s="40"/>
      <c r="H152" s="40">
        <f>ROUND(D152+F152-E152,2)</f>
        <v>0</v>
      </c>
      <c r="I152" s="27"/>
      <c r="J152" s="27"/>
      <c r="K152" s="27"/>
      <c r="L152" s="27"/>
      <c r="M152" s="27"/>
      <c r="N152" s="27"/>
      <c r="O152" s="27"/>
      <c r="P152" s="27"/>
      <c r="Q152" s="27"/>
      <c r="R152" s="27"/>
      <c r="S152" s="27"/>
      <c r="T152" s="27"/>
      <c r="U152" s="27"/>
      <c r="V152" s="27"/>
      <c r="W152" s="27"/>
      <c r="X152" s="27"/>
      <c r="Y152" s="27"/>
      <c r="Z152" s="27"/>
    </row>
    <row r="153" spans="1:26" ht="30" customHeight="1">
      <c r="A153" s="36" t="s">
        <v>806</v>
      </c>
      <c r="B153" s="37" t="s">
        <v>807</v>
      </c>
      <c r="C153" s="42"/>
      <c r="D153" s="39"/>
      <c r="E153" s="39"/>
      <c r="F153" s="39"/>
      <c r="G153" s="40"/>
      <c r="H153" s="40"/>
      <c r="I153" s="27"/>
      <c r="J153" s="27"/>
      <c r="K153" s="27"/>
      <c r="L153" s="27"/>
      <c r="M153" s="27"/>
      <c r="N153" s="27"/>
      <c r="O153" s="27"/>
      <c r="P153" s="27"/>
      <c r="Q153" s="27"/>
      <c r="R153" s="27"/>
      <c r="S153" s="27"/>
      <c r="T153" s="27"/>
      <c r="U153" s="27"/>
      <c r="V153" s="27"/>
      <c r="W153" s="27"/>
      <c r="X153" s="27"/>
      <c r="Y153" s="27"/>
      <c r="Z153" s="27"/>
    </row>
    <row r="154" spans="1:26" ht="30" customHeight="1">
      <c r="A154" s="36" t="s">
        <v>808</v>
      </c>
      <c r="B154" s="37" t="s">
        <v>809</v>
      </c>
      <c r="C154" s="42"/>
      <c r="D154" s="38">
        <v>1077738973.26</v>
      </c>
      <c r="E154" s="38">
        <v>114059568.04000001</v>
      </c>
      <c r="F154" s="38"/>
      <c r="G154" s="40"/>
      <c r="H154" s="40">
        <f>ROUND(D154+F154-E154,2)</f>
        <v>963679405.22000003</v>
      </c>
      <c r="I154" s="27"/>
      <c r="J154" s="27"/>
      <c r="K154" s="27"/>
      <c r="L154" s="27"/>
      <c r="M154" s="27"/>
      <c r="N154" s="27"/>
      <c r="O154" s="27"/>
      <c r="P154" s="27"/>
      <c r="Q154" s="27"/>
      <c r="R154" s="27"/>
      <c r="S154" s="27"/>
      <c r="T154" s="27"/>
      <c r="U154" s="27"/>
      <c r="V154" s="27"/>
      <c r="W154" s="27"/>
      <c r="X154" s="27"/>
      <c r="Y154" s="27"/>
      <c r="Z154" s="27"/>
    </row>
    <row r="155" spans="1:26" ht="30" customHeight="1">
      <c r="A155" s="36" t="s">
        <v>810</v>
      </c>
      <c r="B155" s="37" t="s">
        <v>811</v>
      </c>
      <c r="C155" s="42"/>
      <c r="D155" s="39"/>
      <c r="E155" s="39"/>
      <c r="F155" s="39"/>
      <c r="G155" s="40"/>
      <c r="H155" s="40"/>
      <c r="I155" s="27"/>
      <c r="J155" s="27"/>
      <c r="K155" s="27"/>
      <c r="L155" s="27"/>
      <c r="M155" s="27"/>
      <c r="N155" s="27"/>
      <c r="O155" s="27"/>
      <c r="P155" s="27"/>
      <c r="Q155" s="27"/>
      <c r="R155" s="27"/>
      <c r="S155" s="27"/>
      <c r="T155" s="27"/>
      <c r="U155" s="27"/>
      <c r="V155" s="27"/>
      <c r="W155" s="27"/>
      <c r="X155" s="27"/>
      <c r="Y155" s="27"/>
      <c r="Z155" s="27"/>
    </row>
    <row r="156" spans="1:26" ht="30" customHeight="1">
      <c r="A156" s="36" t="s">
        <v>812</v>
      </c>
      <c r="B156" s="37" t="s">
        <v>813</v>
      </c>
      <c r="C156" s="42"/>
      <c r="D156" s="38"/>
      <c r="E156" s="38"/>
      <c r="F156" s="38"/>
      <c r="G156" s="40"/>
      <c r="H156" s="40">
        <f>ROUND(D156+F156-E156,2)</f>
        <v>0</v>
      </c>
      <c r="I156" s="27"/>
      <c r="J156" s="27"/>
      <c r="K156" s="27"/>
      <c r="L156" s="27"/>
      <c r="M156" s="27"/>
      <c r="N156" s="27"/>
      <c r="O156" s="27"/>
      <c r="P156" s="27"/>
      <c r="Q156" s="27"/>
      <c r="R156" s="27"/>
      <c r="S156" s="27"/>
      <c r="T156" s="27"/>
      <c r="U156" s="27"/>
      <c r="V156" s="27"/>
      <c r="W156" s="27"/>
      <c r="X156" s="27"/>
      <c r="Y156" s="27"/>
      <c r="Z156" s="27"/>
    </row>
    <row r="157" spans="1:26" ht="30" customHeight="1">
      <c r="A157" s="32" t="s">
        <v>814</v>
      </c>
      <c r="B157" s="41" t="s">
        <v>815</v>
      </c>
      <c r="C157" s="34"/>
      <c r="D157" s="34">
        <f t="shared" ref="D157:F157" si="55">SUM(D158:D160)</f>
        <v>0</v>
      </c>
      <c r="E157" s="34">
        <f t="shared" si="55"/>
        <v>0</v>
      </c>
      <c r="F157" s="34">
        <f t="shared" si="55"/>
        <v>0</v>
      </c>
      <c r="G157" s="35"/>
      <c r="H157" s="35">
        <f>SUM(H158:H160)</f>
        <v>0</v>
      </c>
      <c r="I157" s="27"/>
      <c r="J157" s="27"/>
      <c r="K157" s="27"/>
      <c r="L157" s="27"/>
      <c r="M157" s="27"/>
      <c r="N157" s="27"/>
      <c r="O157" s="27"/>
      <c r="P157" s="27"/>
      <c r="Q157" s="27"/>
      <c r="R157" s="27"/>
      <c r="S157" s="27"/>
      <c r="T157" s="27"/>
      <c r="U157" s="27"/>
      <c r="V157" s="27"/>
      <c r="W157" s="27"/>
      <c r="X157" s="27"/>
      <c r="Y157" s="27"/>
      <c r="Z157" s="27"/>
    </row>
    <row r="158" spans="1:26" ht="30" customHeight="1">
      <c r="A158" s="36" t="s">
        <v>816</v>
      </c>
      <c r="B158" s="37" t="s">
        <v>817</v>
      </c>
      <c r="C158" s="42"/>
      <c r="D158" s="38"/>
      <c r="E158" s="38"/>
      <c r="F158" s="38"/>
      <c r="G158" s="40"/>
      <c r="H158" s="40">
        <f t="shared" ref="H158:H160" si="56">ROUND(D158+F158-E158,2)</f>
        <v>0</v>
      </c>
      <c r="I158" s="27"/>
      <c r="J158" s="27"/>
      <c r="K158" s="27"/>
      <c r="L158" s="27"/>
      <c r="M158" s="27"/>
      <c r="N158" s="27"/>
      <c r="O158" s="27"/>
      <c r="P158" s="27"/>
      <c r="Q158" s="27"/>
      <c r="R158" s="27"/>
      <c r="S158" s="27"/>
      <c r="T158" s="27"/>
      <c r="U158" s="27"/>
      <c r="V158" s="27"/>
      <c r="W158" s="27"/>
      <c r="X158" s="27"/>
      <c r="Y158" s="27"/>
      <c r="Z158" s="27"/>
    </row>
    <row r="159" spans="1:26" ht="30" customHeight="1">
      <c r="A159" s="36" t="s">
        <v>818</v>
      </c>
      <c r="B159" s="37" t="s">
        <v>819</v>
      </c>
      <c r="C159" s="42"/>
      <c r="D159" s="38"/>
      <c r="E159" s="38"/>
      <c r="F159" s="38"/>
      <c r="G159" s="40"/>
      <c r="H159" s="40">
        <f t="shared" si="56"/>
        <v>0</v>
      </c>
      <c r="I159" s="27"/>
      <c r="J159" s="27"/>
      <c r="K159" s="27"/>
      <c r="L159" s="27"/>
      <c r="M159" s="27"/>
      <c r="N159" s="27"/>
      <c r="O159" s="27"/>
      <c r="P159" s="27"/>
      <c r="Q159" s="27"/>
      <c r="R159" s="27"/>
      <c r="S159" s="27"/>
      <c r="T159" s="27"/>
      <c r="U159" s="27"/>
      <c r="V159" s="27"/>
      <c r="W159" s="27"/>
      <c r="X159" s="27"/>
      <c r="Y159" s="27"/>
      <c r="Z159" s="27"/>
    </row>
    <row r="160" spans="1:26" ht="30" customHeight="1">
      <c r="A160" s="36" t="s">
        <v>820</v>
      </c>
      <c r="B160" s="37" t="s">
        <v>821</v>
      </c>
      <c r="C160" s="42"/>
      <c r="D160" s="38"/>
      <c r="E160" s="38"/>
      <c r="F160" s="38"/>
      <c r="G160" s="40"/>
      <c r="H160" s="40">
        <f t="shared" si="56"/>
        <v>0</v>
      </c>
      <c r="I160" s="27"/>
      <c r="J160" s="27"/>
      <c r="K160" s="27"/>
      <c r="L160" s="27"/>
      <c r="M160" s="27"/>
      <c r="N160" s="27"/>
      <c r="O160" s="27"/>
      <c r="P160" s="27"/>
      <c r="Q160" s="27"/>
      <c r="R160" s="27"/>
      <c r="S160" s="27"/>
      <c r="T160" s="27"/>
      <c r="U160" s="27"/>
      <c r="V160" s="27"/>
      <c r="W160" s="27"/>
      <c r="X160" s="27"/>
      <c r="Y160" s="27"/>
      <c r="Z160" s="27"/>
    </row>
    <row r="161" spans="1:26" ht="30" customHeight="1">
      <c r="A161" s="32" t="s">
        <v>822</v>
      </c>
      <c r="B161" s="41" t="s">
        <v>823</v>
      </c>
      <c r="C161" s="34"/>
      <c r="D161" s="34">
        <f t="shared" ref="D161:F161" si="57">SUM(D162:D167)</f>
        <v>0</v>
      </c>
      <c r="E161" s="34">
        <f t="shared" si="57"/>
        <v>0</v>
      </c>
      <c r="F161" s="34">
        <f t="shared" si="57"/>
        <v>0</v>
      </c>
      <c r="G161" s="35"/>
      <c r="H161" s="35">
        <f>SUM(H162:H167)</f>
        <v>0</v>
      </c>
      <c r="I161" s="27"/>
      <c r="J161" s="27"/>
      <c r="K161" s="27"/>
      <c r="L161" s="27"/>
      <c r="M161" s="27"/>
      <c r="N161" s="27"/>
      <c r="O161" s="27"/>
      <c r="P161" s="27"/>
      <c r="Q161" s="27"/>
      <c r="R161" s="27"/>
      <c r="S161" s="27"/>
      <c r="T161" s="27"/>
      <c r="U161" s="27"/>
      <c r="V161" s="27"/>
      <c r="W161" s="27"/>
      <c r="X161" s="27"/>
      <c r="Y161" s="27"/>
      <c r="Z161" s="27"/>
    </row>
    <row r="162" spans="1:26" ht="30" customHeight="1">
      <c r="A162" s="36" t="s">
        <v>824</v>
      </c>
      <c r="B162" s="37" t="s">
        <v>825</v>
      </c>
      <c r="C162" s="42"/>
      <c r="D162" s="38"/>
      <c r="E162" s="38"/>
      <c r="F162" s="38"/>
      <c r="G162" s="40"/>
      <c r="H162" s="40">
        <f t="shared" ref="H162:H167" si="58">ROUND(D162+F162-E162,2)</f>
        <v>0</v>
      </c>
      <c r="I162" s="27"/>
      <c r="J162" s="27"/>
      <c r="K162" s="27"/>
      <c r="L162" s="27"/>
      <c r="M162" s="27"/>
      <c r="N162" s="27"/>
      <c r="O162" s="27"/>
      <c r="P162" s="27"/>
      <c r="Q162" s="27"/>
      <c r="R162" s="27"/>
      <c r="S162" s="27"/>
      <c r="T162" s="27"/>
      <c r="U162" s="27"/>
      <c r="V162" s="27"/>
      <c r="W162" s="27"/>
      <c r="X162" s="27"/>
      <c r="Y162" s="27"/>
      <c r="Z162" s="27"/>
    </row>
    <row r="163" spans="1:26" ht="30" customHeight="1">
      <c r="A163" s="36" t="s">
        <v>826</v>
      </c>
      <c r="B163" s="37" t="s">
        <v>827</v>
      </c>
      <c r="C163" s="42"/>
      <c r="D163" s="38"/>
      <c r="E163" s="38"/>
      <c r="F163" s="38"/>
      <c r="G163" s="40"/>
      <c r="H163" s="40">
        <f t="shared" si="58"/>
        <v>0</v>
      </c>
      <c r="I163" s="27"/>
      <c r="J163" s="27"/>
      <c r="K163" s="27"/>
      <c r="L163" s="27"/>
      <c r="M163" s="27"/>
      <c r="N163" s="27"/>
      <c r="O163" s="27"/>
      <c r="P163" s="27"/>
      <c r="Q163" s="27"/>
      <c r="R163" s="27"/>
      <c r="S163" s="27"/>
      <c r="T163" s="27"/>
      <c r="U163" s="27"/>
      <c r="V163" s="27"/>
      <c r="W163" s="27"/>
      <c r="X163" s="27"/>
      <c r="Y163" s="27"/>
      <c r="Z163" s="27"/>
    </row>
    <row r="164" spans="1:26" ht="30" customHeight="1">
      <c r="A164" s="36" t="s">
        <v>828</v>
      </c>
      <c r="B164" s="37" t="s">
        <v>829</v>
      </c>
      <c r="C164" s="42"/>
      <c r="D164" s="38"/>
      <c r="E164" s="38"/>
      <c r="F164" s="38"/>
      <c r="G164" s="40"/>
      <c r="H164" s="40">
        <f t="shared" si="58"/>
        <v>0</v>
      </c>
      <c r="I164" s="27"/>
      <c r="J164" s="27"/>
      <c r="K164" s="27"/>
      <c r="L164" s="27"/>
      <c r="M164" s="27"/>
      <c r="N164" s="27"/>
      <c r="O164" s="27"/>
      <c r="P164" s="27"/>
      <c r="Q164" s="27"/>
      <c r="R164" s="27"/>
      <c r="S164" s="27"/>
      <c r="T164" s="27"/>
      <c r="U164" s="27"/>
      <c r="V164" s="27"/>
      <c r="W164" s="27"/>
      <c r="X164" s="27"/>
      <c r="Y164" s="27"/>
      <c r="Z164" s="27"/>
    </row>
    <row r="165" spans="1:26" ht="30" customHeight="1">
      <c r="A165" s="36" t="s">
        <v>830</v>
      </c>
      <c r="B165" s="37" t="s">
        <v>831</v>
      </c>
      <c r="C165" s="42"/>
      <c r="D165" s="38"/>
      <c r="E165" s="38"/>
      <c r="F165" s="38"/>
      <c r="G165" s="40"/>
      <c r="H165" s="40">
        <f t="shared" si="58"/>
        <v>0</v>
      </c>
      <c r="I165" s="27"/>
      <c r="J165" s="27"/>
      <c r="K165" s="27"/>
      <c r="L165" s="27"/>
      <c r="M165" s="27"/>
      <c r="N165" s="27"/>
      <c r="O165" s="27"/>
      <c r="P165" s="27"/>
      <c r="Q165" s="27"/>
      <c r="R165" s="27"/>
      <c r="S165" s="27"/>
      <c r="T165" s="27"/>
      <c r="U165" s="27"/>
      <c r="V165" s="27"/>
      <c r="W165" s="27"/>
      <c r="X165" s="27"/>
      <c r="Y165" s="27"/>
      <c r="Z165" s="27"/>
    </row>
    <row r="166" spans="1:26" ht="30" customHeight="1">
      <c r="A166" s="36" t="s">
        <v>832</v>
      </c>
      <c r="B166" s="37" t="s">
        <v>833</v>
      </c>
      <c r="C166" s="42"/>
      <c r="D166" s="38"/>
      <c r="E166" s="38"/>
      <c r="F166" s="38"/>
      <c r="G166" s="40"/>
      <c r="H166" s="40">
        <f t="shared" si="58"/>
        <v>0</v>
      </c>
      <c r="I166" s="27"/>
      <c r="J166" s="27"/>
      <c r="K166" s="27"/>
      <c r="L166" s="27"/>
      <c r="M166" s="27"/>
      <c r="N166" s="27"/>
      <c r="O166" s="27"/>
      <c r="P166" s="27"/>
      <c r="Q166" s="27"/>
      <c r="R166" s="27"/>
      <c r="S166" s="27"/>
      <c r="T166" s="27"/>
      <c r="U166" s="27"/>
      <c r="V166" s="27"/>
      <c r="W166" s="27"/>
      <c r="X166" s="27"/>
      <c r="Y166" s="27"/>
      <c r="Z166" s="27"/>
    </row>
    <row r="167" spans="1:26" ht="30" customHeight="1">
      <c r="A167" s="36" t="s">
        <v>834</v>
      </c>
      <c r="B167" s="37" t="s">
        <v>835</v>
      </c>
      <c r="C167" s="42"/>
      <c r="D167" s="38"/>
      <c r="E167" s="38"/>
      <c r="F167" s="38"/>
      <c r="G167" s="40"/>
      <c r="H167" s="40">
        <f t="shared" si="58"/>
        <v>0</v>
      </c>
      <c r="I167" s="27"/>
      <c r="J167" s="27"/>
      <c r="K167" s="27"/>
      <c r="L167" s="27"/>
      <c r="M167" s="27"/>
      <c r="N167" s="27"/>
      <c r="O167" s="27"/>
      <c r="P167" s="27"/>
      <c r="Q167" s="27"/>
      <c r="R167" s="27"/>
      <c r="S167" s="27"/>
      <c r="T167" s="27"/>
      <c r="U167" s="27"/>
      <c r="V167" s="27"/>
      <c r="W167" s="27"/>
      <c r="X167" s="27"/>
      <c r="Y167" s="27"/>
      <c r="Z167" s="27"/>
    </row>
    <row r="168" spans="1:26" ht="30" customHeight="1">
      <c r="A168" s="32" t="s">
        <v>836</v>
      </c>
      <c r="B168" s="41" t="s">
        <v>837</v>
      </c>
      <c r="C168" s="34"/>
      <c r="D168" s="34">
        <f t="shared" ref="D168:F168" si="59">SUM(D169:D172)</f>
        <v>0</v>
      </c>
      <c r="E168" s="34">
        <f t="shared" si="59"/>
        <v>0</v>
      </c>
      <c r="F168" s="34">
        <f t="shared" si="59"/>
        <v>0</v>
      </c>
      <c r="G168" s="35"/>
      <c r="H168" s="35">
        <f>SUM(H169:H172)</f>
        <v>0</v>
      </c>
      <c r="I168" s="27"/>
      <c r="J168" s="27"/>
      <c r="K168" s="27"/>
      <c r="L168" s="27"/>
      <c r="M168" s="27"/>
      <c r="N168" s="27"/>
      <c r="O168" s="27"/>
      <c r="P168" s="27"/>
      <c r="Q168" s="27"/>
      <c r="R168" s="27"/>
      <c r="S168" s="27"/>
      <c r="T168" s="27"/>
      <c r="U168" s="27"/>
      <c r="V168" s="27"/>
      <c r="W168" s="27"/>
      <c r="X168" s="27"/>
      <c r="Y168" s="27"/>
      <c r="Z168" s="27"/>
    </row>
    <row r="169" spans="1:26" ht="30" customHeight="1">
      <c r="A169" s="36" t="s">
        <v>838</v>
      </c>
      <c r="B169" s="37" t="s">
        <v>839</v>
      </c>
      <c r="C169" s="42"/>
      <c r="D169" s="38"/>
      <c r="E169" s="38"/>
      <c r="F169" s="38"/>
      <c r="G169" s="40"/>
      <c r="H169" s="40">
        <f t="shared" ref="H169:H172" si="60">ROUND(D169+F169-E169,2)</f>
        <v>0</v>
      </c>
      <c r="I169" s="27"/>
      <c r="J169" s="27"/>
      <c r="K169" s="27"/>
      <c r="L169" s="27"/>
      <c r="M169" s="27"/>
      <c r="N169" s="27"/>
      <c r="O169" s="27"/>
      <c r="P169" s="27"/>
      <c r="Q169" s="27"/>
      <c r="R169" s="27"/>
      <c r="S169" s="27"/>
      <c r="T169" s="27"/>
      <c r="U169" s="27"/>
      <c r="V169" s="27"/>
      <c r="W169" s="27"/>
      <c r="X169" s="27"/>
      <c r="Y169" s="27"/>
      <c r="Z169" s="27"/>
    </row>
    <row r="170" spans="1:26" ht="30" customHeight="1">
      <c r="A170" s="36" t="s">
        <v>840</v>
      </c>
      <c r="B170" s="37" t="s">
        <v>841</v>
      </c>
      <c r="C170" s="42"/>
      <c r="D170" s="38"/>
      <c r="E170" s="38"/>
      <c r="F170" s="38"/>
      <c r="G170" s="40"/>
      <c r="H170" s="40">
        <f t="shared" si="60"/>
        <v>0</v>
      </c>
      <c r="I170" s="27"/>
      <c r="J170" s="27"/>
      <c r="K170" s="27"/>
      <c r="L170" s="27"/>
      <c r="M170" s="27"/>
      <c r="N170" s="27"/>
      <c r="O170" s="27"/>
      <c r="P170" s="27"/>
      <c r="Q170" s="27"/>
      <c r="R170" s="27"/>
      <c r="S170" s="27"/>
      <c r="T170" s="27"/>
      <c r="U170" s="27"/>
      <c r="V170" s="27"/>
      <c r="W170" s="27"/>
      <c r="X170" s="27"/>
      <c r="Y170" s="27"/>
      <c r="Z170" s="27"/>
    </row>
    <row r="171" spans="1:26" ht="30" customHeight="1">
      <c r="A171" s="36" t="s">
        <v>842</v>
      </c>
      <c r="B171" s="37" t="s">
        <v>843</v>
      </c>
      <c r="C171" s="42"/>
      <c r="D171" s="38"/>
      <c r="E171" s="38"/>
      <c r="F171" s="38"/>
      <c r="G171" s="40"/>
      <c r="H171" s="40">
        <f t="shared" si="60"/>
        <v>0</v>
      </c>
      <c r="I171" s="27"/>
      <c r="J171" s="27"/>
      <c r="K171" s="27"/>
      <c r="L171" s="27"/>
      <c r="M171" s="27"/>
      <c r="N171" s="27"/>
      <c r="O171" s="27"/>
      <c r="P171" s="27"/>
      <c r="Q171" s="27"/>
      <c r="R171" s="27"/>
      <c r="S171" s="27"/>
      <c r="T171" s="27"/>
      <c r="U171" s="27"/>
      <c r="V171" s="27"/>
      <c r="W171" s="27"/>
      <c r="X171" s="27"/>
      <c r="Y171" s="27"/>
      <c r="Z171" s="27"/>
    </row>
    <row r="172" spans="1:26" ht="30" customHeight="1">
      <c r="A172" s="36" t="s">
        <v>844</v>
      </c>
      <c r="B172" s="37" t="s">
        <v>845</v>
      </c>
      <c r="C172" s="42"/>
      <c r="D172" s="38"/>
      <c r="E172" s="38"/>
      <c r="F172" s="38"/>
      <c r="G172" s="40"/>
      <c r="H172" s="40">
        <f t="shared" si="60"/>
        <v>0</v>
      </c>
      <c r="I172" s="27"/>
      <c r="J172" s="27"/>
      <c r="K172" s="27"/>
      <c r="L172" s="27"/>
      <c r="M172" s="27"/>
      <c r="N172" s="27"/>
      <c r="O172" s="27"/>
      <c r="P172" s="27"/>
      <c r="Q172" s="27"/>
      <c r="R172" s="27"/>
      <c r="S172" s="27"/>
      <c r="T172" s="27"/>
      <c r="U172" s="27"/>
      <c r="V172" s="27"/>
      <c r="W172" s="27"/>
      <c r="X172" s="27"/>
      <c r="Y172" s="27"/>
      <c r="Z172" s="27"/>
    </row>
    <row r="173" spans="1:26" ht="30" customHeight="1">
      <c r="A173" s="23" t="s">
        <v>846</v>
      </c>
      <c r="B173" s="46" t="s">
        <v>847</v>
      </c>
      <c r="C173" s="25"/>
      <c r="D173" s="25">
        <f t="shared" ref="D173:F173" si="61">D174+D178+D194</f>
        <v>11575722724.070004</v>
      </c>
      <c r="E173" s="25">
        <f t="shared" si="61"/>
        <v>12406741.810000001</v>
      </c>
      <c r="F173" s="25">
        <f t="shared" si="61"/>
        <v>4167441751.0100012</v>
      </c>
      <c r="G173" s="26"/>
      <c r="H173" s="26">
        <f>H174+H178+H194</f>
        <v>15730757733.27</v>
      </c>
      <c r="I173" s="27"/>
      <c r="J173" s="27"/>
      <c r="K173" s="27"/>
      <c r="L173" s="27"/>
      <c r="M173" s="27"/>
      <c r="N173" s="27"/>
      <c r="O173" s="27"/>
      <c r="P173" s="27"/>
      <c r="Q173" s="27"/>
      <c r="R173" s="27"/>
      <c r="S173" s="27"/>
      <c r="T173" s="27"/>
      <c r="U173" s="27"/>
      <c r="V173" s="27"/>
      <c r="W173" s="27"/>
      <c r="X173" s="27"/>
      <c r="Y173" s="27"/>
      <c r="Z173" s="27"/>
    </row>
    <row r="174" spans="1:26" ht="30" customHeight="1">
      <c r="A174" s="28" t="s">
        <v>848</v>
      </c>
      <c r="B174" s="29" t="s">
        <v>849</v>
      </c>
      <c r="C174" s="30"/>
      <c r="D174" s="30">
        <f t="shared" ref="D174:F174" si="62">SUM(D175:D177)</f>
        <v>70029434.019999996</v>
      </c>
      <c r="E174" s="30">
        <f t="shared" si="62"/>
        <v>0</v>
      </c>
      <c r="F174" s="30">
        <f t="shared" si="62"/>
        <v>0</v>
      </c>
      <c r="G174" s="31"/>
      <c r="H174" s="31">
        <f>SUM(H175:H177)</f>
        <v>70029434.019999996</v>
      </c>
      <c r="I174" s="27"/>
      <c r="J174" s="27"/>
      <c r="K174" s="27"/>
      <c r="L174" s="27"/>
      <c r="M174" s="27"/>
      <c r="N174" s="27"/>
      <c r="O174" s="27"/>
      <c r="P174" s="27"/>
      <c r="Q174" s="27"/>
      <c r="R174" s="27"/>
      <c r="S174" s="27"/>
      <c r="T174" s="27"/>
      <c r="U174" s="27"/>
      <c r="V174" s="27"/>
      <c r="W174" s="27"/>
      <c r="X174" s="27"/>
      <c r="Y174" s="27"/>
      <c r="Z174" s="27"/>
    </row>
    <row r="175" spans="1:26" ht="30" customHeight="1">
      <c r="A175" s="32" t="s">
        <v>850</v>
      </c>
      <c r="B175" s="48" t="s">
        <v>851</v>
      </c>
      <c r="C175" s="39"/>
      <c r="D175" s="38"/>
      <c r="E175" s="38"/>
      <c r="F175" s="38"/>
      <c r="G175" s="40"/>
      <c r="H175" s="40">
        <f t="shared" ref="H175:H177" si="63">ROUND(D175+F175-E175,2)</f>
        <v>0</v>
      </c>
      <c r="I175" s="27"/>
      <c r="J175" s="27"/>
      <c r="K175" s="27"/>
      <c r="L175" s="27"/>
      <c r="M175" s="27"/>
      <c r="N175" s="27"/>
      <c r="O175" s="27"/>
      <c r="P175" s="27"/>
      <c r="Q175" s="27"/>
      <c r="R175" s="27"/>
      <c r="S175" s="27"/>
      <c r="T175" s="27"/>
      <c r="U175" s="27"/>
      <c r="V175" s="27"/>
      <c r="W175" s="27"/>
      <c r="X175" s="27"/>
      <c r="Y175" s="27"/>
      <c r="Z175" s="27"/>
    </row>
    <row r="176" spans="1:26" ht="30" customHeight="1">
      <c r="A176" s="32" t="s">
        <v>852</v>
      </c>
      <c r="B176" s="48" t="s">
        <v>853</v>
      </c>
      <c r="C176" s="39"/>
      <c r="D176" s="38"/>
      <c r="E176" s="38"/>
      <c r="F176" s="38"/>
      <c r="G176" s="40"/>
      <c r="H176" s="40">
        <f t="shared" si="63"/>
        <v>0</v>
      </c>
      <c r="I176" s="27"/>
      <c r="J176" s="27"/>
      <c r="K176" s="27"/>
      <c r="L176" s="27"/>
      <c r="M176" s="27"/>
      <c r="N176" s="27"/>
      <c r="O176" s="27"/>
      <c r="P176" s="27"/>
      <c r="Q176" s="27"/>
      <c r="R176" s="27"/>
      <c r="S176" s="27"/>
      <c r="T176" s="27"/>
      <c r="U176" s="27"/>
      <c r="V176" s="27"/>
      <c r="W176" s="27"/>
      <c r="X176" s="27"/>
      <c r="Y176" s="27"/>
      <c r="Z176" s="27"/>
    </row>
    <row r="177" spans="1:26" ht="30" customHeight="1">
      <c r="A177" s="32" t="s">
        <v>854</v>
      </c>
      <c r="B177" s="48" t="s">
        <v>855</v>
      </c>
      <c r="C177" s="39"/>
      <c r="D177" s="38">
        <v>70029434.019999996</v>
      </c>
      <c r="E177" s="38"/>
      <c r="F177" s="38"/>
      <c r="G177" s="40"/>
      <c r="H177" s="40">
        <f t="shared" si="63"/>
        <v>70029434.019999996</v>
      </c>
      <c r="I177" s="27"/>
      <c r="J177" s="27"/>
      <c r="K177" s="27"/>
      <c r="L177" s="27"/>
      <c r="M177" s="27"/>
      <c r="N177" s="27"/>
      <c r="O177" s="27"/>
      <c r="P177" s="27"/>
      <c r="Q177" s="27"/>
      <c r="R177" s="27"/>
      <c r="S177" s="27"/>
      <c r="T177" s="27"/>
      <c r="U177" s="27"/>
      <c r="V177" s="27"/>
      <c r="W177" s="27"/>
      <c r="X177" s="27"/>
      <c r="Y177" s="27"/>
      <c r="Z177" s="27"/>
    </row>
    <row r="178" spans="1:26" ht="30" customHeight="1">
      <c r="A178" s="28" t="s">
        <v>856</v>
      </c>
      <c r="B178" s="29" t="s">
        <v>857</v>
      </c>
      <c r="C178" s="30"/>
      <c r="D178" s="30">
        <f t="shared" ref="D178:F178" si="64">D179+D180+D181+D186+D190</f>
        <v>10276236872.530003</v>
      </c>
      <c r="E178" s="30">
        <f t="shared" si="64"/>
        <v>12406741.810000001</v>
      </c>
      <c r="F178" s="30">
        <f t="shared" si="64"/>
        <v>4167441751.0100012</v>
      </c>
      <c r="G178" s="31"/>
      <c r="H178" s="31">
        <f>H179+H180+H181+H186+H190</f>
        <v>14431271881.73</v>
      </c>
      <c r="I178" s="27"/>
      <c r="J178" s="27"/>
      <c r="K178" s="27"/>
      <c r="L178" s="27"/>
      <c r="M178" s="27"/>
      <c r="N178" s="27"/>
      <c r="O178" s="27"/>
      <c r="P178" s="27"/>
      <c r="Q178" s="27"/>
      <c r="R178" s="27"/>
      <c r="S178" s="27"/>
      <c r="T178" s="27"/>
      <c r="U178" s="27"/>
      <c r="V178" s="27"/>
      <c r="W178" s="27"/>
      <c r="X178" s="27"/>
      <c r="Y178" s="27"/>
      <c r="Z178" s="27"/>
    </row>
    <row r="179" spans="1:26" ht="30" customHeight="1">
      <c r="A179" s="32" t="s">
        <v>858</v>
      </c>
      <c r="B179" s="48" t="s">
        <v>859</v>
      </c>
      <c r="C179" s="40"/>
      <c r="D179" s="40">
        <f>IF(C752&gt;D753,C752,(D753)*-1)</f>
        <v>2121149963.2400017</v>
      </c>
      <c r="E179" s="40">
        <f>F753</f>
        <v>0</v>
      </c>
      <c r="F179" s="40">
        <f>E752</f>
        <v>4179415006.9700012</v>
      </c>
      <c r="G179" s="40"/>
      <c r="H179" s="40">
        <f>ROUND(F179-E179,2)</f>
        <v>4179415006.9699998</v>
      </c>
      <c r="I179" s="27"/>
      <c r="J179" s="27"/>
      <c r="K179" s="27"/>
      <c r="L179" s="27"/>
      <c r="M179" s="27"/>
      <c r="N179" s="27"/>
      <c r="O179" s="27"/>
      <c r="P179" s="27"/>
      <c r="Q179" s="27"/>
      <c r="R179" s="27"/>
      <c r="S179" s="27"/>
      <c r="T179" s="27"/>
      <c r="U179" s="27"/>
      <c r="V179" s="27"/>
      <c r="W179" s="27"/>
      <c r="X179" s="27"/>
      <c r="Y179" s="27"/>
      <c r="Z179" s="27"/>
    </row>
    <row r="180" spans="1:26" ht="30" customHeight="1">
      <c r="A180" s="32" t="s">
        <v>860</v>
      </c>
      <c r="B180" s="48" t="s">
        <v>861</v>
      </c>
      <c r="C180" s="39"/>
      <c r="D180" s="38">
        <v>7921795339.7700005</v>
      </c>
      <c r="E180" s="38">
        <v>12387664.810000001</v>
      </c>
      <c r="F180" s="38">
        <v>-11973255.960000001</v>
      </c>
      <c r="G180" s="40"/>
      <c r="H180" s="40">
        <f>ROUND(D179+D180+F180-E180,2)</f>
        <v>10018584382.24</v>
      </c>
      <c r="I180" s="27"/>
      <c r="J180" s="27"/>
      <c r="K180" s="27"/>
      <c r="L180" s="27"/>
      <c r="M180" s="27"/>
      <c r="N180" s="27"/>
      <c r="O180" s="27"/>
      <c r="P180" s="27"/>
      <c r="Q180" s="27"/>
      <c r="R180" s="27"/>
      <c r="S180" s="27"/>
      <c r="T180" s="27"/>
      <c r="U180" s="27"/>
      <c r="V180" s="27"/>
      <c r="W180" s="27"/>
      <c r="X180" s="27"/>
      <c r="Y180" s="27"/>
      <c r="Z180" s="27"/>
    </row>
    <row r="181" spans="1:26" ht="30" customHeight="1">
      <c r="A181" s="32" t="s">
        <v>862</v>
      </c>
      <c r="B181" s="33" t="s">
        <v>863</v>
      </c>
      <c r="C181" s="34"/>
      <c r="D181" s="34">
        <f t="shared" ref="D181:F181" si="65">SUM(D182:D185)</f>
        <v>0</v>
      </c>
      <c r="E181" s="34">
        <f t="shared" si="65"/>
        <v>0</v>
      </c>
      <c r="F181" s="34">
        <f t="shared" si="65"/>
        <v>0</v>
      </c>
      <c r="G181" s="35"/>
      <c r="H181" s="35">
        <f>SUM(H182:H185)</f>
        <v>0</v>
      </c>
      <c r="I181" s="27"/>
      <c r="J181" s="27"/>
      <c r="K181" s="27"/>
      <c r="L181" s="27"/>
      <c r="M181" s="27"/>
      <c r="N181" s="27"/>
      <c r="O181" s="27"/>
      <c r="P181" s="27"/>
      <c r="Q181" s="27"/>
      <c r="R181" s="27"/>
      <c r="S181" s="27"/>
      <c r="T181" s="27"/>
      <c r="U181" s="27"/>
      <c r="V181" s="27"/>
      <c r="W181" s="27"/>
      <c r="X181" s="27"/>
      <c r="Y181" s="27"/>
      <c r="Z181" s="27"/>
    </row>
    <row r="182" spans="1:26" ht="30" customHeight="1">
      <c r="A182" s="36" t="s">
        <v>864</v>
      </c>
      <c r="B182" s="37" t="s">
        <v>865</v>
      </c>
      <c r="C182" s="42"/>
      <c r="D182" s="38"/>
      <c r="E182" s="38"/>
      <c r="F182" s="38"/>
      <c r="G182" s="40"/>
      <c r="H182" s="40">
        <f t="shared" ref="H182:H185" si="66">ROUND(D182+F182-E182,2)</f>
        <v>0</v>
      </c>
      <c r="I182" s="27"/>
      <c r="J182" s="27"/>
      <c r="K182" s="27"/>
      <c r="L182" s="27"/>
      <c r="M182" s="27"/>
      <c r="N182" s="27"/>
      <c r="O182" s="27"/>
      <c r="P182" s="27"/>
      <c r="Q182" s="27"/>
      <c r="R182" s="27"/>
      <c r="S182" s="27"/>
      <c r="T182" s="27"/>
      <c r="U182" s="27"/>
      <c r="V182" s="27"/>
      <c r="W182" s="27"/>
      <c r="X182" s="27"/>
      <c r="Y182" s="27"/>
      <c r="Z182" s="27"/>
    </row>
    <row r="183" spans="1:26" ht="30" customHeight="1">
      <c r="A183" s="36" t="s">
        <v>866</v>
      </c>
      <c r="B183" s="37" t="s">
        <v>867</v>
      </c>
      <c r="C183" s="42"/>
      <c r="D183" s="38"/>
      <c r="E183" s="38"/>
      <c r="F183" s="38"/>
      <c r="G183" s="40"/>
      <c r="H183" s="40">
        <f t="shared" si="66"/>
        <v>0</v>
      </c>
      <c r="I183" s="27"/>
      <c r="J183" s="27"/>
      <c r="K183" s="27"/>
      <c r="L183" s="27"/>
      <c r="M183" s="27"/>
      <c r="N183" s="27"/>
      <c r="O183" s="27"/>
      <c r="P183" s="27"/>
      <c r="Q183" s="27"/>
      <c r="R183" s="27"/>
      <c r="S183" s="27"/>
      <c r="T183" s="27"/>
      <c r="U183" s="27"/>
      <c r="V183" s="27"/>
      <c r="W183" s="27"/>
      <c r="X183" s="27"/>
      <c r="Y183" s="27"/>
      <c r="Z183" s="27"/>
    </row>
    <row r="184" spans="1:26" ht="30" customHeight="1">
      <c r="A184" s="36" t="s">
        <v>868</v>
      </c>
      <c r="B184" s="37" t="s">
        <v>869</v>
      </c>
      <c r="C184" s="42"/>
      <c r="D184" s="38"/>
      <c r="E184" s="38"/>
      <c r="F184" s="38"/>
      <c r="G184" s="40"/>
      <c r="H184" s="40">
        <f t="shared" si="66"/>
        <v>0</v>
      </c>
      <c r="I184" s="27"/>
      <c r="J184" s="27"/>
      <c r="K184" s="27"/>
      <c r="L184" s="27"/>
      <c r="M184" s="27"/>
      <c r="N184" s="27"/>
      <c r="O184" s="27"/>
      <c r="P184" s="27"/>
      <c r="Q184" s="27"/>
      <c r="R184" s="27"/>
      <c r="S184" s="27"/>
      <c r="T184" s="27"/>
      <c r="U184" s="27"/>
      <c r="V184" s="27"/>
      <c r="W184" s="27"/>
      <c r="X184" s="27"/>
      <c r="Y184" s="27"/>
      <c r="Z184" s="27"/>
    </row>
    <row r="185" spans="1:26" ht="30" customHeight="1">
      <c r="A185" s="36" t="s">
        <v>870</v>
      </c>
      <c r="B185" s="37" t="s">
        <v>871</v>
      </c>
      <c r="C185" s="42"/>
      <c r="D185" s="38"/>
      <c r="E185" s="38"/>
      <c r="F185" s="38"/>
      <c r="G185" s="40"/>
      <c r="H185" s="40">
        <f t="shared" si="66"/>
        <v>0</v>
      </c>
      <c r="I185" s="27"/>
      <c r="J185" s="27"/>
      <c r="K185" s="27"/>
      <c r="L185" s="27"/>
      <c r="M185" s="27"/>
      <c r="N185" s="27"/>
      <c r="O185" s="27"/>
      <c r="P185" s="27"/>
      <c r="Q185" s="27"/>
      <c r="R185" s="27"/>
      <c r="S185" s="27"/>
      <c r="T185" s="27"/>
      <c r="U185" s="27"/>
      <c r="V185" s="27"/>
      <c r="W185" s="27"/>
      <c r="X185" s="27"/>
      <c r="Y185" s="27"/>
      <c r="Z185" s="27"/>
    </row>
    <row r="186" spans="1:26" ht="30" customHeight="1">
      <c r="A186" s="32" t="s">
        <v>872</v>
      </c>
      <c r="B186" s="41" t="s">
        <v>873</v>
      </c>
      <c r="C186" s="34"/>
      <c r="D186" s="34">
        <f t="shared" ref="D186:F186" si="67">SUM(D187:D189)</f>
        <v>0</v>
      </c>
      <c r="E186" s="34">
        <f t="shared" si="67"/>
        <v>0</v>
      </c>
      <c r="F186" s="34">
        <f t="shared" si="67"/>
        <v>0</v>
      </c>
      <c r="G186" s="35"/>
      <c r="H186" s="35">
        <f>SUM(H187:H189)</f>
        <v>0</v>
      </c>
      <c r="I186" s="27"/>
      <c r="J186" s="27"/>
      <c r="K186" s="27"/>
      <c r="L186" s="27"/>
      <c r="M186" s="27"/>
      <c r="N186" s="27"/>
      <c r="O186" s="27"/>
      <c r="P186" s="27"/>
      <c r="Q186" s="27"/>
      <c r="R186" s="27"/>
      <c r="S186" s="27"/>
      <c r="T186" s="27"/>
      <c r="U186" s="27"/>
      <c r="V186" s="27"/>
      <c r="W186" s="27"/>
      <c r="X186" s="27"/>
      <c r="Y186" s="27"/>
      <c r="Z186" s="27"/>
    </row>
    <row r="187" spans="1:26" ht="30" customHeight="1">
      <c r="A187" s="36" t="s">
        <v>874</v>
      </c>
      <c r="B187" s="37" t="s">
        <v>875</v>
      </c>
      <c r="C187" s="42"/>
      <c r="D187" s="38"/>
      <c r="E187" s="38"/>
      <c r="F187" s="38"/>
      <c r="G187" s="40"/>
      <c r="H187" s="40">
        <f t="shared" ref="H187:H189" si="68">ROUND(D187+F187-E187,2)</f>
        <v>0</v>
      </c>
      <c r="I187" s="27"/>
      <c r="J187" s="27"/>
      <c r="K187" s="27"/>
      <c r="L187" s="27"/>
      <c r="M187" s="27"/>
      <c r="N187" s="27"/>
      <c r="O187" s="27"/>
      <c r="P187" s="27"/>
      <c r="Q187" s="27"/>
      <c r="R187" s="27"/>
      <c r="S187" s="27"/>
      <c r="T187" s="27"/>
      <c r="U187" s="27"/>
      <c r="V187" s="27"/>
      <c r="W187" s="27"/>
      <c r="X187" s="27"/>
      <c r="Y187" s="27"/>
      <c r="Z187" s="27"/>
    </row>
    <row r="188" spans="1:26" ht="30" customHeight="1">
      <c r="A188" s="36" t="s">
        <v>876</v>
      </c>
      <c r="B188" s="37" t="s">
        <v>877</v>
      </c>
      <c r="C188" s="42"/>
      <c r="D188" s="38"/>
      <c r="E188" s="38"/>
      <c r="F188" s="38"/>
      <c r="G188" s="40"/>
      <c r="H188" s="40">
        <f t="shared" si="68"/>
        <v>0</v>
      </c>
      <c r="I188" s="27"/>
      <c r="J188" s="27"/>
      <c r="K188" s="27"/>
      <c r="L188" s="27"/>
      <c r="M188" s="27"/>
      <c r="N188" s="27"/>
      <c r="O188" s="27"/>
      <c r="P188" s="27"/>
      <c r="Q188" s="27"/>
      <c r="R188" s="27"/>
      <c r="S188" s="27"/>
      <c r="T188" s="27"/>
      <c r="U188" s="27"/>
      <c r="V188" s="27"/>
      <c r="W188" s="27"/>
      <c r="X188" s="27"/>
      <c r="Y188" s="27"/>
      <c r="Z188" s="27"/>
    </row>
    <row r="189" spans="1:26" ht="30" customHeight="1">
      <c r="A189" s="36" t="s">
        <v>878</v>
      </c>
      <c r="B189" s="37" t="s">
        <v>879</v>
      </c>
      <c r="C189" s="42"/>
      <c r="D189" s="38"/>
      <c r="E189" s="38"/>
      <c r="F189" s="38"/>
      <c r="G189" s="40"/>
      <c r="H189" s="40">
        <f t="shared" si="68"/>
        <v>0</v>
      </c>
      <c r="I189" s="27"/>
      <c r="J189" s="27"/>
      <c r="K189" s="27"/>
      <c r="L189" s="27"/>
      <c r="M189" s="27"/>
      <c r="N189" s="27"/>
      <c r="O189" s="27"/>
      <c r="P189" s="27"/>
      <c r="Q189" s="27"/>
      <c r="R189" s="27"/>
      <c r="S189" s="27"/>
      <c r="T189" s="27"/>
      <c r="U189" s="27"/>
      <c r="V189" s="27"/>
      <c r="W189" s="27"/>
      <c r="X189" s="27"/>
      <c r="Y189" s="27"/>
      <c r="Z189" s="27"/>
    </row>
    <row r="190" spans="1:26" ht="30" customHeight="1">
      <c r="A190" s="32" t="s">
        <v>880</v>
      </c>
      <c r="B190" s="41" t="s">
        <v>881</v>
      </c>
      <c r="C190" s="34"/>
      <c r="D190" s="34">
        <f t="shared" ref="D190:F190" si="69">SUM(D191:D193)</f>
        <v>233291569.52000001</v>
      </c>
      <c r="E190" s="34">
        <f t="shared" si="69"/>
        <v>19077</v>
      </c>
      <c r="F190" s="34">
        <f t="shared" si="69"/>
        <v>0</v>
      </c>
      <c r="G190" s="35"/>
      <c r="H190" s="35">
        <f>SUM(H191:H193)</f>
        <v>233272492.52000001</v>
      </c>
      <c r="I190" s="27"/>
      <c r="J190" s="27"/>
      <c r="K190" s="27"/>
      <c r="L190" s="27"/>
      <c r="M190" s="27"/>
      <c r="N190" s="27"/>
      <c r="O190" s="27"/>
      <c r="P190" s="27"/>
      <c r="Q190" s="27"/>
      <c r="R190" s="27"/>
      <c r="S190" s="27"/>
      <c r="T190" s="27"/>
      <c r="U190" s="27"/>
      <c r="V190" s="27"/>
      <c r="W190" s="27"/>
      <c r="X190" s="27"/>
      <c r="Y190" s="27"/>
      <c r="Z190" s="27"/>
    </row>
    <row r="191" spans="1:26" ht="30" customHeight="1">
      <c r="A191" s="36" t="s">
        <v>882</v>
      </c>
      <c r="B191" s="37" t="s">
        <v>883</v>
      </c>
      <c r="C191" s="42"/>
      <c r="D191" s="38"/>
      <c r="E191" s="38"/>
      <c r="F191" s="38"/>
      <c r="G191" s="40"/>
      <c r="H191" s="40">
        <f t="shared" ref="H191:H193" si="70">ROUND(D191+F191-E191,2)</f>
        <v>0</v>
      </c>
      <c r="I191" s="27"/>
      <c r="J191" s="27"/>
      <c r="K191" s="27"/>
      <c r="L191" s="27"/>
      <c r="M191" s="27"/>
      <c r="N191" s="27"/>
      <c r="O191" s="27"/>
      <c r="P191" s="27"/>
      <c r="Q191" s="27"/>
      <c r="R191" s="27"/>
      <c r="S191" s="27"/>
      <c r="T191" s="27"/>
      <c r="U191" s="27"/>
      <c r="V191" s="27"/>
      <c r="W191" s="27"/>
      <c r="X191" s="27"/>
      <c r="Y191" s="27"/>
      <c r="Z191" s="27"/>
    </row>
    <row r="192" spans="1:26" ht="30" customHeight="1">
      <c r="A192" s="36" t="s">
        <v>884</v>
      </c>
      <c r="B192" s="37" t="s">
        <v>885</v>
      </c>
      <c r="C192" s="42"/>
      <c r="D192" s="38">
        <v>233291569.52000001</v>
      </c>
      <c r="E192" s="38">
        <v>19077</v>
      </c>
      <c r="F192" s="38"/>
      <c r="G192" s="40"/>
      <c r="H192" s="40">
        <f t="shared" si="70"/>
        <v>233272492.52000001</v>
      </c>
      <c r="I192" s="27"/>
      <c r="J192" s="27"/>
      <c r="K192" s="27"/>
      <c r="L192" s="27"/>
      <c r="M192" s="27"/>
      <c r="N192" s="27"/>
      <c r="O192" s="27"/>
      <c r="P192" s="27"/>
      <c r="Q192" s="27"/>
      <c r="R192" s="27"/>
      <c r="S192" s="27"/>
      <c r="T192" s="27"/>
      <c r="U192" s="27"/>
      <c r="V192" s="27"/>
      <c r="W192" s="27"/>
      <c r="X192" s="27"/>
      <c r="Y192" s="27"/>
      <c r="Z192" s="27"/>
    </row>
    <row r="193" spans="1:26" ht="30" customHeight="1">
      <c r="A193" s="36">
        <v>32530</v>
      </c>
      <c r="B193" s="49" t="s">
        <v>886</v>
      </c>
      <c r="C193" s="42"/>
      <c r="D193" s="38"/>
      <c r="E193" s="38"/>
      <c r="F193" s="38"/>
      <c r="G193" s="40"/>
      <c r="H193" s="40">
        <f t="shared" si="70"/>
        <v>0</v>
      </c>
      <c r="I193" s="27"/>
      <c r="J193" s="27"/>
      <c r="K193" s="27"/>
      <c r="L193" s="27"/>
      <c r="M193" s="27"/>
      <c r="N193" s="27"/>
      <c r="O193" s="27"/>
      <c r="P193" s="27"/>
      <c r="Q193" s="27"/>
      <c r="R193" s="27"/>
      <c r="S193" s="27"/>
      <c r="T193" s="27"/>
      <c r="U193" s="27"/>
      <c r="V193" s="27"/>
      <c r="W193" s="27"/>
      <c r="X193" s="27"/>
      <c r="Y193" s="27"/>
      <c r="Z193" s="27"/>
    </row>
    <row r="194" spans="1:26" ht="30" customHeight="1">
      <c r="A194" s="28" t="s">
        <v>887</v>
      </c>
      <c r="B194" s="47" t="s">
        <v>888</v>
      </c>
      <c r="C194" s="30"/>
      <c r="D194" s="30">
        <f t="shared" ref="D194:F194" si="71">SUM(D195:D196)</f>
        <v>1229456417.52</v>
      </c>
      <c r="E194" s="30">
        <f t="shared" si="71"/>
        <v>0</v>
      </c>
      <c r="F194" s="30">
        <f t="shared" si="71"/>
        <v>0</v>
      </c>
      <c r="G194" s="31"/>
      <c r="H194" s="31">
        <f>SUM(H195:H196)</f>
        <v>1229456417.52</v>
      </c>
      <c r="I194" s="27"/>
      <c r="J194" s="27"/>
      <c r="K194" s="27"/>
      <c r="L194" s="27"/>
      <c r="M194" s="27"/>
      <c r="N194" s="27"/>
      <c r="O194" s="27"/>
      <c r="P194" s="27"/>
      <c r="Q194" s="27"/>
      <c r="R194" s="27"/>
      <c r="S194" s="27"/>
      <c r="T194" s="27"/>
      <c r="U194" s="27"/>
      <c r="V194" s="27"/>
      <c r="W194" s="27"/>
      <c r="X194" s="27"/>
      <c r="Y194" s="27"/>
      <c r="Z194" s="27"/>
    </row>
    <row r="195" spans="1:26" ht="30" customHeight="1">
      <c r="A195" s="32" t="s">
        <v>889</v>
      </c>
      <c r="B195" s="48" t="s">
        <v>890</v>
      </c>
      <c r="C195" s="39"/>
      <c r="D195" s="38"/>
      <c r="E195" s="38"/>
      <c r="F195" s="38"/>
      <c r="G195" s="40"/>
      <c r="H195" s="40">
        <f t="shared" ref="H195:H196" si="72">ROUND(D195+F195-E195,2)</f>
        <v>0</v>
      </c>
      <c r="I195" s="27"/>
      <c r="J195" s="27"/>
      <c r="K195" s="27"/>
      <c r="L195" s="27"/>
      <c r="M195" s="27"/>
      <c r="N195" s="27"/>
      <c r="O195" s="27"/>
      <c r="P195" s="27"/>
      <c r="Q195" s="27"/>
      <c r="R195" s="27"/>
      <c r="S195" s="27"/>
      <c r="T195" s="27"/>
      <c r="U195" s="27"/>
      <c r="V195" s="27"/>
      <c r="W195" s="27"/>
      <c r="X195" s="27"/>
      <c r="Y195" s="27"/>
      <c r="Z195" s="27"/>
    </row>
    <row r="196" spans="1:26" ht="30" customHeight="1">
      <c r="A196" s="32" t="s">
        <v>891</v>
      </c>
      <c r="B196" s="48" t="s">
        <v>892</v>
      </c>
      <c r="C196" s="39"/>
      <c r="D196" s="38">
        <v>1229456417.52</v>
      </c>
      <c r="E196" s="38"/>
      <c r="F196" s="38"/>
      <c r="G196" s="40"/>
      <c r="H196" s="40">
        <f t="shared" si="72"/>
        <v>1229456417.52</v>
      </c>
      <c r="I196" s="27"/>
      <c r="J196" s="27"/>
      <c r="K196" s="27"/>
      <c r="L196" s="27"/>
      <c r="M196" s="27"/>
      <c r="N196" s="27"/>
      <c r="O196" s="27"/>
      <c r="P196" s="27"/>
      <c r="Q196" s="27"/>
      <c r="R196" s="27"/>
      <c r="S196" s="27"/>
      <c r="T196" s="27"/>
      <c r="U196" s="27"/>
      <c r="V196" s="27"/>
      <c r="W196" s="27"/>
      <c r="X196" s="27"/>
      <c r="Y196" s="27"/>
      <c r="Z196" s="27"/>
    </row>
    <row r="197" spans="1:26" ht="30" customHeight="1">
      <c r="A197" s="23" t="s">
        <v>893</v>
      </c>
      <c r="B197" s="24" t="s">
        <v>894</v>
      </c>
      <c r="C197" s="25"/>
      <c r="D197" s="25">
        <f t="shared" ref="D197:F197" si="73">D198+D308+D356</f>
        <v>11615920132.900002</v>
      </c>
      <c r="E197" s="25">
        <f t="shared" si="73"/>
        <v>0</v>
      </c>
      <c r="F197" s="25">
        <f t="shared" si="73"/>
        <v>9553280696.3800011</v>
      </c>
      <c r="G197" s="26"/>
      <c r="H197" s="26">
        <f>H198+H308+H356</f>
        <v>9553280696.3800011</v>
      </c>
      <c r="I197" s="27"/>
      <c r="J197" s="27"/>
      <c r="K197" s="27"/>
      <c r="L197" s="27"/>
      <c r="M197" s="27"/>
      <c r="N197" s="27"/>
      <c r="O197" s="27"/>
      <c r="P197" s="27"/>
      <c r="Q197" s="27"/>
      <c r="R197" s="27"/>
      <c r="S197" s="27"/>
      <c r="T197" s="27"/>
      <c r="U197" s="27"/>
      <c r="V197" s="27"/>
      <c r="W197" s="27"/>
      <c r="X197" s="27"/>
      <c r="Y197" s="27"/>
      <c r="Z197" s="27"/>
    </row>
    <row r="198" spans="1:26" ht="30" customHeight="1">
      <c r="A198" s="28" t="s">
        <v>895</v>
      </c>
      <c r="B198" s="29" t="s">
        <v>896</v>
      </c>
      <c r="C198" s="30"/>
      <c r="D198" s="30">
        <f t="shared" ref="D198:F198" si="74">D199+D220+D226+D231+D263+D272+D293+D305</f>
        <v>4747030218.8900003</v>
      </c>
      <c r="E198" s="30">
        <f t="shared" si="74"/>
        <v>0</v>
      </c>
      <c r="F198" s="30">
        <f t="shared" si="74"/>
        <v>3822135093.3300009</v>
      </c>
      <c r="G198" s="31"/>
      <c r="H198" s="31">
        <f>H199+H220+H226+H231+H263+H272+H293+H305</f>
        <v>3822135093.3300009</v>
      </c>
      <c r="I198" s="27"/>
      <c r="J198" s="27"/>
      <c r="K198" s="27"/>
      <c r="L198" s="27"/>
      <c r="M198" s="27"/>
      <c r="N198" s="27"/>
      <c r="O198" s="27"/>
      <c r="P198" s="27"/>
      <c r="Q198" s="27"/>
      <c r="R198" s="27"/>
      <c r="S198" s="27"/>
      <c r="T198" s="27"/>
      <c r="U198" s="27"/>
      <c r="V198" s="27"/>
      <c r="W198" s="27"/>
      <c r="X198" s="27"/>
      <c r="Y198" s="27"/>
      <c r="Z198" s="27"/>
    </row>
    <row r="199" spans="1:26" ht="30" customHeight="1">
      <c r="A199" s="32" t="s">
        <v>897</v>
      </c>
      <c r="B199" s="48" t="s">
        <v>898</v>
      </c>
      <c r="C199" s="34"/>
      <c r="D199" s="34">
        <f t="shared" ref="D199:F199" si="75">D200+D202+D206+D207+D208+D209+D210+D216+D218</f>
        <v>2953999448.3200002</v>
      </c>
      <c r="E199" s="34">
        <f t="shared" si="75"/>
        <v>0</v>
      </c>
      <c r="F199" s="34">
        <f t="shared" si="75"/>
        <v>2722898181.3900003</v>
      </c>
      <c r="G199" s="35"/>
      <c r="H199" s="35">
        <f>H200+H202+H206+H207+H208+H209+H210+H216+H218</f>
        <v>2722898181.3900003</v>
      </c>
      <c r="I199" s="27"/>
      <c r="J199" s="27"/>
      <c r="K199" s="27"/>
      <c r="L199" s="27"/>
      <c r="M199" s="27"/>
      <c r="N199" s="27"/>
      <c r="O199" s="27"/>
      <c r="P199" s="27"/>
      <c r="Q199" s="27"/>
      <c r="R199" s="27"/>
      <c r="S199" s="27"/>
      <c r="T199" s="27"/>
      <c r="U199" s="27"/>
      <c r="V199" s="27"/>
      <c r="W199" s="27"/>
      <c r="X199" s="27"/>
      <c r="Y199" s="27"/>
      <c r="Z199" s="27"/>
    </row>
    <row r="200" spans="1:26" ht="30" customHeight="1">
      <c r="A200" s="44">
        <v>41110</v>
      </c>
      <c r="B200" s="37" t="s">
        <v>899</v>
      </c>
      <c r="C200" s="39"/>
      <c r="D200" s="40">
        <f t="shared" ref="D200:F200" si="76">SUM(D201)</f>
        <v>39425340.020000003</v>
      </c>
      <c r="E200" s="40">
        <f t="shared" si="76"/>
        <v>0</v>
      </c>
      <c r="F200" s="40">
        <f t="shared" si="76"/>
        <v>17176896.32</v>
      </c>
      <c r="G200" s="40"/>
      <c r="H200" s="40">
        <f>SUM(H201)</f>
        <v>17176896.32</v>
      </c>
      <c r="I200" s="27"/>
      <c r="J200" s="27"/>
      <c r="K200" s="27"/>
      <c r="L200" s="27"/>
      <c r="M200" s="27"/>
      <c r="N200" s="27"/>
      <c r="O200" s="27"/>
      <c r="P200" s="27"/>
      <c r="Q200" s="27"/>
      <c r="R200" s="27"/>
      <c r="S200" s="27"/>
      <c r="T200" s="27"/>
      <c r="U200" s="27"/>
      <c r="V200" s="27"/>
      <c r="W200" s="27"/>
      <c r="X200" s="27"/>
      <c r="Y200" s="27"/>
      <c r="Z200" s="27"/>
    </row>
    <row r="201" spans="1:26" ht="30" customHeight="1">
      <c r="A201" s="50" t="s">
        <v>900</v>
      </c>
      <c r="B201" s="51" t="s">
        <v>901</v>
      </c>
      <c r="C201" s="52"/>
      <c r="D201" s="53">
        <v>39425340.020000003</v>
      </c>
      <c r="E201" s="53"/>
      <c r="F201" s="53">
        <v>17176896.32</v>
      </c>
      <c r="G201" s="53"/>
      <c r="H201" s="53">
        <f>ROUND(F201-E201,2)</f>
        <v>17176896.32</v>
      </c>
      <c r="I201" s="27"/>
      <c r="J201" s="27"/>
      <c r="K201" s="27"/>
      <c r="L201" s="27"/>
      <c r="M201" s="27"/>
      <c r="N201" s="27"/>
      <c r="O201" s="27"/>
      <c r="P201" s="27"/>
      <c r="Q201" s="27"/>
      <c r="R201" s="27"/>
      <c r="S201" s="27"/>
      <c r="T201" s="27"/>
      <c r="U201" s="27"/>
      <c r="V201" s="27"/>
      <c r="W201" s="27"/>
      <c r="X201" s="27"/>
      <c r="Y201" s="27"/>
      <c r="Z201" s="27"/>
    </row>
    <row r="202" spans="1:26" ht="30" customHeight="1">
      <c r="A202" s="44">
        <v>41120</v>
      </c>
      <c r="B202" s="54" t="s">
        <v>902</v>
      </c>
      <c r="C202" s="39"/>
      <c r="D202" s="40">
        <f t="shared" ref="D202:F202" si="77">SUM(D203:D205)</f>
        <v>2727830214.1500001</v>
      </c>
      <c r="E202" s="40">
        <f t="shared" si="77"/>
        <v>0</v>
      </c>
      <c r="F202" s="40">
        <f t="shared" si="77"/>
        <v>2560137458.1500001</v>
      </c>
      <c r="G202" s="40"/>
      <c r="H202" s="40">
        <f>SUM(H203:H205)</f>
        <v>2560137458.1500001</v>
      </c>
      <c r="I202" s="27"/>
      <c r="J202" s="27"/>
      <c r="K202" s="27"/>
      <c r="L202" s="27"/>
      <c r="M202" s="27"/>
      <c r="N202" s="27"/>
      <c r="O202" s="27"/>
      <c r="P202" s="27"/>
      <c r="Q202" s="27"/>
      <c r="R202" s="27"/>
      <c r="S202" s="27"/>
      <c r="T202" s="27"/>
      <c r="U202" s="27"/>
      <c r="V202" s="27"/>
      <c r="W202" s="27"/>
      <c r="X202" s="27"/>
      <c r="Y202" s="27"/>
      <c r="Z202" s="27"/>
    </row>
    <row r="203" spans="1:26" ht="30" customHeight="1">
      <c r="A203" s="50" t="s">
        <v>903</v>
      </c>
      <c r="B203" s="51" t="s">
        <v>904</v>
      </c>
      <c r="C203" s="52"/>
      <c r="D203" s="53">
        <v>1659973064.21</v>
      </c>
      <c r="E203" s="53"/>
      <c r="F203" s="53">
        <v>1818939280.23</v>
      </c>
      <c r="G203" s="53"/>
      <c r="H203" s="53">
        <f t="shared" ref="H203:H209" si="78">ROUND(F203-E203,2)</f>
        <v>1818939280.23</v>
      </c>
      <c r="I203" s="27"/>
      <c r="J203" s="27"/>
      <c r="K203" s="27"/>
      <c r="L203" s="27"/>
      <c r="M203" s="27"/>
      <c r="N203" s="27"/>
      <c r="O203" s="27"/>
      <c r="P203" s="27"/>
      <c r="Q203" s="27"/>
      <c r="R203" s="27"/>
      <c r="S203" s="27"/>
      <c r="T203" s="27"/>
      <c r="U203" s="27"/>
      <c r="V203" s="27"/>
      <c r="W203" s="27"/>
      <c r="X203" s="27"/>
      <c r="Y203" s="27"/>
      <c r="Z203" s="27"/>
    </row>
    <row r="204" spans="1:26" ht="30" customHeight="1">
      <c r="A204" s="50" t="s">
        <v>905</v>
      </c>
      <c r="B204" s="51" t="s">
        <v>906</v>
      </c>
      <c r="C204" s="52"/>
      <c r="D204" s="53">
        <v>976297474.08000004</v>
      </c>
      <c r="E204" s="53"/>
      <c r="F204" s="53">
        <v>712617409.85000002</v>
      </c>
      <c r="G204" s="53"/>
      <c r="H204" s="53">
        <f t="shared" si="78"/>
        <v>712617409.85000002</v>
      </c>
      <c r="I204" s="27"/>
      <c r="J204" s="27"/>
      <c r="K204" s="27"/>
      <c r="L204" s="27"/>
      <c r="M204" s="27"/>
      <c r="N204" s="27"/>
      <c r="O204" s="27"/>
      <c r="P204" s="27"/>
      <c r="Q204" s="27"/>
      <c r="R204" s="27"/>
      <c r="S204" s="27"/>
      <c r="T204" s="27"/>
      <c r="U204" s="27"/>
      <c r="V204" s="27"/>
      <c r="W204" s="27"/>
      <c r="X204" s="27"/>
      <c r="Y204" s="27"/>
      <c r="Z204" s="27"/>
    </row>
    <row r="205" spans="1:26" ht="30" customHeight="1">
      <c r="A205" s="50" t="s">
        <v>907</v>
      </c>
      <c r="B205" s="55" t="s">
        <v>908</v>
      </c>
      <c r="C205" s="52"/>
      <c r="D205" s="53">
        <v>91559675.859999999</v>
      </c>
      <c r="E205" s="53"/>
      <c r="F205" s="53">
        <v>28580768.07</v>
      </c>
      <c r="G205" s="53"/>
      <c r="H205" s="53">
        <f t="shared" si="78"/>
        <v>28580768.07</v>
      </c>
      <c r="I205" s="27"/>
      <c r="J205" s="27"/>
      <c r="K205" s="27"/>
      <c r="L205" s="27"/>
      <c r="M205" s="27"/>
      <c r="N205" s="27"/>
      <c r="O205" s="27"/>
      <c r="P205" s="27"/>
      <c r="Q205" s="27"/>
      <c r="R205" s="27"/>
      <c r="S205" s="27"/>
      <c r="T205" s="27"/>
      <c r="U205" s="27"/>
      <c r="V205" s="27"/>
      <c r="W205" s="27"/>
      <c r="X205" s="27"/>
      <c r="Y205" s="27"/>
      <c r="Z205" s="27"/>
    </row>
    <row r="206" spans="1:26" ht="30" customHeight="1">
      <c r="A206" s="36" t="s">
        <v>909</v>
      </c>
      <c r="B206" s="37" t="s">
        <v>910</v>
      </c>
      <c r="C206" s="42"/>
      <c r="D206" s="42"/>
      <c r="E206" s="42"/>
      <c r="F206" s="42"/>
      <c r="G206" s="40"/>
      <c r="H206" s="40">
        <f t="shared" si="78"/>
        <v>0</v>
      </c>
      <c r="I206" s="27"/>
      <c r="J206" s="27"/>
      <c r="K206" s="27"/>
      <c r="L206" s="27"/>
      <c r="M206" s="27"/>
      <c r="N206" s="27"/>
      <c r="O206" s="27"/>
      <c r="P206" s="27"/>
      <c r="Q206" s="27"/>
      <c r="R206" s="27"/>
      <c r="S206" s="27"/>
      <c r="T206" s="27"/>
      <c r="U206" s="27"/>
      <c r="V206" s="27"/>
      <c r="W206" s="27"/>
      <c r="X206" s="27"/>
      <c r="Y206" s="27"/>
      <c r="Z206" s="27"/>
    </row>
    <row r="207" spans="1:26" ht="30" customHeight="1">
      <c r="A207" s="36" t="s">
        <v>911</v>
      </c>
      <c r="B207" s="37" t="s">
        <v>912</v>
      </c>
      <c r="C207" s="42"/>
      <c r="D207" s="42"/>
      <c r="E207" s="42"/>
      <c r="F207" s="42"/>
      <c r="G207" s="40"/>
      <c r="H207" s="40">
        <f t="shared" si="78"/>
        <v>0</v>
      </c>
      <c r="I207" s="27"/>
      <c r="J207" s="27"/>
      <c r="K207" s="27"/>
      <c r="L207" s="27"/>
      <c r="M207" s="27"/>
      <c r="N207" s="27"/>
      <c r="O207" s="27"/>
      <c r="P207" s="27"/>
      <c r="Q207" s="27"/>
      <c r="R207" s="27"/>
      <c r="S207" s="27"/>
      <c r="T207" s="27"/>
      <c r="U207" s="27"/>
      <c r="V207" s="27"/>
      <c r="W207" s="27"/>
      <c r="X207" s="27"/>
      <c r="Y207" s="27"/>
      <c r="Z207" s="27"/>
    </row>
    <row r="208" spans="1:26" ht="30" customHeight="1">
      <c r="A208" s="36" t="s">
        <v>913</v>
      </c>
      <c r="B208" s="37" t="s">
        <v>914</v>
      </c>
      <c r="C208" s="42"/>
      <c r="D208" s="42"/>
      <c r="E208" s="42"/>
      <c r="F208" s="42"/>
      <c r="G208" s="40"/>
      <c r="H208" s="40">
        <f t="shared" si="78"/>
        <v>0</v>
      </c>
      <c r="I208" s="27"/>
      <c r="J208" s="27"/>
      <c r="K208" s="27"/>
      <c r="L208" s="27"/>
      <c r="M208" s="27"/>
      <c r="N208" s="27"/>
      <c r="O208" s="27"/>
      <c r="P208" s="27"/>
      <c r="Q208" s="27"/>
      <c r="R208" s="27"/>
      <c r="S208" s="27"/>
      <c r="T208" s="27"/>
      <c r="U208" s="27"/>
      <c r="V208" s="27"/>
      <c r="W208" s="27"/>
      <c r="X208" s="27"/>
      <c r="Y208" s="27"/>
      <c r="Z208" s="27"/>
    </row>
    <row r="209" spans="1:26" ht="30" customHeight="1">
      <c r="A209" s="36" t="s">
        <v>915</v>
      </c>
      <c r="B209" s="37" t="s">
        <v>916</v>
      </c>
      <c r="C209" s="42"/>
      <c r="D209" s="42"/>
      <c r="E209" s="42"/>
      <c r="F209" s="42"/>
      <c r="G209" s="40"/>
      <c r="H209" s="40">
        <f t="shared" si="78"/>
        <v>0</v>
      </c>
      <c r="I209" s="27"/>
      <c r="J209" s="27"/>
      <c r="K209" s="27"/>
      <c r="L209" s="27"/>
      <c r="M209" s="27"/>
      <c r="N209" s="27"/>
      <c r="O209" s="27"/>
      <c r="P209" s="27"/>
      <c r="Q209" s="27"/>
      <c r="R209" s="27"/>
      <c r="S209" s="27"/>
      <c r="T209" s="27"/>
      <c r="U209" s="27"/>
      <c r="V209" s="27"/>
      <c r="W209" s="27"/>
      <c r="X209" s="27"/>
      <c r="Y209" s="27"/>
      <c r="Z209" s="27"/>
    </row>
    <row r="210" spans="1:26" ht="30" customHeight="1">
      <c r="A210" s="36" t="s">
        <v>917</v>
      </c>
      <c r="B210" s="37" t="s">
        <v>918</v>
      </c>
      <c r="C210" s="42"/>
      <c r="D210" s="40">
        <f t="shared" ref="D210:F210" si="79">SUM(D211:D215)</f>
        <v>164950431.28999999</v>
      </c>
      <c r="E210" s="40">
        <f t="shared" si="79"/>
        <v>0</v>
      </c>
      <c r="F210" s="40">
        <f t="shared" si="79"/>
        <v>127664432.56</v>
      </c>
      <c r="G210" s="40"/>
      <c r="H210" s="40">
        <f>SUM(H211:H215)</f>
        <v>127664432.56</v>
      </c>
      <c r="I210" s="27"/>
      <c r="J210" s="27"/>
      <c r="K210" s="27"/>
      <c r="L210" s="27"/>
      <c r="M210" s="27"/>
      <c r="N210" s="27"/>
      <c r="O210" s="27"/>
      <c r="P210" s="27"/>
      <c r="Q210" s="27"/>
      <c r="R210" s="27"/>
      <c r="S210" s="27"/>
      <c r="T210" s="27"/>
      <c r="U210" s="27"/>
      <c r="V210" s="27"/>
      <c r="W210" s="27"/>
      <c r="X210" s="27"/>
      <c r="Y210" s="27"/>
      <c r="Z210" s="27"/>
    </row>
    <row r="211" spans="1:26" ht="30" customHeight="1">
      <c r="A211" s="50" t="s">
        <v>919</v>
      </c>
      <c r="B211" s="56" t="s">
        <v>920</v>
      </c>
      <c r="C211" s="52"/>
      <c r="D211" s="53">
        <v>50254722.630000003</v>
      </c>
      <c r="E211" s="53"/>
      <c r="F211" s="53">
        <v>44269028.5</v>
      </c>
      <c r="G211" s="53"/>
      <c r="H211" s="53">
        <f t="shared" ref="H211:H215" si="80">ROUND(F211-E211,2)</f>
        <v>44269028.5</v>
      </c>
      <c r="I211" s="27"/>
      <c r="J211" s="27"/>
      <c r="K211" s="27"/>
      <c r="L211" s="27"/>
      <c r="M211" s="27"/>
      <c r="N211" s="27"/>
      <c r="O211" s="27"/>
      <c r="P211" s="27"/>
      <c r="Q211" s="27"/>
      <c r="R211" s="27"/>
      <c r="S211" s="27"/>
      <c r="T211" s="27"/>
      <c r="U211" s="27"/>
      <c r="V211" s="27"/>
      <c r="W211" s="27"/>
      <c r="X211" s="27"/>
      <c r="Y211" s="27"/>
      <c r="Z211" s="27"/>
    </row>
    <row r="212" spans="1:26" ht="30" customHeight="1">
      <c r="A212" s="50" t="s">
        <v>921</v>
      </c>
      <c r="B212" s="51" t="s">
        <v>922</v>
      </c>
      <c r="C212" s="52"/>
      <c r="D212" s="53">
        <v>301313.33</v>
      </c>
      <c r="E212" s="53"/>
      <c r="F212" s="53">
        <v>297970.61</v>
      </c>
      <c r="G212" s="53"/>
      <c r="H212" s="53">
        <f t="shared" si="80"/>
        <v>297970.61</v>
      </c>
      <c r="I212" s="27"/>
      <c r="J212" s="27"/>
      <c r="K212" s="27"/>
      <c r="L212" s="27"/>
      <c r="M212" s="27"/>
      <c r="N212" s="27"/>
      <c r="O212" s="27"/>
      <c r="P212" s="27"/>
      <c r="Q212" s="27"/>
      <c r="R212" s="27"/>
      <c r="S212" s="27"/>
      <c r="T212" s="27"/>
      <c r="U212" s="27"/>
      <c r="V212" s="27"/>
      <c r="W212" s="27"/>
      <c r="X212" s="27"/>
      <c r="Y212" s="27"/>
      <c r="Z212" s="27"/>
    </row>
    <row r="213" spans="1:26" ht="30" customHeight="1">
      <c r="A213" s="50" t="s">
        <v>923</v>
      </c>
      <c r="B213" s="51" t="s">
        <v>924</v>
      </c>
      <c r="C213" s="52"/>
      <c r="D213" s="53">
        <v>61177643.659999996</v>
      </c>
      <c r="E213" s="53"/>
      <c r="F213" s="53">
        <v>62735101.960000001</v>
      </c>
      <c r="G213" s="53"/>
      <c r="H213" s="53">
        <f t="shared" si="80"/>
        <v>62735101.960000001</v>
      </c>
      <c r="I213" s="27"/>
      <c r="J213" s="27"/>
      <c r="K213" s="27"/>
      <c r="L213" s="27"/>
      <c r="M213" s="27"/>
      <c r="N213" s="27"/>
      <c r="O213" s="27"/>
      <c r="P213" s="27"/>
      <c r="Q213" s="27"/>
      <c r="R213" s="27"/>
      <c r="S213" s="27"/>
      <c r="T213" s="27"/>
      <c r="U213" s="27"/>
      <c r="V213" s="27"/>
      <c r="W213" s="27"/>
      <c r="X213" s="27"/>
      <c r="Y213" s="27"/>
      <c r="Z213" s="27"/>
    </row>
    <row r="214" spans="1:26" ht="30" customHeight="1">
      <c r="A214" s="50" t="s">
        <v>925</v>
      </c>
      <c r="B214" s="51" t="s">
        <v>926</v>
      </c>
      <c r="C214" s="52"/>
      <c r="D214" s="53">
        <v>20708546.350000001</v>
      </c>
      <c r="E214" s="53"/>
      <c r="F214" s="53">
        <v>8046474.04</v>
      </c>
      <c r="G214" s="53"/>
      <c r="H214" s="53">
        <f t="shared" si="80"/>
        <v>8046474.04</v>
      </c>
      <c r="I214" s="27"/>
      <c r="J214" s="27"/>
      <c r="K214" s="27"/>
      <c r="L214" s="27"/>
      <c r="M214" s="27"/>
      <c r="N214" s="27"/>
      <c r="O214" s="27"/>
      <c r="P214" s="27"/>
      <c r="Q214" s="27"/>
      <c r="R214" s="27"/>
      <c r="S214" s="27"/>
      <c r="T214" s="27"/>
      <c r="U214" s="27"/>
      <c r="V214" s="27"/>
      <c r="W214" s="27"/>
      <c r="X214" s="27"/>
      <c r="Y214" s="27"/>
      <c r="Z214" s="27"/>
    </row>
    <row r="215" spans="1:26" ht="30" customHeight="1">
      <c r="A215" s="50" t="s">
        <v>927</v>
      </c>
      <c r="B215" s="55" t="s">
        <v>928</v>
      </c>
      <c r="C215" s="52"/>
      <c r="D215" s="53">
        <v>32508205.32</v>
      </c>
      <c r="E215" s="53"/>
      <c r="F215" s="53">
        <v>12315857.449999999</v>
      </c>
      <c r="G215" s="53"/>
      <c r="H215" s="53">
        <f t="shared" si="80"/>
        <v>12315857.449999999</v>
      </c>
      <c r="I215" s="27"/>
      <c r="J215" s="27"/>
      <c r="K215" s="27"/>
      <c r="L215" s="27"/>
      <c r="M215" s="27"/>
      <c r="N215" s="27"/>
      <c r="O215" s="27"/>
      <c r="P215" s="27"/>
      <c r="Q215" s="27"/>
      <c r="R215" s="27"/>
      <c r="S215" s="27"/>
      <c r="T215" s="27"/>
      <c r="U215" s="27"/>
      <c r="V215" s="27"/>
      <c r="W215" s="27"/>
      <c r="X215" s="27"/>
      <c r="Y215" s="27"/>
      <c r="Z215" s="27"/>
    </row>
    <row r="216" spans="1:26" ht="30" customHeight="1">
      <c r="A216" s="36" t="s">
        <v>929</v>
      </c>
      <c r="B216" s="37" t="s">
        <v>930</v>
      </c>
      <c r="C216" s="42"/>
      <c r="D216" s="42">
        <f t="shared" ref="D216:F216" si="81">SUM(D217)</f>
        <v>0</v>
      </c>
      <c r="E216" s="42">
        <f t="shared" si="81"/>
        <v>0</v>
      </c>
      <c r="F216" s="42">
        <f t="shared" si="81"/>
        <v>0</v>
      </c>
      <c r="G216" s="40"/>
      <c r="H216" s="42">
        <f>SUM(H217)</f>
        <v>0</v>
      </c>
      <c r="I216" s="27"/>
      <c r="J216" s="27"/>
      <c r="K216" s="27"/>
      <c r="L216" s="27"/>
      <c r="M216" s="27"/>
      <c r="N216" s="27"/>
      <c r="O216" s="27"/>
      <c r="P216" s="27"/>
      <c r="Q216" s="27"/>
      <c r="R216" s="27"/>
      <c r="S216" s="27"/>
      <c r="T216" s="27"/>
      <c r="U216" s="27"/>
      <c r="V216" s="27"/>
      <c r="W216" s="27"/>
      <c r="X216" s="27"/>
      <c r="Y216" s="27"/>
      <c r="Z216" s="27"/>
    </row>
    <row r="217" spans="1:26" ht="30" customHeight="1">
      <c r="A217" s="57" t="s">
        <v>931</v>
      </c>
      <c r="B217" s="51" t="s">
        <v>930</v>
      </c>
      <c r="C217" s="58"/>
      <c r="D217" s="53"/>
      <c r="E217" s="53"/>
      <c r="F217" s="53"/>
      <c r="G217" s="53"/>
      <c r="H217" s="53">
        <f>ROUND(F217-E217,2)</f>
        <v>0</v>
      </c>
      <c r="I217" s="27"/>
      <c r="J217" s="27"/>
      <c r="K217" s="27"/>
      <c r="L217" s="27"/>
      <c r="M217" s="27"/>
      <c r="N217" s="27"/>
      <c r="O217" s="27"/>
      <c r="P217" s="27"/>
      <c r="Q217" s="27"/>
      <c r="R217" s="27"/>
      <c r="S217" s="27"/>
      <c r="T217" s="27"/>
      <c r="U217" s="27"/>
      <c r="V217" s="27"/>
      <c r="W217" s="27"/>
      <c r="X217" s="27"/>
      <c r="Y217" s="27"/>
      <c r="Z217" s="27"/>
    </row>
    <row r="218" spans="1:26" ht="30" customHeight="1">
      <c r="A218" s="36" t="s">
        <v>932</v>
      </c>
      <c r="B218" s="37" t="s">
        <v>933</v>
      </c>
      <c r="C218" s="42"/>
      <c r="D218" s="40">
        <f t="shared" ref="D218:F218" si="82">SUM(D219)</f>
        <v>21793462.859999999</v>
      </c>
      <c r="E218" s="40">
        <f t="shared" si="82"/>
        <v>0</v>
      </c>
      <c r="F218" s="40">
        <f t="shared" si="82"/>
        <v>17919394.359999999</v>
      </c>
      <c r="G218" s="40"/>
      <c r="H218" s="40">
        <f>SUM(H219)</f>
        <v>17919394.359999999</v>
      </c>
      <c r="I218" s="27"/>
      <c r="J218" s="27"/>
      <c r="K218" s="27"/>
      <c r="L218" s="27"/>
      <c r="M218" s="27"/>
      <c r="N218" s="27"/>
      <c r="O218" s="27"/>
      <c r="P218" s="27"/>
      <c r="Q218" s="27"/>
      <c r="R218" s="27"/>
      <c r="S218" s="27"/>
      <c r="T218" s="27"/>
      <c r="U218" s="27"/>
      <c r="V218" s="27"/>
      <c r="W218" s="27"/>
      <c r="X218" s="27"/>
      <c r="Y218" s="27"/>
      <c r="Z218" s="27"/>
    </row>
    <row r="219" spans="1:26" ht="30" customHeight="1">
      <c r="A219" s="50" t="s">
        <v>934</v>
      </c>
      <c r="B219" s="56" t="s">
        <v>933</v>
      </c>
      <c r="C219" s="52"/>
      <c r="D219" s="53">
        <v>21793462.859999999</v>
      </c>
      <c r="E219" s="53"/>
      <c r="F219" s="53">
        <v>17919394.359999999</v>
      </c>
      <c r="G219" s="53"/>
      <c r="H219" s="53">
        <f>ROUND(F219-E219,2)</f>
        <v>17919394.359999999</v>
      </c>
      <c r="I219" s="27"/>
      <c r="J219" s="27"/>
      <c r="K219" s="27"/>
      <c r="L219" s="27"/>
      <c r="M219" s="27"/>
      <c r="N219" s="27"/>
      <c r="O219" s="27"/>
      <c r="P219" s="27"/>
      <c r="Q219" s="27"/>
      <c r="R219" s="27"/>
      <c r="S219" s="27"/>
      <c r="T219" s="27"/>
      <c r="U219" s="27"/>
      <c r="V219" s="27"/>
      <c r="W219" s="27"/>
      <c r="X219" s="27"/>
      <c r="Y219" s="27"/>
      <c r="Z219" s="27"/>
    </row>
    <row r="220" spans="1:26" ht="30" customHeight="1">
      <c r="A220" s="32" t="s">
        <v>935</v>
      </c>
      <c r="B220" s="33" t="s">
        <v>936</v>
      </c>
      <c r="C220" s="34"/>
      <c r="D220" s="34">
        <f t="shared" ref="D220:F220" si="83">SUM(D221:D225)</f>
        <v>0</v>
      </c>
      <c r="E220" s="34">
        <f t="shared" si="83"/>
        <v>0</v>
      </c>
      <c r="F220" s="34">
        <f t="shared" si="83"/>
        <v>0</v>
      </c>
      <c r="G220" s="35"/>
      <c r="H220" s="34">
        <f>SUM(H221:H225)</f>
        <v>0</v>
      </c>
      <c r="I220" s="27"/>
      <c r="J220" s="27"/>
      <c r="K220" s="27"/>
      <c r="L220" s="27"/>
      <c r="M220" s="27"/>
      <c r="N220" s="27"/>
      <c r="O220" s="27"/>
      <c r="P220" s="27"/>
      <c r="Q220" s="27"/>
      <c r="R220" s="27"/>
      <c r="S220" s="27"/>
      <c r="T220" s="27"/>
      <c r="U220" s="27"/>
      <c r="V220" s="27"/>
      <c r="W220" s="27"/>
      <c r="X220" s="27"/>
      <c r="Y220" s="27"/>
      <c r="Z220" s="27"/>
    </row>
    <row r="221" spans="1:26" ht="30" customHeight="1">
      <c r="A221" s="36" t="s">
        <v>937</v>
      </c>
      <c r="B221" s="37" t="s">
        <v>938</v>
      </c>
      <c r="C221" s="42"/>
      <c r="D221" s="39"/>
      <c r="E221" s="39"/>
      <c r="F221" s="39"/>
      <c r="G221" s="40"/>
      <c r="H221" s="40"/>
      <c r="I221" s="27"/>
      <c r="J221" s="27"/>
      <c r="K221" s="27"/>
      <c r="L221" s="27"/>
      <c r="M221" s="27"/>
      <c r="N221" s="27"/>
      <c r="O221" s="27"/>
      <c r="P221" s="27"/>
      <c r="Q221" s="27"/>
      <c r="R221" s="27"/>
      <c r="S221" s="27"/>
      <c r="T221" s="27"/>
      <c r="U221" s="27"/>
      <c r="V221" s="27"/>
      <c r="W221" s="27"/>
      <c r="X221" s="27"/>
      <c r="Y221" s="27"/>
      <c r="Z221" s="27"/>
    </row>
    <row r="222" spans="1:26" ht="30" customHeight="1">
      <c r="A222" s="36" t="s">
        <v>939</v>
      </c>
      <c r="B222" s="59" t="s">
        <v>940</v>
      </c>
      <c r="C222" s="42"/>
      <c r="D222" s="39"/>
      <c r="E222" s="39"/>
      <c r="F222" s="39"/>
      <c r="G222" s="40"/>
      <c r="H222" s="40"/>
      <c r="I222" s="27"/>
      <c r="J222" s="27"/>
      <c r="K222" s="27"/>
      <c r="L222" s="27"/>
      <c r="M222" s="27"/>
      <c r="N222" s="27"/>
      <c r="O222" s="27"/>
      <c r="P222" s="27"/>
      <c r="Q222" s="27"/>
      <c r="R222" s="27"/>
      <c r="S222" s="27"/>
      <c r="T222" s="27"/>
      <c r="U222" s="27"/>
      <c r="V222" s="27"/>
      <c r="W222" s="27"/>
      <c r="X222" s="27"/>
      <c r="Y222" s="27"/>
      <c r="Z222" s="27"/>
    </row>
    <row r="223" spans="1:26" ht="30" customHeight="1">
      <c r="A223" s="36" t="s">
        <v>941</v>
      </c>
      <c r="B223" s="37" t="s">
        <v>942</v>
      </c>
      <c r="C223" s="42"/>
      <c r="D223" s="39"/>
      <c r="E223" s="39"/>
      <c r="F223" s="39"/>
      <c r="G223" s="40"/>
      <c r="H223" s="40"/>
      <c r="I223" s="27"/>
      <c r="J223" s="27"/>
      <c r="K223" s="27"/>
      <c r="L223" s="27"/>
      <c r="M223" s="27"/>
      <c r="N223" s="27"/>
      <c r="O223" s="27"/>
      <c r="P223" s="27"/>
      <c r="Q223" s="27"/>
      <c r="R223" s="27"/>
      <c r="S223" s="27"/>
      <c r="T223" s="27"/>
      <c r="U223" s="27"/>
      <c r="V223" s="27"/>
      <c r="W223" s="27"/>
      <c r="X223" s="27"/>
      <c r="Y223" s="27"/>
      <c r="Z223" s="27"/>
    </row>
    <row r="224" spans="1:26" ht="30" customHeight="1">
      <c r="A224" s="36" t="s">
        <v>943</v>
      </c>
      <c r="B224" s="59" t="s">
        <v>944</v>
      </c>
      <c r="C224" s="42"/>
      <c r="D224" s="39"/>
      <c r="E224" s="39"/>
      <c r="F224" s="39"/>
      <c r="G224" s="40"/>
      <c r="H224" s="40"/>
      <c r="I224" s="27"/>
      <c r="J224" s="27"/>
      <c r="K224" s="27"/>
      <c r="L224" s="27"/>
      <c r="M224" s="27"/>
      <c r="N224" s="27"/>
      <c r="O224" s="27"/>
      <c r="P224" s="27"/>
      <c r="Q224" s="27"/>
      <c r="R224" s="27"/>
      <c r="S224" s="27"/>
      <c r="T224" s="27"/>
      <c r="U224" s="27"/>
      <c r="V224" s="27"/>
      <c r="W224" s="27"/>
      <c r="X224" s="27"/>
      <c r="Y224" s="27"/>
      <c r="Z224" s="27"/>
    </row>
    <row r="225" spans="1:26" ht="30" customHeight="1">
      <c r="A225" s="36" t="s">
        <v>945</v>
      </c>
      <c r="B225" s="37" t="s">
        <v>946</v>
      </c>
      <c r="C225" s="42"/>
      <c r="D225" s="39"/>
      <c r="E225" s="39"/>
      <c r="F225" s="39"/>
      <c r="G225" s="40"/>
      <c r="H225" s="40"/>
      <c r="I225" s="27"/>
      <c r="J225" s="27"/>
      <c r="K225" s="27"/>
      <c r="L225" s="27"/>
      <c r="M225" s="27"/>
      <c r="N225" s="27"/>
      <c r="O225" s="27"/>
      <c r="P225" s="27"/>
      <c r="Q225" s="27"/>
      <c r="R225" s="27"/>
      <c r="S225" s="27"/>
      <c r="T225" s="27"/>
      <c r="U225" s="27"/>
      <c r="V225" s="27"/>
      <c r="W225" s="27"/>
      <c r="X225" s="27"/>
      <c r="Y225" s="27"/>
      <c r="Z225" s="27"/>
    </row>
    <row r="226" spans="1:26" ht="30" customHeight="1">
      <c r="A226" s="32" t="s">
        <v>947</v>
      </c>
      <c r="B226" s="43" t="s">
        <v>948</v>
      </c>
      <c r="C226" s="34"/>
      <c r="D226" s="34">
        <f t="shared" ref="D226:F226" si="84">SUM(D227+D229)</f>
        <v>413506.61</v>
      </c>
      <c r="E226" s="34">
        <f t="shared" si="84"/>
        <v>0</v>
      </c>
      <c r="F226" s="34">
        <f t="shared" si="84"/>
        <v>0</v>
      </c>
      <c r="G226" s="35"/>
      <c r="H226" s="35">
        <f>SUM(H227+H229)</f>
        <v>0</v>
      </c>
      <c r="I226" s="27"/>
      <c r="J226" s="27"/>
      <c r="K226" s="27"/>
      <c r="L226" s="27"/>
      <c r="M226" s="27"/>
      <c r="N226" s="27"/>
      <c r="O226" s="27"/>
      <c r="P226" s="27"/>
      <c r="Q226" s="27"/>
      <c r="R226" s="27"/>
      <c r="S226" s="27"/>
      <c r="T226" s="27"/>
      <c r="U226" s="27"/>
      <c r="V226" s="27"/>
      <c r="W226" s="27"/>
      <c r="X226" s="27"/>
      <c r="Y226" s="27"/>
      <c r="Z226" s="27"/>
    </row>
    <row r="227" spans="1:26" ht="30" customHeight="1">
      <c r="A227" s="44" t="s">
        <v>949</v>
      </c>
      <c r="B227" s="37" t="s">
        <v>950</v>
      </c>
      <c r="C227" s="39"/>
      <c r="D227" s="40">
        <f t="shared" ref="D227:F227" si="85">SUM(D228)</f>
        <v>0</v>
      </c>
      <c r="E227" s="40">
        <f t="shared" si="85"/>
        <v>0</v>
      </c>
      <c r="F227" s="40">
        <f t="shared" si="85"/>
        <v>0</v>
      </c>
      <c r="G227" s="40"/>
      <c r="H227" s="40">
        <f>SUM(H228)</f>
        <v>0</v>
      </c>
      <c r="I227" s="27"/>
      <c r="J227" s="27"/>
      <c r="K227" s="27"/>
      <c r="L227" s="27"/>
      <c r="M227" s="27"/>
      <c r="N227" s="27"/>
      <c r="O227" s="27"/>
      <c r="P227" s="27"/>
      <c r="Q227" s="27"/>
      <c r="R227" s="27"/>
      <c r="S227" s="27"/>
      <c r="T227" s="27"/>
      <c r="U227" s="27"/>
      <c r="V227" s="27"/>
      <c r="W227" s="27"/>
      <c r="X227" s="27"/>
      <c r="Y227" s="27"/>
      <c r="Z227" s="27"/>
    </row>
    <row r="228" spans="1:26" ht="30" customHeight="1">
      <c r="A228" s="50" t="s">
        <v>951</v>
      </c>
      <c r="B228" s="51" t="s">
        <v>952</v>
      </c>
      <c r="C228" s="52"/>
      <c r="D228" s="53"/>
      <c r="E228" s="53"/>
      <c r="F228" s="53"/>
      <c r="G228" s="53"/>
      <c r="H228" s="53">
        <f>ROUND(F228-E228,2)</f>
        <v>0</v>
      </c>
      <c r="I228" s="27"/>
      <c r="J228" s="27"/>
      <c r="K228" s="27"/>
      <c r="L228" s="27"/>
      <c r="M228" s="27"/>
      <c r="N228" s="27"/>
      <c r="O228" s="27"/>
      <c r="P228" s="27"/>
      <c r="Q228" s="27"/>
      <c r="R228" s="27"/>
      <c r="S228" s="27"/>
      <c r="T228" s="27"/>
      <c r="U228" s="27"/>
      <c r="V228" s="27"/>
      <c r="W228" s="27"/>
      <c r="X228" s="27"/>
      <c r="Y228" s="27"/>
      <c r="Z228" s="27"/>
    </row>
    <row r="229" spans="1:26" ht="30" customHeight="1">
      <c r="A229" s="44" t="s">
        <v>953</v>
      </c>
      <c r="B229" s="37" t="s">
        <v>954</v>
      </c>
      <c r="C229" s="39"/>
      <c r="D229" s="39">
        <f t="shared" ref="D229:F229" si="86">SUM(D230)</f>
        <v>413506.61</v>
      </c>
      <c r="E229" s="39">
        <f t="shared" si="86"/>
        <v>0</v>
      </c>
      <c r="F229" s="39">
        <f t="shared" si="86"/>
        <v>0</v>
      </c>
      <c r="G229" s="40"/>
      <c r="H229" s="39">
        <f>SUM(H230)</f>
        <v>0</v>
      </c>
      <c r="I229" s="27"/>
      <c r="J229" s="27"/>
      <c r="K229" s="27"/>
      <c r="L229" s="27"/>
      <c r="M229" s="27"/>
      <c r="N229" s="27"/>
      <c r="O229" s="27"/>
      <c r="P229" s="27"/>
      <c r="Q229" s="27"/>
      <c r="R229" s="27"/>
      <c r="S229" s="27"/>
      <c r="T229" s="27"/>
      <c r="U229" s="27"/>
      <c r="V229" s="27"/>
      <c r="W229" s="27"/>
      <c r="X229" s="27"/>
      <c r="Y229" s="27"/>
      <c r="Z229" s="27"/>
    </row>
    <row r="230" spans="1:26" ht="30" customHeight="1">
      <c r="A230" s="50" t="s">
        <v>955</v>
      </c>
      <c r="B230" s="51" t="s">
        <v>954</v>
      </c>
      <c r="C230" s="52"/>
      <c r="D230" s="53">
        <v>413506.61</v>
      </c>
      <c r="E230" s="53"/>
      <c r="F230" s="53"/>
      <c r="G230" s="53"/>
      <c r="H230" s="53">
        <f>ROUND(F230-E230,2)</f>
        <v>0</v>
      </c>
      <c r="I230" s="27"/>
      <c r="J230" s="27"/>
      <c r="K230" s="27"/>
      <c r="L230" s="27"/>
      <c r="M230" s="27"/>
      <c r="N230" s="27"/>
      <c r="O230" s="27"/>
      <c r="P230" s="27"/>
      <c r="Q230" s="27"/>
      <c r="R230" s="27"/>
      <c r="S230" s="27"/>
      <c r="T230" s="27"/>
      <c r="U230" s="27"/>
      <c r="V230" s="27"/>
      <c r="W230" s="27"/>
      <c r="X230" s="27"/>
      <c r="Y230" s="27"/>
      <c r="Z230" s="27"/>
    </row>
    <row r="231" spans="1:26" ht="30" customHeight="1">
      <c r="A231" s="32" t="s">
        <v>956</v>
      </c>
      <c r="B231" s="48" t="s">
        <v>957</v>
      </c>
      <c r="C231" s="34"/>
      <c r="D231" s="34">
        <f t="shared" ref="D231:F231" si="87">D232+D237+D238+D259+D261+D253</f>
        <v>1402723470.5000002</v>
      </c>
      <c r="E231" s="34">
        <f t="shared" si="87"/>
        <v>0</v>
      </c>
      <c r="F231" s="34">
        <f t="shared" si="87"/>
        <v>860382178.17000008</v>
      </c>
      <c r="G231" s="35"/>
      <c r="H231" s="34">
        <f>H232+H237+H238+H259+H261+H253</f>
        <v>860382178.17000008</v>
      </c>
      <c r="I231" s="27"/>
      <c r="J231" s="27"/>
      <c r="K231" s="27"/>
      <c r="L231" s="27"/>
      <c r="M231" s="27"/>
      <c r="N231" s="27"/>
      <c r="O231" s="27"/>
      <c r="P231" s="27"/>
      <c r="Q231" s="27"/>
      <c r="R231" s="27"/>
      <c r="S231" s="27"/>
      <c r="T231" s="27"/>
      <c r="U231" s="27"/>
      <c r="V231" s="27"/>
      <c r="W231" s="27"/>
      <c r="X231" s="27"/>
      <c r="Y231" s="27"/>
      <c r="Z231" s="27"/>
    </row>
    <row r="232" spans="1:26" ht="30" customHeight="1">
      <c r="A232" s="44" t="s">
        <v>958</v>
      </c>
      <c r="B232" s="60" t="s">
        <v>959</v>
      </c>
      <c r="C232" s="39"/>
      <c r="D232" s="40">
        <f t="shared" ref="D232:F232" si="88">SUM(D233:D236)</f>
        <v>385540802.83999997</v>
      </c>
      <c r="E232" s="40">
        <f t="shared" si="88"/>
        <v>0</v>
      </c>
      <c r="F232" s="40">
        <f t="shared" si="88"/>
        <v>282335221.75999999</v>
      </c>
      <c r="G232" s="40"/>
      <c r="H232" s="40">
        <f>SUM(H233:H236)</f>
        <v>282335221.75999999</v>
      </c>
      <c r="I232" s="27"/>
      <c r="J232" s="27"/>
      <c r="K232" s="27"/>
      <c r="L232" s="27"/>
      <c r="M232" s="27"/>
      <c r="N232" s="27"/>
      <c r="O232" s="27"/>
      <c r="P232" s="27"/>
      <c r="Q232" s="27"/>
      <c r="R232" s="27"/>
      <c r="S232" s="27"/>
      <c r="T232" s="27"/>
      <c r="U232" s="27"/>
      <c r="V232" s="27"/>
      <c r="W232" s="27"/>
      <c r="X232" s="27"/>
      <c r="Y232" s="27"/>
      <c r="Z232" s="27"/>
    </row>
    <row r="233" spans="1:26" ht="30" customHeight="1">
      <c r="A233" s="50" t="s">
        <v>960</v>
      </c>
      <c r="B233" s="51" t="s">
        <v>961</v>
      </c>
      <c r="C233" s="52"/>
      <c r="D233" s="53">
        <v>179470118.84999999</v>
      </c>
      <c r="E233" s="53"/>
      <c r="F233" s="53">
        <v>126391964.70999999</v>
      </c>
      <c r="G233" s="53"/>
      <c r="H233" s="53">
        <f t="shared" ref="H233:H236" si="89">ROUND(F233-E233,2)</f>
        <v>126391964.70999999</v>
      </c>
      <c r="I233" s="27"/>
      <c r="J233" s="27"/>
      <c r="K233" s="27"/>
      <c r="L233" s="27"/>
      <c r="M233" s="27"/>
      <c r="N233" s="27"/>
      <c r="O233" s="27"/>
      <c r="P233" s="27"/>
      <c r="Q233" s="27"/>
      <c r="R233" s="27"/>
      <c r="S233" s="27"/>
      <c r="T233" s="27"/>
      <c r="U233" s="27"/>
      <c r="V233" s="27"/>
      <c r="W233" s="27"/>
      <c r="X233" s="27"/>
      <c r="Y233" s="27"/>
      <c r="Z233" s="27"/>
    </row>
    <row r="234" spans="1:26" ht="30" customHeight="1">
      <c r="A234" s="50" t="s">
        <v>962</v>
      </c>
      <c r="B234" s="51" t="s">
        <v>963</v>
      </c>
      <c r="C234" s="52"/>
      <c r="D234" s="53">
        <v>32153312.23</v>
      </c>
      <c r="E234" s="53"/>
      <c r="F234" s="53">
        <v>25556682.530000001</v>
      </c>
      <c r="G234" s="53"/>
      <c r="H234" s="53">
        <f t="shared" si="89"/>
        <v>25556682.530000001</v>
      </c>
      <c r="I234" s="27"/>
      <c r="J234" s="27"/>
      <c r="K234" s="27"/>
      <c r="L234" s="27"/>
      <c r="M234" s="27"/>
      <c r="N234" s="27"/>
      <c r="O234" s="27"/>
      <c r="P234" s="27"/>
      <c r="Q234" s="27"/>
      <c r="R234" s="27"/>
      <c r="S234" s="27"/>
      <c r="T234" s="27"/>
      <c r="U234" s="27"/>
      <c r="V234" s="27"/>
      <c r="W234" s="27"/>
      <c r="X234" s="27"/>
      <c r="Y234" s="27"/>
      <c r="Z234" s="27"/>
    </row>
    <row r="235" spans="1:26" ht="30" customHeight="1">
      <c r="A235" s="50" t="s">
        <v>964</v>
      </c>
      <c r="B235" s="51" t="s">
        <v>965</v>
      </c>
      <c r="C235" s="52"/>
      <c r="D235" s="53">
        <v>57668396.960000001</v>
      </c>
      <c r="E235" s="53"/>
      <c r="F235" s="53">
        <v>48881863.719999999</v>
      </c>
      <c r="G235" s="53"/>
      <c r="H235" s="53">
        <f t="shared" si="89"/>
        <v>48881863.719999999</v>
      </c>
      <c r="I235" s="27"/>
      <c r="J235" s="27"/>
      <c r="K235" s="27"/>
      <c r="L235" s="27"/>
      <c r="M235" s="27"/>
      <c r="N235" s="27"/>
      <c r="O235" s="27"/>
      <c r="P235" s="27"/>
      <c r="Q235" s="27"/>
      <c r="R235" s="27"/>
      <c r="S235" s="27"/>
      <c r="T235" s="27"/>
      <c r="U235" s="27"/>
      <c r="V235" s="27"/>
      <c r="W235" s="27"/>
      <c r="X235" s="27"/>
      <c r="Y235" s="27"/>
      <c r="Z235" s="27"/>
    </row>
    <row r="236" spans="1:26" ht="30" customHeight="1">
      <c r="A236" s="50" t="s">
        <v>966</v>
      </c>
      <c r="B236" s="55" t="s">
        <v>967</v>
      </c>
      <c r="C236" s="52"/>
      <c r="D236" s="53">
        <v>116248974.8</v>
      </c>
      <c r="E236" s="53"/>
      <c r="F236" s="53">
        <v>81504710.799999997</v>
      </c>
      <c r="G236" s="53"/>
      <c r="H236" s="53">
        <f t="shared" si="89"/>
        <v>81504710.799999997</v>
      </c>
      <c r="I236" s="27"/>
      <c r="J236" s="27"/>
      <c r="K236" s="27"/>
      <c r="L236" s="27"/>
      <c r="M236" s="27"/>
      <c r="N236" s="27"/>
      <c r="O236" s="27"/>
      <c r="P236" s="27"/>
      <c r="Q236" s="27"/>
      <c r="R236" s="27"/>
      <c r="S236" s="27"/>
      <c r="T236" s="27"/>
      <c r="U236" s="27"/>
      <c r="V236" s="27"/>
      <c r="W236" s="27"/>
      <c r="X236" s="27"/>
      <c r="Y236" s="27"/>
      <c r="Z236" s="27"/>
    </row>
    <row r="237" spans="1:26" ht="30" customHeight="1">
      <c r="A237" s="36" t="s">
        <v>968</v>
      </c>
      <c r="B237" s="37" t="s">
        <v>969</v>
      </c>
      <c r="C237" s="61"/>
      <c r="D237" s="62"/>
      <c r="E237" s="62"/>
      <c r="F237" s="62"/>
      <c r="G237" s="40"/>
      <c r="H237" s="40"/>
      <c r="I237" s="27"/>
      <c r="J237" s="27"/>
      <c r="K237" s="27"/>
      <c r="L237" s="27"/>
      <c r="M237" s="27"/>
      <c r="N237" s="27"/>
      <c r="O237" s="27"/>
      <c r="P237" s="27"/>
      <c r="Q237" s="27"/>
      <c r="R237" s="27"/>
      <c r="S237" s="27"/>
      <c r="T237" s="27"/>
      <c r="U237" s="27"/>
      <c r="V237" s="27"/>
      <c r="W237" s="27"/>
      <c r="X237" s="27"/>
      <c r="Y237" s="27"/>
      <c r="Z237" s="27"/>
    </row>
    <row r="238" spans="1:26" ht="30" customHeight="1">
      <c r="A238" s="36" t="s">
        <v>970</v>
      </c>
      <c r="B238" s="37" t="s">
        <v>971</v>
      </c>
      <c r="C238" s="42"/>
      <c r="D238" s="40">
        <f t="shared" ref="D238:F238" si="90">SUM(D239:D252)</f>
        <v>923782805.09000003</v>
      </c>
      <c r="E238" s="40">
        <f t="shared" si="90"/>
        <v>0</v>
      </c>
      <c r="F238" s="40">
        <f t="shared" si="90"/>
        <v>505359160.84000003</v>
      </c>
      <c r="G238" s="40"/>
      <c r="H238" s="40">
        <f>SUM(H239:H252)</f>
        <v>505359160.84000003</v>
      </c>
      <c r="I238" s="27"/>
      <c r="J238" s="27"/>
      <c r="K238" s="27"/>
      <c r="L238" s="27"/>
      <c r="M238" s="27"/>
      <c r="N238" s="27"/>
      <c r="O238" s="27"/>
      <c r="P238" s="27"/>
      <c r="Q238" s="27"/>
      <c r="R238" s="27"/>
      <c r="S238" s="27"/>
      <c r="T238" s="27"/>
      <c r="U238" s="27"/>
      <c r="V238" s="27"/>
      <c r="W238" s="27"/>
      <c r="X238" s="27"/>
      <c r="Y238" s="27"/>
      <c r="Z238" s="27"/>
    </row>
    <row r="239" spans="1:26" ht="30" customHeight="1">
      <c r="A239" s="50" t="s">
        <v>972</v>
      </c>
      <c r="B239" s="56" t="s">
        <v>973</v>
      </c>
      <c r="C239" s="52"/>
      <c r="D239" s="53">
        <v>138402320.78999999</v>
      </c>
      <c r="E239" s="53"/>
      <c r="F239" s="53">
        <v>127682940.92</v>
      </c>
      <c r="G239" s="53"/>
      <c r="H239" s="53">
        <f t="shared" ref="H239:H252" si="91">ROUND(F239-E239,2)</f>
        <v>127682940.92</v>
      </c>
      <c r="I239" s="27"/>
      <c r="J239" s="27"/>
      <c r="K239" s="27"/>
      <c r="L239" s="27"/>
      <c r="M239" s="27"/>
      <c r="N239" s="27"/>
      <c r="O239" s="27"/>
      <c r="P239" s="27"/>
      <c r="Q239" s="27"/>
      <c r="R239" s="27"/>
      <c r="S239" s="27"/>
      <c r="T239" s="27"/>
      <c r="U239" s="27"/>
      <c r="V239" s="27"/>
      <c r="W239" s="27"/>
      <c r="X239" s="27"/>
      <c r="Y239" s="27"/>
      <c r="Z239" s="27"/>
    </row>
    <row r="240" spans="1:26" ht="30" customHeight="1">
      <c r="A240" s="50" t="s">
        <v>974</v>
      </c>
      <c r="B240" s="51" t="s">
        <v>975</v>
      </c>
      <c r="C240" s="52"/>
      <c r="D240" s="53">
        <v>71045094.469999999</v>
      </c>
      <c r="E240" s="53"/>
      <c r="F240" s="53">
        <v>44034393.399999999</v>
      </c>
      <c r="G240" s="53"/>
      <c r="H240" s="53">
        <f t="shared" si="91"/>
        <v>44034393.399999999</v>
      </c>
      <c r="I240" s="27"/>
      <c r="J240" s="27"/>
      <c r="K240" s="27"/>
      <c r="L240" s="27"/>
      <c r="M240" s="27"/>
      <c r="N240" s="27"/>
      <c r="O240" s="27"/>
      <c r="P240" s="27"/>
      <c r="Q240" s="27"/>
      <c r="R240" s="27"/>
      <c r="S240" s="27"/>
      <c r="T240" s="27"/>
      <c r="U240" s="27"/>
      <c r="V240" s="27"/>
      <c r="W240" s="27"/>
      <c r="X240" s="27"/>
      <c r="Y240" s="27"/>
      <c r="Z240" s="27"/>
    </row>
    <row r="241" spans="1:26" ht="30" customHeight="1">
      <c r="A241" s="50" t="s">
        <v>976</v>
      </c>
      <c r="B241" s="51" t="s">
        <v>977</v>
      </c>
      <c r="C241" s="52"/>
      <c r="D241" s="53">
        <v>436364477.75999999</v>
      </c>
      <c r="E241" s="53"/>
      <c r="F241" s="53">
        <v>151918311.94</v>
      </c>
      <c r="G241" s="53"/>
      <c r="H241" s="53">
        <f t="shared" si="91"/>
        <v>151918311.94</v>
      </c>
      <c r="I241" s="27"/>
      <c r="J241" s="27"/>
      <c r="K241" s="27"/>
      <c r="L241" s="27"/>
      <c r="M241" s="27"/>
      <c r="N241" s="27"/>
      <c r="O241" s="27"/>
      <c r="P241" s="27"/>
      <c r="Q241" s="27"/>
      <c r="R241" s="27"/>
      <c r="S241" s="27"/>
      <c r="T241" s="27"/>
      <c r="U241" s="27"/>
      <c r="V241" s="27"/>
      <c r="W241" s="27"/>
      <c r="X241" s="27"/>
      <c r="Y241" s="27"/>
      <c r="Z241" s="27"/>
    </row>
    <row r="242" spans="1:26" ht="30" customHeight="1">
      <c r="A242" s="50" t="s">
        <v>978</v>
      </c>
      <c r="B242" s="51" t="s">
        <v>979</v>
      </c>
      <c r="C242" s="52"/>
      <c r="D242" s="53">
        <v>1023688.12</v>
      </c>
      <c r="E242" s="53"/>
      <c r="F242" s="53">
        <v>867362.09</v>
      </c>
      <c r="G242" s="53"/>
      <c r="H242" s="53">
        <f t="shared" si="91"/>
        <v>867362.09</v>
      </c>
      <c r="I242" s="27"/>
      <c r="J242" s="27"/>
      <c r="K242" s="27"/>
      <c r="L242" s="27"/>
      <c r="M242" s="27"/>
      <c r="N242" s="27"/>
      <c r="O242" s="27"/>
      <c r="P242" s="27"/>
      <c r="Q242" s="27"/>
      <c r="R242" s="27"/>
      <c r="S242" s="27"/>
      <c r="T242" s="27"/>
      <c r="U242" s="27"/>
      <c r="V242" s="27"/>
      <c r="W242" s="27"/>
      <c r="X242" s="27"/>
      <c r="Y242" s="27"/>
      <c r="Z242" s="27"/>
    </row>
    <row r="243" spans="1:26" ht="30" customHeight="1">
      <c r="A243" s="50" t="s">
        <v>980</v>
      </c>
      <c r="B243" s="51" t="s">
        <v>981</v>
      </c>
      <c r="C243" s="52"/>
      <c r="D243" s="53">
        <v>3785723.87</v>
      </c>
      <c r="E243" s="53"/>
      <c r="F243" s="53">
        <v>2620815.54</v>
      </c>
      <c r="G243" s="53"/>
      <c r="H243" s="53">
        <f t="shared" si="91"/>
        <v>2620815.54</v>
      </c>
      <c r="I243" s="27"/>
      <c r="J243" s="27"/>
      <c r="K243" s="27"/>
      <c r="L243" s="27"/>
      <c r="M243" s="27"/>
      <c r="N243" s="27"/>
      <c r="O243" s="27"/>
      <c r="P243" s="27"/>
      <c r="Q243" s="27"/>
      <c r="R243" s="27"/>
      <c r="S243" s="27"/>
      <c r="T243" s="27"/>
      <c r="U243" s="27"/>
      <c r="V243" s="27"/>
      <c r="W243" s="27"/>
      <c r="X243" s="27"/>
      <c r="Y243" s="27"/>
      <c r="Z243" s="27"/>
    </row>
    <row r="244" spans="1:26" ht="30" customHeight="1">
      <c r="A244" s="50" t="s">
        <v>982</v>
      </c>
      <c r="B244" s="51" t="s">
        <v>983</v>
      </c>
      <c r="C244" s="52"/>
      <c r="D244" s="53">
        <v>87183818.980000004</v>
      </c>
      <c r="E244" s="53"/>
      <c r="F244" s="53">
        <v>56523231.289999999</v>
      </c>
      <c r="G244" s="53"/>
      <c r="H244" s="53">
        <f t="shared" si="91"/>
        <v>56523231.289999999</v>
      </c>
      <c r="I244" s="27"/>
      <c r="J244" s="27"/>
      <c r="K244" s="27"/>
      <c r="L244" s="27"/>
      <c r="M244" s="27"/>
      <c r="N244" s="27"/>
      <c r="O244" s="27"/>
      <c r="P244" s="27"/>
      <c r="Q244" s="27"/>
      <c r="R244" s="27"/>
      <c r="S244" s="27"/>
      <c r="T244" s="27"/>
      <c r="U244" s="27"/>
      <c r="V244" s="27"/>
      <c r="W244" s="27"/>
      <c r="X244" s="27"/>
      <c r="Y244" s="27"/>
      <c r="Z244" s="27"/>
    </row>
    <row r="245" spans="1:26" ht="30" customHeight="1">
      <c r="A245" s="50" t="s">
        <v>984</v>
      </c>
      <c r="B245" s="51" t="s">
        <v>985</v>
      </c>
      <c r="C245" s="52"/>
      <c r="D245" s="53">
        <v>5576258.4299999997</v>
      </c>
      <c r="E245" s="53"/>
      <c r="F245" s="53">
        <v>1965355.79</v>
      </c>
      <c r="G245" s="53"/>
      <c r="H245" s="53">
        <f t="shared" si="91"/>
        <v>1965355.79</v>
      </c>
      <c r="I245" s="27"/>
      <c r="J245" s="27"/>
      <c r="K245" s="27"/>
      <c r="L245" s="27"/>
      <c r="M245" s="27"/>
      <c r="N245" s="27"/>
      <c r="O245" s="27"/>
      <c r="P245" s="27"/>
      <c r="Q245" s="27"/>
      <c r="R245" s="27"/>
      <c r="S245" s="27"/>
      <c r="T245" s="27"/>
      <c r="U245" s="27"/>
      <c r="V245" s="27"/>
      <c r="W245" s="27"/>
      <c r="X245" s="27"/>
      <c r="Y245" s="27"/>
      <c r="Z245" s="27"/>
    </row>
    <row r="246" spans="1:26" ht="30" customHeight="1">
      <c r="A246" s="50" t="s">
        <v>986</v>
      </c>
      <c r="B246" s="51" t="s">
        <v>987</v>
      </c>
      <c r="C246" s="52"/>
      <c r="D246" s="53">
        <v>13423253.4</v>
      </c>
      <c r="E246" s="53"/>
      <c r="F246" s="53">
        <v>8781098</v>
      </c>
      <c r="G246" s="53"/>
      <c r="H246" s="53">
        <f t="shared" si="91"/>
        <v>8781098</v>
      </c>
      <c r="I246" s="27"/>
      <c r="J246" s="27"/>
      <c r="K246" s="27"/>
      <c r="L246" s="27"/>
      <c r="M246" s="27"/>
      <c r="N246" s="27"/>
      <c r="O246" s="27"/>
      <c r="P246" s="27"/>
      <c r="Q246" s="27"/>
      <c r="R246" s="27"/>
      <c r="S246" s="27"/>
      <c r="T246" s="27"/>
      <c r="U246" s="27"/>
      <c r="V246" s="27"/>
      <c r="W246" s="27"/>
      <c r="X246" s="27"/>
      <c r="Y246" s="27"/>
      <c r="Z246" s="27"/>
    </row>
    <row r="247" spans="1:26" ht="30" customHeight="1">
      <c r="A247" s="50" t="s">
        <v>988</v>
      </c>
      <c r="B247" s="51" t="s">
        <v>989</v>
      </c>
      <c r="C247" s="52"/>
      <c r="D247" s="53">
        <v>16436672.449999999</v>
      </c>
      <c r="E247" s="53"/>
      <c r="F247" s="53">
        <v>16857073.100000001</v>
      </c>
      <c r="G247" s="53"/>
      <c r="H247" s="53">
        <f t="shared" si="91"/>
        <v>16857073.100000001</v>
      </c>
      <c r="I247" s="27"/>
      <c r="J247" s="27"/>
      <c r="K247" s="27"/>
      <c r="L247" s="27"/>
      <c r="M247" s="27"/>
      <c r="N247" s="27"/>
      <c r="O247" s="27"/>
      <c r="P247" s="27"/>
      <c r="Q247" s="27"/>
      <c r="R247" s="27"/>
      <c r="S247" s="27"/>
      <c r="T247" s="27"/>
      <c r="U247" s="27"/>
      <c r="V247" s="27"/>
      <c r="W247" s="27"/>
      <c r="X247" s="27"/>
      <c r="Y247" s="27"/>
      <c r="Z247" s="27"/>
    </row>
    <row r="248" spans="1:26" ht="30" customHeight="1">
      <c r="A248" s="50" t="s">
        <v>990</v>
      </c>
      <c r="B248" s="51" t="s">
        <v>991</v>
      </c>
      <c r="C248" s="52"/>
      <c r="D248" s="53"/>
      <c r="E248" s="53"/>
      <c r="F248" s="53"/>
      <c r="G248" s="53"/>
      <c r="H248" s="53">
        <f t="shared" si="91"/>
        <v>0</v>
      </c>
      <c r="I248" s="27"/>
      <c r="J248" s="27"/>
      <c r="K248" s="27"/>
      <c r="L248" s="27"/>
      <c r="M248" s="27"/>
      <c r="N248" s="27"/>
      <c r="O248" s="27"/>
      <c r="P248" s="27"/>
      <c r="Q248" s="27"/>
      <c r="R248" s="27"/>
      <c r="S248" s="27"/>
      <c r="T248" s="27"/>
      <c r="U248" s="27"/>
      <c r="V248" s="27"/>
      <c r="W248" s="27"/>
      <c r="X248" s="27"/>
      <c r="Y248" s="27"/>
      <c r="Z248" s="27"/>
    </row>
    <row r="249" spans="1:26" ht="30" customHeight="1">
      <c r="A249" s="50" t="s">
        <v>992</v>
      </c>
      <c r="B249" s="51" t="s">
        <v>993</v>
      </c>
      <c r="C249" s="52"/>
      <c r="D249" s="53">
        <v>69833293</v>
      </c>
      <c r="E249" s="53"/>
      <c r="F249" s="53">
        <v>43241557</v>
      </c>
      <c r="G249" s="53"/>
      <c r="H249" s="53">
        <f t="shared" si="91"/>
        <v>43241557</v>
      </c>
      <c r="I249" s="27"/>
      <c r="J249" s="27"/>
      <c r="K249" s="27"/>
      <c r="L249" s="27"/>
      <c r="M249" s="27"/>
      <c r="N249" s="27"/>
      <c r="O249" s="27"/>
      <c r="P249" s="27"/>
      <c r="Q249" s="27"/>
      <c r="R249" s="27"/>
      <c r="S249" s="27"/>
      <c r="T249" s="27"/>
      <c r="U249" s="27"/>
      <c r="V249" s="27"/>
      <c r="W249" s="27"/>
      <c r="X249" s="27"/>
      <c r="Y249" s="27"/>
      <c r="Z249" s="27"/>
    </row>
    <row r="250" spans="1:26" ht="30" customHeight="1">
      <c r="A250" s="50" t="s">
        <v>994</v>
      </c>
      <c r="B250" s="51" t="s">
        <v>995</v>
      </c>
      <c r="C250" s="52"/>
      <c r="D250" s="53">
        <v>15532696.1</v>
      </c>
      <c r="E250" s="53"/>
      <c r="F250" s="53">
        <v>9375143</v>
      </c>
      <c r="G250" s="53"/>
      <c r="H250" s="53">
        <f t="shared" si="91"/>
        <v>9375143</v>
      </c>
      <c r="I250" s="27"/>
      <c r="J250" s="27"/>
      <c r="K250" s="27"/>
      <c r="L250" s="27"/>
      <c r="M250" s="27"/>
      <c r="N250" s="27"/>
      <c r="O250" s="27"/>
      <c r="P250" s="27"/>
      <c r="Q250" s="27"/>
      <c r="R250" s="27"/>
      <c r="S250" s="27"/>
      <c r="T250" s="27"/>
      <c r="U250" s="27"/>
      <c r="V250" s="27"/>
      <c r="W250" s="27"/>
      <c r="X250" s="27"/>
      <c r="Y250" s="27"/>
      <c r="Z250" s="27"/>
    </row>
    <row r="251" spans="1:26" ht="30" customHeight="1">
      <c r="A251" s="50" t="s">
        <v>996</v>
      </c>
      <c r="B251" s="51" t="s">
        <v>997</v>
      </c>
      <c r="C251" s="52"/>
      <c r="D251" s="53">
        <v>51971560.719999999</v>
      </c>
      <c r="E251" s="53"/>
      <c r="F251" s="53">
        <v>32571348.77</v>
      </c>
      <c r="G251" s="53"/>
      <c r="H251" s="53">
        <f t="shared" si="91"/>
        <v>32571348.77</v>
      </c>
      <c r="I251" s="27"/>
      <c r="J251" s="27"/>
      <c r="K251" s="27"/>
      <c r="L251" s="27"/>
      <c r="M251" s="27"/>
      <c r="N251" s="27"/>
      <c r="O251" s="27"/>
      <c r="P251" s="27"/>
      <c r="Q251" s="27"/>
      <c r="R251" s="27"/>
      <c r="S251" s="27"/>
      <c r="T251" s="27"/>
      <c r="U251" s="27"/>
      <c r="V251" s="27"/>
      <c r="W251" s="27"/>
      <c r="X251" s="27"/>
      <c r="Y251" s="27"/>
      <c r="Z251" s="27"/>
    </row>
    <row r="252" spans="1:26" ht="30" customHeight="1">
      <c r="A252" s="50" t="s">
        <v>998</v>
      </c>
      <c r="B252" s="51" t="s">
        <v>999</v>
      </c>
      <c r="C252" s="52"/>
      <c r="D252" s="53">
        <v>13203947</v>
      </c>
      <c r="E252" s="53"/>
      <c r="F252" s="53">
        <v>8920530</v>
      </c>
      <c r="G252" s="53"/>
      <c r="H252" s="53">
        <f t="shared" si="91"/>
        <v>8920530</v>
      </c>
      <c r="I252" s="27"/>
      <c r="J252" s="27"/>
      <c r="K252" s="27"/>
      <c r="L252" s="27"/>
      <c r="M252" s="27"/>
      <c r="N252" s="27"/>
      <c r="O252" s="27"/>
      <c r="P252" s="27"/>
      <c r="Q252" s="27"/>
      <c r="R252" s="27"/>
      <c r="S252" s="27"/>
      <c r="T252" s="27"/>
      <c r="U252" s="27"/>
      <c r="V252" s="27"/>
      <c r="W252" s="27"/>
      <c r="X252" s="27"/>
      <c r="Y252" s="27"/>
      <c r="Z252" s="27"/>
    </row>
    <row r="253" spans="1:26" ht="30" customHeight="1">
      <c r="A253" s="44" t="s">
        <v>1000</v>
      </c>
      <c r="B253" s="54" t="s">
        <v>1001</v>
      </c>
      <c r="C253" s="39"/>
      <c r="D253" s="40">
        <f t="shared" ref="D253:F253" si="92">SUM(D254:D258)</f>
        <v>34357021.890000001</v>
      </c>
      <c r="E253" s="40">
        <f t="shared" si="92"/>
        <v>0</v>
      </c>
      <c r="F253" s="40">
        <f t="shared" si="92"/>
        <v>28493247.09</v>
      </c>
      <c r="G253" s="40"/>
      <c r="H253" s="40">
        <f>SUM(H254:H258)</f>
        <v>28493247.09</v>
      </c>
      <c r="I253" s="27"/>
      <c r="J253" s="27"/>
      <c r="K253" s="27"/>
      <c r="L253" s="27"/>
      <c r="M253" s="27"/>
      <c r="N253" s="27"/>
      <c r="O253" s="27"/>
      <c r="P253" s="27"/>
      <c r="Q253" s="27"/>
      <c r="R253" s="27"/>
      <c r="S253" s="27"/>
      <c r="T253" s="27"/>
      <c r="U253" s="27"/>
      <c r="V253" s="27"/>
      <c r="W253" s="27"/>
      <c r="X253" s="27"/>
      <c r="Y253" s="27"/>
      <c r="Z253" s="27"/>
    </row>
    <row r="254" spans="1:26" ht="30" customHeight="1">
      <c r="A254" s="50" t="s">
        <v>1002</v>
      </c>
      <c r="B254" s="51" t="s">
        <v>920</v>
      </c>
      <c r="C254" s="52"/>
      <c r="D254" s="53">
        <v>8071101.4699999997</v>
      </c>
      <c r="E254" s="53"/>
      <c r="F254" s="53">
        <v>7214229.3600000003</v>
      </c>
      <c r="G254" s="53"/>
      <c r="H254" s="53">
        <f t="shared" ref="H254:H258" si="93">ROUND(F254-E254,2)</f>
        <v>7214229.3600000003</v>
      </c>
      <c r="I254" s="27"/>
      <c r="J254" s="27"/>
      <c r="K254" s="27"/>
      <c r="L254" s="27"/>
      <c r="M254" s="27"/>
      <c r="N254" s="27"/>
      <c r="O254" s="27"/>
      <c r="P254" s="27"/>
      <c r="Q254" s="27"/>
      <c r="R254" s="27"/>
      <c r="S254" s="27"/>
      <c r="T254" s="27"/>
      <c r="U254" s="27"/>
      <c r="V254" s="27"/>
      <c r="W254" s="27"/>
      <c r="X254" s="27"/>
      <c r="Y254" s="27"/>
      <c r="Z254" s="27"/>
    </row>
    <row r="255" spans="1:26" ht="30" customHeight="1">
      <c r="A255" s="50" t="s">
        <v>1003</v>
      </c>
      <c r="B255" s="51" t="s">
        <v>922</v>
      </c>
      <c r="C255" s="52"/>
      <c r="D255" s="53">
        <v>3897242.61</v>
      </c>
      <c r="E255" s="53"/>
      <c r="F255" s="53">
        <v>2425256.04</v>
      </c>
      <c r="G255" s="53"/>
      <c r="H255" s="53">
        <f t="shared" si="93"/>
        <v>2425256.04</v>
      </c>
      <c r="I255" s="27"/>
      <c r="J255" s="27"/>
      <c r="K255" s="27"/>
      <c r="L255" s="27"/>
      <c r="M255" s="27"/>
      <c r="N255" s="27"/>
      <c r="O255" s="27"/>
      <c r="P255" s="27"/>
      <c r="Q255" s="27"/>
      <c r="R255" s="27"/>
      <c r="S255" s="27"/>
      <c r="T255" s="27"/>
      <c r="U255" s="27"/>
      <c r="V255" s="27"/>
      <c r="W255" s="27"/>
      <c r="X255" s="27"/>
      <c r="Y255" s="27"/>
      <c r="Z255" s="27"/>
    </row>
    <row r="256" spans="1:26" ht="30" customHeight="1">
      <c r="A256" s="50" t="s">
        <v>1004</v>
      </c>
      <c r="B256" s="51" t="s">
        <v>924</v>
      </c>
      <c r="C256" s="52"/>
      <c r="D256" s="53">
        <v>14004669.24</v>
      </c>
      <c r="E256" s="53"/>
      <c r="F256" s="53">
        <v>14965817.310000001</v>
      </c>
      <c r="G256" s="53"/>
      <c r="H256" s="53">
        <f t="shared" si="93"/>
        <v>14965817.310000001</v>
      </c>
      <c r="I256" s="27"/>
      <c r="J256" s="27"/>
      <c r="K256" s="27"/>
      <c r="L256" s="27"/>
      <c r="M256" s="27"/>
      <c r="N256" s="27"/>
      <c r="O256" s="27"/>
      <c r="P256" s="27"/>
      <c r="Q256" s="27"/>
      <c r="R256" s="27"/>
      <c r="S256" s="27"/>
      <c r="T256" s="27"/>
      <c r="U256" s="27"/>
      <c r="V256" s="27"/>
      <c r="W256" s="27"/>
      <c r="X256" s="27"/>
      <c r="Y256" s="27"/>
      <c r="Z256" s="27"/>
    </row>
    <row r="257" spans="1:26" ht="30" customHeight="1">
      <c r="A257" s="50" t="s">
        <v>1005</v>
      </c>
      <c r="B257" s="51" t="s">
        <v>926</v>
      </c>
      <c r="C257" s="52"/>
      <c r="D257" s="53">
        <v>3674111.22</v>
      </c>
      <c r="E257" s="53"/>
      <c r="F257" s="53">
        <v>730226.97</v>
      </c>
      <c r="G257" s="53"/>
      <c r="H257" s="53">
        <f t="shared" si="93"/>
        <v>730226.97</v>
      </c>
      <c r="I257" s="27"/>
      <c r="J257" s="27"/>
      <c r="K257" s="27"/>
      <c r="L257" s="27"/>
      <c r="M257" s="27"/>
      <c r="N257" s="27"/>
      <c r="O257" s="27"/>
      <c r="P257" s="27"/>
      <c r="Q257" s="27"/>
      <c r="R257" s="27"/>
      <c r="S257" s="27"/>
      <c r="T257" s="27"/>
      <c r="U257" s="27"/>
      <c r="V257" s="27"/>
      <c r="W257" s="27"/>
      <c r="X257" s="27"/>
      <c r="Y257" s="27"/>
      <c r="Z257" s="27"/>
    </row>
    <row r="258" spans="1:26" ht="30" customHeight="1">
      <c r="A258" s="50" t="s">
        <v>1006</v>
      </c>
      <c r="B258" s="55" t="s">
        <v>928</v>
      </c>
      <c r="C258" s="52"/>
      <c r="D258" s="53">
        <v>4709897.3499999996</v>
      </c>
      <c r="E258" s="53"/>
      <c r="F258" s="53">
        <v>3157717.41</v>
      </c>
      <c r="G258" s="53"/>
      <c r="H258" s="53">
        <f t="shared" si="93"/>
        <v>3157717.41</v>
      </c>
      <c r="I258" s="27"/>
      <c r="J258" s="27"/>
      <c r="K258" s="27"/>
      <c r="L258" s="27"/>
      <c r="M258" s="27"/>
      <c r="N258" s="27"/>
      <c r="O258" s="27"/>
      <c r="P258" s="27"/>
      <c r="Q258" s="27"/>
      <c r="R258" s="27"/>
      <c r="S258" s="27"/>
      <c r="T258" s="27"/>
      <c r="U258" s="27"/>
      <c r="V258" s="27"/>
      <c r="W258" s="27"/>
      <c r="X258" s="27"/>
      <c r="Y258" s="27"/>
      <c r="Z258" s="27"/>
    </row>
    <row r="259" spans="1:26" ht="30" customHeight="1">
      <c r="A259" s="36" t="s">
        <v>1007</v>
      </c>
      <c r="B259" s="37" t="s">
        <v>1008</v>
      </c>
      <c r="C259" s="42"/>
      <c r="D259" s="42">
        <f t="shared" ref="D259:F259" si="94">SUM(D260)</f>
        <v>0</v>
      </c>
      <c r="E259" s="42">
        <f t="shared" si="94"/>
        <v>0</v>
      </c>
      <c r="F259" s="42">
        <f t="shared" si="94"/>
        <v>0</v>
      </c>
      <c r="G259" s="40"/>
      <c r="H259" s="42">
        <f>SUM(H260)</f>
        <v>0</v>
      </c>
      <c r="I259" s="27"/>
      <c r="J259" s="27"/>
      <c r="K259" s="27"/>
      <c r="L259" s="27"/>
      <c r="M259" s="27"/>
      <c r="N259" s="27"/>
      <c r="O259" s="27"/>
      <c r="P259" s="27"/>
      <c r="Q259" s="27"/>
      <c r="R259" s="27"/>
      <c r="S259" s="27"/>
      <c r="T259" s="27"/>
      <c r="U259" s="27"/>
      <c r="V259" s="27"/>
      <c r="W259" s="27"/>
      <c r="X259" s="27"/>
      <c r="Y259" s="27"/>
      <c r="Z259" s="27"/>
    </row>
    <row r="260" spans="1:26" ht="30" customHeight="1">
      <c r="A260" s="57" t="s">
        <v>1009</v>
      </c>
      <c r="B260" s="51" t="s">
        <v>1008</v>
      </c>
      <c r="C260" s="58"/>
      <c r="D260" s="53"/>
      <c r="E260" s="53"/>
      <c r="F260" s="53"/>
      <c r="G260" s="53"/>
      <c r="H260" s="40">
        <f>ROUND(F260-E260,2)</f>
        <v>0</v>
      </c>
      <c r="I260" s="27"/>
      <c r="J260" s="27"/>
      <c r="K260" s="27"/>
      <c r="L260" s="27"/>
      <c r="M260" s="27"/>
      <c r="N260" s="27"/>
      <c r="O260" s="27"/>
      <c r="P260" s="27"/>
      <c r="Q260" s="27"/>
      <c r="R260" s="27"/>
      <c r="S260" s="27"/>
      <c r="T260" s="27"/>
      <c r="U260" s="27"/>
      <c r="V260" s="27"/>
      <c r="W260" s="27"/>
      <c r="X260" s="27"/>
      <c r="Y260" s="27"/>
      <c r="Z260" s="27"/>
    </row>
    <row r="261" spans="1:26" ht="30" customHeight="1">
      <c r="A261" s="36" t="s">
        <v>1010</v>
      </c>
      <c r="B261" s="37" t="s">
        <v>1011</v>
      </c>
      <c r="C261" s="42"/>
      <c r="D261" s="40">
        <f t="shared" ref="D261:F261" si="95">SUM(D262)</f>
        <v>59042840.68</v>
      </c>
      <c r="E261" s="40">
        <f t="shared" si="95"/>
        <v>0</v>
      </c>
      <c r="F261" s="40">
        <f t="shared" si="95"/>
        <v>44194548.479999997</v>
      </c>
      <c r="G261" s="40"/>
      <c r="H261" s="40">
        <f>SUM(H262)</f>
        <v>44194548.479999997</v>
      </c>
      <c r="I261" s="27"/>
      <c r="J261" s="27"/>
      <c r="K261" s="27"/>
      <c r="L261" s="27"/>
      <c r="M261" s="27"/>
      <c r="N261" s="27"/>
      <c r="O261" s="27"/>
      <c r="P261" s="27"/>
      <c r="Q261" s="27"/>
      <c r="R261" s="27"/>
      <c r="S261" s="27"/>
      <c r="T261" s="27"/>
      <c r="U261" s="27"/>
      <c r="V261" s="27"/>
      <c r="W261" s="27"/>
      <c r="X261" s="27"/>
      <c r="Y261" s="27"/>
      <c r="Z261" s="27"/>
    </row>
    <row r="262" spans="1:26" ht="30" customHeight="1">
      <c r="A262" s="50" t="s">
        <v>1012</v>
      </c>
      <c r="B262" s="63" t="s">
        <v>1011</v>
      </c>
      <c r="C262" s="52"/>
      <c r="D262" s="53">
        <v>59042840.68</v>
      </c>
      <c r="E262" s="53"/>
      <c r="F262" s="53">
        <v>44194548.479999997</v>
      </c>
      <c r="G262" s="53"/>
      <c r="H262" s="53">
        <f>ROUND(F262-E262,2)</f>
        <v>44194548.479999997</v>
      </c>
      <c r="I262" s="27"/>
      <c r="J262" s="27"/>
      <c r="K262" s="27"/>
      <c r="L262" s="27"/>
      <c r="M262" s="27"/>
      <c r="N262" s="27"/>
      <c r="O262" s="27"/>
      <c r="P262" s="27"/>
      <c r="Q262" s="27"/>
      <c r="R262" s="27"/>
      <c r="S262" s="27"/>
      <c r="T262" s="27"/>
      <c r="U262" s="27"/>
      <c r="V262" s="27"/>
      <c r="W262" s="27"/>
      <c r="X262" s="27"/>
      <c r="Y262" s="27"/>
      <c r="Z262" s="27"/>
    </row>
    <row r="263" spans="1:26" ht="30" customHeight="1">
      <c r="A263" s="32" t="s">
        <v>1013</v>
      </c>
      <c r="B263" s="64" t="s">
        <v>1014</v>
      </c>
      <c r="C263" s="65"/>
      <c r="D263" s="65">
        <f t="shared" ref="D263:F263" si="96">D264+D267+D268+D269+D271</f>
        <v>155535330.52000001</v>
      </c>
      <c r="E263" s="65">
        <f t="shared" si="96"/>
        <v>0</v>
      </c>
      <c r="F263" s="65">
        <f t="shared" si="96"/>
        <v>133658361.8</v>
      </c>
      <c r="G263" s="35"/>
      <c r="H263" s="35">
        <f>H264+H267+H268+H269+H271</f>
        <v>133658361.8</v>
      </c>
      <c r="I263" s="27"/>
      <c r="J263" s="27"/>
      <c r="K263" s="27"/>
      <c r="L263" s="27"/>
      <c r="M263" s="27"/>
      <c r="N263" s="27"/>
      <c r="O263" s="27"/>
      <c r="P263" s="27"/>
      <c r="Q263" s="27"/>
      <c r="R263" s="27"/>
      <c r="S263" s="27"/>
      <c r="T263" s="27"/>
      <c r="U263" s="27"/>
      <c r="V263" s="27"/>
      <c r="W263" s="27"/>
      <c r="X263" s="27"/>
      <c r="Y263" s="27"/>
      <c r="Z263" s="27"/>
    </row>
    <row r="264" spans="1:26" ht="30" customHeight="1">
      <c r="A264" s="44" t="s">
        <v>1015</v>
      </c>
      <c r="B264" s="45" t="s">
        <v>1016</v>
      </c>
      <c r="C264" s="39"/>
      <c r="D264" s="40">
        <f t="shared" ref="D264:F264" si="97">SUM(D265:D266)</f>
        <v>155535330.52000001</v>
      </c>
      <c r="E264" s="40">
        <f t="shared" si="97"/>
        <v>0</v>
      </c>
      <c r="F264" s="40">
        <f t="shared" si="97"/>
        <v>133658361.8</v>
      </c>
      <c r="G264" s="40"/>
      <c r="H264" s="40">
        <f>SUM(H265:H266)</f>
        <v>133658361.8</v>
      </c>
      <c r="I264" s="27"/>
      <c r="J264" s="27"/>
      <c r="K264" s="27"/>
      <c r="L264" s="27"/>
      <c r="M264" s="27"/>
      <c r="N264" s="27"/>
      <c r="O264" s="27"/>
      <c r="P264" s="27"/>
      <c r="Q264" s="27"/>
      <c r="R264" s="27"/>
      <c r="S264" s="27"/>
      <c r="T264" s="27"/>
      <c r="U264" s="27"/>
      <c r="V264" s="27"/>
      <c r="W264" s="27"/>
      <c r="X264" s="27"/>
      <c r="Y264" s="27"/>
      <c r="Z264" s="27"/>
    </row>
    <row r="265" spans="1:26" ht="30" customHeight="1">
      <c r="A265" s="50" t="s">
        <v>1017</v>
      </c>
      <c r="B265" s="51" t="s">
        <v>1018</v>
      </c>
      <c r="C265" s="52"/>
      <c r="D265" s="53">
        <v>337780.3</v>
      </c>
      <c r="E265" s="53"/>
      <c r="F265" s="53">
        <v>408286.35</v>
      </c>
      <c r="G265" s="53"/>
      <c r="H265" s="53">
        <f t="shared" ref="H265:H266" si="98">ROUND(F265-E265,2)</f>
        <v>408286.35</v>
      </c>
      <c r="I265" s="27"/>
      <c r="J265" s="27"/>
      <c r="K265" s="27"/>
      <c r="L265" s="27"/>
      <c r="M265" s="27"/>
      <c r="N265" s="27"/>
      <c r="O265" s="27"/>
      <c r="P265" s="27"/>
      <c r="Q265" s="27"/>
      <c r="R265" s="27"/>
      <c r="S265" s="27"/>
      <c r="T265" s="27"/>
      <c r="U265" s="27"/>
      <c r="V265" s="27"/>
      <c r="W265" s="27"/>
      <c r="X265" s="27"/>
      <c r="Y265" s="27"/>
      <c r="Z265" s="27"/>
    </row>
    <row r="266" spans="1:26" ht="30" customHeight="1">
      <c r="A266" s="50" t="s">
        <v>1019</v>
      </c>
      <c r="B266" s="55" t="s">
        <v>1020</v>
      </c>
      <c r="C266" s="52"/>
      <c r="D266" s="53">
        <v>155197550.22</v>
      </c>
      <c r="E266" s="53"/>
      <c r="F266" s="53">
        <v>133250075.45</v>
      </c>
      <c r="G266" s="53"/>
      <c r="H266" s="53">
        <f t="shared" si="98"/>
        <v>133250075.45</v>
      </c>
      <c r="I266" s="27"/>
      <c r="J266" s="27"/>
      <c r="K266" s="27"/>
      <c r="L266" s="27"/>
      <c r="M266" s="27"/>
      <c r="N266" s="27"/>
      <c r="O266" s="27"/>
      <c r="P266" s="27"/>
      <c r="Q266" s="27"/>
      <c r="R266" s="27"/>
      <c r="S266" s="27"/>
      <c r="T266" s="27"/>
      <c r="U266" s="27"/>
      <c r="V266" s="27"/>
      <c r="W266" s="27"/>
      <c r="X266" s="27"/>
      <c r="Y266" s="27"/>
      <c r="Z266" s="27"/>
    </row>
    <row r="267" spans="1:26" ht="30" customHeight="1">
      <c r="A267" s="36" t="s">
        <v>1021</v>
      </c>
      <c r="B267" s="37" t="s">
        <v>1022</v>
      </c>
      <c r="C267" s="61"/>
      <c r="D267" s="62"/>
      <c r="E267" s="62"/>
      <c r="F267" s="62"/>
      <c r="G267" s="40"/>
      <c r="H267" s="40"/>
      <c r="I267" s="27"/>
      <c r="J267" s="27"/>
      <c r="K267" s="27"/>
      <c r="L267" s="27"/>
      <c r="M267" s="27"/>
      <c r="N267" s="27"/>
      <c r="O267" s="27"/>
      <c r="P267" s="27"/>
      <c r="Q267" s="27"/>
      <c r="R267" s="27"/>
      <c r="S267" s="27"/>
      <c r="T267" s="27"/>
      <c r="U267" s="27"/>
      <c r="V267" s="27"/>
      <c r="W267" s="27"/>
      <c r="X267" s="27"/>
      <c r="Y267" s="27"/>
      <c r="Z267" s="27"/>
    </row>
    <row r="268" spans="1:26" ht="30" customHeight="1">
      <c r="A268" s="36" t="s">
        <v>1023</v>
      </c>
      <c r="B268" s="37" t="s">
        <v>1024</v>
      </c>
      <c r="C268" s="61"/>
      <c r="D268" s="62"/>
      <c r="E268" s="62"/>
      <c r="F268" s="62"/>
      <c r="G268" s="40"/>
      <c r="H268" s="40"/>
      <c r="I268" s="27"/>
      <c r="J268" s="27"/>
      <c r="K268" s="27"/>
      <c r="L268" s="27"/>
      <c r="M268" s="27"/>
      <c r="N268" s="27"/>
      <c r="O268" s="27"/>
      <c r="P268" s="27"/>
      <c r="Q268" s="27"/>
      <c r="R268" s="27"/>
      <c r="S268" s="27"/>
      <c r="T268" s="27"/>
      <c r="U268" s="27"/>
      <c r="V268" s="27"/>
      <c r="W268" s="27"/>
      <c r="X268" s="27"/>
      <c r="Y268" s="27"/>
      <c r="Z268" s="27"/>
    </row>
    <row r="269" spans="1:26" ht="30" customHeight="1">
      <c r="A269" s="36" t="s">
        <v>1025</v>
      </c>
      <c r="B269" s="37" t="s">
        <v>1026</v>
      </c>
      <c r="C269" s="42"/>
      <c r="D269" s="42">
        <f t="shared" ref="D269:F269" si="99">SUM(D270)</f>
        <v>0</v>
      </c>
      <c r="E269" s="42">
        <f t="shared" si="99"/>
        <v>0</v>
      </c>
      <c r="F269" s="42">
        <f t="shared" si="99"/>
        <v>0</v>
      </c>
      <c r="G269" s="40"/>
      <c r="H269" s="42">
        <f>SUM(H270)</f>
        <v>0</v>
      </c>
      <c r="I269" s="27"/>
      <c r="J269" s="27"/>
      <c r="K269" s="27"/>
      <c r="L269" s="27"/>
      <c r="M269" s="27"/>
      <c r="N269" s="27"/>
      <c r="O269" s="27"/>
      <c r="P269" s="27"/>
      <c r="Q269" s="27"/>
      <c r="R269" s="27"/>
      <c r="S269" s="27"/>
      <c r="T269" s="27"/>
      <c r="U269" s="27"/>
      <c r="V269" s="27"/>
      <c r="W269" s="27"/>
      <c r="X269" s="27"/>
      <c r="Y269" s="27"/>
      <c r="Z269" s="27"/>
    </row>
    <row r="270" spans="1:26" ht="30" customHeight="1">
      <c r="A270" s="57" t="s">
        <v>1027</v>
      </c>
      <c r="B270" s="51" t="s">
        <v>1026</v>
      </c>
      <c r="C270" s="42"/>
      <c r="D270" s="53"/>
      <c r="E270" s="53"/>
      <c r="F270" s="53"/>
      <c r="G270" s="40"/>
      <c r="H270" s="40">
        <f>ROUND(F270-E270,2)</f>
        <v>0</v>
      </c>
      <c r="I270" s="27"/>
      <c r="J270" s="27"/>
      <c r="K270" s="27"/>
      <c r="L270" s="27"/>
      <c r="M270" s="27"/>
      <c r="N270" s="27"/>
      <c r="O270" s="27"/>
      <c r="P270" s="27"/>
      <c r="Q270" s="27"/>
      <c r="R270" s="27"/>
      <c r="S270" s="27"/>
      <c r="T270" s="27"/>
      <c r="U270" s="27"/>
      <c r="V270" s="27"/>
      <c r="W270" s="27"/>
      <c r="X270" s="27"/>
      <c r="Y270" s="27"/>
      <c r="Z270" s="27"/>
    </row>
    <row r="271" spans="1:26" ht="30" customHeight="1">
      <c r="A271" s="36" t="s">
        <v>1028</v>
      </c>
      <c r="B271" s="37" t="s">
        <v>1029</v>
      </c>
      <c r="C271" s="61"/>
      <c r="D271" s="62"/>
      <c r="E271" s="62"/>
      <c r="F271" s="62"/>
      <c r="G271" s="40"/>
      <c r="H271" s="40"/>
      <c r="I271" s="27"/>
      <c r="J271" s="27"/>
      <c r="K271" s="27"/>
      <c r="L271" s="27"/>
      <c r="M271" s="27"/>
      <c r="N271" s="27"/>
      <c r="O271" s="27"/>
      <c r="P271" s="27"/>
      <c r="Q271" s="27"/>
      <c r="R271" s="27"/>
      <c r="S271" s="27"/>
      <c r="T271" s="27"/>
      <c r="U271" s="27"/>
      <c r="V271" s="27"/>
      <c r="W271" s="27"/>
      <c r="X271" s="27"/>
      <c r="Y271" s="27"/>
      <c r="Z271" s="27"/>
    </row>
    <row r="272" spans="1:26" ht="30" customHeight="1">
      <c r="A272" s="32" t="s">
        <v>1030</v>
      </c>
      <c r="B272" s="43" t="s">
        <v>1031</v>
      </c>
      <c r="C272" s="34"/>
      <c r="D272" s="34">
        <f t="shared" ref="D272:F272" si="100">SUM(D274+D276+D278+D280+D282+D291+D285)</f>
        <v>234358462.94000003</v>
      </c>
      <c r="E272" s="34">
        <f t="shared" si="100"/>
        <v>0</v>
      </c>
      <c r="F272" s="34">
        <f t="shared" si="100"/>
        <v>105196371.97000003</v>
      </c>
      <c r="G272" s="35"/>
      <c r="H272" s="34">
        <f>SUM(H274+H276+H278+H280+H282+H291+H285)</f>
        <v>105196371.97000003</v>
      </c>
      <c r="I272" s="27"/>
      <c r="J272" s="27"/>
      <c r="K272" s="27"/>
      <c r="L272" s="27"/>
      <c r="M272" s="27"/>
      <c r="N272" s="27"/>
      <c r="O272" s="27"/>
      <c r="P272" s="27"/>
      <c r="Q272" s="27"/>
      <c r="R272" s="27"/>
      <c r="S272" s="27"/>
      <c r="T272" s="27"/>
      <c r="U272" s="27"/>
      <c r="V272" s="27"/>
      <c r="W272" s="27"/>
      <c r="X272" s="27"/>
      <c r="Y272" s="27"/>
      <c r="Z272" s="27"/>
    </row>
    <row r="273" spans="1:26" ht="30" customHeight="1">
      <c r="A273" s="66" t="s">
        <v>1032</v>
      </c>
      <c r="B273" s="37" t="s">
        <v>1033</v>
      </c>
      <c r="C273" s="61"/>
      <c r="D273" s="62"/>
      <c r="E273" s="62"/>
      <c r="F273" s="62"/>
      <c r="G273" s="67"/>
      <c r="H273" s="67"/>
      <c r="I273" s="27"/>
      <c r="J273" s="27"/>
      <c r="K273" s="27"/>
      <c r="L273" s="27"/>
      <c r="M273" s="27"/>
      <c r="N273" s="27"/>
      <c r="O273" s="27"/>
      <c r="P273" s="27"/>
      <c r="Q273" s="27"/>
      <c r="R273" s="27"/>
      <c r="S273" s="27"/>
      <c r="T273" s="27"/>
      <c r="U273" s="27"/>
      <c r="V273" s="27"/>
      <c r="W273" s="27"/>
      <c r="X273" s="27"/>
      <c r="Y273" s="27"/>
      <c r="Z273" s="27"/>
    </row>
    <row r="274" spans="1:26" ht="30" customHeight="1">
      <c r="A274" s="36" t="s">
        <v>1034</v>
      </c>
      <c r="B274" s="37" t="s">
        <v>924</v>
      </c>
      <c r="C274" s="42"/>
      <c r="D274" s="42">
        <f t="shared" ref="D274:F274" si="101">SUM(D275)</f>
        <v>93771314.120000005</v>
      </c>
      <c r="E274" s="42">
        <f t="shared" si="101"/>
        <v>0</v>
      </c>
      <c r="F274" s="42">
        <f t="shared" si="101"/>
        <v>82118965.310000002</v>
      </c>
      <c r="G274" s="40"/>
      <c r="H274" s="42">
        <f>SUM(H275)</f>
        <v>82118965.310000002</v>
      </c>
      <c r="I274" s="27"/>
      <c r="J274" s="27"/>
      <c r="K274" s="27"/>
      <c r="L274" s="27"/>
      <c r="M274" s="27"/>
      <c r="N274" s="27"/>
      <c r="O274" s="27"/>
      <c r="P274" s="27"/>
      <c r="Q274" s="27"/>
      <c r="R274" s="27"/>
      <c r="S274" s="27"/>
      <c r="T274" s="27"/>
      <c r="U274" s="27"/>
      <c r="V274" s="27"/>
      <c r="W274" s="27"/>
      <c r="X274" s="27"/>
      <c r="Y274" s="27"/>
      <c r="Z274" s="27"/>
    </row>
    <row r="275" spans="1:26" ht="30" customHeight="1">
      <c r="A275" s="57" t="s">
        <v>1035</v>
      </c>
      <c r="B275" s="51" t="s">
        <v>924</v>
      </c>
      <c r="C275" s="58"/>
      <c r="D275" s="53">
        <v>93771314.120000005</v>
      </c>
      <c r="E275" s="53"/>
      <c r="F275" s="53">
        <v>82118965.310000002</v>
      </c>
      <c r="G275" s="53"/>
      <c r="H275" s="53">
        <f>ROUND(F275-E275,2)</f>
        <v>82118965.310000002</v>
      </c>
      <c r="I275" s="27"/>
      <c r="J275" s="27"/>
      <c r="K275" s="27"/>
      <c r="L275" s="27"/>
      <c r="M275" s="27"/>
      <c r="N275" s="27"/>
      <c r="O275" s="27"/>
      <c r="P275" s="27"/>
      <c r="Q275" s="27"/>
      <c r="R275" s="27"/>
      <c r="S275" s="27"/>
      <c r="T275" s="27"/>
      <c r="U275" s="27"/>
      <c r="V275" s="27"/>
      <c r="W275" s="27"/>
      <c r="X275" s="27"/>
      <c r="Y275" s="27"/>
      <c r="Z275" s="27"/>
    </row>
    <row r="276" spans="1:26" ht="30" customHeight="1">
      <c r="A276" s="36" t="s">
        <v>1036</v>
      </c>
      <c r="B276" s="37" t="s">
        <v>1037</v>
      </c>
      <c r="C276" s="42"/>
      <c r="D276" s="42">
        <f t="shared" ref="D276:F276" si="102">SUM(D277)</f>
        <v>2568335.15</v>
      </c>
      <c r="E276" s="42">
        <f t="shared" si="102"/>
        <v>0</v>
      </c>
      <c r="F276" s="42">
        <f t="shared" si="102"/>
        <v>1061542.79</v>
      </c>
      <c r="G276" s="40"/>
      <c r="H276" s="42">
        <f>SUM(H277)</f>
        <v>1061542.79</v>
      </c>
      <c r="I276" s="27"/>
      <c r="J276" s="27"/>
      <c r="K276" s="27"/>
      <c r="L276" s="27"/>
      <c r="M276" s="27"/>
      <c r="N276" s="27"/>
      <c r="O276" s="27"/>
      <c r="P276" s="27"/>
      <c r="Q276" s="27"/>
      <c r="R276" s="27"/>
      <c r="S276" s="27"/>
      <c r="T276" s="27"/>
      <c r="U276" s="27"/>
      <c r="V276" s="27"/>
      <c r="W276" s="27"/>
      <c r="X276" s="27"/>
      <c r="Y276" s="27"/>
      <c r="Z276" s="27"/>
    </row>
    <row r="277" spans="1:26" ht="30" customHeight="1">
      <c r="A277" s="57" t="s">
        <v>1038</v>
      </c>
      <c r="B277" s="51" t="s">
        <v>1037</v>
      </c>
      <c r="C277" s="58"/>
      <c r="D277" s="53">
        <v>2568335.15</v>
      </c>
      <c r="E277" s="53"/>
      <c r="F277" s="53">
        <v>1061542.79</v>
      </c>
      <c r="G277" s="53"/>
      <c r="H277" s="53">
        <f>ROUND(F277-E277,2)</f>
        <v>1061542.79</v>
      </c>
      <c r="I277" s="27"/>
      <c r="J277" s="27"/>
      <c r="K277" s="27"/>
      <c r="L277" s="27"/>
      <c r="M277" s="27"/>
      <c r="N277" s="27"/>
      <c r="O277" s="27"/>
      <c r="P277" s="27"/>
      <c r="Q277" s="27"/>
      <c r="R277" s="27"/>
      <c r="S277" s="27"/>
      <c r="T277" s="27"/>
      <c r="U277" s="27"/>
      <c r="V277" s="27"/>
      <c r="W277" s="27"/>
      <c r="X277" s="27"/>
      <c r="Y277" s="27"/>
      <c r="Z277" s="27"/>
    </row>
    <row r="278" spans="1:26" ht="30" customHeight="1">
      <c r="A278" s="36" t="s">
        <v>1039</v>
      </c>
      <c r="B278" s="37" t="s">
        <v>1040</v>
      </c>
      <c r="C278" s="42"/>
      <c r="D278" s="42">
        <f t="shared" ref="D278:F278" si="103">SUM(D279)</f>
        <v>4419104.1900000004</v>
      </c>
      <c r="E278" s="42">
        <f t="shared" si="103"/>
        <v>0</v>
      </c>
      <c r="F278" s="42">
        <f t="shared" si="103"/>
        <v>19035110.850000001</v>
      </c>
      <c r="G278" s="40"/>
      <c r="H278" s="42">
        <f>SUM(H279)</f>
        <v>19035110.850000001</v>
      </c>
      <c r="I278" s="27"/>
      <c r="J278" s="27"/>
      <c r="K278" s="27"/>
      <c r="L278" s="27"/>
      <c r="M278" s="27"/>
      <c r="N278" s="27"/>
      <c r="O278" s="27"/>
      <c r="P278" s="27"/>
      <c r="Q278" s="27"/>
      <c r="R278" s="27"/>
      <c r="S278" s="27"/>
      <c r="T278" s="27"/>
      <c r="U278" s="27"/>
      <c r="V278" s="27"/>
      <c r="W278" s="27"/>
      <c r="X278" s="27"/>
      <c r="Y278" s="27"/>
      <c r="Z278" s="27"/>
    </row>
    <row r="279" spans="1:26" ht="30" customHeight="1">
      <c r="A279" s="57" t="s">
        <v>1041</v>
      </c>
      <c r="B279" s="51" t="s">
        <v>1040</v>
      </c>
      <c r="C279" s="58"/>
      <c r="D279" s="53">
        <v>4419104.1900000004</v>
      </c>
      <c r="E279" s="53"/>
      <c r="F279" s="53">
        <v>19035110.850000001</v>
      </c>
      <c r="G279" s="53"/>
      <c r="H279" s="53">
        <f>ROUND(F279-E279,2)</f>
        <v>19035110.850000001</v>
      </c>
      <c r="I279" s="27"/>
      <c r="J279" s="27"/>
      <c r="K279" s="27"/>
      <c r="L279" s="27"/>
      <c r="M279" s="27"/>
      <c r="N279" s="27"/>
      <c r="O279" s="27"/>
      <c r="P279" s="27"/>
      <c r="Q279" s="27"/>
      <c r="R279" s="27"/>
      <c r="S279" s="27"/>
      <c r="T279" s="27"/>
      <c r="U279" s="27"/>
      <c r="V279" s="27"/>
      <c r="W279" s="27"/>
      <c r="X279" s="27"/>
      <c r="Y279" s="27"/>
      <c r="Z279" s="27"/>
    </row>
    <row r="280" spans="1:26" ht="30" customHeight="1">
      <c r="A280" s="36" t="s">
        <v>1042</v>
      </c>
      <c r="B280" s="37" t="s">
        <v>1043</v>
      </c>
      <c r="C280" s="42"/>
      <c r="D280" s="42">
        <f t="shared" ref="D280:F280" si="104">SUM(D281)</f>
        <v>0</v>
      </c>
      <c r="E280" s="42">
        <f t="shared" si="104"/>
        <v>0</v>
      </c>
      <c r="F280" s="42">
        <f t="shared" si="104"/>
        <v>0</v>
      </c>
      <c r="G280" s="40"/>
      <c r="H280" s="42">
        <f>SUM(H281)</f>
        <v>0</v>
      </c>
      <c r="I280" s="27"/>
      <c r="J280" s="27"/>
      <c r="K280" s="27"/>
      <c r="L280" s="27"/>
      <c r="M280" s="27"/>
      <c r="N280" s="27"/>
      <c r="O280" s="27"/>
      <c r="P280" s="27"/>
      <c r="Q280" s="27"/>
      <c r="R280" s="27"/>
      <c r="S280" s="27"/>
      <c r="T280" s="27"/>
      <c r="U280" s="27"/>
      <c r="V280" s="27"/>
      <c r="W280" s="27"/>
      <c r="X280" s="27"/>
      <c r="Y280" s="27"/>
      <c r="Z280" s="27"/>
    </row>
    <row r="281" spans="1:26" ht="30" customHeight="1">
      <c r="A281" s="57" t="s">
        <v>1044</v>
      </c>
      <c r="B281" s="51" t="s">
        <v>1043</v>
      </c>
      <c r="C281" s="58"/>
      <c r="D281" s="53"/>
      <c r="E281" s="53"/>
      <c r="F281" s="53"/>
      <c r="G281" s="53"/>
      <c r="H281" s="53">
        <f>ROUND(F281-E281,2)</f>
        <v>0</v>
      </c>
      <c r="I281" s="27"/>
      <c r="J281" s="27"/>
      <c r="K281" s="27"/>
      <c r="L281" s="27"/>
      <c r="M281" s="27"/>
      <c r="N281" s="27"/>
      <c r="O281" s="27"/>
      <c r="P281" s="27"/>
      <c r="Q281" s="27"/>
      <c r="R281" s="27"/>
      <c r="S281" s="27"/>
      <c r="T281" s="27"/>
      <c r="U281" s="27"/>
      <c r="V281" s="27"/>
      <c r="W281" s="27"/>
      <c r="X281" s="27"/>
      <c r="Y281" s="27"/>
      <c r="Z281" s="27"/>
    </row>
    <row r="282" spans="1:26" ht="30" customHeight="1">
      <c r="A282" s="36" t="s">
        <v>1045</v>
      </c>
      <c r="B282" s="59" t="s">
        <v>1046</v>
      </c>
      <c r="C282" s="42"/>
      <c r="D282" s="42">
        <f t="shared" ref="D282:F282" si="105">SUM(D283)</f>
        <v>0</v>
      </c>
      <c r="E282" s="42">
        <f t="shared" si="105"/>
        <v>0</v>
      </c>
      <c r="F282" s="42">
        <f t="shared" si="105"/>
        <v>132</v>
      </c>
      <c r="G282" s="40"/>
      <c r="H282" s="42">
        <f>SUM(H283)</f>
        <v>132</v>
      </c>
      <c r="I282" s="27"/>
      <c r="J282" s="27"/>
      <c r="K282" s="27"/>
      <c r="L282" s="27"/>
      <c r="M282" s="27"/>
      <c r="N282" s="27"/>
      <c r="O282" s="27"/>
      <c r="P282" s="27"/>
      <c r="Q282" s="27"/>
      <c r="R282" s="27"/>
      <c r="S282" s="27"/>
      <c r="T282" s="27"/>
      <c r="U282" s="27"/>
      <c r="V282" s="27"/>
      <c r="W282" s="27"/>
      <c r="X282" s="27"/>
      <c r="Y282" s="27"/>
      <c r="Z282" s="27"/>
    </row>
    <row r="283" spans="1:26" ht="30" customHeight="1">
      <c r="A283" s="57" t="s">
        <v>1047</v>
      </c>
      <c r="B283" s="68" t="s">
        <v>1046</v>
      </c>
      <c r="C283" s="58"/>
      <c r="D283" s="53"/>
      <c r="E283" s="53"/>
      <c r="F283" s="53">
        <v>132</v>
      </c>
      <c r="G283" s="53"/>
      <c r="H283" s="53">
        <f>ROUND(F283-E283,2)</f>
        <v>132</v>
      </c>
      <c r="I283" s="27"/>
      <c r="J283" s="27"/>
      <c r="K283" s="27"/>
      <c r="L283" s="27"/>
      <c r="M283" s="27"/>
      <c r="N283" s="27"/>
      <c r="O283" s="27"/>
      <c r="P283" s="27"/>
      <c r="Q283" s="27"/>
      <c r="R283" s="27"/>
      <c r="S283" s="27"/>
      <c r="T283" s="27"/>
      <c r="U283" s="27"/>
      <c r="V283" s="27"/>
      <c r="W283" s="27"/>
      <c r="X283" s="27"/>
      <c r="Y283" s="27"/>
      <c r="Z283" s="27"/>
    </row>
    <row r="284" spans="1:26" ht="30" customHeight="1">
      <c r="A284" s="36" t="s">
        <v>1048</v>
      </c>
      <c r="B284" s="37" t="s">
        <v>1049</v>
      </c>
      <c r="C284" s="61"/>
      <c r="D284" s="62"/>
      <c r="E284" s="62"/>
      <c r="F284" s="62"/>
      <c r="G284" s="40"/>
      <c r="H284" s="40"/>
      <c r="I284" s="27"/>
      <c r="J284" s="27"/>
      <c r="K284" s="27"/>
      <c r="L284" s="27"/>
      <c r="M284" s="27"/>
      <c r="N284" s="27"/>
      <c r="O284" s="27"/>
      <c r="P284" s="27"/>
      <c r="Q284" s="27"/>
      <c r="R284" s="27"/>
      <c r="S284" s="27"/>
      <c r="T284" s="27"/>
      <c r="U284" s="27"/>
      <c r="V284" s="27"/>
      <c r="W284" s="27"/>
      <c r="X284" s="27"/>
      <c r="Y284" s="27"/>
      <c r="Z284" s="27"/>
    </row>
    <row r="285" spans="1:26" ht="30" customHeight="1">
      <c r="A285" s="36" t="s">
        <v>1050</v>
      </c>
      <c r="B285" s="37" t="s">
        <v>1051</v>
      </c>
      <c r="C285" s="42"/>
      <c r="D285" s="40">
        <f t="shared" ref="D285:F285" si="106">SUM(D286:D290)</f>
        <v>2655359.65</v>
      </c>
      <c r="E285" s="40">
        <f t="shared" si="106"/>
        <v>0</v>
      </c>
      <c r="F285" s="40">
        <f t="shared" si="106"/>
        <v>326072.40000000002</v>
      </c>
      <c r="G285" s="40"/>
      <c r="H285" s="40">
        <f>SUM(H286:H290)</f>
        <v>326072.40000000002</v>
      </c>
      <c r="I285" s="27"/>
      <c r="J285" s="27"/>
      <c r="K285" s="27"/>
      <c r="L285" s="27"/>
      <c r="M285" s="27"/>
      <c r="N285" s="27"/>
      <c r="O285" s="27"/>
      <c r="P285" s="27"/>
      <c r="Q285" s="27"/>
      <c r="R285" s="27"/>
      <c r="S285" s="27"/>
      <c r="T285" s="27"/>
      <c r="U285" s="27"/>
      <c r="V285" s="27"/>
      <c r="W285" s="27"/>
      <c r="X285" s="27"/>
      <c r="Y285" s="27"/>
      <c r="Z285" s="27"/>
    </row>
    <row r="286" spans="1:26" ht="30" customHeight="1">
      <c r="A286" s="50" t="s">
        <v>1052</v>
      </c>
      <c r="B286" s="56" t="s">
        <v>920</v>
      </c>
      <c r="C286" s="52"/>
      <c r="D286" s="53">
        <v>2655359.65</v>
      </c>
      <c r="E286" s="53"/>
      <c r="F286" s="53">
        <v>28669.61</v>
      </c>
      <c r="G286" s="53"/>
      <c r="H286" s="53">
        <f t="shared" ref="H286:H290" si="107">ROUND(F286-E286,2)</f>
        <v>28669.61</v>
      </c>
      <c r="I286" s="27"/>
      <c r="J286" s="27"/>
      <c r="K286" s="27"/>
      <c r="L286" s="27"/>
      <c r="M286" s="27"/>
      <c r="N286" s="27"/>
      <c r="O286" s="27"/>
      <c r="P286" s="27"/>
      <c r="Q286" s="27"/>
      <c r="R286" s="27"/>
      <c r="S286" s="27"/>
      <c r="T286" s="27"/>
      <c r="U286" s="27"/>
      <c r="V286" s="27"/>
      <c r="W286" s="27"/>
      <c r="X286" s="27"/>
      <c r="Y286" s="27"/>
      <c r="Z286" s="27"/>
    </row>
    <row r="287" spans="1:26" ht="30" customHeight="1">
      <c r="A287" s="50" t="s">
        <v>1053</v>
      </c>
      <c r="B287" s="51" t="s">
        <v>922</v>
      </c>
      <c r="C287" s="52"/>
      <c r="D287" s="53"/>
      <c r="E287" s="53"/>
      <c r="F287" s="53">
        <v>81238.720000000001</v>
      </c>
      <c r="G287" s="53"/>
      <c r="H287" s="53">
        <f t="shared" si="107"/>
        <v>81238.720000000001</v>
      </c>
      <c r="I287" s="27"/>
      <c r="J287" s="27"/>
      <c r="K287" s="27"/>
      <c r="L287" s="27"/>
      <c r="M287" s="27"/>
      <c r="N287" s="27"/>
      <c r="O287" s="27"/>
      <c r="P287" s="27"/>
      <c r="Q287" s="27"/>
      <c r="R287" s="27"/>
      <c r="S287" s="27"/>
      <c r="T287" s="27"/>
      <c r="U287" s="27"/>
      <c r="V287" s="27"/>
      <c r="W287" s="27"/>
      <c r="X287" s="27"/>
      <c r="Y287" s="27"/>
      <c r="Z287" s="27"/>
    </row>
    <row r="288" spans="1:26" ht="30" customHeight="1">
      <c r="A288" s="50" t="s">
        <v>1054</v>
      </c>
      <c r="B288" s="51" t="s">
        <v>924</v>
      </c>
      <c r="C288" s="52"/>
      <c r="D288" s="53"/>
      <c r="E288" s="53"/>
      <c r="F288" s="53"/>
      <c r="G288" s="53"/>
      <c r="H288" s="53">
        <f t="shared" si="107"/>
        <v>0</v>
      </c>
      <c r="I288" s="27"/>
      <c r="J288" s="27"/>
      <c r="K288" s="27"/>
      <c r="L288" s="27"/>
      <c r="M288" s="27"/>
      <c r="N288" s="27"/>
      <c r="O288" s="27"/>
      <c r="P288" s="27"/>
      <c r="Q288" s="27"/>
      <c r="R288" s="27"/>
      <c r="S288" s="27"/>
      <c r="T288" s="27"/>
      <c r="U288" s="27"/>
      <c r="V288" s="27"/>
      <c r="W288" s="27"/>
      <c r="X288" s="27"/>
      <c r="Y288" s="27"/>
      <c r="Z288" s="27"/>
    </row>
    <row r="289" spans="1:26" ht="30" customHeight="1">
      <c r="A289" s="50" t="s">
        <v>1055</v>
      </c>
      <c r="B289" s="51" t="s">
        <v>926</v>
      </c>
      <c r="C289" s="52"/>
      <c r="D289" s="53"/>
      <c r="E289" s="53"/>
      <c r="F289" s="53">
        <v>216164.07</v>
      </c>
      <c r="G289" s="53"/>
      <c r="H289" s="53">
        <f t="shared" si="107"/>
        <v>216164.07</v>
      </c>
      <c r="I289" s="27"/>
      <c r="J289" s="27"/>
      <c r="K289" s="27"/>
      <c r="L289" s="27"/>
      <c r="M289" s="27"/>
      <c r="N289" s="27"/>
      <c r="O289" s="27"/>
      <c r="P289" s="27"/>
      <c r="Q289" s="27"/>
      <c r="R289" s="27"/>
      <c r="S289" s="27"/>
      <c r="T289" s="27"/>
      <c r="U289" s="27"/>
      <c r="V289" s="27"/>
      <c r="W289" s="27"/>
      <c r="X289" s="27"/>
      <c r="Y289" s="27"/>
      <c r="Z289" s="27"/>
    </row>
    <row r="290" spans="1:26" ht="30" customHeight="1">
      <c r="A290" s="50" t="s">
        <v>1056</v>
      </c>
      <c r="B290" s="51" t="s">
        <v>928</v>
      </c>
      <c r="C290" s="52"/>
      <c r="D290" s="53"/>
      <c r="E290" s="53"/>
      <c r="F290" s="53"/>
      <c r="G290" s="53"/>
      <c r="H290" s="53">
        <f t="shared" si="107"/>
        <v>0</v>
      </c>
      <c r="I290" s="27"/>
      <c r="J290" s="27"/>
      <c r="K290" s="27"/>
      <c r="L290" s="27"/>
      <c r="M290" s="27"/>
      <c r="N290" s="27"/>
      <c r="O290" s="27"/>
      <c r="P290" s="27"/>
      <c r="Q290" s="27"/>
      <c r="R290" s="27"/>
      <c r="S290" s="27"/>
      <c r="T290" s="27"/>
      <c r="U290" s="27"/>
      <c r="V290" s="27"/>
      <c r="W290" s="27"/>
      <c r="X290" s="27"/>
      <c r="Y290" s="27"/>
      <c r="Z290" s="27"/>
    </row>
    <row r="291" spans="1:26" ht="30" customHeight="1">
      <c r="A291" s="44" t="s">
        <v>1057</v>
      </c>
      <c r="B291" s="54" t="s">
        <v>1058</v>
      </c>
      <c r="C291" s="39"/>
      <c r="D291" s="39">
        <f t="shared" ref="D291:F291" si="108">SUM(D292)</f>
        <v>130944349.83</v>
      </c>
      <c r="E291" s="39">
        <f t="shared" si="108"/>
        <v>0</v>
      </c>
      <c r="F291" s="39">
        <f t="shared" si="108"/>
        <v>2654548.62</v>
      </c>
      <c r="G291" s="40"/>
      <c r="H291" s="39">
        <f>SUM(H292)</f>
        <v>2654548.62</v>
      </c>
      <c r="I291" s="27"/>
      <c r="J291" s="27"/>
      <c r="K291" s="27"/>
      <c r="L291" s="27"/>
      <c r="M291" s="27"/>
      <c r="N291" s="27"/>
      <c r="O291" s="27"/>
      <c r="P291" s="27"/>
      <c r="Q291" s="27"/>
      <c r="R291" s="27"/>
      <c r="S291" s="27"/>
      <c r="T291" s="27"/>
      <c r="U291" s="27"/>
      <c r="V291" s="27"/>
      <c r="W291" s="27"/>
      <c r="X291" s="27"/>
      <c r="Y291" s="27"/>
      <c r="Z291" s="27"/>
    </row>
    <row r="292" spans="1:26" ht="30" customHeight="1">
      <c r="A292" s="50" t="s">
        <v>1059</v>
      </c>
      <c r="B292" s="69" t="s">
        <v>1058</v>
      </c>
      <c r="C292" s="52"/>
      <c r="D292" s="53">
        <v>130944349.83</v>
      </c>
      <c r="E292" s="53"/>
      <c r="F292" s="53">
        <v>2654548.62</v>
      </c>
      <c r="G292" s="53"/>
      <c r="H292" s="53">
        <f>ROUND(F292-E292,2)</f>
        <v>2654548.62</v>
      </c>
      <c r="I292" s="27"/>
      <c r="J292" s="27"/>
      <c r="K292" s="27"/>
      <c r="L292" s="27"/>
      <c r="M292" s="27"/>
      <c r="N292" s="27"/>
      <c r="O292" s="27"/>
      <c r="P292" s="27"/>
      <c r="Q292" s="27"/>
      <c r="R292" s="27"/>
      <c r="S292" s="27"/>
      <c r="T292" s="27"/>
      <c r="U292" s="27"/>
      <c r="V292" s="27"/>
      <c r="W292" s="27"/>
      <c r="X292" s="27"/>
      <c r="Y292" s="27"/>
      <c r="Z292" s="27"/>
    </row>
    <row r="293" spans="1:26" ht="30" customHeight="1">
      <c r="A293" s="32" t="s">
        <v>1060</v>
      </c>
      <c r="B293" s="48" t="s">
        <v>1061</v>
      </c>
      <c r="C293" s="34"/>
      <c r="D293" s="34">
        <f t="shared" ref="D293:F293" si="109">D294+D296+D297+D299+D300+D301+D302+D304</f>
        <v>0</v>
      </c>
      <c r="E293" s="34">
        <f t="shared" si="109"/>
        <v>0</v>
      </c>
      <c r="F293" s="34">
        <f t="shared" si="109"/>
        <v>0</v>
      </c>
      <c r="G293" s="35"/>
      <c r="H293" s="35">
        <f>H294+H296+H297+H299+H300+H301+H302+H304</f>
        <v>0</v>
      </c>
      <c r="I293" s="27"/>
      <c r="J293" s="27"/>
      <c r="K293" s="27"/>
      <c r="L293" s="27"/>
      <c r="M293" s="27"/>
      <c r="N293" s="27"/>
      <c r="O293" s="27"/>
      <c r="P293" s="27"/>
      <c r="Q293" s="27"/>
      <c r="R293" s="27"/>
      <c r="S293" s="27"/>
      <c r="T293" s="27"/>
      <c r="U293" s="27"/>
      <c r="V293" s="27"/>
      <c r="W293" s="27"/>
      <c r="X293" s="27"/>
      <c r="Y293" s="27"/>
      <c r="Z293" s="27"/>
    </row>
    <row r="294" spans="1:26" ht="30" customHeight="1">
      <c r="A294" s="44" t="s">
        <v>1062</v>
      </c>
      <c r="B294" s="70" t="s">
        <v>1063</v>
      </c>
      <c r="C294" s="39"/>
      <c r="D294" s="40">
        <f t="shared" ref="D294:F294" si="110">SUM(D295)</f>
        <v>0</v>
      </c>
      <c r="E294" s="40">
        <f t="shared" si="110"/>
        <v>0</v>
      </c>
      <c r="F294" s="40">
        <f t="shared" si="110"/>
        <v>0</v>
      </c>
      <c r="G294" s="40"/>
      <c r="H294" s="40">
        <f>SUM(H295)</f>
        <v>0</v>
      </c>
      <c r="I294" s="27"/>
      <c r="J294" s="27"/>
      <c r="K294" s="27"/>
      <c r="L294" s="27"/>
      <c r="M294" s="27"/>
      <c r="N294" s="27"/>
      <c r="O294" s="27"/>
      <c r="P294" s="27"/>
      <c r="Q294" s="27"/>
      <c r="R294" s="27"/>
      <c r="S294" s="27"/>
      <c r="T294" s="27"/>
      <c r="U294" s="27"/>
      <c r="V294" s="27"/>
      <c r="W294" s="27"/>
      <c r="X294" s="27"/>
      <c r="Y294" s="27"/>
      <c r="Z294" s="27"/>
    </row>
    <row r="295" spans="1:26" ht="30" customHeight="1">
      <c r="A295" s="50" t="s">
        <v>1064</v>
      </c>
      <c r="B295" s="55" t="s">
        <v>1065</v>
      </c>
      <c r="C295" s="52"/>
      <c r="D295" s="53"/>
      <c r="E295" s="53"/>
      <c r="F295" s="53"/>
      <c r="G295" s="53"/>
      <c r="H295" s="53">
        <f t="shared" ref="H295:H296" si="111">ROUND(F295-E295,2)</f>
        <v>0</v>
      </c>
      <c r="I295" s="27"/>
      <c r="J295" s="27"/>
      <c r="K295" s="27"/>
      <c r="L295" s="27"/>
      <c r="M295" s="27"/>
      <c r="N295" s="27"/>
      <c r="O295" s="27"/>
      <c r="P295" s="27"/>
      <c r="Q295" s="27"/>
      <c r="R295" s="27"/>
      <c r="S295" s="27"/>
      <c r="T295" s="27"/>
      <c r="U295" s="27"/>
      <c r="V295" s="27"/>
      <c r="W295" s="27"/>
      <c r="X295" s="27"/>
      <c r="Y295" s="27"/>
      <c r="Z295" s="27"/>
    </row>
    <row r="296" spans="1:26" ht="30" customHeight="1">
      <c r="A296" s="36" t="s">
        <v>1066</v>
      </c>
      <c r="B296" s="59" t="s">
        <v>1067</v>
      </c>
      <c r="C296" s="42"/>
      <c r="D296" s="42"/>
      <c r="E296" s="42"/>
      <c r="F296" s="42"/>
      <c r="G296" s="40"/>
      <c r="H296" s="40">
        <f t="shared" si="111"/>
        <v>0</v>
      </c>
      <c r="I296" s="27"/>
      <c r="J296" s="27"/>
      <c r="K296" s="27"/>
      <c r="L296" s="27"/>
      <c r="M296" s="27"/>
      <c r="N296" s="27"/>
      <c r="O296" s="27"/>
      <c r="P296" s="27"/>
      <c r="Q296" s="27"/>
      <c r="R296" s="27"/>
      <c r="S296" s="27"/>
      <c r="T296" s="27"/>
      <c r="U296" s="27"/>
      <c r="V296" s="27"/>
      <c r="W296" s="27"/>
      <c r="X296" s="27"/>
      <c r="Y296" s="27"/>
      <c r="Z296" s="27"/>
    </row>
    <row r="297" spans="1:26" ht="30" customHeight="1">
      <c r="A297" s="36" t="s">
        <v>1068</v>
      </c>
      <c r="B297" s="59" t="s">
        <v>1069</v>
      </c>
      <c r="C297" s="42"/>
      <c r="D297" s="40">
        <f t="shared" ref="D297:F297" si="112">SUM(D298)</f>
        <v>0</v>
      </c>
      <c r="E297" s="40">
        <f t="shared" si="112"/>
        <v>0</v>
      </c>
      <c r="F297" s="40">
        <f t="shared" si="112"/>
        <v>0</v>
      </c>
      <c r="G297" s="40"/>
      <c r="H297" s="40">
        <f>SUM(H298)</f>
        <v>0</v>
      </c>
      <c r="I297" s="27"/>
      <c r="J297" s="27"/>
      <c r="K297" s="27"/>
      <c r="L297" s="27"/>
      <c r="M297" s="27"/>
      <c r="N297" s="27"/>
      <c r="O297" s="27"/>
      <c r="P297" s="27"/>
      <c r="Q297" s="27"/>
      <c r="R297" s="27"/>
      <c r="S297" s="27"/>
      <c r="T297" s="27"/>
      <c r="U297" s="27"/>
      <c r="V297" s="27"/>
      <c r="W297" s="27"/>
      <c r="X297" s="27"/>
      <c r="Y297" s="27"/>
      <c r="Z297" s="27"/>
    </row>
    <row r="298" spans="1:26" ht="30" customHeight="1">
      <c r="A298" s="50" t="s">
        <v>1070</v>
      </c>
      <c r="B298" s="71" t="s">
        <v>1069</v>
      </c>
      <c r="C298" s="52"/>
      <c r="D298" s="53"/>
      <c r="E298" s="53"/>
      <c r="F298" s="53"/>
      <c r="G298" s="53"/>
      <c r="H298" s="53">
        <f t="shared" ref="H298:H301" si="113">ROUND(F298-E298,2)</f>
        <v>0</v>
      </c>
      <c r="I298" s="27"/>
      <c r="J298" s="27"/>
      <c r="K298" s="27"/>
      <c r="L298" s="27"/>
      <c r="M298" s="27"/>
      <c r="N298" s="27"/>
      <c r="O298" s="27"/>
      <c r="P298" s="27"/>
      <c r="Q298" s="27"/>
      <c r="R298" s="27"/>
      <c r="S298" s="27"/>
      <c r="T298" s="27"/>
      <c r="U298" s="27"/>
      <c r="V298" s="27"/>
      <c r="W298" s="27"/>
      <c r="X298" s="27"/>
      <c r="Y298" s="27"/>
      <c r="Z298" s="27"/>
    </row>
    <row r="299" spans="1:26" ht="30" customHeight="1">
      <c r="A299" s="36" t="s">
        <v>1071</v>
      </c>
      <c r="B299" s="59" t="s">
        <v>1072</v>
      </c>
      <c r="C299" s="42"/>
      <c r="D299" s="42"/>
      <c r="E299" s="42"/>
      <c r="F299" s="42"/>
      <c r="G299" s="40"/>
      <c r="H299" s="40">
        <f t="shared" si="113"/>
        <v>0</v>
      </c>
      <c r="I299" s="27"/>
      <c r="J299" s="27"/>
      <c r="K299" s="27"/>
      <c r="L299" s="27"/>
      <c r="M299" s="27"/>
      <c r="N299" s="27"/>
      <c r="O299" s="27"/>
      <c r="P299" s="27"/>
      <c r="Q299" s="27"/>
      <c r="R299" s="27"/>
      <c r="S299" s="27"/>
      <c r="T299" s="27"/>
      <c r="U299" s="27"/>
      <c r="V299" s="27"/>
      <c r="W299" s="27"/>
      <c r="X299" s="27"/>
      <c r="Y299" s="27"/>
      <c r="Z299" s="27"/>
    </row>
    <row r="300" spans="1:26" ht="30" customHeight="1">
      <c r="A300" s="36" t="s">
        <v>1073</v>
      </c>
      <c r="B300" s="37" t="s">
        <v>1074</v>
      </c>
      <c r="C300" s="42"/>
      <c r="D300" s="42"/>
      <c r="E300" s="42"/>
      <c r="F300" s="42"/>
      <c r="G300" s="40"/>
      <c r="H300" s="40">
        <f t="shared" si="113"/>
        <v>0</v>
      </c>
      <c r="I300" s="27"/>
      <c r="J300" s="27"/>
      <c r="K300" s="27"/>
      <c r="L300" s="27"/>
      <c r="M300" s="27"/>
      <c r="N300" s="27"/>
      <c r="O300" s="27"/>
      <c r="P300" s="27"/>
      <c r="Q300" s="27"/>
      <c r="R300" s="27"/>
      <c r="S300" s="27"/>
      <c r="T300" s="27"/>
      <c r="U300" s="27"/>
      <c r="V300" s="27"/>
      <c r="W300" s="27"/>
      <c r="X300" s="27"/>
      <c r="Y300" s="27"/>
      <c r="Z300" s="27"/>
    </row>
    <row r="301" spans="1:26" ht="30" customHeight="1">
      <c r="A301" s="36" t="s">
        <v>1075</v>
      </c>
      <c r="B301" s="37" t="s">
        <v>1076</v>
      </c>
      <c r="C301" s="42"/>
      <c r="D301" s="42"/>
      <c r="E301" s="42"/>
      <c r="F301" s="42"/>
      <c r="G301" s="40"/>
      <c r="H301" s="40">
        <f t="shared" si="113"/>
        <v>0</v>
      </c>
      <c r="I301" s="27"/>
      <c r="J301" s="27"/>
      <c r="K301" s="27"/>
      <c r="L301" s="27"/>
      <c r="M301" s="27"/>
      <c r="N301" s="27"/>
      <c r="O301" s="27"/>
      <c r="P301" s="27"/>
      <c r="Q301" s="27"/>
      <c r="R301" s="27"/>
      <c r="S301" s="27"/>
      <c r="T301" s="27"/>
      <c r="U301" s="27"/>
      <c r="V301" s="27"/>
      <c r="W301" s="27"/>
      <c r="X301" s="27"/>
      <c r="Y301" s="27"/>
      <c r="Z301" s="27"/>
    </row>
    <row r="302" spans="1:26" ht="30" customHeight="1">
      <c r="A302" s="36" t="s">
        <v>1077</v>
      </c>
      <c r="B302" s="37" t="s">
        <v>1078</v>
      </c>
      <c r="C302" s="42"/>
      <c r="D302" s="40">
        <f t="shared" ref="D302:F302" si="114">SUM(D303)</f>
        <v>0</v>
      </c>
      <c r="E302" s="40">
        <f t="shared" si="114"/>
        <v>0</v>
      </c>
      <c r="F302" s="40">
        <f t="shared" si="114"/>
        <v>0</v>
      </c>
      <c r="G302" s="40"/>
      <c r="H302" s="40">
        <f>SUM(H303)</f>
        <v>0</v>
      </c>
      <c r="I302" s="27"/>
      <c r="J302" s="27"/>
      <c r="K302" s="27"/>
      <c r="L302" s="27"/>
      <c r="M302" s="27"/>
      <c r="N302" s="27"/>
      <c r="O302" s="27"/>
      <c r="P302" s="27"/>
      <c r="Q302" s="27"/>
      <c r="R302" s="27"/>
      <c r="S302" s="27"/>
      <c r="T302" s="27"/>
      <c r="U302" s="27"/>
      <c r="V302" s="27"/>
      <c r="W302" s="27"/>
      <c r="X302" s="27"/>
      <c r="Y302" s="27"/>
      <c r="Z302" s="27"/>
    </row>
    <row r="303" spans="1:26" ht="30" customHeight="1">
      <c r="A303" s="50" t="s">
        <v>1079</v>
      </c>
      <c r="B303" s="56" t="s">
        <v>1078</v>
      </c>
      <c r="C303" s="52"/>
      <c r="D303" s="53"/>
      <c r="E303" s="53"/>
      <c r="F303" s="53"/>
      <c r="G303" s="53"/>
      <c r="H303" s="53">
        <f t="shared" ref="H303:H304" si="115">ROUND(F303-E303,2)</f>
        <v>0</v>
      </c>
      <c r="I303" s="27"/>
      <c r="J303" s="27"/>
      <c r="K303" s="27"/>
      <c r="L303" s="27"/>
      <c r="M303" s="27"/>
      <c r="N303" s="27"/>
      <c r="O303" s="27"/>
      <c r="P303" s="27"/>
      <c r="Q303" s="27"/>
      <c r="R303" s="27"/>
      <c r="S303" s="27"/>
      <c r="T303" s="27"/>
      <c r="U303" s="27"/>
      <c r="V303" s="27"/>
      <c r="W303" s="27"/>
      <c r="X303" s="27"/>
      <c r="Y303" s="27"/>
      <c r="Z303" s="27"/>
    </row>
    <row r="304" spans="1:26" ht="30" customHeight="1">
      <c r="A304" s="44" t="s">
        <v>1080</v>
      </c>
      <c r="B304" s="72" t="s">
        <v>1081</v>
      </c>
      <c r="C304" s="39"/>
      <c r="D304" s="40"/>
      <c r="E304" s="40"/>
      <c r="F304" s="40"/>
      <c r="G304" s="40"/>
      <c r="H304" s="40">
        <f t="shared" si="115"/>
        <v>0</v>
      </c>
      <c r="I304" s="27"/>
      <c r="J304" s="27"/>
      <c r="K304" s="27"/>
      <c r="L304" s="27"/>
      <c r="M304" s="27"/>
      <c r="N304" s="27"/>
      <c r="O304" s="27"/>
      <c r="P304" s="27"/>
      <c r="Q304" s="27"/>
      <c r="R304" s="27"/>
      <c r="S304" s="27"/>
      <c r="T304" s="27"/>
      <c r="U304" s="27"/>
      <c r="V304" s="27"/>
      <c r="W304" s="27"/>
      <c r="X304" s="27"/>
      <c r="Y304" s="27"/>
      <c r="Z304" s="27"/>
    </row>
    <row r="305" spans="1:26" ht="33.75" customHeight="1">
      <c r="A305" s="73" t="s">
        <v>1082</v>
      </c>
      <c r="B305" s="48" t="s">
        <v>1083</v>
      </c>
      <c r="C305" s="74"/>
      <c r="D305" s="34">
        <f t="shared" ref="D305:F305" si="116">SUM(D306:D307)</f>
        <v>0</v>
      </c>
      <c r="E305" s="34">
        <f t="shared" si="116"/>
        <v>0</v>
      </c>
      <c r="F305" s="34">
        <f t="shared" si="116"/>
        <v>0</v>
      </c>
      <c r="G305" s="35"/>
      <c r="H305" s="35">
        <f>SUM(H306:H307)</f>
        <v>0</v>
      </c>
      <c r="I305" s="27"/>
      <c r="J305" s="27"/>
      <c r="K305" s="27"/>
      <c r="L305" s="27"/>
      <c r="M305" s="27"/>
      <c r="N305" s="27"/>
      <c r="O305" s="27"/>
      <c r="P305" s="27"/>
      <c r="Q305" s="27"/>
      <c r="R305" s="27"/>
      <c r="S305" s="27"/>
      <c r="T305" s="27"/>
      <c r="U305" s="27"/>
      <c r="V305" s="27"/>
      <c r="W305" s="27"/>
      <c r="X305" s="27"/>
      <c r="Y305" s="27"/>
      <c r="Z305" s="27"/>
    </row>
    <row r="306" spans="1:26" ht="32.25" customHeight="1">
      <c r="A306" s="36" t="s">
        <v>1084</v>
      </c>
      <c r="B306" s="37" t="s">
        <v>1085</v>
      </c>
      <c r="C306" s="61"/>
      <c r="D306" s="62"/>
      <c r="E306" s="62"/>
      <c r="F306" s="62"/>
      <c r="G306" s="40"/>
      <c r="H306" s="40"/>
      <c r="I306" s="27"/>
      <c r="J306" s="27"/>
      <c r="K306" s="27"/>
      <c r="L306" s="27"/>
      <c r="M306" s="27"/>
      <c r="N306" s="27"/>
      <c r="O306" s="27"/>
      <c r="P306" s="27"/>
      <c r="Q306" s="27"/>
      <c r="R306" s="27"/>
      <c r="S306" s="27"/>
      <c r="T306" s="27"/>
      <c r="U306" s="27"/>
      <c r="V306" s="27"/>
      <c r="W306" s="27"/>
      <c r="X306" s="27"/>
      <c r="Y306" s="27"/>
      <c r="Z306" s="27"/>
    </row>
    <row r="307" spans="1:26" ht="33.75" customHeight="1">
      <c r="A307" s="36" t="s">
        <v>1086</v>
      </c>
      <c r="B307" s="37" t="s">
        <v>1087</v>
      </c>
      <c r="C307" s="61"/>
      <c r="D307" s="62"/>
      <c r="E307" s="62"/>
      <c r="F307" s="62"/>
      <c r="G307" s="40"/>
      <c r="H307" s="40"/>
      <c r="I307" s="27"/>
      <c r="J307" s="27"/>
      <c r="K307" s="27"/>
      <c r="L307" s="27"/>
      <c r="M307" s="27"/>
      <c r="N307" s="27"/>
      <c r="O307" s="27"/>
      <c r="P307" s="27"/>
      <c r="Q307" s="27"/>
      <c r="R307" s="27"/>
      <c r="S307" s="27"/>
      <c r="T307" s="27"/>
      <c r="U307" s="27"/>
      <c r="V307" s="27"/>
      <c r="W307" s="27"/>
      <c r="X307" s="27"/>
      <c r="Y307" s="27"/>
      <c r="Z307" s="27"/>
    </row>
    <row r="308" spans="1:26" ht="45" customHeight="1">
      <c r="A308" s="28" t="s">
        <v>1088</v>
      </c>
      <c r="B308" s="47" t="s">
        <v>1089</v>
      </c>
      <c r="C308" s="30"/>
      <c r="D308" s="30">
        <f t="shared" ref="D308:F308" si="117">D309+D342</f>
        <v>6868889914.0100002</v>
      </c>
      <c r="E308" s="30">
        <f t="shared" si="117"/>
        <v>0</v>
      </c>
      <c r="F308" s="30">
        <f t="shared" si="117"/>
        <v>5731145603.0500002</v>
      </c>
      <c r="G308" s="31"/>
      <c r="H308" s="31">
        <f>H309+H342</f>
        <v>5731145603.0500002</v>
      </c>
      <c r="I308" s="27"/>
      <c r="J308" s="27"/>
      <c r="K308" s="27"/>
      <c r="L308" s="27"/>
      <c r="M308" s="27"/>
      <c r="N308" s="27"/>
      <c r="O308" s="27"/>
      <c r="P308" s="27"/>
      <c r="Q308" s="27"/>
      <c r="R308" s="27"/>
      <c r="S308" s="27"/>
      <c r="T308" s="27"/>
      <c r="U308" s="27"/>
      <c r="V308" s="27"/>
      <c r="W308" s="27"/>
      <c r="X308" s="27"/>
      <c r="Y308" s="27"/>
      <c r="Z308" s="27"/>
    </row>
    <row r="309" spans="1:26" ht="30" customHeight="1">
      <c r="A309" s="32" t="s">
        <v>1090</v>
      </c>
      <c r="B309" s="48" t="s">
        <v>1091</v>
      </c>
      <c r="C309" s="34"/>
      <c r="D309" s="34">
        <f t="shared" ref="D309:F309" si="118">D310+D323+D326+D333+D339</f>
        <v>6868889914.0100002</v>
      </c>
      <c r="E309" s="34">
        <f t="shared" si="118"/>
        <v>0</v>
      </c>
      <c r="F309" s="34">
        <f t="shared" si="118"/>
        <v>5731145603.0500002</v>
      </c>
      <c r="G309" s="35"/>
      <c r="H309" s="35">
        <f>H310+H323+H326+H333+H339</f>
        <v>5731145603.0500002</v>
      </c>
      <c r="I309" s="27"/>
      <c r="J309" s="27"/>
      <c r="K309" s="27"/>
      <c r="L309" s="27"/>
      <c r="M309" s="27"/>
      <c r="N309" s="27"/>
      <c r="O309" s="27"/>
      <c r="P309" s="27"/>
      <c r="Q309" s="27"/>
      <c r="R309" s="27"/>
      <c r="S309" s="27"/>
      <c r="T309" s="27"/>
      <c r="U309" s="27"/>
      <c r="V309" s="27"/>
      <c r="W309" s="27"/>
      <c r="X309" s="27"/>
      <c r="Y309" s="27"/>
      <c r="Z309" s="27"/>
    </row>
    <row r="310" spans="1:26" ht="30" customHeight="1">
      <c r="A310" s="44" t="s">
        <v>1092</v>
      </c>
      <c r="B310" s="54" t="s">
        <v>1093</v>
      </c>
      <c r="C310" s="39"/>
      <c r="D310" s="40">
        <f t="shared" ref="D310:F310" si="119">SUM(D311:D322)</f>
        <v>5372632223.3599997</v>
      </c>
      <c r="E310" s="40">
        <f t="shared" si="119"/>
        <v>0</v>
      </c>
      <c r="F310" s="40">
        <f t="shared" si="119"/>
        <v>4490333430.3100004</v>
      </c>
      <c r="G310" s="40"/>
      <c r="H310" s="40">
        <f>SUM(H311:H322)</f>
        <v>4490333430.3100004</v>
      </c>
      <c r="I310" s="27"/>
      <c r="J310" s="27"/>
      <c r="K310" s="27"/>
      <c r="L310" s="27"/>
      <c r="M310" s="27"/>
      <c r="N310" s="27"/>
      <c r="O310" s="27"/>
      <c r="P310" s="27"/>
      <c r="Q310" s="27"/>
      <c r="R310" s="27"/>
      <c r="S310" s="27"/>
      <c r="T310" s="27"/>
      <c r="U310" s="27"/>
      <c r="V310" s="27"/>
      <c r="W310" s="27"/>
      <c r="X310" s="27"/>
      <c r="Y310" s="27"/>
      <c r="Z310" s="27"/>
    </row>
    <row r="311" spans="1:26" ht="30" customHeight="1">
      <c r="A311" s="50" t="s">
        <v>1094</v>
      </c>
      <c r="B311" s="51" t="s">
        <v>1095</v>
      </c>
      <c r="C311" s="52"/>
      <c r="D311" s="53">
        <v>2559035697.3400002</v>
      </c>
      <c r="E311" s="53"/>
      <c r="F311" s="53">
        <v>2160546030.7600002</v>
      </c>
      <c r="G311" s="53"/>
      <c r="H311" s="53">
        <f t="shared" ref="H311:H322" si="120">ROUND(F311-E311,2)</f>
        <v>2160546030.7600002</v>
      </c>
      <c r="I311" s="27"/>
      <c r="J311" s="27"/>
      <c r="K311" s="27"/>
      <c r="L311" s="27"/>
      <c r="M311" s="27"/>
      <c r="N311" s="27"/>
      <c r="O311" s="27"/>
      <c r="P311" s="27"/>
      <c r="Q311" s="27"/>
      <c r="R311" s="27"/>
      <c r="S311" s="27"/>
      <c r="T311" s="27"/>
      <c r="U311" s="27"/>
      <c r="V311" s="27"/>
      <c r="W311" s="27"/>
      <c r="X311" s="27"/>
      <c r="Y311" s="27"/>
      <c r="Z311" s="27"/>
    </row>
    <row r="312" spans="1:26" ht="30" customHeight="1">
      <c r="A312" s="50" t="s">
        <v>1096</v>
      </c>
      <c r="B312" s="51" t="s">
        <v>1097</v>
      </c>
      <c r="C312" s="52"/>
      <c r="D312" s="53">
        <v>397534759.21999997</v>
      </c>
      <c r="E312" s="53"/>
      <c r="F312" s="53">
        <v>372027373.76999998</v>
      </c>
      <c r="G312" s="53"/>
      <c r="H312" s="53">
        <f t="shared" si="120"/>
        <v>372027373.76999998</v>
      </c>
      <c r="I312" s="27"/>
      <c r="J312" s="27"/>
      <c r="K312" s="27"/>
      <c r="L312" s="27"/>
      <c r="M312" s="27"/>
      <c r="N312" s="27"/>
      <c r="O312" s="27"/>
      <c r="P312" s="27"/>
      <c r="Q312" s="27"/>
      <c r="R312" s="27"/>
      <c r="S312" s="27"/>
      <c r="T312" s="27"/>
      <c r="U312" s="27"/>
      <c r="V312" s="27"/>
      <c r="W312" s="27"/>
      <c r="X312" s="27"/>
      <c r="Y312" s="27"/>
      <c r="Z312" s="27"/>
    </row>
    <row r="313" spans="1:26" ht="30" customHeight="1">
      <c r="A313" s="50" t="s">
        <v>1098</v>
      </c>
      <c r="B313" s="51" t="s">
        <v>1099</v>
      </c>
      <c r="C313" s="52"/>
      <c r="D313" s="53">
        <v>507314393.63</v>
      </c>
      <c r="E313" s="53"/>
      <c r="F313" s="53">
        <v>397231826.33999997</v>
      </c>
      <c r="G313" s="53"/>
      <c r="H313" s="53">
        <f t="shared" si="120"/>
        <v>397231826.33999997</v>
      </c>
      <c r="I313" s="27"/>
      <c r="J313" s="27"/>
      <c r="K313" s="27"/>
      <c r="L313" s="27"/>
      <c r="M313" s="27"/>
      <c r="N313" s="27"/>
      <c r="O313" s="27"/>
      <c r="P313" s="27"/>
      <c r="Q313" s="27"/>
      <c r="R313" s="27"/>
      <c r="S313" s="27"/>
      <c r="T313" s="27"/>
      <c r="U313" s="27"/>
      <c r="V313" s="27"/>
      <c r="W313" s="27"/>
      <c r="X313" s="27"/>
      <c r="Y313" s="27"/>
      <c r="Z313" s="27"/>
    </row>
    <row r="314" spans="1:26" ht="30" customHeight="1">
      <c r="A314" s="50" t="s">
        <v>1100</v>
      </c>
      <c r="B314" s="51" t="s">
        <v>1101</v>
      </c>
      <c r="C314" s="52"/>
      <c r="D314" s="53"/>
      <c r="E314" s="53"/>
      <c r="F314" s="53"/>
      <c r="G314" s="53"/>
      <c r="H314" s="53">
        <f t="shared" si="120"/>
        <v>0</v>
      </c>
      <c r="I314" s="27"/>
      <c r="J314" s="27"/>
      <c r="K314" s="27"/>
      <c r="L314" s="27"/>
      <c r="M314" s="27"/>
      <c r="N314" s="27"/>
      <c r="O314" s="27"/>
      <c r="P314" s="27"/>
      <c r="Q314" s="27"/>
      <c r="R314" s="27"/>
      <c r="S314" s="27"/>
      <c r="T314" s="27"/>
      <c r="U314" s="27"/>
      <c r="V314" s="27"/>
      <c r="W314" s="27"/>
      <c r="X314" s="27"/>
      <c r="Y314" s="27"/>
      <c r="Z314" s="27"/>
    </row>
    <row r="315" spans="1:26" ht="30" customHeight="1">
      <c r="A315" s="50" t="s">
        <v>1102</v>
      </c>
      <c r="B315" s="51" t="s">
        <v>1103</v>
      </c>
      <c r="C315" s="52"/>
      <c r="D315" s="53"/>
      <c r="E315" s="53"/>
      <c r="F315" s="53"/>
      <c r="G315" s="53"/>
      <c r="H315" s="53">
        <f t="shared" si="120"/>
        <v>0</v>
      </c>
      <c r="I315" s="27"/>
      <c r="J315" s="27"/>
      <c r="K315" s="27"/>
      <c r="L315" s="27"/>
      <c r="M315" s="27"/>
      <c r="N315" s="27"/>
      <c r="O315" s="27"/>
      <c r="P315" s="27"/>
      <c r="Q315" s="27"/>
      <c r="R315" s="27"/>
      <c r="S315" s="27"/>
      <c r="T315" s="27"/>
      <c r="U315" s="27"/>
      <c r="V315" s="27"/>
      <c r="W315" s="27"/>
      <c r="X315" s="27"/>
      <c r="Y315" s="27"/>
      <c r="Z315" s="27"/>
    </row>
    <row r="316" spans="1:26" ht="30" customHeight="1">
      <c r="A316" s="50" t="s">
        <v>1104</v>
      </c>
      <c r="B316" s="51" t="s">
        <v>1105</v>
      </c>
      <c r="C316" s="52"/>
      <c r="D316" s="53">
        <v>65478878.309999995</v>
      </c>
      <c r="E316" s="53"/>
      <c r="F316" s="53">
        <v>48686685.509999998</v>
      </c>
      <c r="G316" s="53"/>
      <c r="H316" s="53">
        <f t="shared" si="120"/>
        <v>48686685.509999998</v>
      </c>
      <c r="I316" s="27"/>
      <c r="J316" s="27"/>
      <c r="K316" s="27"/>
      <c r="L316" s="27"/>
      <c r="M316" s="27"/>
      <c r="N316" s="27"/>
      <c r="O316" s="27"/>
      <c r="P316" s="27"/>
      <c r="Q316" s="27"/>
      <c r="R316" s="27"/>
      <c r="S316" s="27"/>
      <c r="T316" s="27"/>
      <c r="U316" s="27"/>
      <c r="V316" s="27"/>
      <c r="W316" s="27"/>
      <c r="X316" s="27"/>
      <c r="Y316" s="27"/>
      <c r="Z316" s="27"/>
    </row>
    <row r="317" spans="1:26" ht="30" customHeight="1">
      <c r="A317" s="50" t="s">
        <v>1106</v>
      </c>
      <c r="B317" s="51" t="s">
        <v>1107</v>
      </c>
      <c r="C317" s="52"/>
      <c r="D317" s="53"/>
      <c r="E317" s="53"/>
      <c r="F317" s="53"/>
      <c r="G317" s="53"/>
      <c r="H317" s="53">
        <f t="shared" si="120"/>
        <v>0</v>
      </c>
      <c r="I317" s="27"/>
      <c r="J317" s="27"/>
      <c r="K317" s="27"/>
      <c r="L317" s="27"/>
      <c r="M317" s="27"/>
      <c r="N317" s="27"/>
      <c r="O317" s="27"/>
      <c r="P317" s="27"/>
      <c r="Q317" s="27"/>
      <c r="R317" s="27"/>
      <c r="S317" s="27"/>
      <c r="T317" s="27"/>
      <c r="U317" s="27"/>
      <c r="V317" s="27"/>
      <c r="W317" s="27"/>
      <c r="X317" s="27"/>
      <c r="Y317" s="27"/>
      <c r="Z317" s="27"/>
    </row>
    <row r="318" spans="1:26" ht="30" customHeight="1">
      <c r="A318" s="50" t="s">
        <v>1108</v>
      </c>
      <c r="B318" s="51" t="s">
        <v>1109</v>
      </c>
      <c r="C318" s="52"/>
      <c r="D318" s="53"/>
      <c r="E318" s="53"/>
      <c r="F318" s="53"/>
      <c r="G318" s="53"/>
      <c r="H318" s="53">
        <f t="shared" si="120"/>
        <v>0</v>
      </c>
      <c r="I318" s="27"/>
      <c r="J318" s="27"/>
      <c r="K318" s="27"/>
      <c r="L318" s="27"/>
      <c r="M318" s="27"/>
      <c r="N318" s="27"/>
      <c r="O318" s="27"/>
      <c r="P318" s="27"/>
      <c r="Q318" s="27"/>
      <c r="R318" s="27"/>
      <c r="S318" s="27"/>
      <c r="T318" s="27"/>
      <c r="U318" s="27"/>
      <c r="V318" s="27"/>
      <c r="W318" s="27"/>
      <c r="X318" s="27"/>
      <c r="Y318" s="27"/>
      <c r="Z318" s="27"/>
    </row>
    <row r="319" spans="1:26" ht="30" customHeight="1">
      <c r="A319" s="50" t="s">
        <v>1110</v>
      </c>
      <c r="B319" s="51" t="s">
        <v>1111</v>
      </c>
      <c r="C319" s="52"/>
      <c r="D319" s="53">
        <v>34969158.119999997</v>
      </c>
      <c r="E319" s="53"/>
      <c r="F319" s="53">
        <v>29059235.039999999</v>
      </c>
      <c r="G319" s="53"/>
      <c r="H319" s="53">
        <f t="shared" si="120"/>
        <v>29059235.039999999</v>
      </c>
      <c r="I319" s="27"/>
      <c r="J319" s="27"/>
      <c r="K319" s="27"/>
      <c r="L319" s="27"/>
      <c r="M319" s="27"/>
      <c r="N319" s="27"/>
      <c r="O319" s="27"/>
      <c r="P319" s="27"/>
      <c r="Q319" s="27"/>
      <c r="R319" s="27"/>
      <c r="S319" s="27"/>
      <c r="T319" s="27"/>
      <c r="U319" s="27"/>
      <c r="V319" s="27"/>
      <c r="W319" s="27"/>
      <c r="X319" s="27"/>
      <c r="Y319" s="27"/>
      <c r="Z319" s="27"/>
    </row>
    <row r="320" spans="1:26" ht="30" customHeight="1">
      <c r="A320" s="50" t="s">
        <v>1112</v>
      </c>
      <c r="B320" s="51" t="s">
        <v>1113</v>
      </c>
      <c r="C320" s="52"/>
      <c r="D320" s="53">
        <v>737813881.82000005</v>
      </c>
      <c r="E320" s="53"/>
      <c r="F320" s="53">
        <v>564402215.34000003</v>
      </c>
      <c r="G320" s="53"/>
      <c r="H320" s="53">
        <f t="shared" si="120"/>
        <v>564402215.34000003</v>
      </c>
      <c r="I320" s="27"/>
      <c r="J320" s="27"/>
      <c r="K320" s="27"/>
      <c r="L320" s="27"/>
      <c r="M320" s="27"/>
      <c r="N320" s="27"/>
      <c r="O320" s="27"/>
      <c r="P320" s="27"/>
      <c r="Q320" s="27"/>
      <c r="R320" s="27"/>
      <c r="S320" s="27"/>
      <c r="T320" s="27"/>
      <c r="U320" s="27"/>
      <c r="V320" s="27"/>
      <c r="W320" s="27"/>
      <c r="X320" s="27"/>
      <c r="Y320" s="27"/>
      <c r="Z320" s="27"/>
    </row>
    <row r="321" spans="1:26" ht="30" customHeight="1">
      <c r="A321" s="50" t="s">
        <v>1114</v>
      </c>
      <c r="B321" s="51" t="s">
        <v>1115</v>
      </c>
      <c r="C321" s="52"/>
      <c r="D321" s="53">
        <v>2837393.84</v>
      </c>
      <c r="E321" s="53"/>
      <c r="F321" s="53">
        <v>-311382.44</v>
      </c>
      <c r="G321" s="53"/>
      <c r="H321" s="53">
        <f t="shared" si="120"/>
        <v>-311382.44</v>
      </c>
      <c r="I321" s="27"/>
      <c r="J321" s="27"/>
      <c r="K321" s="27"/>
      <c r="L321" s="27"/>
      <c r="M321" s="27"/>
      <c r="N321" s="27"/>
      <c r="O321" s="27"/>
      <c r="P321" s="27"/>
      <c r="Q321" s="27"/>
      <c r="R321" s="27"/>
      <c r="S321" s="27"/>
      <c r="T321" s="27"/>
      <c r="U321" s="27"/>
      <c r="V321" s="27"/>
      <c r="W321" s="27"/>
      <c r="X321" s="27"/>
      <c r="Y321" s="27"/>
      <c r="Z321" s="27"/>
    </row>
    <row r="322" spans="1:26" ht="30" customHeight="1">
      <c r="A322" s="50" t="s">
        <v>1116</v>
      </c>
      <c r="B322" s="51" t="s">
        <v>1117</v>
      </c>
      <c r="C322" s="52"/>
      <c r="D322" s="53">
        <v>1067648061.08</v>
      </c>
      <c r="E322" s="53"/>
      <c r="F322" s="53">
        <v>918691445.99000001</v>
      </c>
      <c r="G322" s="53"/>
      <c r="H322" s="53">
        <f t="shared" si="120"/>
        <v>918691445.99000001</v>
      </c>
      <c r="I322" s="27"/>
      <c r="J322" s="27"/>
      <c r="K322" s="27"/>
      <c r="L322" s="27"/>
      <c r="M322" s="27"/>
      <c r="N322" s="27"/>
      <c r="O322" s="27"/>
      <c r="P322" s="27"/>
      <c r="Q322" s="27"/>
      <c r="R322" s="27"/>
      <c r="S322" s="27"/>
      <c r="T322" s="27"/>
      <c r="U322" s="27"/>
      <c r="V322" s="27"/>
      <c r="W322" s="27"/>
      <c r="X322" s="27"/>
      <c r="Y322" s="27"/>
      <c r="Z322" s="27"/>
    </row>
    <row r="323" spans="1:26" ht="30" customHeight="1">
      <c r="A323" s="44" t="s">
        <v>1118</v>
      </c>
      <c r="B323" s="54" t="s">
        <v>1119</v>
      </c>
      <c r="C323" s="39"/>
      <c r="D323" s="40">
        <f t="shared" ref="D323:F323" si="121">SUM(D324:D325)</f>
        <v>1414801497.22</v>
      </c>
      <c r="E323" s="40">
        <f t="shared" si="121"/>
        <v>0</v>
      </c>
      <c r="F323" s="40">
        <f t="shared" si="121"/>
        <v>1159798121.1299999</v>
      </c>
      <c r="G323" s="40"/>
      <c r="H323" s="40">
        <f>SUM(H324:H325)</f>
        <v>1159798121.1299999</v>
      </c>
      <c r="I323" s="27"/>
      <c r="J323" s="27"/>
      <c r="K323" s="27"/>
      <c r="L323" s="27"/>
      <c r="M323" s="27"/>
      <c r="N323" s="27"/>
      <c r="O323" s="27"/>
      <c r="P323" s="27"/>
      <c r="Q323" s="27"/>
      <c r="R323" s="27"/>
      <c r="S323" s="27"/>
      <c r="T323" s="27"/>
      <c r="U323" s="27"/>
      <c r="V323" s="27"/>
      <c r="W323" s="27"/>
      <c r="X323" s="27"/>
      <c r="Y323" s="27"/>
      <c r="Z323" s="27"/>
    </row>
    <row r="324" spans="1:26" ht="30" customHeight="1">
      <c r="A324" s="50" t="s">
        <v>1120</v>
      </c>
      <c r="B324" s="51" t="s">
        <v>1121</v>
      </c>
      <c r="C324" s="52"/>
      <c r="D324" s="53">
        <v>137006040.65000001</v>
      </c>
      <c r="E324" s="53"/>
      <c r="F324" s="53">
        <v>119396357.84999999</v>
      </c>
      <c r="G324" s="53"/>
      <c r="H324" s="53">
        <f t="shared" ref="H324:H325" si="122">ROUND(F324-E324,2)</f>
        <v>119396357.84999999</v>
      </c>
      <c r="I324" s="27"/>
      <c r="J324" s="27"/>
      <c r="K324" s="27"/>
      <c r="L324" s="27"/>
      <c r="M324" s="27"/>
      <c r="N324" s="27"/>
      <c r="O324" s="27"/>
      <c r="P324" s="27"/>
      <c r="Q324" s="27"/>
      <c r="R324" s="27"/>
      <c r="S324" s="27"/>
      <c r="T324" s="27"/>
      <c r="U324" s="27"/>
      <c r="V324" s="27"/>
      <c r="W324" s="27"/>
      <c r="X324" s="27"/>
      <c r="Y324" s="27"/>
      <c r="Z324" s="27"/>
    </row>
    <row r="325" spans="1:26" ht="30" customHeight="1">
      <c r="A325" s="50" t="s">
        <v>1122</v>
      </c>
      <c r="B325" s="51" t="s">
        <v>1123</v>
      </c>
      <c r="C325" s="52"/>
      <c r="D325" s="53">
        <v>1277795456.5699999</v>
      </c>
      <c r="E325" s="53"/>
      <c r="F325" s="53">
        <v>1040401763.28</v>
      </c>
      <c r="G325" s="53"/>
      <c r="H325" s="53">
        <f t="shared" si="122"/>
        <v>1040401763.28</v>
      </c>
      <c r="I325" s="27"/>
      <c r="J325" s="27"/>
      <c r="K325" s="27"/>
      <c r="L325" s="27"/>
      <c r="M325" s="27"/>
      <c r="N325" s="27"/>
      <c r="O325" s="27"/>
      <c r="P325" s="27"/>
      <c r="Q325" s="27"/>
      <c r="R325" s="27"/>
      <c r="S325" s="27"/>
      <c r="T325" s="27"/>
      <c r="U325" s="27"/>
      <c r="V325" s="27"/>
      <c r="W325" s="27"/>
      <c r="X325" s="27"/>
      <c r="Y325" s="27"/>
      <c r="Z325" s="27"/>
    </row>
    <row r="326" spans="1:26" ht="30" customHeight="1">
      <c r="A326" s="44" t="s">
        <v>1124</v>
      </c>
      <c r="B326" s="60" t="s">
        <v>1125</v>
      </c>
      <c r="C326" s="39"/>
      <c r="D326" s="40">
        <f t="shared" ref="D326:F326" si="123">SUM(D327:D332)</f>
        <v>1420487.71</v>
      </c>
      <c r="E326" s="40">
        <f t="shared" si="123"/>
        <v>0</v>
      </c>
      <c r="F326" s="40">
        <f t="shared" si="123"/>
        <v>22086600.530000001</v>
      </c>
      <c r="G326" s="40"/>
      <c r="H326" s="40">
        <f>SUM(H327:H332)</f>
        <v>22086600.530000001</v>
      </c>
      <c r="I326" s="27"/>
      <c r="J326" s="27"/>
      <c r="K326" s="27"/>
      <c r="L326" s="27"/>
      <c r="M326" s="27"/>
      <c r="N326" s="27"/>
      <c r="O326" s="27"/>
      <c r="P326" s="27"/>
      <c r="Q326" s="27"/>
      <c r="R326" s="27"/>
      <c r="S326" s="27"/>
      <c r="T326" s="27"/>
      <c r="U326" s="27"/>
      <c r="V326" s="27"/>
      <c r="W326" s="27"/>
      <c r="X326" s="27"/>
      <c r="Y326" s="27"/>
      <c r="Z326" s="27"/>
    </row>
    <row r="327" spans="1:26" ht="30" customHeight="1">
      <c r="A327" s="50" t="s">
        <v>1126</v>
      </c>
      <c r="B327" s="51" t="s">
        <v>1127</v>
      </c>
      <c r="C327" s="52"/>
      <c r="D327" s="53">
        <v>987667.06</v>
      </c>
      <c r="E327" s="53"/>
      <c r="F327" s="53">
        <v>3516.51</v>
      </c>
      <c r="G327" s="53"/>
      <c r="H327" s="53">
        <f t="shared" ref="H327:H332" si="124">ROUND(F327-E327,2)</f>
        <v>3516.51</v>
      </c>
      <c r="I327" s="27"/>
      <c r="J327" s="27"/>
      <c r="K327" s="27"/>
      <c r="L327" s="27"/>
      <c r="M327" s="27"/>
      <c r="N327" s="27"/>
      <c r="O327" s="27"/>
      <c r="P327" s="27"/>
      <c r="Q327" s="27"/>
      <c r="R327" s="27"/>
      <c r="S327" s="27"/>
      <c r="T327" s="27"/>
      <c r="U327" s="27"/>
      <c r="V327" s="27"/>
      <c r="W327" s="27"/>
      <c r="X327" s="27"/>
      <c r="Y327" s="27"/>
      <c r="Z327" s="27"/>
    </row>
    <row r="328" spans="1:26" ht="30" customHeight="1">
      <c r="A328" s="50" t="s">
        <v>1128</v>
      </c>
      <c r="B328" s="51" t="s">
        <v>1129</v>
      </c>
      <c r="C328" s="52"/>
      <c r="D328" s="53">
        <v>-4992.33</v>
      </c>
      <c r="E328" s="53"/>
      <c r="F328" s="53">
        <v>5277484.1500000004</v>
      </c>
      <c r="G328" s="53"/>
      <c r="H328" s="53">
        <f t="shared" si="124"/>
        <v>5277484.1500000004</v>
      </c>
      <c r="I328" s="27"/>
      <c r="J328" s="27"/>
      <c r="K328" s="27"/>
      <c r="L328" s="27"/>
      <c r="M328" s="27"/>
      <c r="N328" s="27"/>
      <c r="O328" s="27"/>
      <c r="P328" s="27"/>
      <c r="Q328" s="27"/>
      <c r="R328" s="27"/>
      <c r="S328" s="27"/>
      <c r="T328" s="27"/>
      <c r="U328" s="27"/>
      <c r="V328" s="27"/>
      <c r="W328" s="27"/>
      <c r="X328" s="27"/>
      <c r="Y328" s="27"/>
      <c r="Z328" s="27"/>
    </row>
    <row r="329" spans="1:26" ht="30" customHeight="1">
      <c r="A329" s="50" t="s">
        <v>1130</v>
      </c>
      <c r="B329" s="51" t="s">
        <v>1131</v>
      </c>
      <c r="C329" s="52"/>
      <c r="D329" s="53"/>
      <c r="E329" s="53"/>
      <c r="F329" s="53">
        <v>16443650</v>
      </c>
      <c r="G329" s="53"/>
      <c r="H329" s="53">
        <f t="shared" si="124"/>
        <v>16443650</v>
      </c>
      <c r="I329" s="27"/>
      <c r="J329" s="27"/>
      <c r="K329" s="27"/>
      <c r="L329" s="27"/>
      <c r="M329" s="27"/>
      <c r="N329" s="27"/>
      <c r="O329" s="27"/>
      <c r="P329" s="27"/>
      <c r="Q329" s="27"/>
      <c r="R329" s="27"/>
      <c r="S329" s="27"/>
      <c r="T329" s="27"/>
      <c r="U329" s="27"/>
      <c r="V329" s="27"/>
      <c r="W329" s="27"/>
      <c r="X329" s="27"/>
      <c r="Y329" s="27"/>
      <c r="Z329" s="27"/>
    </row>
    <row r="330" spans="1:26" ht="30" customHeight="1">
      <c r="A330" s="50" t="s">
        <v>1132</v>
      </c>
      <c r="B330" s="51" t="s">
        <v>1133</v>
      </c>
      <c r="C330" s="52"/>
      <c r="D330" s="53"/>
      <c r="E330" s="53"/>
      <c r="F330" s="53"/>
      <c r="G330" s="53"/>
      <c r="H330" s="53">
        <f t="shared" si="124"/>
        <v>0</v>
      </c>
      <c r="I330" s="27"/>
      <c r="J330" s="27"/>
      <c r="K330" s="27"/>
      <c r="L330" s="27"/>
      <c r="M330" s="27"/>
      <c r="N330" s="27"/>
      <c r="O330" s="27"/>
      <c r="P330" s="27"/>
      <c r="Q330" s="27"/>
      <c r="R330" s="27"/>
      <c r="S330" s="27"/>
      <c r="T330" s="27"/>
      <c r="U330" s="27"/>
      <c r="V330" s="27"/>
      <c r="W330" s="27"/>
      <c r="X330" s="27"/>
      <c r="Y330" s="27"/>
      <c r="Z330" s="27"/>
    </row>
    <row r="331" spans="1:26" ht="30" customHeight="1">
      <c r="A331" s="50" t="s">
        <v>1134</v>
      </c>
      <c r="B331" s="51" t="s">
        <v>1135</v>
      </c>
      <c r="C331" s="52"/>
      <c r="D331" s="53"/>
      <c r="E331" s="53"/>
      <c r="F331" s="53">
        <v>361949.87</v>
      </c>
      <c r="G331" s="53"/>
      <c r="H331" s="53">
        <f t="shared" si="124"/>
        <v>361949.87</v>
      </c>
      <c r="I331" s="27"/>
      <c r="J331" s="27"/>
      <c r="K331" s="27"/>
      <c r="L331" s="27"/>
      <c r="M331" s="27"/>
      <c r="N331" s="27"/>
      <c r="O331" s="27"/>
      <c r="P331" s="27"/>
      <c r="Q331" s="27"/>
      <c r="R331" s="27"/>
      <c r="S331" s="27"/>
      <c r="T331" s="27"/>
      <c r="U331" s="27"/>
      <c r="V331" s="27"/>
      <c r="W331" s="27"/>
      <c r="X331" s="27"/>
      <c r="Y331" s="27"/>
      <c r="Z331" s="27"/>
    </row>
    <row r="332" spans="1:26" ht="30" customHeight="1">
      <c r="A332" s="50" t="s">
        <v>1136</v>
      </c>
      <c r="B332" s="51" t="s">
        <v>1137</v>
      </c>
      <c r="C332" s="52"/>
      <c r="D332" s="53">
        <v>437812.98</v>
      </c>
      <c r="E332" s="53"/>
      <c r="F332" s="53"/>
      <c r="G332" s="53"/>
      <c r="H332" s="53">
        <f t="shared" si="124"/>
        <v>0</v>
      </c>
      <c r="I332" s="27"/>
      <c r="J332" s="27"/>
      <c r="K332" s="27"/>
      <c r="L332" s="27"/>
      <c r="M332" s="27"/>
      <c r="N332" s="27"/>
      <c r="O332" s="27"/>
      <c r="P332" s="27"/>
      <c r="Q332" s="27"/>
      <c r="R332" s="27"/>
      <c r="S332" s="27"/>
      <c r="T332" s="27"/>
      <c r="U332" s="27"/>
      <c r="V332" s="27"/>
      <c r="W332" s="27"/>
      <c r="X332" s="27"/>
      <c r="Y332" s="27"/>
      <c r="Z332" s="27"/>
    </row>
    <row r="333" spans="1:26" ht="30" customHeight="1">
      <c r="A333" s="44" t="s">
        <v>1138</v>
      </c>
      <c r="B333" s="54" t="s">
        <v>1139</v>
      </c>
      <c r="C333" s="39"/>
      <c r="D333" s="40">
        <f t="shared" ref="D333:F333" si="125">SUM(D334:D338)</f>
        <v>80035705.719999999</v>
      </c>
      <c r="E333" s="40">
        <f t="shared" si="125"/>
        <v>0</v>
      </c>
      <c r="F333" s="40">
        <f t="shared" si="125"/>
        <v>58927451.079999998</v>
      </c>
      <c r="G333" s="40"/>
      <c r="H333" s="40">
        <f>SUM(H334:H338)</f>
        <v>58927451.079999998</v>
      </c>
      <c r="I333" s="27"/>
      <c r="J333" s="27"/>
      <c r="K333" s="27"/>
      <c r="L333" s="27"/>
      <c r="M333" s="27"/>
      <c r="N333" s="27"/>
      <c r="O333" s="27"/>
      <c r="P333" s="27"/>
      <c r="Q333" s="27"/>
      <c r="R333" s="27"/>
      <c r="S333" s="27"/>
      <c r="T333" s="27"/>
      <c r="U333" s="27"/>
      <c r="V333" s="27"/>
      <c r="W333" s="27"/>
      <c r="X333" s="27"/>
      <c r="Y333" s="27"/>
      <c r="Z333" s="27"/>
    </row>
    <row r="334" spans="1:26" ht="30" customHeight="1">
      <c r="A334" s="50" t="s">
        <v>1140</v>
      </c>
      <c r="B334" s="51" t="s">
        <v>1141</v>
      </c>
      <c r="C334" s="52"/>
      <c r="D334" s="53">
        <v>408.62</v>
      </c>
      <c r="E334" s="53"/>
      <c r="F334" s="53">
        <v>192.53</v>
      </c>
      <c r="G334" s="53"/>
      <c r="H334" s="53">
        <f t="shared" ref="H334:H338" si="126">ROUND(F334-E334,2)</f>
        <v>192.53</v>
      </c>
      <c r="I334" s="27"/>
      <c r="J334" s="27"/>
      <c r="K334" s="27"/>
      <c r="L334" s="27"/>
      <c r="M334" s="27"/>
      <c r="N334" s="27"/>
      <c r="O334" s="27"/>
      <c r="P334" s="27"/>
      <c r="Q334" s="27"/>
      <c r="R334" s="27"/>
      <c r="S334" s="27"/>
      <c r="T334" s="27"/>
      <c r="U334" s="27"/>
      <c r="V334" s="27"/>
      <c r="W334" s="27"/>
      <c r="X334" s="27"/>
      <c r="Y334" s="27"/>
      <c r="Z334" s="27"/>
    </row>
    <row r="335" spans="1:26" ht="30" customHeight="1">
      <c r="A335" s="50" t="s">
        <v>1142</v>
      </c>
      <c r="B335" s="51" t="s">
        <v>1143</v>
      </c>
      <c r="C335" s="52"/>
      <c r="D335" s="53">
        <v>9299997.7200000007</v>
      </c>
      <c r="E335" s="53"/>
      <c r="F335" s="53">
        <v>7208692.0199999996</v>
      </c>
      <c r="G335" s="53"/>
      <c r="H335" s="53">
        <f t="shared" si="126"/>
        <v>7208692.0199999996</v>
      </c>
      <c r="I335" s="27"/>
      <c r="J335" s="27"/>
      <c r="K335" s="27"/>
      <c r="L335" s="27"/>
      <c r="M335" s="27"/>
      <c r="N335" s="27"/>
      <c r="O335" s="27"/>
      <c r="P335" s="27"/>
      <c r="Q335" s="27"/>
      <c r="R335" s="27"/>
      <c r="S335" s="27"/>
      <c r="T335" s="27"/>
      <c r="U335" s="27"/>
      <c r="V335" s="27"/>
      <c r="W335" s="27"/>
      <c r="X335" s="27"/>
      <c r="Y335" s="27"/>
      <c r="Z335" s="27"/>
    </row>
    <row r="336" spans="1:26" ht="30" customHeight="1">
      <c r="A336" s="50" t="s">
        <v>1144</v>
      </c>
      <c r="B336" s="51" t="s">
        <v>1145</v>
      </c>
      <c r="C336" s="52"/>
      <c r="D336" s="53">
        <v>70735299.379999995</v>
      </c>
      <c r="E336" s="53"/>
      <c r="F336" s="53">
        <v>51718566.530000001</v>
      </c>
      <c r="G336" s="53"/>
      <c r="H336" s="53">
        <f t="shared" si="126"/>
        <v>51718566.530000001</v>
      </c>
      <c r="I336" s="27"/>
      <c r="J336" s="27"/>
      <c r="K336" s="27"/>
      <c r="L336" s="27"/>
      <c r="M336" s="27"/>
      <c r="N336" s="27"/>
      <c r="O336" s="27"/>
      <c r="P336" s="27"/>
      <c r="Q336" s="27"/>
      <c r="R336" s="27"/>
      <c r="S336" s="27"/>
      <c r="T336" s="27"/>
      <c r="U336" s="27"/>
      <c r="V336" s="27"/>
      <c r="W336" s="27"/>
      <c r="X336" s="27"/>
      <c r="Y336" s="27"/>
      <c r="Z336" s="27"/>
    </row>
    <row r="337" spans="1:26" ht="30" customHeight="1">
      <c r="A337" s="50" t="s">
        <v>1146</v>
      </c>
      <c r="B337" s="51" t="s">
        <v>1147</v>
      </c>
      <c r="C337" s="52"/>
      <c r="D337" s="53"/>
      <c r="E337" s="53"/>
      <c r="F337" s="53"/>
      <c r="G337" s="53"/>
      <c r="H337" s="53">
        <f t="shared" si="126"/>
        <v>0</v>
      </c>
      <c r="I337" s="27"/>
      <c r="J337" s="27"/>
      <c r="K337" s="27"/>
      <c r="L337" s="27"/>
      <c r="M337" s="27"/>
      <c r="N337" s="27"/>
      <c r="O337" s="27"/>
      <c r="P337" s="27"/>
      <c r="Q337" s="27"/>
      <c r="R337" s="27"/>
      <c r="S337" s="27"/>
      <c r="T337" s="27"/>
      <c r="U337" s="27"/>
      <c r="V337" s="27"/>
      <c r="W337" s="27"/>
      <c r="X337" s="27"/>
      <c r="Y337" s="27"/>
      <c r="Z337" s="27"/>
    </row>
    <row r="338" spans="1:26" ht="30" customHeight="1">
      <c r="A338" s="50" t="s">
        <v>1148</v>
      </c>
      <c r="B338" s="51" t="s">
        <v>1149</v>
      </c>
      <c r="C338" s="52"/>
      <c r="D338" s="53"/>
      <c r="E338" s="53"/>
      <c r="F338" s="53"/>
      <c r="G338" s="53"/>
      <c r="H338" s="53">
        <f t="shared" si="126"/>
        <v>0</v>
      </c>
      <c r="I338" s="27"/>
      <c r="J338" s="27"/>
      <c r="K338" s="27"/>
      <c r="L338" s="27"/>
      <c r="M338" s="27"/>
      <c r="N338" s="27"/>
      <c r="O338" s="27"/>
      <c r="P338" s="27"/>
      <c r="Q338" s="27"/>
      <c r="R338" s="27"/>
      <c r="S338" s="27"/>
      <c r="T338" s="27"/>
      <c r="U338" s="27"/>
      <c r="V338" s="27"/>
      <c r="W338" s="27"/>
      <c r="X338" s="27"/>
      <c r="Y338" s="27"/>
      <c r="Z338" s="27"/>
    </row>
    <row r="339" spans="1:26" ht="30" customHeight="1">
      <c r="A339" s="44" t="s">
        <v>1150</v>
      </c>
      <c r="B339" s="37" t="s">
        <v>1151</v>
      </c>
      <c r="C339" s="39"/>
      <c r="D339" s="40">
        <f t="shared" ref="D339:F339" si="127">SUM(D340:D341)</f>
        <v>0</v>
      </c>
      <c r="E339" s="40">
        <f t="shared" si="127"/>
        <v>0</v>
      </c>
      <c r="F339" s="40">
        <f t="shared" si="127"/>
        <v>0</v>
      </c>
      <c r="G339" s="40"/>
      <c r="H339" s="40">
        <f>SUM(H340:H341)</f>
        <v>0</v>
      </c>
      <c r="I339" s="27"/>
      <c r="J339" s="27"/>
      <c r="K339" s="27"/>
      <c r="L339" s="27"/>
      <c r="M339" s="27"/>
      <c r="N339" s="27"/>
      <c r="O339" s="27"/>
      <c r="P339" s="27"/>
      <c r="Q339" s="27"/>
      <c r="R339" s="27"/>
      <c r="S339" s="27"/>
      <c r="T339" s="27"/>
      <c r="U339" s="27"/>
      <c r="V339" s="27"/>
      <c r="W339" s="27"/>
      <c r="X339" s="27"/>
      <c r="Y339" s="27"/>
      <c r="Z339" s="27"/>
    </row>
    <row r="340" spans="1:26" ht="30" customHeight="1">
      <c r="A340" s="50" t="s">
        <v>1152</v>
      </c>
      <c r="B340" s="51" t="s">
        <v>1153</v>
      </c>
      <c r="C340" s="52"/>
      <c r="D340" s="53"/>
      <c r="E340" s="53"/>
      <c r="F340" s="53"/>
      <c r="G340" s="53"/>
      <c r="H340" s="53">
        <f t="shared" ref="H340:H341" si="128">ROUND(F340-E340,2)</f>
        <v>0</v>
      </c>
      <c r="I340" s="27"/>
      <c r="J340" s="27"/>
      <c r="K340" s="27"/>
      <c r="L340" s="27"/>
      <c r="M340" s="27"/>
      <c r="N340" s="27"/>
      <c r="O340" s="27"/>
      <c r="P340" s="27"/>
      <c r="Q340" s="27"/>
      <c r="R340" s="27"/>
      <c r="S340" s="27"/>
      <c r="T340" s="27"/>
      <c r="U340" s="27"/>
      <c r="V340" s="27"/>
      <c r="W340" s="27"/>
      <c r="X340" s="27"/>
      <c r="Y340" s="27"/>
      <c r="Z340" s="27"/>
    </row>
    <row r="341" spans="1:26" ht="30" customHeight="1">
      <c r="A341" s="50" t="s">
        <v>1154</v>
      </c>
      <c r="B341" s="51" t="s">
        <v>1155</v>
      </c>
      <c r="C341" s="52"/>
      <c r="D341" s="53"/>
      <c r="E341" s="53"/>
      <c r="F341" s="53"/>
      <c r="G341" s="53"/>
      <c r="H341" s="53">
        <f t="shared" si="128"/>
        <v>0</v>
      </c>
      <c r="I341" s="27"/>
      <c r="J341" s="27"/>
      <c r="K341" s="27"/>
      <c r="L341" s="27"/>
      <c r="M341" s="27"/>
      <c r="N341" s="27"/>
      <c r="O341" s="27"/>
      <c r="P341" s="27"/>
      <c r="Q341" s="27"/>
      <c r="R341" s="27"/>
      <c r="S341" s="27"/>
      <c r="T341" s="27"/>
      <c r="U341" s="27"/>
      <c r="V341" s="27"/>
      <c r="W341" s="27"/>
      <c r="X341" s="27"/>
      <c r="Y341" s="27"/>
      <c r="Z341" s="27"/>
    </row>
    <row r="342" spans="1:26" ht="30" customHeight="1">
      <c r="A342" s="32" t="s">
        <v>1156</v>
      </c>
      <c r="B342" s="48" t="s">
        <v>1157</v>
      </c>
      <c r="C342" s="34"/>
      <c r="D342" s="34">
        <f t="shared" ref="D342:F342" si="129">D343+D346+D347+D350+D351+D353+D354</f>
        <v>0</v>
      </c>
      <c r="E342" s="34">
        <f t="shared" si="129"/>
        <v>0</v>
      </c>
      <c r="F342" s="34">
        <f t="shared" si="129"/>
        <v>0</v>
      </c>
      <c r="G342" s="35"/>
      <c r="H342" s="35">
        <f>H343+H346+H347+H350+H351+H353+H354</f>
        <v>0</v>
      </c>
      <c r="I342" s="27"/>
      <c r="J342" s="27"/>
      <c r="K342" s="27"/>
      <c r="L342" s="27"/>
      <c r="M342" s="27"/>
      <c r="N342" s="27"/>
      <c r="O342" s="27"/>
      <c r="P342" s="27"/>
      <c r="Q342" s="27"/>
      <c r="R342" s="27"/>
      <c r="S342" s="27"/>
      <c r="T342" s="27"/>
      <c r="U342" s="27"/>
      <c r="V342" s="27"/>
      <c r="W342" s="27"/>
      <c r="X342" s="27"/>
      <c r="Y342" s="27"/>
      <c r="Z342" s="27"/>
    </row>
    <row r="343" spans="1:26" ht="30" customHeight="1">
      <c r="A343" s="44" t="s">
        <v>1158</v>
      </c>
      <c r="B343" s="45" t="s">
        <v>1159</v>
      </c>
      <c r="C343" s="39"/>
      <c r="D343" s="40">
        <f t="shared" ref="D343:F343" si="130">SUM(D344:D345)</f>
        <v>0</v>
      </c>
      <c r="E343" s="40">
        <f t="shared" si="130"/>
        <v>0</v>
      </c>
      <c r="F343" s="40">
        <f t="shared" si="130"/>
        <v>0</v>
      </c>
      <c r="G343" s="40"/>
      <c r="H343" s="40">
        <f>SUM(H344:H345)</f>
        <v>0</v>
      </c>
      <c r="I343" s="27"/>
      <c r="J343" s="27"/>
      <c r="K343" s="27"/>
      <c r="L343" s="27"/>
      <c r="M343" s="27"/>
      <c r="N343" s="27"/>
      <c r="O343" s="27"/>
      <c r="P343" s="27"/>
      <c r="Q343" s="27"/>
      <c r="R343" s="27"/>
      <c r="S343" s="27"/>
      <c r="T343" s="27"/>
      <c r="U343" s="27"/>
      <c r="V343" s="27"/>
      <c r="W343" s="27"/>
      <c r="X343" s="27"/>
      <c r="Y343" s="27"/>
      <c r="Z343" s="27"/>
    </row>
    <row r="344" spans="1:26" ht="30" customHeight="1">
      <c r="A344" s="50" t="s">
        <v>1160</v>
      </c>
      <c r="B344" s="69" t="s">
        <v>1161</v>
      </c>
      <c r="C344" s="52"/>
      <c r="D344" s="53"/>
      <c r="E344" s="53"/>
      <c r="F344" s="53"/>
      <c r="G344" s="53"/>
      <c r="H344" s="53">
        <f t="shared" ref="H344:H345" si="131">ROUND(F344-E344,2)</f>
        <v>0</v>
      </c>
      <c r="I344" s="27"/>
      <c r="J344" s="27"/>
      <c r="K344" s="27"/>
      <c r="L344" s="27"/>
      <c r="M344" s="27"/>
      <c r="N344" s="27"/>
      <c r="O344" s="27"/>
      <c r="P344" s="27"/>
      <c r="Q344" s="27"/>
      <c r="R344" s="27"/>
      <c r="S344" s="27"/>
      <c r="T344" s="27"/>
      <c r="U344" s="27"/>
      <c r="V344" s="27"/>
      <c r="W344" s="27"/>
      <c r="X344" s="27"/>
      <c r="Y344" s="27"/>
      <c r="Z344" s="27"/>
    </row>
    <row r="345" spans="1:26" ht="30" customHeight="1">
      <c r="A345" s="50" t="s">
        <v>1162</v>
      </c>
      <c r="B345" s="75" t="s">
        <v>1163</v>
      </c>
      <c r="C345" s="52"/>
      <c r="D345" s="53"/>
      <c r="E345" s="53"/>
      <c r="F345" s="53"/>
      <c r="G345" s="53"/>
      <c r="H345" s="53">
        <f t="shared" si="131"/>
        <v>0</v>
      </c>
      <c r="I345" s="27"/>
      <c r="J345" s="27"/>
      <c r="K345" s="27"/>
      <c r="L345" s="27"/>
      <c r="M345" s="27"/>
      <c r="N345" s="27"/>
      <c r="O345" s="27"/>
      <c r="P345" s="27"/>
      <c r="Q345" s="27"/>
      <c r="R345" s="27"/>
      <c r="S345" s="27"/>
      <c r="T345" s="27"/>
      <c r="U345" s="27"/>
      <c r="V345" s="27"/>
      <c r="W345" s="27"/>
      <c r="X345" s="27"/>
      <c r="Y345" s="27"/>
      <c r="Z345" s="27"/>
    </row>
    <row r="346" spans="1:26" ht="30" customHeight="1">
      <c r="A346" s="36" t="s">
        <v>1164</v>
      </c>
      <c r="B346" s="37" t="s">
        <v>1165</v>
      </c>
      <c r="C346" s="61"/>
      <c r="D346" s="62"/>
      <c r="E346" s="62"/>
      <c r="F346" s="62"/>
      <c r="G346" s="40"/>
      <c r="H346" s="40"/>
      <c r="I346" s="27"/>
      <c r="J346" s="27"/>
      <c r="K346" s="27"/>
      <c r="L346" s="27"/>
      <c r="M346" s="27"/>
      <c r="N346" s="27"/>
      <c r="O346" s="27"/>
      <c r="P346" s="27"/>
      <c r="Q346" s="27"/>
      <c r="R346" s="27"/>
      <c r="S346" s="27"/>
      <c r="T346" s="27"/>
      <c r="U346" s="27"/>
      <c r="V346" s="27"/>
      <c r="W346" s="27"/>
      <c r="X346" s="27"/>
      <c r="Y346" s="27"/>
      <c r="Z346" s="27"/>
    </row>
    <row r="347" spans="1:26" ht="30" customHeight="1">
      <c r="A347" s="36" t="s">
        <v>1166</v>
      </c>
      <c r="B347" s="37" t="s">
        <v>1167</v>
      </c>
      <c r="C347" s="42"/>
      <c r="D347" s="40">
        <f t="shared" ref="D347:F347" si="132">SUM(D348:D349)</f>
        <v>0</v>
      </c>
      <c r="E347" s="40">
        <f t="shared" si="132"/>
        <v>0</v>
      </c>
      <c r="F347" s="40">
        <f t="shared" si="132"/>
        <v>0</v>
      </c>
      <c r="G347" s="40"/>
      <c r="H347" s="40">
        <f>SUM(H348:H349)</f>
        <v>0</v>
      </c>
      <c r="I347" s="27"/>
      <c r="J347" s="27"/>
      <c r="K347" s="27"/>
      <c r="L347" s="27"/>
      <c r="M347" s="27"/>
      <c r="N347" s="27"/>
      <c r="O347" s="27"/>
      <c r="P347" s="27"/>
      <c r="Q347" s="27"/>
      <c r="R347" s="27"/>
      <c r="S347" s="27"/>
      <c r="T347" s="27"/>
      <c r="U347" s="27"/>
      <c r="V347" s="27"/>
      <c r="W347" s="27"/>
      <c r="X347" s="27"/>
      <c r="Y347" s="27"/>
      <c r="Z347" s="27"/>
    </row>
    <row r="348" spans="1:26" ht="30" customHeight="1">
      <c r="A348" s="50" t="s">
        <v>1168</v>
      </c>
      <c r="B348" s="56" t="s">
        <v>1169</v>
      </c>
      <c r="C348" s="52"/>
      <c r="D348" s="53"/>
      <c r="E348" s="53"/>
      <c r="F348" s="53"/>
      <c r="G348" s="53"/>
      <c r="H348" s="53">
        <f t="shared" ref="H348:H349" si="133">ROUND(F348-E348,2)</f>
        <v>0</v>
      </c>
      <c r="I348" s="27"/>
      <c r="J348" s="27"/>
      <c r="K348" s="27"/>
      <c r="L348" s="27"/>
      <c r="M348" s="27"/>
      <c r="N348" s="27"/>
      <c r="O348" s="27"/>
      <c r="P348" s="27"/>
      <c r="Q348" s="27"/>
      <c r="R348" s="27"/>
      <c r="S348" s="27"/>
      <c r="T348" s="27"/>
      <c r="U348" s="27"/>
      <c r="V348" s="27"/>
      <c r="W348" s="27"/>
      <c r="X348" s="27"/>
      <c r="Y348" s="27"/>
      <c r="Z348" s="27"/>
    </row>
    <row r="349" spans="1:26" ht="30" customHeight="1">
      <c r="A349" s="50" t="s">
        <v>1170</v>
      </c>
      <c r="B349" s="55" t="s">
        <v>1171</v>
      </c>
      <c r="C349" s="52"/>
      <c r="D349" s="53"/>
      <c r="E349" s="53"/>
      <c r="F349" s="53"/>
      <c r="G349" s="53"/>
      <c r="H349" s="53">
        <f t="shared" si="133"/>
        <v>0</v>
      </c>
      <c r="I349" s="27"/>
      <c r="J349" s="27"/>
      <c r="K349" s="27"/>
      <c r="L349" s="27"/>
      <c r="M349" s="27"/>
      <c r="N349" s="27"/>
      <c r="O349" s="27"/>
      <c r="P349" s="27"/>
      <c r="Q349" s="27"/>
      <c r="R349" s="27"/>
      <c r="S349" s="27"/>
      <c r="T349" s="27"/>
      <c r="U349" s="27"/>
      <c r="V349" s="27"/>
      <c r="W349" s="27"/>
      <c r="X349" s="27"/>
      <c r="Y349" s="27"/>
      <c r="Z349" s="27"/>
    </row>
    <row r="350" spans="1:26" ht="30" customHeight="1">
      <c r="A350" s="36" t="s">
        <v>1172</v>
      </c>
      <c r="B350" s="37" t="s">
        <v>1173</v>
      </c>
      <c r="C350" s="61"/>
      <c r="D350" s="62"/>
      <c r="E350" s="62"/>
      <c r="F350" s="62"/>
      <c r="G350" s="40"/>
      <c r="H350" s="40"/>
      <c r="I350" s="27"/>
      <c r="J350" s="27"/>
      <c r="K350" s="27"/>
      <c r="L350" s="27"/>
      <c r="M350" s="27"/>
      <c r="N350" s="27"/>
      <c r="O350" s="27"/>
      <c r="P350" s="27"/>
      <c r="Q350" s="27"/>
      <c r="R350" s="27"/>
      <c r="S350" s="27"/>
      <c r="T350" s="27"/>
      <c r="U350" s="27"/>
      <c r="V350" s="27"/>
      <c r="W350" s="27"/>
      <c r="X350" s="27"/>
      <c r="Y350" s="27"/>
      <c r="Z350" s="27"/>
    </row>
    <row r="351" spans="1:26" ht="30" customHeight="1">
      <c r="A351" s="36" t="s">
        <v>1174</v>
      </c>
      <c r="B351" s="37" t="s">
        <v>1175</v>
      </c>
      <c r="C351" s="42"/>
      <c r="D351" s="40">
        <f t="shared" ref="D351:F351" si="134">SUM(D352)</f>
        <v>0</v>
      </c>
      <c r="E351" s="40">
        <f t="shared" si="134"/>
        <v>0</v>
      </c>
      <c r="F351" s="40">
        <f t="shared" si="134"/>
        <v>0</v>
      </c>
      <c r="G351" s="40"/>
      <c r="H351" s="40">
        <f>SUM(H352)</f>
        <v>0</v>
      </c>
      <c r="I351" s="27"/>
      <c r="J351" s="27"/>
      <c r="K351" s="27"/>
      <c r="L351" s="27"/>
      <c r="M351" s="27"/>
      <c r="N351" s="27"/>
      <c r="O351" s="27"/>
      <c r="P351" s="27"/>
      <c r="Q351" s="27"/>
      <c r="R351" s="27"/>
      <c r="S351" s="27"/>
      <c r="T351" s="27"/>
      <c r="U351" s="27"/>
      <c r="V351" s="27"/>
      <c r="W351" s="27"/>
      <c r="X351" s="27"/>
      <c r="Y351" s="27"/>
      <c r="Z351" s="27"/>
    </row>
    <row r="352" spans="1:26" ht="30" customHeight="1">
      <c r="A352" s="50" t="s">
        <v>1176</v>
      </c>
      <c r="B352" s="71" t="s">
        <v>1175</v>
      </c>
      <c r="C352" s="52"/>
      <c r="D352" s="53"/>
      <c r="E352" s="53"/>
      <c r="F352" s="53"/>
      <c r="G352" s="53"/>
      <c r="H352" s="53">
        <f>ROUND(F352-E352,2)</f>
        <v>0</v>
      </c>
      <c r="I352" s="27"/>
      <c r="J352" s="27"/>
      <c r="K352" s="27"/>
      <c r="L352" s="27"/>
      <c r="M352" s="27"/>
      <c r="N352" s="27"/>
      <c r="O352" s="27"/>
      <c r="P352" s="27"/>
      <c r="Q352" s="27"/>
      <c r="R352" s="27"/>
      <c r="S352" s="27"/>
      <c r="T352" s="27"/>
      <c r="U352" s="27"/>
      <c r="V352" s="27"/>
      <c r="W352" s="27"/>
      <c r="X352" s="27"/>
      <c r="Y352" s="27"/>
      <c r="Z352" s="27"/>
    </row>
    <row r="353" spans="1:26" ht="30" customHeight="1">
      <c r="A353" s="36" t="s">
        <v>1177</v>
      </c>
      <c r="B353" s="54" t="s">
        <v>1178</v>
      </c>
      <c r="C353" s="76"/>
      <c r="D353" s="77"/>
      <c r="E353" s="77"/>
      <c r="F353" s="77"/>
      <c r="G353" s="40"/>
      <c r="H353" s="40"/>
      <c r="I353" s="27"/>
      <c r="J353" s="27"/>
      <c r="K353" s="27"/>
      <c r="L353" s="27"/>
      <c r="M353" s="27"/>
      <c r="N353" s="27"/>
      <c r="O353" s="27"/>
      <c r="P353" s="27"/>
      <c r="Q353" s="27"/>
      <c r="R353" s="27"/>
      <c r="S353" s="27"/>
      <c r="T353" s="27"/>
      <c r="U353" s="27"/>
      <c r="V353" s="27"/>
      <c r="W353" s="27"/>
      <c r="X353" s="27"/>
      <c r="Y353" s="27"/>
      <c r="Z353" s="27"/>
    </row>
    <row r="354" spans="1:26" ht="30" customHeight="1">
      <c r="A354" s="36" t="s">
        <v>1179</v>
      </c>
      <c r="B354" s="59" t="s">
        <v>1180</v>
      </c>
      <c r="C354" s="42"/>
      <c r="D354" s="40">
        <f t="shared" ref="D354:F354" si="135">SUM(D355)</f>
        <v>0</v>
      </c>
      <c r="E354" s="40">
        <f t="shared" si="135"/>
        <v>0</v>
      </c>
      <c r="F354" s="40">
        <f t="shared" si="135"/>
        <v>0</v>
      </c>
      <c r="G354" s="40"/>
      <c r="H354" s="40">
        <f>SUM(H355)</f>
        <v>0</v>
      </c>
      <c r="I354" s="27"/>
      <c r="J354" s="27"/>
      <c r="K354" s="27"/>
      <c r="L354" s="27"/>
      <c r="M354" s="27"/>
      <c r="N354" s="27"/>
      <c r="O354" s="27"/>
      <c r="P354" s="27"/>
      <c r="Q354" s="27"/>
      <c r="R354" s="27"/>
      <c r="S354" s="27"/>
      <c r="T354" s="27"/>
      <c r="U354" s="27"/>
      <c r="V354" s="27"/>
      <c r="W354" s="27"/>
      <c r="X354" s="27"/>
      <c r="Y354" s="27"/>
      <c r="Z354" s="27"/>
    </row>
    <row r="355" spans="1:26" ht="30" customHeight="1">
      <c r="A355" s="50" t="s">
        <v>1181</v>
      </c>
      <c r="B355" s="56" t="s">
        <v>1180</v>
      </c>
      <c r="C355" s="52"/>
      <c r="D355" s="53"/>
      <c r="E355" s="53"/>
      <c r="F355" s="53"/>
      <c r="G355" s="53"/>
      <c r="H355" s="53">
        <f>ROUND(F355-E355,2)</f>
        <v>0</v>
      </c>
      <c r="I355" s="27"/>
      <c r="J355" s="27"/>
      <c r="K355" s="27"/>
      <c r="L355" s="27"/>
      <c r="M355" s="27"/>
      <c r="N355" s="27"/>
      <c r="O355" s="27"/>
      <c r="P355" s="27"/>
      <c r="Q355" s="27"/>
      <c r="R355" s="27"/>
      <c r="S355" s="27"/>
      <c r="T355" s="27"/>
      <c r="U355" s="27"/>
      <c r="V355" s="27"/>
      <c r="W355" s="27"/>
      <c r="X355" s="27"/>
      <c r="Y355" s="27"/>
      <c r="Z355" s="27"/>
    </row>
    <row r="356" spans="1:26" ht="30" customHeight="1">
      <c r="A356" s="28" t="s">
        <v>1182</v>
      </c>
      <c r="B356" s="29" t="s">
        <v>1183</v>
      </c>
      <c r="C356" s="30"/>
      <c r="D356" s="30">
        <f t="shared" ref="D356:F356" si="136">D357+D362+D368+D371+D374</f>
        <v>0</v>
      </c>
      <c r="E356" s="30">
        <f t="shared" si="136"/>
        <v>0</v>
      </c>
      <c r="F356" s="30">
        <f t="shared" si="136"/>
        <v>0</v>
      </c>
      <c r="G356" s="31"/>
      <c r="H356" s="31">
        <f>H357+H362+H368+H371+H374</f>
        <v>0</v>
      </c>
      <c r="I356" s="27"/>
      <c r="J356" s="27"/>
      <c r="K356" s="27"/>
      <c r="L356" s="27"/>
      <c r="M356" s="27"/>
      <c r="N356" s="27"/>
      <c r="O356" s="27"/>
      <c r="P356" s="27"/>
      <c r="Q356" s="27"/>
      <c r="R356" s="27"/>
      <c r="S356" s="27"/>
      <c r="T356" s="27"/>
      <c r="U356" s="27"/>
      <c r="V356" s="27"/>
      <c r="W356" s="27"/>
      <c r="X356" s="27"/>
      <c r="Y356" s="27"/>
      <c r="Z356" s="27"/>
    </row>
    <row r="357" spans="1:26" ht="30" customHeight="1">
      <c r="A357" s="32" t="s">
        <v>1184</v>
      </c>
      <c r="B357" s="33" t="s">
        <v>1185</v>
      </c>
      <c r="C357" s="34"/>
      <c r="D357" s="34">
        <f t="shared" ref="D357:F357" si="137">D358+D360</f>
        <v>0</v>
      </c>
      <c r="E357" s="34">
        <f t="shared" si="137"/>
        <v>0</v>
      </c>
      <c r="F357" s="34">
        <f t="shared" si="137"/>
        <v>0</v>
      </c>
      <c r="G357" s="35"/>
      <c r="H357" s="34">
        <f>H358+H360</f>
        <v>0</v>
      </c>
      <c r="I357" s="27"/>
      <c r="J357" s="27"/>
      <c r="K357" s="27"/>
      <c r="L357" s="27"/>
      <c r="M357" s="27"/>
      <c r="N357" s="27"/>
      <c r="O357" s="27"/>
      <c r="P357" s="27"/>
      <c r="Q357" s="27"/>
      <c r="R357" s="27"/>
      <c r="S357" s="27"/>
      <c r="T357" s="27"/>
      <c r="U357" s="27"/>
      <c r="V357" s="27"/>
      <c r="W357" s="27"/>
      <c r="X357" s="27"/>
      <c r="Y357" s="27"/>
      <c r="Z357" s="27"/>
    </row>
    <row r="358" spans="1:26" ht="30" customHeight="1">
      <c r="A358" s="36" t="s">
        <v>1186</v>
      </c>
      <c r="B358" s="59" t="s">
        <v>1187</v>
      </c>
      <c r="C358" s="42"/>
      <c r="D358" s="42">
        <f t="shared" ref="D358:F358" si="138">SUM(D359)</f>
        <v>0</v>
      </c>
      <c r="E358" s="42">
        <f t="shared" si="138"/>
        <v>0</v>
      </c>
      <c r="F358" s="42">
        <f t="shared" si="138"/>
        <v>0</v>
      </c>
      <c r="G358" s="40"/>
      <c r="H358" s="42">
        <f>SUM(H359)</f>
        <v>0</v>
      </c>
      <c r="I358" s="27"/>
      <c r="J358" s="27"/>
      <c r="K358" s="27"/>
      <c r="L358" s="27"/>
      <c r="M358" s="27"/>
      <c r="N358" s="27"/>
      <c r="O358" s="27"/>
      <c r="P358" s="27"/>
      <c r="Q358" s="27"/>
      <c r="R358" s="27"/>
      <c r="S358" s="27"/>
      <c r="T358" s="27"/>
      <c r="U358" s="27"/>
      <c r="V358" s="27"/>
      <c r="W358" s="27"/>
      <c r="X358" s="27"/>
      <c r="Y358" s="27"/>
      <c r="Z358" s="27"/>
    </row>
    <row r="359" spans="1:26" ht="30" customHeight="1">
      <c r="A359" s="57" t="s">
        <v>1188</v>
      </c>
      <c r="B359" s="68" t="s">
        <v>1187</v>
      </c>
      <c r="C359" s="58"/>
      <c r="D359" s="53"/>
      <c r="E359" s="53"/>
      <c r="F359" s="53"/>
      <c r="G359" s="53"/>
      <c r="H359" s="53">
        <f>ROUND(F359-E359,2)</f>
        <v>0</v>
      </c>
      <c r="I359" s="27"/>
      <c r="J359" s="27"/>
      <c r="K359" s="27"/>
      <c r="L359" s="27"/>
      <c r="M359" s="27"/>
      <c r="N359" s="27"/>
      <c r="O359" s="27"/>
      <c r="P359" s="27"/>
      <c r="Q359" s="27"/>
      <c r="R359" s="27"/>
      <c r="S359" s="27"/>
      <c r="T359" s="27"/>
      <c r="U359" s="27"/>
      <c r="V359" s="27"/>
      <c r="W359" s="27"/>
      <c r="X359" s="27"/>
      <c r="Y359" s="27"/>
      <c r="Z359" s="27"/>
    </row>
    <row r="360" spans="1:26" ht="30" customHeight="1">
      <c r="A360" s="36" t="s">
        <v>1189</v>
      </c>
      <c r="B360" s="37" t="s">
        <v>1190</v>
      </c>
      <c r="C360" s="42"/>
      <c r="D360" s="42">
        <f t="shared" ref="D360:F360" si="139">SUM(D361)</f>
        <v>0</v>
      </c>
      <c r="E360" s="42">
        <f t="shared" si="139"/>
        <v>0</v>
      </c>
      <c r="F360" s="42">
        <f t="shared" si="139"/>
        <v>0</v>
      </c>
      <c r="G360" s="40"/>
      <c r="H360" s="42">
        <f>SUM(H361)</f>
        <v>0</v>
      </c>
      <c r="I360" s="27"/>
      <c r="J360" s="27"/>
      <c r="K360" s="27"/>
      <c r="L360" s="27"/>
      <c r="M360" s="27"/>
      <c r="N360" s="27"/>
      <c r="O360" s="27"/>
      <c r="P360" s="27"/>
      <c r="Q360" s="27"/>
      <c r="R360" s="27"/>
      <c r="S360" s="27"/>
      <c r="T360" s="27"/>
      <c r="U360" s="27"/>
      <c r="V360" s="27"/>
      <c r="W360" s="27"/>
      <c r="X360" s="27"/>
      <c r="Y360" s="27"/>
      <c r="Z360" s="27"/>
    </row>
    <row r="361" spans="1:26" ht="30" customHeight="1">
      <c r="A361" s="57" t="s">
        <v>1191</v>
      </c>
      <c r="B361" s="51" t="s">
        <v>1190</v>
      </c>
      <c r="C361" s="58"/>
      <c r="D361" s="53"/>
      <c r="E361" s="53"/>
      <c r="F361" s="53"/>
      <c r="G361" s="53"/>
      <c r="H361" s="53">
        <f>ROUND(F361-E361,2)</f>
        <v>0</v>
      </c>
      <c r="I361" s="27"/>
      <c r="J361" s="27"/>
      <c r="K361" s="27"/>
      <c r="L361" s="27"/>
      <c r="M361" s="27"/>
      <c r="N361" s="27"/>
      <c r="O361" s="27"/>
      <c r="P361" s="27"/>
      <c r="Q361" s="27"/>
      <c r="R361" s="27"/>
      <c r="S361" s="27"/>
      <c r="T361" s="27"/>
      <c r="U361" s="27"/>
      <c r="V361" s="27"/>
      <c r="W361" s="27"/>
      <c r="X361" s="27"/>
      <c r="Y361" s="27"/>
      <c r="Z361" s="27"/>
    </row>
    <row r="362" spans="1:26" ht="30" customHeight="1">
      <c r="A362" s="32" t="s">
        <v>1192</v>
      </c>
      <c r="B362" s="41" t="s">
        <v>1193</v>
      </c>
      <c r="C362" s="34"/>
      <c r="D362" s="34">
        <f t="shared" ref="D362:F362" si="140">SUM(D363:D367)</f>
        <v>0</v>
      </c>
      <c r="E362" s="34">
        <f t="shared" si="140"/>
        <v>0</v>
      </c>
      <c r="F362" s="34">
        <f t="shared" si="140"/>
        <v>0</v>
      </c>
      <c r="G362" s="35"/>
      <c r="H362" s="34">
        <f>SUM(H363:H367)</f>
        <v>0</v>
      </c>
      <c r="I362" s="27"/>
      <c r="J362" s="27"/>
      <c r="K362" s="27"/>
      <c r="L362" s="27"/>
      <c r="M362" s="27"/>
      <c r="N362" s="27"/>
      <c r="O362" s="27"/>
      <c r="P362" s="27"/>
      <c r="Q362" s="27"/>
      <c r="R362" s="27"/>
      <c r="S362" s="27"/>
      <c r="T362" s="27"/>
      <c r="U362" s="27"/>
      <c r="V362" s="27"/>
      <c r="W362" s="27"/>
      <c r="X362" s="27"/>
      <c r="Y362" s="27"/>
      <c r="Z362" s="27"/>
    </row>
    <row r="363" spans="1:26" ht="30" customHeight="1">
      <c r="A363" s="36" t="s">
        <v>1194</v>
      </c>
      <c r="B363" s="37" t="s">
        <v>1195</v>
      </c>
      <c r="C363" s="42"/>
      <c r="D363" s="39"/>
      <c r="E363" s="39"/>
      <c r="F363" s="39"/>
      <c r="G363" s="40"/>
      <c r="H363" s="40"/>
      <c r="I363" s="27"/>
      <c r="J363" s="27"/>
      <c r="K363" s="27"/>
      <c r="L363" s="27"/>
      <c r="M363" s="27"/>
      <c r="N363" s="27"/>
      <c r="O363" s="27"/>
      <c r="P363" s="27"/>
      <c r="Q363" s="27"/>
      <c r="R363" s="27"/>
      <c r="S363" s="27"/>
      <c r="T363" s="27"/>
      <c r="U363" s="27"/>
      <c r="V363" s="27"/>
      <c r="W363" s="27"/>
      <c r="X363" s="27"/>
      <c r="Y363" s="27"/>
      <c r="Z363" s="27"/>
    </row>
    <row r="364" spans="1:26" ht="30" customHeight="1">
      <c r="A364" s="36" t="s">
        <v>1196</v>
      </c>
      <c r="B364" s="37" t="s">
        <v>1197</v>
      </c>
      <c r="C364" s="42"/>
      <c r="D364" s="39"/>
      <c r="E364" s="39"/>
      <c r="F364" s="39"/>
      <c r="G364" s="40"/>
      <c r="H364" s="40"/>
      <c r="I364" s="27"/>
      <c r="J364" s="27"/>
      <c r="K364" s="27"/>
      <c r="L364" s="27"/>
      <c r="M364" s="27"/>
      <c r="N364" s="27"/>
      <c r="O364" s="27"/>
      <c r="P364" s="27"/>
      <c r="Q364" s="27"/>
      <c r="R364" s="27"/>
      <c r="S364" s="27"/>
      <c r="T364" s="27"/>
      <c r="U364" s="27"/>
      <c r="V364" s="27"/>
      <c r="W364" s="27"/>
      <c r="X364" s="27"/>
      <c r="Y364" s="27"/>
      <c r="Z364" s="27"/>
    </row>
    <row r="365" spans="1:26" ht="30" customHeight="1">
      <c r="A365" s="36" t="s">
        <v>1198</v>
      </c>
      <c r="B365" s="37" t="s">
        <v>1199</v>
      </c>
      <c r="C365" s="42"/>
      <c r="D365" s="39"/>
      <c r="E365" s="39"/>
      <c r="F365" s="39"/>
      <c r="G365" s="40"/>
      <c r="H365" s="40"/>
      <c r="I365" s="27"/>
      <c r="J365" s="27"/>
      <c r="K365" s="27"/>
      <c r="L365" s="27"/>
      <c r="M365" s="27"/>
      <c r="N365" s="27"/>
      <c r="O365" s="27"/>
      <c r="P365" s="27"/>
      <c r="Q365" s="27"/>
      <c r="R365" s="27"/>
      <c r="S365" s="27"/>
      <c r="T365" s="27"/>
      <c r="U365" s="27"/>
      <c r="V365" s="27"/>
      <c r="W365" s="27"/>
      <c r="X365" s="27"/>
      <c r="Y365" s="27"/>
      <c r="Z365" s="27"/>
    </row>
    <row r="366" spans="1:26" ht="30" customHeight="1">
      <c r="A366" s="36" t="s">
        <v>1200</v>
      </c>
      <c r="B366" s="37" t="s">
        <v>1201</v>
      </c>
      <c r="C366" s="78"/>
      <c r="D366" s="79"/>
      <c r="E366" s="79"/>
      <c r="F366" s="79"/>
      <c r="G366" s="40"/>
      <c r="H366" s="40"/>
      <c r="I366" s="27"/>
      <c r="J366" s="27"/>
      <c r="K366" s="27"/>
      <c r="L366" s="27"/>
      <c r="M366" s="27"/>
      <c r="N366" s="27"/>
      <c r="O366" s="27"/>
      <c r="P366" s="27"/>
      <c r="Q366" s="27"/>
      <c r="R366" s="27"/>
      <c r="S366" s="27"/>
      <c r="T366" s="27"/>
      <c r="U366" s="27"/>
      <c r="V366" s="27"/>
      <c r="W366" s="27"/>
      <c r="X366" s="27"/>
      <c r="Y366" s="27"/>
      <c r="Z366" s="27"/>
    </row>
    <row r="367" spans="1:26" ht="30" customHeight="1">
      <c r="A367" s="36" t="s">
        <v>1202</v>
      </c>
      <c r="B367" s="37" t="s">
        <v>1203</v>
      </c>
      <c r="C367" s="78"/>
      <c r="D367" s="79"/>
      <c r="E367" s="79"/>
      <c r="F367" s="79"/>
      <c r="G367" s="40"/>
      <c r="H367" s="40"/>
      <c r="I367" s="27"/>
      <c r="J367" s="27"/>
      <c r="K367" s="27"/>
      <c r="L367" s="27"/>
      <c r="M367" s="27"/>
      <c r="N367" s="27"/>
      <c r="O367" s="27"/>
      <c r="P367" s="27"/>
      <c r="Q367" s="27"/>
      <c r="R367" s="27"/>
      <c r="S367" s="27"/>
      <c r="T367" s="27"/>
      <c r="U367" s="27"/>
      <c r="V367" s="27"/>
      <c r="W367" s="27"/>
      <c r="X367" s="27"/>
      <c r="Y367" s="27"/>
      <c r="Z367" s="27"/>
    </row>
    <row r="368" spans="1:26" ht="30" customHeight="1">
      <c r="A368" s="32" t="s">
        <v>1204</v>
      </c>
      <c r="B368" s="41" t="s">
        <v>1205</v>
      </c>
      <c r="C368" s="34"/>
      <c r="D368" s="34">
        <f t="shared" ref="D368:F368" si="141">SUM(D369)</f>
        <v>0</v>
      </c>
      <c r="E368" s="34">
        <f t="shared" si="141"/>
        <v>0</v>
      </c>
      <c r="F368" s="34">
        <f t="shared" si="141"/>
        <v>0</v>
      </c>
      <c r="G368" s="35"/>
      <c r="H368" s="35">
        <f t="shared" ref="H368:H369" si="142">SUM(H369)</f>
        <v>0</v>
      </c>
      <c r="I368" s="27"/>
      <c r="J368" s="27"/>
      <c r="K368" s="27"/>
      <c r="L368" s="27"/>
      <c r="M368" s="27"/>
      <c r="N368" s="27"/>
      <c r="O368" s="27"/>
      <c r="P368" s="27"/>
      <c r="Q368" s="27"/>
      <c r="R368" s="27"/>
      <c r="S368" s="27"/>
      <c r="T368" s="27"/>
      <c r="U368" s="27"/>
      <c r="V368" s="27"/>
      <c r="W368" s="27"/>
      <c r="X368" s="27"/>
      <c r="Y368" s="27"/>
      <c r="Z368" s="27"/>
    </row>
    <row r="369" spans="1:26" ht="30" customHeight="1">
      <c r="A369" s="36" t="s">
        <v>1206</v>
      </c>
      <c r="B369" s="59" t="s">
        <v>1207</v>
      </c>
      <c r="C369" s="42"/>
      <c r="D369" s="42">
        <f t="shared" ref="D369:F369" si="143">SUM(D370)</f>
        <v>0</v>
      </c>
      <c r="E369" s="42">
        <f t="shared" si="143"/>
        <v>0</v>
      </c>
      <c r="F369" s="42">
        <f t="shared" si="143"/>
        <v>0</v>
      </c>
      <c r="G369" s="40"/>
      <c r="H369" s="42">
        <f t="shared" si="142"/>
        <v>0</v>
      </c>
      <c r="I369" s="27"/>
      <c r="J369" s="27"/>
      <c r="K369" s="27"/>
      <c r="L369" s="27"/>
      <c r="M369" s="27"/>
      <c r="N369" s="27"/>
      <c r="O369" s="27"/>
      <c r="P369" s="27"/>
      <c r="Q369" s="27"/>
      <c r="R369" s="27"/>
      <c r="S369" s="27"/>
      <c r="T369" s="27"/>
      <c r="U369" s="27"/>
      <c r="V369" s="27"/>
      <c r="W369" s="27"/>
      <c r="X369" s="27"/>
      <c r="Y369" s="27"/>
      <c r="Z369" s="27"/>
    </row>
    <row r="370" spans="1:26" ht="30" customHeight="1">
      <c r="A370" s="57" t="s">
        <v>1208</v>
      </c>
      <c r="B370" s="68" t="s">
        <v>1207</v>
      </c>
      <c r="C370" s="58"/>
      <c r="D370" s="53"/>
      <c r="E370" s="53"/>
      <c r="F370" s="53"/>
      <c r="G370" s="53"/>
      <c r="H370" s="53">
        <f>ROUND(F370-E370,2)</f>
        <v>0</v>
      </c>
      <c r="I370" s="27"/>
      <c r="J370" s="27"/>
      <c r="K370" s="27"/>
      <c r="L370" s="27"/>
      <c r="M370" s="27"/>
      <c r="N370" s="27"/>
      <c r="O370" s="27"/>
      <c r="P370" s="27"/>
      <c r="Q370" s="27"/>
      <c r="R370" s="27"/>
      <c r="S370" s="27"/>
      <c r="T370" s="27"/>
      <c r="U370" s="27"/>
      <c r="V370" s="27"/>
      <c r="W370" s="27"/>
      <c r="X370" s="27"/>
      <c r="Y370" s="27"/>
      <c r="Z370" s="27"/>
    </row>
    <row r="371" spans="1:26" ht="30" customHeight="1">
      <c r="A371" s="73" t="s">
        <v>1209</v>
      </c>
      <c r="B371" s="48" t="s">
        <v>1210</v>
      </c>
      <c r="C371" s="80"/>
      <c r="D371" s="35">
        <f t="shared" ref="D371:F371" si="144">SUM(D372)</f>
        <v>0</v>
      </c>
      <c r="E371" s="35">
        <f t="shared" si="144"/>
        <v>0</v>
      </c>
      <c r="F371" s="35">
        <f t="shared" si="144"/>
        <v>0</v>
      </c>
      <c r="G371" s="35"/>
      <c r="H371" s="35">
        <f t="shared" ref="H371:H372" si="145">SUM(H372)</f>
        <v>0</v>
      </c>
      <c r="I371" s="27"/>
      <c r="J371" s="27"/>
      <c r="K371" s="27"/>
      <c r="L371" s="27"/>
      <c r="M371" s="27"/>
      <c r="N371" s="27"/>
      <c r="O371" s="27"/>
      <c r="P371" s="27"/>
      <c r="Q371" s="27"/>
      <c r="R371" s="27"/>
      <c r="S371" s="27"/>
      <c r="T371" s="27"/>
      <c r="U371" s="27"/>
      <c r="V371" s="27"/>
      <c r="W371" s="27"/>
      <c r="X371" s="27"/>
      <c r="Y371" s="27"/>
      <c r="Z371" s="27"/>
    </row>
    <row r="372" spans="1:26" ht="30" customHeight="1">
      <c r="A372" s="36" t="s">
        <v>1211</v>
      </c>
      <c r="B372" s="37" t="s">
        <v>1212</v>
      </c>
      <c r="C372" s="42"/>
      <c r="D372" s="42">
        <f t="shared" ref="D372:F372" si="146">SUM(D373)</f>
        <v>0</v>
      </c>
      <c r="E372" s="42">
        <f t="shared" si="146"/>
        <v>0</v>
      </c>
      <c r="F372" s="42">
        <f t="shared" si="146"/>
        <v>0</v>
      </c>
      <c r="G372" s="40"/>
      <c r="H372" s="42">
        <f t="shared" si="145"/>
        <v>0</v>
      </c>
      <c r="I372" s="27"/>
      <c r="J372" s="27"/>
      <c r="K372" s="27"/>
      <c r="L372" s="27"/>
      <c r="M372" s="27"/>
      <c r="N372" s="27"/>
      <c r="O372" s="27"/>
      <c r="P372" s="27"/>
      <c r="Q372" s="27"/>
      <c r="R372" s="27"/>
      <c r="S372" s="27"/>
      <c r="T372" s="27"/>
      <c r="U372" s="27"/>
      <c r="V372" s="27"/>
      <c r="W372" s="27"/>
      <c r="X372" s="27"/>
      <c r="Y372" s="27"/>
      <c r="Z372" s="27"/>
    </row>
    <row r="373" spans="1:26" ht="30" customHeight="1">
      <c r="A373" s="57" t="s">
        <v>1213</v>
      </c>
      <c r="B373" s="51" t="s">
        <v>1212</v>
      </c>
      <c r="C373" s="58"/>
      <c r="D373" s="53"/>
      <c r="E373" s="53"/>
      <c r="F373" s="53"/>
      <c r="G373" s="53"/>
      <c r="H373" s="53">
        <f>ROUND(F373-E373,2)</f>
        <v>0</v>
      </c>
      <c r="I373" s="27"/>
      <c r="J373" s="27"/>
      <c r="K373" s="27"/>
      <c r="L373" s="27"/>
      <c r="M373" s="27"/>
      <c r="N373" s="27"/>
      <c r="O373" s="27"/>
      <c r="P373" s="27"/>
      <c r="Q373" s="27"/>
      <c r="R373" s="27"/>
      <c r="S373" s="27"/>
      <c r="T373" s="27"/>
      <c r="U373" s="27"/>
      <c r="V373" s="27"/>
      <c r="W373" s="27"/>
      <c r="X373" s="27"/>
      <c r="Y373" s="27"/>
      <c r="Z373" s="27"/>
    </row>
    <row r="374" spans="1:26" ht="30" customHeight="1">
      <c r="A374" s="32" t="s">
        <v>1214</v>
      </c>
      <c r="B374" s="41" t="s">
        <v>1215</v>
      </c>
      <c r="C374" s="34"/>
      <c r="D374" s="34">
        <f t="shared" ref="D374:F374" si="147">D376+D378+D380+D382+D384+D386+D388</f>
        <v>0</v>
      </c>
      <c r="E374" s="34">
        <f t="shared" si="147"/>
        <v>0</v>
      </c>
      <c r="F374" s="34">
        <f t="shared" si="147"/>
        <v>0</v>
      </c>
      <c r="G374" s="35"/>
      <c r="H374" s="34">
        <f>H376+H378+H380+H382+H384+H386+H388</f>
        <v>0</v>
      </c>
      <c r="I374" s="27"/>
      <c r="J374" s="27"/>
      <c r="K374" s="27"/>
      <c r="L374" s="27"/>
      <c r="M374" s="27"/>
      <c r="N374" s="27"/>
      <c r="O374" s="27"/>
      <c r="P374" s="27"/>
      <c r="Q374" s="27"/>
      <c r="R374" s="27"/>
      <c r="S374" s="27"/>
      <c r="T374" s="27"/>
      <c r="U374" s="27"/>
      <c r="V374" s="27"/>
      <c r="W374" s="27"/>
      <c r="X374" s="27"/>
      <c r="Y374" s="27"/>
      <c r="Z374" s="27"/>
    </row>
    <row r="375" spans="1:26" ht="30" customHeight="1">
      <c r="A375" s="36" t="s">
        <v>1216</v>
      </c>
      <c r="B375" s="37" t="s">
        <v>1217</v>
      </c>
      <c r="C375" s="61"/>
      <c r="D375" s="62"/>
      <c r="E375" s="62"/>
      <c r="F375" s="62"/>
      <c r="G375" s="40"/>
      <c r="H375" s="40"/>
      <c r="I375" s="27"/>
      <c r="J375" s="27"/>
      <c r="K375" s="27"/>
      <c r="L375" s="27"/>
      <c r="M375" s="27"/>
      <c r="N375" s="27"/>
      <c r="O375" s="27"/>
      <c r="P375" s="27"/>
      <c r="Q375" s="27"/>
      <c r="R375" s="27"/>
      <c r="S375" s="27"/>
      <c r="T375" s="27"/>
      <c r="U375" s="27"/>
      <c r="V375" s="27"/>
      <c r="W375" s="27"/>
      <c r="X375" s="27"/>
      <c r="Y375" s="27"/>
      <c r="Z375" s="27"/>
    </row>
    <row r="376" spans="1:26" ht="30" customHeight="1">
      <c r="A376" s="36" t="s">
        <v>1218</v>
      </c>
      <c r="B376" s="37" t="s">
        <v>1219</v>
      </c>
      <c r="C376" s="42"/>
      <c r="D376" s="42">
        <f t="shared" ref="D376:F376" si="148">SUM(D377)</f>
        <v>0</v>
      </c>
      <c r="E376" s="42">
        <f t="shared" si="148"/>
        <v>0</v>
      </c>
      <c r="F376" s="42">
        <f t="shared" si="148"/>
        <v>0</v>
      </c>
      <c r="G376" s="40"/>
      <c r="H376" s="42">
        <f>SUM(H377)</f>
        <v>0</v>
      </c>
      <c r="I376" s="27"/>
      <c r="J376" s="27"/>
      <c r="K376" s="27"/>
      <c r="L376" s="27"/>
      <c r="M376" s="27"/>
      <c r="N376" s="27"/>
      <c r="O376" s="27"/>
      <c r="P376" s="27"/>
      <c r="Q376" s="27"/>
      <c r="R376" s="27"/>
      <c r="S376" s="27"/>
      <c r="T376" s="27"/>
      <c r="U376" s="27"/>
      <c r="V376" s="27"/>
      <c r="W376" s="27"/>
      <c r="X376" s="27"/>
      <c r="Y376" s="27"/>
      <c r="Z376" s="27"/>
    </row>
    <row r="377" spans="1:26" ht="30" customHeight="1">
      <c r="A377" s="57" t="s">
        <v>1220</v>
      </c>
      <c r="B377" s="51" t="s">
        <v>1219</v>
      </c>
      <c r="C377" s="58"/>
      <c r="D377" s="53"/>
      <c r="E377" s="53"/>
      <c r="F377" s="53"/>
      <c r="G377" s="53"/>
      <c r="H377" s="53">
        <f>ROUND(F377-E377,2)</f>
        <v>0</v>
      </c>
      <c r="I377" s="27"/>
      <c r="J377" s="27"/>
      <c r="K377" s="27"/>
      <c r="L377" s="27"/>
      <c r="M377" s="27"/>
      <c r="N377" s="27"/>
      <c r="O377" s="27"/>
      <c r="P377" s="27"/>
      <c r="Q377" s="27"/>
      <c r="R377" s="27"/>
      <c r="S377" s="27"/>
      <c r="T377" s="27"/>
      <c r="U377" s="27"/>
      <c r="V377" s="27"/>
      <c r="W377" s="27"/>
      <c r="X377" s="27"/>
      <c r="Y377" s="27"/>
      <c r="Z377" s="27"/>
    </row>
    <row r="378" spans="1:26" ht="30" customHeight="1">
      <c r="A378" s="36" t="s">
        <v>1221</v>
      </c>
      <c r="B378" s="37" t="s">
        <v>1222</v>
      </c>
      <c r="C378" s="42"/>
      <c r="D378" s="42">
        <f t="shared" ref="D378:F378" si="149">SUM(D379)</f>
        <v>0</v>
      </c>
      <c r="E378" s="42">
        <f t="shared" si="149"/>
        <v>0</v>
      </c>
      <c r="F378" s="42">
        <f t="shared" si="149"/>
        <v>0</v>
      </c>
      <c r="G378" s="40"/>
      <c r="H378" s="42">
        <f>SUM(H379)</f>
        <v>0</v>
      </c>
      <c r="I378" s="27"/>
      <c r="J378" s="27"/>
      <c r="K378" s="27"/>
      <c r="L378" s="27"/>
      <c r="M378" s="27"/>
      <c r="N378" s="27"/>
      <c r="O378" s="27"/>
      <c r="P378" s="27"/>
      <c r="Q378" s="27"/>
      <c r="R378" s="27"/>
      <c r="S378" s="27"/>
      <c r="T378" s="27"/>
      <c r="U378" s="27"/>
      <c r="V378" s="27"/>
      <c r="W378" s="27"/>
      <c r="X378" s="27"/>
      <c r="Y378" s="27"/>
      <c r="Z378" s="27"/>
    </row>
    <row r="379" spans="1:26" ht="30" customHeight="1">
      <c r="A379" s="57" t="s">
        <v>1223</v>
      </c>
      <c r="B379" s="51" t="s">
        <v>1222</v>
      </c>
      <c r="C379" s="58"/>
      <c r="D379" s="53"/>
      <c r="E379" s="53"/>
      <c r="F379" s="53"/>
      <c r="G379" s="53"/>
      <c r="H379" s="53">
        <f>ROUND(F379-E379,2)</f>
        <v>0</v>
      </c>
      <c r="I379" s="27"/>
      <c r="J379" s="27"/>
      <c r="K379" s="27"/>
      <c r="L379" s="27"/>
      <c r="M379" s="27"/>
      <c r="N379" s="27"/>
      <c r="O379" s="27"/>
      <c r="P379" s="27"/>
      <c r="Q379" s="27"/>
      <c r="R379" s="27"/>
      <c r="S379" s="27"/>
      <c r="T379" s="27"/>
      <c r="U379" s="27"/>
      <c r="V379" s="27"/>
      <c r="W379" s="27"/>
      <c r="X379" s="27"/>
      <c r="Y379" s="27"/>
      <c r="Z379" s="27"/>
    </row>
    <row r="380" spans="1:26" ht="30" customHeight="1">
      <c r="A380" s="36" t="s">
        <v>1224</v>
      </c>
      <c r="B380" s="37" t="s">
        <v>1225</v>
      </c>
      <c r="C380" s="42"/>
      <c r="D380" s="42">
        <f t="shared" ref="D380:F380" si="150">SUM(D381)</f>
        <v>0</v>
      </c>
      <c r="E380" s="42">
        <f t="shared" si="150"/>
        <v>0</v>
      </c>
      <c r="F380" s="42">
        <f t="shared" si="150"/>
        <v>0</v>
      </c>
      <c r="G380" s="40"/>
      <c r="H380" s="42">
        <f>SUM(H381)</f>
        <v>0</v>
      </c>
      <c r="I380" s="27"/>
      <c r="J380" s="27"/>
      <c r="K380" s="27"/>
      <c r="L380" s="27"/>
      <c r="M380" s="27"/>
      <c r="N380" s="27"/>
      <c r="O380" s="27"/>
      <c r="P380" s="27"/>
      <c r="Q380" s="27"/>
      <c r="R380" s="27"/>
      <c r="S380" s="27"/>
      <c r="T380" s="27"/>
      <c r="U380" s="27"/>
      <c r="V380" s="27"/>
      <c r="W380" s="27"/>
      <c r="X380" s="27"/>
      <c r="Y380" s="27"/>
      <c r="Z380" s="27"/>
    </row>
    <row r="381" spans="1:26" ht="30" customHeight="1">
      <c r="A381" s="57" t="s">
        <v>1226</v>
      </c>
      <c r="B381" s="51" t="s">
        <v>1225</v>
      </c>
      <c r="C381" s="58"/>
      <c r="D381" s="53"/>
      <c r="E381" s="53"/>
      <c r="F381" s="53"/>
      <c r="G381" s="53"/>
      <c r="H381" s="53">
        <f>ROUND(F381-E381,2)</f>
        <v>0</v>
      </c>
      <c r="I381" s="27"/>
      <c r="J381" s="27"/>
      <c r="K381" s="27"/>
      <c r="L381" s="27"/>
      <c r="M381" s="27"/>
      <c r="N381" s="27"/>
      <c r="O381" s="27"/>
      <c r="P381" s="27"/>
      <c r="Q381" s="27"/>
      <c r="R381" s="27"/>
      <c r="S381" s="27"/>
      <c r="T381" s="27"/>
      <c r="U381" s="27"/>
      <c r="V381" s="27"/>
      <c r="W381" s="27"/>
      <c r="X381" s="27"/>
      <c r="Y381" s="27"/>
      <c r="Z381" s="27"/>
    </row>
    <row r="382" spans="1:26" ht="30" customHeight="1">
      <c r="A382" s="36" t="s">
        <v>1227</v>
      </c>
      <c r="B382" s="37" t="s">
        <v>1228</v>
      </c>
      <c r="C382" s="42"/>
      <c r="D382" s="42">
        <f t="shared" ref="D382:F382" si="151">SUM(D383)</f>
        <v>0</v>
      </c>
      <c r="E382" s="42">
        <f t="shared" si="151"/>
        <v>0</v>
      </c>
      <c r="F382" s="42">
        <f t="shared" si="151"/>
        <v>0</v>
      </c>
      <c r="G382" s="40"/>
      <c r="H382" s="42">
        <f>SUM(H383)</f>
        <v>0</v>
      </c>
      <c r="I382" s="27"/>
      <c r="J382" s="27"/>
      <c r="K382" s="27"/>
      <c r="L382" s="27"/>
      <c r="M382" s="27"/>
      <c r="N382" s="27"/>
      <c r="O382" s="27"/>
      <c r="P382" s="27"/>
      <c r="Q382" s="27"/>
      <c r="R382" s="27"/>
      <c r="S382" s="27"/>
      <c r="T382" s="27"/>
      <c r="U382" s="27"/>
      <c r="V382" s="27"/>
      <c r="W382" s="27"/>
      <c r="X382" s="27"/>
      <c r="Y382" s="27"/>
      <c r="Z382" s="27"/>
    </row>
    <row r="383" spans="1:26" ht="30" customHeight="1">
      <c r="A383" s="57" t="s">
        <v>1229</v>
      </c>
      <c r="B383" s="51" t="s">
        <v>1228</v>
      </c>
      <c r="C383" s="58"/>
      <c r="D383" s="53"/>
      <c r="E383" s="53"/>
      <c r="F383" s="53"/>
      <c r="G383" s="53"/>
      <c r="H383" s="53">
        <f>ROUND(F383-E383,2)</f>
        <v>0</v>
      </c>
      <c r="I383" s="27"/>
      <c r="J383" s="27"/>
      <c r="K383" s="27"/>
      <c r="L383" s="27"/>
      <c r="M383" s="27"/>
      <c r="N383" s="27"/>
      <c r="O383" s="27"/>
      <c r="P383" s="27"/>
      <c r="Q383" s="27"/>
      <c r="R383" s="27"/>
      <c r="S383" s="27"/>
      <c r="T383" s="27"/>
      <c r="U383" s="27"/>
      <c r="V383" s="27"/>
      <c r="W383" s="27"/>
      <c r="X383" s="27"/>
      <c r="Y383" s="27"/>
      <c r="Z383" s="27"/>
    </row>
    <row r="384" spans="1:26" ht="30" customHeight="1">
      <c r="A384" s="36" t="s">
        <v>1230</v>
      </c>
      <c r="B384" s="37" t="s">
        <v>1231</v>
      </c>
      <c r="C384" s="42"/>
      <c r="D384" s="42">
        <f t="shared" ref="D384:F384" si="152">SUM(D385)</f>
        <v>0</v>
      </c>
      <c r="E384" s="42">
        <f t="shared" si="152"/>
        <v>0</v>
      </c>
      <c r="F384" s="42">
        <f t="shared" si="152"/>
        <v>0</v>
      </c>
      <c r="G384" s="40"/>
      <c r="H384" s="42">
        <f>SUM(H385)</f>
        <v>0</v>
      </c>
      <c r="I384" s="27"/>
      <c r="J384" s="27"/>
      <c r="K384" s="27"/>
      <c r="L384" s="27"/>
      <c r="M384" s="27"/>
      <c r="N384" s="27"/>
      <c r="O384" s="27"/>
      <c r="P384" s="27"/>
      <c r="Q384" s="27"/>
      <c r="R384" s="27"/>
      <c r="S384" s="27"/>
      <c r="T384" s="27"/>
      <c r="U384" s="27"/>
      <c r="V384" s="27"/>
      <c r="W384" s="27"/>
      <c r="X384" s="27"/>
      <c r="Y384" s="27"/>
      <c r="Z384" s="27"/>
    </row>
    <row r="385" spans="1:26" ht="30" customHeight="1">
      <c r="A385" s="57" t="s">
        <v>1232</v>
      </c>
      <c r="B385" s="51" t="s">
        <v>1231</v>
      </c>
      <c r="C385" s="58"/>
      <c r="D385" s="53"/>
      <c r="E385" s="53"/>
      <c r="F385" s="53"/>
      <c r="G385" s="53"/>
      <c r="H385" s="53">
        <f>ROUND(F385-E385,2)</f>
        <v>0</v>
      </c>
      <c r="I385" s="27"/>
      <c r="J385" s="27"/>
      <c r="K385" s="27"/>
      <c r="L385" s="27"/>
      <c r="M385" s="27"/>
      <c r="N385" s="27"/>
      <c r="O385" s="27"/>
      <c r="P385" s="27"/>
      <c r="Q385" s="27"/>
      <c r="R385" s="27"/>
      <c r="S385" s="27"/>
      <c r="T385" s="27"/>
      <c r="U385" s="27"/>
      <c r="V385" s="27"/>
      <c r="W385" s="27"/>
      <c r="X385" s="27"/>
      <c r="Y385" s="27"/>
      <c r="Z385" s="27"/>
    </row>
    <row r="386" spans="1:26" ht="30" customHeight="1">
      <c r="A386" s="36" t="s">
        <v>1233</v>
      </c>
      <c r="B386" s="37" t="s">
        <v>1234</v>
      </c>
      <c r="C386" s="42"/>
      <c r="D386" s="42">
        <f t="shared" ref="D386:F386" si="153">SUM(D387)</f>
        <v>0</v>
      </c>
      <c r="E386" s="42">
        <f t="shared" si="153"/>
        <v>0</v>
      </c>
      <c r="F386" s="42">
        <f t="shared" si="153"/>
        <v>0</v>
      </c>
      <c r="G386" s="40"/>
      <c r="H386" s="42">
        <f>SUM(H387)</f>
        <v>0</v>
      </c>
      <c r="I386" s="27"/>
      <c r="J386" s="27"/>
      <c r="K386" s="27"/>
      <c r="L386" s="27"/>
      <c r="M386" s="27"/>
      <c r="N386" s="27"/>
      <c r="O386" s="27"/>
      <c r="P386" s="27"/>
      <c r="Q386" s="27"/>
      <c r="R386" s="27"/>
      <c r="S386" s="27"/>
      <c r="T386" s="27"/>
      <c r="U386" s="27"/>
      <c r="V386" s="27"/>
      <c r="W386" s="27"/>
      <c r="X386" s="27"/>
      <c r="Y386" s="27"/>
      <c r="Z386" s="27"/>
    </row>
    <row r="387" spans="1:26" ht="30" customHeight="1">
      <c r="A387" s="57" t="s">
        <v>1235</v>
      </c>
      <c r="B387" s="51" t="s">
        <v>1234</v>
      </c>
      <c r="C387" s="58"/>
      <c r="D387" s="53"/>
      <c r="E387" s="53"/>
      <c r="F387" s="53"/>
      <c r="G387" s="53"/>
      <c r="H387" s="53">
        <f>ROUND(F387-E387,2)</f>
        <v>0</v>
      </c>
      <c r="I387" s="27"/>
      <c r="J387" s="27"/>
      <c r="K387" s="27"/>
      <c r="L387" s="27"/>
      <c r="M387" s="27"/>
      <c r="N387" s="27"/>
      <c r="O387" s="27"/>
      <c r="P387" s="27"/>
      <c r="Q387" s="27"/>
      <c r="R387" s="27"/>
      <c r="S387" s="27"/>
      <c r="T387" s="27"/>
      <c r="U387" s="27"/>
      <c r="V387" s="27"/>
      <c r="W387" s="27"/>
      <c r="X387" s="27"/>
      <c r="Y387" s="27"/>
      <c r="Z387" s="27"/>
    </row>
    <row r="388" spans="1:26" ht="30" customHeight="1">
      <c r="A388" s="36" t="s">
        <v>1236</v>
      </c>
      <c r="B388" s="37" t="s">
        <v>1237</v>
      </c>
      <c r="C388" s="42"/>
      <c r="D388" s="42">
        <f t="shared" ref="D388:F388" si="154">SUM(D389)</f>
        <v>0</v>
      </c>
      <c r="E388" s="42">
        <f t="shared" si="154"/>
        <v>0</v>
      </c>
      <c r="F388" s="42">
        <f t="shared" si="154"/>
        <v>0</v>
      </c>
      <c r="G388" s="40"/>
      <c r="H388" s="42">
        <f>SUM(H389)</f>
        <v>0</v>
      </c>
      <c r="I388" s="27"/>
      <c r="J388" s="27"/>
      <c r="K388" s="27"/>
      <c r="L388" s="27"/>
      <c r="M388" s="27"/>
      <c r="N388" s="27"/>
      <c r="O388" s="27"/>
      <c r="P388" s="27"/>
      <c r="Q388" s="27"/>
      <c r="R388" s="27"/>
      <c r="S388" s="27"/>
      <c r="T388" s="27"/>
      <c r="U388" s="27"/>
      <c r="V388" s="27"/>
      <c r="W388" s="27"/>
      <c r="X388" s="27"/>
      <c r="Y388" s="27"/>
      <c r="Z388" s="27"/>
    </row>
    <row r="389" spans="1:26" ht="30" customHeight="1">
      <c r="A389" s="57" t="s">
        <v>1238</v>
      </c>
      <c r="B389" s="51" t="s">
        <v>1237</v>
      </c>
      <c r="C389" s="58"/>
      <c r="D389" s="53"/>
      <c r="E389" s="53"/>
      <c r="F389" s="53"/>
      <c r="G389" s="53"/>
      <c r="H389" s="53">
        <f>ROUND(F389-E389,2)</f>
        <v>0</v>
      </c>
      <c r="I389" s="27"/>
      <c r="J389" s="27"/>
      <c r="K389" s="27"/>
      <c r="L389" s="27"/>
      <c r="M389" s="27"/>
      <c r="N389" s="27"/>
      <c r="O389" s="27"/>
      <c r="P389" s="27"/>
      <c r="Q389" s="27"/>
      <c r="R389" s="27"/>
      <c r="S389" s="27"/>
      <c r="T389" s="27"/>
      <c r="U389" s="27"/>
      <c r="V389" s="27"/>
      <c r="W389" s="27"/>
      <c r="X389" s="27"/>
      <c r="Y389" s="27"/>
      <c r="Z389" s="27"/>
    </row>
    <row r="390" spans="1:26" ht="30" customHeight="1">
      <c r="A390" s="23" t="s">
        <v>1239</v>
      </c>
      <c r="B390" s="81" t="s">
        <v>1240</v>
      </c>
      <c r="C390" s="26">
        <f>C391+C577+C660+C684+C714+C747</f>
        <v>9494770169.6599998</v>
      </c>
      <c r="D390" s="26"/>
      <c r="E390" s="26">
        <f t="shared" ref="E390:G390" si="155">E391+E577+E660+E684+E714+E747</f>
        <v>5373865689.4099998</v>
      </c>
      <c r="F390" s="26">
        <f t="shared" si="155"/>
        <v>0</v>
      </c>
      <c r="G390" s="26">
        <f t="shared" si="155"/>
        <v>5373865689.4099998</v>
      </c>
      <c r="H390" s="26"/>
      <c r="I390" s="82"/>
      <c r="J390" s="82"/>
      <c r="K390" s="82"/>
      <c r="L390" s="82"/>
      <c r="M390" s="82"/>
      <c r="N390" s="82"/>
      <c r="O390" s="82"/>
      <c r="P390" s="82"/>
      <c r="Q390" s="82"/>
      <c r="R390" s="82"/>
      <c r="S390" s="82"/>
      <c r="T390" s="82"/>
      <c r="U390" s="82"/>
      <c r="V390" s="82"/>
      <c r="W390" s="82"/>
      <c r="X390" s="82"/>
      <c r="Y390" s="82"/>
      <c r="Z390" s="82"/>
    </row>
    <row r="391" spans="1:26" ht="30" customHeight="1">
      <c r="A391" s="28" t="s">
        <v>1241</v>
      </c>
      <c r="B391" s="83" t="s">
        <v>1242</v>
      </c>
      <c r="C391" s="31">
        <f>C392+C427+C492</f>
        <v>8058102873.3800001</v>
      </c>
      <c r="D391" s="31"/>
      <c r="E391" s="31">
        <f t="shared" ref="E391:G391" si="156">E392+E427+E492</f>
        <v>4392813370.1999998</v>
      </c>
      <c r="F391" s="31">
        <f t="shared" si="156"/>
        <v>0</v>
      </c>
      <c r="G391" s="31">
        <f t="shared" si="156"/>
        <v>4392813370.1999998</v>
      </c>
      <c r="H391" s="31"/>
      <c r="I391" s="82"/>
      <c r="J391" s="82"/>
      <c r="K391" s="82"/>
      <c r="L391" s="82"/>
      <c r="M391" s="82"/>
      <c r="N391" s="82"/>
      <c r="O391" s="82"/>
      <c r="P391" s="82"/>
      <c r="Q391" s="82"/>
      <c r="R391" s="82"/>
      <c r="S391" s="82"/>
      <c r="T391" s="82"/>
      <c r="U391" s="82"/>
      <c r="V391" s="82"/>
      <c r="W391" s="82"/>
      <c r="X391" s="82"/>
      <c r="Y391" s="82"/>
      <c r="Z391" s="82"/>
    </row>
    <row r="392" spans="1:26" ht="30" customHeight="1">
      <c r="A392" s="32" t="s">
        <v>1243</v>
      </c>
      <c r="B392" s="48" t="s">
        <v>1244</v>
      </c>
      <c r="C392" s="34">
        <f>SUM(C393+C398+C403+C412+C417+C424)</f>
        <v>5040341198.4499998</v>
      </c>
      <c r="D392" s="34"/>
      <c r="E392" s="34">
        <f t="shared" ref="E392:G392" si="157">SUM(E393+E398+E403+E412+E417+E424)</f>
        <v>3091536424.6700001</v>
      </c>
      <c r="F392" s="34">
        <f t="shared" si="157"/>
        <v>0</v>
      </c>
      <c r="G392" s="35">
        <f t="shared" si="157"/>
        <v>3091536424.6700001</v>
      </c>
      <c r="H392" s="35"/>
      <c r="I392" s="72"/>
      <c r="J392" s="72"/>
      <c r="K392" s="72"/>
      <c r="L392" s="72"/>
      <c r="M392" s="72"/>
      <c r="N392" s="72"/>
      <c r="O392" s="72"/>
      <c r="P392" s="72"/>
      <c r="Q392" s="72"/>
      <c r="R392" s="72"/>
      <c r="S392" s="72"/>
      <c r="T392" s="72"/>
      <c r="U392" s="72"/>
      <c r="V392" s="72"/>
      <c r="W392" s="72"/>
      <c r="X392" s="72"/>
      <c r="Y392" s="72"/>
      <c r="Z392" s="72"/>
    </row>
    <row r="393" spans="1:26" ht="30" customHeight="1">
      <c r="A393" s="44" t="s">
        <v>1245</v>
      </c>
      <c r="B393" s="84" t="s">
        <v>1246</v>
      </c>
      <c r="C393" s="40">
        <f>SUM(C394:C397)</f>
        <v>2649219399.0899997</v>
      </c>
      <c r="D393" s="39"/>
      <c r="E393" s="40">
        <f t="shared" ref="E393:G393" si="158">SUM(E394:E397)</f>
        <v>1765586363.9400001</v>
      </c>
      <c r="F393" s="40">
        <f t="shared" si="158"/>
        <v>0</v>
      </c>
      <c r="G393" s="40">
        <f t="shared" si="158"/>
        <v>1765586363.9400001</v>
      </c>
      <c r="H393" s="40"/>
      <c r="I393" s="72"/>
      <c r="J393" s="72"/>
      <c r="K393" s="72"/>
      <c r="L393" s="72"/>
      <c r="M393" s="72"/>
      <c r="N393" s="72"/>
      <c r="O393" s="72"/>
      <c r="P393" s="72"/>
      <c r="Q393" s="72"/>
      <c r="R393" s="72"/>
      <c r="S393" s="72"/>
      <c r="T393" s="72"/>
      <c r="U393" s="72"/>
      <c r="V393" s="72"/>
      <c r="W393" s="72"/>
      <c r="X393" s="72"/>
      <c r="Y393" s="72"/>
      <c r="Z393" s="72"/>
    </row>
    <row r="394" spans="1:26" ht="30" customHeight="1">
      <c r="A394" s="50" t="s">
        <v>1247</v>
      </c>
      <c r="B394" s="51" t="s">
        <v>1248</v>
      </c>
      <c r="C394" s="53">
        <v>19994905.350000001</v>
      </c>
      <c r="D394" s="52"/>
      <c r="E394" s="53">
        <v>13611641.92</v>
      </c>
      <c r="F394" s="53"/>
      <c r="G394" s="53">
        <f>ROUND(E394-F394,2)</f>
        <v>13611641.92</v>
      </c>
      <c r="H394" s="53"/>
      <c r="I394" s="72"/>
      <c r="J394" s="72"/>
      <c r="K394" s="72"/>
      <c r="L394" s="72"/>
      <c r="M394" s="72"/>
      <c r="N394" s="72"/>
      <c r="O394" s="72"/>
      <c r="P394" s="72"/>
      <c r="Q394" s="72"/>
      <c r="R394" s="72"/>
      <c r="S394" s="72"/>
      <c r="T394" s="72"/>
      <c r="U394" s="72"/>
      <c r="V394" s="72"/>
      <c r="W394" s="72"/>
      <c r="X394" s="72"/>
      <c r="Y394" s="72"/>
      <c r="Z394" s="72"/>
    </row>
    <row r="395" spans="1:26" ht="30" customHeight="1">
      <c r="A395" s="50" t="s">
        <v>1249</v>
      </c>
      <c r="B395" s="51" t="s">
        <v>1250</v>
      </c>
      <c r="C395" s="52"/>
      <c r="D395" s="52"/>
      <c r="E395" s="52"/>
      <c r="F395" s="52"/>
      <c r="G395" s="53"/>
      <c r="H395" s="53"/>
      <c r="I395" s="72"/>
      <c r="J395" s="72"/>
      <c r="K395" s="72"/>
      <c r="L395" s="72"/>
      <c r="M395" s="72"/>
      <c r="N395" s="72"/>
      <c r="O395" s="72"/>
      <c r="P395" s="72"/>
      <c r="Q395" s="72"/>
      <c r="R395" s="72"/>
      <c r="S395" s="72"/>
      <c r="T395" s="72"/>
      <c r="U395" s="72"/>
      <c r="V395" s="72"/>
      <c r="W395" s="72"/>
      <c r="X395" s="72"/>
      <c r="Y395" s="72"/>
      <c r="Z395" s="72"/>
    </row>
    <row r="396" spans="1:26" ht="30" customHeight="1">
      <c r="A396" s="50" t="s">
        <v>1251</v>
      </c>
      <c r="B396" s="51" t="s">
        <v>1252</v>
      </c>
      <c r="C396" s="53">
        <v>2629224493.7399998</v>
      </c>
      <c r="D396" s="52"/>
      <c r="E396" s="53">
        <v>1751974722.02</v>
      </c>
      <c r="F396" s="53"/>
      <c r="G396" s="53">
        <f>ROUND(E396-F396,2)</f>
        <v>1751974722.02</v>
      </c>
      <c r="H396" s="53"/>
      <c r="I396" s="72"/>
      <c r="J396" s="72"/>
      <c r="K396" s="72"/>
      <c r="L396" s="72"/>
      <c r="M396" s="72"/>
      <c r="N396" s="72"/>
      <c r="O396" s="72"/>
      <c r="P396" s="72"/>
      <c r="Q396" s="72"/>
      <c r="R396" s="72"/>
      <c r="S396" s="72"/>
      <c r="T396" s="72"/>
      <c r="U396" s="72"/>
      <c r="V396" s="72"/>
      <c r="W396" s="72"/>
      <c r="X396" s="72"/>
      <c r="Y396" s="72"/>
      <c r="Z396" s="72"/>
    </row>
    <row r="397" spans="1:26" ht="30" customHeight="1">
      <c r="A397" s="50" t="s">
        <v>1253</v>
      </c>
      <c r="B397" s="51" t="s">
        <v>1254</v>
      </c>
      <c r="C397" s="52"/>
      <c r="D397" s="52"/>
      <c r="E397" s="52"/>
      <c r="F397" s="52"/>
      <c r="G397" s="53"/>
      <c r="H397" s="53"/>
      <c r="I397" s="72"/>
      <c r="J397" s="72"/>
      <c r="K397" s="72"/>
      <c r="L397" s="72"/>
      <c r="M397" s="72"/>
      <c r="N397" s="72"/>
      <c r="O397" s="72"/>
      <c r="P397" s="72"/>
      <c r="Q397" s="72"/>
      <c r="R397" s="72"/>
      <c r="S397" s="72"/>
      <c r="T397" s="72"/>
      <c r="U397" s="72"/>
      <c r="V397" s="72"/>
      <c r="W397" s="72"/>
      <c r="X397" s="72"/>
      <c r="Y397" s="72"/>
      <c r="Z397" s="72"/>
    </row>
    <row r="398" spans="1:26" ht="30" customHeight="1">
      <c r="A398" s="44" t="s">
        <v>1255</v>
      </c>
      <c r="B398" s="84" t="s">
        <v>1256</v>
      </c>
      <c r="C398" s="40">
        <f>SUM(C399:C402)</f>
        <v>359095055.75999999</v>
      </c>
      <c r="D398" s="39"/>
      <c r="E398" s="40">
        <f t="shared" ref="E398:G398" si="159">SUM(E399:E402)</f>
        <v>241241127.39999998</v>
      </c>
      <c r="F398" s="40">
        <f t="shared" si="159"/>
        <v>0</v>
      </c>
      <c r="G398" s="40">
        <f t="shared" si="159"/>
        <v>241241127.39999998</v>
      </c>
      <c r="H398" s="40"/>
      <c r="I398" s="72"/>
      <c r="J398" s="72"/>
      <c r="K398" s="72"/>
      <c r="L398" s="72"/>
      <c r="M398" s="72"/>
      <c r="N398" s="72"/>
      <c r="O398" s="72"/>
      <c r="P398" s="72"/>
      <c r="Q398" s="72"/>
      <c r="R398" s="72"/>
      <c r="S398" s="72"/>
      <c r="T398" s="72"/>
      <c r="U398" s="72"/>
      <c r="V398" s="72"/>
      <c r="W398" s="72"/>
      <c r="X398" s="72"/>
      <c r="Y398" s="72"/>
      <c r="Z398" s="72"/>
    </row>
    <row r="399" spans="1:26" ht="30" customHeight="1">
      <c r="A399" s="50" t="s">
        <v>1257</v>
      </c>
      <c r="B399" s="51" t="s">
        <v>1258</v>
      </c>
      <c r="C399" s="53">
        <v>28711615.699999999</v>
      </c>
      <c r="D399" s="52"/>
      <c r="E399" s="53">
        <v>40027129.920000002</v>
      </c>
      <c r="F399" s="53"/>
      <c r="G399" s="53">
        <f t="shared" ref="G399:G402" si="160">ROUND(E399-F399,2)</f>
        <v>40027129.920000002</v>
      </c>
      <c r="H399" s="53"/>
      <c r="I399" s="72"/>
      <c r="J399" s="72"/>
      <c r="K399" s="72"/>
      <c r="L399" s="72"/>
      <c r="M399" s="72"/>
      <c r="N399" s="72"/>
      <c r="O399" s="72"/>
      <c r="P399" s="72"/>
      <c r="Q399" s="72"/>
      <c r="R399" s="72"/>
      <c r="S399" s="72"/>
      <c r="T399" s="72"/>
      <c r="U399" s="72"/>
      <c r="V399" s="72"/>
      <c r="W399" s="72"/>
      <c r="X399" s="72"/>
      <c r="Y399" s="72"/>
      <c r="Z399" s="72"/>
    </row>
    <row r="400" spans="1:26" ht="30" customHeight="1">
      <c r="A400" s="50" t="s">
        <v>1259</v>
      </c>
      <c r="B400" s="51" t="s">
        <v>1260</v>
      </c>
      <c r="C400" s="53">
        <v>330383440.06</v>
      </c>
      <c r="D400" s="52"/>
      <c r="E400" s="53">
        <v>201213997.47999999</v>
      </c>
      <c r="F400" s="53"/>
      <c r="G400" s="53">
        <f t="shared" si="160"/>
        <v>201213997.47999999</v>
      </c>
      <c r="H400" s="53"/>
      <c r="I400" s="72"/>
      <c r="J400" s="72"/>
      <c r="K400" s="72"/>
      <c r="L400" s="72"/>
      <c r="M400" s="72"/>
      <c r="N400" s="72"/>
      <c r="O400" s="72"/>
      <c r="P400" s="72"/>
      <c r="Q400" s="72"/>
      <c r="R400" s="72"/>
      <c r="S400" s="72"/>
      <c r="T400" s="72"/>
      <c r="U400" s="72"/>
      <c r="V400" s="72"/>
      <c r="W400" s="72"/>
      <c r="X400" s="72"/>
      <c r="Y400" s="72"/>
      <c r="Z400" s="72"/>
    </row>
    <row r="401" spans="1:26" ht="30" customHeight="1">
      <c r="A401" s="50" t="s">
        <v>1261</v>
      </c>
      <c r="B401" s="51" t="s">
        <v>1262</v>
      </c>
      <c r="C401" s="53"/>
      <c r="D401" s="52"/>
      <c r="E401" s="53"/>
      <c r="F401" s="53"/>
      <c r="G401" s="53">
        <f t="shared" si="160"/>
        <v>0</v>
      </c>
      <c r="H401" s="53"/>
      <c r="I401" s="72"/>
      <c r="J401" s="72"/>
      <c r="K401" s="72"/>
      <c r="L401" s="72"/>
      <c r="M401" s="72"/>
      <c r="N401" s="72"/>
      <c r="O401" s="72"/>
      <c r="P401" s="72"/>
      <c r="Q401" s="72"/>
      <c r="R401" s="72"/>
      <c r="S401" s="72"/>
      <c r="T401" s="72"/>
      <c r="U401" s="72"/>
      <c r="V401" s="72"/>
      <c r="W401" s="72"/>
      <c r="X401" s="72"/>
      <c r="Y401" s="72"/>
      <c r="Z401" s="72"/>
    </row>
    <row r="402" spans="1:26" ht="30" customHeight="1">
      <c r="A402" s="50" t="s">
        <v>1263</v>
      </c>
      <c r="B402" s="51" t="s">
        <v>1264</v>
      </c>
      <c r="C402" s="53"/>
      <c r="D402" s="52"/>
      <c r="E402" s="53"/>
      <c r="F402" s="53"/>
      <c r="G402" s="53">
        <f t="shared" si="160"/>
        <v>0</v>
      </c>
      <c r="H402" s="53"/>
      <c r="I402" s="72"/>
      <c r="J402" s="72"/>
      <c r="K402" s="72"/>
      <c r="L402" s="72"/>
      <c r="M402" s="72"/>
      <c r="N402" s="72"/>
      <c r="O402" s="72"/>
      <c r="P402" s="72"/>
      <c r="Q402" s="72"/>
      <c r="R402" s="72"/>
      <c r="S402" s="72"/>
      <c r="T402" s="72"/>
      <c r="U402" s="72"/>
      <c r="V402" s="72"/>
      <c r="W402" s="72"/>
      <c r="X402" s="72"/>
      <c r="Y402" s="72"/>
      <c r="Z402" s="72"/>
    </row>
    <row r="403" spans="1:26" ht="30" customHeight="1">
      <c r="A403" s="44" t="s">
        <v>1265</v>
      </c>
      <c r="B403" s="45" t="s">
        <v>1266</v>
      </c>
      <c r="C403" s="40">
        <f>SUM(C404:C411)</f>
        <v>577413230.17999995</v>
      </c>
      <c r="D403" s="39"/>
      <c r="E403" s="40">
        <f t="shared" ref="E403:G403" si="161">SUM(E404:E411)</f>
        <v>120893437.39</v>
      </c>
      <c r="F403" s="40">
        <f t="shared" si="161"/>
        <v>0</v>
      </c>
      <c r="G403" s="40">
        <f t="shared" si="161"/>
        <v>120893437.39</v>
      </c>
      <c r="H403" s="40"/>
      <c r="I403" s="72"/>
      <c r="J403" s="72"/>
      <c r="K403" s="72"/>
      <c r="L403" s="72"/>
      <c r="M403" s="72"/>
      <c r="N403" s="72"/>
      <c r="O403" s="72"/>
      <c r="P403" s="72"/>
      <c r="Q403" s="72"/>
      <c r="R403" s="72"/>
      <c r="S403" s="72"/>
      <c r="T403" s="72"/>
      <c r="U403" s="72"/>
      <c r="V403" s="72"/>
      <c r="W403" s="72"/>
      <c r="X403" s="72"/>
      <c r="Y403" s="72"/>
      <c r="Z403" s="72"/>
    </row>
    <row r="404" spans="1:26" ht="30" customHeight="1">
      <c r="A404" s="50" t="s">
        <v>1267</v>
      </c>
      <c r="B404" s="51" t="s">
        <v>1268</v>
      </c>
      <c r="C404" s="53">
        <v>114741013.03</v>
      </c>
      <c r="D404" s="52"/>
      <c r="E404" s="53">
        <v>83757224.980000004</v>
      </c>
      <c r="F404" s="53"/>
      <c r="G404" s="53">
        <f t="shared" ref="G404:G411" si="162">ROUND(E404-F404,2)</f>
        <v>83757224.980000004</v>
      </c>
      <c r="H404" s="53"/>
      <c r="I404" s="72"/>
      <c r="J404" s="72"/>
      <c r="K404" s="72"/>
      <c r="L404" s="72"/>
      <c r="M404" s="72"/>
      <c r="N404" s="72"/>
      <c r="O404" s="72"/>
      <c r="P404" s="72"/>
      <c r="Q404" s="72"/>
      <c r="R404" s="72"/>
      <c r="S404" s="72"/>
      <c r="T404" s="72"/>
      <c r="U404" s="72"/>
      <c r="V404" s="72"/>
      <c r="W404" s="72"/>
      <c r="X404" s="72"/>
      <c r="Y404" s="72"/>
      <c r="Z404" s="72"/>
    </row>
    <row r="405" spans="1:26" ht="30" customHeight="1">
      <c r="A405" s="50" t="s">
        <v>1269</v>
      </c>
      <c r="B405" s="51" t="s">
        <v>1270</v>
      </c>
      <c r="C405" s="53">
        <v>440333975.02999997</v>
      </c>
      <c r="D405" s="52"/>
      <c r="E405" s="53">
        <v>22609827.469999999</v>
      </c>
      <c r="F405" s="53"/>
      <c r="G405" s="53">
        <f t="shared" si="162"/>
        <v>22609827.469999999</v>
      </c>
      <c r="H405" s="53"/>
      <c r="I405" s="72"/>
      <c r="J405" s="72"/>
      <c r="K405" s="72"/>
      <c r="L405" s="72"/>
      <c r="M405" s="72"/>
      <c r="N405" s="72"/>
      <c r="O405" s="72"/>
      <c r="P405" s="72"/>
      <c r="Q405" s="72"/>
      <c r="R405" s="72"/>
      <c r="S405" s="72"/>
      <c r="T405" s="72"/>
      <c r="U405" s="72"/>
      <c r="V405" s="72"/>
      <c r="W405" s="72"/>
      <c r="X405" s="72"/>
      <c r="Y405" s="72"/>
      <c r="Z405" s="72"/>
    </row>
    <row r="406" spans="1:26" ht="30" customHeight="1">
      <c r="A406" s="50" t="s">
        <v>1271</v>
      </c>
      <c r="B406" s="51" t="s">
        <v>1272</v>
      </c>
      <c r="C406" s="53">
        <v>22338242.120000001</v>
      </c>
      <c r="D406" s="52"/>
      <c r="E406" s="53">
        <v>14526384.939999999</v>
      </c>
      <c r="F406" s="53"/>
      <c r="G406" s="53">
        <f t="shared" si="162"/>
        <v>14526384.939999999</v>
      </c>
      <c r="H406" s="53"/>
      <c r="I406" s="72"/>
      <c r="J406" s="72"/>
      <c r="K406" s="72"/>
      <c r="L406" s="72"/>
      <c r="M406" s="72"/>
      <c r="N406" s="72"/>
      <c r="O406" s="72"/>
      <c r="P406" s="72"/>
      <c r="Q406" s="72"/>
      <c r="R406" s="72"/>
      <c r="S406" s="72"/>
      <c r="T406" s="72"/>
      <c r="U406" s="72"/>
      <c r="V406" s="72"/>
      <c r="W406" s="72"/>
      <c r="X406" s="72"/>
      <c r="Y406" s="72"/>
      <c r="Z406" s="72"/>
    </row>
    <row r="407" spans="1:26" ht="30" customHeight="1">
      <c r="A407" s="50" t="s">
        <v>1273</v>
      </c>
      <c r="B407" s="51" t="s">
        <v>1274</v>
      </c>
      <c r="C407" s="53"/>
      <c r="D407" s="52"/>
      <c r="E407" s="53"/>
      <c r="F407" s="53"/>
      <c r="G407" s="53">
        <f t="shared" si="162"/>
        <v>0</v>
      </c>
      <c r="H407" s="53"/>
      <c r="I407" s="72"/>
      <c r="J407" s="72"/>
      <c r="K407" s="72"/>
      <c r="L407" s="72"/>
      <c r="M407" s="72"/>
      <c r="N407" s="72"/>
      <c r="O407" s="72"/>
      <c r="P407" s="72"/>
      <c r="Q407" s="72"/>
      <c r="R407" s="72"/>
      <c r="S407" s="72"/>
      <c r="T407" s="72"/>
      <c r="U407" s="72"/>
      <c r="V407" s="72"/>
      <c r="W407" s="72"/>
      <c r="X407" s="72"/>
      <c r="Y407" s="72"/>
      <c r="Z407" s="72"/>
    </row>
    <row r="408" spans="1:26" ht="30" customHeight="1">
      <c r="A408" s="50" t="s">
        <v>1275</v>
      </c>
      <c r="B408" s="51" t="s">
        <v>1276</v>
      </c>
      <c r="C408" s="53"/>
      <c r="D408" s="52"/>
      <c r="E408" s="53"/>
      <c r="F408" s="53"/>
      <c r="G408" s="53">
        <f t="shared" si="162"/>
        <v>0</v>
      </c>
      <c r="H408" s="53"/>
      <c r="I408" s="72"/>
      <c r="J408" s="72"/>
      <c r="K408" s="72"/>
      <c r="L408" s="72"/>
      <c r="M408" s="72"/>
      <c r="N408" s="72"/>
      <c r="O408" s="72"/>
      <c r="P408" s="72"/>
      <c r="Q408" s="72"/>
      <c r="R408" s="72"/>
      <c r="S408" s="72"/>
      <c r="T408" s="72"/>
      <c r="U408" s="72"/>
      <c r="V408" s="72"/>
      <c r="W408" s="72"/>
      <c r="X408" s="72"/>
      <c r="Y408" s="72"/>
      <c r="Z408" s="72"/>
    </row>
    <row r="409" spans="1:26" ht="30" customHeight="1">
      <c r="A409" s="50" t="s">
        <v>1277</v>
      </c>
      <c r="B409" s="51" t="s">
        <v>1278</v>
      </c>
      <c r="C409" s="53"/>
      <c r="D409" s="52"/>
      <c r="E409" s="53"/>
      <c r="F409" s="53"/>
      <c r="G409" s="53">
        <f t="shared" si="162"/>
        <v>0</v>
      </c>
      <c r="H409" s="53"/>
      <c r="I409" s="72"/>
      <c r="J409" s="72"/>
      <c r="K409" s="72"/>
      <c r="L409" s="72"/>
      <c r="M409" s="72"/>
      <c r="N409" s="72"/>
      <c r="O409" s="72"/>
      <c r="P409" s="72"/>
      <c r="Q409" s="72"/>
      <c r="R409" s="72"/>
      <c r="S409" s="72"/>
      <c r="T409" s="72"/>
      <c r="U409" s="72"/>
      <c r="V409" s="72"/>
      <c r="W409" s="72"/>
      <c r="X409" s="72"/>
      <c r="Y409" s="72"/>
      <c r="Z409" s="72"/>
    </row>
    <row r="410" spans="1:26" ht="30" customHeight="1">
      <c r="A410" s="50" t="s">
        <v>1279</v>
      </c>
      <c r="B410" s="51" t="s">
        <v>1280</v>
      </c>
      <c r="C410" s="53"/>
      <c r="D410" s="52"/>
      <c r="E410" s="53"/>
      <c r="F410" s="53"/>
      <c r="G410" s="53">
        <f t="shared" si="162"/>
        <v>0</v>
      </c>
      <c r="H410" s="53"/>
      <c r="I410" s="72"/>
      <c r="J410" s="72"/>
      <c r="K410" s="72"/>
      <c r="L410" s="72"/>
      <c r="M410" s="72"/>
      <c r="N410" s="72"/>
      <c r="O410" s="72"/>
      <c r="P410" s="72"/>
      <c r="Q410" s="72"/>
      <c r="R410" s="72"/>
      <c r="S410" s="72"/>
      <c r="T410" s="72"/>
      <c r="U410" s="72"/>
      <c r="V410" s="72"/>
      <c r="W410" s="72"/>
      <c r="X410" s="72"/>
      <c r="Y410" s="72"/>
      <c r="Z410" s="72"/>
    </row>
    <row r="411" spans="1:26" ht="30" customHeight="1">
      <c r="A411" s="50" t="s">
        <v>1281</v>
      </c>
      <c r="B411" s="51" t="s">
        <v>1282</v>
      </c>
      <c r="C411" s="53"/>
      <c r="D411" s="52"/>
      <c r="E411" s="53"/>
      <c r="F411" s="53"/>
      <c r="G411" s="53">
        <f t="shared" si="162"/>
        <v>0</v>
      </c>
      <c r="H411" s="53"/>
      <c r="I411" s="72"/>
      <c r="J411" s="72"/>
      <c r="K411" s="72"/>
      <c r="L411" s="72"/>
      <c r="M411" s="72"/>
      <c r="N411" s="72"/>
      <c r="O411" s="72"/>
      <c r="P411" s="72"/>
      <c r="Q411" s="72"/>
      <c r="R411" s="72"/>
      <c r="S411" s="72"/>
      <c r="T411" s="72"/>
      <c r="U411" s="72"/>
      <c r="V411" s="72"/>
      <c r="W411" s="72"/>
      <c r="X411" s="72"/>
      <c r="Y411" s="72"/>
      <c r="Z411" s="72"/>
    </row>
    <row r="412" spans="1:26" ht="30" customHeight="1">
      <c r="A412" s="44" t="s">
        <v>1283</v>
      </c>
      <c r="B412" s="45" t="s">
        <v>1284</v>
      </c>
      <c r="C412" s="40">
        <f>SUM(C413:C416)</f>
        <v>959084072.02999997</v>
      </c>
      <c r="D412" s="39"/>
      <c r="E412" s="40">
        <f t="shared" ref="E412:G412" si="163">SUM(E413:E416)</f>
        <v>588156963.23000002</v>
      </c>
      <c r="F412" s="40">
        <f t="shared" si="163"/>
        <v>0</v>
      </c>
      <c r="G412" s="40">
        <f t="shared" si="163"/>
        <v>588156963.23000002</v>
      </c>
      <c r="H412" s="40"/>
      <c r="I412" s="72"/>
      <c r="J412" s="72"/>
      <c r="K412" s="72"/>
      <c r="L412" s="72"/>
      <c r="M412" s="72"/>
      <c r="N412" s="72"/>
      <c r="O412" s="72"/>
      <c r="P412" s="72"/>
      <c r="Q412" s="72"/>
      <c r="R412" s="72"/>
      <c r="S412" s="72"/>
      <c r="T412" s="72"/>
      <c r="U412" s="72"/>
      <c r="V412" s="72"/>
      <c r="W412" s="72"/>
      <c r="X412" s="72"/>
      <c r="Y412" s="72"/>
      <c r="Z412" s="72"/>
    </row>
    <row r="413" spans="1:26" ht="30" customHeight="1">
      <c r="A413" s="50" t="s">
        <v>1285</v>
      </c>
      <c r="B413" s="51" t="s">
        <v>1286</v>
      </c>
      <c r="C413" s="53">
        <v>681757186.63</v>
      </c>
      <c r="D413" s="52"/>
      <c r="E413" s="53">
        <v>432320887.56</v>
      </c>
      <c r="F413" s="53"/>
      <c r="G413" s="53">
        <f t="shared" ref="G413:G416" si="164">ROUND(E413-F413,2)</f>
        <v>432320887.56</v>
      </c>
      <c r="H413" s="53"/>
      <c r="I413" s="72"/>
      <c r="J413" s="72"/>
      <c r="K413" s="72"/>
      <c r="L413" s="72"/>
      <c r="M413" s="72"/>
      <c r="N413" s="72"/>
      <c r="O413" s="72"/>
      <c r="P413" s="72"/>
      <c r="Q413" s="72"/>
      <c r="R413" s="72"/>
      <c r="S413" s="72"/>
      <c r="T413" s="72"/>
      <c r="U413" s="72"/>
      <c r="V413" s="72"/>
      <c r="W413" s="72"/>
      <c r="X413" s="72"/>
      <c r="Y413" s="72"/>
      <c r="Z413" s="72"/>
    </row>
    <row r="414" spans="1:26" ht="30" customHeight="1">
      <c r="A414" s="50" t="s">
        <v>1287</v>
      </c>
      <c r="B414" s="51" t="s">
        <v>1288</v>
      </c>
      <c r="C414" s="53">
        <v>89527543.760000005</v>
      </c>
      <c r="D414" s="52"/>
      <c r="E414" s="53">
        <v>55333934.390000001</v>
      </c>
      <c r="F414" s="53"/>
      <c r="G414" s="53">
        <f t="shared" si="164"/>
        <v>55333934.390000001</v>
      </c>
      <c r="H414" s="53"/>
      <c r="I414" s="72"/>
      <c r="J414" s="72"/>
      <c r="K414" s="72"/>
      <c r="L414" s="72"/>
      <c r="M414" s="72"/>
      <c r="N414" s="72"/>
      <c r="O414" s="72"/>
      <c r="P414" s="72"/>
      <c r="Q414" s="72"/>
      <c r="R414" s="72"/>
      <c r="S414" s="72"/>
      <c r="T414" s="72"/>
      <c r="U414" s="72"/>
      <c r="V414" s="72"/>
      <c r="W414" s="72"/>
      <c r="X414" s="72"/>
      <c r="Y414" s="72"/>
      <c r="Z414" s="72"/>
    </row>
    <row r="415" spans="1:26" ht="30" customHeight="1">
      <c r="A415" s="50" t="s">
        <v>1289</v>
      </c>
      <c r="B415" s="51" t="s">
        <v>1290</v>
      </c>
      <c r="C415" s="53">
        <v>56799810.899999999</v>
      </c>
      <c r="D415" s="52"/>
      <c r="E415" s="53">
        <v>39108910.549999997</v>
      </c>
      <c r="F415" s="53"/>
      <c r="G415" s="53">
        <f t="shared" si="164"/>
        <v>39108910.549999997</v>
      </c>
      <c r="H415" s="53"/>
      <c r="I415" s="72"/>
      <c r="J415" s="72"/>
      <c r="K415" s="72"/>
      <c r="L415" s="72"/>
      <c r="M415" s="72"/>
      <c r="N415" s="72"/>
      <c r="O415" s="72"/>
      <c r="P415" s="72"/>
      <c r="Q415" s="72"/>
      <c r="R415" s="72"/>
      <c r="S415" s="72"/>
      <c r="T415" s="72"/>
      <c r="U415" s="72"/>
      <c r="V415" s="72"/>
      <c r="W415" s="72"/>
      <c r="X415" s="72"/>
      <c r="Y415" s="72"/>
      <c r="Z415" s="72"/>
    </row>
    <row r="416" spans="1:26" ht="30" customHeight="1">
      <c r="A416" s="50" t="s">
        <v>1291</v>
      </c>
      <c r="B416" s="51" t="s">
        <v>1292</v>
      </c>
      <c r="C416" s="53">
        <v>130999530.73999999</v>
      </c>
      <c r="D416" s="52"/>
      <c r="E416" s="53">
        <v>61393230.729999997</v>
      </c>
      <c r="F416" s="53"/>
      <c r="G416" s="53">
        <f t="shared" si="164"/>
        <v>61393230.729999997</v>
      </c>
      <c r="H416" s="53"/>
      <c r="I416" s="72"/>
      <c r="J416" s="72"/>
      <c r="K416" s="72"/>
      <c r="L416" s="72"/>
      <c r="M416" s="72"/>
      <c r="N416" s="72"/>
      <c r="O416" s="72"/>
      <c r="P416" s="72"/>
      <c r="Q416" s="72"/>
      <c r="R416" s="72"/>
      <c r="S416" s="72"/>
      <c r="T416" s="72"/>
      <c r="U416" s="72"/>
      <c r="V416" s="72"/>
      <c r="W416" s="72"/>
      <c r="X416" s="72"/>
      <c r="Y416" s="72"/>
      <c r="Z416" s="72"/>
    </row>
    <row r="417" spans="1:26" ht="30" customHeight="1">
      <c r="A417" s="44" t="s">
        <v>1293</v>
      </c>
      <c r="B417" s="84" t="s">
        <v>1294</v>
      </c>
      <c r="C417" s="40">
        <f>SUM(C418:C423)</f>
        <v>495529441.38999999</v>
      </c>
      <c r="D417" s="39"/>
      <c r="E417" s="40">
        <f t="shared" ref="E417:G417" si="165">SUM(E418:E423)</f>
        <v>375658532.70999998</v>
      </c>
      <c r="F417" s="40">
        <f t="shared" si="165"/>
        <v>0</v>
      </c>
      <c r="G417" s="40">
        <f t="shared" si="165"/>
        <v>375658532.70999998</v>
      </c>
      <c r="H417" s="40"/>
      <c r="I417" s="72"/>
      <c r="J417" s="72"/>
      <c r="K417" s="72"/>
      <c r="L417" s="72"/>
      <c r="M417" s="72"/>
      <c r="N417" s="72"/>
      <c r="O417" s="72"/>
      <c r="P417" s="72"/>
      <c r="Q417" s="72"/>
      <c r="R417" s="72"/>
      <c r="S417" s="72"/>
      <c r="T417" s="72"/>
      <c r="U417" s="72"/>
      <c r="V417" s="72"/>
      <c r="W417" s="72"/>
      <c r="X417" s="72"/>
      <c r="Y417" s="72"/>
      <c r="Z417" s="72"/>
    </row>
    <row r="418" spans="1:26" ht="30" customHeight="1">
      <c r="A418" s="50" t="s">
        <v>1295</v>
      </c>
      <c r="B418" s="51" t="s">
        <v>1296</v>
      </c>
      <c r="C418" s="53"/>
      <c r="D418" s="52"/>
      <c r="E418" s="53"/>
      <c r="F418" s="53"/>
      <c r="G418" s="53">
        <f t="shared" ref="G418:G423" si="166">ROUND(E418-F418,2)</f>
        <v>0</v>
      </c>
      <c r="H418" s="53"/>
      <c r="I418" s="72"/>
      <c r="J418" s="72"/>
      <c r="K418" s="72"/>
      <c r="L418" s="72"/>
      <c r="M418" s="72"/>
      <c r="N418" s="72"/>
      <c r="O418" s="72"/>
      <c r="P418" s="72"/>
      <c r="Q418" s="72"/>
      <c r="R418" s="72"/>
      <c r="S418" s="72"/>
      <c r="T418" s="72"/>
      <c r="U418" s="72"/>
      <c r="V418" s="72"/>
      <c r="W418" s="72"/>
      <c r="X418" s="72"/>
      <c r="Y418" s="72"/>
      <c r="Z418" s="72"/>
    </row>
    <row r="419" spans="1:26" ht="30" customHeight="1">
      <c r="A419" s="50" t="s">
        <v>1297</v>
      </c>
      <c r="B419" s="51" t="s">
        <v>1037</v>
      </c>
      <c r="C419" s="53">
        <v>381609.69</v>
      </c>
      <c r="D419" s="52"/>
      <c r="E419" s="53">
        <v>1380000</v>
      </c>
      <c r="F419" s="53"/>
      <c r="G419" s="53">
        <f t="shared" si="166"/>
        <v>1380000</v>
      </c>
      <c r="H419" s="53"/>
      <c r="I419" s="72"/>
      <c r="J419" s="72"/>
      <c r="K419" s="72"/>
      <c r="L419" s="72"/>
      <c r="M419" s="72"/>
      <c r="N419" s="72"/>
      <c r="O419" s="72"/>
      <c r="P419" s="72"/>
      <c r="Q419" s="72"/>
      <c r="R419" s="72"/>
      <c r="S419" s="72"/>
      <c r="T419" s="72"/>
      <c r="U419" s="72"/>
      <c r="V419" s="72"/>
      <c r="W419" s="72"/>
      <c r="X419" s="72"/>
      <c r="Y419" s="72"/>
      <c r="Z419" s="72"/>
    </row>
    <row r="420" spans="1:26" ht="30" customHeight="1">
      <c r="A420" s="50" t="s">
        <v>1298</v>
      </c>
      <c r="B420" s="51" t="s">
        <v>1299</v>
      </c>
      <c r="C420" s="53"/>
      <c r="D420" s="52"/>
      <c r="E420" s="53"/>
      <c r="F420" s="53"/>
      <c r="G420" s="53">
        <f t="shared" si="166"/>
        <v>0</v>
      </c>
      <c r="H420" s="53"/>
      <c r="I420" s="72"/>
      <c r="J420" s="72"/>
      <c r="K420" s="72"/>
      <c r="L420" s="72"/>
      <c r="M420" s="72"/>
      <c r="N420" s="72"/>
      <c r="O420" s="72"/>
      <c r="P420" s="72"/>
      <c r="Q420" s="72"/>
      <c r="R420" s="72"/>
      <c r="S420" s="72"/>
      <c r="T420" s="72"/>
      <c r="U420" s="72"/>
      <c r="V420" s="72"/>
      <c r="W420" s="72"/>
      <c r="X420" s="72"/>
      <c r="Y420" s="72"/>
      <c r="Z420" s="72"/>
    </row>
    <row r="421" spans="1:26" ht="30" customHeight="1">
      <c r="A421" s="50" t="s">
        <v>1300</v>
      </c>
      <c r="B421" s="51" t="s">
        <v>1301</v>
      </c>
      <c r="C421" s="53">
        <v>42943952.079999998</v>
      </c>
      <c r="D421" s="52"/>
      <c r="E421" s="53">
        <v>24282650.300000001</v>
      </c>
      <c r="F421" s="53"/>
      <c r="G421" s="53">
        <f t="shared" si="166"/>
        <v>24282650.300000001</v>
      </c>
      <c r="H421" s="53"/>
      <c r="I421" s="72"/>
      <c r="J421" s="72"/>
      <c r="K421" s="72"/>
      <c r="L421" s="72"/>
      <c r="M421" s="72"/>
      <c r="N421" s="72"/>
      <c r="O421" s="72"/>
      <c r="P421" s="72"/>
      <c r="Q421" s="72"/>
      <c r="R421" s="72"/>
      <c r="S421" s="72"/>
      <c r="T421" s="72"/>
      <c r="U421" s="72"/>
      <c r="V421" s="72"/>
      <c r="W421" s="72"/>
      <c r="X421" s="72"/>
      <c r="Y421" s="72"/>
      <c r="Z421" s="72"/>
    </row>
    <row r="422" spans="1:26" ht="30" customHeight="1">
      <c r="A422" s="50" t="s">
        <v>1302</v>
      </c>
      <c r="B422" s="51" t="s">
        <v>1303</v>
      </c>
      <c r="C422" s="53">
        <v>273783.34000000003</v>
      </c>
      <c r="D422" s="52"/>
      <c r="E422" s="53">
        <v>180483.34</v>
      </c>
      <c r="F422" s="53"/>
      <c r="G422" s="53">
        <f t="shared" si="166"/>
        <v>180483.34</v>
      </c>
      <c r="H422" s="53"/>
      <c r="I422" s="72"/>
      <c r="J422" s="72"/>
      <c r="K422" s="72"/>
      <c r="L422" s="72"/>
      <c r="M422" s="72"/>
      <c r="N422" s="72"/>
      <c r="O422" s="72"/>
      <c r="P422" s="72"/>
      <c r="Q422" s="72"/>
      <c r="R422" s="72"/>
      <c r="S422" s="72"/>
      <c r="T422" s="72"/>
      <c r="U422" s="72"/>
      <c r="V422" s="72"/>
      <c r="W422" s="72"/>
      <c r="X422" s="72"/>
      <c r="Y422" s="72"/>
      <c r="Z422" s="72"/>
    </row>
    <row r="423" spans="1:26" ht="30" customHeight="1">
      <c r="A423" s="50" t="s">
        <v>1304</v>
      </c>
      <c r="B423" s="51" t="s">
        <v>1294</v>
      </c>
      <c r="C423" s="53">
        <v>451930096.27999997</v>
      </c>
      <c r="D423" s="52"/>
      <c r="E423" s="53">
        <v>349815399.06999999</v>
      </c>
      <c r="F423" s="53"/>
      <c r="G423" s="53">
        <f t="shared" si="166"/>
        <v>349815399.06999999</v>
      </c>
      <c r="H423" s="53"/>
      <c r="I423" s="72"/>
      <c r="J423" s="72"/>
      <c r="K423" s="72"/>
      <c r="L423" s="72"/>
      <c r="M423" s="72"/>
      <c r="N423" s="72"/>
      <c r="O423" s="72"/>
      <c r="P423" s="72"/>
      <c r="Q423" s="72"/>
      <c r="R423" s="72"/>
      <c r="S423" s="72"/>
      <c r="T423" s="72"/>
      <c r="U423" s="72"/>
      <c r="V423" s="72"/>
      <c r="W423" s="72"/>
      <c r="X423" s="72"/>
      <c r="Y423" s="72"/>
      <c r="Z423" s="72"/>
    </row>
    <row r="424" spans="1:26" ht="30" customHeight="1">
      <c r="A424" s="44" t="s">
        <v>1305</v>
      </c>
      <c r="B424" s="45" t="s">
        <v>1306</v>
      </c>
      <c r="C424" s="40">
        <f>SUM(C425:C426)</f>
        <v>0</v>
      </c>
      <c r="D424" s="39"/>
      <c r="E424" s="40">
        <f t="shared" ref="E424:G424" si="167">SUM(E425:E426)</f>
        <v>0</v>
      </c>
      <c r="F424" s="40">
        <f t="shared" si="167"/>
        <v>0</v>
      </c>
      <c r="G424" s="40">
        <f t="shared" si="167"/>
        <v>0</v>
      </c>
      <c r="H424" s="40"/>
      <c r="I424" s="72"/>
      <c r="J424" s="72"/>
      <c r="K424" s="72"/>
      <c r="L424" s="72"/>
      <c r="M424" s="72"/>
      <c r="N424" s="72"/>
      <c r="O424" s="72"/>
      <c r="P424" s="72"/>
      <c r="Q424" s="72"/>
      <c r="R424" s="72"/>
      <c r="S424" s="72"/>
      <c r="T424" s="72"/>
      <c r="U424" s="72"/>
      <c r="V424" s="72"/>
      <c r="W424" s="72"/>
      <c r="X424" s="72"/>
      <c r="Y424" s="72"/>
      <c r="Z424" s="72"/>
    </row>
    <row r="425" spans="1:26" ht="30" customHeight="1">
      <c r="A425" s="50" t="s">
        <v>1307</v>
      </c>
      <c r="B425" s="51" t="s">
        <v>1308</v>
      </c>
      <c r="C425" s="53"/>
      <c r="D425" s="52"/>
      <c r="E425" s="53"/>
      <c r="F425" s="53"/>
      <c r="G425" s="53">
        <f t="shared" ref="G425:G426" si="168">ROUND(E425-F425,2)</f>
        <v>0</v>
      </c>
      <c r="H425" s="53"/>
      <c r="I425" s="72"/>
      <c r="J425" s="72"/>
      <c r="K425" s="72"/>
      <c r="L425" s="72"/>
      <c r="M425" s="72"/>
      <c r="N425" s="72"/>
      <c r="O425" s="72"/>
      <c r="P425" s="72"/>
      <c r="Q425" s="72"/>
      <c r="R425" s="72"/>
      <c r="S425" s="72"/>
      <c r="T425" s="72"/>
      <c r="U425" s="72"/>
      <c r="V425" s="72"/>
      <c r="W425" s="72"/>
      <c r="X425" s="72"/>
      <c r="Y425" s="72"/>
      <c r="Z425" s="72"/>
    </row>
    <row r="426" spans="1:26" ht="30" customHeight="1">
      <c r="A426" s="50" t="s">
        <v>1309</v>
      </c>
      <c r="B426" s="51" t="s">
        <v>1310</v>
      </c>
      <c r="C426" s="53"/>
      <c r="D426" s="52"/>
      <c r="E426" s="53"/>
      <c r="F426" s="53"/>
      <c r="G426" s="53">
        <f t="shared" si="168"/>
        <v>0</v>
      </c>
      <c r="H426" s="53"/>
      <c r="I426" s="72"/>
      <c r="J426" s="72"/>
      <c r="K426" s="72"/>
      <c r="L426" s="72"/>
      <c r="M426" s="72"/>
      <c r="N426" s="72"/>
      <c r="O426" s="72"/>
      <c r="P426" s="72"/>
      <c r="Q426" s="72"/>
      <c r="R426" s="72"/>
      <c r="S426" s="72"/>
      <c r="T426" s="72"/>
      <c r="U426" s="72"/>
      <c r="V426" s="72"/>
      <c r="W426" s="72"/>
      <c r="X426" s="72"/>
      <c r="Y426" s="72"/>
      <c r="Z426" s="72"/>
    </row>
    <row r="427" spans="1:26" ht="30" customHeight="1">
      <c r="A427" s="32" t="s">
        <v>1311</v>
      </c>
      <c r="B427" s="48" t="s">
        <v>1312</v>
      </c>
      <c r="C427" s="34">
        <f>C428+C437+C441+C451+C461+C469+C472+C478+C482</f>
        <v>509437798.33999997</v>
      </c>
      <c r="D427" s="34"/>
      <c r="E427" s="34">
        <f t="shared" ref="E427:G427" si="169">E428+E437+E441+E451+E461+E469+E472+E478+E482</f>
        <v>193415611.82999998</v>
      </c>
      <c r="F427" s="34">
        <f t="shared" si="169"/>
        <v>0</v>
      </c>
      <c r="G427" s="35">
        <f t="shared" si="169"/>
        <v>193415611.82999998</v>
      </c>
      <c r="H427" s="35"/>
      <c r="I427" s="72"/>
      <c r="J427" s="72"/>
      <c r="K427" s="72"/>
      <c r="L427" s="72"/>
      <c r="M427" s="72"/>
      <c r="N427" s="72"/>
      <c r="O427" s="72"/>
      <c r="P427" s="72"/>
      <c r="Q427" s="72"/>
      <c r="R427" s="72"/>
      <c r="S427" s="72"/>
      <c r="T427" s="72"/>
      <c r="U427" s="72"/>
      <c r="V427" s="72"/>
      <c r="W427" s="72"/>
      <c r="X427" s="72"/>
      <c r="Y427" s="72"/>
      <c r="Z427" s="72"/>
    </row>
    <row r="428" spans="1:26" ht="30" customHeight="1">
      <c r="A428" s="44" t="s">
        <v>1313</v>
      </c>
      <c r="B428" s="45" t="s">
        <v>1314</v>
      </c>
      <c r="C428" s="40">
        <f>SUM(C429:C436)</f>
        <v>65853993.380000003</v>
      </c>
      <c r="D428" s="39"/>
      <c r="E428" s="40">
        <f t="shared" ref="E428:G428" si="170">SUM(E429:E436)</f>
        <v>22446917.890000001</v>
      </c>
      <c r="F428" s="40">
        <f t="shared" si="170"/>
        <v>0</v>
      </c>
      <c r="G428" s="40">
        <f t="shared" si="170"/>
        <v>22446917.890000001</v>
      </c>
      <c r="H428" s="40"/>
      <c r="I428" s="72"/>
      <c r="J428" s="72"/>
      <c r="K428" s="72"/>
      <c r="L428" s="72"/>
      <c r="M428" s="72"/>
      <c r="N428" s="72"/>
      <c r="O428" s="72"/>
      <c r="P428" s="72"/>
      <c r="Q428" s="72"/>
      <c r="R428" s="72"/>
      <c r="S428" s="72"/>
      <c r="T428" s="72"/>
      <c r="U428" s="72"/>
      <c r="V428" s="72"/>
      <c r="W428" s="72"/>
      <c r="X428" s="72"/>
      <c r="Y428" s="72"/>
      <c r="Z428" s="72"/>
    </row>
    <row r="429" spans="1:26" ht="30" customHeight="1">
      <c r="A429" s="50" t="s">
        <v>1315</v>
      </c>
      <c r="B429" s="51" t="s">
        <v>1316</v>
      </c>
      <c r="C429" s="53">
        <v>11876422.82</v>
      </c>
      <c r="D429" s="52"/>
      <c r="E429" s="53">
        <v>95250.32</v>
      </c>
      <c r="F429" s="53"/>
      <c r="G429" s="53">
        <f t="shared" ref="G429:G436" si="171">ROUND(E429-F429,2)</f>
        <v>95250.32</v>
      </c>
      <c r="H429" s="53"/>
      <c r="I429" s="72"/>
      <c r="J429" s="72"/>
      <c r="K429" s="72"/>
      <c r="L429" s="72"/>
      <c r="M429" s="72"/>
      <c r="N429" s="72"/>
      <c r="O429" s="72"/>
      <c r="P429" s="72"/>
      <c r="Q429" s="72"/>
      <c r="R429" s="72"/>
      <c r="S429" s="72"/>
      <c r="T429" s="72"/>
      <c r="U429" s="72"/>
      <c r="V429" s="72"/>
      <c r="W429" s="72"/>
      <c r="X429" s="72"/>
      <c r="Y429" s="72"/>
      <c r="Z429" s="72"/>
    </row>
    <row r="430" spans="1:26" ht="30" customHeight="1">
      <c r="A430" s="50" t="s">
        <v>1317</v>
      </c>
      <c r="B430" s="51" t="s">
        <v>1318</v>
      </c>
      <c r="C430" s="53">
        <v>2852.64</v>
      </c>
      <c r="D430" s="52"/>
      <c r="E430" s="53">
        <v>4302</v>
      </c>
      <c r="F430" s="53"/>
      <c r="G430" s="53">
        <f t="shared" si="171"/>
        <v>4302</v>
      </c>
      <c r="H430" s="53"/>
      <c r="I430" s="72"/>
      <c r="J430" s="72"/>
      <c r="K430" s="72"/>
      <c r="L430" s="72"/>
      <c r="M430" s="72"/>
      <c r="N430" s="72"/>
      <c r="O430" s="72"/>
      <c r="P430" s="72"/>
      <c r="Q430" s="72"/>
      <c r="R430" s="72"/>
      <c r="S430" s="72"/>
      <c r="T430" s="72"/>
      <c r="U430" s="72"/>
      <c r="V430" s="72"/>
      <c r="W430" s="72"/>
      <c r="X430" s="72"/>
      <c r="Y430" s="72"/>
      <c r="Z430" s="72"/>
    </row>
    <row r="431" spans="1:26" ht="30" customHeight="1">
      <c r="A431" s="50" t="s">
        <v>1319</v>
      </c>
      <c r="B431" s="51" t="s">
        <v>1320</v>
      </c>
      <c r="C431" s="53"/>
      <c r="D431" s="52"/>
      <c r="E431" s="53"/>
      <c r="F431" s="53"/>
      <c r="G431" s="53">
        <f t="shared" si="171"/>
        <v>0</v>
      </c>
      <c r="H431" s="53"/>
      <c r="I431" s="72"/>
      <c r="J431" s="72"/>
      <c r="K431" s="72"/>
      <c r="L431" s="72"/>
      <c r="M431" s="72"/>
      <c r="N431" s="72"/>
      <c r="O431" s="72"/>
      <c r="P431" s="72"/>
      <c r="Q431" s="72"/>
      <c r="R431" s="72"/>
      <c r="S431" s="72"/>
      <c r="T431" s="72"/>
      <c r="U431" s="72"/>
      <c r="V431" s="72"/>
      <c r="W431" s="72"/>
      <c r="X431" s="72"/>
      <c r="Y431" s="72"/>
      <c r="Z431" s="72"/>
    </row>
    <row r="432" spans="1:26" ht="30" customHeight="1">
      <c r="A432" s="50" t="s">
        <v>1321</v>
      </c>
      <c r="B432" s="51" t="s">
        <v>1322</v>
      </c>
      <c r="C432" s="53">
        <v>3092078.05</v>
      </c>
      <c r="D432" s="52"/>
      <c r="E432" s="53">
        <v>51971.18</v>
      </c>
      <c r="F432" s="53"/>
      <c r="G432" s="53">
        <f t="shared" si="171"/>
        <v>51971.18</v>
      </c>
      <c r="H432" s="53"/>
      <c r="I432" s="72"/>
      <c r="J432" s="72"/>
      <c r="K432" s="72"/>
      <c r="L432" s="72"/>
      <c r="M432" s="72"/>
      <c r="N432" s="72"/>
      <c r="O432" s="72"/>
      <c r="P432" s="72"/>
      <c r="Q432" s="72"/>
      <c r="R432" s="72"/>
      <c r="S432" s="72"/>
      <c r="T432" s="72"/>
      <c r="U432" s="72"/>
      <c r="V432" s="72"/>
      <c r="W432" s="72"/>
      <c r="X432" s="72"/>
      <c r="Y432" s="72"/>
      <c r="Z432" s="72"/>
    </row>
    <row r="433" spans="1:26" ht="30" customHeight="1">
      <c r="A433" s="50" t="s">
        <v>1323</v>
      </c>
      <c r="B433" s="51" t="s">
        <v>1324</v>
      </c>
      <c r="C433" s="53">
        <v>310449.83</v>
      </c>
      <c r="D433" s="52"/>
      <c r="E433" s="53">
        <v>63215.199999999997</v>
      </c>
      <c r="F433" s="53"/>
      <c r="G433" s="53">
        <f t="shared" si="171"/>
        <v>63215.199999999997</v>
      </c>
      <c r="H433" s="53"/>
      <c r="I433" s="72"/>
      <c r="J433" s="72"/>
      <c r="K433" s="72"/>
      <c r="L433" s="72"/>
      <c r="M433" s="72"/>
      <c r="N433" s="72"/>
      <c r="O433" s="72"/>
      <c r="P433" s="72"/>
      <c r="Q433" s="72"/>
      <c r="R433" s="72"/>
      <c r="S433" s="72"/>
      <c r="T433" s="72"/>
      <c r="U433" s="72"/>
      <c r="V433" s="72"/>
      <c r="W433" s="72"/>
      <c r="X433" s="72"/>
      <c r="Y433" s="72"/>
      <c r="Z433" s="72"/>
    </row>
    <row r="434" spans="1:26" ht="30" customHeight="1">
      <c r="A434" s="50" t="s">
        <v>1325</v>
      </c>
      <c r="B434" s="51" t="s">
        <v>1326</v>
      </c>
      <c r="C434" s="53">
        <v>34538683.810000002</v>
      </c>
      <c r="D434" s="52"/>
      <c r="E434" s="53">
        <v>11051080.99</v>
      </c>
      <c r="F434" s="53"/>
      <c r="G434" s="53">
        <f t="shared" si="171"/>
        <v>11051080.99</v>
      </c>
      <c r="H434" s="53"/>
      <c r="I434" s="72"/>
      <c r="J434" s="72"/>
      <c r="K434" s="72"/>
      <c r="L434" s="72"/>
      <c r="M434" s="72"/>
      <c r="N434" s="72"/>
      <c r="O434" s="72"/>
      <c r="P434" s="72"/>
      <c r="Q434" s="72"/>
      <c r="R434" s="72"/>
      <c r="S434" s="72"/>
      <c r="T434" s="72"/>
      <c r="U434" s="72"/>
      <c r="V434" s="72"/>
      <c r="W434" s="72"/>
      <c r="X434" s="72"/>
      <c r="Y434" s="72"/>
      <c r="Z434" s="72"/>
    </row>
    <row r="435" spans="1:26" ht="30" customHeight="1">
      <c r="A435" s="50" t="s">
        <v>1327</v>
      </c>
      <c r="B435" s="51" t="s">
        <v>1328</v>
      </c>
      <c r="C435" s="53">
        <v>506094.23</v>
      </c>
      <c r="D435" s="52"/>
      <c r="E435" s="53">
        <v>14469.06</v>
      </c>
      <c r="F435" s="53"/>
      <c r="G435" s="53">
        <f t="shared" si="171"/>
        <v>14469.06</v>
      </c>
      <c r="H435" s="53"/>
      <c r="I435" s="72"/>
      <c r="J435" s="72"/>
      <c r="K435" s="72"/>
      <c r="L435" s="72"/>
      <c r="M435" s="72"/>
      <c r="N435" s="72"/>
      <c r="O435" s="72"/>
      <c r="P435" s="72"/>
      <c r="Q435" s="72"/>
      <c r="R435" s="72"/>
      <c r="S435" s="72"/>
      <c r="T435" s="72"/>
      <c r="U435" s="72"/>
      <c r="V435" s="72"/>
      <c r="W435" s="72"/>
      <c r="X435" s="72"/>
      <c r="Y435" s="72"/>
      <c r="Z435" s="72"/>
    </row>
    <row r="436" spans="1:26" ht="30" customHeight="1">
      <c r="A436" s="50" t="s">
        <v>1329</v>
      </c>
      <c r="B436" s="51" t="s">
        <v>1330</v>
      </c>
      <c r="C436" s="53">
        <v>15527412</v>
      </c>
      <c r="D436" s="52"/>
      <c r="E436" s="53">
        <v>11166629.140000001</v>
      </c>
      <c r="F436" s="53"/>
      <c r="G436" s="53">
        <f t="shared" si="171"/>
        <v>11166629.140000001</v>
      </c>
      <c r="H436" s="53"/>
      <c r="I436" s="72"/>
      <c r="J436" s="72"/>
      <c r="K436" s="72"/>
      <c r="L436" s="72"/>
      <c r="M436" s="72"/>
      <c r="N436" s="72"/>
      <c r="O436" s="72"/>
      <c r="P436" s="72"/>
      <c r="Q436" s="72"/>
      <c r="R436" s="72"/>
      <c r="S436" s="72"/>
      <c r="T436" s="72"/>
      <c r="U436" s="72"/>
      <c r="V436" s="72"/>
      <c r="W436" s="72"/>
      <c r="X436" s="72"/>
      <c r="Y436" s="72"/>
      <c r="Z436" s="72"/>
    </row>
    <row r="437" spans="1:26" ht="30" customHeight="1">
      <c r="A437" s="44" t="s">
        <v>1331</v>
      </c>
      <c r="B437" s="45" t="s">
        <v>1332</v>
      </c>
      <c r="C437" s="40">
        <f>SUM(C438:C440)</f>
        <v>17563497.029999997</v>
      </c>
      <c r="D437" s="39"/>
      <c r="E437" s="40">
        <f t="shared" ref="E437:G437" si="172">SUM(E438:E440)</f>
        <v>7004563.5499999998</v>
      </c>
      <c r="F437" s="40">
        <f t="shared" si="172"/>
        <v>0</v>
      </c>
      <c r="G437" s="40">
        <f t="shared" si="172"/>
        <v>7004563.5499999998</v>
      </c>
      <c r="H437" s="40"/>
      <c r="I437" s="72"/>
      <c r="J437" s="72"/>
      <c r="K437" s="72"/>
      <c r="L437" s="72"/>
      <c r="M437" s="72"/>
      <c r="N437" s="72"/>
      <c r="O437" s="72"/>
      <c r="P437" s="72"/>
      <c r="Q437" s="72"/>
      <c r="R437" s="72"/>
      <c r="S437" s="72"/>
      <c r="T437" s="72"/>
      <c r="U437" s="72"/>
      <c r="V437" s="72"/>
      <c r="W437" s="72"/>
      <c r="X437" s="72"/>
      <c r="Y437" s="72"/>
      <c r="Z437" s="72"/>
    </row>
    <row r="438" spans="1:26" ht="30" customHeight="1">
      <c r="A438" s="50" t="s">
        <v>1333</v>
      </c>
      <c r="B438" s="51" t="s">
        <v>1334</v>
      </c>
      <c r="C438" s="53">
        <v>13503412.289999999</v>
      </c>
      <c r="D438" s="52"/>
      <c r="E438" s="53">
        <v>6706010.7199999997</v>
      </c>
      <c r="F438" s="53"/>
      <c r="G438" s="53">
        <f t="shared" ref="G438:G440" si="173">ROUND(E438-F438,2)</f>
        <v>6706010.7199999997</v>
      </c>
      <c r="H438" s="53"/>
      <c r="I438" s="72"/>
      <c r="J438" s="72"/>
      <c r="K438" s="72"/>
      <c r="L438" s="72"/>
      <c r="M438" s="72"/>
      <c r="N438" s="72"/>
      <c r="O438" s="72"/>
      <c r="P438" s="72"/>
      <c r="Q438" s="72"/>
      <c r="R438" s="72"/>
      <c r="S438" s="72"/>
      <c r="T438" s="72"/>
      <c r="U438" s="72"/>
      <c r="V438" s="72"/>
      <c r="W438" s="72"/>
      <c r="X438" s="72"/>
      <c r="Y438" s="72"/>
      <c r="Z438" s="72"/>
    </row>
    <row r="439" spans="1:26" ht="30" customHeight="1">
      <c r="A439" s="50" t="s">
        <v>1335</v>
      </c>
      <c r="B439" s="51" t="s">
        <v>1336</v>
      </c>
      <c r="C439" s="53">
        <v>3819507.5</v>
      </c>
      <c r="D439" s="52"/>
      <c r="E439" s="53">
        <v>259240</v>
      </c>
      <c r="F439" s="53"/>
      <c r="G439" s="53">
        <f t="shared" si="173"/>
        <v>259240</v>
      </c>
      <c r="H439" s="53"/>
      <c r="I439" s="72"/>
      <c r="J439" s="72"/>
      <c r="K439" s="72"/>
      <c r="L439" s="72"/>
      <c r="M439" s="72"/>
      <c r="N439" s="72"/>
      <c r="O439" s="72"/>
      <c r="P439" s="72"/>
      <c r="Q439" s="72"/>
      <c r="R439" s="72"/>
      <c r="S439" s="72"/>
      <c r="T439" s="72"/>
      <c r="U439" s="72"/>
      <c r="V439" s="72"/>
      <c r="W439" s="72"/>
      <c r="X439" s="72"/>
      <c r="Y439" s="72"/>
      <c r="Z439" s="72"/>
    </row>
    <row r="440" spans="1:26" ht="30" customHeight="1">
      <c r="A440" s="50" t="s">
        <v>1337</v>
      </c>
      <c r="B440" s="51" t="s">
        <v>1338</v>
      </c>
      <c r="C440" s="53">
        <v>240577.24</v>
      </c>
      <c r="D440" s="52"/>
      <c r="E440" s="53">
        <v>39312.83</v>
      </c>
      <c r="F440" s="53"/>
      <c r="G440" s="53">
        <f t="shared" si="173"/>
        <v>39312.83</v>
      </c>
      <c r="H440" s="53"/>
      <c r="I440" s="72"/>
      <c r="J440" s="72"/>
      <c r="K440" s="72"/>
      <c r="L440" s="72"/>
      <c r="M440" s="72"/>
      <c r="N440" s="72"/>
      <c r="O440" s="72"/>
      <c r="P440" s="72"/>
      <c r="Q440" s="72"/>
      <c r="R440" s="72"/>
      <c r="S440" s="72"/>
      <c r="T440" s="72"/>
      <c r="U440" s="72"/>
      <c r="V440" s="72"/>
      <c r="W440" s="72"/>
      <c r="X440" s="72"/>
      <c r="Y440" s="72"/>
      <c r="Z440" s="72"/>
    </row>
    <row r="441" spans="1:26" ht="30" customHeight="1">
      <c r="A441" s="44" t="s">
        <v>1339</v>
      </c>
      <c r="B441" s="84" t="s">
        <v>1340</v>
      </c>
      <c r="C441" s="40">
        <f>SUM(C442:C450)</f>
        <v>0</v>
      </c>
      <c r="D441" s="39"/>
      <c r="E441" s="40">
        <f t="shared" ref="E441:G441" si="174">SUM(E442:E450)</f>
        <v>0</v>
      </c>
      <c r="F441" s="40">
        <f t="shared" si="174"/>
        <v>0</v>
      </c>
      <c r="G441" s="40">
        <f t="shared" si="174"/>
        <v>0</v>
      </c>
      <c r="H441" s="40"/>
      <c r="I441" s="72"/>
      <c r="J441" s="72"/>
      <c r="K441" s="72"/>
      <c r="L441" s="72"/>
      <c r="M441" s="72"/>
      <c r="N441" s="72"/>
      <c r="O441" s="72"/>
      <c r="P441" s="72"/>
      <c r="Q441" s="72"/>
      <c r="R441" s="72"/>
      <c r="S441" s="72"/>
      <c r="T441" s="72"/>
      <c r="U441" s="72"/>
      <c r="V441" s="72"/>
      <c r="W441" s="72"/>
      <c r="X441" s="72"/>
      <c r="Y441" s="72"/>
      <c r="Z441" s="72"/>
    </row>
    <row r="442" spans="1:26" ht="30" customHeight="1">
      <c r="A442" s="50" t="s">
        <v>1341</v>
      </c>
      <c r="B442" s="51" t="s">
        <v>1342</v>
      </c>
      <c r="C442" s="52"/>
      <c r="D442" s="52"/>
      <c r="E442" s="52"/>
      <c r="F442" s="52"/>
      <c r="G442" s="53"/>
      <c r="H442" s="53"/>
      <c r="I442" s="72"/>
      <c r="J442" s="72"/>
      <c r="K442" s="72"/>
      <c r="L442" s="72"/>
      <c r="M442" s="72"/>
      <c r="N442" s="72"/>
      <c r="O442" s="72"/>
      <c r="P442" s="72"/>
      <c r="Q442" s="72"/>
      <c r="R442" s="72"/>
      <c r="S442" s="72"/>
      <c r="T442" s="72"/>
      <c r="U442" s="72"/>
      <c r="V442" s="72"/>
      <c r="W442" s="72"/>
      <c r="X442" s="72"/>
      <c r="Y442" s="72"/>
      <c r="Z442" s="72"/>
    </row>
    <row r="443" spans="1:26" ht="30" customHeight="1">
      <c r="A443" s="50" t="s">
        <v>1343</v>
      </c>
      <c r="B443" s="51" t="s">
        <v>1344</v>
      </c>
      <c r="C443" s="52"/>
      <c r="D443" s="52"/>
      <c r="E443" s="52"/>
      <c r="F443" s="52"/>
      <c r="G443" s="53"/>
      <c r="H443" s="53"/>
      <c r="I443" s="72"/>
      <c r="J443" s="72"/>
      <c r="K443" s="72"/>
      <c r="L443" s="72"/>
      <c r="M443" s="72"/>
      <c r="N443" s="72"/>
      <c r="O443" s="72"/>
      <c r="P443" s="72"/>
      <c r="Q443" s="72"/>
      <c r="R443" s="72"/>
      <c r="S443" s="72"/>
      <c r="T443" s="72"/>
      <c r="U443" s="72"/>
      <c r="V443" s="72"/>
      <c r="W443" s="72"/>
      <c r="X443" s="72"/>
      <c r="Y443" s="72"/>
      <c r="Z443" s="72"/>
    </row>
    <row r="444" spans="1:26" ht="30" customHeight="1">
      <c r="A444" s="50" t="s">
        <v>1345</v>
      </c>
      <c r="B444" s="51" t="s">
        <v>1346</v>
      </c>
      <c r="C444" s="52"/>
      <c r="D444" s="52"/>
      <c r="E444" s="52"/>
      <c r="F444" s="52"/>
      <c r="G444" s="53"/>
      <c r="H444" s="53"/>
      <c r="I444" s="72"/>
      <c r="J444" s="72"/>
      <c r="K444" s="72"/>
      <c r="L444" s="72"/>
      <c r="M444" s="72"/>
      <c r="N444" s="72"/>
      <c r="O444" s="72"/>
      <c r="P444" s="72"/>
      <c r="Q444" s="72"/>
      <c r="R444" s="72"/>
      <c r="S444" s="72"/>
      <c r="T444" s="72"/>
      <c r="U444" s="72"/>
      <c r="V444" s="72"/>
      <c r="W444" s="72"/>
      <c r="X444" s="72"/>
      <c r="Y444" s="72"/>
      <c r="Z444" s="72"/>
    </row>
    <row r="445" spans="1:26" ht="30" customHeight="1">
      <c r="A445" s="50" t="s">
        <v>1347</v>
      </c>
      <c r="B445" s="51" t="s">
        <v>1348</v>
      </c>
      <c r="C445" s="52"/>
      <c r="D445" s="52"/>
      <c r="E445" s="52"/>
      <c r="F445" s="52"/>
      <c r="G445" s="53"/>
      <c r="H445" s="53"/>
      <c r="I445" s="72"/>
      <c r="J445" s="72"/>
      <c r="K445" s="72"/>
      <c r="L445" s="72"/>
      <c r="M445" s="72"/>
      <c r="N445" s="72"/>
      <c r="O445" s="72"/>
      <c r="P445" s="72"/>
      <c r="Q445" s="72"/>
      <c r="R445" s="72"/>
      <c r="S445" s="72"/>
      <c r="T445" s="72"/>
      <c r="U445" s="72"/>
      <c r="V445" s="72"/>
      <c r="W445" s="72"/>
      <c r="X445" s="72"/>
      <c r="Y445" s="72"/>
      <c r="Z445" s="72"/>
    </row>
    <row r="446" spans="1:26" ht="30" customHeight="1">
      <c r="A446" s="50" t="s">
        <v>1349</v>
      </c>
      <c r="B446" s="51" t="s">
        <v>1350</v>
      </c>
      <c r="C446" s="52"/>
      <c r="D446" s="52"/>
      <c r="E446" s="52"/>
      <c r="F446" s="52"/>
      <c r="G446" s="53"/>
      <c r="H446" s="53"/>
      <c r="I446" s="72"/>
      <c r="J446" s="72"/>
      <c r="K446" s="72"/>
      <c r="L446" s="72"/>
      <c r="M446" s="72"/>
      <c r="N446" s="72"/>
      <c r="O446" s="72"/>
      <c r="P446" s="72"/>
      <c r="Q446" s="72"/>
      <c r="R446" s="72"/>
      <c r="S446" s="72"/>
      <c r="T446" s="72"/>
      <c r="U446" s="72"/>
      <c r="V446" s="72"/>
      <c r="W446" s="72"/>
      <c r="X446" s="72"/>
      <c r="Y446" s="72"/>
      <c r="Z446" s="72"/>
    </row>
    <row r="447" spans="1:26" ht="30" customHeight="1">
      <c r="A447" s="50" t="s">
        <v>1351</v>
      </c>
      <c r="B447" s="51" t="s">
        <v>1352</v>
      </c>
      <c r="C447" s="52"/>
      <c r="D447" s="52"/>
      <c r="E447" s="52"/>
      <c r="F447" s="52"/>
      <c r="G447" s="53"/>
      <c r="H447" s="53"/>
      <c r="I447" s="72"/>
      <c r="J447" s="72"/>
      <c r="K447" s="72"/>
      <c r="L447" s="72"/>
      <c r="M447" s="72"/>
      <c r="N447" s="72"/>
      <c r="O447" s="72"/>
      <c r="P447" s="72"/>
      <c r="Q447" s="72"/>
      <c r="R447" s="72"/>
      <c r="S447" s="72"/>
      <c r="T447" s="72"/>
      <c r="U447" s="72"/>
      <c r="V447" s="72"/>
      <c r="W447" s="72"/>
      <c r="X447" s="72"/>
      <c r="Y447" s="72"/>
      <c r="Z447" s="72"/>
    </row>
    <row r="448" spans="1:26" ht="30" customHeight="1">
      <c r="A448" s="50" t="s">
        <v>1353</v>
      </c>
      <c r="B448" s="51" t="s">
        <v>1354</v>
      </c>
      <c r="C448" s="52"/>
      <c r="D448" s="52"/>
      <c r="E448" s="52"/>
      <c r="F448" s="52"/>
      <c r="G448" s="53"/>
      <c r="H448" s="53"/>
      <c r="I448" s="72"/>
      <c r="J448" s="72"/>
      <c r="K448" s="72"/>
      <c r="L448" s="72"/>
      <c r="M448" s="72"/>
      <c r="N448" s="72"/>
      <c r="O448" s="72"/>
      <c r="P448" s="72"/>
      <c r="Q448" s="72"/>
      <c r="R448" s="72"/>
      <c r="S448" s="72"/>
      <c r="T448" s="72"/>
      <c r="U448" s="72"/>
      <c r="V448" s="72"/>
      <c r="W448" s="72"/>
      <c r="X448" s="72"/>
      <c r="Y448" s="72"/>
      <c r="Z448" s="72"/>
    </row>
    <row r="449" spans="1:26" ht="30" customHeight="1">
      <c r="A449" s="50" t="s">
        <v>1355</v>
      </c>
      <c r="B449" s="51" t="s">
        <v>1356</v>
      </c>
      <c r="C449" s="52"/>
      <c r="D449" s="52"/>
      <c r="E449" s="52"/>
      <c r="F449" s="52"/>
      <c r="G449" s="53"/>
      <c r="H449" s="53"/>
      <c r="I449" s="72"/>
      <c r="J449" s="72"/>
      <c r="K449" s="72"/>
      <c r="L449" s="72"/>
      <c r="M449" s="72"/>
      <c r="N449" s="72"/>
      <c r="O449" s="72"/>
      <c r="P449" s="72"/>
      <c r="Q449" s="72"/>
      <c r="R449" s="72"/>
      <c r="S449" s="72"/>
      <c r="T449" s="72"/>
      <c r="U449" s="72"/>
      <c r="V449" s="72"/>
      <c r="W449" s="72"/>
      <c r="X449" s="72"/>
      <c r="Y449" s="72"/>
      <c r="Z449" s="72"/>
    </row>
    <row r="450" spans="1:26" ht="30" customHeight="1">
      <c r="A450" s="50" t="s">
        <v>1357</v>
      </c>
      <c r="B450" s="51" t="s">
        <v>1358</v>
      </c>
      <c r="C450" s="52"/>
      <c r="D450" s="52"/>
      <c r="E450" s="52"/>
      <c r="F450" s="52"/>
      <c r="G450" s="53"/>
      <c r="H450" s="53"/>
      <c r="I450" s="72"/>
      <c r="J450" s="72"/>
      <c r="K450" s="72"/>
      <c r="L450" s="72"/>
      <c r="M450" s="72"/>
      <c r="N450" s="72"/>
      <c r="O450" s="72"/>
      <c r="P450" s="72"/>
      <c r="Q450" s="72"/>
      <c r="R450" s="72"/>
      <c r="S450" s="72"/>
      <c r="T450" s="72"/>
      <c r="U450" s="72"/>
      <c r="V450" s="72"/>
      <c r="W450" s="72"/>
      <c r="X450" s="72"/>
      <c r="Y450" s="72"/>
      <c r="Z450" s="72"/>
    </row>
    <row r="451" spans="1:26" ht="30" customHeight="1">
      <c r="A451" s="44" t="s">
        <v>1359</v>
      </c>
      <c r="B451" s="45" t="s">
        <v>1360</v>
      </c>
      <c r="C451" s="40">
        <f>SUM(C452:C460)</f>
        <v>61902837.460000001</v>
      </c>
      <c r="D451" s="39"/>
      <c r="E451" s="40">
        <f t="shared" ref="E451:G451" si="175">SUM(E452:E460)</f>
        <v>2117731.4</v>
      </c>
      <c r="F451" s="40">
        <f t="shared" si="175"/>
        <v>0</v>
      </c>
      <c r="G451" s="40">
        <f t="shared" si="175"/>
        <v>2117731.4</v>
      </c>
      <c r="H451" s="40"/>
      <c r="I451" s="72"/>
      <c r="J451" s="72"/>
      <c r="K451" s="72"/>
      <c r="L451" s="72"/>
      <c r="M451" s="72"/>
      <c r="N451" s="72"/>
      <c r="O451" s="72"/>
      <c r="P451" s="72"/>
      <c r="Q451" s="72"/>
      <c r="R451" s="72"/>
      <c r="S451" s="72"/>
      <c r="T451" s="72"/>
      <c r="U451" s="72"/>
      <c r="V451" s="72"/>
      <c r="W451" s="72"/>
      <c r="X451" s="72"/>
      <c r="Y451" s="72"/>
      <c r="Z451" s="72"/>
    </row>
    <row r="452" spans="1:26" ht="30" customHeight="1">
      <c r="A452" s="50" t="s">
        <v>1361</v>
      </c>
      <c r="B452" s="51" t="s">
        <v>1362</v>
      </c>
      <c r="C452" s="53">
        <v>793056.09</v>
      </c>
      <c r="D452" s="52"/>
      <c r="E452" s="53">
        <v>4081.61</v>
      </c>
      <c r="F452" s="53"/>
      <c r="G452" s="53">
        <f t="shared" ref="G452:G460" si="176">ROUND(E452-F452,2)</f>
        <v>4081.61</v>
      </c>
      <c r="H452" s="53"/>
      <c r="I452" s="72"/>
      <c r="J452" s="72"/>
      <c r="K452" s="72"/>
      <c r="L452" s="72"/>
      <c r="M452" s="72"/>
      <c r="N452" s="72"/>
      <c r="O452" s="72"/>
      <c r="P452" s="72"/>
      <c r="Q452" s="72"/>
      <c r="R452" s="72"/>
      <c r="S452" s="72"/>
      <c r="T452" s="72"/>
      <c r="U452" s="72"/>
      <c r="V452" s="72"/>
      <c r="W452" s="72"/>
      <c r="X452" s="72"/>
      <c r="Y452" s="72"/>
      <c r="Z452" s="72"/>
    </row>
    <row r="453" spans="1:26" ht="30" customHeight="1">
      <c r="A453" s="50" t="s">
        <v>1363</v>
      </c>
      <c r="B453" s="51" t="s">
        <v>1364</v>
      </c>
      <c r="C453" s="53">
        <v>482981.46</v>
      </c>
      <c r="D453" s="52"/>
      <c r="E453" s="53">
        <v>13610</v>
      </c>
      <c r="F453" s="53"/>
      <c r="G453" s="53">
        <f t="shared" si="176"/>
        <v>13610</v>
      </c>
      <c r="H453" s="53"/>
      <c r="I453" s="72"/>
      <c r="J453" s="72"/>
      <c r="K453" s="72"/>
      <c r="L453" s="72"/>
      <c r="M453" s="72"/>
      <c r="N453" s="72"/>
      <c r="O453" s="72"/>
      <c r="P453" s="72"/>
      <c r="Q453" s="72"/>
      <c r="R453" s="72"/>
      <c r="S453" s="72"/>
      <c r="T453" s="72"/>
      <c r="U453" s="72"/>
      <c r="V453" s="72"/>
      <c r="W453" s="72"/>
      <c r="X453" s="72"/>
      <c r="Y453" s="72"/>
      <c r="Z453" s="72"/>
    </row>
    <row r="454" spans="1:26" ht="30" customHeight="1">
      <c r="A454" s="50" t="s">
        <v>1365</v>
      </c>
      <c r="B454" s="51" t="s">
        <v>1366</v>
      </c>
      <c r="C454" s="53">
        <v>116348.64</v>
      </c>
      <c r="D454" s="52"/>
      <c r="E454" s="53">
        <v>4268.8</v>
      </c>
      <c r="F454" s="53"/>
      <c r="G454" s="53">
        <f t="shared" si="176"/>
        <v>4268.8</v>
      </c>
      <c r="H454" s="53"/>
      <c r="I454" s="72"/>
      <c r="J454" s="72"/>
      <c r="K454" s="72"/>
      <c r="L454" s="72"/>
      <c r="M454" s="72"/>
      <c r="N454" s="72"/>
      <c r="O454" s="72"/>
      <c r="P454" s="72"/>
      <c r="Q454" s="72"/>
      <c r="R454" s="72"/>
      <c r="S454" s="72"/>
      <c r="T454" s="72"/>
      <c r="U454" s="72"/>
      <c r="V454" s="72"/>
      <c r="W454" s="72"/>
      <c r="X454" s="72"/>
      <c r="Y454" s="72"/>
      <c r="Z454" s="72"/>
    </row>
    <row r="455" spans="1:26" ht="30" customHeight="1">
      <c r="A455" s="50" t="s">
        <v>1367</v>
      </c>
      <c r="B455" s="51" t="s">
        <v>1368</v>
      </c>
      <c r="C455" s="53">
        <v>73768.53</v>
      </c>
      <c r="D455" s="52"/>
      <c r="E455" s="53">
        <v>3272.1</v>
      </c>
      <c r="F455" s="53"/>
      <c r="G455" s="53">
        <f t="shared" si="176"/>
        <v>3272.1</v>
      </c>
      <c r="H455" s="53"/>
      <c r="I455" s="72"/>
      <c r="J455" s="72"/>
      <c r="K455" s="72"/>
      <c r="L455" s="72"/>
      <c r="M455" s="72"/>
      <c r="N455" s="72"/>
      <c r="O455" s="72"/>
      <c r="P455" s="72"/>
      <c r="Q455" s="72"/>
      <c r="R455" s="72"/>
      <c r="S455" s="72"/>
      <c r="T455" s="72"/>
      <c r="U455" s="72"/>
      <c r="V455" s="72"/>
      <c r="W455" s="72"/>
      <c r="X455" s="72"/>
      <c r="Y455" s="72"/>
      <c r="Z455" s="72"/>
    </row>
    <row r="456" spans="1:26" ht="30" customHeight="1">
      <c r="A456" s="50" t="s">
        <v>1369</v>
      </c>
      <c r="B456" s="51" t="s">
        <v>1370</v>
      </c>
      <c r="C456" s="53">
        <v>117660.78</v>
      </c>
      <c r="D456" s="52"/>
      <c r="E456" s="53">
        <v>313.58</v>
      </c>
      <c r="F456" s="53"/>
      <c r="G456" s="53">
        <f t="shared" si="176"/>
        <v>313.58</v>
      </c>
      <c r="H456" s="53"/>
      <c r="I456" s="72"/>
      <c r="J456" s="72"/>
      <c r="K456" s="72"/>
      <c r="L456" s="72"/>
      <c r="M456" s="72"/>
      <c r="N456" s="72"/>
      <c r="O456" s="72"/>
      <c r="P456" s="72"/>
      <c r="Q456" s="72"/>
      <c r="R456" s="72"/>
      <c r="S456" s="72"/>
      <c r="T456" s="72"/>
      <c r="U456" s="72"/>
      <c r="V456" s="72"/>
      <c r="W456" s="72"/>
      <c r="X456" s="72"/>
      <c r="Y456" s="72"/>
      <c r="Z456" s="72"/>
    </row>
    <row r="457" spans="1:26" ht="30" customHeight="1">
      <c r="A457" s="50" t="s">
        <v>1371</v>
      </c>
      <c r="B457" s="51" t="s">
        <v>1372</v>
      </c>
      <c r="C457" s="53">
        <v>8654837.6899999995</v>
      </c>
      <c r="D457" s="52"/>
      <c r="E457" s="53">
        <v>225131.57</v>
      </c>
      <c r="F457" s="53"/>
      <c r="G457" s="53">
        <f t="shared" si="176"/>
        <v>225131.57</v>
      </c>
      <c r="H457" s="53"/>
      <c r="I457" s="72"/>
      <c r="J457" s="72"/>
      <c r="K457" s="72"/>
      <c r="L457" s="72"/>
      <c r="M457" s="72"/>
      <c r="N457" s="72"/>
      <c r="O457" s="72"/>
      <c r="P457" s="72"/>
      <c r="Q457" s="72"/>
      <c r="R457" s="72"/>
      <c r="S457" s="72"/>
      <c r="T457" s="72"/>
      <c r="U457" s="72"/>
      <c r="V457" s="72"/>
      <c r="W457" s="72"/>
      <c r="X457" s="72"/>
      <c r="Y457" s="72"/>
      <c r="Z457" s="72"/>
    </row>
    <row r="458" spans="1:26" ht="30" customHeight="1">
      <c r="A458" s="50" t="s">
        <v>1373</v>
      </c>
      <c r="B458" s="51" t="s">
        <v>1374</v>
      </c>
      <c r="C458" s="53">
        <v>1929273.16</v>
      </c>
      <c r="D458" s="52"/>
      <c r="E458" s="53">
        <v>35200.51</v>
      </c>
      <c r="F458" s="53"/>
      <c r="G458" s="53">
        <f t="shared" si="176"/>
        <v>35200.51</v>
      </c>
      <c r="H458" s="53"/>
      <c r="I458" s="72"/>
      <c r="J458" s="72"/>
      <c r="K458" s="72"/>
      <c r="L458" s="72"/>
      <c r="M458" s="72"/>
      <c r="N458" s="72"/>
      <c r="O458" s="72"/>
      <c r="P458" s="72"/>
      <c r="Q458" s="72"/>
      <c r="R458" s="72"/>
      <c r="S458" s="72"/>
      <c r="T458" s="72"/>
      <c r="U458" s="72"/>
      <c r="V458" s="72"/>
      <c r="W458" s="72"/>
      <c r="X458" s="72"/>
      <c r="Y458" s="72"/>
      <c r="Z458" s="72"/>
    </row>
    <row r="459" spans="1:26" ht="30" customHeight="1">
      <c r="A459" s="50" t="s">
        <v>1375</v>
      </c>
      <c r="B459" s="51" t="s">
        <v>1376</v>
      </c>
      <c r="C459" s="53">
        <v>6984.55</v>
      </c>
      <c r="D459" s="52"/>
      <c r="E459" s="53">
        <v>64337.17</v>
      </c>
      <c r="F459" s="53"/>
      <c r="G459" s="53">
        <f t="shared" si="176"/>
        <v>64337.17</v>
      </c>
      <c r="H459" s="53"/>
      <c r="I459" s="72"/>
      <c r="J459" s="72"/>
      <c r="K459" s="72"/>
      <c r="L459" s="72"/>
      <c r="M459" s="72"/>
      <c r="N459" s="72"/>
      <c r="O459" s="72"/>
      <c r="P459" s="72"/>
      <c r="Q459" s="72"/>
      <c r="R459" s="72"/>
      <c r="S459" s="72"/>
      <c r="T459" s="72"/>
      <c r="U459" s="72"/>
      <c r="V459" s="72"/>
      <c r="W459" s="72"/>
      <c r="X459" s="72"/>
      <c r="Y459" s="72"/>
      <c r="Z459" s="72"/>
    </row>
    <row r="460" spans="1:26" ht="30" customHeight="1">
      <c r="A460" s="50" t="s">
        <v>1377</v>
      </c>
      <c r="B460" s="51" t="s">
        <v>1378</v>
      </c>
      <c r="C460" s="53">
        <v>49727926.560000002</v>
      </c>
      <c r="D460" s="52"/>
      <c r="E460" s="53">
        <v>1767516.06</v>
      </c>
      <c r="F460" s="53"/>
      <c r="G460" s="53">
        <f t="shared" si="176"/>
        <v>1767516.06</v>
      </c>
      <c r="H460" s="53"/>
      <c r="I460" s="72"/>
      <c r="J460" s="72"/>
      <c r="K460" s="72"/>
      <c r="L460" s="72"/>
      <c r="M460" s="72"/>
      <c r="N460" s="72"/>
      <c r="O460" s="72"/>
      <c r="P460" s="72"/>
      <c r="Q460" s="72"/>
      <c r="R460" s="72"/>
      <c r="S460" s="72"/>
      <c r="T460" s="72"/>
      <c r="U460" s="72"/>
      <c r="V460" s="72"/>
      <c r="W460" s="72"/>
      <c r="X460" s="72"/>
      <c r="Y460" s="72"/>
      <c r="Z460" s="72"/>
    </row>
    <row r="461" spans="1:26" ht="30" customHeight="1">
      <c r="A461" s="44" t="s">
        <v>1379</v>
      </c>
      <c r="B461" s="45" t="s">
        <v>1380</v>
      </c>
      <c r="C461" s="40">
        <f>SUM(C462:C468)</f>
        <v>48632132.900000006</v>
      </c>
      <c r="D461" s="39"/>
      <c r="E461" s="40">
        <f t="shared" ref="E461:G461" si="177">SUM(E462:E468)</f>
        <v>7448080.4199999999</v>
      </c>
      <c r="F461" s="40">
        <f t="shared" si="177"/>
        <v>0</v>
      </c>
      <c r="G461" s="40">
        <f t="shared" si="177"/>
        <v>7448080.4199999999</v>
      </c>
      <c r="H461" s="40"/>
      <c r="I461" s="72"/>
      <c r="J461" s="72"/>
      <c r="K461" s="72"/>
      <c r="L461" s="72"/>
      <c r="M461" s="72"/>
      <c r="N461" s="72"/>
      <c r="O461" s="72"/>
      <c r="P461" s="72"/>
      <c r="Q461" s="72"/>
      <c r="R461" s="72"/>
      <c r="S461" s="72"/>
      <c r="T461" s="72"/>
      <c r="U461" s="72"/>
      <c r="V461" s="72"/>
      <c r="W461" s="72"/>
      <c r="X461" s="72"/>
      <c r="Y461" s="72"/>
      <c r="Z461" s="72"/>
    </row>
    <row r="462" spans="1:26" ht="30" customHeight="1">
      <c r="A462" s="50" t="s">
        <v>1381</v>
      </c>
      <c r="B462" s="51" t="s">
        <v>1382</v>
      </c>
      <c r="C462" s="53">
        <v>120383.51</v>
      </c>
      <c r="D462" s="52"/>
      <c r="E462" s="53">
        <v>427.58</v>
      </c>
      <c r="F462" s="53"/>
      <c r="G462" s="53">
        <f t="shared" ref="G462:G468" si="178">ROUND(E462-F462,2)</f>
        <v>427.58</v>
      </c>
      <c r="H462" s="53"/>
      <c r="I462" s="72"/>
      <c r="J462" s="72"/>
      <c r="K462" s="72"/>
      <c r="L462" s="72"/>
      <c r="M462" s="72"/>
      <c r="N462" s="72"/>
      <c r="O462" s="72"/>
      <c r="P462" s="72"/>
      <c r="Q462" s="72"/>
      <c r="R462" s="72"/>
      <c r="S462" s="72"/>
      <c r="T462" s="72"/>
      <c r="U462" s="72"/>
      <c r="V462" s="72"/>
      <c r="W462" s="72"/>
      <c r="X462" s="72"/>
      <c r="Y462" s="72"/>
      <c r="Z462" s="72"/>
    </row>
    <row r="463" spans="1:26" ht="30" customHeight="1">
      <c r="A463" s="50" t="s">
        <v>1383</v>
      </c>
      <c r="B463" s="51" t="s">
        <v>1384</v>
      </c>
      <c r="C463" s="53">
        <v>583438.78</v>
      </c>
      <c r="D463" s="52"/>
      <c r="E463" s="53"/>
      <c r="F463" s="53"/>
      <c r="G463" s="53">
        <f t="shared" si="178"/>
        <v>0</v>
      </c>
      <c r="H463" s="53"/>
      <c r="I463" s="72"/>
      <c r="J463" s="72"/>
      <c r="K463" s="72"/>
      <c r="L463" s="72"/>
      <c r="M463" s="72"/>
      <c r="N463" s="72"/>
      <c r="O463" s="72"/>
      <c r="P463" s="72"/>
      <c r="Q463" s="72"/>
      <c r="R463" s="72"/>
      <c r="S463" s="72"/>
      <c r="T463" s="72"/>
      <c r="U463" s="72"/>
      <c r="V463" s="72"/>
      <c r="W463" s="72"/>
      <c r="X463" s="72"/>
      <c r="Y463" s="72"/>
      <c r="Z463" s="72"/>
    </row>
    <row r="464" spans="1:26" ht="30" customHeight="1">
      <c r="A464" s="50" t="s">
        <v>1385</v>
      </c>
      <c r="B464" s="51" t="s">
        <v>1386</v>
      </c>
      <c r="C464" s="53">
        <v>24615445.100000001</v>
      </c>
      <c r="D464" s="52"/>
      <c r="E464" s="53">
        <v>7159827.9199999999</v>
      </c>
      <c r="F464" s="53"/>
      <c r="G464" s="53">
        <f t="shared" si="178"/>
        <v>7159827.9199999999</v>
      </c>
      <c r="H464" s="53"/>
      <c r="I464" s="72"/>
      <c r="J464" s="72"/>
      <c r="K464" s="72"/>
      <c r="L464" s="72"/>
      <c r="M464" s="72"/>
      <c r="N464" s="72"/>
      <c r="O464" s="72"/>
      <c r="P464" s="72"/>
      <c r="Q464" s="72"/>
      <c r="R464" s="72"/>
      <c r="S464" s="72"/>
      <c r="T464" s="72"/>
      <c r="U464" s="72"/>
      <c r="V464" s="72"/>
      <c r="W464" s="72"/>
      <c r="X464" s="72"/>
      <c r="Y464" s="72"/>
      <c r="Z464" s="72"/>
    </row>
    <row r="465" spans="1:26" ht="30" customHeight="1">
      <c r="A465" s="50" t="s">
        <v>1387</v>
      </c>
      <c r="B465" s="51" t="s">
        <v>1388</v>
      </c>
      <c r="C465" s="53">
        <v>21232948.120000001</v>
      </c>
      <c r="D465" s="52"/>
      <c r="E465" s="53">
        <v>160561.25</v>
      </c>
      <c r="F465" s="53"/>
      <c r="G465" s="53">
        <f t="shared" si="178"/>
        <v>160561.25</v>
      </c>
      <c r="H465" s="53"/>
      <c r="I465" s="72"/>
      <c r="J465" s="72"/>
      <c r="K465" s="72"/>
      <c r="L465" s="72"/>
      <c r="M465" s="72"/>
      <c r="N465" s="72"/>
      <c r="O465" s="72"/>
      <c r="P465" s="72"/>
      <c r="Q465" s="72"/>
      <c r="R465" s="72"/>
      <c r="S465" s="72"/>
      <c r="T465" s="72"/>
      <c r="U465" s="72"/>
      <c r="V465" s="72"/>
      <c r="W465" s="72"/>
      <c r="X465" s="72"/>
      <c r="Y465" s="72"/>
      <c r="Z465" s="72"/>
    </row>
    <row r="466" spans="1:26" ht="30" customHeight="1">
      <c r="A466" s="50" t="s">
        <v>1389</v>
      </c>
      <c r="B466" s="51" t="s">
        <v>1390</v>
      </c>
      <c r="C466" s="53">
        <v>125885.75</v>
      </c>
      <c r="D466" s="52"/>
      <c r="E466" s="53"/>
      <c r="F466" s="53"/>
      <c r="G466" s="53">
        <f t="shared" si="178"/>
        <v>0</v>
      </c>
      <c r="H466" s="53"/>
      <c r="I466" s="72"/>
      <c r="J466" s="72"/>
      <c r="K466" s="72"/>
      <c r="L466" s="72"/>
      <c r="M466" s="72"/>
      <c r="N466" s="72"/>
      <c r="O466" s="72"/>
      <c r="P466" s="72"/>
      <c r="Q466" s="72"/>
      <c r="R466" s="72"/>
      <c r="S466" s="72"/>
      <c r="T466" s="72"/>
      <c r="U466" s="72"/>
      <c r="V466" s="72"/>
      <c r="W466" s="72"/>
      <c r="X466" s="72"/>
      <c r="Y466" s="72"/>
      <c r="Z466" s="72"/>
    </row>
    <row r="467" spans="1:26" ht="30" customHeight="1">
      <c r="A467" s="50" t="s">
        <v>1391</v>
      </c>
      <c r="B467" s="51" t="s">
        <v>1392</v>
      </c>
      <c r="C467" s="53">
        <v>1910089.68</v>
      </c>
      <c r="D467" s="52"/>
      <c r="E467" s="53">
        <v>79.11</v>
      </c>
      <c r="F467" s="53"/>
      <c r="G467" s="53">
        <f t="shared" si="178"/>
        <v>79.11</v>
      </c>
      <c r="H467" s="53"/>
      <c r="I467" s="72"/>
      <c r="J467" s="72"/>
      <c r="K467" s="72"/>
      <c r="L467" s="72"/>
      <c r="M467" s="72"/>
      <c r="N467" s="72"/>
      <c r="O467" s="72"/>
      <c r="P467" s="72"/>
      <c r="Q467" s="72"/>
      <c r="R467" s="72"/>
      <c r="S467" s="72"/>
      <c r="T467" s="72"/>
      <c r="U467" s="72"/>
      <c r="V467" s="72"/>
      <c r="W467" s="72"/>
      <c r="X467" s="72"/>
      <c r="Y467" s="72"/>
      <c r="Z467" s="72"/>
    </row>
    <row r="468" spans="1:26" ht="30" customHeight="1">
      <c r="A468" s="50" t="s">
        <v>1393</v>
      </c>
      <c r="B468" s="51" t="s">
        <v>1394</v>
      </c>
      <c r="C468" s="53">
        <v>43941.96</v>
      </c>
      <c r="D468" s="52"/>
      <c r="E468" s="53">
        <v>127184.56</v>
      </c>
      <c r="F468" s="53"/>
      <c r="G468" s="53">
        <f t="shared" si="178"/>
        <v>127184.56</v>
      </c>
      <c r="H468" s="53"/>
      <c r="I468" s="72"/>
      <c r="J468" s="72"/>
      <c r="K468" s="72"/>
      <c r="L468" s="72"/>
      <c r="M468" s="72"/>
      <c r="N468" s="72"/>
      <c r="O468" s="72"/>
      <c r="P468" s="72"/>
      <c r="Q468" s="72"/>
      <c r="R468" s="72"/>
      <c r="S468" s="72"/>
      <c r="T468" s="72"/>
      <c r="U468" s="72"/>
      <c r="V468" s="72"/>
      <c r="W468" s="72"/>
      <c r="X468" s="72"/>
      <c r="Y468" s="72"/>
      <c r="Z468" s="72"/>
    </row>
    <row r="469" spans="1:26" ht="30" customHeight="1">
      <c r="A469" s="44" t="s">
        <v>1395</v>
      </c>
      <c r="B469" s="45" t="s">
        <v>1396</v>
      </c>
      <c r="C469" s="40">
        <f>SUM(C470:C471)</f>
        <v>222253408.75999999</v>
      </c>
      <c r="D469" s="39"/>
      <c r="E469" s="40">
        <f t="shared" ref="E469:G469" si="179">SUM(E470:E471)</f>
        <v>150174627.97999999</v>
      </c>
      <c r="F469" s="40">
        <f t="shared" si="179"/>
        <v>0</v>
      </c>
      <c r="G469" s="40">
        <f t="shared" si="179"/>
        <v>150174627.97999999</v>
      </c>
      <c r="H469" s="40"/>
      <c r="I469" s="72"/>
      <c r="J469" s="72"/>
      <c r="K469" s="72"/>
      <c r="L469" s="72"/>
      <c r="M469" s="72"/>
      <c r="N469" s="72"/>
      <c r="O469" s="72"/>
      <c r="P469" s="72"/>
      <c r="Q469" s="72"/>
      <c r="R469" s="72"/>
      <c r="S469" s="72"/>
      <c r="T469" s="72"/>
      <c r="U469" s="72"/>
      <c r="V469" s="72"/>
      <c r="W469" s="72"/>
      <c r="X469" s="72"/>
      <c r="Y469" s="72"/>
      <c r="Z469" s="72"/>
    </row>
    <row r="470" spans="1:26" ht="30" customHeight="1">
      <c r="A470" s="50" t="s">
        <v>1397</v>
      </c>
      <c r="B470" s="51" t="s">
        <v>1396</v>
      </c>
      <c r="C470" s="53">
        <v>222253408.75999999</v>
      </c>
      <c r="D470" s="52"/>
      <c r="E470" s="53">
        <v>150174627.97999999</v>
      </c>
      <c r="F470" s="53"/>
      <c r="G470" s="53">
        <f t="shared" ref="G470:G471" si="180">ROUND(E470-F470,2)</f>
        <v>150174627.97999999</v>
      </c>
      <c r="H470" s="53"/>
      <c r="I470" s="72"/>
      <c r="J470" s="72"/>
      <c r="K470" s="72"/>
      <c r="L470" s="72"/>
      <c r="M470" s="72"/>
      <c r="N470" s="72"/>
      <c r="O470" s="72"/>
      <c r="P470" s="72"/>
      <c r="Q470" s="72"/>
      <c r="R470" s="72"/>
      <c r="S470" s="72"/>
      <c r="T470" s="72"/>
      <c r="U470" s="72"/>
      <c r="V470" s="72"/>
      <c r="W470" s="72"/>
      <c r="X470" s="72"/>
      <c r="Y470" s="72"/>
      <c r="Z470" s="72"/>
    </row>
    <row r="471" spans="1:26" ht="30" customHeight="1">
      <c r="A471" s="50" t="s">
        <v>1398</v>
      </c>
      <c r="B471" s="51" t="s">
        <v>1399</v>
      </c>
      <c r="C471" s="53"/>
      <c r="D471" s="52"/>
      <c r="E471" s="53"/>
      <c r="F471" s="53"/>
      <c r="G471" s="53">
        <f t="shared" si="180"/>
        <v>0</v>
      </c>
      <c r="H471" s="53"/>
      <c r="I471" s="72"/>
      <c r="J471" s="72"/>
      <c r="K471" s="72"/>
      <c r="L471" s="72"/>
      <c r="M471" s="72"/>
      <c r="N471" s="72"/>
      <c r="O471" s="72"/>
      <c r="P471" s="72"/>
      <c r="Q471" s="72"/>
      <c r="R471" s="72"/>
      <c r="S471" s="72"/>
      <c r="T471" s="72"/>
      <c r="U471" s="72"/>
      <c r="V471" s="72"/>
      <c r="W471" s="72"/>
      <c r="X471" s="72"/>
      <c r="Y471" s="72"/>
      <c r="Z471" s="72"/>
    </row>
    <row r="472" spans="1:26" ht="30" customHeight="1">
      <c r="A472" s="44" t="s">
        <v>1400</v>
      </c>
      <c r="B472" s="45" t="s">
        <v>1401</v>
      </c>
      <c r="C472" s="40">
        <f>SUM(C473:C477)</f>
        <v>76942239.810000002</v>
      </c>
      <c r="D472" s="39"/>
      <c r="E472" s="40">
        <f t="shared" ref="E472:G472" si="181">SUM(E473:E477)</f>
        <v>192509.18</v>
      </c>
      <c r="F472" s="40">
        <f t="shared" si="181"/>
        <v>0</v>
      </c>
      <c r="G472" s="40">
        <f t="shared" si="181"/>
        <v>192509.18</v>
      </c>
      <c r="H472" s="40"/>
      <c r="I472" s="72"/>
      <c r="J472" s="72"/>
      <c r="K472" s="72"/>
      <c r="L472" s="72"/>
      <c r="M472" s="72"/>
      <c r="N472" s="72"/>
      <c r="O472" s="72"/>
      <c r="P472" s="72"/>
      <c r="Q472" s="72"/>
      <c r="R472" s="72"/>
      <c r="S472" s="72"/>
      <c r="T472" s="72"/>
      <c r="U472" s="72"/>
      <c r="V472" s="72"/>
      <c r="W472" s="72"/>
      <c r="X472" s="72"/>
      <c r="Y472" s="72"/>
      <c r="Z472" s="72"/>
    </row>
    <row r="473" spans="1:26" ht="30" customHeight="1">
      <c r="A473" s="50" t="s">
        <v>1402</v>
      </c>
      <c r="B473" s="51" t="s">
        <v>1403</v>
      </c>
      <c r="C473" s="53">
        <v>56256816.090000004</v>
      </c>
      <c r="D473" s="52"/>
      <c r="E473" s="53">
        <v>165041.19</v>
      </c>
      <c r="F473" s="53"/>
      <c r="G473" s="53">
        <f t="shared" ref="G473:G477" si="182">ROUND(E473-F473,2)</f>
        <v>165041.19</v>
      </c>
      <c r="H473" s="53"/>
      <c r="I473" s="72"/>
      <c r="J473" s="72"/>
      <c r="K473" s="72"/>
      <c r="L473" s="72"/>
      <c r="M473" s="72"/>
      <c r="N473" s="72"/>
      <c r="O473" s="72"/>
      <c r="P473" s="72"/>
      <c r="Q473" s="72"/>
      <c r="R473" s="72"/>
      <c r="S473" s="72"/>
      <c r="T473" s="72"/>
      <c r="U473" s="72"/>
      <c r="V473" s="72"/>
      <c r="W473" s="72"/>
      <c r="X473" s="72"/>
      <c r="Y473" s="72"/>
      <c r="Z473" s="72"/>
    </row>
    <row r="474" spans="1:26" ht="30" customHeight="1">
      <c r="A474" s="50" t="s">
        <v>1404</v>
      </c>
      <c r="B474" s="51" t="s">
        <v>1405</v>
      </c>
      <c r="C474" s="53">
        <v>19833041.890000001</v>
      </c>
      <c r="D474" s="52"/>
      <c r="E474" s="53"/>
      <c r="F474" s="53"/>
      <c r="G474" s="53">
        <f t="shared" si="182"/>
        <v>0</v>
      </c>
      <c r="H474" s="53"/>
      <c r="I474" s="72"/>
      <c r="J474" s="72"/>
      <c r="K474" s="72"/>
      <c r="L474" s="72"/>
      <c r="M474" s="72"/>
      <c r="N474" s="72"/>
      <c r="O474" s="72"/>
      <c r="P474" s="72"/>
      <c r="Q474" s="72"/>
      <c r="R474" s="72"/>
      <c r="S474" s="72"/>
      <c r="T474" s="72"/>
      <c r="U474" s="72"/>
      <c r="V474" s="72"/>
      <c r="W474" s="72"/>
      <c r="X474" s="72"/>
      <c r="Y474" s="72"/>
      <c r="Z474" s="72"/>
    </row>
    <row r="475" spans="1:26" ht="30" customHeight="1">
      <c r="A475" s="50" t="s">
        <v>1406</v>
      </c>
      <c r="B475" s="51" t="s">
        <v>1407</v>
      </c>
      <c r="C475" s="53">
        <v>207611.06</v>
      </c>
      <c r="D475" s="52"/>
      <c r="E475" s="53"/>
      <c r="F475" s="53"/>
      <c r="G475" s="53">
        <f t="shared" si="182"/>
        <v>0</v>
      </c>
      <c r="H475" s="53"/>
      <c r="I475" s="72"/>
      <c r="J475" s="72"/>
      <c r="K475" s="72"/>
      <c r="L475" s="72"/>
      <c r="M475" s="72"/>
      <c r="N475" s="72"/>
      <c r="O475" s="72"/>
      <c r="P475" s="72"/>
      <c r="Q475" s="72"/>
      <c r="R475" s="72"/>
      <c r="S475" s="72"/>
      <c r="T475" s="72"/>
      <c r="U475" s="72"/>
      <c r="V475" s="72"/>
      <c r="W475" s="72"/>
      <c r="X475" s="72"/>
      <c r="Y475" s="72"/>
      <c r="Z475" s="72"/>
    </row>
    <row r="476" spans="1:26" ht="30" customHeight="1">
      <c r="A476" s="50" t="s">
        <v>1408</v>
      </c>
      <c r="B476" s="51" t="s">
        <v>1409</v>
      </c>
      <c r="C476" s="53">
        <v>1194.99</v>
      </c>
      <c r="D476" s="52"/>
      <c r="E476" s="53">
        <v>866.78</v>
      </c>
      <c r="F476" s="53"/>
      <c r="G476" s="53">
        <f t="shared" si="182"/>
        <v>866.78</v>
      </c>
      <c r="H476" s="53"/>
      <c r="I476" s="72"/>
      <c r="J476" s="72"/>
      <c r="K476" s="72"/>
      <c r="L476" s="72"/>
      <c r="M476" s="72"/>
      <c r="N476" s="72"/>
      <c r="O476" s="72"/>
      <c r="P476" s="72"/>
      <c r="Q476" s="72"/>
      <c r="R476" s="72"/>
      <c r="S476" s="72"/>
      <c r="T476" s="72"/>
      <c r="U476" s="72"/>
      <c r="V476" s="72"/>
      <c r="W476" s="72"/>
      <c r="X476" s="72"/>
      <c r="Y476" s="72"/>
      <c r="Z476" s="72"/>
    </row>
    <row r="477" spans="1:26" ht="30" customHeight="1">
      <c r="A477" s="50" t="s">
        <v>1410</v>
      </c>
      <c r="B477" s="51" t="s">
        <v>1411</v>
      </c>
      <c r="C477" s="53">
        <v>643575.78</v>
      </c>
      <c r="D477" s="52"/>
      <c r="E477" s="53">
        <v>26601.21</v>
      </c>
      <c r="F477" s="53"/>
      <c r="G477" s="53">
        <f t="shared" si="182"/>
        <v>26601.21</v>
      </c>
      <c r="H477" s="53"/>
      <c r="I477" s="72"/>
      <c r="J477" s="72"/>
      <c r="K477" s="72"/>
      <c r="L477" s="72"/>
      <c r="M477" s="72"/>
      <c r="N477" s="72"/>
      <c r="O477" s="72"/>
      <c r="P477" s="72"/>
      <c r="Q477" s="72"/>
      <c r="R477" s="72"/>
      <c r="S477" s="72"/>
      <c r="T477" s="72"/>
      <c r="U477" s="72"/>
      <c r="V477" s="72"/>
      <c r="W477" s="72"/>
      <c r="X477" s="72"/>
      <c r="Y477" s="72"/>
      <c r="Z477" s="72"/>
    </row>
    <row r="478" spans="1:26" ht="30" customHeight="1">
      <c r="A478" s="44" t="s">
        <v>1412</v>
      </c>
      <c r="B478" s="45" t="s">
        <v>1413</v>
      </c>
      <c r="C478" s="40">
        <f>SUM(C479:C481)</f>
        <v>0</v>
      </c>
      <c r="D478" s="39"/>
      <c r="E478" s="40">
        <f t="shared" ref="E478:G478" si="183">SUM(E479:E481)</f>
        <v>3759858.22</v>
      </c>
      <c r="F478" s="40">
        <f t="shared" si="183"/>
        <v>0</v>
      </c>
      <c r="G478" s="40">
        <f t="shared" si="183"/>
        <v>3759858.22</v>
      </c>
      <c r="H478" s="40"/>
      <c r="I478" s="72"/>
      <c r="J478" s="72"/>
      <c r="K478" s="72"/>
      <c r="L478" s="72"/>
      <c r="M478" s="72"/>
      <c r="N478" s="72"/>
      <c r="O478" s="72"/>
      <c r="P478" s="72"/>
      <c r="Q478" s="72"/>
      <c r="R478" s="72"/>
      <c r="S478" s="72"/>
      <c r="T478" s="72"/>
      <c r="U478" s="72"/>
      <c r="V478" s="72"/>
      <c r="W478" s="72"/>
      <c r="X478" s="72"/>
      <c r="Y478" s="72"/>
      <c r="Z478" s="72"/>
    </row>
    <row r="479" spans="1:26" ht="30" customHeight="1">
      <c r="A479" s="50" t="s">
        <v>1414</v>
      </c>
      <c r="B479" s="51" t="s">
        <v>1415</v>
      </c>
      <c r="C479" s="53"/>
      <c r="D479" s="52"/>
      <c r="E479" s="53"/>
      <c r="F479" s="53"/>
      <c r="G479" s="53">
        <f t="shared" ref="G479:G481" si="184">ROUND(E479-F479,2)</f>
        <v>0</v>
      </c>
      <c r="H479" s="53"/>
      <c r="I479" s="72"/>
      <c r="J479" s="72"/>
      <c r="K479" s="72"/>
      <c r="L479" s="72"/>
      <c r="M479" s="72"/>
      <c r="N479" s="72"/>
      <c r="O479" s="72"/>
      <c r="P479" s="72"/>
      <c r="Q479" s="72"/>
      <c r="R479" s="72"/>
      <c r="S479" s="72"/>
      <c r="T479" s="72"/>
      <c r="U479" s="72"/>
      <c r="V479" s="72"/>
      <c r="W479" s="72"/>
      <c r="X479" s="72"/>
      <c r="Y479" s="72"/>
      <c r="Z479" s="72"/>
    </row>
    <row r="480" spans="1:26" ht="30" customHeight="1">
      <c r="A480" s="50" t="s">
        <v>1416</v>
      </c>
      <c r="B480" s="51" t="s">
        <v>1417</v>
      </c>
      <c r="C480" s="53"/>
      <c r="D480" s="52"/>
      <c r="E480" s="53">
        <v>3759858.22</v>
      </c>
      <c r="F480" s="53"/>
      <c r="G480" s="53">
        <f t="shared" si="184"/>
        <v>3759858.22</v>
      </c>
      <c r="H480" s="53"/>
      <c r="I480" s="72"/>
      <c r="J480" s="72"/>
      <c r="K480" s="72"/>
      <c r="L480" s="72"/>
      <c r="M480" s="72"/>
      <c r="N480" s="72"/>
      <c r="O480" s="72"/>
      <c r="P480" s="72"/>
      <c r="Q480" s="72"/>
      <c r="R480" s="72"/>
      <c r="S480" s="72"/>
      <c r="T480" s="72"/>
      <c r="U480" s="72"/>
      <c r="V480" s="72"/>
      <c r="W480" s="72"/>
      <c r="X480" s="72"/>
      <c r="Y480" s="72"/>
      <c r="Z480" s="72"/>
    </row>
    <row r="481" spans="1:26" ht="30" customHeight="1">
      <c r="A481" s="50" t="s">
        <v>1418</v>
      </c>
      <c r="B481" s="51" t="s">
        <v>1419</v>
      </c>
      <c r="C481" s="53"/>
      <c r="D481" s="52"/>
      <c r="E481" s="53"/>
      <c r="F481" s="53"/>
      <c r="G481" s="53">
        <f t="shared" si="184"/>
        <v>0</v>
      </c>
      <c r="H481" s="53"/>
      <c r="I481" s="72"/>
      <c r="J481" s="72"/>
      <c r="K481" s="72"/>
      <c r="L481" s="72"/>
      <c r="M481" s="72"/>
      <c r="N481" s="72"/>
      <c r="O481" s="72"/>
      <c r="P481" s="72"/>
      <c r="Q481" s="72"/>
      <c r="R481" s="72"/>
      <c r="S481" s="72"/>
      <c r="T481" s="72"/>
      <c r="U481" s="72"/>
      <c r="V481" s="72"/>
      <c r="W481" s="72"/>
      <c r="X481" s="72"/>
      <c r="Y481" s="72"/>
      <c r="Z481" s="72"/>
    </row>
    <row r="482" spans="1:26" ht="30" customHeight="1">
      <c r="A482" s="44" t="s">
        <v>1420</v>
      </c>
      <c r="B482" s="45" t="s">
        <v>1421</v>
      </c>
      <c r="C482" s="40">
        <f>SUM(C483:C491)</f>
        <v>16289689</v>
      </c>
      <c r="D482" s="39"/>
      <c r="E482" s="40">
        <f t="shared" ref="E482:G482" si="185">SUM(E483:E491)</f>
        <v>271323.19</v>
      </c>
      <c r="F482" s="40">
        <f t="shared" si="185"/>
        <v>0</v>
      </c>
      <c r="G482" s="40">
        <f t="shared" si="185"/>
        <v>271323.19</v>
      </c>
      <c r="H482" s="40"/>
      <c r="I482" s="72"/>
      <c r="J482" s="72"/>
      <c r="K482" s="72"/>
      <c r="L482" s="72"/>
      <c r="M482" s="72"/>
      <c r="N482" s="72"/>
      <c r="O482" s="72"/>
      <c r="P482" s="72"/>
      <c r="Q482" s="72"/>
      <c r="R482" s="72"/>
      <c r="S482" s="72"/>
      <c r="T482" s="72"/>
      <c r="U482" s="72"/>
      <c r="V482" s="72"/>
      <c r="W482" s="72"/>
      <c r="X482" s="72"/>
      <c r="Y482" s="72"/>
      <c r="Z482" s="72"/>
    </row>
    <row r="483" spans="1:26" ht="30" customHeight="1">
      <c r="A483" s="50" t="s">
        <v>1422</v>
      </c>
      <c r="B483" s="51" t="s">
        <v>1423</v>
      </c>
      <c r="C483" s="53">
        <v>2462260.5099999998</v>
      </c>
      <c r="D483" s="52"/>
      <c r="E483" s="53">
        <v>72084.44</v>
      </c>
      <c r="F483" s="53"/>
      <c r="G483" s="53">
        <f t="shared" ref="G483:G491" si="186">ROUND(E483-F483,2)</f>
        <v>72084.44</v>
      </c>
      <c r="H483" s="53"/>
      <c r="I483" s="72"/>
      <c r="J483" s="72"/>
      <c r="K483" s="72"/>
      <c r="L483" s="72"/>
      <c r="M483" s="72"/>
      <c r="N483" s="72"/>
      <c r="O483" s="72"/>
      <c r="P483" s="72"/>
      <c r="Q483" s="72"/>
      <c r="R483" s="72"/>
      <c r="S483" s="72"/>
      <c r="T483" s="72"/>
      <c r="U483" s="72"/>
      <c r="V483" s="72"/>
      <c r="W483" s="72"/>
      <c r="X483" s="72"/>
      <c r="Y483" s="72"/>
      <c r="Z483" s="72"/>
    </row>
    <row r="484" spans="1:26" ht="30" customHeight="1">
      <c r="A484" s="50" t="s">
        <v>1424</v>
      </c>
      <c r="B484" s="51" t="s">
        <v>1425</v>
      </c>
      <c r="C484" s="53">
        <v>574310.57999999996</v>
      </c>
      <c r="D484" s="52"/>
      <c r="E484" s="53">
        <v>29889.16</v>
      </c>
      <c r="F484" s="53"/>
      <c r="G484" s="53">
        <f t="shared" si="186"/>
        <v>29889.16</v>
      </c>
      <c r="H484" s="53"/>
      <c r="I484" s="72"/>
      <c r="J484" s="72"/>
      <c r="K484" s="72"/>
      <c r="L484" s="72"/>
      <c r="M484" s="72"/>
      <c r="N484" s="72"/>
      <c r="O484" s="72"/>
      <c r="P484" s="72"/>
      <c r="Q484" s="72"/>
      <c r="R484" s="72"/>
      <c r="S484" s="72"/>
      <c r="T484" s="72"/>
      <c r="U484" s="72"/>
      <c r="V484" s="72"/>
      <c r="W484" s="72"/>
      <c r="X484" s="72"/>
      <c r="Y484" s="72"/>
      <c r="Z484" s="72"/>
    </row>
    <row r="485" spans="1:26" ht="30" customHeight="1">
      <c r="A485" s="50" t="s">
        <v>1426</v>
      </c>
      <c r="B485" s="51" t="s">
        <v>1427</v>
      </c>
      <c r="C485" s="53">
        <v>430934.8</v>
      </c>
      <c r="D485" s="52"/>
      <c r="E485" s="53">
        <v>2460</v>
      </c>
      <c r="F485" s="53"/>
      <c r="G485" s="53">
        <f t="shared" si="186"/>
        <v>2460</v>
      </c>
      <c r="H485" s="53"/>
      <c r="I485" s="72"/>
      <c r="J485" s="72"/>
      <c r="K485" s="72"/>
      <c r="L485" s="72"/>
      <c r="M485" s="72"/>
      <c r="N485" s="72"/>
      <c r="O485" s="72"/>
      <c r="P485" s="72"/>
      <c r="Q485" s="72"/>
      <c r="R485" s="72"/>
      <c r="S485" s="72"/>
      <c r="T485" s="72"/>
      <c r="U485" s="72"/>
      <c r="V485" s="72"/>
      <c r="W485" s="72"/>
      <c r="X485" s="72"/>
      <c r="Y485" s="72"/>
      <c r="Z485" s="72"/>
    </row>
    <row r="486" spans="1:26" ht="30" customHeight="1">
      <c r="A486" s="50" t="s">
        <v>1428</v>
      </c>
      <c r="B486" s="51" t="s">
        <v>1429</v>
      </c>
      <c r="C486" s="53">
        <v>1549419.2</v>
      </c>
      <c r="D486" s="52"/>
      <c r="E486" s="53">
        <v>61267.08</v>
      </c>
      <c r="F486" s="53"/>
      <c r="G486" s="53">
        <f t="shared" si="186"/>
        <v>61267.08</v>
      </c>
      <c r="H486" s="53"/>
      <c r="I486" s="72"/>
      <c r="J486" s="72"/>
      <c r="K486" s="72"/>
      <c r="L486" s="72"/>
      <c r="M486" s="72"/>
      <c r="N486" s="72"/>
      <c r="O486" s="72"/>
      <c r="P486" s="72"/>
      <c r="Q486" s="72"/>
      <c r="R486" s="72"/>
      <c r="S486" s="72"/>
      <c r="T486" s="72"/>
      <c r="U486" s="72"/>
      <c r="V486" s="72"/>
      <c r="W486" s="72"/>
      <c r="X486" s="72"/>
      <c r="Y486" s="72"/>
      <c r="Z486" s="72"/>
    </row>
    <row r="487" spans="1:26" ht="30" customHeight="1">
      <c r="A487" s="50" t="s">
        <v>1430</v>
      </c>
      <c r="B487" s="51" t="s">
        <v>1431</v>
      </c>
      <c r="C487" s="53">
        <v>777768</v>
      </c>
      <c r="D487" s="52"/>
      <c r="E487" s="53">
        <v>32549.49</v>
      </c>
      <c r="F487" s="53"/>
      <c r="G487" s="53">
        <f t="shared" si="186"/>
        <v>32549.49</v>
      </c>
      <c r="H487" s="53"/>
      <c r="I487" s="72"/>
      <c r="J487" s="72"/>
      <c r="K487" s="72"/>
      <c r="L487" s="72"/>
      <c r="M487" s="72"/>
      <c r="N487" s="72"/>
      <c r="O487" s="72"/>
      <c r="P487" s="72"/>
      <c r="Q487" s="72"/>
      <c r="R487" s="72"/>
      <c r="S487" s="72"/>
      <c r="T487" s="72"/>
      <c r="U487" s="72"/>
      <c r="V487" s="72"/>
      <c r="W487" s="72"/>
      <c r="X487" s="72"/>
      <c r="Y487" s="72"/>
      <c r="Z487" s="72"/>
    </row>
    <row r="488" spans="1:26" ht="30" customHeight="1">
      <c r="A488" s="50" t="s">
        <v>1432</v>
      </c>
      <c r="B488" s="51" t="s">
        <v>1433</v>
      </c>
      <c r="C488" s="53">
        <v>8572017.0999999996</v>
      </c>
      <c r="D488" s="52"/>
      <c r="E488" s="53">
        <v>862.5</v>
      </c>
      <c r="F488" s="53"/>
      <c r="G488" s="53">
        <f t="shared" si="186"/>
        <v>862.5</v>
      </c>
      <c r="H488" s="53"/>
      <c r="I488" s="72"/>
      <c r="J488" s="72"/>
      <c r="K488" s="72"/>
      <c r="L488" s="72"/>
      <c r="M488" s="72"/>
      <c r="N488" s="72"/>
      <c r="O488" s="72"/>
      <c r="P488" s="72"/>
      <c r="Q488" s="72"/>
      <c r="R488" s="72"/>
      <c r="S488" s="72"/>
      <c r="T488" s="72"/>
      <c r="U488" s="72"/>
      <c r="V488" s="72"/>
      <c r="W488" s="72"/>
      <c r="X488" s="72"/>
      <c r="Y488" s="72"/>
      <c r="Z488" s="72"/>
    </row>
    <row r="489" spans="1:26" ht="30" customHeight="1">
      <c r="A489" s="50" t="s">
        <v>1434</v>
      </c>
      <c r="B489" s="51" t="s">
        <v>1435</v>
      </c>
      <c r="C489" s="53"/>
      <c r="D489" s="52"/>
      <c r="E489" s="53"/>
      <c r="F489" s="53"/>
      <c r="G489" s="53">
        <f t="shared" si="186"/>
        <v>0</v>
      </c>
      <c r="H489" s="53"/>
      <c r="I489" s="72"/>
      <c r="J489" s="72"/>
      <c r="K489" s="72"/>
      <c r="L489" s="72"/>
      <c r="M489" s="72"/>
      <c r="N489" s="72"/>
      <c r="O489" s="72"/>
      <c r="P489" s="72"/>
      <c r="Q489" s="72"/>
      <c r="R489" s="72"/>
      <c r="S489" s="72"/>
      <c r="T489" s="72"/>
      <c r="U489" s="72"/>
      <c r="V489" s="72"/>
      <c r="W489" s="72"/>
      <c r="X489" s="72"/>
      <c r="Y489" s="72"/>
      <c r="Z489" s="72"/>
    </row>
    <row r="490" spans="1:26" ht="30" customHeight="1">
      <c r="A490" s="50" t="s">
        <v>1436</v>
      </c>
      <c r="B490" s="51" t="s">
        <v>1437</v>
      </c>
      <c r="C490" s="53">
        <v>1840324.5</v>
      </c>
      <c r="D490" s="52"/>
      <c r="E490" s="53">
        <v>71713.52</v>
      </c>
      <c r="F490" s="53"/>
      <c r="G490" s="53">
        <f t="shared" si="186"/>
        <v>71713.52</v>
      </c>
      <c r="H490" s="53"/>
      <c r="I490" s="72"/>
      <c r="J490" s="72"/>
      <c r="K490" s="72"/>
      <c r="L490" s="72"/>
      <c r="M490" s="72"/>
      <c r="N490" s="72"/>
      <c r="O490" s="72"/>
      <c r="P490" s="72"/>
      <c r="Q490" s="72"/>
      <c r="R490" s="72"/>
      <c r="S490" s="72"/>
      <c r="T490" s="72"/>
      <c r="U490" s="72"/>
      <c r="V490" s="72"/>
      <c r="W490" s="72"/>
      <c r="X490" s="72"/>
      <c r="Y490" s="72"/>
      <c r="Z490" s="72"/>
    </row>
    <row r="491" spans="1:26" ht="30" customHeight="1">
      <c r="A491" s="50" t="s">
        <v>1438</v>
      </c>
      <c r="B491" s="51" t="s">
        <v>1439</v>
      </c>
      <c r="C491" s="53">
        <v>82654.31</v>
      </c>
      <c r="D491" s="52"/>
      <c r="E491" s="53">
        <v>497</v>
      </c>
      <c r="F491" s="53"/>
      <c r="G491" s="53">
        <f t="shared" si="186"/>
        <v>497</v>
      </c>
      <c r="H491" s="53"/>
      <c r="I491" s="72"/>
      <c r="J491" s="72"/>
      <c r="K491" s="72"/>
      <c r="L491" s="72"/>
      <c r="M491" s="72"/>
      <c r="N491" s="72"/>
      <c r="O491" s="72"/>
      <c r="P491" s="72"/>
      <c r="Q491" s="72"/>
      <c r="R491" s="72"/>
      <c r="S491" s="72"/>
      <c r="T491" s="72"/>
      <c r="U491" s="72"/>
      <c r="V491" s="72"/>
      <c r="W491" s="72"/>
      <c r="X491" s="72"/>
      <c r="Y491" s="72"/>
      <c r="Z491" s="72"/>
    </row>
    <row r="492" spans="1:26" ht="30" customHeight="1">
      <c r="A492" s="32" t="s">
        <v>1440</v>
      </c>
      <c r="B492" s="48" t="s">
        <v>1441</v>
      </c>
      <c r="C492" s="34">
        <f>C493+C503+C513+C523+C533+C543+C561+C567+C551</f>
        <v>2508323876.5900002</v>
      </c>
      <c r="D492" s="34"/>
      <c r="E492" s="34">
        <f t="shared" ref="E492:G492" si="187">E493+E503+E513+E523+E533+E543+E561+E567+E551</f>
        <v>1107861333.6999998</v>
      </c>
      <c r="F492" s="34">
        <f t="shared" si="187"/>
        <v>0</v>
      </c>
      <c r="G492" s="34">
        <f t="shared" si="187"/>
        <v>1107861333.6999998</v>
      </c>
      <c r="H492" s="35"/>
      <c r="I492" s="72"/>
      <c r="J492" s="72"/>
      <c r="K492" s="72"/>
      <c r="L492" s="72"/>
      <c r="M492" s="72"/>
      <c r="N492" s="72"/>
      <c r="O492" s="72"/>
      <c r="P492" s="72"/>
      <c r="Q492" s="72"/>
      <c r="R492" s="72"/>
      <c r="S492" s="72"/>
      <c r="T492" s="72"/>
      <c r="U492" s="72"/>
      <c r="V492" s="72"/>
      <c r="W492" s="72"/>
      <c r="X492" s="72"/>
      <c r="Y492" s="72"/>
      <c r="Z492" s="72"/>
    </row>
    <row r="493" spans="1:26" ht="30" customHeight="1">
      <c r="A493" s="44" t="s">
        <v>1442</v>
      </c>
      <c r="B493" s="84" t="s">
        <v>1443</v>
      </c>
      <c r="C493" s="40">
        <f>SUM(C494:C502)</f>
        <v>244628958.96000001</v>
      </c>
      <c r="D493" s="39"/>
      <c r="E493" s="40">
        <f t="shared" ref="E493:G493" si="188">SUM(E494:E502)</f>
        <v>145631017.90000004</v>
      </c>
      <c r="F493" s="40">
        <f t="shared" si="188"/>
        <v>0</v>
      </c>
      <c r="G493" s="40">
        <f t="shared" si="188"/>
        <v>145631017.90000004</v>
      </c>
      <c r="H493" s="40"/>
      <c r="I493" s="72"/>
      <c r="J493" s="72"/>
      <c r="K493" s="72"/>
      <c r="L493" s="72"/>
      <c r="M493" s="72"/>
      <c r="N493" s="72"/>
      <c r="O493" s="72"/>
      <c r="P493" s="72"/>
      <c r="Q493" s="72"/>
      <c r="R493" s="72"/>
      <c r="S493" s="72"/>
      <c r="T493" s="72"/>
      <c r="U493" s="72"/>
      <c r="V493" s="72"/>
      <c r="W493" s="72"/>
      <c r="X493" s="72"/>
      <c r="Y493" s="72"/>
      <c r="Z493" s="72"/>
    </row>
    <row r="494" spans="1:26" ht="30" customHeight="1">
      <c r="A494" s="50" t="s">
        <v>1444</v>
      </c>
      <c r="B494" s="51" t="s">
        <v>1445</v>
      </c>
      <c r="C494" s="53">
        <v>214696857.71000001</v>
      </c>
      <c r="D494" s="52"/>
      <c r="E494" s="53">
        <v>140324059.86000001</v>
      </c>
      <c r="F494" s="53"/>
      <c r="G494" s="53">
        <f t="shared" ref="G494:G502" si="189">ROUND(E494-F494,2)</f>
        <v>140324059.86000001</v>
      </c>
      <c r="H494" s="53"/>
      <c r="I494" s="72"/>
      <c r="J494" s="72"/>
      <c r="K494" s="72"/>
      <c r="L494" s="72"/>
      <c r="M494" s="72"/>
      <c r="N494" s="72"/>
      <c r="O494" s="72"/>
      <c r="P494" s="72"/>
      <c r="Q494" s="72"/>
      <c r="R494" s="72"/>
      <c r="S494" s="72"/>
      <c r="T494" s="72"/>
      <c r="U494" s="72"/>
      <c r="V494" s="72"/>
      <c r="W494" s="72"/>
      <c r="X494" s="72"/>
      <c r="Y494" s="72"/>
      <c r="Z494" s="72"/>
    </row>
    <row r="495" spans="1:26" ht="30" customHeight="1">
      <c r="A495" s="50" t="s">
        <v>1446</v>
      </c>
      <c r="B495" s="51" t="s">
        <v>1447</v>
      </c>
      <c r="C495" s="53">
        <v>2787186.01</v>
      </c>
      <c r="D495" s="52"/>
      <c r="E495" s="53">
        <v>1531137.36</v>
      </c>
      <c r="F495" s="53"/>
      <c r="G495" s="53">
        <f t="shared" si="189"/>
        <v>1531137.36</v>
      </c>
      <c r="H495" s="53"/>
      <c r="I495" s="72"/>
      <c r="J495" s="72"/>
      <c r="K495" s="72"/>
      <c r="L495" s="72"/>
      <c r="M495" s="72"/>
      <c r="N495" s="72"/>
      <c r="O495" s="72"/>
      <c r="P495" s="72"/>
      <c r="Q495" s="72"/>
      <c r="R495" s="72"/>
      <c r="S495" s="72"/>
      <c r="T495" s="72"/>
      <c r="U495" s="72"/>
      <c r="V495" s="72"/>
      <c r="W495" s="72"/>
      <c r="X495" s="72"/>
      <c r="Y495" s="72"/>
      <c r="Z495" s="72"/>
    </row>
    <row r="496" spans="1:26" ht="30" customHeight="1">
      <c r="A496" s="50" t="s">
        <v>1448</v>
      </c>
      <c r="B496" s="51" t="s">
        <v>1449</v>
      </c>
      <c r="C496" s="53">
        <v>254894.41</v>
      </c>
      <c r="D496" s="52"/>
      <c r="E496" s="53">
        <v>47092</v>
      </c>
      <c r="F496" s="53"/>
      <c r="G496" s="53">
        <f t="shared" si="189"/>
        <v>47092</v>
      </c>
      <c r="H496" s="53"/>
      <c r="I496" s="72"/>
      <c r="J496" s="72"/>
      <c r="K496" s="72"/>
      <c r="L496" s="72"/>
      <c r="M496" s="72"/>
      <c r="N496" s="72"/>
      <c r="O496" s="72"/>
      <c r="P496" s="72"/>
      <c r="Q496" s="72"/>
      <c r="R496" s="72"/>
      <c r="S496" s="72"/>
      <c r="T496" s="72"/>
      <c r="U496" s="72"/>
      <c r="V496" s="72"/>
      <c r="W496" s="72"/>
      <c r="X496" s="72"/>
      <c r="Y496" s="72"/>
      <c r="Z496" s="72"/>
    </row>
    <row r="497" spans="1:26" ht="30" customHeight="1">
      <c r="A497" s="50" t="s">
        <v>1450</v>
      </c>
      <c r="B497" s="51" t="s">
        <v>1451</v>
      </c>
      <c r="C497" s="53">
        <v>3105531.96</v>
      </c>
      <c r="D497" s="52"/>
      <c r="E497" s="53"/>
      <c r="F497" s="53"/>
      <c r="G497" s="53">
        <f t="shared" si="189"/>
        <v>0</v>
      </c>
      <c r="H497" s="53"/>
      <c r="I497" s="72"/>
      <c r="J497" s="72"/>
      <c r="K497" s="72"/>
      <c r="L497" s="72"/>
      <c r="M497" s="72"/>
      <c r="N497" s="72"/>
      <c r="O497" s="72"/>
      <c r="P497" s="72"/>
      <c r="Q497" s="72"/>
      <c r="R497" s="72"/>
      <c r="S497" s="72"/>
      <c r="T497" s="72"/>
      <c r="U497" s="72"/>
      <c r="V497" s="72"/>
      <c r="W497" s="72"/>
      <c r="X497" s="72"/>
      <c r="Y497" s="72"/>
      <c r="Z497" s="72"/>
    </row>
    <row r="498" spans="1:26" ht="30" customHeight="1">
      <c r="A498" s="50" t="s">
        <v>1452</v>
      </c>
      <c r="B498" s="51" t="s">
        <v>1453</v>
      </c>
      <c r="C498" s="53"/>
      <c r="D498" s="52"/>
      <c r="E498" s="53"/>
      <c r="F498" s="53"/>
      <c r="G498" s="53">
        <f t="shared" si="189"/>
        <v>0</v>
      </c>
      <c r="H498" s="53"/>
      <c r="I498" s="72"/>
      <c r="J498" s="72"/>
      <c r="K498" s="72"/>
      <c r="L498" s="72"/>
      <c r="M498" s="72"/>
      <c r="N498" s="72"/>
      <c r="O498" s="72"/>
      <c r="P498" s="72"/>
      <c r="Q498" s="72"/>
      <c r="R498" s="72"/>
      <c r="S498" s="72"/>
      <c r="T498" s="72"/>
      <c r="U498" s="72"/>
      <c r="V498" s="72"/>
      <c r="W498" s="72"/>
      <c r="X498" s="72"/>
      <c r="Y498" s="72"/>
      <c r="Z498" s="72"/>
    </row>
    <row r="499" spans="1:26" ht="30" customHeight="1">
      <c r="A499" s="50" t="s">
        <v>1454</v>
      </c>
      <c r="B499" s="51" t="s">
        <v>1455</v>
      </c>
      <c r="C499" s="53">
        <v>7672111.6900000004</v>
      </c>
      <c r="D499" s="52"/>
      <c r="E499" s="53"/>
      <c r="F499" s="53"/>
      <c r="G499" s="53">
        <f t="shared" si="189"/>
        <v>0</v>
      </c>
      <c r="H499" s="53"/>
      <c r="I499" s="72"/>
      <c r="J499" s="72"/>
      <c r="K499" s="72"/>
      <c r="L499" s="72"/>
      <c r="M499" s="72"/>
      <c r="N499" s="72"/>
      <c r="O499" s="72"/>
      <c r="P499" s="72"/>
      <c r="Q499" s="72"/>
      <c r="R499" s="72"/>
      <c r="S499" s="72"/>
      <c r="T499" s="72"/>
      <c r="U499" s="72"/>
      <c r="V499" s="72"/>
      <c r="W499" s="72"/>
      <c r="X499" s="72"/>
      <c r="Y499" s="72"/>
      <c r="Z499" s="72"/>
    </row>
    <row r="500" spans="1:26" ht="30" customHeight="1">
      <c r="A500" s="50" t="s">
        <v>1456</v>
      </c>
      <c r="B500" s="51" t="s">
        <v>1457</v>
      </c>
      <c r="C500" s="53">
        <v>16079646.24</v>
      </c>
      <c r="D500" s="52"/>
      <c r="E500" s="53">
        <v>3713400.05</v>
      </c>
      <c r="F500" s="53"/>
      <c r="G500" s="53">
        <f t="shared" si="189"/>
        <v>3713400.05</v>
      </c>
      <c r="H500" s="53"/>
      <c r="I500" s="72"/>
      <c r="J500" s="72"/>
      <c r="K500" s="72"/>
      <c r="L500" s="72"/>
      <c r="M500" s="72"/>
      <c r="N500" s="72"/>
      <c r="O500" s="72"/>
      <c r="P500" s="72"/>
      <c r="Q500" s="72"/>
      <c r="R500" s="72"/>
      <c r="S500" s="72"/>
      <c r="T500" s="72"/>
      <c r="U500" s="72"/>
      <c r="V500" s="72"/>
      <c r="W500" s="72"/>
      <c r="X500" s="72"/>
      <c r="Y500" s="72"/>
      <c r="Z500" s="72"/>
    </row>
    <row r="501" spans="1:26" ht="30" customHeight="1">
      <c r="A501" s="50" t="s">
        <v>1458</v>
      </c>
      <c r="B501" s="51" t="s">
        <v>1459</v>
      </c>
      <c r="C501" s="53">
        <v>32730.94</v>
      </c>
      <c r="D501" s="52"/>
      <c r="E501" s="53">
        <v>15328.63</v>
      </c>
      <c r="F501" s="53"/>
      <c r="G501" s="53">
        <f t="shared" si="189"/>
        <v>15328.63</v>
      </c>
      <c r="H501" s="53"/>
      <c r="I501" s="72"/>
      <c r="J501" s="72"/>
      <c r="K501" s="72"/>
      <c r="L501" s="72"/>
      <c r="M501" s="72"/>
      <c r="N501" s="72"/>
      <c r="O501" s="72"/>
      <c r="P501" s="72"/>
      <c r="Q501" s="72"/>
      <c r="R501" s="72"/>
      <c r="S501" s="72"/>
      <c r="T501" s="72"/>
      <c r="U501" s="72"/>
      <c r="V501" s="72"/>
      <c r="W501" s="72"/>
      <c r="X501" s="72"/>
      <c r="Y501" s="72"/>
      <c r="Z501" s="72"/>
    </row>
    <row r="502" spans="1:26" ht="30" customHeight="1">
      <c r="A502" s="50" t="s">
        <v>1460</v>
      </c>
      <c r="B502" s="51" t="s">
        <v>1461</v>
      </c>
      <c r="C502" s="53"/>
      <c r="D502" s="52"/>
      <c r="E502" s="53"/>
      <c r="F502" s="53"/>
      <c r="G502" s="53">
        <f t="shared" si="189"/>
        <v>0</v>
      </c>
      <c r="H502" s="53"/>
      <c r="I502" s="72"/>
      <c r="J502" s="72"/>
      <c r="K502" s="72"/>
      <c r="L502" s="72"/>
      <c r="M502" s="72"/>
      <c r="N502" s="72"/>
      <c r="O502" s="72"/>
      <c r="P502" s="72"/>
      <c r="Q502" s="72"/>
      <c r="R502" s="72"/>
      <c r="S502" s="72"/>
      <c r="T502" s="72"/>
      <c r="U502" s="72"/>
      <c r="V502" s="72"/>
      <c r="W502" s="72"/>
      <c r="X502" s="72"/>
      <c r="Y502" s="72"/>
      <c r="Z502" s="72"/>
    </row>
    <row r="503" spans="1:26" ht="30" customHeight="1">
      <c r="A503" s="44" t="s">
        <v>1462</v>
      </c>
      <c r="B503" s="45" t="s">
        <v>1463</v>
      </c>
      <c r="C503" s="40">
        <f>SUM(C504:C512)</f>
        <v>321391621.02999997</v>
      </c>
      <c r="D503" s="39"/>
      <c r="E503" s="40">
        <f t="shared" ref="E503:G503" si="190">SUM(E504:E512)</f>
        <v>33554367.159999996</v>
      </c>
      <c r="F503" s="40">
        <f t="shared" si="190"/>
        <v>0</v>
      </c>
      <c r="G503" s="40">
        <f t="shared" si="190"/>
        <v>33554367.159999996</v>
      </c>
      <c r="H503" s="40"/>
      <c r="I503" s="72"/>
      <c r="J503" s="72"/>
      <c r="K503" s="72"/>
      <c r="L503" s="72"/>
      <c r="M503" s="72"/>
      <c r="N503" s="72"/>
      <c r="O503" s="72"/>
      <c r="P503" s="72"/>
      <c r="Q503" s="72"/>
      <c r="R503" s="72"/>
      <c r="S503" s="72"/>
      <c r="T503" s="72"/>
      <c r="U503" s="72"/>
      <c r="V503" s="72"/>
      <c r="W503" s="72"/>
      <c r="X503" s="72"/>
      <c r="Y503" s="72"/>
      <c r="Z503" s="72"/>
    </row>
    <row r="504" spans="1:26" ht="30" customHeight="1">
      <c r="A504" s="50" t="s">
        <v>1464</v>
      </c>
      <c r="B504" s="51" t="s">
        <v>1465</v>
      </c>
      <c r="C504" s="53"/>
      <c r="D504" s="52"/>
      <c r="E504" s="53"/>
      <c r="F504" s="53"/>
      <c r="G504" s="53">
        <f t="shared" ref="G504:G512" si="191">ROUND(E504-F504,2)</f>
        <v>0</v>
      </c>
      <c r="H504" s="53"/>
      <c r="I504" s="72"/>
      <c r="J504" s="72"/>
      <c r="K504" s="72"/>
      <c r="L504" s="72"/>
      <c r="M504" s="72"/>
      <c r="N504" s="72"/>
      <c r="O504" s="72"/>
      <c r="P504" s="72"/>
      <c r="Q504" s="72"/>
      <c r="R504" s="72"/>
      <c r="S504" s="72"/>
      <c r="T504" s="72"/>
      <c r="U504" s="72"/>
      <c r="V504" s="72"/>
      <c r="W504" s="72"/>
      <c r="X504" s="72"/>
      <c r="Y504" s="72"/>
      <c r="Z504" s="72"/>
    </row>
    <row r="505" spans="1:26" ht="30" customHeight="1">
      <c r="A505" s="50" t="s">
        <v>1466</v>
      </c>
      <c r="B505" s="51" t="s">
        <v>1467</v>
      </c>
      <c r="C505" s="53">
        <v>14939343.98</v>
      </c>
      <c r="D505" s="52"/>
      <c r="E505" s="53">
        <v>9264943.1999999993</v>
      </c>
      <c r="F505" s="53"/>
      <c r="G505" s="53">
        <f t="shared" si="191"/>
        <v>9264943.1999999993</v>
      </c>
      <c r="H505" s="53"/>
      <c r="I505" s="72"/>
      <c r="J505" s="72"/>
      <c r="K505" s="72"/>
      <c r="L505" s="72"/>
      <c r="M505" s="72"/>
      <c r="N505" s="72"/>
      <c r="O505" s="72"/>
      <c r="P505" s="72"/>
      <c r="Q505" s="72"/>
      <c r="R505" s="72"/>
      <c r="S505" s="72"/>
      <c r="T505" s="72"/>
      <c r="U505" s="72"/>
      <c r="V505" s="72"/>
      <c r="W505" s="72"/>
      <c r="X505" s="72"/>
      <c r="Y505" s="72"/>
      <c r="Z505" s="72"/>
    </row>
    <row r="506" spans="1:26" ht="30" customHeight="1">
      <c r="A506" s="50" t="s">
        <v>1468</v>
      </c>
      <c r="B506" s="51" t="s">
        <v>1469</v>
      </c>
      <c r="C506" s="53">
        <v>12663761.67</v>
      </c>
      <c r="D506" s="52"/>
      <c r="E506" s="53">
        <v>5623774.2199999997</v>
      </c>
      <c r="F506" s="53"/>
      <c r="G506" s="53">
        <f t="shared" si="191"/>
        <v>5623774.2199999997</v>
      </c>
      <c r="H506" s="53"/>
      <c r="I506" s="72"/>
      <c r="J506" s="72"/>
      <c r="K506" s="72"/>
      <c r="L506" s="72"/>
      <c r="M506" s="72"/>
      <c r="N506" s="72"/>
      <c r="O506" s="72"/>
      <c r="P506" s="72"/>
      <c r="Q506" s="72"/>
      <c r="R506" s="72"/>
      <c r="S506" s="72"/>
      <c r="T506" s="72"/>
      <c r="U506" s="72"/>
      <c r="V506" s="72"/>
      <c r="W506" s="72"/>
      <c r="X506" s="72"/>
      <c r="Y506" s="72"/>
      <c r="Z506" s="72"/>
    </row>
    <row r="507" spans="1:26" ht="30" customHeight="1">
      <c r="A507" s="50" t="s">
        <v>1470</v>
      </c>
      <c r="B507" s="51" t="s">
        <v>1471</v>
      </c>
      <c r="C507" s="53"/>
      <c r="D507" s="52"/>
      <c r="E507" s="53"/>
      <c r="F507" s="53"/>
      <c r="G507" s="53">
        <f t="shared" si="191"/>
        <v>0</v>
      </c>
      <c r="H507" s="53"/>
      <c r="I507" s="72"/>
      <c r="J507" s="72"/>
      <c r="K507" s="72"/>
      <c r="L507" s="72"/>
      <c r="M507" s="72"/>
      <c r="N507" s="72"/>
      <c r="O507" s="72"/>
      <c r="P507" s="72"/>
      <c r="Q507" s="72"/>
      <c r="R507" s="72"/>
      <c r="S507" s="72"/>
      <c r="T507" s="72"/>
      <c r="U507" s="72"/>
      <c r="V507" s="72"/>
      <c r="W507" s="72"/>
      <c r="X507" s="72"/>
      <c r="Y507" s="72"/>
      <c r="Z507" s="72"/>
    </row>
    <row r="508" spans="1:26" ht="30" customHeight="1">
      <c r="A508" s="50" t="s">
        <v>1472</v>
      </c>
      <c r="B508" s="51" t="s">
        <v>1473</v>
      </c>
      <c r="C508" s="53">
        <v>223116708.53999999</v>
      </c>
      <c r="D508" s="52"/>
      <c r="E508" s="53"/>
      <c r="F508" s="53"/>
      <c r="G508" s="53">
        <f t="shared" si="191"/>
        <v>0</v>
      </c>
      <c r="H508" s="53"/>
      <c r="I508" s="72"/>
      <c r="J508" s="72"/>
      <c r="K508" s="72"/>
      <c r="L508" s="72"/>
      <c r="M508" s="72"/>
      <c r="N508" s="72"/>
      <c r="O508" s="72"/>
      <c r="P508" s="72"/>
      <c r="Q508" s="72"/>
      <c r="R508" s="72"/>
      <c r="S508" s="72"/>
      <c r="T508" s="72"/>
      <c r="U508" s="72"/>
      <c r="V508" s="72"/>
      <c r="W508" s="72"/>
      <c r="X508" s="72"/>
      <c r="Y508" s="72"/>
      <c r="Z508" s="72"/>
    </row>
    <row r="509" spans="1:26" ht="30" customHeight="1">
      <c r="A509" s="50" t="s">
        <v>1474</v>
      </c>
      <c r="B509" s="51" t="s">
        <v>1475</v>
      </c>
      <c r="C509" s="53">
        <v>68315396.760000005</v>
      </c>
      <c r="D509" s="52"/>
      <c r="E509" s="53">
        <v>17971969.739999998</v>
      </c>
      <c r="F509" s="53"/>
      <c r="G509" s="53">
        <f t="shared" si="191"/>
        <v>17971969.739999998</v>
      </c>
      <c r="H509" s="53"/>
      <c r="I509" s="72"/>
      <c r="J509" s="72"/>
      <c r="K509" s="72"/>
      <c r="L509" s="72"/>
      <c r="M509" s="72"/>
      <c r="N509" s="72"/>
      <c r="O509" s="72"/>
      <c r="P509" s="72"/>
      <c r="Q509" s="72"/>
      <c r="R509" s="72"/>
      <c r="S509" s="72"/>
      <c r="T509" s="72"/>
      <c r="U509" s="72"/>
      <c r="V509" s="72"/>
      <c r="W509" s="72"/>
      <c r="X509" s="72"/>
      <c r="Y509" s="72"/>
      <c r="Z509" s="72"/>
    </row>
    <row r="510" spans="1:26" ht="30" customHeight="1">
      <c r="A510" s="50" t="s">
        <v>1476</v>
      </c>
      <c r="B510" s="51" t="s">
        <v>1477</v>
      </c>
      <c r="C510" s="53"/>
      <c r="D510" s="52"/>
      <c r="E510" s="53"/>
      <c r="F510" s="53"/>
      <c r="G510" s="53">
        <f t="shared" si="191"/>
        <v>0</v>
      </c>
      <c r="H510" s="53"/>
      <c r="I510" s="72"/>
      <c r="J510" s="72"/>
      <c r="K510" s="72"/>
      <c r="L510" s="72"/>
      <c r="M510" s="72"/>
      <c r="N510" s="72"/>
      <c r="O510" s="72"/>
      <c r="P510" s="72"/>
      <c r="Q510" s="72"/>
      <c r="R510" s="72"/>
      <c r="S510" s="72"/>
      <c r="T510" s="72"/>
      <c r="U510" s="72"/>
      <c r="V510" s="72"/>
      <c r="W510" s="72"/>
      <c r="X510" s="72"/>
      <c r="Y510" s="72"/>
      <c r="Z510" s="72"/>
    </row>
    <row r="511" spans="1:26" ht="30" customHeight="1">
      <c r="A511" s="50" t="s">
        <v>1478</v>
      </c>
      <c r="B511" s="51" t="s">
        <v>1479</v>
      </c>
      <c r="C511" s="53"/>
      <c r="D511" s="52"/>
      <c r="E511" s="53"/>
      <c r="F511" s="53"/>
      <c r="G511" s="53">
        <f t="shared" si="191"/>
        <v>0</v>
      </c>
      <c r="H511" s="53"/>
      <c r="I511" s="72"/>
      <c r="J511" s="72"/>
      <c r="K511" s="72"/>
      <c r="L511" s="72"/>
      <c r="M511" s="72"/>
      <c r="N511" s="72"/>
      <c r="O511" s="72"/>
      <c r="P511" s="72"/>
      <c r="Q511" s="72"/>
      <c r="R511" s="72"/>
      <c r="S511" s="72"/>
      <c r="T511" s="72"/>
      <c r="U511" s="72"/>
      <c r="V511" s="72"/>
      <c r="W511" s="72"/>
      <c r="X511" s="72"/>
      <c r="Y511" s="72"/>
      <c r="Z511" s="72"/>
    </row>
    <row r="512" spans="1:26" ht="30" customHeight="1">
      <c r="A512" s="50" t="s">
        <v>1480</v>
      </c>
      <c r="B512" s="51" t="s">
        <v>1481</v>
      </c>
      <c r="C512" s="53">
        <v>2356410.08</v>
      </c>
      <c r="D512" s="52"/>
      <c r="E512" s="53">
        <v>693680</v>
      </c>
      <c r="F512" s="53"/>
      <c r="G512" s="53">
        <f t="shared" si="191"/>
        <v>693680</v>
      </c>
      <c r="H512" s="53"/>
      <c r="I512" s="72"/>
      <c r="J512" s="72"/>
      <c r="K512" s="72"/>
      <c r="L512" s="72"/>
      <c r="M512" s="72"/>
      <c r="N512" s="72"/>
      <c r="O512" s="72"/>
      <c r="P512" s="72"/>
      <c r="Q512" s="72"/>
      <c r="R512" s="72"/>
      <c r="S512" s="72"/>
      <c r="T512" s="72"/>
      <c r="U512" s="72"/>
      <c r="V512" s="72"/>
      <c r="W512" s="72"/>
      <c r="X512" s="72"/>
      <c r="Y512" s="72"/>
      <c r="Z512" s="72"/>
    </row>
    <row r="513" spans="1:26" ht="30" customHeight="1">
      <c r="A513" s="44" t="s">
        <v>1482</v>
      </c>
      <c r="B513" s="45" t="s">
        <v>1483</v>
      </c>
      <c r="C513" s="40">
        <f>SUM(C514:C522)</f>
        <v>191962616.60999998</v>
      </c>
      <c r="D513" s="39"/>
      <c r="E513" s="40">
        <f t="shared" ref="E513:G513" si="192">SUM(E514:E522)</f>
        <v>19041529.039999999</v>
      </c>
      <c r="F513" s="40">
        <f t="shared" si="192"/>
        <v>0</v>
      </c>
      <c r="G513" s="40">
        <f t="shared" si="192"/>
        <v>19041529.039999999</v>
      </c>
      <c r="H513" s="40"/>
      <c r="I513" s="72"/>
      <c r="J513" s="72"/>
      <c r="K513" s="72"/>
      <c r="L513" s="72"/>
      <c r="M513" s="72"/>
      <c r="N513" s="72"/>
      <c r="O513" s="72"/>
      <c r="P513" s="72"/>
      <c r="Q513" s="72"/>
      <c r="R513" s="72"/>
      <c r="S513" s="72"/>
      <c r="T513" s="72"/>
      <c r="U513" s="72"/>
      <c r="V513" s="72"/>
      <c r="W513" s="72"/>
      <c r="X513" s="72"/>
      <c r="Y513" s="72"/>
      <c r="Z513" s="72"/>
    </row>
    <row r="514" spans="1:26" ht="30" customHeight="1">
      <c r="A514" s="50" t="s">
        <v>1484</v>
      </c>
      <c r="B514" s="51" t="s">
        <v>1485</v>
      </c>
      <c r="C514" s="53">
        <v>96147695.090000004</v>
      </c>
      <c r="D514" s="52"/>
      <c r="E514" s="53">
        <v>1061666.69</v>
      </c>
      <c r="F514" s="53"/>
      <c r="G514" s="53">
        <f t="shared" ref="G514:G522" si="193">ROUND(E514-F514,2)</f>
        <v>1061666.69</v>
      </c>
      <c r="H514" s="53"/>
      <c r="I514" s="72"/>
      <c r="J514" s="72"/>
      <c r="K514" s="72"/>
      <c r="L514" s="72"/>
      <c r="M514" s="72"/>
      <c r="N514" s="72"/>
      <c r="O514" s="72"/>
      <c r="P514" s="72"/>
      <c r="Q514" s="72"/>
      <c r="R514" s="72"/>
      <c r="S514" s="72"/>
      <c r="T514" s="72"/>
      <c r="U514" s="72"/>
      <c r="V514" s="72"/>
      <c r="W514" s="72"/>
      <c r="X514" s="72"/>
      <c r="Y514" s="72"/>
      <c r="Z514" s="72"/>
    </row>
    <row r="515" spans="1:26" ht="30" customHeight="1">
      <c r="A515" s="50" t="s">
        <v>1486</v>
      </c>
      <c r="B515" s="51" t="s">
        <v>1487</v>
      </c>
      <c r="C515" s="53">
        <v>19457277.210000001</v>
      </c>
      <c r="D515" s="52"/>
      <c r="E515" s="53"/>
      <c r="F515" s="53"/>
      <c r="G515" s="53">
        <f t="shared" si="193"/>
        <v>0</v>
      </c>
      <c r="H515" s="53"/>
      <c r="I515" s="72"/>
      <c r="J515" s="72"/>
      <c r="K515" s="72"/>
      <c r="L515" s="72"/>
      <c r="M515" s="72"/>
      <c r="N515" s="72"/>
      <c r="O515" s="72"/>
      <c r="P515" s="72"/>
      <c r="Q515" s="72"/>
      <c r="R515" s="72"/>
      <c r="S515" s="72"/>
      <c r="T515" s="72"/>
      <c r="U515" s="72"/>
      <c r="V515" s="72"/>
      <c r="W515" s="72"/>
      <c r="X515" s="72"/>
      <c r="Y515" s="72"/>
      <c r="Z515" s="72"/>
    </row>
    <row r="516" spans="1:26" ht="30" customHeight="1">
      <c r="A516" s="50" t="s">
        <v>1488</v>
      </c>
      <c r="B516" s="51" t="s">
        <v>1489</v>
      </c>
      <c r="C516" s="53">
        <v>46451238.600000001</v>
      </c>
      <c r="D516" s="52"/>
      <c r="E516" s="53">
        <v>3599480</v>
      </c>
      <c r="F516" s="53"/>
      <c r="G516" s="53">
        <f t="shared" si="193"/>
        <v>3599480</v>
      </c>
      <c r="H516" s="53"/>
      <c r="I516" s="72"/>
      <c r="J516" s="72"/>
      <c r="K516" s="72"/>
      <c r="L516" s="72"/>
      <c r="M516" s="72"/>
      <c r="N516" s="72"/>
      <c r="O516" s="72"/>
      <c r="P516" s="72"/>
      <c r="Q516" s="72"/>
      <c r="R516" s="72"/>
      <c r="S516" s="72"/>
      <c r="T516" s="72"/>
      <c r="U516" s="72"/>
      <c r="V516" s="72"/>
      <c r="W516" s="72"/>
      <c r="X516" s="72"/>
      <c r="Y516" s="72"/>
      <c r="Z516" s="72"/>
    </row>
    <row r="517" spans="1:26" ht="30" customHeight="1">
      <c r="A517" s="50" t="s">
        <v>1490</v>
      </c>
      <c r="B517" s="51" t="s">
        <v>1491</v>
      </c>
      <c r="C517" s="53">
        <v>4278270.67</v>
      </c>
      <c r="D517" s="52"/>
      <c r="E517" s="53">
        <v>45650</v>
      </c>
      <c r="F517" s="53"/>
      <c r="G517" s="53">
        <f t="shared" si="193"/>
        <v>45650</v>
      </c>
      <c r="H517" s="53"/>
      <c r="I517" s="72"/>
      <c r="J517" s="72"/>
      <c r="K517" s="72"/>
      <c r="L517" s="72"/>
      <c r="M517" s="72"/>
      <c r="N517" s="72"/>
      <c r="O517" s="72"/>
      <c r="P517" s="72"/>
      <c r="Q517" s="72"/>
      <c r="R517" s="72"/>
      <c r="S517" s="72"/>
      <c r="T517" s="72"/>
      <c r="U517" s="72"/>
      <c r="V517" s="72"/>
      <c r="W517" s="72"/>
      <c r="X517" s="72"/>
      <c r="Y517" s="72"/>
      <c r="Z517" s="72"/>
    </row>
    <row r="518" spans="1:26" ht="30" customHeight="1">
      <c r="A518" s="50" t="s">
        <v>1492</v>
      </c>
      <c r="B518" s="51" t="s">
        <v>1493</v>
      </c>
      <c r="C518" s="53">
        <v>1719199.99</v>
      </c>
      <c r="D518" s="52"/>
      <c r="E518" s="53"/>
      <c r="F518" s="53"/>
      <c r="G518" s="53">
        <f t="shared" si="193"/>
        <v>0</v>
      </c>
      <c r="H518" s="53"/>
      <c r="I518" s="72"/>
      <c r="J518" s="72"/>
      <c r="K518" s="72"/>
      <c r="L518" s="72"/>
      <c r="M518" s="72"/>
      <c r="N518" s="72"/>
      <c r="O518" s="72"/>
      <c r="P518" s="72"/>
      <c r="Q518" s="72"/>
      <c r="R518" s="72"/>
      <c r="S518" s="72"/>
      <c r="T518" s="72"/>
      <c r="U518" s="72"/>
      <c r="V518" s="72"/>
      <c r="W518" s="72"/>
      <c r="X518" s="72"/>
      <c r="Y518" s="72"/>
      <c r="Z518" s="72"/>
    </row>
    <row r="519" spans="1:26" ht="30" customHeight="1">
      <c r="A519" s="50" t="s">
        <v>1494</v>
      </c>
      <c r="B519" s="51" t="s">
        <v>1495</v>
      </c>
      <c r="C519" s="53">
        <v>6252244.29</v>
      </c>
      <c r="D519" s="52"/>
      <c r="E519" s="53">
        <v>2649270.9500000002</v>
      </c>
      <c r="F519" s="53"/>
      <c r="G519" s="53">
        <f t="shared" si="193"/>
        <v>2649270.9500000002</v>
      </c>
      <c r="H519" s="53"/>
      <c r="I519" s="72"/>
      <c r="J519" s="72"/>
      <c r="K519" s="72"/>
      <c r="L519" s="72"/>
      <c r="M519" s="72"/>
      <c r="N519" s="72"/>
      <c r="O519" s="72"/>
      <c r="P519" s="72"/>
      <c r="Q519" s="72"/>
      <c r="R519" s="72"/>
      <c r="S519" s="72"/>
      <c r="T519" s="72"/>
      <c r="U519" s="72"/>
      <c r="V519" s="72"/>
      <c r="W519" s="72"/>
      <c r="X519" s="72"/>
      <c r="Y519" s="72"/>
      <c r="Z519" s="72"/>
    </row>
    <row r="520" spans="1:26" ht="30" customHeight="1">
      <c r="A520" s="50" t="s">
        <v>1496</v>
      </c>
      <c r="B520" s="51" t="s">
        <v>1497</v>
      </c>
      <c r="C520" s="53"/>
      <c r="D520" s="52"/>
      <c r="E520" s="53"/>
      <c r="F520" s="53"/>
      <c r="G520" s="53">
        <f t="shared" si="193"/>
        <v>0</v>
      </c>
      <c r="H520" s="53"/>
      <c r="I520" s="72"/>
      <c r="J520" s="72"/>
      <c r="K520" s="72"/>
      <c r="L520" s="72"/>
      <c r="M520" s="72"/>
      <c r="N520" s="72"/>
      <c r="O520" s="72"/>
      <c r="P520" s="72"/>
      <c r="Q520" s="72"/>
      <c r="R520" s="72"/>
      <c r="S520" s="72"/>
      <c r="T520" s="72"/>
      <c r="U520" s="72"/>
      <c r="V520" s="72"/>
      <c r="W520" s="72"/>
      <c r="X520" s="72"/>
      <c r="Y520" s="72"/>
      <c r="Z520" s="72"/>
    </row>
    <row r="521" spans="1:26" ht="30" customHeight="1">
      <c r="A521" s="50" t="s">
        <v>1498</v>
      </c>
      <c r="B521" s="51" t="s">
        <v>1499</v>
      </c>
      <c r="C521" s="53">
        <v>356556.91</v>
      </c>
      <c r="D521" s="52"/>
      <c r="E521" s="53">
        <v>1869610.28</v>
      </c>
      <c r="F521" s="53"/>
      <c r="G521" s="53">
        <f t="shared" si="193"/>
        <v>1869610.28</v>
      </c>
      <c r="H521" s="53"/>
      <c r="I521" s="72"/>
      <c r="J521" s="72"/>
      <c r="K521" s="72"/>
      <c r="L521" s="72"/>
      <c r="M521" s="72"/>
      <c r="N521" s="72"/>
      <c r="O521" s="72"/>
      <c r="P521" s="72"/>
      <c r="Q521" s="72"/>
      <c r="R521" s="72"/>
      <c r="S521" s="72"/>
      <c r="T521" s="72"/>
      <c r="U521" s="72"/>
      <c r="V521" s="72"/>
      <c r="W521" s="72"/>
      <c r="X521" s="72"/>
      <c r="Y521" s="72"/>
      <c r="Z521" s="72"/>
    </row>
    <row r="522" spans="1:26" ht="30" customHeight="1">
      <c r="A522" s="50" t="s">
        <v>1500</v>
      </c>
      <c r="B522" s="51" t="s">
        <v>1501</v>
      </c>
      <c r="C522" s="53">
        <v>17300133.850000001</v>
      </c>
      <c r="D522" s="52"/>
      <c r="E522" s="53">
        <v>9815851.1199999992</v>
      </c>
      <c r="F522" s="53"/>
      <c r="G522" s="53">
        <f t="shared" si="193"/>
        <v>9815851.1199999992</v>
      </c>
      <c r="H522" s="53"/>
      <c r="I522" s="72"/>
      <c r="J522" s="72"/>
      <c r="K522" s="72"/>
      <c r="L522" s="72"/>
      <c r="M522" s="72"/>
      <c r="N522" s="72"/>
      <c r="O522" s="72"/>
      <c r="P522" s="72"/>
      <c r="Q522" s="72"/>
      <c r="R522" s="72"/>
      <c r="S522" s="72"/>
      <c r="T522" s="72"/>
      <c r="U522" s="72"/>
      <c r="V522" s="72"/>
      <c r="W522" s="72"/>
      <c r="X522" s="72"/>
      <c r="Y522" s="72"/>
      <c r="Z522" s="72"/>
    </row>
    <row r="523" spans="1:26" ht="30" customHeight="1">
      <c r="A523" s="44" t="s">
        <v>1502</v>
      </c>
      <c r="B523" s="45" t="s">
        <v>1503</v>
      </c>
      <c r="C523" s="40">
        <f>SUM(C524:C532)</f>
        <v>228635492.06</v>
      </c>
      <c r="D523" s="39"/>
      <c r="E523" s="40">
        <f t="shared" ref="E523:G523" si="194">SUM(E524:E532)</f>
        <v>169256888.12</v>
      </c>
      <c r="F523" s="40">
        <f t="shared" si="194"/>
        <v>0</v>
      </c>
      <c r="G523" s="40">
        <f t="shared" si="194"/>
        <v>169256888.12</v>
      </c>
      <c r="H523" s="40"/>
      <c r="I523" s="72"/>
      <c r="J523" s="72"/>
      <c r="K523" s="72"/>
      <c r="L523" s="72"/>
      <c r="M523" s="72"/>
      <c r="N523" s="72"/>
      <c r="O523" s="72"/>
      <c r="P523" s="72"/>
      <c r="Q523" s="72"/>
      <c r="R523" s="72"/>
      <c r="S523" s="72"/>
      <c r="T523" s="72"/>
      <c r="U523" s="72"/>
      <c r="V523" s="72"/>
      <c r="W523" s="72"/>
      <c r="X523" s="72"/>
      <c r="Y523" s="72"/>
      <c r="Z523" s="72"/>
    </row>
    <row r="524" spans="1:26" ht="30" customHeight="1">
      <c r="A524" s="50" t="s">
        <v>1504</v>
      </c>
      <c r="B524" s="51" t="s">
        <v>1505</v>
      </c>
      <c r="C524" s="53">
        <v>30235891.149999999</v>
      </c>
      <c r="D524" s="52"/>
      <c r="E524" s="53">
        <v>31325558.379999999</v>
      </c>
      <c r="F524" s="53"/>
      <c r="G524" s="53">
        <f t="shared" ref="G524:G532" si="195">ROUND(E524-F524,2)</f>
        <v>31325558.379999999</v>
      </c>
      <c r="H524" s="53"/>
      <c r="I524" s="72"/>
      <c r="J524" s="72"/>
      <c r="K524" s="72"/>
      <c r="L524" s="72"/>
      <c r="M524" s="72"/>
      <c r="N524" s="72"/>
      <c r="O524" s="72"/>
      <c r="P524" s="72"/>
      <c r="Q524" s="72"/>
      <c r="R524" s="72"/>
      <c r="S524" s="72"/>
      <c r="T524" s="72"/>
      <c r="U524" s="72"/>
      <c r="V524" s="72"/>
      <c r="W524" s="72"/>
      <c r="X524" s="72"/>
      <c r="Y524" s="72"/>
      <c r="Z524" s="72"/>
    </row>
    <row r="525" spans="1:26" ht="30" customHeight="1">
      <c r="A525" s="50" t="s">
        <v>1506</v>
      </c>
      <c r="B525" s="51" t="s">
        <v>1507</v>
      </c>
      <c r="C525" s="53">
        <v>70361314.510000005</v>
      </c>
      <c r="D525" s="52"/>
      <c r="E525" s="53">
        <v>15055963.609999999</v>
      </c>
      <c r="F525" s="53"/>
      <c r="G525" s="53">
        <f t="shared" si="195"/>
        <v>15055963.609999999</v>
      </c>
      <c r="H525" s="53"/>
      <c r="I525" s="72"/>
      <c r="J525" s="72"/>
      <c r="K525" s="72"/>
      <c r="L525" s="72"/>
      <c r="M525" s="72"/>
      <c r="N525" s="72"/>
      <c r="O525" s="72"/>
      <c r="P525" s="72"/>
      <c r="Q525" s="72"/>
      <c r="R525" s="72"/>
      <c r="S525" s="72"/>
      <c r="T525" s="72"/>
      <c r="U525" s="72"/>
      <c r="V525" s="72"/>
      <c r="W525" s="72"/>
      <c r="X525" s="72"/>
      <c r="Y525" s="72"/>
      <c r="Z525" s="72"/>
    </row>
    <row r="526" spans="1:26" ht="30" customHeight="1">
      <c r="A526" s="50" t="s">
        <v>1508</v>
      </c>
      <c r="B526" s="51" t="s">
        <v>1509</v>
      </c>
      <c r="C526" s="53">
        <v>5583431.2000000002</v>
      </c>
      <c r="D526" s="52"/>
      <c r="E526" s="53">
        <v>3648462.42</v>
      </c>
      <c r="F526" s="53"/>
      <c r="G526" s="53">
        <f t="shared" si="195"/>
        <v>3648462.42</v>
      </c>
      <c r="H526" s="53"/>
      <c r="I526" s="72"/>
      <c r="J526" s="72"/>
      <c r="K526" s="72"/>
      <c r="L526" s="72"/>
      <c r="M526" s="72"/>
      <c r="N526" s="72"/>
      <c r="O526" s="72"/>
      <c r="P526" s="72"/>
      <c r="Q526" s="72"/>
      <c r="R526" s="72"/>
      <c r="S526" s="72"/>
      <c r="T526" s="72"/>
      <c r="U526" s="72"/>
      <c r="V526" s="72"/>
      <c r="W526" s="72"/>
      <c r="X526" s="72"/>
      <c r="Y526" s="72"/>
      <c r="Z526" s="72"/>
    </row>
    <row r="527" spans="1:26" ht="30" customHeight="1">
      <c r="A527" s="50" t="s">
        <v>1510</v>
      </c>
      <c r="B527" s="51" t="s">
        <v>1511</v>
      </c>
      <c r="C527" s="53">
        <v>413595.46</v>
      </c>
      <c r="D527" s="52"/>
      <c r="E527" s="53">
        <v>45000</v>
      </c>
      <c r="F527" s="53"/>
      <c r="G527" s="53">
        <f t="shared" si="195"/>
        <v>45000</v>
      </c>
      <c r="H527" s="53"/>
      <c r="I527" s="72"/>
      <c r="J527" s="72"/>
      <c r="K527" s="72"/>
      <c r="L527" s="72"/>
      <c r="M527" s="72"/>
      <c r="N527" s="72"/>
      <c r="O527" s="72"/>
      <c r="P527" s="72"/>
      <c r="Q527" s="72"/>
      <c r="R527" s="72"/>
      <c r="S527" s="72"/>
      <c r="T527" s="72"/>
      <c r="U527" s="72"/>
      <c r="V527" s="72"/>
      <c r="W527" s="72"/>
      <c r="X527" s="72"/>
      <c r="Y527" s="72"/>
      <c r="Z527" s="72"/>
    </row>
    <row r="528" spans="1:26" ht="30" customHeight="1">
      <c r="A528" s="50" t="s">
        <v>1512</v>
      </c>
      <c r="B528" s="51" t="s">
        <v>1513</v>
      </c>
      <c r="C528" s="53">
        <v>109022579.73999999</v>
      </c>
      <c r="D528" s="52"/>
      <c r="E528" s="53">
        <v>106016077.70999999</v>
      </c>
      <c r="F528" s="53"/>
      <c r="G528" s="53">
        <f t="shared" si="195"/>
        <v>106016077.70999999</v>
      </c>
      <c r="H528" s="53"/>
      <c r="I528" s="72"/>
      <c r="J528" s="72"/>
      <c r="K528" s="72"/>
      <c r="L528" s="72"/>
      <c r="M528" s="72"/>
      <c r="N528" s="72"/>
      <c r="O528" s="72"/>
      <c r="P528" s="72"/>
      <c r="Q528" s="72"/>
      <c r="R528" s="72"/>
      <c r="S528" s="72"/>
      <c r="T528" s="72"/>
      <c r="U528" s="72"/>
      <c r="V528" s="72"/>
      <c r="W528" s="72"/>
      <c r="X528" s="72"/>
      <c r="Y528" s="72"/>
      <c r="Z528" s="72"/>
    </row>
    <row r="529" spans="1:26" ht="30" customHeight="1">
      <c r="A529" s="50" t="s">
        <v>1514</v>
      </c>
      <c r="B529" s="51" t="s">
        <v>1515</v>
      </c>
      <c r="C529" s="53">
        <v>10788000</v>
      </c>
      <c r="D529" s="52"/>
      <c r="E529" s="53">
        <v>13148716</v>
      </c>
      <c r="F529" s="53"/>
      <c r="G529" s="53">
        <f t="shared" si="195"/>
        <v>13148716</v>
      </c>
      <c r="H529" s="53"/>
      <c r="I529" s="72"/>
      <c r="J529" s="72"/>
      <c r="K529" s="72"/>
      <c r="L529" s="72"/>
      <c r="M529" s="72"/>
      <c r="N529" s="72"/>
      <c r="O529" s="72"/>
      <c r="P529" s="72"/>
      <c r="Q529" s="72"/>
      <c r="R529" s="72"/>
      <c r="S529" s="72"/>
      <c r="T529" s="72"/>
      <c r="U529" s="72"/>
      <c r="V529" s="72"/>
      <c r="W529" s="72"/>
      <c r="X529" s="72"/>
      <c r="Y529" s="72"/>
      <c r="Z529" s="72"/>
    </row>
    <row r="530" spans="1:26" ht="30" customHeight="1">
      <c r="A530" s="50" t="s">
        <v>1516</v>
      </c>
      <c r="B530" s="51" t="s">
        <v>1517</v>
      </c>
      <c r="C530" s="53">
        <v>2230680</v>
      </c>
      <c r="D530" s="52"/>
      <c r="E530" s="53">
        <v>17110</v>
      </c>
      <c r="F530" s="53"/>
      <c r="G530" s="53">
        <f t="shared" si="195"/>
        <v>17110</v>
      </c>
      <c r="H530" s="53"/>
      <c r="I530" s="72"/>
      <c r="J530" s="72"/>
      <c r="K530" s="72"/>
      <c r="L530" s="72"/>
      <c r="M530" s="72"/>
      <c r="N530" s="72"/>
      <c r="O530" s="72"/>
      <c r="P530" s="72"/>
      <c r="Q530" s="72"/>
      <c r="R530" s="72"/>
      <c r="S530" s="72"/>
      <c r="T530" s="72"/>
      <c r="U530" s="72"/>
      <c r="V530" s="72"/>
      <c r="W530" s="72"/>
      <c r="X530" s="72"/>
      <c r="Y530" s="72"/>
      <c r="Z530" s="72"/>
    </row>
    <row r="531" spans="1:26" ht="30" customHeight="1">
      <c r="A531" s="50" t="s">
        <v>1518</v>
      </c>
      <c r="B531" s="51" t="s">
        <v>1519</v>
      </c>
      <c r="C531" s="53"/>
      <c r="D531" s="52"/>
      <c r="E531" s="53"/>
      <c r="F531" s="53"/>
      <c r="G531" s="53">
        <f t="shared" si="195"/>
        <v>0</v>
      </c>
      <c r="H531" s="53"/>
      <c r="I531" s="72"/>
      <c r="J531" s="72"/>
      <c r="K531" s="72"/>
      <c r="L531" s="72"/>
      <c r="M531" s="72"/>
      <c r="N531" s="72"/>
      <c r="O531" s="72"/>
      <c r="P531" s="72"/>
      <c r="Q531" s="72"/>
      <c r="R531" s="72"/>
      <c r="S531" s="72"/>
      <c r="T531" s="72"/>
      <c r="U531" s="72"/>
      <c r="V531" s="72"/>
      <c r="W531" s="72"/>
      <c r="X531" s="72"/>
      <c r="Y531" s="72"/>
      <c r="Z531" s="72"/>
    </row>
    <row r="532" spans="1:26" ht="30" customHeight="1">
      <c r="A532" s="50" t="s">
        <v>1520</v>
      </c>
      <c r="B532" s="51" t="s">
        <v>1521</v>
      </c>
      <c r="C532" s="53"/>
      <c r="D532" s="52"/>
      <c r="E532" s="53"/>
      <c r="F532" s="53"/>
      <c r="G532" s="53">
        <f t="shared" si="195"/>
        <v>0</v>
      </c>
      <c r="H532" s="53"/>
      <c r="I532" s="72"/>
      <c r="J532" s="72"/>
      <c r="K532" s="72"/>
      <c r="L532" s="72"/>
      <c r="M532" s="72"/>
      <c r="N532" s="72"/>
      <c r="O532" s="72"/>
      <c r="P532" s="72"/>
      <c r="Q532" s="72"/>
      <c r="R532" s="72"/>
      <c r="S532" s="72"/>
      <c r="T532" s="72"/>
      <c r="U532" s="72"/>
      <c r="V532" s="72"/>
      <c r="W532" s="72"/>
      <c r="X532" s="72"/>
      <c r="Y532" s="72"/>
      <c r="Z532" s="72"/>
    </row>
    <row r="533" spans="1:26" ht="30" customHeight="1">
      <c r="A533" s="44" t="s">
        <v>1522</v>
      </c>
      <c r="B533" s="84" t="s">
        <v>1523</v>
      </c>
      <c r="C533" s="40">
        <f>SUM(C534:C542)</f>
        <v>845962941.02999997</v>
      </c>
      <c r="D533" s="39"/>
      <c r="E533" s="40">
        <f t="shared" ref="E533:G533" si="196">SUM(E534:E542)</f>
        <v>305883659.84000003</v>
      </c>
      <c r="F533" s="40">
        <f t="shared" si="196"/>
        <v>0</v>
      </c>
      <c r="G533" s="40">
        <f t="shared" si="196"/>
        <v>305883659.84000003</v>
      </c>
      <c r="H533" s="40"/>
      <c r="I533" s="72"/>
      <c r="J533" s="72"/>
      <c r="K533" s="72"/>
      <c r="L533" s="72"/>
      <c r="M533" s="72"/>
      <c r="N533" s="72"/>
      <c r="O533" s="72"/>
      <c r="P533" s="72"/>
      <c r="Q533" s="72"/>
      <c r="R533" s="72"/>
      <c r="S533" s="72"/>
      <c r="T533" s="72"/>
      <c r="U533" s="72"/>
      <c r="V533" s="72"/>
      <c r="W533" s="72"/>
      <c r="X533" s="72"/>
      <c r="Y533" s="72"/>
      <c r="Z533" s="72"/>
    </row>
    <row r="534" spans="1:26" ht="30" customHeight="1">
      <c r="A534" s="50" t="s">
        <v>1524</v>
      </c>
      <c r="B534" s="51" t="s">
        <v>1525</v>
      </c>
      <c r="C534" s="53">
        <v>92169569.819999993</v>
      </c>
      <c r="D534" s="52"/>
      <c r="E534" s="53">
        <v>9121398.5299999993</v>
      </c>
      <c r="F534" s="53"/>
      <c r="G534" s="53">
        <f t="shared" ref="G534:G542" si="197">ROUND(E534-F534,2)</f>
        <v>9121398.5299999993</v>
      </c>
      <c r="H534" s="53"/>
      <c r="I534" s="72"/>
      <c r="J534" s="72"/>
      <c r="K534" s="72"/>
      <c r="L534" s="72"/>
      <c r="M534" s="72"/>
      <c r="N534" s="72"/>
      <c r="O534" s="72"/>
      <c r="P534" s="72"/>
      <c r="Q534" s="72"/>
      <c r="R534" s="72"/>
      <c r="S534" s="72"/>
      <c r="T534" s="72"/>
      <c r="U534" s="72"/>
      <c r="V534" s="72"/>
      <c r="W534" s="72"/>
      <c r="X534" s="72"/>
      <c r="Y534" s="72"/>
      <c r="Z534" s="72"/>
    </row>
    <row r="535" spans="1:26" ht="30" customHeight="1">
      <c r="A535" s="50" t="s">
        <v>1526</v>
      </c>
      <c r="B535" s="51" t="s">
        <v>1527</v>
      </c>
      <c r="C535" s="53">
        <v>4390961.22</v>
      </c>
      <c r="D535" s="52"/>
      <c r="E535" s="53">
        <v>167397.16</v>
      </c>
      <c r="F535" s="53"/>
      <c r="G535" s="53">
        <f t="shared" si="197"/>
        <v>167397.16</v>
      </c>
      <c r="H535" s="53"/>
      <c r="I535" s="72"/>
      <c r="J535" s="72"/>
      <c r="K535" s="72"/>
      <c r="L535" s="72"/>
      <c r="M535" s="72"/>
      <c r="N535" s="72"/>
      <c r="O535" s="72"/>
      <c r="P535" s="72"/>
      <c r="Q535" s="72"/>
      <c r="R535" s="72"/>
      <c r="S535" s="72"/>
      <c r="T535" s="72"/>
      <c r="U535" s="72"/>
      <c r="V535" s="72"/>
      <c r="W535" s="72"/>
      <c r="X535" s="72"/>
      <c r="Y535" s="72"/>
      <c r="Z535" s="72"/>
    </row>
    <row r="536" spans="1:26" ht="30" customHeight="1">
      <c r="A536" s="50" t="s">
        <v>1528</v>
      </c>
      <c r="B536" s="51" t="s">
        <v>1529</v>
      </c>
      <c r="C536" s="53">
        <v>49392696.630000003</v>
      </c>
      <c r="D536" s="52"/>
      <c r="E536" s="53">
        <v>18993057.43</v>
      </c>
      <c r="F536" s="53"/>
      <c r="G536" s="53">
        <f t="shared" si="197"/>
        <v>18993057.43</v>
      </c>
      <c r="H536" s="53"/>
      <c r="I536" s="72"/>
      <c r="J536" s="72"/>
      <c r="K536" s="72"/>
      <c r="L536" s="72"/>
      <c r="M536" s="72"/>
      <c r="N536" s="72"/>
      <c r="O536" s="72"/>
      <c r="P536" s="72"/>
      <c r="Q536" s="72"/>
      <c r="R536" s="72"/>
      <c r="S536" s="72"/>
      <c r="T536" s="72"/>
      <c r="U536" s="72"/>
      <c r="V536" s="72"/>
      <c r="W536" s="72"/>
      <c r="X536" s="72"/>
      <c r="Y536" s="72"/>
      <c r="Z536" s="72"/>
    </row>
    <row r="537" spans="1:26" ht="30" customHeight="1">
      <c r="A537" s="50" t="s">
        <v>1530</v>
      </c>
      <c r="B537" s="51" t="s">
        <v>1531</v>
      </c>
      <c r="C537" s="53">
        <v>469846.4</v>
      </c>
      <c r="D537" s="52"/>
      <c r="E537" s="53"/>
      <c r="F537" s="53"/>
      <c r="G537" s="53">
        <f t="shared" si="197"/>
        <v>0</v>
      </c>
      <c r="H537" s="53"/>
      <c r="I537" s="72"/>
      <c r="J537" s="72"/>
      <c r="K537" s="72"/>
      <c r="L537" s="72"/>
      <c r="M537" s="72"/>
      <c r="N537" s="72"/>
      <c r="O537" s="72"/>
      <c r="P537" s="72"/>
      <c r="Q537" s="72"/>
      <c r="R537" s="72"/>
      <c r="S537" s="72"/>
      <c r="T537" s="72"/>
      <c r="U537" s="72"/>
      <c r="V537" s="72"/>
      <c r="W537" s="72"/>
      <c r="X537" s="72"/>
      <c r="Y537" s="72"/>
      <c r="Z537" s="72"/>
    </row>
    <row r="538" spans="1:26" ht="30" customHeight="1">
      <c r="A538" s="50" t="s">
        <v>1532</v>
      </c>
      <c r="B538" s="51" t="s">
        <v>1533</v>
      </c>
      <c r="C538" s="53">
        <v>41794800.920000002</v>
      </c>
      <c r="D538" s="52"/>
      <c r="E538" s="53">
        <v>123824.2</v>
      </c>
      <c r="F538" s="53"/>
      <c r="G538" s="53">
        <f t="shared" si="197"/>
        <v>123824.2</v>
      </c>
      <c r="H538" s="53"/>
      <c r="I538" s="72"/>
      <c r="J538" s="72"/>
      <c r="K538" s="72"/>
      <c r="L538" s="72"/>
      <c r="M538" s="72"/>
      <c r="N538" s="72"/>
      <c r="O538" s="72"/>
      <c r="P538" s="72"/>
      <c r="Q538" s="72"/>
      <c r="R538" s="72"/>
      <c r="S538" s="72"/>
      <c r="T538" s="72"/>
      <c r="U538" s="72"/>
      <c r="V538" s="72"/>
      <c r="W538" s="72"/>
      <c r="X538" s="72"/>
      <c r="Y538" s="72"/>
      <c r="Z538" s="72"/>
    </row>
    <row r="539" spans="1:26" ht="30" customHeight="1">
      <c r="A539" s="50" t="s">
        <v>1534</v>
      </c>
      <c r="B539" s="51" t="s">
        <v>1535</v>
      </c>
      <c r="C539" s="53">
        <v>14651312.52</v>
      </c>
      <c r="D539" s="52"/>
      <c r="E539" s="53"/>
      <c r="F539" s="53"/>
      <c r="G539" s="53">
        <f t="shared" si="197"/>
        <v>0</v>
      </c>
      <c r="H539" s="53"/>
      <c r="I539" s="72"/>
      <c r="J539" s="72"/>
      <c r="K539" s="72"/>
      <c r="L539" s="72"/>
      <c r="M539" s="72"/>
      <c r="N539" s="72"/>
      <c r="O539" s="72"/>
      <c r="P539" s="72"/>
      <c r="Q539" s="72"/>
      <c r="R539" s="72"/>
      <c r="S539" s="72"/>
      <c r="T539" s="72"/>
      <c r="U539" s="72"/>
      <c r="V539" s="72"/>
      <c r="W539" s="72"/>
      <c r="X539" s="72"/>
      <c r="Y539" s="72"/>
      <c r="Z539" s="72"/>
    </row>
    <row r="540" spans="1:26" ht="30" customHeight="1">
      <c r="A540" s="50" t="s">
        <v>1536</v>
      </c>
      <c r="B540" s="51" t="s">
        <v>1537</v>
      </c>
      <c r="C540" s="53">
        <v>60519039.810000002</v>
      </c>
      <c r="D540" s="52"/>
      <c r="E540" s="53">
        <v>15384577.359999999</v>
      </c>
      <c r="F540" s="53"/>
      <c r="G540" s="53">
        <f t="shared" si="197"/>
        <v>15384577.359999999</v>
      </c>
      <c r="H540" s="53"/>
      <c r="I540" s="72"/>
      <c r="J540" s="72"/>
      <c r="K540" s="72"/>
      <c r="L540" s="72"/>
      <c r="M540" s="72"/>
      <c r="N540" s="72"/>
      <c r="O540" s="72"/>
      <c r="P540" s="72"/>
      <c r="Q540" s="72"/>
      <c r="R540" s="72"/>
      <c r="S540" s="72"/>
      <c r="T540" s="72"/>
      <c r="U540" s="72"/>
      <c r="V540" s="72"/>
      <c r="W540" s="72"/>
      <c r="X540" s="72"/>
      <c r="Y540" s="72"/>
      <c r="Z540" s="72"/>
    </row>
    <row r="541" spans="1:26" ht="30" customHeight="1">
      <c r="A541" s="50" t="s">
        <v>1538</v>
      </c>
      <c r="B541" s="51" t="s">
        <v>1539</v>
      </c>
      <c r="C541" s="53">
        <v>507837591.04000002</v>
      </c>
      <c r="D541" s="52"/>
      <c r="E541" s="53">
        <v>234656201.87</v>
      </c>
      <c r="F541" s="53"/>
      <c r="G541" s="53">
        <f t="shared" si="197"/>
        <v>234656201.87</v>
      </c>
      <c r="H541" s="53"/>
      <c r="I541" s="72"/>
      <c r="J541" s="72"/>
      <c r="K541" s="72"/>
      <c r="L541" s="72"/>
      <c r="M541" s="72"/>
      <c r="N541" s="72"/>
      <c r="O541" s="72"/>
      <c r="P541" s="72"/>
      <c r="Q541" s="72"/>
      <c r="R541" s="72"/>
      <c r="S541" s="72"/>
      <c r="T541" s="72"/>
      <c r="U541" s="72"/>
      <c r="V541" s="72"/>
      <c r="W541" s="72"/>
      <c r="X541" s="72"/>
      <c r="Y541" s="72"/>
      <c r="Z541" s="72"/>
    </row>
    <row r="542" spans="1:26" ht="30" customHeight="1">
      <c r="A542" s="50" t="s">
        <v>1540</v>
      </c>
      <c r="B542" s="51" t="s">
        <v>1541</v>
      </c>
      <c r="C542" s="53">
        <v>74737122.670000002</v>
      </c>
      <c r="D542" s="52"/>
      <c r="E542" s="53">
        <v>27437203.289999999</v>
      </c>
      <c r="F542" s="53"/>
      <c r="G542" s="53">
        <f t="shared" si="197"/>
        <v>27437203.289999999</v>
      </c>
      <c r="H542" s="53"/>
      <c r="I542" s="72"/>
      <c r="J542" s="72"/>
      <c r="K542" s="72"/>
      <c r="L542" s="72"/>
      <c r="M542" s="72"/>
      <c r="N542" s="72"/>
      <c r="O542" s="72"/>
      <c r="P542" s="72"/>
      <c r="Q542" s="72"/>
      <c r="R542" s="72"/>
      <c r="S542" s="72"/>
      <c r="T542" s="72"/>
      <c r="U542" s="72"/>
      <c r="V542" s="72"/>
      <c r="W542" s="72"/>
      <c r="X542" s="72"/>
      <c r="Y542" s="72"/>
      <c r="Z542" s="72"/>
    </row>
    <row r="543" spans="1:26" ht="30" customHeight="1">
      <c r="A543" s="44" t="s">
        <v>1542</v>
      </c>
      <c r="B543" s="45" t="s">
        <v>1543</v>
      </c>
      <c r="C543" s="40">
        <f>SUM(C544:C550)</f>
        <v>39687681</v>
      </c>
      <c r="D543" s="39"/>
      <c r="E543" s="40">
        <f t="shared" ref="E543:G543" si="198">SUM(E544:E550)</f>
        <v>22099558.970000003</v>
      </c>
      <c r="F543" s="40">
        <f t="shared" si="198"/>
        <v>0</v>
      </c>
      <c r="G543" s="40">
        <f t="shared" si="198"/>
        <v>22099558.970000003</v>
      </c>
      <c r="H543" s="40"/>
      <c r="I543" s="72"/>
      <c r="J543" s="72"/>
      <c r="K543" s="72"/>
      <c r="L543" s="72"/>
      <c r="M543" s="72"/>
      <c r="N543" s="72"/>
      <c r="O543" s="72"/>
      <c r="P543" s="72"/>
      <c r="Q543" s="72"/>
      <c r="R543" s="72"/>
      <c r="S543" s="72"/>
      <c r="T543" s="72"/>
      <c r="U543" s="72"/>
      <c r="V543" s="72"/>
      <c r="W543" s="72"/>
      <c r="X543" s="72"/>
      <c r="Y543" s="72"/>
      <c r="Z543" s="72"/>
    </row>
    <row r="544" spans="1:26" ht="30" customHeight="1">
      <c r="A544" s="50" t="s">
        <v>1544</v>
      </c>
      <c r="B544" s="51" t="s">
        <v>1545</v>
      </c>
      <c r="C544" s="53">
        <v>25426142.16</v>
      </c>
      <c r="D544" s="52"/>
      <c r="E544" s="53">
        <v>12778292.279999999</v>
      </c>
      <c r="F544" s="53"/>
      <c r="G544" s="53">
        <f t="shared" ref="G544:G550" si="199">ROUND(E544-F544,2)</f>
        <v>12778292.279999999</v>
      </c>
      <c r="H544" s="53"/>
      <c r="I544" s="72"/>
      <c r="J544" s="72"/>
      <c r="K544" s="72"/>
      <c r="L544" s="72"/>
      <c r="M544" s="72"/>
      <c r="N544" s="72"/>
      <c r="O544" s="72"/>
      <c r="P544" s="72"/>
      <c r="Q544" s="72"/>
      <c r="R544" s="72"/>
      <c r="S544" s="72"/>
      <c r="T544" s="72"/>
      <c r="U544" s="72"/>
      <c r="V544" s="72"/>
      <c r="W544" s="72"/>
      <c r="X544" s="72"/>
      <c r="Y544" s="72"/>
      <c r="Z544" s="72"/>
    </row>
    <row r="545" spans="1:26" ht="30" customHeight="1">
      <c r="A545" s="50" t="s">
        <v>1546</v>
      </c>
      <c r="B545" s="51" t="s">
        <v>1547</v>
      </c>
      <c r="C545" s="53"/>
      <c r="D545" s="52"/>
      <c r="E545" s="53"/>
      <c r="F545" s="53"/>
      <c r="G545" s="53">
        <f t="shared" si="199"/>
        <v>0</v>
      </c>
      <c r="H545" s="53"/>
      <c r="I545" s="72"/>
      <c r="J545" s="72"/>
      <c r="K545" s="72"/>
      <c r="L545" s="72"/>
      <c r="M545" s="72"/>
      <c r="N545" s="72"/>
      <c r="O545" s="72"/>
      <c r="P545" s="72"/>
      <c r="Q545" s="72"/>
      <c r="R545" s="72"/>
      <c r="S545" s="72"/>
      <c r="T545" s="72"/>
      <c r="U545" s="72"/>
      <c r="V545" s="72"/>
      <c r="W545" s="72"/>
      <c r="X545" s="72"/>
      <c r="Y545" s="72"/>
      <c r="Z545" s="72"/>
    </row>
    <row r="546" spans="1:26" ht="30" customHeight="1">
      <c r="A546" s="50" t="s">
        <v>1548</v>
      </c>
      <c r="B546" s="51" t="s">
        <v>1549</v>
      </c>
      <c r="C546" s="53">
        <v>4749999.93</v>
      </c>
      <c r="D546" s="52"/>
      <c r="E546" s="53">
        <v>432100</v>
      </c>
      <c r="F546" s="53"/>
      <c r="G546" s="53">
        <f t="shared" si="199"/>
        <v>432100</v>
      </c>
      <c r="H546" s="53"/>
      <c r="I546" s="72"/>
      <c r="J546" s="72"/>
      <c r="K546" s="72"/>
      <c r="L546" s="72"/>
      <c r="M546" s="72"/>
      <c r="N546" s="72"/>
      <c r="O546" s="72"/>
      <c r="P546" s="72"/>
      <c r="Q546" s="72"/>
      <c r="R546" s="72"/>
      <c r="S546" s="72"/>
      <c r="T546" s="72"/>
      <c r="U546" s="72"/>
      <c r="V546" s="72"/>
      <c r="W546" s="72"/>
      <c r="X546" s="72"/>
      <c r="Y546" s="72"/>
      <c r="Z546" s="72"/>
    </row>
    <row r="547" spans="1:26" ht="30" customHeight="1">
      <c r="A547" s="50" t="s">
        <v>1550</v>
      </c>
      <c r="B547" s="51" t="s">
        <v>1551</v>
      </c>
      <c r="C547" s="53"/>
      <c r="D547" s="52"/>
      <c r="E547" s="53"/>
      <c r="F547" s="53"/>
      <c r="G547" s="53">
        <f t="shared" si="199"/>
        <v>0</v>
      </c>
      <c r="H547" s="53"/>
      <c r="I547" s="72"/>
      <c r="J547" s="72"/>
      <c r="K547" s="72"/>
      <c r="L547" s="72"/>
      <c r="M547" s="72"/>
      <c r="N547" s="72"/>
      <c r="O547" s="72"/>
      <c r="P547" s="72"/>
      <c r="Q547" s="72"/>
      <c r="R547" s="72"/>
      <c r="S547" s="72"/>
      <c r="T547" s="72"/>
      <c r="U547" s="72"/>
      <c r="V547" s="72"/>
      <c r="W547" s="72"/>
      <c r="X547" s="72"/>
      <c r="Y547" s="72"/>
      <c r="Z547" s="72"/>
    </row>
    <row r="548" spans="1:26" ht="30" customHeight="1">
      <c r="A548" s="50" t="s">
        <v>1552</v>
      </c>
      <c r="B548" s="51" t="s">
        <v>1553</v>
      </c>
      <c r="C548" s="53">
        <v>4754664</v>
      </c>
      <c r="D548" s="52"/>
      <c r="E548" s="53">
        <v>2260000.0099999998</v>
      </c>
      <c r="F548" s="53"/>
      <c r="G548" s="53">
        <f t="shared" si="199"/>
        <v>2260000.0099999998</v>
      </c>
      <c r="H548" s="53"/>
      <c r="I548" s="72"/>
      <c r="J548" s="72"/>
      <c r="K548" s="72"/>
      <c r="L548" s="72"/>
      <c r="M548" s="72"/>
      <c r="N548" s="72"/>
      <c r="O548" s="72"/>
      <c r="P548" s="72"/>
      <c r="Q548" s="72"/>
      <c r="R548" s="72"/>
      <c r="S548" s="72"/>
      <c r="T548" s="72"/>
      <c r="U548" s="72"/>
      <c r="V548" s="72"/>
      <c r="W548" s="72"/>
      <c r="X548" s="72"/>
      <c r="Y548" s="72"/>
      <c r="Z548" s="72"/>
    </row>
    <row r="549" spans="1:26" ht="30" customHeight="1">
      <c r="A549" s="50" t="s">
        <v>1554</v>
      </c>
      <c r="B549" s="51" t="s">
        <v>1555</v>
      </c>
      <c r="C549" s="53">
        <v>4200000</v>
      </c>
      <c r="D549" s="52"/>
      <c r="E549" s="53">
        <v>6179999.9900000002</v>
      </c>
      <c r="F549" s="53"/>
      <c r="G549" s="53">
        <f t="shared" si="199"/>
        <v>6179999.9900000002</v>
      </c>
      <c r="H549" s="53"/>
      <c r="I549" s="72"/>
      <c r="J549" s="72"/>
      <c r="K549" s="72"/>
      <c r="L549" s="72"/>
      <c r="M549" s="72"/>
      <c r="N549" s="72"/>
      <c r="O549" s="72"/>
      <c r="P549" s="72"/>
      <c r="Q549" s="72"/>
      <c r="R549" s="72"/>
      <c r="S549" s="72"/>
      <c r="T549" s="72"/>
      <c r="U549" s="72"/>
      <c r="V549" s="72"/>
      <c r="W549" s="72"/>
      <c r="X549" s="72"/>
      <c r="Y549" s="72"/>
      <c r="Z549" s="72"/>
    </row>
    <row r="550" spans="1:26" ht="30" customHeight="1">
      <c r="A550" s="50" t="s">
        <v>1556</v>
      </c>
      <c r="B550" s="51" t="s">
        <v>1557</v>
      </c>
      <c r="C550" s="53">
        <v>556874.91</v>
      </c>
      <c r="D550" s="52"/>
      <c r="E550" s="53">
        <v>449166.69</v>
      </c>
      <c r="F550" s="53"/>
      <c r="G550" s="53">
        <f t="shared" si="199"/>
        <v>449166.69</v>
      </c>
      <c r="H550" s="53"/>
      <c r="I550" s="72"/>
      <c r="J550" s="72"/>
      <c r="K550" s="72"/>
      <c r="L550" s="72"/>
      <c r="M550" s="72"/>
      <c r="N550" s="72"/>
      <c r="O550" s="72"/>
      <c r="P550" s="72"/>
      <c r="Q550" s="72"/>
      <c r="R550" s="72"/>
      <c r="S550" s="72"/>
      <c r="T550" s="72"/>
      <c r="U550" s="72"/>
      <c r="V550" s="72"/>
      <c r="W550" s="72"/>
      <c r="X550" s="72"/>
      <c r="Y550" s="72"/>
      <c r="Z550" s="72"/>
    </row>
    <row r="551" spans="1:26" ht="30" customHeight="1">
      <c r="A551" s="44" t="s">
        <v>1558</v>
      </c>
      <c r="B551" s="45" t="s">
        <v>1559</v>
      </c>
      <c r="C551" s="40">
        <f>SUM(C552:C560)</f>
        <v>1775872.66</v>
      </c>
      <c r="D551" s="39"/>
      <c r="E551" s="40">
        <f t="shared" ref="E551:G551" si="200">SUM(E552:E560)</f>
        <v>634500.86999999988</v>
      </c>
      <c r="F551" s="40">
        <f t="shared" si="200"/>
        <v>0</v>
      </c>
      <c r="G551" s="40">
        <f t="shared" si="200"/>
        <v>634500.86999999988</v>
      </c>
      <c r="H551" s="40"/>
      <c r="I551" s="72"/>
      <c r="J551" s="72"/>
      <c r="K551" s="72"/>
      <c r="L551" s="72"/>
      <c r="M551" s="72"/>
      <c r="N551" s="72"/>
      <c r="O551" s="72"/>
      <c r="P551" s="72"/>
      <c r="Q551" s="72"/>
      <c r="R551" s="72"/>
      <c r="S551" s="72"/>
      <c r="T551" s="72"/>
      <c r="U551" s="72"/>
      <c r="V551" s="72"/>
      <c r="W551" s="72"/>
      <c r="X551" s="72"/>
      <c r="Y551" s="72"/>
      <c r="Z551" s="72"/>
    </row>
    <row r="552" spans="1:26" ht="30" customHeight="1">
      <c r="A552" s="50" t="s">
        <v>1560</v>
      </c>
      <c r="B552" s="51" t="s">
        <v>1561</v>
      </c>
      <c r="C552" s="53">
        <v>498221.51</v>
      </c>
      <c r="D552" s="52"/>
      <c r="E552" s="53">
        <v>176918.61</v>
      </c>
      <c r="F552" s="53"/>
      <c r="G552" s="53">
        <f t="shared" ref="G552:G560" si="201">ROUND(E552-F552,2)</f>
        <v>176918.61</v>
      </c>
      <c r="H552" s="53"/>
      <c r="I552" s="72"/>
      <c r="J552" s="72"/>
      <c r="K552" s="72"/>
      <c r="L552" s="72"/>
      <c r="M552" s="72"/>
      <c r="N552" s="72"/>
      <c r="O552" s="72"/>
      <c r="P552" s="72"/>
      <c r="Q552" s="72"/>
      <c r="R552" s="72"/>
      <c r="S552" s="72"/>
      <c r="T552" s="72"/>
      <c r="U552" s="72"/>
      <c r="V552" s="72"/>
      <c r="W552" s="72"/>
      <c r="X552" s="72"/>
      <c r="Y552" s="72"/>
      <c r="Z552" s="72"/>
    </row>
    <row r="553" spans="1:26" ht="30" customHeight="1">
      <c r="A553" s="50" t="s">
        <v>1562</v>
      </c>
      <c r="B553" s="51" t="s">
        <v>1563</v>
      </c>
      <c r="C553" s="53">
        <v>71341.25</v>
      </c>
      <c r="D553" s="52"/>
      <c r="E553" s="53">
        <v>15957.86</v>
      </c>
      <c r="F553" s="53"/>
      <c r="G553" s="53">
        <f t="shared" si="201"/>
        <v>15957.86</v>
      </c>
      <c r="H553" s="53"/>
      <c r="I553" s="72"/>
      <c r="J553" s="72"/>
      <c r="K553" s="72"/>
      <c r="L553" s="72"/>
      <c r="M553" s="72"/>
      <c r="N553" s="72"/>
      <c r="O553" s="72"/>
      <c r="P553" s="72"/>
      <c r="Q553" s="72"/>
      <c r="R553" s="72"/>
      <c r="S553" s="72"/>
      <c r="T553" s="72"/>
      <c r="U553" s="72"/>
      <c r="V553" s="72"/>
      <c r="W553" s="72"/>
      <c r="X553" s="72"/>
      <c r="Y553" s="72"/>
      <c r="Z553" s="72"/>
    </row>
    <row r="554" spans="1:26" ht="30" customHeight="1">
      <c r="A554" s="50" t="s">
        <v>1564</v>
      </c>
      <c r="B554" s="51" t="s">
        <v>1565</v>
      </c>
      <c r="C554" s="53"/>
      <c r="D554" s="52"/>
      <c r="E554" s="53"/>
      <c r="F554" s="53"/>
      <c r="G554" s="53">
        <f t="shared" si="201"/>
        <v>0</v>
      </c>
      <c r="H554" s="53"/>
      <c r="I554" s="72"/>
      <c r="J554" s="72"/>
      <c r="K554" s="72"/>
      <c r="L554" s="72"/>
      <c r="M554" s="72"/>
      <c r="N554" s="72"/>
      <c r="O554" s="72"/>
      <c r="P554" s="72"/>
      <c r="Q554" s="72"/>
      <c r="R554" s="72"/>
      <c r="S554" s="72"/>
      <c r="T554" s="72"/>
      <c r="U554" s="72"/>
      <c r="V554" s="72"/>
      <c r="W554" s="72"/>
      <c r="X554" s="72"/>
      <c r="Y554" s="72"/>
      <c r="Z554" s="72"/>
    </row>
    <row r="555" spans="1:26" ht="30" customHeight="1">
      <c r="A555" s="50" t="s">
        <v>1566</v>
      </c>
      <c r="B555" s="51" t="s">
        <v>1567</v>
      </c>
      <c r="C555" s="53"/>
      <c r="D555" s="52"/>
      <c r="E555" s="53"/>
      <c r="F555" s="53"/>
      <c r="G555" s="53">
        <f t="shared" si="201"/>
        <v>0</v>
      </c>
      <c r="H555" s="53"/>
      <c r="I555" s="72"/>
      <c r="J555" s="72"/>
      <c r="K555" s="72"/>
      <c r="L555" s="72"/>
      <c r="M555" s="72"/>
      <c r="N555" s="72"/>
      <c r="O555" s="72"/>
      <c r="P555" s="72"/>
      <c r="Q555" s="72"/>
      <c r="R555" s="72"/>
      <c r="S555" s="72"/>
      <c r="T555" s="72"/>
      <c r="U555" s="72"/>
      <c r="V555" s="72"/>
      <c r="W555" s="72"/>
      <c r="X555" s="72"/>
      <c r="Y555" s="72"/>
      <c r="Z555" s="72"/>
    </row>
    <row r="556" spans="1:26" ht="30" customHeight="1">
      <c r="A556" s="50" t="s">
        <v>1568</v>
      </c>
      <c r="B556" s="51" t="s">
        <v>1569</v>
      </c>
      <c r="C556" s="53">
        <v>132126.48000000001</v>
      </c>
      <c r="D556" s="52"/>
      <c r="E556" s="53">
        <v>39148.79</v>
      </c>
      <c r="F556" s="53"/>
      <c r="G556" s="53">
        <f t="shared" si="201"/>
        <v>39148.79</v>
      </c>
      <c r="H556" s="53"/>
      <c r="I556" s="72"/>
      <c r="J556" s="72"/>
      <c r="K556" s="72"/>
      <c r="L556" s="72"/>
      <c r="M556" s="72"/>
      <c r="N556" s="72"/>
      <c r="O556" s="72"/>
      <c r="P556" s="72"/>
      <c r="Q556" s="72"/>
      <c r="R556" s="72"/>
      <c r="S556" s="72"/>
      <c r="T556" s="72"/>
      <c r="U556" s="72"/>
      <c r="V556" s="72"/>
      <c r="W556" s="72"/>
      <c r="X556" s="72"/>
      <c r="Y556" s="72"/>
      <c r="Z556" s="72"/>
    </row>
    <row r="557" spans="1:26" ht="30" customHeight="1">
      <c r="A557" s="50" t="s">
        <v>1570</v>
      </c>
      <c r="B557" s="51" t="s">
        <v>1571</v>
      </c>
      <c r="C557" s="53">
        <v>416921.96</v>
      </c>
      <c r="D557" s="52"/>
      <c r="E557" s="53">
        <v>42143.51</v>
      </c>
      <c r="F557" s="53"/>
      <c r="G557" s="53">
        <f t="shared" si="201"/>
        <v>42143.51</v>
      </c>
      <c r="H557" s="53"/>
      <c r="I557" s="72"/>
      <c r="J557" s="72"/>
      <c r="K557" s="72"/>
      <c r="L557" s="72"/>
      <c r="M557" s="72"/>
      <c r="N557" s="72"/>
      <c r="O557" s="72"/>
      <c r="P557" s="72"/>
      <c r="Q557" s="72"/>
      <c r="R557" s="72"/>
      <c r="S557" s="72"/>
      <c r="T557" s="72"/>
      <c r="U557" s="72"/>
      <c r="V557" s="72"/>
      <c r="W557" s="72"/>
      <c r="X557" s="72"/>
      <c r="Y557" s="72"/>
      <c r="Z557" s="72"/>
    </row>
    <row r="558" spans="1:26" ht="30" customHeight="1">
      <c r="A558" s="50" t="s">
        <v>1572</v>
      </c>
      <c r="B558" s="51" t="s">
        <v>1573</v>
      </c>
      <c r="C558" s="53"/>
      <c r="D558" s="52"/>
      <c r="E558" s="53"/>
      <c r="F558" s="53"/>
      <c r="G558" s="53">
        <f t="shared" si="201"/>
        <v>0</v>
      </c>
      <c r="H558" s="53"/>
      <c r="I558" s="72"/>
      <c r="J558" s="72"/>
      <c r="K558" s="72"/>
      <c r="L558" s="72"/>
      <c r="M558" s="72"/>
      <c r="N558" s="72"/>
      <c r="O558" s="72"/>
      <c r="P558" s="72"/>
      <c r="Q558" s="72"/>
      <c r="R558" s="72"/>
      <c r="S558" s="72"/>
      <c r="T558" s="72"/>
      <c r="U558" s="72"/>
      <c r="V558" s="72"/>
      <c r="W558" s="72"/>
      <c r="X558" s="72"/>
      <c r="Y558" s="72"/>
      <c r="Z558" s="72"/>
    </row>
    <row r="559" spans="1:26" ht="30" customHeight="1">
      <c r="A559" s="50" t="s">
        <v>1574</v>
      </c>
      <c r="B559" s="51" t="s">
        <v>1575</v>
      </c>
      <c r="C559" s="53"/>
      <c r="D559" s="52"/>
      <c r="E559" s="53"/>
      <c r="F559" s="53"/>
      <c r="G559" s="53">
        <f t="shared" si="201"/>
        <v>0</v>
      </c>
      <c r="H559" s="53"/>
      <c r="I559" s="72"/>
      <c r="J559" s="72"/>
      <c r="K559" s="72"/>
      <c r="L559" s="72"/>
      <c r="M559" s="72"/>
      <c r="N559" s="72"/>
      <c r="O559" s="72"/>
      <c r="P559" s="72"/>
      <c r="Q559" s="72"/>
      <c r="R559" s="72"/>
      <c r="S559" s="72"/>
      <c r="T559" s="72"/>
      <c r="U559" s="72"/>
      <c r="V559" s="72"/>
      <c r="W559" s="72"/>
      <c r="X559" s="72"/>
      <c r="Y559" s="72"/>
      <c r="Z559" s="72"/>
    </row>
    <row r="560" spans="1:26" ht="30" customHeight="1">
      <c r="A560" s="50" t="s">
        <v>1576</v>
      </c>
      <c r="B560" s="51" t="s">
        <v>1577</v>
      </c>
      <c r="C560" s="53">
        <v>657261.46</v>
      </c>
      <c r="D560" s="52"/>
      <c r="E560" s="53">
        <v>360332.1</v>
      </c>
      <c r="F560" s="53"/>
      <c r="G560" s="53">
        <f t="shared" si="201"/>
        <v>360332.1</v>
      </c>
      <c r="H560" s="53"/>
      <c r="I560" s="72"/>
      <c r="J560" s="72"/>
      <c r="K560" s="72"/>
      <c r="L560" s="72"/>
      <c r="M560" s="72"/>
      <c r="N560" s="72"/>
      <c r="O560" s="72"/>
      <c r="P560" s="72"/>
      <c r="Q560" s="72"/>
      <c r="R560" s="72"/>
      <c r="S560" s="72"/>
      <c r="T560" s="72"/>
      <c r="U560" s="72"/>
      <c r="V560" s="72"/>
      <c r="W560" s="72"/>
      <c r="X560" s="72"/>
      <c r="Y560" s="72"/>
      <c r="Z560" s="72"/>
    </row>
    <row r="561" spans="1:26" ht="30" customHeight="1">
      <c r="A561" s="44" t="s">
        <v>1578</v>
      </c>
      <c r="B561" s="45" t="s">
        <v>1579</v>
      </c>
      <c r="C561" s="40">
        <f>SUM(C562:C566)</f>
        <v>32342883.27</v>
      </c>
      <c r="D561" s="39"/>
      <c r="E561" s="40">
        <f t="shared" ref="E561:G561" si="202">SUM(E562:E566)</f>
        <v>8508386.6699999999</v>
      </c>
      <c r="F561" s="40">
        <f t="shared" si="202"/>
        <v>0</v>
      </c>
      <c r="G561" s="40">
        <f t="shared" si="202"/>
        <v>8508386.6699999999</v>
      </c>
      <c r="H561" s="40"/>
      <c r="I561" s="72"/>
      <c r="J561" s="72"/>
      <c r="K561" s="72"/>
      <c r="L561" s="72"/>
      <c r="M561" s="72"/>
      <c r="N561" s="72"/>
      <c r="O561" s="72"/>
      <c r="P561" s="72"/>
      <c r="Q561" s="72"/>
      <c r="R561" s="72"/>
      <c r="S561" s="72"/>
      <c r="T561" s="72"/>
      <c r="U561" s="72"/>
      <c r="V561" s="72"/>
      <c r="W561" s="72"/>
      <c r="X561" s="72"/>
      <c r="Y561" s="72"/>
      <c r="Z561" s="72"/>
    </row>
    <row r="562" spans="1:26" ht="30" customHeight="1">
      <c r="A562" s="50" t="s">
        <v>1580</v>
      </c>
      <c r="B562" s="51" t="s">
        <v>1581</v>
      </c>
      <c r="C562" s="53"/>
      <c r="D562" s="52"/>
      <c r="E562" s="53"/>
      <c r="F562" s="53"/>
      <c r="G562" s="53">
        <f t="shared" ref="G562:G566" si="203">ROUND(E562-F562,2)</f>
        <v>0</v>
      </c>
      <c r="H562" s="53"/>
      <c r="I562" s="72"/>
      <c r="J562" s="72"/>
      <c r="K562" s="72"/>
      <c r="L562" s="72"/>
      <c r="M562" s="72"/>
      <c r="N562" s="72"/>
      <c r="O562" s="72"/>
      <c r="P562" s="72"/>
      <c r="Q562" s="72"/>
      <c r="R562" s="72"/>
      <c r="S562" s="72"/>
      <c r="T562" s="72"/>
      <c r="U562" s="72"/>
      <c r="V562" s="72"/>
      <c r="W562" s="72"/>
      <c r="X562" s="72"/>
      <c r="Y562" s="72"/>
      <c r="Z562" s="72"/>
    </row>
    <row r="563" spans="1:26" ht="30" customHeight="1">
      <c r="A563" s="50" t="s">
        <v>1582</v>
      </c>
      <c r="B563" s="51" t="s">
        <v>1583</v>
      </c>
      <c r="C563" s="53">
        <v>29144459.27</v>
      </c>
      <c r="D563" s="52"/>
      <c r="E563" s="53">
        <v>8176088.4299999997</v>
      </c>
      <c r="F563" s="53"/>
      <c r="G563" s="53">
        <f t="shared" si="203"/>
        <v>8176088.4299999997</v>
      </c>
      <c r="H563" s="53"/>
      <c r="I563" s="72"/>
      <c r="J563" s="72"/>
      <c r="K563" s="72"/>
      <c r="L563" s="72"/>
      <c r="M563" s="72"/>
      <c r="N563" s="72"/>
      <c r="O563" s="72"/>
      <c r="P563" s="72"/>
      <c r="Q563" s="72"/>
      <c r="R563" s="72"/>
      <c r="S563" s="72"/>
      <c r="T563" s="72"/>
      <c r="U563" s="72"/>
      <c r="V563" s="72"/>
      <c r="W563" s="72"/>
      <c r="X563" s="72"/>
      <c r="Y563" s="72"/>
      <c r="Z563" s="72"/>
    </row>
    <row r="564" spans="1:26" ht="30" customHeight="1">
      <c r="A564" s="50" t="s">
        <v>1584</v>
      </c>
      <c r="B564" s="51" t="s">
        <v>1585</v>
      </c>
      <c r="C564" s="53">
        <v>406174</v>
      </c>
      <c r="D564" s="52"/>
      <c r="E564" s="53">
        <v>312636.24</v>
      </c>
      <c r="F564" s="53"/>
      <c r="G564" s="53">
        <f t="shared" si="203"/>
        <v>312636.24</v>
      </c>
      <c r="H564" s="53"/>
      <c r="I564" s="72"/>
      <c r="J564" s="72"/>
      <c r="K564" s="72"/>
      <c r="L564" s="72"/>
      <c r="M564" s="72"/>
      <c r="N564" s="72"/>
      <c r="O564" s="72"/>
      <c r="P564" s="72"/>
      <c r="Q564" s="72"/>
      <c r="R564" s="72"/>
      <c r="S564" s="72"/>
      <c r="T564" s="72"/>
      <c r="U564" s="72"/>
      <c r="V564" s="72"/>
      <c r="W564" s="72"/>
      <c r="X564" s="72"/>
      <c r="Y564" s="72"/>
      <c r="Z564" s="72"/>
    </row>
    <row r="565" spans="1:26" ht="30" customHeight="1">
      <c r="A565" s="50" t="s">
        <v>1586</v>
      </c>
      <c r="B565" s="51" t="s">
        <v>1587</v>
      </c>
      <c r="C565" s="53">
        <v>2786090</v>
      </c>
      <c r="D565" s="52"/>
      <c r="E565" s="53"/>
      <c r="F565" s="53"/>
      <c r="G565" s="53">
        <f t="shared" si="203"/>
        <v>0</v>
      </c>
      <c r="H565" s="53"/>
      <c r="I565" s="72"/>
      <c r="J565" s="72"/>
      <c r="K565" s="72"/>
      <c r="L565" s="72"/>
      <c r="M565" s="72"/>
      <c r="N565" s="72"/>
      <c r="O565" s="72"/>
      <c r="P565" s="72"/>
      <c r="Q565" s="72"/>
      <c r="R565" s="72"/>
      <c r="S565" s="72"/>
      <c r="T565" s="72"/>
      <c r="U565" s="72"/>
      <c r="V565" s="72"/>
      <c r="W565" s="72"/>
      <c r="X565" s="72"/>
      <c r="Y565" s="72"/>
      <c r="Z565" s="72"/>
    </row>
    <row r="566" spans="1:26" ht="30" customHeight="1">
      <c r="A566" s="50" t="s">
        <v>1588</v>
      </c>
      <c r="B566" s="51" t="s">
        <v>1589</v>
      </c>
      <c r="C566" s="53">
        <v>6160</v>
      </c>
      <c r="D566" s="52"/>
      <c r="E566" s="53">
        <v>19662</v>
      </c>
      <c r="F566" s="53"/>
      <c r="G566" s="53">
        <f t="shared" si="203"/>
        <v>19662</v>
      </c>
      <c r="H566" s="53"/>
      <c r="I566" s="72"/>
      <c r="J566" s="72"/>
      <c r="K566" s="72"/>
      <c r="L566" s="72"/>
      <c r="M566" s="72"/>
      <c r="N566" s="72"/>
      <c r="O566" s="72"/>
      <c r="P566" s="72"/>
      <c r="Q566" s="72"/>
      <c r="R566" s="72"/>
      <c r="S566" s="72"/>
      <c r="T566" s="72"/>
      <c r="U566" s="72"/>
      <c r="V566" s="72"/>
      <c r="W566" s="72"/>
      <c r="X566" s="72"/>
      <c r="Y566" s="72"/>
      <c r="Z566" s="72"/>
    </row>
    <row r="567" spans="1:26" ht="30" customHeight="1">
      <c r="A567" s="44" t="s">
        <v>1590</v>
      </c>
      <c r="B567" s="45" t="s">
        <v>1591</v>
      </c>
      <c r="C567" s="40">
        <f>SUM(C568:C576)</f>
        <v>601935809.97000003</v>
      </c>
      <c r="D567" s="39"/>
      <c r="E567" s="40">
        <f t="shared" ref="E567:G567" si="204">SUM(E568:E576)</f>
        <v>403251425.13</v>
      </c>
      <c r="F567" s="40">
        <f t="shared" si="204"/>
        <v>0</v>
      </c>
      <c r="G567" s="40">
        <f t="shared" si="204"/>
        <v>403251425.13</v>
      </c>
      <c r="H567" s="40"/>
      <c r="I567" s="72"/>
      <c r="J567" s="72"/>
      <c r="K567" s="72"/>
      <c r="L567" s="72"/>
      <c r="M567" s="72"/>
      <c r="N567" s="72"/>
      <c r="O567" s="72"/>
      <c r="P567" s="72"/>
      <c r="Q567" s="72"/>
      <c r="R567" s="72"/>
      <c r="S567" s="72"/>
      <c r="T567" s="72"/>
      <c r="U567" s="72"/>
      <c r="V567" s="72"/>
      <c r="W567" s="72"/>
      <c r="X567" s="72"/>
      <c r="Y567" s="72"/>
      <c r="Z567" s="72"/>
    </row>
    <row r="568" spans="1:26" ht="30" customHeight="1">
      <c r="A568" s="50" t="s">
        <v>1592</v>
      </c>
      <c r="B568" s="51" t="s">
        <v>1593</v>
      </c>
      <c r="C568" s="53"/>
      <c r="D568" s="52"/>
      <c r="E568" s="53"/>
      <c r="F568" s="53"/>
      <c r="G568" s="53">
        <f t="shared" ref="G568:G576" si="205">ROUND(E568-F568,2)</f>
        <v>0</v>
      </c>
      <c r="H568" s="53"/>
      <c r="I568" s="72"/>
      <c r="J568" s="72"/>
      <c r="K568" s="72"/>
      <c r="L568" s="72"/>
      <c r="M568" s="72"/>
      <c r="N568" s="72"/>
      <c r="O568" s="72"/>
      <c r="P568" s="72"/>
      <c r="Q568" s="72"/>
      <c r="R568" s="72"/>
      <c r="S568" s="72"/>
      <c r="T568" s="72"/>
      <c r="U568" s="72"/>
      <c r="V568" s="72"/>
      <c r="W568" s="72"/>
      <c r="X568" s="72"/>
      <c r="Y568" s="72"/>
      <c r="Z568" s="72"/>
    </row>
    <row r="569" spans="1:26" ht="30" customHeight="1">
      <c r="A569" s="50" t="s">
        <v>1594</v>
      </c>
      <c r="B569" s="51" t="s">
        <v>1595</v>
      </c>
      <c r="C569" s="53">
        <v>3753886</v>
      </c>
      <c r="D569" s="52"/>
      <c r="E569" s="53">
        <v>3366225.9199999999</v>
      </c>
      <c r="F569" s="53"/>
      <c r="G569" s="53">
        <f t="shared" si="205"/>
        <v>3366225.9199999999</v>
      </c>
      <c r="H569" s="53"/>
      <c r="I569" s="72"/>
      <c r="J569" s="72"/>
      <c r="K569" s="72"/>
      <c r="L569" s="72"/>
      <c r="M569" s="72"/>
      <c r="N569" s="72"/>
      <c r="O569" s="72"/>
      <c r="P569" s="72"/>
      <c r="Q569" s="72"/>
      <c r="R569" s="72"/>
      <c r="S569" s="72"/>
      <c r="T569" s="72"/>
      <c r="U569" s="72"/>
      <c r="V569" s="72"/>
      <c r="W569" s="72"/>
      <c r="X569" s="72"/>
      <c r="Y569" s="72"/>
      <c r="Z569" s="72"/>
    </row>
    <row r="570" spans="1:26" ht="30" customHeight="1">
      <c r="A570" s="50" t="s">
        <v>1596</v>
      </c>
      <c r="B570" s="51" t="s">
        <v>1597</v>
      </c>
      <c r="C570" s="53"/>
      <c r="D570" s="52"/>
      <c r="E570" s="53"/>
      <c r="F570" s="53"/>
      <c r="G570" s="53">
        <f t="shared" si="205"/>
        <v>0</v>
      </c>
      <c r="H570" s="53"/>
      <c r="I570" s="72"/>
      <c r="J570" s="72"/>
      <c r="K570" s="72"/>
      <c r="L570" s="72"/>
      <c r="M570" s="72"/>
      <c r="N570" s="72"/>
      <c r="O570" s="72"/>
      <c r="P570" s="72"/>
      <c r="Q570" s="72"/>
      <c r="R570" s="72"/>
      <c r="S570" s="72"/>
      <c r="T570" s="72"/>
      <c r="U570" s="72"/>
      <c r="V570" s="72"/>
      <c r="W570" s="72"/>
      <c r="X570" s="72"/>
      <c r="Y570" s="72"/>
      <c r="Z570" s="72"/>
    </row>
    <row r="571" spans="1:26" ht="30" customHeight="1">
      <c r="A571" s="50" t="s">
        <v>1598</v>
      </c>
      <c r="B571" s="51" t="s">
        <v>1599</v>
      </c>
      <c r="C571" s="53">
        <v>93918726.760000005</v>
      </c>
      <c r="D571" s="52"/>
      <c r="E571" s="53">
        <v>119233289.2</v>
      </c>
      <c r="F571" s="53"/>
      <c r="G571" s="53">
        <f t="shared" si="205"/>
        <v>119233289.2</v>
      </c>
      <c r="H571" s="53"/>
      <c r="I571" s="72"/>
      <c r="J571" s="72"/>
      <c r="K571" s="72"/>
      <c r="L571" s="72"/>
      <c r="M571" s="72"/>
      <c r="N571" s="72"/>
      <c r="O571" s="72"/>
      <c r="P571" s="72"/>
      <c r="Q571" s="72"/>
      <c r="R571" s="72"/>
      <c r="S571" s="72"/>
      <c r="T571" s="72"/>
      <c r="U571" s="72"/>
      <c r="V571" s="72"/>
      <c r="W571" s="72"/>
      <c r="X571" s="72"/>
      <c r="Y571" s="72"/>
      <c r="Z571" s="72"/>
    </row>
    <row r="572" spans="1:26" ht="30" customHeight="1">
      <c r="A572" s="50" t="s">
        <v>1600</v>
      </c>
      <c r="B572" s="51" t="s">
        <v>1601</v>
      </c>
      <c r="C572" s="53">
        <v>10016144.92</v>
      </c>
      <c r="D572" s="52"/>
      <c r="E572" s="53">
        <v>4595980.38</v>
      </c>
      <c r="F572" s="53"/>
      <c r="G572" s="53">
        <f t="shared" si="205"/>
        <v>4595980.38</v>
      </c>
      <c r="H572" s="53"/>
      <c r="I572" s="72"/>
      <c r="J572" s="72"/>
      <c r="K572" s="72"/>
      <c r="L572" s="72"/>
      <c r="M572" s="72"/>
      <c r="N572" s="72"/>
      <c r="O572" s="72"/>
      <c r="P572" s="72"/>
      <c r="Q572" s="72"/>
      <c r="R572" s="72"/>
      <c r="S572" s="72"/>
      <c r="T572" s="72"/>
      <c r="U572" s="72"/>
      <c r="V572" s="72"/>
      <c r="W572" s="72"/>
      <c r="X572" s="72"/>
      <c r="Y572" s="72"/>
      <c r="Z572" s="72"/>
    </row>
    <row r="573" spans="1:26" ht="30" customHeight="1">
      <c r="A573" s="50" t="s">
        <v>1602</v>
      </c>
      <c r="B573" s="51" t="s">
        <v>1603</v>
      </c>
      <c r="C573" s="53"/>
      <c r="D573" s="52"/>
      <c r="E573" s="53"/>
      <c r="F573" s="53"/>
      <c r="G573" s="53">
        <f t="shared" si="205"/>
        <v>0</v>
      </c>
      <c r="H573" s="53"/>
      <c r="I573" s="72"/>
      <c r="J573" s="72"/>
      <c r="K573" s="72"/>
      <c r="L573" s="72"/>
      <c r="M573" s="72"/>
      <c r="N573" s="72"/>
      <c r="O573" s="72"/>
      <c r="P573" s="72"/>
      <c r="Q573" s="72"/>
      <c r="R573" s="72"/>
      <c r="S573" s="72"/>
      <c r="T573" s="72"/>
      <c r="U573" s="72"/>
      <c r="V573" s="72"/>
      <c r="W573" s="72"/>
      <c r="X573" s="72"/>
      <c r="Y573" s="72"/>
      <c r="Z573" s="72"/>
    </row>
    <row r="574" spans="1:26" ht="30" customHeight="1">
      <c r="A574" s="50" t="s">
        <v>1604</v>
      </c>
      <c r="B574" s="51" t="s">
        <v>1605</v>
      </c>
      <c r="C574" s="53"/>
      <c r="D574" s="52"/>
      <c r="E574" s="53"/>
      <c r="F574" s="53"/>
      <c r="G574" s="53">
        <f t="shared" si="205"/>
        <v>0</v>
      </c>
      <c r="H574" s="53"/>
      <c r="I574" s="72"/>
      <c r="J574" s="72"/>
      <c r="K574" s="72"/>
      <c r="L574" s="72"/>
      <c r="M574" s="72"/>
      <c r="N574" s="72"/>
      <c r="O574" s="72"/>
      <c r="P574" s="72"/>
      <c r="Q574" s="72"/>
      <c r="R574" s="72"/>
      <c r="S574" s="72"/>
      <c r="T574" s="72"/>
      <c r="U574" s="72"/>
      <c r="V574" s="72"/>
      <c r="W574" s="72"/>
      <c r="X574" s="72"/>
      <c r="Y574" s="72"/>
      <c r="Z574" s="72"/>
    </row>
    <row r="575" spans="1:26" ht="30" customHeight="1">
      <c r="A575" s="50" t="s">
        <v>1606</v>
      </c>
      <c r="B575" s="51" t="s">
        <v>1607</v>
      </c>
      <c r="C575" s="53">
        <v>99185376.560000002</v>
      </c>
      <c r="D575" s="52"/>
      <c r="E575" s="53">
        <v>942619.75</v>
      </c>
      <c r="F575" s="53"/>
      <c r="G575" s="53">
        <f t="shared" si="205"/>
        <v>942619.75</v>
      </c>
      <c r="H575" s="53"/>
      <c r="I575" s="72"/>
      <c r="J575" s="72"/>
      <c r="K575" s="72"/>
      <c r="L575" s="72"/>
      <c r="M575" s="72"/>
      <c r="N575" s="72"/>
      <c r="O575" s="72"/>
      <c r="P575" s="72"/>
      <c r="Q575" s="72"/>
      <c r="R575" s="72"/>
      <c r="S575" s="72"/>
      <c r="T575" s="72"/>
      <c r="U575" s="72"/>
      <c r="V575" s="72"/>
      <c r="W575" s="72"/>
      <c r="X575" s="72"/>
      <c r="Y575" s="72"/>
      <c r="Z575" s="72"/>
    </row>
    <row r="576" spans="1:26" ht="30" customHeight="1">
      <c r="A576" s="50" t="s">
        <v>1608</v>
      </c>
      <c r="B576" s="51" t="s">
        <v>1591</v>
      </c>
      <c r="C576" s="53">
        <v>395061675.73000002</v>
      </c>
      <c r="D576" s="52"/>
      <c r="E576" s="53">
        <v>275113309.88</v>
      </c>
      <c r="F576" s="53"/>
      <c r="G576" s="53">
        <f t="shared" si="205"/>
        <v>275113309.88</v>
      </c>
      <c r="H576" s="53"/>
      <c r="I576" s="72"/>
      <c r="J576" s="72"/>
      <c r="K576" s="72"/>
      <c r="L576" s="72"/>
      <c r="M576" s="72"/>
      <c r="N576" s="72"/>
      <c r="O576" s="72"/>
      <c r="P576" s="72"/>
      <c r="Q576" s="72"/>
      <c r="R576" s="72"/>
      <c r="S576" s="72"/>
      <c r="T576" s="72"/>
      <c r="U576" s="72"/>
      <c r="V576" s="72"/>
      <c r="W576" s="72"/>
      <c r="X576" s="72"/>
      <c r="Y576" s="72"/>
      <c r="Z576" s="72"/>
    </row>
    <row r="577" spans="1:26" ht="30" customHeight="1">
      <c r="A577" s="28" t="s">
        <v>1609</v>
      </c>
      <c r="B577" s="29" t="s">
        <v>1610</v>
      </c>
      <c r="C577" s="30">
        <f>C578+C590+C598+C610+C623+C630+C640+C643+C654</f>
        <v>1294997565.05</v>
      </c>
      <c r="D577" s="30"/>
      <c r="E577" s="30">
        <f t="shared" ref="E577:G577" si="206">E578+E590+E598+E610+E623+E630+E640+E643+E654</f>
        <v>897239155.44000006</v>
      </c>
      <c r="F577" s="30">
        <f t="shared" si="206"/>
        <v>0</v>
      </c>
      <c r="G577" s="31">
        <f t="shared" si="206"/>
        <v>897239155.44000006</v>
      </c>
      <c r="H577" s="31"/>
      <c r="I577" s="72"/>
      <c r="J577" s="72"/>
      <c r="K577" s="72"/>
      <c r="L577" s="72"/>
      <c r="M577" s="72"/>
      <c r="N577" s="72"/>
      <c r="O577" s="72"/>
      <c r="P577" s="72"/>
      <c r="Q577" s="72"/>
      <c r="R577" s="72"/>
      <c r="S577" s="72"/>
      <c r="T577" s="72"/>
      <c r="U577" s="72"/>
      <c r="V577" s="72"/>
      <c r="W577" s="72"/>
      <c r="X577" s="72"/>
      <c r="Y577" s="72"/>
      <c r="Z577" s="72"/>
    </row>
    <row r="578" spans="1:26" ht="30" customHeight="1">
      <c r="A578" s="32" t="s">
        <v>1611</v>
      </c>
      <c r="B578" s="48" t="s">
        <v>1612</v>
      </c>
      <c r="C578" s="35">
        <f>SUM(C579:C589)</f>
        <v>0</v>
      </c>
      <c r="D578" s="34"/>
      <c r="E578" s="35">
        <f t="shared" ref="E578:G578" si="207">SUM(E579:E589)</f>
        <v>0</v>
      </c>
      <c r="F578" s="35">
        <f t="shared" si="207"/>
        <v>0</v>
      </c>
      <c r="G578" s="35">
        <f t="shared" si="207"/>
        <v>0</v>
      </c>
      <c r="H578" s="35"/>
      <c r="I578" s="72"/>
      <c r="J578" s="72"/>
      <c r="K578" s="72"/>
      <c r="L578" s="72"/>
      <c r="M578" s="72"/>
      <c r="N578" s="72"/>
      <c r="O578" s="72"/>
      <c r="P578" s="72"/>
      <c r="Q578" s="72"/>
      <c r="R578" s="72"/>
      <c r="S578" s="72"/>
      <c r="T578" s="72"/>
      <c r="U578" s="72"/>
      <c r="V578" s="72"/>
      <c r="W578" s="72"/>
      <c r="X578" s="72"/>
      <c r="Y578" s="72"/>
      <c r="Z578" s="72"/>
    </row>
    <row r="579" spans="1:26" ht="30" customHeight="1">
      <c r="A579" s="36" t="s">
        <v>1613</v>
      </c>
      <c r="B579" s="37" t="s">
        <v>1614</v>
      </c>
      <c r="C579" s="39"/>
      <c r="D579" s="39"/>
      <c r="E579" s="39"/>
      <c r="F579" s="39"/>
      <c r="G579" s="40">
        <f t="shared" ref="G579:G589" si="208">ROUND(E579-F579,2)</f>
        <v>0</v>
      </c>
      <c r="H579" s="40"/>
      <c r="I579" s="72"/>
      <c r="J579" s="72"/>
      <c r="K579" s="72"/>
      <c r="L579" s="72"/>
      <c r="M579" s="72"/>
      <c r="N579" s="72"/>
      <c r="O579" s="72"/>
      <c r="P579" s="72"/>
      <c r="Q579" s="72"/>
      <c r="R579" s="72"/>
      <c r="S579" s="72"/>
      <c r="T579" s="72"/>
      <c r="U579" s="72"/>
      <c r="V579" s="72"/>
      <c r="W579" s="72"/>
      <c r="X579" s="72"/>
      <c r="Y579" s="72"/>
      <c r="Z579" s="72"/>
    </row>
    <row r="580" spans="1:26" ht="30" customHeight="1">
      <c r="A580" s="50" t="s">
        <v>1615</v>
      </c>
      <c r="B580" s="85" t="s">
        <v>1616</v>
      </c>
      <c r="C580" s="39"/>
      <c r="D580" s="39"/>
      <c r="E580" s="39"/>
      <c r="F580" s="39"/>
      <c r="G580" s="40">
        <f t="shared" si="208"/>
        <v>0</v>
      </c>
      <c r="H580" s="53"/>
      <c r="I580" s="72"/>
      <c r="J580" s="72"/>
      <c r="K580" s="72"/>
      <c r="L580" s="72"/>
      <c r="M580" s="72"/>
      <c r="N580" s="72"/>
      <c r="O580" s="72"/>
      <c r="P580" s="72"/>
      <c r="Q580" s="72"/>
      <c r="R580" s="72"/>
      <c r="S580" s="72"/>
      <c r="T580" s="72"/>
      <c r="U580" s="72"/>
      <c r="V580" s="72"/>
      <c r="W580" s="72"/>
      <c r="X580" s="72"/>
      <c r="Y580" s="72"/>
      <c r="Z580" s="72"/>
    </row>
    <row r="581" spans="1:26" ht="30" customHeight="1">
      <c r="A581" s="50" t="s">
        <v>1617</v>
      </c>
      <c r="B581" s="85" t="s">
        <v>1618</v>
      </c>
      <c r="C581" s="39"/>
      <c r="D581" s="39"/>
      <c r="E581" s="39"/>
      <c r="F581" s="39"/>
      <c r="G581" s="40">
        <f t="shared" si="208"/>
        <v>0</v>
      </c>
      <c r="H581" s="53"/>
      <c r="I581" s="72"/>
      <c r="J581" s="72"/>
      <c r="K581" s="72"/>
      <c r="L581" s="72"/>
      <c r="M581" s="72"/>
      <c r="N581" s="72"/>
      <c r="O581" s="72"/>
      <c r="P581" s="72"/>
      <c r="Q581" s="72"/>
      <c r="R581" s="72"/>
      <c r="S581" s="72"/>
      <c r="T581" s="72"/>
      <c r="U581" s="72"/>
      <c r="V581" s="72"/>
      <c r="W581" s="72"/>
      <c r="X581" s="72"/>
      <c r="Y581" s="72"/>
      <c r="Z581" s="72"/>
    </row>
    <row r="582" spans="1:26" ht="30" customHeight="1">
      <c r="A582" s="50" t="s">
        <v>1619</v>
      </c>
      <c r="B582" s="85" t="s">
        <v>1620</v>
      </c>
      <c r="C582" s="39"/>
      <c r="D582" s="39"/>
      <c r="E582" s="39"/>
      <c r="F582" s="39"/>
      <c r="G582" s="40">
        <f t="shared" si="208"/>
        <v>0</v>
      </c>
      <c r="H582" s="53"/>
      <c r="I582" s="72"/>
      <c r="J582" s="72"/>
      <c r="K582" s="72"/>
      <c r="L582" s="72"/>
      <c r="M582" s="72"/>
      <c r="N582" s="72"/>
      <c r="O582" s="72"/>
      <c r="P582" s="72"/>
      <c r="Q582" s="72"/>
      <c r="R582" s="72"/>
      <c r="S582" s="72"/>
      <c r="T582" s="72"/>
      <c r="U582" s="72"/>
      <c r="V582" s="72"/>
      <c r="W582" s="72"/>
      <c r="X582" s="72"/>
      <c r="Y582" s="72"/>
      <c r="Z582" s="72"/>
    </row>
    <row r="583" spans="1:26" ht="30" customHeight="1">
      <c r="A583" s="50" t="s">
        <v>1621</v>
      </c>
      <c r="B583" s="85" t="s">
        <v>1622</v>
      </c>
      <c r="C583" s="39"/>
      <c r="D583" s="39"/>
      <c r="E583" s="39"/>
      <c r="F583" s="39"/>
      <c r="G583" s="40">
        <f t="shared" si="208"/>
        <v>0</v>
      </c>
      <c r="H583" s="53"/>
      <c r="I583" s="72"/>
      <c r="J583" s="72"/>
      <c r="K583" s="72"/>
      <c r="L583" s="72"/>
      <c r="M583" s="72"/>
      <c r="N583" s="72"/>
      <c r="O583" s="72"/>
      <c r="P583" s="72"/>
      <c r="Q583" s="72"/>
      <c r="R583" s="72"/>
      <c r="S583" s="72"/>
      <c r="T583" s="72"/>
      <c r="U583" s="72"/>
      <c r="V583" s="72"/>
      <c r="W583" s="72"/>
      <c r="X583" s="72"/>
      <c r="Y583" s="72"/>
      <c r="Z583" s="72"/>
    </row>
    <row r="584" spans="1:26" ht="30" customHeight="1">
      <c r="A584" s="50" t="s">
        <v>1623</v>
      </c>
      <c r="B584" s="51" t="s">
        <v>1624</v>
      </c>
      <c r="C584" s="39"/>
      <c r="D584" s="39"/>
      <c r="E584" s="39"/>
      <c r="F584" s="39"/>
      <c r="G584" s="40">
        <f t="shared" si="208"/>
        <v>0</v>
      </c>
      <c r="H584" s="53"/>
      <c r="I584" s="72"/>
      <c r="J584" s="72"/>
      <c r="K584" s="72"/>
      <c r="L584" s="72"/>
      <c r="M584" s="72"/>
      <c r="N584" s="72"/>
      <c r="O584" s="72"/>
      <c r="P584" s="72"/>
      <c r="Q584" s="72"/>
      <c r="R584" s="72"/>
      <c r="S584" s="72"/>
      <c r="T584" s="72"/>
      <c r="U584" s="72"/>
      <c r="V584" s="72"/>
      <c r="W584" s="72"/>
      <c r="X584" s="72"/>
      <c r="Y584" s="72"/>
      <c r="Z584" s="72"/>
    </row>
    <row r="585" spans="1:26" ht="30" customHeight="1">
      <c r="A585" s="50" t="s">
        <v>1625</v>
      </c>
      <c r="B585" s="51" t="s">
        <v>1626</v>
      </c>
      <c r="C585" s="39"/>
      <c r="D585" s="39"/>
      <c r="E585" s="39"/>
      <c r="F585" s="39"/>
      <c r="G585" s="40">
        <f t="shared" si="208"/>
        <v>0</v>
      </c>
      <c r="H585" s="53"/>
      <c r="I585" s="72"/>
      <c r="J585" s="72"/>
      <c r="K585" s="72"/>
      <c r="L585" s="72"/>
      <c r="M585" s="72"/>
      <c r="N585" s="72"/>
      <c r="O585" s="72"/>
      <c r="P585" s="72"/>
      <c r="Q585" s="72"/>
      <c r="R585" s="72"/>
      <c r="S585" s="72"/>
      <c r="T585" s="72"/>
      <c r="U585" s="72"/>
      <c r="V585" s="72"/>
      <c r="W585" s="72"/>
      <c r="X585" s="72"/>
      <c r="Y585" s="72"/>
      <c r="Z585" s="72"/>
    </row>
    <row r="586" spans="1:26" ht="30" customHeight="1">
      <c r="A586" s="50" t="s">
        <v>1627</v>
      </c>
      <c r="B586" s="51" t="s">
        <v>1628</v>
      </c>
      <c r="C586" s="53"/>
      <c r="D586" s="52"/>
      <c r="E586" s="53"/>
      <c r="F586" s="53"/>
      <c r="G586" s="40">
        <f t="shared" si="208"/>
        <v>0</v>
      </c>
      <c r="H586" s="53"/>
      <c r="I586" s="72"/>
      <c r="J586" s="72"/>
      <c r="K586" s="72"/>
      <c r="L586" s="72"/>
      <c r="M586" s="72"/>
      <c r="N586" s="72"/>
      <c r="O586" s="72"/>
      <c r="P586" s="72"/>
      <c r="Q586" s="72"/>
      <c r="R586" s="72"/>
      <c r="S586" s="72"/>
      <c r="T586" s="72"/>
      <c r="U586" s="72"/>
      <c r="V586" s="72"/>
      <c r="W586" s="72"/>
      <c r="X586" s="72"/>
      <c r="Y586" s="72"/>
      <c r="Z586" s="72"/>
    </row>
    <row r="587" spans="1:26" ht="30" customHeight="1">
      <c r="A587" s="50" t="s">
        <v>1629</v>
      </c>
      <c r="B587" s="51" t="s">
        <v>1630</v>
      </c>
      <c r="C587" s="39"/>
      <c r="D587" s="39"/>
      <c r="E587" s="39"/>
      <c r="F587" s="39"/>
      <c r="G587" s="40">
        <f t="shared" si="208"/>
        <v>0</v>
      </c>
      <c r="H587" s="53"/>
      <c r="I587" s="72"/>
      <c r="J587" s="72"/>
      <c r="K587" s="72"/>
      <c r="L587" s="72"/>
      <c r="M587" s="72"/>
      <c r="N587" s="72"/>
      <c r="O587" s="72"/>
      <c r="P587" s="72"/>
      <c r="Q587" s="72"/>
      <c r="R587" s="72"/>
      <c r="S587" s="72"/>
      <c r="T587" s="72"/>
      <c r="U587" s="72"/>
      <c r="V587" s="72"/>
      <c r="W587" s="72"/>
      <c r="X587" s="72"/>
      <c r="Y587" s="72"/>
      <c r="Z587" s="72"/>
    </row>
    <row r="588" spans="1:26" ht="30" customHeight="1">
      <c r="A588" s="50" t="s">
        <v>1631</v>
      </c>
      <c r="B588" s="55" t="s">
        <v>1632</v>
      </c>
      <c r="C588" s="39"/>
      <c r="D588" s="39"/>
      <c r="E588" s="39"/>
      <c r="F588" s="39"/>
      <c r="G588" s="40">
        <f t="shared" si="208"/>
        <v>0</v>
      </c>
      <c r="H588" s="53"/>
      <c r="I588" s="72"/>
      <c r="J588" s="72"/>
      <c r="K588" s="72"/>
      <c r="L588" s="72"/>
      <c r="M588" s="72"/>
      <c r="N588" s="72"/>
      <c r="O588" s="72"/>
      <c r="P588" s="72"/>
      <c r="Q588" s="72"/>
      <c r="R588" s="72"/>
      <c r="S588" s="72"/>
      <c r="T588" s="72"/>
      <c r="U588" s="72"/>
      <c r="V588" s="72"/>
      <c r="W588" s="72"/>
      <c r="X588" s="72"/>
      <c r="Y588" s="72"/>
      <c r="Z588" s="72"/>
    </row>
    <row r="589" spans="1:26" ht="30" customHeight="1">
      <c r="A589" s="36" t="s">
        <v>1633</v>
      </c>
      <c r="B589" s="37" t="s">
        <v>1634</v>
      </c>
      <c r="C589" s="39"/>
      <c r="D589" s="39"/>
      <c r="E589" s="39"/>
      <c r="F589" s="39"/>
      <c r="G589" s="40">
        <f t="shared" si="208"/>
        <v>0</v>
      </c>
      <c r="H589" s="40"/>
      <c r="I589" s="72"/>
      <c r="J589" s="72"/>
      <c r="K589" s="72"/>
      <c r="L589" s="72"/>
      <c r="M589" s="72"/>
      <c r="N589" s="72"/>
      <c r="O589" s="72"/>
      <c r="P589" s="72"/>
      <c r="Q589" s="72"/>
      <c r="R589" s="72"/>
      <c r="S589" s="72"/>
      <c r="T589" s="72"/>
      <c r="U589" s="72"/>
      <c r="V589" s="72"/>
      <c r="W589" s="72"/>
      <c r="X589" s="72"/>
      <c r="Y589" s="72"/>
      <c r="Z589" s="72"/>
    </row>
    <row r="590" spans="1:26" ht="30" customHeight="1">
      <c r="A590" s="32" t="s">
        <v>1635</v>
      </c>
      <c r="B590" s="43" t="s">
        <v>1636</v>
      </c>
      <c r="C590" s="35">
        <f>C591+C595</f>
        <v>834323906.45000005</v>
      </c>
      <c r="D590" s="34"/>
      <c r="E590" s="35">
        <f t="shared" ref="E590:G590" si="209">E591+E595</f>
        <v>617777968.36000001</v>
      </c>
      <c r="F590" s="35">
        <f t="shared" si="209"/>
        <v>0</v>
      </c>
      <c r="G590" s="35">
        <f t="shared" si="209"/>
        <v>617777968.36000001</v>
      </c>
      <c r="H590" s="35"/>
      <c r="I590" s="72"/>
      <c r="J590" s="72"/>
      <c r="K590" s="72"/>
      <c r="L590" s="72"/>
      <c r="M590" s="72"/>
      <c r="N590" s="72"/>
      <c r="O590" s="72"/>
      <c r="P590" s="72"/>
      <c r="Q590" s="72"/>
      <c r="R590" s="72"/>
      <c r="S590" s="72"/>
      <c r="T590" s="72"/>
      <c r="U590" s="72"/>
      <c r="V590" s="72"/>
      <c r="W590" s="72"/>
      <c r="X590" s="72"/>
      <c r="Y590" s="72"/>
      <c r="Z590" s="72"/>
    </row>
    <row r="591" spans="1:26" ht="30" customHeight="1">
      <c r="A591" s="36">
        <v>52210</v>
      </c>
      <c r="B591" s="37" t="s">
        <v>1637</v>
      </c>
      <c r="C591" s="39">
        <f>SUM(C592:C594)</f>
        <v>834323906.45000005</v>
      </c>
      <c r="D591" s="39"/>
      <c r="E591" s="39">
        <f t="shared" ref="E591:G591" si="210">SUM(E592:E594)</f>
        <v>617777968.36000001</v>
      </c>
      <c r="F591" s="39">
        <f t="shared" si="210"/>
        <v>0</v>
      </c>
      <c r="G591" s="39">
        <f t="shared" si="210"/>
        <v>617777968.36000001</v>
      </c>
      <c r="H591" s="40"/>
      <c r="I591" s="72"/>
      <c r="J591" s="72"/>
      <c r="K591" s="72"/>
      <c r="L591" s="72"/>
      <c r="M591" s="72"/>
      <c r="N591" s="72"/>
      <c r="O591" s="72"/>
      <c r="P591" s="72"/>
      <c r="Q591" s="72"/>
      <c r="R591" s="72"/>
      <c r="S591" s="72"/>
      <c r="T591" s="72"/>
      <c r="U591" s="72"/>
      <c r="V591" s="72"/>
      <c r="W591" s="72"/>
      <c r="X591" s="72"/>
      <c r="Y591" s="72"/>
      <c r="Z591" s="72"/>
    </row>
    <row r="592" spans="1:26" ht="30" customHeight="1">
      <c r="A592" s="50" t="s">
        <v>1638</v>
      </c>
      <c r="B592" s="51" t="s">
        <v>1639</v>
      </c>
      <c r="C592" s="53">
        <v>834323906.45000005</v>
      </c>
      <c r="D592" s="52"/>
      <c r="E592" s="53">
        <v>617777968.36000001</v>
      </c>
      <c r="F592" s="53"/>
      <c r="G592" s="53">
        <f t="shared" ref="G592:G594" si="211">ROUND(E592-F592,2)</f>
        <v>617777968.36000001</v>
      </c>
      <c r="H592" s="53"/>
      <c r="I592" s="72"/>
      <c r="J592" s="72"/>
      <c r="K592" s="72"/>
      <c r="L592" s="72"/>
      <c r="M592" s="72"/>
      <c r="N592" s="72"/>
      <c r="O592" s="72"/>
      <c r="P592" s="72"/>
      <c r="Q592" s="72"/>
      <c r="R592" s="72"/>
      <c r="S592" s="72"/>
      <c r="T592" s="72"/>
      <c r="U592" s="72"/>
      <c r="V592" s="72"/>
      <c r="W592" s="72"/>
      <c r="X592" s="72"/>
      <c r="Y592" s="72"/>
      <c r="Z592" s="72"/>
    </row>
    <row r="593" spans="1:26" ht="30" customHeight="1">
      <c r="A593" s="50" t="s">
        <v>1640</v>
      </c>
      <c r="B593" s="85" t="s">
        <v>1641</v>
      </c>
      <c r="C593" s="39"/>
      <c r="D593" s="39"/>
      <c r="E593" s="39"/>
      <c r="F593" s="39"/>
      <c r="G593" s="53">
        <f t="shared" si="211"/>
        <v>0</v>
      </c>
      <c r="H593" s="53"/>
      <c r="I593" s="72"/>
      <c r="J593" s="72"/>
      <c r="K593" s="72"/>
      <c r="L593" s="72"/>
      <c r="M593" s="72"/>
      <c r="N593" s="72"/>
      <c r="O593" s="72"/>
      <c r="P593" s="72"/>
      <c r="Q593" s="72"/>
      <c r="R593" s="72"/>
      <c r="S593" s="72"/>
      <c r="T593" s="72"/>
      <c r="U593" s="72"/>
      <c r="V593" s="72"/>
      <c r="W593" s="72"/>
      <c r="X593" s="72"/>
      <c r="Y593" s="72"/>
      <c r="Z593" s="72"/>
    </row>
    <row r="594" spans="1:26" ht="30" customHeight="1">
      <c r="A594" s="50" t="s">
        <v>1642</v>
      </c>
      <c r="B594" s="85" t="s">
        <v>1643</v>
      </c>
      <c r="C594" s="39"/>
      <c r="D594" s="39"/>
      <c r="E594" s="39"/>
      <c r="F594" s="39"/>
      <c r="G594" s="53">
        <f t="shared" si="211"/>
        <v>0</v>
      </c>
      <c r="H594" s="53"/>
      <c r="I594" s="72"/>
      <c r="J594" s="72"/>
      <c r="K594" s="72"/>
      <c r="L594" s="72"/>
      <c r="M594" s="72"/>
      <c r="N594" s="72"/>
      <c r="O594" s="72"/>
      <c r="P594" s="72"/>
      <c r="Q594" s="72"/>
      <c r="R594" s="72"/>
      <c r="S594" s="72"/>
      <c r="T594" s="72"/>
      <c r="U594" s="72"/>
      <c r="V594" s="72"/>
      <c r="W594" s="72"/>
      <c r="X594" s="72"/>
      <c r="Y594" s="72"/>
      <c r="Z594" s="72"/>
    </row>
    <row r="595" spans="1:26" ht="30" customHeight="1">
      <c r="A595" s="36">
        <v>52220</v>
      </c>
      <c r="B595" s="37" t="s">
        <v>1644</v>
      </c>
      <c r="C595" s="39">
        <f>SUM(C596:C597)</f>
        <v>0</v>
      </c>
      <c r="D595" s="39"/>
      <c r="E595" s="39">
        <f t="shared" ref="E595:G595" si="212">SUM(E596:E597)</f>
        <v>0</v>
      </c>
      <c r="F595" s="39">
        <f t="shared" si="212"/>
        <v>0</v>
      </c>
      <c r="G595" s="39">
        <f t="shared" si="212"/>
        <v>0</v>
      </c>
      <c r="H595" s="40"/>
      <c r="I595" s="72"/>
      <c r="J595" s="72"/>
      <c r="K595" s="72"/>
      <c r="L595" s="72"/>
      <c r="M595" s="72"/>
      <c r="N595" s="72"/>
      <c r="O595" s="72"/>
      <c r="P595" s="72"/>
      <c r="Q595" s="72"/>
      <c r="R595" s="72"/>
      <c r="S595" s="72"/>
      <c r="T595" s="72"/>
      <c r="U595" s="72"/>
      <c r="V595" s="72"/>
      <c r="W595" s="72"/>
      <c r="X595" s="72"/>
      <c r="Y595" s="72"/>
      <c r="Z595" s="72"/>
    </row>
    <row r="596" spans="1:26" ht="30" customHeight="1">
      <c r="A596" s="50" t="s">
        <v>1645</v>
      </c>
      <c r="B596" s="85" t="s">
        <v>1646</v>
      </c>
      <c r="C596" s="53"/>
      <c r="D596" s="52"/>
      <c r="E596" s="53"/>
      <c r="F596" s="53"/>
      <c r="G596" s="53">
        <f t="shared" ref="G596:G597" si="213">ROUND(E596-F596,2)</f>
        <v>0</v>
      </c>
      <c r="H596" s="53"/>
      <c r="I596" s="72"/>
      <c r="J596" s="72"/>
      <c r="K596" s="72"/>
      <c r="L596" s="72"/>
      <c r="M596" s="72"/>
      <c r="N596" s="72"/>
      <c r="O596" s="72"/>
      <c r="P596" s="72"/>
      <c r="Q596" s="72"/>
      <c r="R596" s="72"/>
      <c r="S596" s="72"/>
      <c r="T596" s="72"/>
      <c r="U596" s="72"/>
      <c r="V596" s="72"/>
      <c r="W596" s="72"/>
      <c r="X596" s="72"/>
      <c r="Y596" s="72"/>
      <c r="Z596" s="72"/>
    </row>
    <row r="597" spans="1:26" ht="30" customHeight="1">
      <c r="A597" s="50" t="s">
        <v>1647</v>
      </c>
      <c r="B597" s="51" t="s">
        <v>1648</v>
      </c>
      <c r="C597" s="53"/>
      <c r="D597" s="52"/>
      <c r="E597" s="53"/>
      <c r="F597" s="53"/>
      <c r="G597" s="53">
        <f t="shared" si="213"/>
        <v>0</v>
      </c>
      <c r="H597" s="53"/>
      <c r="I597" s="72"/>
      <c r="J597" s="72"/>
      <c r="K597" s="72"/>
      <c r="L597" s="72"/>
      <c r="M597" s="72"/>
      <c r="N597" s="72"/>
      <c r="O597" s="72"/>
      <c r="P597" s="72"/>
      <c r="Q597" s="72"/>
      <c r="R597" s="72"/>
      <c r="S597" s="72"/>
      <c r="T597" s="72"/>
      <c r="U597" s="72"/>
      <c r="V597" s="72"/>
      <c r="W597" s="72"/>
      <c r="X597" s="72"/>
      <c r="Y597" s="72"/>
      <c r="Z597" s="72"/>
    </row>
    <row r="598" spans="1:26" ht="30" customHeight="1">
      <c r="A598" s="32" t="s">
        <v>1649</v>
      </c>
      <c r="B598" s="43" t="s">
        <v>1650</v>
      </c>
      <c r="C598" s="34">
        <f>SUM(C599+C608)</f>
        <v>64433385.399999999</v>
      </c>
      <c r="D598" s="34"/>
      <c r="E598" s="34">
        <f t="shared" ref="E598:G598" si="214">SUM(E599+E608)</f>
        <v>46970000</v>
      </c>
      <c r="F598" s="34">
        <f t="shared" si="214"/>
        <v>0</v>
      </c>
      <c r="G598" s="35">
        <f t="shared" si="214"/>
        <v>46970000</v>
      </c>
      <c r="H598" s="35"/>
      <c r="I598" s="72"/>
      <c r="J598" s="72"/>
      <c r="K598" s="72"/>
      <c r="L598" s="72"/>
      <c r="M598" s="72"/>
      <c r="N598" s="72"/>
      <c r="O598" s="72"/>
      <c r="P598" s="72"/>
      <c r="Q598" s="72"/>
      <c r="R598" s="72"/>
      <c r="S598" s="72"/>
      <c r="T598" s="72"/>
      <c r="U598" s="72"/>
      <c r="V598" s="72"/>
      <c r="W598" s="72"/>
      <c r="X598" s="72"/>
      <c r="Y598" s="72"/>
      <c r="Z598" s="72"/>
    </row>
    <row r="599" spans="1:26" ht="30" customHeight="1">
      <c r="A599" s="44" t="s">
        <v>1651</v>
      </c>
      <c r="B599" s="54" t="s">
        <v>1652</v>
      </c>
      <c r="C599" s="40">
        <f>SUM(C600:C607)</f>
        <v>64433385.399999999</v>
      </c>
      <c r="D599" s="39"/>
      <c r="E599" s="40">
        <f t="shared" ref="E599:G599" si="215">SUM(E600:E607)</f>
        <v>46970000</v>
      </c>
      <c r="F599" s="40">
        <f t="shared" si="215"/>
        <v>0</v>
      </c>
      <c r="G599" s="40">
        <f t="shared" si="215"/>
        <v>46970000</v>
      </c>
      <c r="H599" s="40"/>
      <c r="I599" s="72"/>
      <c r="J599" s="72"/>
      <c r="K599" s="72"/>
      <c r="L599" s="72"/>
      <c r="M599" s="72"/>
      <c r="N599" s="72"/>
      <c r="O599" s="72"/>
      <c r="P599" s="72"/>
      <c r="Q599" s="72"/>
      <c r="R599" s="72"/>
      <c r="S599" s="72"/>
      <c r="T599" s="72"/>
      <c r="U599" s="72"/>
      <c r="V599" s="72"/>
      <c r="W599" s="72"/>
      <c r="X599" s="72"/>
      <c r="Y599" s="72"/>
      <c r="Z599" s="72"/>
    </row>
    <row r="600" spans="1:26" ht="30" customHeight="1">
      <c r="A600" s="50" t="s">
        <v>1653</v>
      </c>
      <c r="B600" s="51" t="s">
        <v>1654</v>
      </c>
      <c r="C600" s="53"/>
      <c r="D600" s="52"/>
      <c r="E600" s="53"/>
      <c r="F600" s="53"/>
      <c r="G600" s="53">
        <f t="shared" ref="G600:G607" si="216">ROUND(E600-F600,2)</f>
        <v>0</v>
      </c>
      <c r="H600" s="53"/>
      <c r="I600" s="72"/>
      <c r="J600" s="72"/>
      <c r="K600" s="72"/>
      <c r="L600" s="72"/>
      <c r="M600" s="72"/>
      <c r="N600" s="72"/>
      <c r="O600" s="72"/>
      <c r="P600" s="72"/>
      <c r="Q600" s="72"/>
      <c r="R600" s="72"/>
      <c r="S600" s="72"/>
      <c r="T600" s="72"/>
      <c r="U600" s="72"/>
      <c r="V600" s="72"/>
      <c r="W600" s="72"/>
      <c r="X600" s="72"/>
      <c r="Y600" s="72"/>
      <c r="Z600" s="72"/>
    </row>
    <row r="601" spans="1:26" ht="30" customHeight="1">
      <c r="A601" s="50" t="s">
        <v>1655</v>
      </c>
      <c r="B601" s="51" t="s">
        <v>1656</v>
      </c>
      <c r="C601" s="53"/>
      <c r="D601" s="52"/>
      <c r="E601" s="53"/>
      <c r="F601" s="53"/>
      <c r="G601" s="53">
        <f t="shared" si="216"/>
        <v>0</v>
      </c>
      <c r="H601" s="53"/>
      <c r="I601" s="72"/>
      <c r="J601" s="72"/>
      <c r="K601" s="72"/>
      <c r="L601" s="72"/>
      <c r="M601" s="72"/>
      <c r="N601" s="72"/>
      <c r="O601" s="72"/>
      <c r="P601" s="72"/>
      <c r="Q601" s="72"/>
      <c r="R601" s="72"/>
      <c r="S601" s="72"/>
      <c r="T601" s="72"/>
      <c r="U601" s="72"/>
      <c r="V601" s="72"/>
      <c r="W601" s="72"/>
      <c r="X601" s="72"/>
      <c r="Y601" s="72"/>
      <c r="Z601" s="72"/>
    </row>
    <row r="602" spans="1:26" ht="30" customHeight="1">
      <c r="A602" s="50" t="s">
        <v>1657</v>
      </c>
      <c r="B602" s="51" t="s">
        <v>1658</v>
      </c>
      <c r="C602" s="53"/>
      <c r="D602" s="52"/>
      <c r="E602" s="53"/>
      <c r="F602" s="53"/>
      <c r="G602" s="53">
        <f t="shared" si="216"/>
        <v>0</v>
      </c>
      <c r="H602" s="53"/>
      <c r="I602" s="72"/>
      <c r="J602" s="72"/>
      <c r="K602" s="72"/>
      <c r="L602" s="72"/>
      <c r="M602" s="72"/>
      <c r="N602" s="72"/>
      <c r="O602" s="72"/>
      <c r="P602" s="72"/>
      <c r="Q602" s="72"/>
      <c r="R602" s="72"/>
      <c r="S602" s="72"/>
      <c r="T602" s="72"/>
      <c r="U602" s="72"/>
      <c r="V602" s="72"/>
      <c r="W602" s="72"/>
      <c r="X602" s="72"/>
      <c r="Y602" s="72"/>
      <c r="Z602" s="72"/>
    </row>
    <row r="603" spans="1:26" ht="30" customHeight="1">
      <c r="A603" s="50" t="s">
        <v>1659</v>
      </c>
      <c r="B603" s="51" t="s">
        <v>1660</v>
      </c>
      <c r="C603" s="53"/>
      <c r="D603" s="52"/>
      <c r="E603" s="53"/>
      <c r="F603" s="53"/>
      <c r="G603" s="53">
        <f t="shared" si="216"/>
        <v>0</v>
      </c>
      <c r="H603" s="53"/>
      <c r="I603" s="72"/>
      <c r="J603" s="72"/>
      <c r="K603" s="72"/>
      <c r="L603" s="72"/>
      <c r="M603" s="72"/>
      <c r="N603" s="72"/>
      <c r="O603" s="72"/>
      <c r="P603" s="72"/>
      <c r="Q603" s="72"/>
      <c r="R603" s="72"/>
      <c r="S603" s="72"/>
      <c r="T603" s="72"/>
      <c r="U603" s="72"/>
      <c r="V603" s="72"/>
      <c r="W603" s="72"/>
      <c r="X603" s="72"/>
      <c r="Y603" s="72"/>
      <c r="Z603" s="72"/>
    </row>
    <row r="604" spans="1:26" ht="30" customHeight="1">
      <c r="A604" s="50" t="s">
        <v>1661</v>
      </c>
      <c r="B604" s="51" t="s">
        <v>1662</v>
      </c>
      <c r="C604" s="53"/>
      <c r="D604" s="52"/>
      <c r="E604" s="53"/>
      <c r="F604" s="53"/>
      <c r="G604" s="53">
        <f t="shared" si="216"/>
        <v>0</v>
      </c>
      <c r="H604" s="53"/>
      <c r="I604" s="72"/>
      <c r="J604" s="72"/>
      <c r="K604" s="72"/>
      <c r="L604" s="72"/>
      <c r="M604" s="72"/>
      <c r="N604" s="72"/>
      <c r="O604" s="72"/>
      <c r="P604" s="72"/>
      <c r="Q604" s="72"/>
      <c r="R604" s="72"/>
      <c r="S604" s="72"/>
      <c r="T604" s="72"/>
      <c r="U604" s="72"/>
      <c r="V604" s="72"/>
      <c r="W604" s="72"/>
      <c r="X604" s="72"/>
      <c r="Y604" s="72"/>
      <c r="Z604" s="72"/>
    </row>
    <row r="605" spans="1:26" ht="30" customHeight="1">
      <c r="A605" s="50" t="s">
        <v>1663</v>
      </c>
      <c r="B605" s="51" t="s">
        <v>1664</v>
      </c>
      <c r="C605" s="53"/>
      <c r="D605" s="52"/>
      <c r="E605" s="53"/>
      <c r="F605" s="53"/>
      <c r="G605" s="53">
        <f t="shared" si="216"/>
        <v>0</v>
      </c>
      <c r="H605" s="53"/>
      <c r="I605" s="72"/>
      <c r="J605" s="72"/>
      <c r="K605" s="72"/>
      <c r="L605" s="72"/>
      <c r="M605" s="72"/>
      <c r="N605" s="72"/>
      <c r="O605" s="72"/>
      <c r="P605" s="72"/>
      <c r="Q605" s="72"/>
      <c r="R605" s="72"/>
      <c r="S605" s="72"/>
      <c r="T605" s="72"/>
      <c r="U605" s="72"/>
      <c r="V605" s="72"/>
      <c r="W605" s="72"/>
      <c r="X605" s="72"/>
      <c r="Y605" s="72"/>
      <c r="Z605" s="72"/>
    </row>
    <row r="606" spans="1:26" ht="30" customHeight="1">
      <c r="A606" s="50" t="s">
        <v>1665</v>
      </c>
      <c r="B606" s="85" t="s">
        <v>1666</v>
      </c>
      <c r="C606" s="53"/>
      <c r="D606" s="52"/>
      <c r="E606" s="53"/>
      <c r="F606" s="53"/>
      <c r="G606" s="53">
        <f t="shared" si="216"/>
        <v>0</v>
      </c>
      <c r="H606" s="53"/>
      <c r="I606" s="72"/>
      <c r="J606" s="72"/>
      <c r="K606" s="72"/>
      <c r="L606" s="72"/>
      <c r="M606" s="72"/>
      <c r="N606" s="72"/>
      <c r="O606" s="72"/>
      <c r="P606" s="72"/>
      <c r="Q606" s="72"/>
      <c r="R606" s="72"/>
      <c r="S606" s="72"/>
      <c r="T606" s="72"/>
      <c r="U606" s="72"/>
      <c r="V606" s="72"/>
      <c r="W606" s="72"/>
      <c r="X606" s="72"/>
      <c r="Y606" s="72"/>
      <c r="Z606" s="72"/>
    </row>
    <row r="607" spans="1:26" ht="30" customHeight="1">
      <c r="A607" s="50" t="s">
        <v>1667</v>
      </c>
      <c r="B607" s="85" t="s">
        <v>1668</v>
      </c>
      <c r="C607" s="53">
        <v>64433385.399999999</v>
      </c>
      <c r="D607" s="52"/>
      <c r="E607" s="53">
        <v>46970000</v>
      </c>
      <c r="F607" s="53"/>
      <c r="G607" s="53">
        <f t="shared" si="216"/>
        <v>46970000</v>
      </c>
      <c r="H607" s="53"/>
      <c r="I607" s="72"/>
      <c r="J607" s="72"/>
      <c r="K607" s="72"/>
      <c r="L607" s="72"/>
      <c r="M607" s="72"/>
      <c r="N607" s="72"/>
      <c r="O607" s="72"/>
      <c r="P607" s="72"/>
      <c r="Q607" s="72"/>
      <c r="R607" s="72"/>
      <c r="S607" s="72"/>
      <c r="T607" s="72"/>
      <c r="U607" s="72"/>
      <c r="V607" s="72"/>
      <c r="W607" s="72"/>
      <c r="X607" s="72"/>
      <c r="Y607" s="72"/>
      <c r="Z607" s="72"/>
    </row>
    <row r="608" spans="1:26" ht="30" customHeight="1">
      <c r="A608" s="44" t="s">
        <v>1669</v>
      </c>
      <c r="B608" s="54" t="s">
        <v>1670</v>
      </c>
      <c r="C608" s="40">
        <f>SUM(C609)</f>
        <v>0</v>
      </c>
      <c r="D608" s="39"/>
      <c r="E608" s="40">
        <f t="shared" ref="E608:G608" si="217">SUM(E609)</f>
        <v>0</v>
      </c>
      <c r="F608" s="40">
        <f t="shared" si="217"/>
        <v>0</v>
      </c>
      <c r="G608" s="40">
        <f t="shared" si="217"/>
        <v>0</v>
      </c>
      <c r="H608" s="40"/>
      <c r="I608" s="72"/>
      <c r="J608" s="72"/>
      <c r="K608" s="72"/>
      <c r="L608" s="72"/>
      <c r="M608" s="72"/>
      <c r="N608" s="72"/>
      <c r="O608" s="72"/>
      <c r="P608" s="72"/>
      <c r="Q608" s="72"/>
      <c r="R608" s="72"/>
      <c r="S608" s="72"/>
      <c r="T608" s="72"/>
      <c r="U608" s="72"/>
      <c r="V608" s="72"/>
      <c r="W608" s="72"/>
      <c r="X608" s="72"/>
      <c r="Y608" s="72"/>
      <c r="Z608" s="72"/>
    </row>
    <row r="609" spans="1:26" ht="30" customHeight="1">
      <c r="A609" s="50" t="s">
        <v>1671</v>
      </c>
      <c r="B609" s="51" t="s">
        <v>1672</v>
      </c>
      <c r="C609" s="53"/>
      <c r="D609" s="52"/>
      <c r="E609" s="53"/>
      <c r="F609" s="53"/>
      <c r="G609" s="53">
        <f>ROUND(E609-F609,2)</f>
        <v>0</v>
      </c>
      <c r="H609" s="53"/>
      <c r="I609" s="72"/>
      <c r="J609" s="72"/>
      <c r="K609" s="72"/>
      <c r="L609" s="72"/>
      <c r="M609" s="72"/>
      <c r="N609" s="72"/>
      <c r="O609" s="72"/>
      <c r="P609" s="72"/>
      <c r="Q609" s="72"/>
      <c r="R609" s="72"/>
      <c r="S609" s="72"/>
      <c r="T609" s="72"/>
      <c r="U609" s="72"/>
      <c r="V609" s="72"/>
      <c r="W609" s="72"/>
      <c r="X609" s="72"/>
      <c r="Y609" s="72"/>
      <c r="Z609" s="72"/>
    </row>
    <row r="610" spans="1:26" ht="30" customHeight="1">
      <c r="A610" s="32" t="s">
        <v>1673</v>
      </c>
      <c r="B610" s="48" t="s">
        <v>1674</v>
      </c>
      <c r="C610" s="34">
        <f>C611+C613+C615+C621</f>
        <v>213227634.19</v>
      </c>
      <c r="D610" s="34"/>
      <c r="E610" s="34">
        <f t="shared" ref="E610:G610" si="218">E611+E613+E615+E621</f>
        <v>88240674.239999995</v>
      </c>
      <c r="F610" s="34">
        <f t="shared" si="218"/>
        <v>0</v>
      </c>
      <c r="G610" s="35">
        <f t="shared" si="218"/>
        <v>88240674.239999995</v>
      </c>
      <c r="H610" s="35"/>
      <c r="I610" s="72"/>
      <c r="J610" s="72"/>
      <c r="K610" s="72"/>
      <c r="L610" s="72"/>
      <c r="M610" s="72"/>
      <c r="N610" s="72"/>
      <c r="O610" s="72"/>
      <c r="P610" s="72"/>
      <c r="Q610" s="72"/>
      <c r="R610" s="72"/>
      <c r="S610" s="72"/>
      <c r="T610" s="72"/>
      <c r="U610" s="72"/>
      <c r="V610" s="72"/>
      <c r="W610" s="72"/>
      <c r="X610" s="72"/>
      <c r="Y610" s="72"/>
      <c r="Z610" s="72"/>
    </row>
    <row r="611" spans="1:26" ht="30" customHeight="1">
      <c r="A611" s="44" t="s">
        <v>1675</v>
      </c>
      <c r="B611" s="54" t="s">
        <v>1676</v>
      </c>
      <c r="C611" s="40">
        <f>SUM(C612)</f>
        <v>187927264.87</v>
      </c>
      <c r="D611" s="39"/>
      <c r="E611" s="40">
        <f t="shared" ref="E611:G611" si="219">SUM(E612)</f>
        <v>84273174.239999995</v>
      </c>
      <c r="F611" s="40">
        <f t="shared" si="219"/>
        <v>0</v>
      </c>
      <c r="G611" s="40">
        <f t="shared" si="219"/>
        <v>84273174.239999995</v>
      </c>
      <c r="H611" s="40"/>
      <c r="I611" s="72"/>
      <c r="J611" s="72"/>
      <c r="K611" s="72"/>
      <c r="L611" s="72"/>
      <c r="M611" s="72"/>
      <c r="N611" s="72"/>
      <c r="O611" s="72"/>
      <c r="P611" s="72"/>
      <c r="Q611" s="72"/>
      <c r="R611" s="72"/>
      <c r="S611" s="72"/>
      <c r="T611" s="72"/>
      <c r="U611" s="72"/>
      <c r="V611" s="72"/>
      <c r="W611" s="72"/>
      <c r="X611" s="72"/>
      <c r="Y611" s="72"/>
      <c r="Z611" s="72"/>
    </row>
    <row r="612" spans="1:26" ht="30" customHeight="1">
      <c r="A612" s="50" t="s">
        <v>1677</v>
      </c>
      <c r="B612" s="51" t="s">
        <v>1678</v>
      </c>
      <c r="C612" s="53">
        <v>187927264.87</v>
      </c>
      <c r="D612" s="52"/>
      <c r="E612" s="53">
        <v>84273174.239999995</v>
      </c>
      <c r="F612" s="53"/>
      <c r="G612" s="53">
        <f>ROUND(E612-F612,2)</f>
        <v>84273174.239999995</v>
      </c>
      <c r="H612" s="53"/>
      <c r="I612" s="72"/>
      <c r="J612" s="72"/>
      <c r="K612" s="72"/>
      <c r="L612" s="72"/>
      <c r="M612" s="72"/>
      <c r="N612" s="72"/>
      <c r="O612" s="72"/>
      <c r="P612" s="72"/>
      <c r="Q612" s="72"/>
      <c r="R612" s="72"/>
      <c r="S612" s="72"/>
      <c r="T612" s="72"/>
      <c r="U612" s="72"/>
      <c r="V612" s="72"/>
      <c r="W612" s="72"/>
      <c r="X612" s="72"/>
      <c r="Y612" s="72"/>
      <c r="Z612" s="72"/>
    </row>
    <row r="613" spans="1:26" ht="30" customHeight="1">
      <c r="A613" s="44" t="s">
        <v>1679</v>
      </c>
      <c r="B613" s="54" t="s">
        <v>1680</v>
      </c>
      <c r="C613" s="40">
        <f>SUM(C614)</f>
        <v>12528750</v>
      </c>
      <c r="D613" s="39"/>
      <c r="E613" s="40">
        <f t="shared" ref="E613:G613" si="220">SUM(E614)</f>
        <v>3547500</v>
      </c>
      <c r="F613" s="40">
        <f t="shared" si="220"/>
        <v>0</v>
      </c>
      <c r="G613" s="40">
        <f t="shared" si="220"/>
        <v>3547500</v>
      </c>
      <c r="H613" s="40"/>
      <c r="I613" s="86"/>
      <c r="J613" s="86"/>
      <c r="K613" s="86"/>
      <c r="L613" s="86"/>
      <c r="M613" s="86"/>
      <c r="N613" s="86"/>
      <c r="O613" s="86"/>
      <c r="P613" s="86"/>
      <c r="Q613" s="86"/>
      <c r="R613" s="86"/>
      <c r="S613" s="86"/>
      <c r="T613" s="86"/>
      <c r="U613" s="86"/>
      <c r="V613" s="86"/>
      <c r="W613" s="86"/>
      <c r="X613" s="86"/>
      <c r="Y613" s="86"/>
      <c r="Z613" s="86"/>
    </row>
    <row r="614" spans="1:26" ht="30" customHeight="1">
      <c r="A614" s="50" t="s">
        <v>1681</v>
      </c>
      <c r="B614" s="51" t="s">
        <v>1682</v>
      </c>
      <c r="C614" s="53">
        <v>12528750</v>
      </c>
      <c r="D614" s="52"/>
      <c r="E614" s="53">
        <v>3547500</v>
      </c>
      <c r="F614" s="53"/>
      <c r="G614" s="53">
        <f>ROUND(E614-F614,2)</f>
        <v>3547500</v>
      </c>
      <c r="H614" s="53"/>
      <c r="I614" s="86"/>
      <c r="J614" s="86"/>
      <c r="K614" s="86"/>
      <c r="L614" s="86"/>
      <c r="M614" s="86"/>
      <c r="N614" s="86"/>
      <c r="O614" s="86"/>
      <c r="P614" s="86"/>
      <c r="Q614" s="86"/>
      <c r="R614" s="86"/>
      <c r="S614" s="86"/>
      <c r="T614" s="86"/>
      <c r="U614" s="86"/>
      <c r="V614" s="86"/>
      <c r="W614" s="86"/>
      <c r="X614" s="86"/>
      <c r="Y614" s="86"/>
      <c r="Z614" s="86"/>
    </row>
    <row r="615" spans="1:26" ht="30" customHeight="1">
      <c r="A615" s="44" t="s">
        <v>1683</v>
      </c>
      <c r="B615" s="54" t="s">
        <v>1684</v>
      </c>
      <c r="C615" s="40">
        <f>SUM(C616:C620)</f>
        <v>12771619.32</v>
      </c>
      <c r="D615" s="39"/>
      <c r="E615" s="40">
        <f t="shared" ref="E615:G615" si="221">SUM(E616:E620)</f>
        <v>420000</v>
      </c>
      <c r="F615" s="40">
        <f t="shared" si="221"/>
        <v>0</v>
      </c>
      <c r="G615" s="40">
        <f t="shared" si="221"/>
        <v>420000</v>
      </c>
      <c r="H615" s="40"/>
      <c r="I615" s="72"/>
      <c r="J615" s="72"/>
      <c r="K615" s="72"/>
      <c r="L615" s="72"/>
      <c r="M615" s="72"/>
      <c r="N615" s="72"/>
      <c r="O615" s="72"/>
      <c r="P615" s="72"/>
      <c r="Q615" s="72"/>
      <c r="R615" s="72"/>
      <c r="S615" s="72"/>
      <c r="T615" s="72"/>
      <c r="U615" s="72"/>
      <c r="V615" s="72"/>
      <c r="W615" s="72"/>
      <c r="X615" s="72"/>
      <c r="Y615" s="72"/>
      <c r="Z615" s="72"/>
    </row>
    <row r="616" spans="1:26" ht="30" customHeight="1">
      <c r="A616" s="50" t="s">
        <v>1685</v>
      </c>
      <c r="B616" s="51" t="s">
        <v>1686</v>
      </c>
      <c r="C616" s="53">
        <v>6902594</v>
      </c>
      <c r="D616" s="52"/>
      <c r="E616" s="53"/>
      <c r="F616" s="53"/>
      <c r="G616" s="53">
        <f t="shared" ref="G616:G620" si="222">ROUND(E616-F616,2)</f>
        <v>0</v>
      </c>
      <c r="H616" s="53"/>
      <c r="I616" s="72"/>
      <c r="J616" s="72"/>
      <c r="K616" s="72"/>
      <c r="L616" s="72"/>
      <c r="M616" s="72"/>
      <c r="N616" s="72"/>
      <c r="O616" s="72"/>
      <c r="P616" s="72"/>
      <c r="Q616" s="72"/>
      <c r="R616" s="72"/>
      <c r="S616" s="72"/>
      <c r="T616" s="72"/>
      <c r="U616" s="72"/>
      <c r="V616" s="72"/>
      <c r="W616" s="72"/>
      <c r="X616" s="72"/>
      <c r="Y616" s="72"/>
      <c r="Z616" s="72"/>
    </row>
    <row r="617" spans="1:26" ht="30" customHeight="1">
      <c r="A617" s="50" t="s">
        <v>1687</v>
      </c>
      <c r="B617" s="51" t="s">
        <v>1688</v>
      </c>
      <c r="C617" s="53"/>
      <c r="D617" s="52"/>
      <c r="E617" s="53"/>
      <c r="F617" s="53"/>
      <c r="G617" s="53">
        <f t="shared" si="222"/>
        <v>0</v>
      </c>
      <c r="H617" s="53"/>
      <c r="I617" s="72"/>
      <c r="J617" s="72"/>
      <c r="K617" s="72"/>
      <c r="L617" s="72"/>
      <c r="M617" s="72"/>
      <c r="N617" s="72"/>
      <c r="O617" s="72"/>
      <c r="P617" s="72"/>
      <c r="Q617" s="72"/>
      <c r="R617" s="72"/>
      <c r="S617" s="72"/>
      <c r="T617" s="72"/>
      <c r="U617" s="72"/>
      <c r="V617" s="72"/>
      <c r="W617" s="72"/>
      <c r="X617" s="72"/>
      <c r="Y617" s="72"/>
      <c r="Z617" s="72"/>
    </row>
    <row r="618" spans="1:26" ht="30" customHeight="1">
      <c r="A618" s="50" t="s">
        <v>1689</v>
      </c>
      <c r="B618" s="51" t="s">
        <v>1690</v>
      </c>
      <c r="C618" s="53">
        <v>5869025.3200000003</v>
      </c>
      <c r="D618" s="52"/>
      <c r="E618" s="53">
        <v>420000</v>
      </c>
      <c r="F618" s="53"/>
      <c r="G618" s="53">
        <f t="shared" si="222"/>
        <v>420000</v>
      </c>
      <c r="H618" s="53"/>
      <c r="I618" s="72"/>
      <c r="J618" s="72"/>
      <c r="K618" s="72"/>
      <c r="L618" s="72"/>
      <c r="M618" s="72"/>
      <c r="N618" s="72"/>
      <c r="O618" s="72"/>
      <c r="P618" s="72"/>
      <c r="Q618" s="72"/>
      <c r="R618" s="72"/>
      <c r="S618" s="72"/>
      <c r="T618" s="72"/>
      <c r="U618" s="72"/>
      <c r="V618" s="72"/>
      <c r="W618" s="72"/>
      <c r="X618" s="72"/>
      <c r="Y618" s="72"/>
      <c r="Z618" s="72"/>
    </row>
    <row r="619" spans="1:26" ht="30" customHeight="1">
      <c r="A619" s="50" t="s">
        <v>1691</v>
      </c>
      <c r="B619" s="51" t="s">
        <v>1692</v>
      </c>
      <c r="C619" s="53"/>
      <c r="D619" s="52"/>
      <c r="E619" s="53"/>
      <c r="F619" s="53"/>
      <c r="G619" s="53">
        <f t="shared" si="222"/>
        <v>0</v>
      </c>
      <c r="H619" s="53"/>
      <c r="I619" s="72"/>
      <c r="J619" s="72"/>
      <c r="K619" s="72"/>
      <c r="L619" s="72"/>
      <c r="M619" s="72"/>
      <c r="N619" s="72"/>
      <c r="O619" s="72"/>
      <c r="P619" s="72"/>
      <c r="Q619" s="72"/>
      <c r="R619" s="72"/>
      <c r="S619" s="72"/>
      <c r="T619" s="72"/>
      <c r="U619" s="72"/>
      <c r="V619" s="72"/>
      <c r="W619" s="72"/>
      <c r="X619" s="72"/>
      <c r="Y619" s="72"/>
      <c r="Z619" s="72"/>
    </row>
    <row r="620" spans="1:26" ht="30" customHeight="1">
      <c r="A620" s="50" t="s">
        <v>1693</v>
      </c>
      <c r="B620" s="51" t="s">
        <v>1694</v>
      </c>
      <c r="C620" s="53"/>
      <c r="D620" s="52"/>
      <c r="E620" s="53"/>
      <c r="F620" s="53"/>
      <c r="G620" s="53">
        <f t="shared" si="222"/>
        <v>0</v>
      </c>
      <c r="H620" s="53"/>
      <c r="I620" s="72"/>
      <c r="J620" s="72"/>
      <c r="K620" s="72"/>
      <c r="L620" s="72"/>
      <c r="M620" s="72"/>
      <c r="N620" s="72"/>
      <c r="O620" s="72"/>
      <c r="P620" s="72"/>
      <c r="Q620" s="72"/>
      <c r="R620" s="72"/>
      <c r="S620" s="72"/>
      <c r="T620" s="72"/>
      <c r="U620" s="72"/>
      <c r="V620" s="72"/>
      <c r="W620" s="72"/>
      <c r="X620" s="72"/>
      <c r="Y620" s="72"/>
      <c r="Z620" s="72"/>
    </row>
    <row r="621" spans="1:26" ht="30" customHeight="1">
      <c r="A621" s="44" t="s">
        <v>1695</v>
      </c>
      <c r="B621" s="54" t="s">
        <v>1696</v>
      </c>
      <c r="C621" s="40">
        <f>SUM(C622)</f>
        <v>0</v>
      </c>
      <c r="D621" s="39"/>
      <c r="E621" s="40">
        <f t="shared" ref="E621:G621" si="223">SUM(E622)</f>
        <v>0</v>
      </c>
      <c r="F621" s="40">
        <f t="shared" si="223"/>
        <v>0</v>
      </c>
      <c r="G621" s="40">
        <f t="shared" si="223"/>
        <v>0</v>
      </c>
      <c r="H621" s="40"/>
      <c r="I621" s="72"/>
      <c r="J621" s="72"/>
      <c r="K621" s="72"/>
      <c r="L621" s="72"/>
      <c r="M621" s="72"/>
      <c r="N621" s="72"/>
      <c r="O621" s="72"/>
      <c r="P621" s="72"/>
      <c r="Q621" s="72"/>
      <c r="R621" s="72"/>
      <c r="S621" s="72"/>
      <c r="T621" s="72"/>
      <c r="U621" s="72"/>
      <c r="V621" s="72"/>
      <c r="W621" s="72"/>
      <c r="X621" s="72"/>
      <c r="Y621" s="72"/>
      <c r="Z621" s="72"/>
    </row>
    <row r="622" spans="1:26" ht="30" customHeight="1">
      <c r="A622" s="50" t="s">
        <v>1697</v>
      </c>
      <c r="B622" s="51" t="s">
        <v>1698</v>
      </c>
      <c r="C622" s="53"/>
      <c r="D622" s="52"/>
      <c r="E622" s="53"/>
      <c r="F622" s="53"/>
      <c r="G622" s="53">
        <f>ROUND(E622-F622,2)</f>
        <v>0</v>
      </c>
      <c r="H622" s="53"/>
      <c r="I622" s="72"/>
      <c r="J622" s="72"/>
      <c r="K622" s="72"/>
      <c r="L622" s="72"/>
      <c r="M622" s="72"/>
      <c r="N622" s="72"/>
      <c r="O622" s="72"/>
      <c r="P622" s="72"/>
      <c r="Q622" s="72"/>
      <c r="R622" s="72"/>
      <c r="S622" s="72"/>
      <c r="T622" s="72"/>
      <c r="U622" s="72"/>
      <c r="V622" s="72"/>
      <c r="W622" s="72"/>
      <c r="X622" s="72"/>
      <c r="Y622" s="72"/>
      <c r="Z622" s="72"/>
    </row>
    <row r="623" spans="1:26" ht="30" customHeight="1">
      <c r="A623" s="32" t="s">
        <v>1699</v>
      </c>
      <c r="B623" s="48" t="s">
        <v>1700</v>
      </c>
      <c r="C623" s="34">
        <f>C624+C626+C628</f>
        <v>0</v>
      </c>
      <c r="D623" s="34"/>
      <c r="E623" s="34">
        <f t="shared" ref="E623:G623" si="224">E624+E626+E628</f>
        <v>0</v>
      </c>
      <c r="F623" s="34">
        <f t="shared" si="224"/>
        <v>0</v>
      </c>
      <c r="G623" s="35">
        <f t="shared" si="224"/>
        <v>0</v>
      </c>
      <c r="H623" s="35"/>
      <c r="I623" s="72"/>
      <c r="J623" s="72"/>
      <c r="K623" s="72"/>
      <c r="L623" s="72"/>
      <c r="M623" s="72"/>
      <c r="N623" s="72"/>
      <c r="O623" s="72"/>
      <c r="P623" s="72"/>
      <c r="Q623" s="72"/>
      <c r="R623" s="72"/>
      <c r="S623" s="72"/>
      <c r="T623" s="72"/>
      <c r="U623" s="72"/>
      <c r="V623" s="72"/>
      <c r="W623" s="72"/>
      <c r="X623" s="72"/>
      <c r="Y623" s="72"/>
      <c r="Z623" s="72"/>
    </row>
    <row r="624" spans="1:26" ht="30" customHeight="1">
      <c r="A624" s="44" t="s">
        <v>1701</v>
      </c>
      <c r="B624" s="54" t="s">
        <v>1702</v>
      </c>
      <c r="C624" s="40">
        <f>SUM(C625)</f>
        <v>0</v>
      </c>
      <c r="D624" s="39"/>
      <c r="E624" s="39">
        <f t="shared" ref="E624:G624" si="225">SUM(E625)</f>
        <v>0</v>
      </c>
      <c r="F624" s="39">
        <f t="shared" si="225"/>
        <v>0</v>
      </c>
      <c r="G624" s="39">
        <f t="shared" si="225"/>
        <v>0</v>
      </c>
      <c r="H624" s="40"/>
      <c r="I624" s="72"/>
      <c r="J624" s="72"/>
      <c r="K624" s="72"/>
      <c r="L624" s="72"/>
      <c r="M624" s="72"/>
      <c r="N624" s="72"/>
      <c r="O624" s="72"/>
      <c r="P624" s="72"/>
      <c r="Q624" s="72"/>
      <c r="R624" s="72"/>
      <c r="S624" s="72"/>
      <c r="T624" s="72"/>
      <c r="U624" s="72"/>
      <c r="V624" s="72"/>
      <c r="W624" s="72"/>
      <c r="X624" s="72"/>
      <c r="Y624" s="72"/>
      <c r="Z624" s="72"/>
    </row>
    <row r="625" spans="1:26" ht="30" customHeight="1">
      <c r="A625" s="50" t="s">
        <v>1703</v>
      </c>
      <c r="B625" s="51" t="s">
        <v>1702</v>
      </c>
      <c r="C625" s="53"/>
      <c r="D625" s="52"/>
      <c r="E625" s="53"/>
      <c r="F625" s="53"/>
      <c r="G625" s="53">
        <f>ROUND(E625-F625,2)</f>
        <v>0</v>
      </c>
      <c r="H625" s="53"/>
      <c r="I625" s="72"/>
      <c r="J625" s="72"/>
      <c r="K625" s="72"/>
      <c r="L625" s="72"/>
      <c r="M625" s="72"/>
      <c r="N625" s="72"/>
      <c r="O625" s="72"/>
      <c r="P625" s="72"/>
      <c r="Q625" s="72"/>
      <c r="R625" s="72"/>
      <c r="S625" s="72"/>
      <c r="T625" s="72"/>
      <c r="U625" s="72"/>
      <c r="V625" s="72"/>
      <c r="W625" s="72"/>
      <c r="X625" s="72"/>
      <c r="Y625" s="72"/>
      <c r="Z625" s="72"/>
    </row>
    <row r="626" spans="1:26" ht="30" customHeight="1">
      <c r="A626" s="44" t="s">
        <v>1704</v>
      </c>
      <c r="B626" s="54" t="s">
        <v>1705</v>
      </c>
      <c r="C626" s="40">
        <f>SUM(C627)</f>
        <v>0</v>
      </c>
      <c r="D626" s="39"/>
      <c r="E626" s="40">
        <f t="shared" ref="E626:G626" si="226">SUM(E627)</f>
        <v>0</v>
      </c>
      <c r="F626" s="40">
        <f t="shared" si="226"/>
        <v>0</v>
      </c>
      <c r="G626" s="40">
        <f t="shared" si="226"/>
        <v>0</v>
      </c>
      <c r="H626" s="40"/>
      <c r="I626" s="72"/>
      <c r="J626" s="72"/>
      <c r="K626" s="72"/>
      <c r="L626" s="72"/>
      <c r="M626" s="72"/>
      <c r="N626" s="72"/>
      <c r="O626" s="72"/>
      <c r="P626" s="72"/>
      <c r="Q626" s="72"/>
      <c r="R626" s="72"/>
      <c r="S626" s="72"/>
      <c r="T626" s="72"/>
      <c r="U626" s="72"/>
      <c r="V626" s="72"/>
      <c r="W626" s="72"/>
      <c r="X626" s="72"/>
      <c r="Y626" s="72"/>
      <c r="Z626" s="72"/>
    </row>
    <row r="627" spans="1:26" ht="30" customHeight="1">
      <c r="A627" s="50" t="s">
        <v>1706</v>
      </c>
      <c r="B627" s="51" t="s">
        <v>1705</v>
      </c>
      <c r="C627" s="53"/>
      <c r="D627" s="52"/>
      <c r="E627" s="53"/>
      <c r="F627" s="53"/>
      <c r="G627" s="53">
        <f>ROUND(E627-F627,2)</f>
        <v>0</v>
      </c>
      <c r="H627" s="53"/>
      <c r="I627" s="72"/>
      <c r="J627" s="72"/>
      <c r="K627" s="72"/>
      <c r="L627" s="72"/>
      <c r="M627" s="72"/>
      <c r="N627" s="72"/>
      <c r="O627" s="72"/>
      <c r="P627" s="72"/>
      <c r="Q627" s="72"/>
      <c r="R627" s="72"/>
      <c r="S627" s="72"/>
      <c r="T627" s="72"/>
      <c r="U627" s="72"/>
      <c r="V627" s="72"/>
      <c r="W627" s="72"/>
      <c r="X627" s="72"/>
      <c r="Y627" s="72"/>
      <c r="Z627" s="72"/>
    </row>
    <row r="628" spans="1:26" ht="30" customHeight="1">
      <c r="A628" s="44" t="s">
        <v>1707</v>
      </c>
      <c r="B628" s="54" t="s">
        <v>1708</v>
      </c>
      <c r="C628" s="40">
        <f>SUM(C629)</f>
        <v>0</v>
      </c>
      <c r="D628" s="39"/>
      <c r="E628" s="40">
        <f t="shared" ref="E628:G628" si="227">SUM(E629)</f>
        <v>0</v>
      </c>
      <c r="F628" s="40">
        <f t="shared" si="227"/>
        <v>0</v>
      </c>
      <c r="G628" s="40">
        <f t="shared" si="227"/>
        <v>0</v>
      </c>
      <c r="H628" s="40"/>
      <c r="I628" s="72"/>
      <c r="J628" s="72"/>
      <c r="K628" s="72"/>
      <c r="L628" s="72"/>
      <c r="M628" s="72"/>
      <c r="N628" s="72"/>
      <c r="O628" s="72"/>
      <c r="P628" s="72"/>
      <c r="Q628" s="72"/>
      <c r="R628" s="72"/>
      <c r="S628" s="72"/>
      <c r="T628" s="72"/>
      <c r="U628" s="72"/>
      <c r="V628" s="72"/>
      <c r="W628" s="72"/>
      <c r="X628" s="72"/>
      <c r="Y628" s="72"/>
      <c r="Z628" s="72"/>
    </row>
    <row r="629" spans="1:26" ht="30" customHeight="1">
      <c r="A629" s="50" t="s">
        <v>1709</v>
      </c>
      <c r="B629" s="51" t="s">
        <v>1708</v>
      </c>
      <c r="C629" s="53"/>
      <c r="D629" s="52"/>
      <c r="E629" s="53"/>
      <c r="F629" s="53"/>
      <c r="G629" s="53">
        <f>ROUND(E629-F629,2)</f>
        <v>0</v>
      </c>
      <c r="H629" s="53"/>
      <c r="I629" s="72"/>
      <c r="J629" s="72"/>
      <c r="K629" s="72"/>
      <c r="L629" s="72"/>
      <c r="M629" s="72"/>
      <c r="N629" s="72"/>
      <c r="O629" s="72"/>
      <c r="P629" s="72"/>
      <c r="Q629" s="72"/>
      <c r="R629" s="72"/>
      <c r="S629" s="72"/>
      <c r="T629" s="72"/>
      <c r="U629" s="72"/>
      <c r="V629" s="72"/>
      <c r="W629" s="72"/>
      <c r="X629" s="72"/>
      <c r="Y629" s="72"/>
      <c r="Z629" s="72"/>
    </row>
    <row r="630" spans="1:26" ht="30" customHeight="1">
      <c r="A630" s="32" t="s">
        <v>1710</v>
      </c>
      <c r="B630" s="48" t="s">
        <v>1711</v>
      </c>
      <c r="C630" s="34">
        <f>C631+C635</f>
        <v>183012639.00999999</v>
      </c>
      <c r="D630" s="34"/>
      <c r="E630" s="34">
        <f t="shared" ref="E630:G630" si="228">E631+E635</f>
        <v>144250512.84</v>
      </c>
      <c r="F630" s="34">
        <f t="shared" si="228"/>
        <v>0</v>
      </c>
      <c r="G630" s="35">
        <f t="shared" si="228"/>
        <v>144250512.84</v>
      </c>
      <c r="H630" s="35"/>
      <c r="I630" s="72"/>
      <c r="J630" s="72"/>
      <c r="K630" s="72"/>
      <c r="L630" s="72"/>
      <c r="M630" s="72"/>
      <c r="N630" s="72"/>
      <c r="O630" s="72"/>
      <c r="P630" s="72"/>
      <c r="Q630" s="72"/>
      <c r="R630" s="72"/>
      <c r="S630" s="72"/>
      <c r="T630" s="72"/>
      <c r="U630" s="72"/>
      <c r="V630" s="72"/>
      <c r="W630" s="72"/>
      <c r="X630" s="72"/>
      <c r="Y630" s="72"/>
      <c r="Z630" s="72"/>
    </row>
    <row r="631" spans="1:26" ht="30" customHeight="1">
      <c r="A631" s="44" t="s">
        <v>1712</v>
      </c>
      <c r="B631" s="54" t="s">
        <v>1713</v>
      </c>
      <c r="C631" s="40">
        <f>SUM(C632:C634)</f>
        <v>0</v>
      </c>
      <c r="D631" s="39"/>
      <c r="E631" s="40">
        <f t="shared" ref="E631:G631" si="229">SUM(E632:E634)</f>
        <v>0</v>
      </c>
      <c r="F631" s="40">
        <f t="shared" si="229"/>
        <v>0</v>
      </c>
      <c r="G631" s="40">
        <f t="shared" si="229"/>
        <v>0</v>
      </c>
      <c r="H631" s="40"/>
      <c r="I631" s="72"/>
      <c r="J631" s="72"/>
      <c r="K631" s="72"/>
      <c r="L631" s="72"/>
      <c r="M631" s="72"/>
      <c r="N631" s="72"/>
      <c r="O631" s="72"/>
      <c r="P631" s="72"/>
      <c r="Q631" s="72"/>
      <c r="R631" s="72"/>
      <c r="S631" s="72"/>
      <c r="T631" s="72"/>
      <c r="U631" s="72"/>
      <c r="V631" s="72"/>
      <c r="W631" s="72"/>
      <c r="X631" s="72"/>
      <c r="Y631" s="72"/>
      <c r="Z631" s="72"/>
    </row>
    <row r="632" spans="1:26" ht="30" customHeight="1">
      <c r="A632" s="50" t="s">
        <v>1714</v>
      </c>
      <c r="B632" s="51" t="s">
        <v>1715</v>
      </c>
      <c r="C632" s="53"/>
      <c r="D632" s="52"/>
      <c r="E632" s="53"/>
      <c r="F632" s="53"/>
      <c r="G632" s="53">
        <f t="shared" ref="G632:G634" si="230">ROUND(E632-F632,2)</f>
        <v>0</v>
      </c>
      <c r="H632" s="53"/>
      <c r="I632" s="72"/>
      <c r="J632" s="72"/>
      <c r="K632" s="72"/>
      <c r="L632" s="72"/>
      <c r="M632" s="72"/>
      <c r="N632" s="72"/>
      <c r="O632" s="72"/>
      <c r="P632" s="72"/>
      <c r="Q632" s="72"/>
      <c r="R632" s="72"/>
      <c r="S632" s="72"/>
      <c r="T632" s="72"/>
      <c r="U632" s="72"/>
      <c r="V632" s="72"/>
      <c r="W632" s="72"/>
      <c r="X632" s="72"/>
      <c r="Y632" s="72"/>
      <c r="Z632" s="72"/>
    </row>
    <row r="633" spans="1:26" ht="30" customHeight="1">
      <c r="A633" s="50" t="s">
        <v>1716</v>
      </c>
      <c r="B633" s="51" t="s">
        <v>1717</v>
      </c>
      <c r="C633" s="53"/>
      <c r="D633" s="52"/>
      <c r="E633" s="53"/>
      <c r="F633" s="53"/>
      <c r="G633" s="53">
        <f t="shared" si="230"/>
        <v>0</v>
      </c>
      <c r="H633" s="53"/>
      <c r="I633" s="72"/>
      <c r="J633" s="72"/>
      <c r="K633" s="72"/>
      <c r="L633" s="72"/>
      <c r="M633" s="72"/>
      <c r="N633" s="72"/>
      <c r="O633" s="72"/>
      <c r="P633" s="72"/>
      <c r="Q633" s="72"/>
      <c r="R633" s="72"/>
      <c r="S633" s="72"/>
      <c r="T633" s="72"/>
      <c r="U633" s="72"/>
      <c r="V633" s="72"/>
      <c r="W633" s="72"/>
      <c r="X633" s="72"/>
      <c r="Y633" s="72"/>
      <c r="Z633" s="72"/>
    </row>
    <row r="634" spans="1:26" ht="30" customHeight="1">
      <c r="A634" s="50" t="s">
        <v>1718</v>
      </c>
      <c r="B634" s="85" t="s">
        <v>1719</v>
      </c>
      <c r="C634" s="53"/>
      <c r="D634" s="52"/>
      <c r="E634" s="53"/>
      <c r="F634" s="53"/>
      <c r="G634" s="53">
        <f t="shared" si="230"/>
        <v>0</v>
      </c>
      <c r="H634" s="53"/>
      <c r="I634" s="72"/>
      <c r="J634" s="72"/>
      <c r="K634" s="72"/>
      <c r="L634" s="72"/>
      <c r="M634" s="72"/>
      <c r="N634" s="72"/>
      <c r="O634" s="72"/>
      <c r="P634" s="72"/>
      <c r="Q634" s="72"/>
      <c r="R634" s="72"/>
      <c r="S634" s="72"/>
      <c r="T634" s="72"/>
      <c r="U634" s="72"/>
      <c r="V634" s="72"/>
      <c r="W634" s="72"/>
      <c r="X634" s="72"/>
      <c r="Y634" s="72"/>
      <c r="Z634" s="72"/>
    </row>
    <row r="635" spans="1:26" ht="30" customHeight="1">
      <c r="A635" s="44" t="s">
        <v>1720</v>
      </c>
      <c r="B635" s="54" t="s">
        <v>1721</v>
      </c>
      <c r="C635" s="40">
        <f>SUM(C636:C639)</f>
        <v>183012639.00999999</v>
      </c>
      <c r="D635" s="39"/>
      <c r="E635" s="40">
        <f t="shared" ref="E635:G635" si="231">SUM(E636:E639)</f>
        <v>144250512.84</v>
      </c>
      <c r="F635" s="40">
        <f t="shared" si="231"/>
        <v>0</v>
      </c>
      <c r="G635" s="40">
        <f t="shared" si="231"/>
        <v>144250512.84</v>
      </c>
      <c r="H635" s="40"/>
      <c r="I635" s="72"/>
      <c r="J635" s="72"/>
      <c r="K635" s="72"/>
      <c r="L635" s="72"/>
      <c r="M635" s="72"/>
      <c r="N635" s="72"/>
      <c r="O635" s="72"/>
      <c r="P635" s="72"/>
      <c r="Q635" s="72"/>
      <c r="R635" s="72"/>
      <c r="S635" s="72"/>
      <c r="T635" s="72"/>
      <c r="U635" s="72"/>
      <c r="V635" s="72"/>
      <c r="W635" s="72"/>
      <c r="X635" s="72"/>
      <c r="Y635" s="72"/>
      <c r="Z635" s="72"/>
    </row>
    <row r="636" spans="1:26" ht="30" customHeight="1">
      <c r="A636" s="50" t="s">
        <v>1722</v>
      </c>
      <c r="B636" s="51" t="s">
        <v>1723</v>
      </c>
      <c r="C636" s="53"/>
      <c r="D636" s="52"/>
      <c r="E636" s="53"/>
      <c r="F636" s="53"/>
      <c r="G636" s="53">
        <f t="shared" ref="G636:G639" si="232">ROUND(E636-F636,2)</f>
        <v>0</v>
      </c>
      <c r="H636" s="40"/>
      <c r="I636" s="72"/>
      <c r="J636" s="72"/>
      <c r="K636" s="72"/>
      <c r="L636" s="72"/>
      <c r="M636" s="72"/>
      <c r="N636" s="72"/>
      <c r="O636" s="72"/>
      <c r="P636" s="72"/>
      <c r="Q636" s="72"/>
      <c r="R636" s="72"/>
      <c r="S636" s="72"/>
      <c r="T636" s="72"/>
      <c r="U636" s="72"/>
      <c r="V636" s="72"/>
      <c r="W636" s="72"/>
      <c r="X636" s="72"/>
      <c r="Y636" s="72"/>
      <c r="Z636" s="72"/>
    </row>
    <row r="637" spans="1:26" ht="30" customHeight="1">
      <c r="A637" s="50" t="s">
        <v>1724</v>
      </c>
      <c r="B637" s="51" t="s">
        <v>1725</v>
      </c>
      <c r="C637" s="53"/>
      <c r="D637" s="52"/>
      <c r="E637" s="53"/>
      <c r="F637" s="53"/>
      <c r="G637" s="53">
        <f t="shared" si="232"/>
        <v>0</v>
      </c>
      <c r="H637" s="40"/>
      <c r="I637" s="72"/>
      <c r="J637" s="72"/>
      <c r="K637" s="72"/>
      <c r="L637" s="72"/>
      <c r="M637" s="72"/>
      <c r="N637" s="72"/>
      <c r="O637" s="72"/>
      <c r="P637" s="72"/>
      <c r="Q637" s="72"/>
      <c r="R637" s="72"/>
      <c r="S637" s="72"/>
      <c r="T637" s="72"/>
      <c r="U637" s="72"/>
      <c r="V637" s="72"/>
      <c r="W637" s="72"/>
      <c r="X637" s="72"/>
      <c r="Y637" s="72"/>
      <c r="Z637" s="72"/>
    </row>
    <row r="638" spans="1:26" ht="30" customHeight="1">
      <c r="A638" s="50" t="s">
        <v>1726</v>
      </c>
      <c r="B638" s="85" t="s">
        <v>1727</v>
      </c>
      <c r="C638" s="53"/>
      <c r="D638" s="52"/>
      <c r="E638" s="53"/>
      <c r="F638" s="53"/>
      <c r="G638" s="53">
        <f t="shared" si="232"/>
        <v>0</v>
      </c>
      <c r="H638" s="40"/>
      <c r="I638" s="72"/>
      <c r="J638" s="72"/>
      <c r="K638" s="72"/>
      <c r="L638" s="72"/>
      <c r="M638" s="72"/>
      <c r="N638" s="72"/>
      <c r="O638" s="72"/>
      <c r="P638" s="72"/>
      <c r="Q638" s="72"/>
      <c r="R638" s="72"/>
      <c r="S638" s="72"/>
      <c r="T638" s="72"/>
      <c r="U638" s="72"/>
      <c r="V638" s="72"/>
      <c r="W638" s="72"/>
      <c r="X638" s="72"/>
      <c r="Y638" s="72"/>
      <c r="Z638" s="72"/>
    </row>
    <row r="639" spans="1:26" ht="30" customHeight="1">
      <c r="A639" s="50" t="s">
        <v>1728</v>
      </c>
      <c r="B639" s="51" t="s">
        <v>1729</v>
      </c>
      <c r="C639" s="53">
        <v>183012639.00999999</v>
      </c>
      <c r="D639" s="52"/>
      <c r="E639" s="53">
        <v>144250512.84</v>
      </c>
      <c r="F639" s="53"/>
      <c r="G639" s="53">
        <f t="shared" si="232"/>
        <v>144250512.84</v>
      </c>
      <c r="H639" s="40"/>
      <c r="I639" s="72"/>
      <c r="J639" s="72"/>
      <c r="K639" s="72"/>
      <c r="L639" s="72"/>
      <c r="M639" s="72"/>
      <c r="N639" s="72"/>
      <c r="O639" s="72"/>
      <c r="P639" s="72"/>
      <c r="Q639" s="72"/>
      <c r="R639" s="72"/>
      <c r="S639" s="72"/>
      <c r="T639" s="72"/>
      <c r="U639" s="72"/>
      <c r="V639" s="72"/>
      <c r="W639" s="72"/>
      <c r="X639" s="72"/>
      <c r="Y639" s="72"/>
      <c r="Z639" s="72"/>
    </row>
    <row r="640" spans="1:26" ht="30" customHeight="1">
      <c r="A640" s="32" t="s">
        <v>1730</v>
      </c>
      <c r="B640" s="48" t="s">
        <v>1731</v>
      </c>
      <c r="C640" s="34">
        <f t="shared" ref="C640:C641" si="233">SUM(C641)</f>
        <v>0</v>
      </c>
      <c r="D640" s="34"/>
      <c r="E640" s="34">
        <f t="shared" ref="E640:G640" si="234">SUM(E641)</f>
        <v>0</v>
      </c>
      <c r="F640" s="34">
        <f t="shared" si="234"/>
        <v>0</v>
      </c>
      <c r="G640" s="35">
        <f t="shared" si="234"/>
        <v>0</v>
      </c>
      <c r="H640" s="35"/>
      <c r="I640" s="72"/>
      <c r="J640" s="72"/>
      <c r="K640" s="72"/>
      <c r="L640" s="72"/>
      <c r="M640" s="72"/>
      <c r="N640" s="72"/>
      <c r="O640" s="72"/>
      <c r="P640" s="72"/>
      <c r="Q640" s="72"/>
      <c r="R640" s="72"/>
      <c r="S640" s="72"/>
      <c r="T640" s="72"/>
      <c r="U640" s="72"/>
      <c r="V640" s="72"/>
      <c r="W640" s="72"/>
      <c r="X640" s="72"/>
      <c r="Y640" s="72"/>
      <c r="Z640" s="72"/>
    </row>
    <row r="641" spans="1:26" ht="30" customHeight="1">
      <c r="A641" s="44" t="s">
        <v>1732</v>
      </c>
      <c r="B641" s="54" t="s">
        <v>1733</v>
      </c>
      <c r="C641" s="40">
        <f t="shared" si="233"/>
        <v>0</v>
      </c>
      <c r="D641" s="39"/>
      <c r="E641" s="40">
        <f t="shared" ref="E641:G641" si="235">SUM(E642)</f>
        <v>0</v>
      </c>
      <c r="F641" s="40">
        <f t="shared" si="235"/>
        <v>0</v>
      </c>
      <c r="G641" s="40">
        <f t="shared" si="235"/>
        <v>0</v>
      </c>
      <c r="H641" s="40"/>
      <c r="I641" s="72"/>
      <c r="J641" s="72"/>
      <c r="K641" s="72"/>
      <c r="L641" s="72"/>
      <c r="M641" s="72"/>
      <c r="N641" s="72"/>
      <c r="O641" s="72"/>
      <c r="P641" s="72"/>
      <c r="Q641" s="72"/>
      <c r="R641" s="72"/>
      <c r="S641" s="72"/>
      <c r="T641" s="72"/>
      <c r="U641" s="72"/>
      <c r="V641" s="72"/>
      <c r="W641" s="72"/>
      <c r="X641" s="72"/>
      <c r="Y641" s="72"/>
      <c r="Z641" s="72"/>
    </row>
    <row r="642" spans="1:26" ht="30" customHeight="1">
      <c r="A642" s="50" t="s">
        <v>1734</v>
      </c>
      <c r="B642" s="51" t="s">
        <v>1735</v>
      </c>
      <c r="C642" s="53"/>
      <c r="D642" s="52"/>
      <c r="E642" s="53"/>
      <c r="F642" s="53"/>
      <c r="G642" s="53">
        <f>ROUND(E642-F642,2)</f>
        <v>0</v>
      </c>
      <c r="H642" s="53"/>
      <c r="I642" s="72"/>
      <c r="J642" s="72"/>
      <c r="K642" s="72"/>
      <c r="L642" s="72"/>
      <c r="M642" s="72"/>
      <c r="N642" s="72"/>
      <c r="O642" s="72"/>
      <c r="P642" s="72"/>
      <c r="Q642" s="72"/>
      <c r="R642" s="72"/>
      <c r="S642" s="72"/>
      <c r="T642" s="72"/>
      <c r="U642" s="72"/>
      <c r="V642" s="72"/>
      <c r="W642" s="72"/>
      <c r="X642" s="72"/>
      <c r="Y642" s="72"/>
      <c r="Z642" s="72"/>
    </row>
    <row r="643" spans="1:26" ht="30" customHeight="1">
      <c r="A643" s="32" t="s">
        <v>1736</v>
      </c>
      <c r="B643" s="48" t="s">
        <v>1737</v>
      </c>
      <c r="C643" s="34">
        <f>C644+C646+C648+C650+C652</f>
        <v>0</v>
      </c>
      <c r="D643" s="34"/>
      <c r="E643" s="34">
        <f t="shared" ref="E643:G643" si="236">E644+E646+E648+E650+E652</f>
        <v>0</v>
      </c>
      <c r="F643" s="34">
        <f t="shared" si="236"/>
        <v>0</v>
      </c>
      <c r="G643" s="35">
        <f t="shared" si="236"/>
        <v>0</v>
      </c>
      <c r="H643" s="35"/>
      <c r="I643" s="72"/>
      <c r="J643" s="72"/>
      <c r="K643" s="72"/>
      <c r="L643" s="72"/>
      <c r="M643" s="72"/>
      <c r="N643" s="72"/>
      <c r="O643" s="72"/>
      <c r="P643" s="72"/>
      <c r="Q643" s="72"/>
      <c r="R643" s="72"/>
      <c r="S643" s="72"/>
      <c r="T643" s="72"/>
      <c r="U643" s="72"/>
      <c r="V643" s="72"/>
      <c r="W643" s="72"/>
      <c r="X643" s="72"/>
      <c r="Y643" s="72"/>
      <c r="Z643" s="72"/>
    </row>
    <row r="644" spans="1:26" ht="30" customHeight="1">
      <c r="A644" s="44" t="s">
        <v>1738</v>
      </c>
      <c r="B644" s="54" t="s">
        <v>1739</v>
      </c>
      <c r="C644" s="40">
        <f>SUM(C645)</f>
        <v>0</v>
      </c>
      <c r="D644" s="39"/>
      <c r="E644" s="40">
        <f t="shared" ref="E644:G644" si="237">SUM(E645)</f>
        <v>0</v>
      </c>
      <c r="F644" s="40">
        <f t="shared" si="237"/>
        <v>0</v>
      </c>
      <c r="G644" s="40">
        <f t="shared" si="237"/>
        <v>0</v>
      </c>
      <c r="H644" s="40"/>
      <c r="I644" s="72"/>
      <c r="J644" s="72"/>
      <c r="K644" s="72"/>
      <c r="L644" s="72"/>
      <c r="M644" s="72"/>
      <c r="N644" s="72"/>
      <c r="O644" s="72"/>
      <c r="P644" s="72"/>
      <c r="Q644" s="72"/>
      <c r="R644" s="72"/>
      <c r="S644" s="72"/>
      <c r="T644" s="72"/>
      <c r="U644" s="72"/>
      <c r="V644" s="72"/>
      <c r="W644" s="72"/>
      <c r="X644" s="72"/>
      <c r="Y644" s="72"/>
      <c r="Z644" s="72"/>
    </row>
    <row r="645" spans="1:26" ht="30" customHeight="1">
      <c r="A645" s="50" t="s">
        <v>1740</v>
      </c>
      <c r="B645" s="51" t="s">
        <v>1739</v>
      </c>
      <c r="C645" s="53"/>
      <c r="D645" s="52"/>
      <c r="E645" s="53"/>
      <c r="F645" s="53"/>
      <c r="G645" s="53">
        <f>ROUND(E645-F645,2)</f>
        <v>0</v>
      </c>
      <c r="H645" s="53"/>
      <c r="I645" s="72"/>
      <c r="J645" s="72"/>
      <c r="K645" s="72"/>
      <c r="L645" s="72"/>
      <c r="M645" s="72"/>
      <c r="N645" s="72"/>
      <c r="O645" s="72"/>
      <c r="P645" s="72"/>
      <c r="Q645" s="72"/>
      <c r="R645" s="72"/>
      <c r="S645" s="72"/>
      <c r="T645" s="72"/>
      <c r="U645" s="72"/>
      <c r="V645" s="72"/>
      <c r="W645" s="72"/>
      <c r="X645" s="72"/>
      <c r="Y645" s="72"/>
      <c r="Z645" s="72"/>
    </row>
    <row r="646" spans="1:26" ht="30" customHeight="1">
      <c r="A646" s="44" t="s">
        <v>1741</v>
      </c>
      <c r="B646" s="54" t="s">
        <v>1742</v>
      </c>
      <c r="C646" s="40">
        <f>SUM(C647)</f>
        <v>0</v>
      </c>
      <c r="D646" s="39"/>
      <c r="E646" s="40">
        <f t="shared" ref="E646:G646" si="238">SUM(E647)</f>
        <v>0</v>
      </c>
      <c r="F646" s="40">
        <f t="shared" si="238"/>
        <v>0</v>
      </c>
      <c r="G646" s="40">
        <f t="shared" si="238"/>
        <v>0</v>
      </c>
      <c r="H646" s="40"/>
      <c r="I646" s="72"/>
      <c r="J646" s="72"/>
      <c r="K646" s="72"/>
      <c r="L646" s="72"/>
      <c r="M646" s="72"/>
      <c r="N646" s="72"/>
      <c r="O646" s="72"/>
      <c r="P646" s="72"/>
      <c r="Q646" s="72"/>
      <c r="R646" s="72"/>
      <c r="S646" s="72"/>
      <c r="T646" s="72"/>
      <c r="U646" s="72"/>
      <c r="V646" s="72"/>
      <c r="W646" s="72"/>
      <c r="X646" s="72"/>
      <c r="Y646" s="72"/>
      <c r="Z646" s="72"/>
    </row>
    <row r="647" spans="1:26" ht="30" customHeight="1">
      <c r="A647" s="50" t="s">
        <v>1743</v>
      </c>
      <c r="B647" s="51" t="s">
        <v>1744</v>
      </c>
      <c r="C647" s="53"/>
      <c r="D647" s="52"/>
      <c r="E647" s="53"/>
      <c r="F647" s="53"/>
      <c r="G647" s="53">
        <f>ROUND(E647-F647,2)</f>
        <v>0</v>
      </c>
      <c r="H647" s="53"/>
      <c r="I647" s="72"/>
      <c r="J647" s="72"/>
      <c r="K647" s="72"/>
      <c r="L647" s="72"/>
      <c r="M647" s="72"/>
      <c r="N647" s="72"/>
      <c r="O647" s="72"/>
      <c r="P647" s="72"/>
      <c r="Q647" s="72"/>
      <c r="R647" s="72"/>
      <c r="S647" s="72"/>
      <c r="T647" s="72"/>
      <c r="U647" s="72"/>
      <c r="V647" s="72"/>
      <c r="W647" s="72"/>
      <c r="X647" s="72"/>
      <c r="Y647" s="72"/>
      <c r="Z647" s="72"/>
    </row>
    <row r="648" spans="1:26" ht="30" customHeight="1">
      <c r="A648" s="44" t="s">
        <v>1745</v>
      </c>
      <c r="B648" s="54" t="s">
        <v>1746</v>
      </c>
      <c r="C648" s="40">
        <f>SUM(C649)</f>
        <v>0</v>
      </c>
      <c r="D648" s="39"/>
      <c r="E648" s="40">
        <f t="shared" ref="E648:G648" si="239">SUM(E649)</f>
        <v>0</v>
      </c>
      <c r="F648" s="40">
        <f t="shared" si="239"/>
        <v>0</v>
      </c>
      <c r="G648" s="40">
        <f t="shared" si="239"/>
        <v>0</v>
      </c>
      <c r="H648" s="40"/>
      <c r="I648" s="72"/>
      <c r="J648" s="72"/>
      <c r="K648" s="72"/>
      <c r="L648" s="72"/>
      <c r="M648" s="72"/>
      <c r="N648" s="72"/>
      <c r="O648" s="72"/>
      <c r="P648" s="72"/>
      <c r="Q648" s="72"/>
      <c r="R648" s="72"/>
      <c r="S648" s="72"/>
      <c r="T648" s="72"/>
      <c r="U648" s="72"/>
      <c r="V648" s="72"/>
      <c r="W648" s="72"/>
      <c r="X648" s="72"/>
      <c r="Y648" s="72"/>
      <c r="Z648" s="72"/>
    </row>
    <row r="649" spans="1:26" ht="30" customHeight="1">
      <c r="A649" s="50" t="s">
        <v>1747</v>
      </c>
      <c r="B649" s="51" t="s">
        <v>1748</v>
      </c>
      <c r="C649" s="53"/>
      <c r="D649" s="52"/>
      <c r="E649" s="53"/>
      <c r="F649" s="53"/>
      <c r="G649" s="53">
        <f>ROUND(E649-F649,2)</f>
        <v>0</v>
      </c>
      <c r="H649" s="53"/>
      <c r="I649" s="72"/>
      <c r="J649" s="72"/>
      <c r="K649" s="72"/>
      <c r="L649" s="72"/>
      <c r="M649" s="72"/>
      <c r="N649" s="72"/>
      <c r="O649" s="72"/>
      <c r="P649" s="72"/>
      <c r="Q649" s="72"/>
      <c r="R649" s="72"/>
      <c r="S649" s="72"/>
      <c r="T649" s="72"/>
      <c r="U649" s="72"/>
      <c r="V649" s="72"/>
      <c r="W649" s="72"/>
      <c r="X649" s="72"/>
      <c r="Y649" s="72"/>
      <c r="Z649" s="72"/>
    </row>
    <row r="650" spans="1:26" ht="30" customHeight="1">
      <c r="A650" s="44" t="s">
        <v>1749</v>
      </c>
      <c r="B650" s="54" t="s">
        <v>1750</v>
      </c>
      <c r="C650" s="40">
        <f>SUM(C651)</f>
        <v>0</v>
      </c>
      <c r="D650" s="39"/>
      <c r="E650" s="40">
        <f t="shared" ref="E650:G650" si="240">SUM(E651)</f>
        <v>0</v>
      </c>
      <c r="F650" s="40">
        <f t="shared" si="240"/>
        <v>0</v>
      </c>
      <c r="G650" s="40">
        <f t="shared" si="240"/>
        <v>0</v>
      </c>
      <c r="H650" s="40"/>
      <c r="I650" s="72"/>
      <c r="J650" s="72"/>
      <c r="K650" s="72"/>
      <c r="L650" s="72"/>
      <c r="M650" s="72"/>
      <c r="N650" s="72"/>
      <c r="O650" s="72"/>
      <c r="P650" s="72"/>
      <c r="Q650" s="72"/>
      <c r="R650" s="72"/>
      <c r="S650" s="72"/>
      <c r="T650" s="72"/>
      <c r="U650" s="72"/>
      <c r="V650" s="72"/>
      <c r="W650" s="72"/>
      <c r="X650" s="72"/>
      <c r="Y650" s="72"/>
      <c r="Z650" s="72"/>
    </row>
    <row r="651" spans="1:26" ht="30" customHeight="1">
      <c r="A651" s="50" t="s">
        <v>1751</v>
      </c>
      <c r="B651" s="51" t="s">
        <v>1752</v>
      </c>
      <c r="C651" s="53"/>
      <c r="D651" s="52"/>
      <c r="E651" s="53"/>
      <c r="F651" s="53"/>
      <c r="G651" s="53">
        <f>ROUND(E651-F651,2)</f>
        <v>0</v>
      </c>
      <c r="H651" s="53"/>
      <c r="I651" s="72"/>
      <c r="J651" s="72"/>
      <c r="K651" s="72"/>
      <c r="L651" s="72"/>
      <c r="M651" s="72"/>
      <c r="N651" s="72"/>
      <c r="O651" s="72"/>
      <c r="P651" s="72"/>
      <c r="Q651" s="72"/>
      <c r="R651" s="72"/>
      <c r="S651" s="72"/>
      <c r="T651" s="72"/>
      <c r="U651" s="72"/>
      <c r="V651" s="72"/>
      <c r="W651" s="72"/>
      <c r="X651" s="72"/>
      <c r="Y651" s="72"/>
      <c r="Z651" s="72"/>
    </row>
    <row r="652" spans="1:26" ht="30" customHeight="1">
      <c r="A652" s="44" t="s">
        <v>1753</v>
      </c>
      <c r="B652" s="54" t="s">
        <v>1754</v>
      </c>
      <c r="C652" s="40">
        <f>SUM(C653)</f>
        <v>0</v>
      </c>
      <c r="D652" s="39"/>
      <c r="E652" s="40">
        <f t="shared" ref="E652:G652" si="241">SUM(E653)</f>
        <v>0</v>
      </c>
      <c r="F652" s="40">
        <f t="shared" si="241"/>
        <v>0</v>
      </c>
      <c r="G652" s="40">
        <f t="shared" si="241"/>
        <v>0</v>
      </c>
      <c r="H652" s="40"/>
      <c r="I652" s="72"/>
      <c r="J652" s="72"/>
      <c r="K652" s="72"/>
      <c r="L652" s="72"/>
      <c r="M652" s="72"/>
      <c r="N652" s="72"/>
      <c r="O652" s="72"/>
      <c r="P652" s="72"/>
      <c r="Q652" s="72"/>
      <c r="R652" s="72"/>
      <c r="S652" s="72"/>
      <c r="T652" s="72"/>
      <c r="U652" s="72"/>
      <c r="V652" s="72"/>
      <c r="W652" s="72"/>
      <c r="X652" s="72"/>
      <c r="Y652" s="72"/>
      <c r="Z652" s="72"/>
    </row>
    <row r="653" spans="1:26" ht="30" customHeight="1">
      <c r="A653" s="50" t="s">
        <v>1755</v>
      </c>
      <c r="B653" s="51" t="s">
        <v>1754</v>
      </c>
      <c r="C653" s="53"/>
      <c r="D653" s="52"/>
      <c r="E653" s="53"/>
      <c r="F653" s="53"/>
      <c r="G653" s="53">
        <f>ROUND(E653-F653,2)</f>
        <v>0</v>
      </c>
      <c r="H653" s="53"/>
      <c r="I653" s="72"/>
      <c r="J653" s="72"/>
      <c r="K653" s="72"/>
      <c r="L653" s="72"/>
      <c r="M653" s="72"/>
      <c r="N653" s="72"/>
      <c r="O653" s="72"/>
      <c r="P653" s="72"/>
      <c r="Q653" s="72"/>
      <c r="R653" s="72"/>
      <c r="S653" s="72"/>
      <c r="T653" s="72"/>
      <c r="U653" s="72"/>
      <c r="V653" s="72"/>
      <c r="W653" s="72"/>
      <c r="X653" s="72"/>
      <c r="Y653" s="72"/>
      <c r="Z653" s="72"/>
    </row>
    <row r="654" spans="1:26" ht="30" customHeight="1">
      <c r="A654" s="32" t="s">
        <v>1756</v>
      </c>
      <c r="B654" s="48" t="s">
        <v>1757</v>
      </c>
      <c r="C654" s="34">
        <f>C655+C658</f>
        <v>0</v>
      </c>
      <c r="D654" s="34"/>
      <c r="E654" s="34">
        <f t="shared" ref="E654:G654" si="242">E655+E658</f>
        <v>0</v>
      </c>
      <c r="F654" s="34">
        <f t="shared" si="242"/>
        <v>0</v>
      </c>
      <c r="G654" s="35">
        <f t="shared" si="242"/>
        <v>0</v>
      </c>
      <c r="H654" s="35"/>
      <c r="I654" s="72"/>
      <c r="J654" s="72"/>
      <c r="K654" s="72"/>
      <c r="L654" s="72"/>
      <c r="M654" s="72"/>
      <c r="N654" s="72"/>
      <c r="O654" s="72"/>
      <c r="P654" s="72"/>
      <c r="Q654" s="72"/>
      <c r="R654" s="72"/>
      <c r="S654" s="72"/>
      <c r="T654" s="72"/>
      <c r="U654" s="72"/>
      <c r="V654" s="72"/>
      <c r="W654" s="72"/>
      <c r="X654" s="72"/>
      <c r="Y654" s="72"/>
      <c r="Z654" s="72"/>
    </row>
    <row r="655" spans="1:26" ht="30" customHeight="1">
      <c r="A655" s="44" t="s">
        <v>1758</v>
      </c>
      <c r="B655" s="54" t="s">
        <v>1759</v>
      </c>
      <c r="C655" s="40">
        <f>SUM(C656:C657)</f>
        <v>0</v>
      </c>
      <c r="D655" s="39"/>
      <c r="E655" s="40">
        <f t="shared" ref="E655:G655" si="243">SUM(E656:E657)</f>
        <v>0</v>
      </c>
      <c r="F655" s="40">
        <f t="shared" si="243"/>
        <v>0</v>
      </c>
      <c r="G655" s="40">
        <f t="shared" si="243"/>
        <v>0</v>
      </c>
      <c r="H655" s="40"/>
      <c r="I655" s="72"/>
      <c r="J655" s="72"/>
      <c r="K655" s="72"/>
      <c r="L655" s="72"/>
      <c r="M655" s="72"/>
      <c r="N655" s="72"/>
      <c r="O655" s="72"/>
      <c r="P655" s="72"/>
      <c r="Q655" s="72"/>
      <c r="R655" s="72"/>
      <c r="S655" s="72"/>
      <c r="T655" s="72"/>
      <c r="U655" s="72"/>
      <c r="V655" s="72"/>
      <c r="W655" s="72"/>
      <c r="X655" s="72"/>
      <c r="Y655" s="72"/>
      <c r="Z655" s="72"/>
    </row>
    <row r="656" spans="1:26" ht="30" customHeight="1">
      <c r="A656" s="50" t="s">
        <v>1760</v>
      </c>
      <c r="B656" s="51" t="s">
        <v>1761</v>
      </c>
      <c r="C656" s="53"/>
      <c r="D656" s="52"/>
      <c r="E656" s="53"/>
      <c r="F656" s="53"/>
      <c r="G656" s="53">
        <f t="shared" ref="G656:G657" si="244">ROUND(E656-F656,2)</f>
        <v>0</v>
      </c>
      <c r="H656" s="53"/>
      <c r="I656" s="72"/>
      <c r="J656" s="72"/>
      <c r="K656" s="72"/>
      <c r="L656" s="72"/>
      <c r="M656" s="72"/>
      <c r="N656" s="72"/>
      <c r="O656" s="72"/>
      <c r="P656" s="72"/>
      <c r="Q656" s="72"/>
      <c r="R656" s="72"/>
      <c r="S656" s="72"/>
      <c r="T656" s="72"/>
      <c r="U656" s="72"/>
      <c r="V656" s="72"/>
      <c r="W656" s="72"/>
      <c r="X656" s="72"/>
      <c r="Y656" s="72"/>
      <c r="Z656" s="72"/>
    </row>
    <row r="657" spans="1:26" ht="30" customHeight="1">
      <c r="A657" s="50" t="s">
        <v>1762</v>
      </c>
      <c r="B657" s="51" t="s">
        <v>1763</v>
      </c>
      <c r="C657" s="53"/>
      <c r="D657" s="52"/>
      <c r="E657" s="53"/>
      <c r="F657" s="53"/>
      <c r="G657" s="53">
        <f t="shared" si="244"/>
        <v>0</v>
      </c>
      <c r="H657" s="53"/>
      <c r="I657" s="72"/>
      <c r="J657" s="72"/>
      <c r="K657" s="72"/>
      <c r="L657" s="72"/>
      <c r="M657" s="72"/>
      <c r="N657" s="72"/>
      <c r="O657" s="72"/>
      <c r="P657" s="72"/>
      <c r="Q657" s="72"/>
      <c r="R657" s="72"/>
      <c r="S657" s="72"/>
      <c r="T657" s="72"/>
      <c r="U657" s="72"/>
      <c r="V657" s="72"/>
      <c r="W657" s="72"/>
      <c r="X657" s="72"/>
      <c r="Y657" s="72"/>
      <c r="Z657" s="72"/>
    </row>
    <row r="658" spans="1:26" ht="30" customHeight="1">
      <c r="A658" s="44" t="s">
        <v>1764</v>
      </c>
      <c r="B658" s="54" t="s">
        <v>1765</v>
      </c>
      <c r="C658" s="40">
        <f>SUM(C659)</f>
        <v>0</v>
      </c>
      <c r="D658" s="39"/>
      <c r="E658" s="40">
        <f t="shared" ref="E658:G658" si="245">SUM(E659)</f>
        <v>0</v>
      </c>
      <c r="F658" s="40">
        <f t="shared" si="245"/>
        <v>0</v>
      </c>
      <c r="G658" s="40">
        <f t="shared" si="245"/>
        <v>0</v>
      </c>
      <c r="H658" s="40"/>
      <c r="I658" s="72"/>
      <c r="J658" s="72"/>
      <c r="K658" s="72"/>
      <c r="L658" s="72"/>
      <c r="M658" s="72"/>
      <c r="N658" s="72"/>
      <c r="O658" s="72"/>
      <c r="P658" s="72"/>
      <c r="Q658" s="72"/>
      <c r="R658" s="72"/>
      <c r="S658" s="72"/>
      <c r="T658" s="72"/>
      <c r="U658" s="72"/>
      <c r="V658" s="72"/>
      <c r="W658" s="72"/>
      <c r="X658" s="72"/>
      <c r="Y658" s="72"/>
      <c r="Z658" s="72"/>
    </row>
    <row r="659" spans="1:26" ht="30" customHeight="1">
      <c r="A659" s="50" t="s">
        <v>1766</v>
      </c>
      <c r="B659" s="51" t="s">
        <v>1767</v>
      </c>
      <c r="C659" s="53"/>
      <c r="D659" s="52"/>
      <c r="E659" s="53"/>
      <c r="F659" s="53"/>
      <c r="G659" s="53">
        <f>ROUND(E659-F659,2)</f>
        <v>0</v>
      </c>
      <c r="H659" s="53"/>
      <c r="I659" s="72"/>
      <c r="J659" s="72"/>
      <c r="K659" s="72"/>
      <c r="L659" s="72"/>
      <c r="M659" s="72"/>
      <c r="N659" s="72"/>
      <c r="O659" s="72"/>
      <c r="P659" s="72"/>
      <c r="Q659" s="72"/>
      <c r="R659" s="72"/>
      <c r="S659" s="72"/>
      <c r="T659" s="72"/>
      <c r="U659" s="72"/>
      <c r="V659" s="72"/>
      <c r="W659" s="72"/>
      <c r="X659" s="72"/>
      <c r="Y659" s="72"/>
      <c r="Z659" s="72"/>
    </row>
    <row r="660" spans="1:26" ht="30" customHeight="1">
      <c r="A660" s="28" t="s">
        <v>1768</v>
      </c>
      <c r="B660" s="29" t="s">
        <v>1769</v>
      </c>
      <c r="C660" s="30">
        <f>C661+C670+C678</f>
        <v>0</v>
      </c>
      <c r="D660" s="30"/>
      <c r="E660" s="30">
        <f t="shared" ref="E660:G660" si="246">E661+E670+E678</f>
        <v>0</v>
      </c>
      <c r="F660" s="30">
        <f t="shared" si="246"/>
        <v>0</v>
      </c>
      <c r="G660" s="31">
        <f t="shared" si="246"/>
        <v>0</v>
      </c>
      <c r="H660" s="31"/>
      <c r="I660" s="72"/>
      <c r="J660" s="72"/>
      <c r="K660" s="72"/>
      <c r="L660" s="72"/>
      <c r="M660" s="72"/>
      <c r="N660" s="72"/>
      <c r="O660" s="72"/>
      <c r="P660" s="72"/>
      <c r="Q660" s="72"/>
      <c r="R660" s="72"/>
      <c r="S660" s="72"/>
      <c r="T660" s="72"/>
      <c r="U660" s="72"/>
      <c r="V660" s="72"/>
      <c r="W660" s="72"/>
      <c r="X660" s="72"/>
      <c r="Y660" s="72"/>
      <c r="Z660" s="72"/>
    </row>
    <row r="661" spans="1:26" ht="30" customHeight="1">
      <c r="A661" s="32" t="s">
        <v>1770</v>
      </c>
      <c r="B661" s="48" t="s">
        <v>1771</v>
      </c>
      <c r="C661" s="34">
        <f>C662+C666</f>
        <v>0</v>
      </c>
      <c r="D661" s="34"/>
      <c r="E661" s="34">
        <f t="shared" ref="E661:G661" si="247">E662+E666</f>
        <v>0</v>
      </c>
      <c r="F661" s="34">
        <f t="shared" si="247"/>
        <v>0</v>
      </c>
      <c r="G661" s="35">
        <f t="shared" si="247"/>
        <v>0</v>
      </c>
      <c r="H661" s="35"/>
      <c r="I661" s="72"/>
      <c r="J661" s="72"/>
      <c r="K661" s="72"/>
      <c r="L661" s="72"/>
      <c r="M661" s="72"/>
      <c r="N661" s="72"/>
      <c r="O661" s="72"/>
      <c r="P661" s="72"/>
      <c r="Q661" s="72"/>
      <c r="R661" s="72"/>
      <c r="S661" s="72"/>
      <c r="T661" s="72"/>
      <c r="U661" s="72"/>
      <c r="V661" s="72"/>
      <c r="W661" s="72"/>
      <c r="X661" s="72"/>
      <c r="Y661" s="72"/>
      <c r="Z661" s="72"/>
    </row>
    <row r="662" spans="1:26" ht="30" customHeight="1">
      <c r="A662" s="44" t="s">
        <v>1772</v>
      </c>
      <c r="B662" s="54" t="s">
        <v>1773</v>
      </c>
      <c r="C662" s="40">
        <f>SUM(C663:C665)</f>
        <v>0</v>
      </c>
      <c r="D662" s="39"/>
      <c r="E662" s="40">
        <f t="shared" ref="E662:G662" si="248">SUM(E663:E665)</f>
        <v>0</v>
      </c>
      <c r="F662" s="40">
        <f t="shared" si="248"/>
        <v>0</v>
      </c>
      <c r="G662" s="40">
        <f t="shared" si="248"/>
        <v>0</v>
      </c>
      <c r="H662" s="40"/>
      <c r="I662" s="72"/>
      <c r="J662" s="72"/>
      <c r="K662" s="72"/>
      <c r="L662" s="72"/>
      <c r="M662" s="72"/>
      <c r="N662" s="72"/>
      <c r="O662" s="72"/>
      <c r="P662" s="72"/>
      <c r="Q662" s="72"/>
      <c r="R662" s="72"/>
      <c r="S662" s="72"/>
      <c r="T662" s="72"/>
      <c r="U662" s="72"/>
      <c r="V662" s="72"/>
      <c r="W662" s="72"/>
      <c r="X662" s="72"/>
      <c r="Y662" s="72"/>
      <c r="Z662" s="72"/>
    </row>
    <row r="663" spans="1:26" ht="30" customHeight="1">
      <c r="A663" s="50" t="s">
        <v>1774</v>
      </c>
      <c r="B663" s="51" t="s">
        <v>1775</v>
      </c>
      <c r="C663" s="53"/>
      <c r="D663" s="52"/>
      <c r="E663" s="53"/>
      <c r="F663" s="53"/>
      <c r="G663" s="53">
        <f t="shared" ref="G663:G665" si="249">ROUND(E663-F663,2)</f>
        <v>0</v>
      </c>
      <c r="H663" s="53"/>
      <c r="I663" s="72"/>
      <c r="J663" s="72"/>
      <c r="K663" s="72"/>
      <c r="L663" s="72"/>
      <c r="M663" s="72"/>
      <c r="N663" s="72"/>
      <c r="O663" s="72"/>
      <c r="P663" s="72"/>
      <c r="Q663" s="72"/>
      <c r="R663" s="72"/>
      <c r="S663" s="72"/>
      <c r="T663" s="72"/>
      <c r="U663" s="72"/>
      <c r="V663" s="72"/>
      <c r="W663" s="72"/>
      <c r="X663" s="72"/>
      <c r="Y663" s="72"/>
      <c r="Z663" s="72"/>
    </row>
    <row r="664" spans="1:26" ht="30" customHeight="1">
      <c r="A664" s="50" t="s">
        <v>1776</v>
      </c>
      <c r="B664" s="85" t="s">
        <v>1777</v>
      </c>
      <c r="C664" s="53"/>
      <c r="D664" s="52"/>
      <c r="E664" s="53"/>
      <c r="F664" s="53"/>
      <c r="G664" s="53">
        <f t="shared" si="249"/>
        <v>0</v>
      </c>
      <c r="H664" s="53"/>
      <c r="I664" s="72"/>
      <c r="J664" s="72"/>
      <c r="K664" s="72"/>
      <c r="L664" s="72"/>
      <c r="M664" s="72"/>
      <c r="N664" s="72"/>
      <c r="O664" s="72"/>
      <c r="P664" s="72"/>
      <c r="Q664" s="72"/>
      <c r="R664" s="72"/>
      <c r="S664" s="72"/>
      <c r="T664" s="72"/>
      <c r="U664" s="72"/>
      <c r="V664" s="72"/>
      <c r="W664" s="72"/>
      <c r="X664" s="72"/>
      <c r="Y664" s="72"/>
      <c r="Z664" s="72"/>
    </row>
    <row r="665" spans="1:26" ht="30" customHeight="1">
      <c r="A665" s="50" t="s">
        <v>1778</v>
      </c>
      <c r="B665" s="51" t="s">
        <v>1779</v>
      </c>
      <c r="C665" s="53"/>
      <c r="D665" s="52"/>
      <c r="E665" s="53"/>
      <c r="F665" s="53"/>
      <c r="G665" s="53">
        <f t="shared" si="249"/>
        <v>0</v>
      </c>
      <c r="H665" s="53"/>
      <c r="I665" s="72"/>
      <c r="J665" s="72"/>
      <c r="K665" s="72"/>
      <c r="L665" s="72"/>
      <c r="M665" s="72"/>
      <c r="N665" s="72"/>
      <c r="O665" s="72"/>
      <c r="P665" s="72"/>
      <c r="Q665" s="72"/>
      <c r="R665" s="72"/>
      <c r="S665" s="72"/>
      <c r="T665" s="72"/>
      <c r="U665" s="72"/>
      <c r="V665" s="72"/>
      <c r="W665" s="72"/>
      <c r="X665" s="72"/>
      <c r="Y665" s="72"/>
      <c r="Z665" s="72"/>
    </row>
    <row r="666" spans="1:26" ht="30" customHeight="1">
      <c r="A666" s="44" t="s">
        <v>1780</v>
      </c>
      <c r="B666" s="54" t="s">
        <v>1781</v>
      </c>
      <c r="C666" s="40">
        <f>SUM(C667:C669)</f>
        <v>0</v>
      </c>
      <c r="D666" s="39"/>
      <c r="E666" s="40">
        <f t="shared" ref="E666:G666" si="250">SUM(E667:E669)</f>
        <v>0</v>
      </c>
      <c r="F666" s="40">
        <f t="shared" si="250"/>
        <v>0</v>
      </c>
      <c r="G666" s="40">
        <f t="shared" si="250"/>
        <v>0</v>
      </c>
      <c r="H666" s="40"/>
      <c r="I666" s="72"/>
      <c r="J666" s="72"/>
      <c r="K666" s="72"/>
      <c r="L666" s="72"/>
      <c r="M666" s="72"/>
      <c r="N666" s="72"/>
      <c r="O666" s="72"/>
      <c r="P666" s="72"/>
      <c r="Q666" s="72"/>
      <c r="R666" s="72"/>
      <c r="S666" s="72"/>
      <c r="T666" s="72"/>
      <c r="U666" s="72"/>
      <c r="V666" s="72"/>
      <c r="W666" s="72"/>
      <c r="X666" s="72"/>
      <c r="Y666" s="72"/>
      <c r="Z666" s="72"/>
    </row>
    <row r="667" spans="1:26" ht="30" customHeight="1">
      <c r="A667" s="50" t="s">
        <v>1782</v>
      </c>
      <c r="B667" s="51" t="s">
        <v>1781</v>
      </c>
      <c r="C667" s="53"/>
      <c r="D667" s="52"/>
      <c r="E667" s="53"/>
      <c r="F667" s="53"/>
      <c r="G667" s="53">
        <f t="shared" ref="G667:G669" si="251">ROUND(E667-F667,2)</f>
        <v>0</v>
      </c>
      <c r="H667" s="53"/>
      <c r="I667" s="72"/>
      <c r="J667" s="72"/>
      <c r="K667" s="72"/>
      <c r="L667" s="72"/>
      <c r="M667" s="72"/>
      <c r="N667" s="72"/>
      <c r="O667" s="72"/>
      <c r="P667" s="72"/>
      <c r="Q667" s="72"/>
      <c r="R667" s="72"/>
      <c r="S667" s="72"/>
      <c r="T667" s="72"/>
      <c r="U667" s="72"/>
      <c r="V667" s="72"/>
      <c r="W667" s="72"/>
      <c r="X667" s="72"/>
      <c r="Y667" s="72"/>
      <c r="Z667" s="72"/>
    </row>
    <row r="668" spans="1:26" ht="30" customHeight="1">
      <c r="A668" s="50" t="s">
        <v>1783</v>
      </c>
      <c r="B668" s="85" t="s">
        <v>1784</v>
      </c>
      <c r="C668" s="53"/>
      <c r="D668" s="52"/>
      <c r="E668" s="53"/>
      <c r="F668" s="53"/>
      <c r="G668" s="53">
        <f t="shared" si="251"/>
        <v>0</v>
      </c>
      <c r="H668" s="53"/>
      <c r="I668" s="72"/>
      <c r="J668" s="72"/>
      <c r="K668" s="72"/>
      <c r="L668" s="72"/>
      <c r="M668" s="72"/>
      <c r="N668" s="72"/>
      <c r="O668" s="72"/>
      <c r="P668" s="72"/>
      <c r="Q668" s="72"/>
      <c r="R668" s="72"/>
      <c r="S668" s="72"/>
      <c r="T668" s="72"/>
      <c r="U668" s="72"/>
      <c r="V668" s="72"/>
      <c r="W668" s="72"/>
      <c r="X668" s="72"/>
      <c r="Y668" s="72"/>
      <c r="Z668" s="72"/>
    </row>
    <row r="669" spans="1:26" ht="30" customHeight="1">
      <c r="A669" s="50" t="s">
        <v>1785</v>
      </c>
      <c r="B669" s="85" t="s">
        <v>1786</v>
      </c>
      <c r="C669" s="53"/>
      <c r="D669" s="52"/>
      <c r="E669" s="53"/>
      <c r="F669" s="53"/>
      <c r="G669" s="53">
        <f t="shared" si="251"/>
        <v>0</v>
      </c>
      <c r="H669" s="53"/>
      <c r="I669" s="72"/>
      <c r="J669" s="72"/>
      <c r="K669" s="72"/>
      <c r="L669" s="72"/>
      <c r="M669" s="72"/>
      <c r="N669" s="72"/>
      <c r="O669" s="72"/>
      <c r="P669" s="72"/>
      <c r="Q669" s="72"/>
      <c r="R669" s="72"/>
      <c r="S669" s="72"/>
      <c r="T669" s="72"/>
      <c r="U669" s="72"/>
      <c r="V669" s="72"/>
      <c r="W669" s="72"/>
      <c r="X669" s="72"/>
      <c r="Y669" s="72"/>
      <c r="Z669" s="72"/>
    </row>
    <row r="670" spans="1:26" ht="30" customHeight="1">
      <c r="A670" s="32" t="s">
        <v>1787</v>
      </c>
      <c r="B670" s="48" t="s">
        <v>851</v>
      </c>
      <c r="C670" s="35">
        <f>C671+C676</f>
        <v>0</v>
      </c>
      <c r="D670" s="34"/>
      <c r="E670" s="35">
        <f t="shared" ref="E670:G670" si="252">E671+E676</f>
        <v>0</v>
      </c>
      <c r="F670" s="35">
        <f t="shared" si="252"/>
        <v>0</v>
      </c>
      <c r="G670" s="35">
        <f t="shared" si="252"/>
        <v>0</v>
      </c>
      <c r="H670" s="35"/>
      <c r="I670" s="72"/>
      <c r="J670" s="72"/>
      <c r="K670" s="72"/>
      <c r="L670" s="72"/>
      <c r="M670" s="72"/>
      <c r="N670" s="72"/>
      <c r="O670" s="72"/>
      <c r="P670" s="72"/>
      <c r="Q670" s="72"/>
      <c r="R670" s="72"/>
      <c r="S670" s="72"/>
      <c r="T670" s="72"/>
      <c r="U670" s="72"/>
      <c r="V670" s="72"/>
      <c r="W670" s="72"/>
      <c r="X670" s="72"/>
      <c r="Y670" s="72"/>
      <c r="Z670" s="72"/>
    </row>
    <row r="671" spans="1:26" ht="30" customHeight="1">
      <c r="A671" s="44" t="s">
        <v>1788</v>
      </c>
      <c r="B671" s="45" t="s">
        <v>1789</v>
      </c>
      <c r="C671" s="40">
        <f>SUM(C672:C675)</f>
        <v>0</v>
      </c>
      <c r="D671" s="39"/>
      <c r="E671" s="40">
        <f t="shared" ref="E671:G671" si="253">SUM(E672:E675)</f>
        <v>0</v>
      </c>
      <c r="F671" s="40">
        <f t="shared" si="253"/>
        <v>0</v>
      </c>
      <c r="G671" s="40">
        <f t="shared" si="253"/>
        <v>0</v>
      </c>
      <c r="H671" s="40"/>
      <c r="I671" s="72"/>
      <c r="J671" s="72"/>
      <c r="K671" s="72"/>
      <c r="L671" s="72"/>
      <c r="M671" s="72"/>
      <c r="N671" s="72"/>
      <c r="O671" s="72"/>
      <c r="P671" s="72"/>
      <c r="Q671" s="72"/>
      <c r="R671" s="72"/>
      <c r="S671" s="72"/>
      <c r="T671" s="72"/>
      <c r="U671" s="72"/>
      <c r="V671" s="72"/>
      <c r="W671" s="72"/>
      <c r="X671" s="72"/>
      <c r="Y671" s="72"/>
      <c r="Z671" s="72"/>
    </row>
    <row r="672" spans="1:26" ht="30" customHeight="1">
      <c r="A672" s="50" t="s">
        <v>1790</v>
      </c>
      <c r="B672" s="51" t="s">
        <v>1791</v>
      </c>
      <c r="C672" s="53"/>
      <c r="D672" s="52"/>
      <c r="E672" s="53"/>
      <c r="F672" s="53"/>
      <c r="G672" s="53">
        <f t="shared" ref="G672:G675" si="254">ROUND(E672-F672,2)</f>
        <v>0</v>
      </c>
      <c r="H672" s="53"/>
      <c r="I672" s="72"/>
      <c r="J672" s="72"/>
      <c r="K672" s="72"/>
      <c r="L672" s="72"/>
      <c r="M672" s="72"/>
      <c r="N672" s="72"/>
      <c r="O672" s="72"/>
      <c r="P672" s="72"/>
      <c r="Q672" s="72"/>
      <c r="R672" s="72"/>
      <c r="S672" s="72"/>
      <c r="T672" s="72"/>
      <c r="U672" s="72"/>
      <c r="V672" s="72"/>
      <c r="W672" s="72"/>
      <c r="X672" s="72"/>
      <c r="Y672" s="72"/>
      <c r="Z672" s="72"/>
    </row>
    <row r="673" spans="1:26" ht="30" customHeight="1">
      <c r="A673" s="50" t="s">
        <v>1792</v>
      </c>
      <c r="B673" s="85" t="s">
        <v>1793</v>
      </c>
      <c r="C673" s="53"/>
      <c r="D673" s="52"/>
      <c r="E673" s="53"/>
      <c r="F673" s="53"/>
      <c r="G673" s="53">
        <f t="shared" si="254"/>
        <v>0</v>
      </c>
      <c r="H673" s="53"/>
      <c r="I673" s="72"/>
      <c r="J673" s="72"/>
      <c r="K673" s="72"/>
      <c r="L673" s="72"/>
      <c r="M673" s="72"/>
      <c r="N673" s="72"/>
      <c r="O673" s="72"/>
      <c r="P673" s="72"/>
      <c r="Q673" s="72"/>
      <c r="R673" s="72"/>
      <c r="S673" s="72"/>
      <c r="T673" s="72"/>
      <c r="U673" s="72"/>
      <c r="V673" s="72"/>
      <c r="W673" s="72"/>
      <c r="X673" s="72"/>
      <c r="Y673" s="72"/>
      <c r="Z673" s="72"/>
    </row>
    <row r="674" spans="1:26" ht="30" customHeight="1">
      <c r="A674" s="50" t="s">
        <v>1794</v>
      </c>
      <c r="B674" s="51" t="s">
        <v>1795</v>
      </c>
      <c r="C674" s="53"/>
      <c r="D674" s="52"/>
      <c r="E674" s="53"/>
      <c r="F674" s="53"/>
      <c r="G674" s="53">
        <f t="shared" si="254"/>
        <v>0</v>
      </c>
      <c r="H674" s="53"/>
      <c r="I674" s="72"/>
      <c r="J674" s="72"/>
      <c r="K674" s="72"/>
      <c r="L674" s="72"/>
      <c r="M674" s="72"/>
      <c r="N674" s="72"/>
      <c r="O674" s="72"/>
      <c r="P674" s="72"/>
      <c r="Q674" s="72"/>
      <c r="R674" s="72"/>
      <c r="S674" s="72"/>
      <c r="T674" s="72"/>
      <c r="U674" s="72"/>
      <c r="V674" s="72"/>
      <c r="W674" s="72"/>
      <c r="X674" s="72"/>
      <c r="Y674" s="72"/>
      <c r="Z674" s="72"/>
    </row>
    <row r="675" spans="1:26" ht="30" customHeight="1">
      <c r="A675" s="50" t="s">
        <v>1796</v>
      </c>
      <c r="B675" s="51" t="s">
        <v>1797</v>
      </c>
      <c r="C675" s="53"/>
      <c r="D675" s="52"/>
      <c r="E675" s="53"/>
      <c r="F675" s="53"/>
      <c r="G675" s="53">
        <f t="shared" si="254"/>
        <v>0</v>
      </c>
      <c r="H675" s="53"/>
      <c r="I675" s="72"/>
      <c r="J675" s="72"/>
      <c r="K675" s="72"/>
      <c r="L675" s="72"/>
      <c r="M675" s="72"/>
      <c r="N675" s="72"/>
      <c r="O675" s="72"/>
      <c r="P675" s="72"/>
      <c r="Q675" s="72"/>
      <c r="R675" s="72"/>
      <c r="S675" s="72"/>
      <c r="T675" s="72"/>
      <c r="U675" s="72"/>
      <c r="V675" s="72"/>
      <c r="W675" s="72"/>
      <c r="X675" s="72"/>
      <c r="Y675" s="72"/>
      <c r="Z675" s="72"/>
    </row>
    <row r="676" spans="1:26" ht="30" customHeight="1">
      <c r="A676" s="44" t="s">
        <v>1798</v>
      </c>
      <c r="B676" s="45" t="s">
        <v>1799</v>
      </c>
      <c r="C676" s="40">
        <f>SUM(C677)</f>
        <v>0</v>
      </c>
      <c r="D676" s="39"/>
      <c r="E676" s="40">
        <f t="shared" ref="E676:G676" si="255">SUM(E677)</f>
        <v>0</v>
      </c>
      <c r="F676" s="40">
        <f t="shared" si="255"/>
        <v>0</v>
      </c>
      <c r="G676" s="40">
        <f t="shared" si="255"/>
        <v>0</v>
      </c>
      <c r="H676" s="40"/>
      <c r="I676" s="72"/>
      <c r="J676" s="72"/>
      <c r="K676" s="72"/>
      <c r="L676" s="72"/>
      <c r="M676" s="72"/>
      <c r="N676" s="72"/>
      <c r="O676" s="72"/>
      <c r="P676" s="72"/>
      <c r="Q676" s="72"/>
      <c r="R676" s="72"/>
      <c r="S676" s="72"/>
      <c r="T676" s="72"/>
      <c r="U676" s="72"/>
      <c r="V676" s="72"/>
      <c r="W676" s="72"/>
      <c r="X676" s="72"/>
      <c r="Y676" s="72"/>
      <c r="Z676" s="72"/>
    </row>
    <row r="677" spans="1:26" ht="30" customHeight="1">
      <c r="A677" s="50" t="s">
        <v>1800</v>
      </c>
      <c r="B677" s="85" t="s">
        <v>1799</v>
      </c>
      <c r="C677" s="53"/>
      <c r="D677" s="52"/>
      <c r="E677" s="53"/>
      <c r="F677" s="53"/>
      <c r="G677" s="53">
        <f>ROUND(E677-F677,2)</f>
        <v>0</v>
      </c>
      <c r="H677" s="53"/>
      <c r="I677" s="72"/>
      <c r="J677" s="72"/>
      <c r="K677" s="72"/>
      <c r="L677" s="72"/>
      <c r="M677" s="72"/>
      <c r="N677" s="72"/>
      <c r="O677" s="72"/>
      <c r="P677" s="72"/>
      <c r="Q677" s="72"/>
      <c r="R677" s="72"/>
      <c r="S677" s="72"/>
      <c r="T677" s="72"/>
      <c r="U677" s="72"/>
      <c r="V677" s="72"/>
      <c r="W677" s="72"/>
      <c r="X677" s="72"/>
      <c r="Y677" s="72"/>
      <c r="Z677" s="72"/>
    </row>
    <row r="678" spans="1:26" ht="30" customHeight="1">
      <c r="A678" s="32" t="s">
        <v>1801</v>
      </c>
      <c r="B678" s="48" t="s">
        <v>1802</v>
      </c>
      <c r="C678" s="34">
        <f>C679+C681</f>
        <v>0</v>
      </c>
      <c r="D678" s="34"/>
      <c r="E678" s="34">
        <f t="shared" ref="E678:G678" si="256">E679+E681</f>
        <v>0</v>
      </c>
      <c r="F678" s="34">
        <f t="shared" si="256"/>
        <v>0</v>
      </c>
      <c r="G678" s="35">
        <f t="shared" si="256"/>
        <v>0</v>
      </c>
      <c r="H678" s="35"/>
      <c r="I678" s="72"/>
      <c r="J678" s="72"/>
      <c r="K678" s="72"/>
      <c r="L678" s="72"/>
      <c r="M678" s="72"/>
      <c r="N678" s="72"/>
      <c r="O678" s="72"/>
      <c r="P678" s="72"/>
      <c r="Q678" s="72"/>
      <c r="R678" s="72"/>
      <c r="S678" s="72"/>
      <c r="T678" s="72"/>
      <c r="U678" s="72"/>
      <c r="V678" s="72"/>
      <c r="W678" s="72"/>
      <c r="X678" s="72"/>
      <c r="Y678" s="72"/>
      <c r="Z678" s="72"/>
    </row>
    <row r="679" spans="1:26" ht="30" customHeight="1">
      <c r="A679" s="44" t="s">
        <v>1803</v>
      </c>
      <c r="B679" s="54" t="s">
        <v>1804</v>
      </c>
      <c r="C679" s="40">
        <f>SUM(C680)</f>
        <v>0</v>
      </c>
      <c r="D679" s="39"/>
      <c r="E679" s="40">
        <f t="shared" ref="E679:G679" si="257">SUM(E680)</f>
        <v>0</v>
      </c>
      <c r="F679" s="40">
        <f t="shared" si="257"/>
        <v>0</v>
      </c>
      <c r="G679" s="40">
        <f t="shared" si="257"/>
        <v>0</v>
      </c>
      <c r="H679" s="40"/>
      <c r="I679" s="72"/>
      <c r="J679" s="72"/>
      <c r="K679" s="72"/>
      <c r="L679" s="72"/>
      <c r="M679" s="72"/>
      <c r="N679" s="72"/>
      <c r="O679" s="72"/>
      <c r="P679" s="72"/>
      <c r="Q679" s="72"/>
      <c r="R679" s="72"/>
      <c r="S679" s="72"/>
      <c r="T679" s="72"/>
      <c r="U679" s="72"/>
      <c r="V679" s="72"/>
      <c r="W679" s="72"/>
      <c r="X679" s="72"/>
      <c r="Y679" s="72"/>
      <c r="Z679" s="72"/>
    </row>
    <row r="680" spans="1:26" ht="30" customHeight="1">
      <c r="A680" s="50" t="s">
        <v>1805</v>
      </c>
      <c r="B680" s="51" t="s">
        <v>1804</v>
      </c>
      <c r="C680" s="53"/>
      <c r="D680" s="52"/>
      <c r="E680" s="53"/>
      <c r="F680" s="53"/>
      <c r="G680" s="53">
        <f>ROUND(E680-F680,2)</f>
        <v>0</v>
      </c>
      <c r="H680" s="53"/>
      <c r="I680" s="72"/>
      <c r="J680" s="72"/>
      <c r="K680" s="72"/>
      <c r="L680" s="72"/>
      <c r="M680" s="72"/>
      <c r="N680" s="72"/>
      <c r="O680" s="72"/>
      <c r="P680" s="72"/>
      <c r="Q680" s="72"/>
      <c r="R680" s="72"/>
      <c r="S680" s="72"/>
      <c r="T680" s="72"/>
      <c r="U680" s="72"/>
      <c r="V680" s="72"/>
      <c r="W680" s="72"/>
      <c r="X680" s="72"/>
      <c r="Y680" s="72"/>
      <c r="Z680" s="72"/>
    </row>
    <row r="681" spans="1:26" ht="30" customHeight="1">
      <c r="A681" s="44" t="s">
        <v>1806</v>
      </c>
      <c r="B681" s="54" t="s">
        <v>1807</v>
      </c>
      <c r="C681" s="40">
        <f>SUM(C682:C683)</f>
        <v>0</v>
      </c>
      <c r="D681" s="39"/>
      <c r="E681" s="40">
        <f t="shared" ref="E681:G681" si="258">SUM(E682:E683)</f>
        <v>0</v>
      </c>
      <c r="F681" s="40">
        <f t="shared" si="258"/>
        <v>0</v>
      </c>
      <c r="G681" s="40">
        <f t="shared" si="258"/>
        <v>0</v>
      </c>
      <c r="H681" s="40"/>
      <c r="I681" s="72"/>
      <c r="J681" s="72"/>
      <c r="K681" s="72"/>
      <c r="L681" s="72"/>
      <c r="M681" s="72"/>
      <c r="N681" s="72"/>
      <c r="O681" s="72"/>
      <c r="P681" s="72"/>
      <c r="Q681" s="72"/>
      <c r="R681" s="72"/>
      <c r="S681" s="72"/>
      <c r="T681" s="72"/>
      <c r="U681" s="72"/>
      <c r="V681" s="72"/>
      <c r="W681" s="72"/>
      <c r="X681" s="72"/>
      <c r="Y681" s="72"/>
      <c r="Z681" s="72"/>
    </row>
    <row r="682" spans="1:26" ht="30" customHeight="1">
      <c r="A682" s="50" t="s">
        <v>1808</v>
      </c>
      <c r="B682" s="51" t="s">
        <v>1809</v>
      </c>
      <c r="C682" s="53"/>
      <c r="D682" s="52"/>
      <c r="E682" s="53"/>
      <c r="F682" s="53"/>
      <c r="G682" s="53">
        <f t="shared" ref="G682:G683" si="259">ROUND(E682-F682,2)</f>
        <v>0</v>
      </c>
      <c r="H682" s="53"/>
      <c r="I682" s="72"/>
      <c r="J682" s="72"/>
      <c r="K682" s="72"/>
      <c r="L682" s="72"/>
      <c r="M682" s="72"/>
      <c r="N682" s="72"/>
      <c r="O682" s="72"/>
      <c r="P682" s="72"/>
      <c r="Q682" s="72"/>
      <c r="R682" s="72"/>
      <c r="S682" s="72"/>
      <c r="T682" s="72"/>
      <c r="U682" s="72"/>
      <c r="V682" s="72"/>
      <c r="W682" s="72"/>
      <c r="X682" s="72"/>
      <c r="Y682" s="72"/>
      <c r="Z682" s="72"/>
    </row>
    <row r="683" spans="1:26" ht="30" customHeight="1">
      <c r="A683" s="50" t="s">
        <v>1810</v>
      </c>
      <c r="B683" s="51" t="s">
        <v>1811</v>
      </c>
      <c r="C683" s="53"/>
      <c r="D683" s="52"/>
      <c r="E683" s="53"/>
      <c r="F683" s="53"/>
      <c r="G683" s="53">
        <f t="shared" si="259"/>
        <v>0</v>
      </c>
      <c r="H683" s="53"/>
      <c r="I683" s="72"/>
      <c r="J683" s="72"/>
      <c r="K683" s="72"/>
      <c r="L683" s="72"/>
      <c r="M683" s="72"/>
      <c r="N683" s="72"/>
      <c r="O683" s="72"/>
      <c r="P683" s="72"/>
      <c r="Q683" s="72"/>
      <c r="R683" s="72"/>
      <c r="S683" s="72"/>
      <c r="T683" s="72"/>
      <c r="U683" s="72"/>
      <c r="V683" s="72"/>
      <c r="W683" s="72"/>
      <c r="X683" s="72"/>
      <c r="Y683" s="72"/>
      <c r="Z683" s="72"/>
    </row>
    <row r="684" spans="1:26" ht="30" customHeight="1">
      <c r="A684" s="28" t="s">
        <v>1812</v>
      </c>
      <c r="B684" s="29" t="s">
        <v>1813</v>
      </c>
      <c r="C684" s="30">
        <f>C685+C696+C701+C706+C709</f>
        <v>133623372.30999999</v>
      </c>
      <c r="D684" s="30"/>
      <c r="E684" s="30">
        <f t="shared" ref="E684:G684" si="260">E685+E696+E701+E706+E709</f>
        <v>83809213.810000002</v>
      </c>
      <c r="F684" s="30">
        <f t="shared" si="260"/>
        <v>0</v>
      </c>
      <c r="G684" s="31">
        <f t="shared" si="260"/>
        <v>83809213.810000002</v>
      </c>
      <c r="H684" s="31"/>
      <c r="I684" s="72"/>
      <c r="J684" s="72"/>
      <c r="K684" s="72"/>
      <c r="L684" s="72"/>
      <c r="M684" s="72"/>
      <c r="N684" s="72"/>
      <c r="O684" s="72"/>
      <c r="P684" s="72"/>
      <c r="Q684" s="72"/>
      <c r="R684" s="72"/>
      <c r="S684" s="72"/>
      <c r="T684" s="72"/>
      <c r="U684" s="72"/>
      <c r="V684" s="72"/>
      <c r="W684" s="72"/>
      <c r="X684" s="72"/>
      <c r="Y684" s="72"/>
      <c r="Z684" s="72"/>
    </row>
    <row r="685" spans="1:26" ht="30" customHeight="1">
      <c r="A685" s="32" t="s">
        <v>1814</v>
      </c>
      <c r="B685" s="48" t="s">
        <v>1815</v>
      </c>
      <c r="C685" s="34">
        <f>C686+C690</f>
        <v>131356360.81999999</v>
      </c>
      <c r="D685" s="34"/>
      <c r="E685" s="34">
        <f t="shared" ref="E685:G685" si="261">E686+E690</f>
        <v>82876596.930000007</v>
      </c>
      <c r="F685" s="34">
        <f t="shared" si="261"/>
        <v>0</v>
      </c>
      <c r="G685" s="35">
        <f t="shared" si="261"/>
        <v>82876596.930000007</v>
      </c>
      <c r="H685" s="35"/>
      <c r="I685" s="72"/>
      <c r="J685" s="72"/>
      <c r="K685" s="72"/>
      <c r="L685" s="72"/>
      <c r="M685" s="72"/>
      <c r="N685" s="72"/>
      <c r="O685" s="72"/>
      <c r="P685" s="72"/>
      <c r="Q685" s="72"/>
      <c r="R685" s="72"/>
      <c r="S685" s="72"/>
      <c r="T685" s="72"/>
      <c r="U685" s="72"/>
      <c r="V685" s="72"/>
      <c r="W685" s="72"/>
      <c r="X685" s="72"/>
      <c r="Y685" s="72"/>
      <c r="Z685" s="72"/>
    </row>
    <row r="686" spans="1:26" ht="30" customHeight="1">
      <c r="A686" s="44" t="s">
        <v>1816</v>
      </c>
      <c r="B686" s="54" t="s">
        <v>1817</v>
      </c>
      <c r="C686" s="40">
        <f>SUM(C687:C689)</f>
        <v>131356360.81999999</v>
      </c>
      <c r="D686" s="39"/>
      <c r="E686" s="40">
        <f t="shared" ref="E686:G686" si="262">SUM(E687:E689)</f>
        <v>82876596.930000007</v>
      </c>
      <c r="F686" s="40">
        <f t="shared" si="262"/>
        <v>0</v>
      </c>
      <c r="G686" s="40">
        <f t="shared" si="262"/>
        <v>82876596.930000007</v>
      </c>
      <c r="H686" s="40"/>
      <c r="I686" s="72"/>
      <c r="J686" s="72"/>
      <c r="K686" s="72"/>
      <c r="L686" s="72"/>
      <c r="M686" s="72"/>
      <c r="N686" s="72"/>
      <c r="O686" s="72"/>
      <c r="P686" s="72"/>
      <c r="Q686" s="72"/>
      <c r="R686" s="72"/>
      <c r="S686" s="72"/>
      <c r="T686" s="72"/>
      <c r="U686" s="72"/>
      <c r="V686" s="72"/>
      <c r="W686" s="72"/>
      <c r="X686" s="72"/>
      <c r="Y686" s="72"/>
      <c r="Z686" s="72"/>
    </row>
    <row r="687" spans="1:26" ht="30" customHeight="1">
      <c r="A687" s="50" t="s">
        <v>1818</v>
      </c>
      <c r="B687" s="51" t="s">
        <v>1819</v>
      </c>
      <c r="C687" s="53">
        <v>131356360.81999999</v>
      </c>
      <c r="D687" s="52"/>
      <c r="E687" s="53">
        <v>82876596.930000007</v>
      </c>
      <c r="F687" s="53"/>
      <c r="G687" s="53">
        <f t="shared" ref="G687:G689" si="263">ROUND(E687-F687,2)</f>
        <v>82876596.930000007</v>
      </c>
      <c r="H687" s="53"/>
      <c r="I687" s="72"/>
      <c r="J687" s="72"/>
      <c r="K687" s="72"/>
      <c r="L687" s="72"/>
      <c r="M687" s="72"/>
      <c r="N687" s="72"/>
      <c r="O687" s="72"/>
      <c r="P687" s="72"/>
      <c r="Q687" s="72"/>
      <c r="R687" s="72"/>
      <c r="S687" s="72"/>
      <c r="T687" s="72"/>
      <c r="U687" s="72"/>
      <c r="V687" s="72"/>
      <c r="W687" s="72"/>
      <c r="X687" s="72"/>
      <c r="Y687" s="72"/>
      <c r="Z687" s="72"/>
    </row>
    <row r="688" spans="1:26" ht="30" customHeight="1">
      <c r="A688" s="50" t="s">
        <v>1820</v>
      </c>
      <c r="B688" s="51" t="s">
        <v>1821</v>
      </c>
      <c r="C688" s="53"/>
      <c r="D688" s="52"/>
      <c r="E688" s="53"/>
      <c r="F688" s="53"/>
      <c r="G688" s="53">
        <f t="shared" si="263"/>
        <v>0</v>
      </c>
      <c r="H688" s="53"/>
      <c r="I688" s="72"/>
      <c r="J688" s="72"/>
      <c r="K688" s="72"/>
      <c r="L688" s="72"/>
      <c r="M688" s="72"/>
      <c r="N688" s="72"/>
      <c r="O688" s="72"/>
      <c r="P688" s="72"/>
      <c r="Q688" s="72"/>
      <c r="R688" s="72"/>
      <c r="S688" s="72"/>
      <c r="T688" s="72"/>
      <c r="U688" s="72"/>
      <c r="V688" s="72"/>
      <c r="W688" s="72"/>
      <c r="X688" s="72"/>
      <c r="Y688" s="72"/>
      <c r="Z688" s="72"/>
    </row>
    <row r="689" spans="1:26" ht="30" customHeight="1">
      <c r="A689" s="50" t="s">
        <v>1822</v>
      </c>
      <c r="B689" s="51" t="s">
        <v>1823</v>
      </c>
      <c r="C689" s="53"/>
      <c r="D689" s="52"/>
      <c r="E689" s="53"/>
      <c r="F689" s="53"/>
      <c r="G689" s="53">
        <f t="shared" si="263"/>
        <v>0</v>
      </c>
      <c r="H689" s="53"/>
      <c r="I689" s="72"/>
      <c r="J689" s="72"/>
      <c r="K689" s="72"/>
      <c r="L689" s="72"/>
      <c r="M689" s="72"/>
      <c r="N689" s="72"/>
      <c r="O689" s="72"/>
      <c r="P689" s="72"/>
      <c r="Q689" s="72"/>
      <c r="R689" s="72"/>
      <c r="S689" s="72"/>
      <c r="T689" s="72"/>
      <c r="U689" s="72"/>
      <c r="V689" s="72"/>
      <c r="W689" s="72"/>
      <c r="X689" s="72"/>
      <c r="Y689" s="72"/>
      <c r="Z689" s="72"/>
    </row>
    <row r="690" spans="1:26" ht="30" customHeight="1">
      <c r="A690" s="44" t="s">
        <v>1824</v>
      </c>
      <c r="B690" s="54" t="s">
        <v>1825</v>
      </c>
      <c r="C690" s="40">
        <f>SUM(C691:C695)</f>
        <v>0</v>
      </c>
      <c r="D690" s="39"/>
      <c r="E690" s="40">
        <f t="shared" ref="E690:G690" si="264">SUM(E691:E695)</f>
        <v>0</v>
      </c>
      <c r="F690" s="40">
        <f t="shared" si="264"/>
        <v>0</v>
      </c>
      <c r="G690" s="40">
        <f t="shared" si="264"/>
        <v>0</v>
      </c>
      <c r="H690" s="40"/>
      <c r="I690" s="72"/>
      <c r="J690" s="72"/>
      <c r="K690" s="72"/>
      <c r="L690" s="72"/>
      <c r="M690" s="72"/>
      <c r="N690" s="72"/>
      <c r="O690" s="72"/>
      <c r="P690" s="72"/>
      <c r="Q690" s="72"/>
      <c r="R690" s="72"/>
      <c r="S690" s="72"/>
      <c r="T690" s="72"/>
      <c r="U690" s="72"/>
      <c r="V690" s="72"/>
      <c r="W690" s="72"/>
      <c r="X690" s="72"/>
      <c r="Y690" s="72"/>
      <c r="Z690" s="72"/>
    </row>
    <row r="691" spans="1:26" ht="30" customHeight="1">
      <c r="A691" s="50" t="s">
        <v>1826</v>
      </c>
      <c r="B691" s="51" t="s">
        <v>1827</v>
      </c>
      <c r="C691" s="52"/>
      <c r="D691" s="52"/>
      <c r="E691" s="52"/>
      <c r="F691" s="52"/>
      <c r="G691" s="53"/>
      <c r="H691" s="53"/>
      <c r="I691" s="72"/>
      <c r="J691" s="72"/>
      <c r="K691" s="72"/>
      <c r="L691" s="72"/>
      <c r="M691" s="72"/>
      <c r="N691" s="72"/>
      <c r="O691" s="72"/>
      <c r="P691" s="72"/>
      <c r="Q691" s="72"/>
      <c r="R691" s="72"/>
      <c r="S691" s="72"/>
      <c r="T691" s="72"/>
      <c r="U691" s="72"/>
      <c r="V691" s="72"/>
      <c r="W691" s="72"/>
      <c r="X691" s="72"/>
      <c r="Y691" s="72"/>
      <c r="Z691" s="72"/>
    </row>
    <row r="692" spans="1:26" ht="30" customHeight="1">
      <c r="A692" s="50" t="s">
        <v>1828</v>
      </c>
      <c r="B692" s="51" t="s">
        <v>1829</v>
      </c>
      <c r="C692" s="52"/>
      <c r="D692" s="52"/>
      <c r="E692" s="52"/>
      <c r="F692" s="52"/>
      <c r="G692" s="53"/>
      <c r="H692" s="53"/>
      <c r="I692" s="72"/>
      <c r="J692" s="72"/>
      <c r="K692" s="72"/>
      <c r="L692" s="72"/>
      <c r="M692" s="72"/>
      <c r="N692" s="72"/>
      <c r="O692" s="72"/>
      <c r="P692" s="72"/>
      <c r="Q692" s="72"/>
      <c r="R692" s="72"/>
      <c r="S692" s="72"/>
      <c r="T692" s="72"/>
      <c r="U692" s="72"/>
      <c r="V692" s="72"/>
      <c r="W692" s="72"/>
      <c r="X692" s="72"/>
      <c r="Y692" s="72"/>
      <c r="Z692" s="72"/>
    </row>
    <row r="693" spans="1:26" ht="30" customHeight="1">
      <c r="A693" s="50" t="s">
        <v>1830</v>
      </c>
      <c r="B693" s="51" t="s">
        <v>1831</v>
      </c>
      <c r="C693" s="52"/>
      <c r="D693" s="52"/>
      <c r="E693" s="52"/>
      <c r="F693" s="52"/>
      <c r="G693" s="53"/>
      <c r="H693" s="53"/>
      <c r="I693" s="72"/>
      <c r="J693" s="72"/>
      <c r="K693" s="72"/>
      <c r="L693" s="72"/>
      <c r="M693" s="72"/>
      <c r="N693" s="72"/>
      <c r="O693" s="72"/>
      <c r="P693" s="72"/>
      <c r="Q693" s="72"/>
      <c r="R693" s="72"/>
      <c r="S693" s="72"/>
      <c r="T693" s="72"/>
      <c r="U693" s="72"/>
      <c r="V693" s="72"/>
      <c r="W693" s="72"/>
      <c r="X693" s="72"/>
      <c r="Y693" s="72"/>
      <c r="Z693" s="72"/>
    </row>
    <row r="694" spans="1:26" ht="30" customHeight="1">
      <c r="A694" s="50" t="s">
        <v>1832</v>
      </c>
      <c r="B694" s="51" t="s">
        <v>1833</v>
      </c>
      <c r="C694" s="52"/>
      <c r="D694" s="52"/>
      <c r="E694" s="52"/>
      <c r="F694" s="52"/>
      <c r="G694" s="53"/>
      <c r="H694" s="53"/>
      <c r="I694" s="72"/>
      <c r="J694" s="72"/>
      <c r="K694" s="72"/>
      <c r="L694" s="72"/>
      <c r="M694" s="72"/>
      <c r="N694" s="72"/>
      <c r="O694" s="72"/>
      <c r="P694" s="72"/>
      <c r="Q694" s="72"/>
      <c r="R694" s="72"/>
      <c r="S694" s="72"/>
      <c r="T694" s="72"/>
      <c r="U694" s="72"/>
      <c r="V694" s="72"/>
      <c r="W694" s="72"/>
      <c r="X694" s="72"/>
      <c r="Y694" s="72"/>
      <c r="Z694" s="72"/>
    </row>
    <row r="695" spans="1:26" ht="30" customHeight="1">
      <c r="A695" s="50" t="s">
        <v>1834</v>
      </c>
      <c r="B695" s="51" t="s">
        <v>1835</v>
      </c>
      <c r="C695" s="52"/>
      <c r="D695" s="52"/>
      <c r="E695" s="52"/>
      <c r="F695" s="52"/>
      <c r="G695" s="53"/>
      <c r="H695" s="53"/>
      <c r="I695" s="72"/>
      <c r="J695" s="72"/>
      <c r="K695" s="72"/>
      <c r="L695" s="72"/>
      <c r="M695" s="72"/>
      <c r="N695" s="72"/>
      <c r="O695" s="72"/>
      <c r="P695" s="72"/>
      <c r="Q695" s="72"/>
      <c r="R695" s="72"/>
      <c r="S695" s="72"/>
      <c r="T695" s="72"/>
      <c r="U695" s="72"/>
      <c r="V695" s="72"/>
      <c r="W695" s="72"/>
      <c r="X695" s="72"/>
      <c r="Y695" s="72"/>
      <c r="Z695" s="72"/>
    </row>
    <row r="696" spans="1:26" ht="30" customHeight="1">
      <c r="A696" s="32" t="s">
        <v>1836</v>
      </c>
      <c r="B696" s="48" t="s">
        <v>1837</v>
      </c>
      <c r="C696" s="34">
        <f>SUM(C697+C699)</f>
        <v>0</v>
      </c>
      <c r="D696" s="34"/>
      <c r="E696" s="34">
        <f t="shared" ref="E696:G696" si="265">SUM(E697+E699)</f>
        <v>0</v>
      </c>
      <c r="F696" s="34">
        <f t="shared" si="265"/>
        <v>0</v>
      </c>
      <c r="G696" s="35">
        <f t="shared" si="265"/>
        <v>0</v>
      </c>
      <c r="H696" s="35"/>
      <c r="I696" s="72"/>
      <c r="J696" s="72"/>
      <c r="K696" s="72"/>
      <c r="L696" s="72"/>
      <c r="M696" s="72"/>
      <c r="N696" s="72"/>
      <c r="O696" s="72"/>
      <c r="P696" s="72"/>
      <c r="Q696" s="72"/>
      <c r="R696" s="72"/>
      <c r="S696" s="72"/>
      <c r="T696" s="72"/>
      <c r="U696" s="72"/>
      <c r="V696" s="72"/>
      <c r="W696" s="72"/>
      <c r="X696" s="72"/>
      <c r="Y696" s="72"/>
      <c r="Z696" s="72"/>
    </row>
    <row r="697" spans="1:26" ht="30" customHeight="1">
      <c r="A697" s="44" t="s">
        <v>1838</v>
      </c>
      <c r="B697" s="45" t="s">
        <v>1839</v>
      </c>
      <c r="C697" s="40">
        <f>SUM(C698)</f>
        <v>0</v>
      </c>
      <c r="D697" s="39"/>
      <c r="E697" s="40">
        <f t="shared" ref="E697:G697" si="266">SUM(E698)</f>
        <v>0</v>
      </c>
      <c r="F697" s="40">
        <f t="shared" si="266"/>
        <v>0</v>
      </c>
      <c r="G697" s="40">
        <f t="shared" si="266"/>
        <v>0</v>
      </c>
      <c r="H697" s="40"/>
      <c r="I697" s="72"/>
      <c r="J697" s="72"/>
      <c r="K697" s="72"/>
      <c r="L697" s="72"/>
      <c r="M697" s="72"/>
      <c r="N697" s="72"/>
      <c r="O697" s="72"/>
      <c r="P697" s="72"/>
      <c r="Q697" s="72"/>
      <c r="R697" s="72"/>
      <c r="S697" s="72"/>
      <c r="T697" s="72"/>
      <c r="U697" s="72"/>
      <c r="V697" s="72"/>
      <c r="W697" s="72"/>
      <c r="X697" s="72"/>
      <c r="Y697" s="72"/>
      <c r="Z697" s="72"/>
    </row>
    <row r="698" spans="1:26" ht="30" customHeight="1">
      <c r="A698" s="50" t="s">
        <v>1840</v>
      </c>
      <c r="B698" s="51" t="s">
        <v>1839</v>
      </c>
      <c r="C698" s="53"/>
      <c r="D698" s="52"/>
      <c r="E698" s="53"/>
      <c r="F698" s="53"/>
      <c r="G698" s="53">
        <f>ROUND(E698-F698,2)</f>
        <v>0</v>
      </c>
      <c r="H698" s="53"/>
      <c r="I698" s="72"/>
      <c r="J698" s="72"/>
      <c r="K698" s="72"/>
      <c r="L698" s="72"/>
      <c r="M698" s="72"/>
      <c r="N698" s="72"/>
      <c r="O698" s="72"/>
      <c r="P698" s="72"/>
      <c r="Q698" s="72"/>
      <c r="R698" s="72"/>
      <c r="S698" s="72"/>
      <c r="T698" s="72"/>
      <c r="U698" s="72"/>
      <c r="V698" s="72"/>
      <c r="W698" s="72"/>
      <c r="X698" s="72"/>
      <c r="Y698" s="72"/>
      <c r="Z698" s="72"/>
    </row>
    <row r="699" spans="1:26" ht="30" customHeight="1">
      <c r="A699" s="44" t="s">
        <v>1841</v>
      </c>
      <c r="B699" s="54" t="s">
        <v>1842</v>
      </c>
      <c r="C699" s="40">
        <f>SUM(C700)</f>
        <v>0</v>
      </c>
      <c r="D699" s="39"/>
      <c r="E699" s="40">
        <f t="shared" ref="E699:G699" si="267">SUM(E700)</f>
        <v>0</v>
      </c>
      <c r="F699" s="40">
        <f t="shared" si="267"/>
        <v>0</v>
      </c>
      <c r="G699" s="40">
        <f t="shared" si="267"/>
        <v>0</v>
      </c>
      <c r="H699" s="40"/>
      <c r="I699" s="72"/>
      <c r="J699" s="72"/>
      <c r="K699" s="72"/>
      <c r="L699" s="72"/>
      <c r="M699" s="72"/>
      <c r="N699" s="72"/>
      <c r="O699" s="72"/>
      <c r="P699" s="72"/>
      <c r="Q699" s="72"/>
      <c r="R699" s="72"/>
      <c r="S699" s="72"/>
      <c r="T699" s="72"/>
      <c r="U699" s="72"/>
      <c r="V699" s="72"/>
      <c r="W699" s="72"/>
      <c r="X699" s="72"/>
      <c r="Y699" s="72"/>
      <c r="Z699" s="72"/>
    </row>
    <row r="700" spans="1:26" ht="30" customHeight="1">
      <c r="A700" s="50" t="s">
        <v>1843</v>
      </c>
      <c r="B700" s="85" t="s">
        <v>1842</v>
      </c>
      <c r="C700" s="58"/>
      <c r="D700" s="58"/>
      <c r="E700" s="58"/>
      <c r="F700" s="58"/>
      <c r="G700" s="53"/>
      <c r="H700" s="53"/>
      <c r="I700" s="72"/>
      <c r="J700" s="72"/>
      <c r="K700" s="72"/>
      <c r="L700" s="72"/>
      <c r="M700" s="72"/>
      <c r="N700" s="72"/>
      <c r="O700" s="72"/>
      <c r="P700" s="72"/>
      <c r="Q700" s="72"/>
      <c r="R700" s="72"/>
      <c r="S700" s="72"/>
      <c r="T700" s="72"/>
      <c r="U700" s="72"/>
      <c r="V700" s="72"/>
      <c r="W700" s="72"/>
      <c r="X700" s="72"/>
      <c r="Y700" s="72"/>
      <c r="Z700" s="72"/>
    </row>
    <row r="701" spans="1:26" ht="30" customHeight="1">
      <c r="A701" s="32" t="s">
        <v>1844</v>
      </c>
      <c r="B701" s="48" t="s">
        <v>1845</v>
      </c>
      <c r="C701" s="34">
        <f>SUM(C702+C704)</f>
        <v>2267011.4900000002</v>
      </c>
      <c r="D701" s="34"/>
      <c r="E701" s="34">
        <f t="shared" ref="E701:G701" si="268">SUM(E702+E704)</f>
        <v>932616.88</v>
      </c>
      <c r="F701" s="34">
        <f t="shared" si="268"/>
        <v>0</v>
      </c>
      <c r="G701" s="35">
        <f t="shared" si="268"/>
        <v>932616.88</v>
      </c>
      <c r="H701" s="35"/>
      <c r="I701" s="72"/>
      <c r="J701" s="72"/>
      <c r="K701" s="72"/>
      <c r="L701" s="72"/>
      <c r="M701" s="72"/>
      <c r="N701" s="72"/>
      <c r="O701" s="72"/>
      <c r="P701" s="72"/>
      <c r="Q701" s="72"/>
      <c r="R701" s="72"/>
      <c r="S701" s="72"/>
      <c r="T701" s="72"/>
      <c r="U701" s="72"/>
      <c r="V701" s="72"/>
      <c r="W701" s="72"/>
      <c r="X701" s="72"/>
      <c r="Y701" s="72"/>
      <c r="Z701" s="72"/>
    </row>
    <row r="702" spans="1:26" ht="30" customHeight="1">
      <c r="A702" s="44" t="s">
        <v>1846</v>
      </c>
      <c r="B702" s="45" t="s">
        <v>1847</v>
      </c>
      <c r="C702" s="40">
        <f>SUM(C703)</f>
        <v>2267011.4900000002</v>
      </c>
      <c r="D702" s="39"/>
      <c r="E702" s="40">
        <f t="shared" ref="E702:G702" si="269">SUM(E703)</f>
        <v>932616.88</v>
      </c>
      <c r="F702" s="40">
        <f t="shared" si="269"/>
        <v>0</v>
      </c>
      <c r="G702" s="40">
        <f t="shared" si="269"/>
        <v>932616.88</v>
      </c>
      <c r="H702" s="40"/>
      <c r="I702" s="72"/>
      <c r="J702" s="72"/>
      <c r="K702" s="72"/>
      <c r="L702" s="72"/>
      <c r="M702" s="72"/>
      <c r="N702" s="72"/>
      <c r="O702" s="72"/>
      <c r="P702" s="72"/>
      <c r="Q702" s="72"/>
      <c r="R702" s="72"/>
      <c r="S702" s="72"/>
      <c r="T702" s="72"/>
      <c r="U702" s="72"/>
      <c r="V702" s="72"/>
      <c r="W702" s="72"/>
      <c r="X702" s="72"/>
      <c r="Y702" s="72"/>
      <c r="Z702" s="72"/>
    </row>
    <row r="703" spans="1:26" ht="30" customHeight="1">
      <c r="A703" s="50" t="s">
        <v>1848</v>
      </c>
      <c r="B703" s="51" t="s">
        <v>1847</v>
      </c>
      <c r="C703" s="53">
        <v>2267011.4900000002</v>
      </c>
      <c r="D703" s="52"/>
      <c r="E703" s="53">
        <v>932616.88</v>
      </c>
      <c r="F703" s="53"/>
      <c r="G703" s="53">
        <f>ROUND(E703-F703,2)</f>
        <v>932616.88</v>
      </c>
      <c r="H703" s="53"/>
      <c r="I703" s="72"/>
      <c r="J703" s="72"/>
      <c r="K703" s="72"/>
      <c r="L703" s="72"/>
      <c r="M703" s="72"/>
      <c r="N703" s="72"/>
      <c r="O703" s="72"/>
      <c r="P703" s="72"/>
      <c r="Q703" s="72"/>
      <c r="R703" s="72"/>
      <c r="S703" s="72"/>
      <c r="T703" s="72"/>
      <c r="U703" s="72"/>
      <c r="V703" s="72"/>
      <c r="W703" s="72"/>
      <c r="X703" s="72"/>
      <c r="Y703" s="72"/>
      <c r="Z703" s="72"/>
    </row>
    <row r="704" spans="1:26" ht="30" customHeight="1">
      <c r="A704" s="44" t="s">
        <v>1849</v>
      </c>
      <c r="B704" s="45" t="s">
        <v>1850</v>
      </c>
      <c r="C704" s="40">
        <f>SUM(C705)</f>
        <v>0</v>
      </c>
      <c r="D704" s="39"/>
      <c r="E704" s="40">
        <f t="shared" ref="E704:G704" si="270">SUM(E705)</f>
        <v>0</v>
      </c>
      <c r="F704" s="40">
        <f t="shared" si="270"/>
        <v>0</v>
      </c>
      <c r="G704" s="40">
        <f t="shared" si="270"/>
        <v>0</v>
      </c>
      <c r="H704" s="40"/>
      <c r="I704" s="72"/>
      <c r="J704" s="72"/>
      <c r="K704" s="72"/>
      <c r="L704" s="72"/>
      <c r="M704" s="72"/>
      <c r="N704" s="72"/>
      <c r="O704" s="72"/>
      <c r="P704" s="72"/>
      <c r="Q704" s="72"/>
      <c r="R704" s="72"/>
      <c r="S704" s="72"/>
      <c r="T704" s="72"/>
      <c r="U704" s="72"/>
      <c r="V704" s="72"/>
      <c r="W704" s="72"/>
      <c r="X704" s="72"/>
      <c r="Y704" s="72"/>
      <c r="Z704" s="72"/>
    </row>
    <row r="705" spans="1:26" ht="30" customHeight="1">
      <c r="A705" s="50" t="s">
        <v>1851</v>
      </c>
      <c r="B705" s="85" t="s">
        <v>1852</v>
      </c>
      <c r="C705" s="58"/>
      <c r="D705" s="58"/>
      <c r="E705" s="58"/>
      <c r="F705" s="58"/>
      <c r="G705" s="53"/>
      <c r="H705" s="53"/>
      <c r="I705" s="72"/>
      <c r="J705" s="72"/>
      <c r="K705" s="72"/>
      <c r="L705" s="72"/>
      <c r="M705" s="72"/>
      <c r="N705" s="72"/>
      <c r="O705" s="72"/>
      <c r="P705" s="72"/>
      <c r="Q705" s="72"/>
      <c r="R705" s="72"/>
      <c r="S705" s="72"/>
      <c r="T705" s="72"/>
      <c r="U705" s="72"/>
      <c r="V705" s="72"/>
      <c r="W705" s="72"/>
      <c r="X705" s="72"/>
      <c r="Y705" s="72"/>
      <c r="Z705" s="72"/>
    </row>
    <row r="706" spans="1:26" ht="30" customHeight="1">
      <c r="A706" s="32" t="s">
        <v>1853</v>
      </c>
      <c r="B706" s="48" t="s">
        <v>1854</v>
      </c>
      <c r="C706" s="34">
        <f>C707</f>
        <v>0</v>
      </c>
      <c r="D706" s="34"/>
      <c r="E706" s="34">
        <f t="shared" ref="E706:G706" si="271">E707</f>
        <v>0</v>
      </c>
      <c r="F706" s="34">
        <f t="shared" si="271"/>
        <v>0</v>
      </c>
      <c r="G706" s="35">
        <f t="shared" si="271"/>
        <v>0</v>
      </c>
      <c r="H706" s="35"/>
      <c r="I706" s="72"/>
      <c r="J706" s="72"/>
      <c r="K706" s="72"/>
      <c r="L706" s="72"/>
      <c r="M706" s="72"/>
      <c r="N706" s="72"/>
      <c r="O706" s="72"/>
      <c r="P706" s="72"/>
      <c r="Q706" s="72"/>
      <c r="R706" s="72"/>
      <c r="S706" s="72"/>
      <c r="T706" s="72"/>
      <c r="U706" s="72"/>
      <c r="V706" s="72"/>
      <c r="W706" s="72"/>
      <c r="X706" s="72"/>
      <c r="Y706" s="72"/>
      <c r="Z706" s="72"/>
    </row>
    <row r="707" spans="1:26" ht="30" customHeight="1">
      <c r="A707" s="44" t="s">
        <v>1855</v>
      </c>
      <c r="B707" s="54" t="s">
        <v>1856</v>
      </c>
      <c r="C707" s="40">
        <f>SUM(C708)</f>
        <v>0</v>
      </c>
      <c r="D707" s="39"/>
      <c r="E707" s="40">
        <f t="shared" ref="E707:G707" si="272">SUM(E708)</f>
        <v>0</v>
      </c>
      <c r="F707" s="40">
        <f t="shared" si="272"/>
        <v>0</v>
      </c>
      <c r="G707" s="40">
        <f t="shared" si="272"/>
        <v>0</v>
      </c>
      <c r="H707" s="40"/>
      <c r="I707" s="72"/>
      <c r="J707" s="72"/>
      <c r="K707" s="72"/>
      <c r="L707" s="72"/>
      <c r="M707" s="72"/>
      <c r="N707" s="72"/>
      <c r="O707" s="72"/>
      <c r="P707" s="72"/>
      <c r="Q707" s="72"/>
      <c r="R707" s="72"/>
      <c r="S707" s="72"/>
      <c r="T707" s="72"/>
      <c r="U707" s="72"/>
      <c r="V707" s="72"/>
      <c r="W707" s="72"/>
      <c r="X707" s="72"/>
      <c r="Y707" s="72"/>
      <c r="Z707" s="72"/>
    </row>
    <row r="708" spans="1:26" ht="30" customHeight="1">
      <c r="A708" s="50" t="s">
        <v>1857</v>
      </c>
      <c r="B708" s="51" t="s">
        <v>1858</v>
      </c>
      <c r="C708" s="53"/>
      <c r="D708" s="52"/>
      <c r="E708" s="53"/>
      <c r="F708" s="53"/>
      <c r="G708" s="53">
        <f>ROUND(E708-F708,2)</f>
        <v>0</v>
      </c>
      <c r="H708" s="53"/>
      <c r="I708" s="72"/>
      <c r="J708" s="72"/>
      <c r="K708" s="72"/>
      <c r="L708" s="72"/>
      <c r="M708" s="72"/>
      <c r="N708" s="72"/>
      <c r="O708" s="72"/>
      <c r="P708" s="72"/>
      <c r="Q708" s="72"/>
      <c r="R708" s="72"/>
      <c r="S708" s="72"/>
      <c r="T708" s="72"/>
      <c r="U708" s="72"/>
      <c r="V708" s="72"/>
      <c r="W708" s="72"/>
      <c r="X708" s="72"/>
      <c r="Y708" s="72"/>
      <c r="Z708" s="72"/>
    </row>
    <row r="709" spans="1:26" ht="30" customHeight="1">
      <c r="A709" s="32" t="s">
        <v>1859</v>
      </c>
      <c r="B709" s="48" t="s">
        <v>1860</v>
      </c>
      <c r="C709" s="34">
        <f>C710+C712</f>
        <v>0</v>
      </c>
      <c r="D709" s="34"/>
      <c r="E709" s="34">
        <f t="shared" ref="E709:G709" si="273">E710+E712</f>
        <v>0</v>
      </c>
      <c r="F709" s="34">
        <f t="shared" si="273"/>
        <v>0</v>
      </c>
      <c r="G709" s="35">
        <f t="shared" si="273"/>
        <v>0</v>
      </c>
      <c r="H709" s="35"/>
      <c r="I709" s="72"/>
      <c r="J709" s="72"/>
      <c r="K709" s="72"/>
      <c r="L709" s="72"/>
      <c r="M709" s="72"/>
      <c r="N709" s="72"/>
      <c r="O709" s="72"/>
      <c r="P709" s="72"/>
      <c r="Q709" s="72"/>
      <c r="R709" s="72"/>
      <c r="S709" s="72"/>
      <c r="T709" s="72"/>
      <c r="U709" s="72"/>
      <c r="V709" s="72"/>
      <c r="W709" s="72"/>
      <c r="X709" s="72"/>
      <c r="Y709" s="72"/>
      <c r="Z709" s="72"/>
    </row>
    <row r="710" spans="1:26" ht="30" customHeight="1">
      <c r="A710" s="44" t="s">
        <v>1861</v>
      </c>
      <c r="B710" s="45" t="s">
        <v>1862</v>
      </c>
      <c r="C710" s="40">
        <f>SUM(C711)</f>
        <v>0</v>
      </c>
      <c r="D710" s="39"/>
      <c r="E710" s="40">
        <f t="shared" ref="E710:G710" si="274">SUM(E711)</f>
        <v>0</v>
      </c>
      <c r="F710" s="40">
        <f t="shared" si="274"/>
        <v>0</v>
      </c>
      <c r="G710" s="40">
        <f t="shared" si="274"/>
        <v>0</v>
      </c>
      <c r="H710" s="40"/>
      <c r="I710" s="72"/>
      <c r="J710" s="72"/>
      <c r="K710" s="72"/>
      <c r="L710" s="72"/>
      <c r="M710" s="72"/>
      <c r="N710" s="72"/>
      <c r="O710" s="72"/>
      <c r="P710" s="72"/>
      <c r="Q710" s="72"/>
      <c r="R710" s="72"/>
      <c r="S710" s="72"/>
      <c r="T710" s="72"/>
      <c r="U710" s="72"/>
      <c r="V710" s="72"/>
      <c r="W710" s="72"/>
      <c r="X710" s="72"/>
      <c r="Y710" s="72"/>
      <c r="Z710" s="72"/>
    </row>
    <row r="711" spans="1:26" ht="30" customHeight="1">
      <c r="A711" s="50" t="s">
        <v>1863</v>
      </c>
      <c r="B711" s="85" t="s">
        <v>1864</v>
      </c>
      <c r="C711" s="53"/>
      <c r="D711" s="52"/>
      <c r="E711" s="53"/>
      <c r="F711" s="53"/>
      <c r="G711" s="53">
        <f>ROUND(E711-F711,2)</f>
        <v>0</v>
      </c>
      <c r="H711" s="53"/>
      <c r="I711" s="72"/>
      <c r="J711" s="72"/>
      <c r="K711" s="72"/>
      <c r="L711" s="72"/>
      <c r="M711" s="72"/>
      <c r="N711" s="72"/>
      <c r="O711" s="72"/>
      <c r="P711" s="72"/>
      <c r="Q711" s="72"/>
      <c r="R711" s="72"/>
      <c r="S711" s="72"/>
      <c r="T711" s="72"/>
      <c r="U711" s="72"/>
      <c r="V711" s="72"/>
      <c r="W711" s="72"/>
      <c r="X711" s="72"/>
      <c r="Y711" s="72"/>
      <c r="Z711" s="72"/>
    </row>
    <row r="712" spans="1:26" ht="30" customHeight="1">
      <c r="A712" s="44" t="s">
        <v>1865</v>
      </c>
      <c r="B712" s="54" t="s">
        <v>1866</v>
      </c>
      <c r="C712" s="40">
        <f>SUM(C713)</f>
        <v>0</v>
      </c>
      <c r="D712" s="39"/>
      <c r="E712" s="40">
        <f t="shared" ref="E712:G712" si="275">SUM(E713)</f>
        <v>0</v>
      </c>
      <c r="F712" s="40">
        <f t="shared" si="275"/>
        <v>0</v>
      </c>
      <c r="G712" s="40">
        <f t="shared" si="275"/>
        <v>0</v>
      </c>
      <c r="H712" s="40"/>
      <c r="I712" s="72"/>
      <c r="J712" s="72"/>
      <c r="K712" s="72"/>
      <c r="L712" s="72"/>
      <c r="M712" s="72"/>
      <c r="N712" s="72"/>
      <c r="O712" s="72"/>
      <c r="P712" s="72"/>
      <c r="Q712" s="72"/>
      <c r="R712" s="72"/>
      <c r="S712" s="72"/>
      <c r="T712" s="72"/>
      <c r="U712" s="72"/>
      <c r="V712" s="72"/>
      <c r="W712" s="72"/>
      <c r="X712" s="72"/>
      <c r="Y712" s="72"/>
      <c r="Z712" s="72"/>
    </row>
    <row r="713" spans="1:26" ht="30" customHeight="1">
      <c r="A713" s="50" t="s">
        <v>1867</v>
      </c>
      <c r="B713" s="85" t="s">
        <v>1868</v>
      </c>
      <c r="C713" s="53"/>
      <c r="D713" s="52"/>
      <c r="E713" s="53"/>
      <c r="F713" s="53"/>
      <c r="G713" s="53">
        <f>ROUND(E713-F713,2)</f>
        <v>0</v>
      </c>
      <c r="H713" s="53"/>
      <c r="I713" s="72"/>
      <c r="J713" s="72"/>
      <c r="K713" s="72"/>
      <c r="L713" s="72"/>
      <c r="M713" s="72"/>
      <c r="N713" s="72"/>
      <c r="O713" s="72"/>
      <c r="P713" s="72"/>
      <c r="Q713" s="72"/>
      <c r="R713" s="72"/>
      <c r="S713" s="72"/>
      <c r="T713" s="72"/>
      <c r="U713" s="72"/>
      <c r="V713" s="72"/>
      <c r="W713" s="72"/>
      <c r="X713" s="72"/>
      <c r="Y713" s="72"/>
      <c r="Z713" s="72"/>
    </row>
    <row r="714" spans="1:26" ht="30" customHeight="1">
      <c r="A714" s="28" t="s">
        <v>1869</v>
      </c>
      <c r="B714" s="29" t="s">
        <v>1870</v>
      </c>
      <c r="C714" s="30">
        <f>C715+C724+C727+C733+C735+C737</f>
        <v>8046358.9199999999</v>
      </c>
      <c r="D714" s="30"/>
      <c r="E714" s="30">
        <f t="shared" ref="E714:G714" si="276">E715+E724+E727+E733+E735+E737</f>
        <v>3949.96</v>
      </c>
      <c r="F714" s="30">
        <f t="shared" si="276"/>
        <v>0</v>
      </c>
      <c r="G714" s="31">
        <f t="shared" si="276"/>
        <v>3949.96</v>
      </c>
      <c r="H714" s="31"/>
      <c r="I714" s="72"/>
      <c r="J714" s="72"/>
      <c r="K714" s="72"/>
      <c r="L714" s="72"/>
      <c r="M714" s="72"/>
      <c r="N714" s="72"/>
      <c r="O714" s="72"/>
      <c r="P714" s="72"/>
      <c r="Q714" s="72"/>
      <c r="R714" s="72"/>
      <c r="S714" s="72"/>
      <c r="T714" s="72"/>
      <c r="U714" s="72"/>
      <c r="V714" s="72"/>
      <c r="W714" s="72"/>
      <c r="X714" s="72"/>
      <c r="Y714" s="72"/>
      <c r="Z714" s="72"/>
    </row>
    <row r="715" spans="1:26" ht="30" customHeight="1">
      <c r="A715" s="32" t="s">
        <v>1871</v>
      </c>
      <c r="B715" s="33" t="s">
        <v>1872</v>
      </c>
      <c r="C715" s="34">
        <f>SUM(C716:C723)</f>
        <v>1833836.38</v>
      </c>
      <c r="D715" s="34"/>
      <c r="E715" s="34">
        <f t="shared" ref="E715:G715" si="277">SUM(E716:E723)</f>
        <v>0</v>
      </c>
      <c r="F715" s="34">
        <f t="shared" si="277"/>
        <v>0</v>
      </c>
      <c r="G715" s="35">
        <f t="shared" si="277"/>
        <v>0</v>
      </c>
      <c r="H715" s="35"/>
      <c r="I715" s="72"/>
      <c r="J715" s="72"/>
      <c r="K715" s="72"/>
      <c r="L715" s="72"/>
      <c r="M715" s="72"/>
      <c r="N715" s="72"/>
      <c r="O715" s="72"/>
      <c r="P715" s="72"/>
      <c r="Q715" s="72"/>
      <c r="R715" s="72"/>
      <c r="S715" s="72"/>
      <c r="T715" s="72"/>
      <c r="U715" s="72"/>
      <c r="V715" s="72"/>
      <c r="W715" s="72"/>
      <c r="X715" s="72"/>
      <c r="Y715" s="72"/>
      <c r="Z715" s="72"/>
    </row>
    <row r="716" spans="1:26" ht="30" customHeight="1">
      <c r="A716" s="36" t="s">
        <v>1873</v>
      </c>
      <c r="B716" s="37" t="s">
        <v>1874</v>
      </c>
      <c r="C716" s="53"/>
      <c r="D716" s="52"/>
      <c r="E716" s="53"/>
      <c r="F716" s="53"/>
      <c r="G716" s="40">
        <f t="shared" ref="G716:G723" si="278">ROUND(E716-F716,2)</f>
        <v>0</v>
      </c>
      <c r="H716" s="40"/>
      <c r="I716" s="72"/>
      <c r="J716" s="72"/>
      <c r="K716" s="72"/>
      <c r="L716" s="72"/>
      <c r="M716" s="72"/>
      <c r="N716" s="72"/>
      <c r="O716" s="72"/>
      <c r="P716" s="72"/>
      <c r="Q716" s="72"/>
      <c r="R716" s="72"/>
      <c r="S716" s="72"/>
      <c r="T716" s="72"/>
      <c r="U716" s="72"/>
      <c r="V716" s="72"/>
      <c r="W716" s="72"/>
      <c r="X716" s="72"/>
      <c r="Y716" s="72"/>
      <c r="Z716" s="72"/>
    </row>
    <row r="717" spans="1:26" ht="30" customHeight="1">
      <c r="A717" s="36" t="s">
        <v>1875</v>
      </c>
      <c r="B717" s="37" t="s">
        <v>1876</v>
      </c>
      <c r="C717" s="53"/>
      <c r="D717" s="52"/>
      <c r="E717" s="53"/>
      <c r="F717" s="53"/>
      <c r="G717" s="40">
        <f t="shared" si="278"/>
        <v>0</v>
      </c>
      <c r="H717" s="40"/>
      <c r="I717" s="72"/>
      <c r="J717" s="72"/>
      <c r="K717" s="72"/>
      <c r="L717" s="72"/>
      <c r="M717" s="72"/>
      <c r="N717" s="72"/>
      <c r="O717" s="72"/>
      <c r="P717" s="72"/>
      <c r="Q717" s="72"/>
      <c r="R717" s="72"/>
      <c r="S717" s="72"/>
      <c r="T717" s="72"/>
      <c r="U717" s="72"/>
      <c r="V717" s="72"/>
      <c r="W717" s="72"/>
      <c r="X717" s="72"/>
      <c r="Y717" s="72"/>
      <c r="Z717" s="72"/>
    </row>
    <row r="718" spans="1:26" ht="30" customHeight="1">
      <c r="A718" s="36" t="s">
        <v>1877</v>
      </c>
      <c r="B718" s="37" t="s">
        <v>1878</v>
      </c>
      <c r="C718" s="53"/>
      <c r="D718" s="52"/>
      <c r="E718" s="53"/>
      <c r="F718" s="53"/>
      <c r="G718" s="40">
        <f t="shared" si="278"/>
        <v>0</v>
      </c>
      <c r="H718" s="40"/>
      <c r="I718" s="72"/>
      <c r="J718" s="72"/>
      <c r="K718" s="72"/>
      <c r="L718" s="72"/>
      <c r="M718" s="72"/>
      <c r="N718" s="72"/>
      <c r="O718" s="72"/>
      <c r="P718" s="72"/>
      <c r="Q718" s="72"/>
      <c r="R718" s="72"/>
      <c r="S718" s="72"/>
      <c r="T718" s="72"/>
      <c r="U718" s="72"/>
      <c r="V718" s="72"/>
      <c r="W718" s="72"/>
      <c r="X718" s="72"/>
      <c r="Y718" s="72"/>
      <c r="Z718" s="72"/>
    </row>
    <row r="719" spans="1:26" ht="30" customHeight="1">
      <c r="A719" s="36" t="s">
        <v>1879</v>
      </c>
      <c r="B719" s="37" t="s">
        <v>1880</v>
      </c>
      <c r="C719" s="53"/>
      <c r="D719" s="52"/>
      <c r="E719" s="53"/>
      <c r="F719" s="53"/>
      <c r="G719" s="40">
        <f t="shared" si="278"/>
        <v>0</v>
      </c>
      <c r="H719" s="40"/>
      <c r="I719" s="72"/>
      <c r="J719" s="72"/>
      <c r="K719" s="72"/>
      <c r="L719" s="72"/>
      <c r="M719" s="72"/>
      <c r="N719" s="72"/>
      <c r="O719" s="72"/>
      <c r="P719" s="72"/>
      <c r="Q719" s="72"/>
      <c r="R719" s="72"/>
      <c r="S719" s="72"/>
      <c r="T719" s="72"/>
      <c r="U719" s="72"/>
      <c r="V719" s="72"/>
      <c r="W719" s="72"/>
      <c r="X719" s="72"/>
      <c r="Y719" s="72"/>
      <c r="Z719" s="72"/>
    </row>
    <row r="720" spans="1:26" ht="30" customHeight="1">
      <c r="A720" s="36" t="s">
        <v>1881</v>
      </c>
      <c r="B720" s="37" t="s">
        <v>1882</v>
      </c>
      <c r="C720" s="53"/>
      <c r="D720" s="52"/>
      <c r="E720" s="53"/>
      <c r="F720" s="53"/>
      <c r="G720" s="40">
        <f t="shared" si="278"/>
        <v>0</v>
      </c>
      <c r="H720" s="40"/>
      <c r="I720" s="72"/>
      <c r="J720" s="72"/>
      <c r="K720" s="72"/>
      <c r="L720" s="72"/>
      <c r="M720" s="72"/>
      <c r="N720" s="72"/>
      <c r="O720" s="72"/>
      <c r="P720" s="72"/>
      <c r="Q720" s="72"/>
      <c r="R720" s="72"/>
      <c r="S720" s="72"/>
      <c r="T720" s="72"/>
      <c r="U720" s="72"/>
      <c r="V720" s="72"/>
      <c r="W720" s="72"/>
      <c r="X720" s="72"/>
      <c r="Y720" s="72"/>
      <c r="Z720" s="72"/>
    </row>
    <row r="721" spans="1:26" ht="30" customHeight="1">
      <c r="A721" s="36" t="s">
        <v>1883</v>
      </c>
      <c r="B721" s="37" t="s">
        <v>1884</v>
      </c>
      <c r="C721" s="53"/>
      <c r="D721" s="52"/>
      <c r="E721" s="53"/>
      <c r="F721" s="53"/>
      <c r="G721" s="40">
        <f t="shared" si="278"/>
        <v>0</v>
      </c>
      <c r="H721" s="40"/>
      <c r="I721" s="72"/>
      <c r="J721" s="72"/>
      <c r="K721" s="72"/>
      <c r="L721" s="72"/>
      <c r="M721" s="72"/>
      <c r="N721" s="72"/>
      <c r="O721" s="72"/>
      <c r="P721" s="72"/>
      <c r="Q721" s="72"/>
      <c r="R721" s="72"/>
      <c r="S721" s="72"/>
      <c r="T721" s="72"/>
      <c r="U721" s="72"/>
      <c r="V721" s="72"/>
      <c r="W721" s="72"/>
      <c r="X721" s="72"/>
      <c r="Y721" s="72"/>
      <c r="Z721" s="72"/>
    </row>
    <row r="722" spans="1:26" ht="30" customHeight="1">
      <c r="A722" s="36" t="s">
        <v>1885</v>
      </c>
      <c r="B722" s="37" t="s">
        <v>1886</v>
      </c>
      <c r="C722" s="53"/>
      <c r="D722" s="52"/>
      <c r="E722" s="53"/>
      <c r="F722" s="53"/>
      <c r="G722" s="40">
        <f t="shared" si="278"/>
        <v>0</v>
      </c>
      <c r="H722" s="40"/>
      <c r="I722" s="72"/>
      <c r="J722" s="72"/>
      <c r="K722" s="72"/>
      <c r="L722" s="72"/>
      <c r="M722" s="72"/>
      <c r="N722" s="72"/>
      <c r="O722" s="72"/>
      <c r="P722" s="72"/>
      <c r="Q722" s="72"/>
      <c r="R722" s="72"/>
      <c r="S722" s="72"/>
      <c r="T722" s="72"/>
      <c r="U722" s="72"/>
      <c r="V722" s="72"/>
      <c r="W722" s="72"/>
      <c r="X722" s="72"/>
      <c r="Y722" s="72"/>
      <c r="Z722" s="72"/>
    </row>
    <row r="723" spans="1:26" ht="30" customHeight="1">
      <c r="A723" s="36" t="s">
        <v>1887</v>
      </c>
      <c r="B723" s="37" t="s">
        <v>1888</v>
      </c>
      <c r="C723" s="53">
        <v>1833836.38</v>
      </c>
      <c r="D723" s="52"/>
      <c r="E723" s="53"/>
      <c r="F723" s="53"/>
      <c r="G723" s="40">
        <f t="shared" si="278"/>
        <v>0</v>
      </c>
      <c r="H723" s="40"/>
      <c r="I723" s="72"/>
      <c r="J723" s="72"/>
      <c r="K723" s="72"/>
      <c r="L723" s="72"/>
      <c r="M723" s="72"/>
      <c r="N723" s="72"/>
      <c r="O723" s="72"/>
      <c r="P723" s="72"/>
      <c r="Q723" s="72"/>
      <c r="R723" s="72"/>
      <c r="S723" s="72"/>
      <c r="T723" s="72"/>
      <c r="U723" s="72"/>
      <c r="V723" s="72"/>
      <c r="W723" s="72"/>
      <c r="X723" s="72"/>
      <c r="Y723" s="72"/>
      <c r="Z723" s="72"/>
    </row>
    <row r="724" spans="1:26" ht="30" customHeight="1">
      <c r="A724" s="32" t="s">
        <v>1889</v>
      </c>
      <c r="B724" s="41" t="s">
        <v>1890</v>
      </c>
      <c r="C724" s="34">
        <f>SUM(C725:C726)</f>
        <v>0</v>
      </c>
      <c r="D724" s="34"/>
      <c r="E724" s="34">
        <f t="shared" ref="E724:G724" si="279">SUM(E725:E726)</f>
        <v>0</v>
      </c>
      <c r="F724" s="34">
        <f t="shared" si="279"/>
        <v>0</v>
      </c>
      <c r="G724" s="35">
        <f t="shared" si="279"/>
        <v>0</v>
      </c>
      <c r="H724" s="35"/>
      <c r="I724" s="72"/>
      <c r="J724" s="72"/>
      <c r="K724" s="72"/>
      <c r="L724" s="72"/>
      <c r="M724" s="72"/>
      <c r="N724" s="72"/>
      <c r="O724" s="72"/>
      <c r="P724" s="72"/>
      <c r="Q724" s="72"/>
      <c r="R724" s="72"/>
      <c r="S724" s="72"/>
      <c r="T724" s="72"/>
      <c r="U724" s="72"/>
      <c r="V724" s="72"/>
      <c r="W724" s="72"/>
      <c r="X724" s="72"/>
      <c r="Y724" s="72"/>
      <c r="Z724" s="72"/>
    </row>
    <row r="725" spans="1:26" ht="30" customHeight="1">
      <c r="A725" s="36" t="s">
        <v>1891</v>
      </c>
      <c r="B725" s="37" t="s">
        <v>1892</v>
      </c>
      <c r="C725" s="53"/>
      <c r="D725" s="52"/>
      <c r="E725" s="53"/>
      <c r="F725" s="53"/>
      <c r="G725" s="40">
        <f t="shared" ref="G725:G726" si="280">ROUND(E725-F725,2)</f>
        <v>0</v>
      </c>
      <c r="H725" s="40"/>
      <c r="I725" s="72"/>
      <c r="J725" s="72"/>
      <c r="K725" s="72"/>
      <c r="L725" s="72"/>
      <c r="M725" s="72"/>
      <c r="N725" s="72"/>
      <c r="O725" s="72"/>
      <c r="P725" s="72"/>
      <c r="Q725" s="72"/>
      <c r="R725" s="72"/>
      <c r="S725" s="72"/>
      <c r="T725" s="72"/>
      <c r="U725" s="72"/>
      <c r="V725" s="72"/>
      <c r="W725" s="72"/>
      <c r="X725" s="72"/>
      <c r="Y725" s="72"/>
      <c r="Z725" s="72"/>
    </row>
    <row r="726" spans="1:26" ht="30" customHeight="1">
      <c r="A726" s="36" t="s">
        <v>1893</v>
      </c>
      <c r="B726" s="37" t="s">
        <v>1894</v>
      </c>
      <c r="C726" s="53"/>
      <c r="D726" s="52"/>
      <c r="E726" s="53"/>
      <c r="F726" s="53"/>
      <c r="G726" s="40">
        <f t="shared" si="280"/>
        <v>0</v>
      </c>
      <c r="H726" s="40"/>
      <c r="I726" s="72"/>
      <c r="J726" s="72"/>
      <c r="K726" s="72"/>
      <c r="L726" s="72"/>
      <c r="M726" s="72"/>
      <c r="N726" s="72"/>
      <c r="O726" s="72"/>
      <c r="P726" s="72"/>
      <c r="Q726" s="72"/>
      <c r="R726" s="72"/>
      <c r="S726" s="72"/>
      <c r="T726" s="72"/>
      <c r="U726" s="72"/>
      <c r="V726" s="72"/>
      <c r="W726" s="72"/>
      <c r="X726" s="72"/>
      <c r="Y726" s="72"/>
      <c r="Z726" s="72"/>
    </row>
    <row r="727" spans="1:26" ht="30" customHeight="1">
      <c r="A727" s="32" t="s">
        <v>1895</v>
      </c>
      <c r="B727" s="41" t="s">
        <v>1896</v>
      </c>
      <c r="C727" s="34">
        <f>SUM(C728:C732)</f>
        <v>0</v>
      </c>
      <c r="D727" s="34"/>
      <c r="E727" s="34">
        <f t="shared" ref="E727:G727" si="281">SUM(E728:E732)</f>
        <v>0</v>
      </c>
      <c r="F727" s="34">
        <f t="shared" si="281"/>
        <v>0</v>
      </c>
      <c r="G727" s="35">
        <f t="shared" si="281"/>
        <v>0</v>
      </c>
      <c r="H727" s="35"/>
      <c r="I727" s="72"/>
      <c r="J727" s="72"/>
      <c r="K727" s="72"/>
      <c r="L727" s="72"/>
      <c r="M727" s="72"/>
      <c r="N727" s="72"/>
      <c r="O727" s="72"/>
      <c r="P727" s="72"/>
      <c r="Q727" s="72"/>
      <c r="R727" s="72"/>
      <c r="S727" s="72"/>
      <c r="T727" s="72"/>
      <c r="U727" s="72"/>
      <c r="V727" s="72"/>
      <c r="W727" s="72"/>
      <c r="X727" s="72"/>
      <c r="Y727" s="72"/>
      <c r="Z727" s="72"/>
    </row>
    <row r="728" spans="1:26" ht="30" customHeight="1">
      <c r="A728" s="36" t="s">
        <v>1897</v>
      </c>
      <c r="B728" s="37" t="s">
        <v>1898</v>
      </c>
      <c r="C728" s="42"/>
      <c r="D728" s="39"/>
      <c r="E728" s="39"/>
      <c r="F728" s="39"/>
      <c r="G728" s="40"/>
      <c r="H728" s="40"/>
      <c r="I728" s="72"/>
      <c r="J728" s="72"/>
      <c r="K728" s="72"/>
      <c r="L728" s="72"/>
      <c r="M728" s="72"/>
      <c r="N728" s="72"/>
      <c r="O728" s="72"/>
      <c r="P728" s="72"/>
      <c r="Q728" s="72"/>
      <c r="R728" s="72"/>
      <c r="S728" s="72"/>
      <c r="T728" s="72"/>
      <c r="U728" s="72"/>
      <c r="V728" s="72"/>
      <c r="W728" s="72"/>
      <c r="X728" s="72"/>
      <c r="Y728" s="72"/>
      <c r="Z728" s="72"/>
    </row>
    <row r="729" spans="1:26" ht="30" customHeight="1">
      <c r="A729" s="36" t="s">
        <v>1899</v>
      </c>
      <c r="B729" s="37" t="s">
        <v>1900</v>
      </c>
      <c r="C729" s="42"/>
      <c r="D729" s="39"/>
      <c r="E729" s="39"/>
      <c r="F729" s="39"/>
      <c r="G729" s="40"/>
      <c r="H729" s="40"/>
      <c r="I729" s="72"/>
      <c r="J729" s="72"/>
      <c r="K729" s="72"/>
      <c r="L729" s="72"/>
      <c r="M729" s="72"/>
      <c r="N729" s="72"/>
      <c r="O729" s="72"/>
      <c r="P729" s="72"/>
      <c r="Q729" s="72"/>
      <c r="R729" s="72"/>
      <c r="S729" s="72"/>
      <c r="T729" s="72"/>
      <c r="U729" s="72"/>
      <c r="V729" s="72"/>
      <c r="W729" s="72"/>
      <c r="X729" s="72"/>
      <c r="Y729" s="72"/>
      <c r="Z729" s="72"/>
    </row>
    <row r="730" spans="1:26" ht="30" customHeight="1">
      <c r="A730" s="36" t="s">
        <v>1901</v>
      </c>
      <c r="B730" s="37" t="s">
        <v>1902</v>
      </c>
      <c r="C730" s="42"/>
      <c r="D730" s="39"/>
      <c r="E730" s="39"/>
      <c r="F730" s="39"/>
      <c r="G730" s="40"/>
      <c r="H730" s="40"/>
      <c r="I730" s="72"/>
      <c r="J730" s="72"/>
      <c r="K730" s="72"/>
      <c r="L730" s="72"/>
      <c r="M730" s="72"/>
      <c r="N730" s="72"/>
      <c r="O730" s="72"/>
      <c r="P730" s="72"/>
      <c r="Q730" s="72"/>
      <c r="R730" s="72"/>
      <c r="S730" s="72"/>
      <c r="T730" s="72"/>
      <c r="U730" s="72"/>
      <c r="V730" s="72"/>
      <c r="W730" s="72"/>
      <c r="X730" s="72"/>
      <c r="Y730" s="72"/>
      <c r="Z730" s="72"/>
    </row>
    <row r="731" spans="1:26" ht="30" customHeight="1">
      <c r="A731" s="36" t="s">
        <v>1903</v>
      </c>
      <c r="B731" s="37" t="s">
        <v>1904</v>
      </c>
      <c r="C731" s="42"/>
      <c r="D731" s="39"/>
      <c r="E731" s="39"/>
      <c r="F731" s="39"/>
      <c r="G731" s="40"/>
      <c r="H731" s="40"/>
      <c r="I731" s="72"/>
      <c r="J731" s="72"/>
      <c r="K731" s="72"/>
      <c r="L731" s="72"/>
      <c r="M731" s="72"/>
      <c r="N731" s="72"/>
      <c r="O731" s="72"/>
      <c r="P731" s="72"/>
      <c r="Q731" s="72"/>
      <c r="R731" s="72"/>
      <c r="S731" s="72"/>
      <c r="T731" s="72"/>
      <c r="U731" s="72"/>
      <c r="V731" s="72"/>
      <c r="W731" s="72"/>
      <c r="X731" s="72"/>
      <c r="Y731" s="72"/>
      <c r="Z731" s="72"/>
    </row>
    <row r="732" spans="1:26" ht="30" customHeight="1">
      <c r="A732" s="36" t="s">
        <v>1905</v>
      </c>
      <c r="B732" s="37" t="s">
        <v>1906</v>
      </c>
      <c r="C732" s="42"/>
      <c r="D732" s="39"/>
      <c r="E732" s="39"/>
      <c r="F732" s="39"/>
      <c r="G732" s="40"/>
      <c r="H732" s="40"/>
      <c r="I732" s="72"/>
      <c r="J732" s="72"/>
      <c r="K732" s="72"/>
      <c r="L732" s="72"/>
      <c r="M732" s="72"/>
      <c r="N732" s="72"/>
      <c r="O732" s="72"/>
      <c r="P732" s="72"/>
      <c r="Q732" s="72"/>
      <c r="R732" s="72"/>
      <c r="S732" s="72"/>
      <c r="T732" s="72"/>
      <c r="U732" s="72"/>
      <c r="V732" s="72"/>
      <c r="W732" s="72"/>
      <c r="X732" s="72"/>
      <c r="Y732" s="72"/>
      <c r="Z732" s="72"/>
    </row>
    <row r="733" spans="1:26" ht="30" customHeight="1">
      <c r="A733" s="32" t="s">
        <v>1907</v>
      </c>
      <c r="B733" s="43" t="s">
        <v>1908</v>
      </c>
      <c r="C733" s="34">
        <f>SUM(C734)</f>
        <v>0</v>
      </c>
      <c r="D733" s="34"/>
      <c r="E733" s="34">
        <f t="shared" ref="E733:G733" si="282">SUM(E734)</f>
        <v>0</v>
      </c>
      <c r="F733" s="34">
        <f t="shared" si="282"/>
        <v>0</v>
      </c>
      <c r="G733" s="35">
        <f t="shared" si="282"/>
        <v>0</v>
      </c>
      <c r="H733" s="35"/>
      <c r="I733" s="72"/>
      <c r="J733" s="72"/>
      <c r="K733" s="72"/>
      <c r="L733" s="72"/>
      <c r="M733" s="72"/>
      <c r="N733" s="72"/>
      <c r="O733" s="72"/>
      <c r="P733" s="72"/>
      <c r="Q733" s="72"/>
      <c r="R733" s="72"/>
      <c r="S733" s="72"/>
      <c r="T733" s="72"/>
      <c r="U733" s="72"/>
      <c r="V733" s="72"/>
      <c r="W733" s="72"/>
      <c r="X733" s="72"/>
      <c r="Y733" s="72"/>
      <c r="Z733" s="72"/>
    </row>
    <row r="734" spans="1:26" ht="30" customHeight="1">
      <c r="A734" s="44" t="s">
        <v>1909</v>
      </c>
      <c r="B734" s="60" t="s">
        <v>1910</v>
      </c>
      <c r="C734" s="39"/>
      <c r="D734" s="39"/>
      <c r="E734" s="39"/>
      <c r="F734" s="39"/>
      <c r="G734" s="40"/>
      <c r="H734" s="40"/>
      <c r="I734" s="72"/>
      <c r="J734" s="72"/>
      <c r="K734" s="72"/>
      <c r="L734" s="72"/>
      <c r="M734" s="72"/>
      <c r="N734" s="72"/>
      <c r="O734" s="72"/>
      <c r="P734" s="72"/>
      <c r="Q734" s="72"/>
      <c r="R734" s="72"/>
      <c r="S734" s="72"/>
      <c r="T734" s="72"/>
      <c r="U734" s="72"/>
      <c r="V734" s="72"/>
      <c r="W734" s="72"/>
      <c r="X734" s="72"/>
      <c r="Y734" s="72"/>
      <c r="Z734" s="72"/>
    </row>
    <row r="735" spans="1:26" ht="30" customHeight="1">
      <c r="A735" s="32" t="s">
        <v>1911</v>
      </c>
      <c r="B735" s="48" t="s">
        <v>1912</v>
      </c>
      <c r="C735" s="34">
        <f>SUM(C736)</f>
        <v>0</v>
      </c>
      <c r="D735" s="34"/>
      <c r="E735" s="34">
        <f t="shared" ref="E735:G735" si="283">SUM(E736)</f>
        <v>0</v>
      </c>
      <c r="F735" s="34">
        <f t="shared" si="283"/>
        <v>0</v>
      </c>
      <c r="G735" s="35">
        <f t="shared" si="283"/>
        <v>0</v>
      </c>
      <c r="H735" s="35"/>
      <c r="I735" s="72"/>
      <c r="J735" s="72"/>
      <c r="K735" s="72"/>
      <c r="L735" s="72"/>
      <c r="M735" s="72"/>
      <c r="N735" s="72"/>
      <c r="O735" s="72"/>
      <c r="P735" s="72"/>
      <c r="Q735" s="72"/>
      <c r="R735" s="72"/>
      <c r="S735" s="72"/>
      <c r="T735" s="72"/>
      <c r="U735" s="72"/>
      <c r="V735" s="72"/>
      <c r="W735" s="72"/>
      <c r="X735" s="72"/>
      <c r="Y735" s="72"/>
      <c r="Z735" s="72"/>
    </row>
    <row r="736" spans="1:26" ht="30" customHeight="1">
      <c r="A736" s="44" t="s">
        <v>1913</v>
      </c>
      <c r="B736" s="54" t="s">
        <v>1912</v>
      </c>
      <c r="C736" s="39"/>
      <c r="D736" s="39"/>
      <c r="E736" s="39"/>
      <c r="F736" s="39"/>
      <c r="G736" s="40"/>
      <c r="H736" s="40"/>
      <c r="I736" s="72"/>
      <c r="J736" s="72"/>
      <c r="K736" s="72"/>
      <c r="L736" s="72"/>
      <c r="M736" s="72"/>
      <c r="N736" s="72"/>
      <c r="O736" s="72"/>
      <c r="P736" s="72"/>
      <c r="Q736" s="72"/>
      <c r="R736" s="72"/>
      <c r="S736" s="72"/>
      <c r="T736" s="72"/>
      <c r="U736" s="72"/>
      <c r="V736" s="72"/>
      <c r="W736" s="72"/>
      <c r="X736" s="72"/>
      <c r="Y736" s="72"/>
      <c r="Z736" s="72"/>
    </row>
    <row r="737" spans="1:26" ht="30" customHeight="1">
      <c r="A737" s="32" t="s">
        <v>1914</v>
      </c>
      <c r="B737" s="33" t="s">
        <v>1915</v>
      </c>
      <c r="C737" s="34">
        <f>SUM(C738:C746)</f>
        <v>6212522.54</v>
      </c>
      <c r="D737" s="34"/>
      <c r="E737" s="34">
        <f t="shared" ref="E737:G737" si="284">SUM(E738:E746)</f>
        <v>3949.96</v>
      </c>
      <c r="F737" s="34">
        <f t="shared" si="284"/>
        <v>0</v>
      </c>
      <c r="G737" s="35">
        <f t="shared" si="284"/>
        <v>3949.96</v>
      </c>
      <c r="H737" s="35"/>
      <c r="I737" s="72"/>
      <c r="J737" s="72"/>
      <c r="K737" s="72"/>
      <c r="L737" s="72"/>
      <c r="M737" s="72"/>
      <c r="N737" s="72"/>
      <c r="O737" s="72"/>
      <c r="P737" s="72"/>
      <c r="Q737" s="72"/>
      <c r="R737" s="72"/>
      <c r="S737" s="72"/>
      <c r="T737" s="72"/>
      <c r="U737" s="72"/>
      <c r="V737" s="72"/>
      <c r="W737" s="72"/>
      <c r="X737" s="72"/>
      <c r="Y737" s="72"/>
      <c r="Z737" s="72"/>
    </row>
    <row r="738" spans="1:26" ht="30" customHeight="1">
      <c r="A738" s="36" t="s">
        <v>1916</v>
      </c>
      <c r="B738" s="37" t="s">
        <v>1917</v>
      </c>
      <c r="C738" s="53"/>
      <c r="D738" s="52"/>
      <c r="E738" s="53"/>
      <c r="F738" s="53"/>
      <c r="G738" s="40">
        <f t="shared" ref="G738:G746" si="285">ROUND(E738-F738,2)</f>
        <v>0</v>
      </c>
      <c r="H738" s="40"/>
      <c r="I738" s="72"/>
      <c r="J738" s="72"/>
      <c r="K738" s="72"/>
      <c r="L738" s="72"/>
      <c r="M738" s="72"/>
      <c r="N738" s="72"/>
      <c r="O738" s="72"/>
      <c r="P738" s="72"/>
      <c r="Q738" s="72"/>
      <c r="R738" s="72"/>
      <c r="S738" s="72"/>
      <c r="T738" s="72"/>
      <c r="U738" s="72"/>
      <c r="V738" s="72"/>
      <c r="W738" s="72"/>
      <c r="X738" s="72"/>
      <c r="Y738" s="72"/>
      <c r="Z738" s="72"/>
    </row>
    <row r="739" spans="1:26" ht="30" customHeight="1">
      <c r="A739" s="36" t="s">
        <v>1918</v>
      </c>
      <c r="B739" s="37" t="s">
        <v>1919</v>
      </c>
      <c r="C739" s="53"/>
      <c r="D739" s="52"/>
      <c r="E739" s="53"/>
      <c r="F739" s="53"/>
      <c r="G739" s="40">
        <f t="shared" si="285"/>
        <v>0</v>
      </c>
      <c r="H739" s="40"/>
      <c r="I739" s="72"/>
      <c r="J739" s="72"/>
      <c r="K739" s="72"/>
      <c r="L739" s="72"/>
      <c r="M739" s="72"/>
      <c r="N739" s="72"/>
      <c r="O739" s="72"/>
      <c r="P739" s="72"/>
      <c r="Q739" s="72"/>
      <c r="R739" s="72"/>
      <c r="S739" s="72"/>
      <c r="T739" s="72"/>
      <c r="U739" s="72"/>
      <c r="V739" s="72"/>
      <c r="W739" s="72"/>
      <c r="X739" s="72"/>
      <c r="Y739" s="72"/>
      <c r="Z739" s="72"/>
    </row>
    <row r="740" spans="1:26" ht="30" customHeight="1">
      <c r="A740" s="36" t="s">
        <v>1920</v>
      </c>
      <c r="B740" s="37" t="s">
        <v>1921</v>
      </c>
      <c r="C740" s="53"/>
      <c r="D740" s="52"/>
      <c r="E740" s="53"/>
      <c r="F740" s="53"/>
      <c r="G740" s="40">
        <f t="shared" si="285"/>
        <v>0</v>
      </c>
      <c r="H740" s="40"/>
      <c r="I740" s="72"/>
      <c r="J740" s="72"/>
      <c r="K740" s="72"/>
      <c r="L740" s="72"/>
      <c r="M740" s="72"/>
      <c r="N740" s="72"/>
      <c r="O740" s="72"/>
      <c r="P740" s="72"/>
      <c r="Q740" s="72"/>
      <c r="R740" s="72"/>
      <c r="S740" s="72"/>
      <c r="T740" s="72"/>
      <c r="U740" s="72"/>
      <c r="V740" s="72"/>
      <c r="W740" s="72"/>
      <c r="X740" s="72"/>
      <c r="Y740" s="72"/>
      <c r="Z740" s="72"/>
    </row>
    <row r="741" spans="1:26" ht="30" customHeight="1">
      <c r="A741" s="36" t="s">
        <v>1922</v>
      </c>
      <c r="B741" s="37" t="s">
        <v>1923</v>
      </c>
      <c r="C741" s="53"/>
      <c r="D741" s="52"/>
      <c r="E741" s="53"/>
      <c r="F741" s="53"/>
      <c r="G741" s="40">
        <f t="shared" si="285"/>
        <v>0</v>
      </c>
      <c r="H741" s="40"/>
      <c r="I741" s="72"/>
      <c r="J741" s="72"/>
      <c r="K741" s="72"/>
      <c r="L741" s="72"/>
      <c r="M741" s="72"/>
      <c r="N741" s="72"/>
      <c r="O741" s="72"/>
      <c r="P741" s="72"/>
      <c r="Q741" s="72"/>
      <c r="R741" s="72"/>
      <c r="S741" s="72"/>
      <c r="T741" s="72"/>
      <c r="U741" s="72"/>
      <c r="V741" s="72"/>
      <c r="W741" s="72"/>
      <c r="X741" s="72"/>
      <c r="Y741" s="72"/>
      <c r="Z741" s="72"/>
    </row>
    <row r="742" spans="1:26" ht="30" customHeight="1">
      <c r="A742" s="36" t="s">
        <v>1924</v>
      </c>
      <c r="B742" s="37" t="s">
        <v>1925</v>
      </c>
      <c r="C742" s="53"/>
      <c r="D742" s="52"/>
      <c r="E742" s="53"/>
      <c r="F742" s="53"/>
      <c r="G742" s="40">
        <f t="shared" si="285"/>
        <v>0</v>
      </c>
      <c r="H742" s="40"/>
      <c r="I742" s="72"/>
      <c r="J742" s="72"/>
      <c r="K742" s="72"/>
      <c r="L742" s="72"/>
      <c r="M742" s="72"/>
      <c r="N742" s="72"/>
      <c r="O742" s="72"/>
      <c r="P742" s="72"/>
      <c r="Q742" s="72"/>
      <c r="R742" s="72"/>
      <c r="S742" s="72"/>
      <c r="T742" s="72"/>
      <c r="U742" s="72"/>
      <c r="V742" s="72"/>
      <c r="W742" s="72"/>
      <c r="X742" s="72"/>
      <c r="Y742" s="72"/>
      <c r="Z742" s="72"/>
    </row>
    <row r="743" spans="1:26" ht="30" customHeight="1">
      <c r="A743" s="36" t="s">
        <v>1926</v>
      </c>
      <c r="B743" s="37" t="s">
        <v>1228</v>
      </c>
      <c r="C743" s="53"/>
      <c r="D743" s="52"/>
      <c r="E743" s="53"/>
      <c r="F743" s="53"/>
      <c r="G743" s="40">
        <f t="shared" si="285"/>
        <v>0</v>
      </c>
      <c r="H743" s="40"/>
      <c r="I743" s="72"/>
      <c r="J743" s="72"/>
      <c r="K743" s="72"/>
      <c r="L743" s="72"/>
      <c r="M743" s="72"/>
      <c r="N743" s="72"/>
      <c r="O743" s="72"/>
      <c r="P743" s="72"/>
      <c r="Q743" s="72"/>
      <c r="R743" s="72"/>
      <c r="S743" s="72"/>
      <c r="T743" s="72"/>
      <c r="U743" s="72"/>
      <c r="V743" s="72"/>
      <c r="W743" s="72"/>
      <c r="X743" s="72"/>
      <c r="Y743" s="72"/>
      <c r="Z743" s="72"/>
    </row>
    <row r="744" spans="1:26" ht="30" customHeight="1">
      <c r="A744" s="36" t="s">
        <v>1927</v>
      </c>
      <c r="B744" s="37" t="s">
        <v>1928</v>
      </c>
      <c r="C744" s="53"/>
      <c r="D744" s="52"/>
      <c r="E744" s="53"/>
      <c r="F744" s="53"/>
      <c r="G744" s="40">
        <f t="shared" si="285"/>
        <v>0</v>
      </c>
      <c r="H744" s="40"/>
      <c r="I744" s="72"/>
      <c r="J744" s="72"/>
      <c r="K744" s="72"/>
      <c r="L744" s="72"/>
      <c r="M744" s="72"/>
      <c r="N744" s="72"/>
      <c r="O744" s="72"/>
      <c r="P744" s="72"/>
      <c r="Q744" s="72"/>
      <c r="R744" s="72"/>
      <c r="S744" s="72"/>
      <c r="T744" s="72"/>
      <c r="U744" s="72"/>
      <c r="V744" s="72"/>
      <c r="W744" s="72"/>
      <c r="X744" s="72"/>
      <c r="Y744" s="72"/>
      <c r="Z744" s="72"/>
    </row>
    <row r="745" spans="1:26" ht="30" customHeight="1">
      <c r="A745" s="36" t="s">
        <v>1929</v>
      </c>
      <c r="B745" s="37" t="s">
        <v>1930</v>
      </c>
      <c r="C745" s="53"/>
      <c r="D745" s="52"/>
      <c r="E745" s="53"/>
      <c r="F745" s="53"/>
      <c r="G745" s="40">
        <f t="shared" si="285"/>
        <v>0</v>
      </c>
      <c r="H745" s="40"/>
      <c r="I745" s="72"/>
      <c r="J745" s="72"/>
      <c r="K745" s="72"/>
      <c r="L745" s="72"/>
      <c r="M745" s="72"/>
      <c r="N745" s="72"/>
      <c r="O745" s="72"/>
      <c r="P745" s="72"/>
      <c r="Q745" s="72"/>
      <c r="R745" s="72"/>
      <c r="S745" s="72"/>
      <c r="T745" s="72"/>
      <c r="U745" s="72"/>
      <c r="V745" s="72"/>
      <c r="W745" s="72"/>
      <c r="X745" s="72"/>
      <c r="Y745" s="72"/>
      <c r="Z745" s="72"/>
    </row>
    <row r="746" spans="1:26" ht="30" customHeight="1">
      <c r="A746" s="36" t="s">
        <v>1931</v>
      </c>
      <c r="B746" s="37" t="s">
        <v>1932</v>
      </c>
      <c r="C746" s="53">
        <v>6212522.54</v>
      </c>
      <c r="D746" s="52"/>
      <c r="E746" s="53">
        <v>3949.96</v>
      </c>
      <c r="F746" s="53"/>
      <c r="G746" s="40">
        <f t="shared" si="285"/>
        <v>3949.96</v>
      </c>
      <c r="H746" s="40"/>
      <c r="I746" s="72"/>
      <c r="J746" s="72"/>
      <c r="K746" s="72"/>
      <c r="L746" s="72"/>
      <c r="M746" s="72"/>
      <c r="N746" s="72"/>
      <c r="O746" s="72"/>
      <c r="P746" s="72"/>
      <c r="Q746" s="72"/>
      <c r="R746" s="72"/>
      <c r="S746" s="72"/>
      <c r="T746" s="72"/>
      <c r="U746" s="72"/>
      <c r="V746" s="72"/>
      <c r="W746" s="72"/>
      <c r="X746" s="72"/>
      <c r="Y746" s="72"/>
      <c r="Z746" s="72"/>
    </row>
    <row r="747" spans="1:26" ht="30" customHeight="1">
      <c r="A747" s="28" t="s">
        <v>1933</v>
      </c>
      <c r="B747" s="47" t="s">
        <v>1934</v>
      </c>
      <c r="C747" s="30">
        <f>C748</f>
        <v>0</v>
      </c>
      <c r="D747" s="30"/>
      <c r="E747" s="30">
        <f t="shared" ref="E747:G747" si="286">E748</f>
        <v>0</v>
      </c>
      <c r="F747" s="30">
        <f t="shared" si="286"/>
        <v>0</v>
      </c>
      <c r="G747" s="31">
        <f t="shared" si="286"/>
        <v>0</v>
      </c>
      <c r="H747" s="31"/>
      <c r="I747" s="72"/>
      <c r="J747" s="72"/>
      <c r="K747" s="72"/>
      <c r="L747" s="72"/>
      <c r="M747" s="72"/>
      <c r="N747" s="72"/>
      <c r="O747" s="72"/>
      <c r="P747" s="72"/>
      <c r="Q747" s="72"/>
      <c r="R747" s="72"/>
      <c r="S747" s="72"/>
      <c r="T747" s="72"/>
      <c r="U747" s="72"/>
      <c r="V747" s="72"/>
      <c r="W747" s="72"/>
      <c r="X747" s="72"/>
      <c r="Y747" s="72"/>
      <c r="Z747" s="72"/>
    </row>
    <row r="748" spans="1:26" ht="30" customHeight="1">
      <c r="A748" s="32" t="s">
        <v>1935</v>
      </c>
      <c r="B748" s="48" t="s">
        <v>1936</v>
      </c>
      <c r="C748" s="34">
        <f>SUM(C749)</f>
        <v>0</v>
      </c>
      <c r="D748" s="34"/>
      <c r="E748" s="34">
        <f t="shared" ref="E748:G748" si="287">SUM(E749)</f>
        <v>0</v>
      </c>
      <c r="F748" s="34">
        <f t="shared" si="287"/>
        <v>0</v>
      </c>
      <c r="G748" s="35">
        <f t="shared" si="287"/>
        <v>0</v>
      </c>
      <c r="H748" s="35"/>
      <c r="I748" s="72"/>
      <c r="J748" s="72"/>
      <c r="K748" s="72"/>
      <c r="L748" s="72"/>
      <c r="M748" s="72"/>
      <c r="N748" s="72"/>
      <c r="O748" s="72"/>
      <c r="P748" s="72"/>
      <c r="Q748" s="72"/>
      <c r="R748" s="72"/>
      <c r="S748" s="72"/>
      <c r="T748" s="72"/>
      <c r="U748" s="72"/>
      <c r="V748" s="72"/>
      <c r="W748" s="72"/>
      <c r="X748" s="72"/>
      <c r="Y748" s="72"/>
      <c r="Z748" s="72"/>
    </row>
    <row r="749" spans="1:26" ht="30" customHeight="1">
      <c r="A749" s="44" t="s">
        <v>1937</v>
      </c>
      <c r="B749" s="45" t="s">
        <v>1938</v>
      </c>
      <c r="C749" s="53"/>
      <c r="D749" s="52"/>
      <c r="E749" s="53"/>
      <c r="F749" s="53"/>
      <c r="G749" s="40">
        <f>ROUND(E749-F749,2)</f>
        <v>0</v>
      </c>
      <c r="H749" s="40"/>
      <c r="I749" s="72"/>
      <c r="J749" s="72"/>
      <c r="K749" s="72"/>
      <c r="L749" s="72"/>
      <c r="M749" s="72"/>
      <c r="N749" s="72"/>
      <c r="O749" s="72"/>
      <c r="P749" s="72"/>
      <c r="Q749" s="72"/>
      <c r="R749" s="72"/>
      <c r="S749" s="72"/>
      <c r="T749" s="72"/>
      <c r="U749" s="72"/>
      <c r="V749" s="72"/>
      <c r="W749" s="72"/>
      <c r="X749" s="72"/>
      <c r="Y749" s="72"/>
      <c r="Z749" s="72"/>
    </row>
    <row r="750" spans="1:26" ht="30" customHeight="1">
      <c r="A750" s="23" t="s">
        <v>1939</v>
      </c>
      <c r="B750" s="24" t="s">
        <v>1940</v>
      </c>
      <c r="C750" s="26">
        <f t="shared" ref="C750:H750" si="288">SUM(C751:C753)</f>
        <v>2121149963.2400017</v>
      </c>
      <c r="D750" s="26">
        <f t="shared" si="288"/>
        <v>0</v>
      </c>
      <c r="E750" s="26">
        <f t="shared" si="288"/>
        <v>4179415006.9700012</v>
      </c>
      <c r="F750" s="26">
        <f t="shared" si="288"/>
        <v>0</v>
      </c>
      <c r="G750" s="26">
        <f t="shared" si="288"/>
        <v>4179415006.9699998</v>
      </c>
      <c r="H750" s="26">
        <f t="shared" si="288"/>
        <v>0</v>
      </c>
      <c r="I750" s="27"/>
      <c r="J750" s="27"/>
      <c r="K750" s="27"/>
      <c r="L750" s="27"/>
      <c r="M750" s="27"/>
      <c r="N750" s="27"/>
      <c r="O750" s="27"/>
      <c r="P750" s="27"/>
      <c r="Q750" s="27"/>
      <c r="R750" s="27"/>
      <c r="S750" s="27"/>
      <c r="T750" s="27"/>
      <c r="U750" s="27"/>
      <c r="V750" s="27"/>
      <c r="W750" s="27"/>
      <c r="X750" s="27"/>
      <c r="Y750" s="27"/>
      <c r="Z750" s="27"/>
    </row>
    <row r="751" spans="1:26" ht="30" customHeight="1">
      <c r="A751" s="28" t="s">
        <v>1941</v>
      </c>
      <c r="B751" s="47" t="s">
        <v>1942</v>
      </c>
      <c r="C751" s="39"/>
      <c r="D751" s="39"/>
      <c r="E751" s="39"/>
      <c r="F751" s="39"/>
      <c r="G751" s="39"/>
      <c r="H751" s="39"/>
      <c r="I751" s="27"/>
      <c r="J751" s="27"/>
      <c r="K751" s="27"/>
      <c r="L751" s="27"/>
      <c r="M751" s="27"/>
      <c r="N751" s="27"/>
      <c r="O751" s="27"/>
      <c r="P751" s="27"/>
      <c r="Q751" s="27"/>
      <c r="R751" s="27"/>
      <c r="S751" s="27"/>
      <c r="T751" s="27"/>
      <c r="U751" s="27"/>
      <c r="V751" s="27"/>
      <c r="W751" s="27"/>
      <c r="X751" s="27"/>
      <c r="Y751" s="27"/>
      <c r="Z751" s="27"/>
    </row>
    <row r="752" spans="1:26" ht="30" customHeight="1">
      <c r="A752" s="28" t="s">
        <v>1943</v>
      </c>
      <c r="B752" s="47" t="s">
        <v>1944</v>
      </c>
      <c r="C752" s="39">
        <f>IF(D197&gt;C390,D197-C390,0)</f>
        <v>2121149963.2400017</v>
      </c>
      <c r="D752" s="39"/>
      <c r="E752" s="39">
        <f>IF((F197-E197)&gt;(E390-F390),((F197-E197)-(E390-F390)),0)</f>
        <v>4179415006.9700012</v>
      </c>
      <c r="F752" s="39"/>
      <c r="G752" s="39">
        <f>ROUND(E752,2)</f>
        <v>4179415006.9699998</v>
      </c>
      <c r="H752" s="39"/>
      <c r="I752" s="27"/>
      <c r="J752" s="27"/>
      <c r="K752" s="27"/>
      <c r="L752" s="27"/>
      <c r="M752" s="27"/>
      <c r="N752" s="27"/>
      <c r="O752" s="27"/>
      <c r="P752" s="27"/>
      <c r="Q752" s="27"/>
      <c r="R752" s="27"/>
      <c r="S752" s="27"/>
      <c r="T752" s="27"/>
      <c r="U752" s="27"/>
      <c r="V752" s="27"/>
      <c r="W752" s="27"/>
      <c r="X752" s="27"/>
      <c r="Y752" s="27"/>
      <c r="Z752" s="27"/>
    </row>
    <row r="753" spans="1:26" ht="30" customHeight="1">
      <c r="A753" s="28" t="s">
        <v>1945</v>
      </c>
      <c r="B753" s="47" t="s">
        <v>1946</v>
      </c>
      <c r="C753" s="39"/>
      <c r="D753" s="39">
        <f>IF(C390&gt;D197,C390-D197,0)</f>
        <v>0</v>
      </c>
      <c r="E753" s="39"/>
      <c r="F753" s="39">
        <f>IF((E390-F390)&gt;(F197-E197),((E390-F390)-(F197-E197)),0)</f>
        <v>0</v>
      </c>
      <c r="G753" s="39"/>
      <c r="H753" s="39">
        <f>ROUND(F753,2)</f>
        <v>0</v>
      </c>
      <c r="I753" s="27"/>
      <c r="J753" s="27"/>
      <c r="K753" s="27"/>
      <c r="L753" s="27"/>
      <c r="M753" s="27"/>
      <c r="N753" s="27"/>
      <c r="O753" s="27"/>
      <c r="P753" s="27"/>
      <c r="Q753" s="27"/>
      <c r="R753" s="27"/>
      <c r="S753" s="27"/>
      <c r="T753" s="27"/>
      <c r="U753" s="27"/>
      <c r="V753" s="27"/>
      <c r="W753" s="27"/>
      <c r="X753" s="27"/>
      <c r="Y753" s="27"/>
      <c r="Z753" s="27"/>
    </row>
    <row r="754" spans="1:26" ht="30" customHeight="1">
      <c r="A754" s="87" t="s">
        <v>1947</v>
      </c>
      <c r="B754" s="88" t="s">
        <v>1948</v>
      </c>
      <c r="C754" s="89">
        <f t="shared" ref="C754:H754" si="289">C3+C101+C173+C197+C390+C750</f>
        <v>25252401517.320004</v>
      </c>
      <c r="D754" s="89">
        <f t="shared" si="289"/>
        <v>25252401517.320007</v>
      </c>
      <c r="E754" s="89">
        <f t="shared" si="289"/>
        <v>56900791886.130005</v>
      </c>
      <c r="F754" s="89">
        <f t="shared" si="289"/>
        <v>56900791886.130005</v>
      </c>
      <c r="G754" s="89">
        <f t="shared" si="289"/>
        <v>26599322197.720001</v>
      </c>
      <c r="H754" s="89">
        <f t="shared" si="289"/>
        <v>26599322197.720001</v>
      </c>
    </row>
    <row r="755" spans="1:26" ht="30" customHeight="1">
      <c r="A755" s="23">
        <v>70000</v>
      </c>
      <c r="B755" s="24" t="s">
        <v>1949</v>
      </c>
      <c r="C755" s="25">
        <f t="shared" ref="C755:H755" si="290">C756+C763++C770+C777+C780+C783+C788</f>
        <v>0</v>
      </c>
      <c r="D755" s="25">
        <f t="shared" si="290"/>
        <v>0</v>
      </c>
      <c r="E755" s="25">
        <f t="shared" si="290"/>
        <v>0</v>
      </c>
      <c r="F755" s="25">
        <f t="shared" si="290"/>
        <v>0</v>
      </c>
      <c r="G755" s="25">
        <f t="shared" si="290"/>
        <v>0</v>
      </c>
      <c r="H755" s="25">
        <f t="shared" si="290"/>
        <v>0</v>
      </c>
      <c r="I755" s="60"/>
      <c r="J755" s="60"/>
      <c r="K755" s="60"/>
      <c r="L755" s="60"/>
      <c r="M755" s="60"/>
      <c r="N755" s="60"/>
      <c r="O755" s="60"/>
      <c r="P755" s="60"/>
      <c r="Q755" s="60"/>
      <c r="R755" s="60"/>
      <c r="S755" s="60"/>
      <c r="T755" s="60"/>
      <c r="U755" s="60"/>
      <c r="V755" s="60"/>
      <c r="W755" s="60"/>
      <c r="X755" s="60"/>
      <c r="Y755" s="60"/>
      <c r="Z755" s="60"/>
    </row>
    <row r="756" spans="1:26" ht="30" customHeight="1">
      <c r="A756" s="28">
        <v>71000</v>
      </c>
      <c r="B756" s="90" t="s">
        <v>1950</v>
      </c>
      <c r="C756" s="30">
        <f t="shared" ref="C756:H756" si="291">SUM(C757:C762)</f>
        <v>0</v>
      </c>
      <c r="D756" s="30">
        <f t="shared" si="291"/>
        <v>0</v>
      </c>
      <c r="E756" s="30">
        <f t="shared" si="291"/>
        <v>0</v>
      </c>
      <c r="F756" s="30">
        <f t="shared" si="291"/>
        <v>0</v>
      </c>
      <c r="G756" s="30">
        <f t="shared" si="291"/>
        <v>0</v>
      </c>
      <c r="H756" s="30">
        <f t="shared" si="291"/>
        <v>0</v>
      </c>
      <c r="I756" s="60"/>
      <c r="J756" s="60"/>
      <c r="K756" s="60"/>
      <c r="L756" s="60"/>
      <c r="M756" s="60"/>
      <c r="N756" s="60"/>
      <c r="O756" s="60"/>
      <c r="P756" s="60"/>
      <c r="Q756" s="60"/>
      <c r="R756" s="60"/>
      <c r="S756" s="60"/>
      <c r="T756" s="60"/>
      <c r="U756" s="60"/>
      <c r="V756" s="60"/>
      <c r="W756" s="60"/>
      <c r="X756" s="60"/>
      <c r="Y756" s="60"/>
      <c r="Z756" s="60"/>
    </row>
    <row r="757" spans="1:26" ht="30" customHeight="1">
      <c r="A757" s="73">
        <v>71100</v>
      </c>
      <c r="B757" s="91" t="s">
        <v>1951</v>
      </c>
      <c r="C757" s="53"/>
      <c r="D757" s="39"/>
      <c r="E757" s="53"/>
      <c r="F757" s="53"/>
      <c r="G757" s="40">
        <f>ROUND(C757+E757-F757,2)</f>
        <v>0</v>
      </c>
      <c r="H757" s="40"/>
      <c r="I757" s="60"/>
      <c r="J757" s="60"/>
      <c r="K757" s="60"/>
      <c r="L757" s="60"/>
      <c r="M757" s="60"/>
      <c r="N757" s="60"/>
      <c r="O757" s="60"/>
      <c r="P757" s="60"/>
      <c r="Q757" s="60"/>
      <c r="R757" s="60"/>
      <c r="S757" s="60"/>
      <c r="T757" s="60"/>
      <c r="U757" s="60"/>
      <c r="V757" s="60"/>
      <c r="W757" s="60"/>
      <c r="X757" s="60"/>
      <c r="Y757" s="60"/>
      <c r="Z757" s="60"/>
    </row>
    <row r="758" spans="1:26" ht="30" customHeight="1">
      <c r="A758" s="73">
        <v>71200</v>
      </c>
      <c r="B758" s="91" t="s">
        <v>1952</v>
      </c>
      <c r="C758" s="42"/>
      <c r="D758" s="53"/>
      <c r="E758" s="53"/>
      <c r="F758" s="53"/>
      <c r="G758" s="40"/>
      <c r="H758" s="40">
        <f>ROUND(D758+F758-E758,2)</f>
        <v>0</v>
      </c>
      <c r="I758" s="60"/>
      <c r="J758" s="60"/>
      <c r="K758" s="60"/>
      <c r="L758" s="60"/>
      <c r="M758" s="60"/>
      <c r="N758" s="60"/>
      <c r="O758" s="60"/>
      <c r="P758" s="60"/>
      <c r="Q758" s="60"/>
      <c r="R758" s="60"/>
      <c r="S758" s="60"/>
      <c r="T758" s="60"/>
      <c r="U758" s="60"/>
      <c r="V758" s="60"/>
      <c r="W758" s="60"/>
      <c r="X758" s="60"/>
      <c r="Y758" s="60"/>
      <c r="Z758" s="60"/>
    </row>
    <row r="759" spans="1:26" ht="30" customHeight="1">
      <c r="A759" s="73">
        <v>71300</v>
      </c>
      <c r="B759" s="91" t="s">
        <v>1953</v>
      </c>
      <c r="C759" s="53"/>
      <c r="D759" s="39"/>
      <c r="E759" s="53"/>
      <c r="F759" s="53"/>
      <c r="G759" s="40">
        <f>ROUND(C759+E759-F759,2)</f>
        <v>0</v>
      </c>
      <c r="H759" s="40"/>
      <c r="I759" s="60"/>
      <c r="J759" s="60"/>
      <c r="K759" s="60"/>
      <c r="L759" s="60"/>
      <c r="M759" s="60"/>
      <c r="N759" s="60"/>
      <c r="O759" s="60"/>
      <c r="P759" s="60"/>
      <c r="Q759" s="60"/>
      <c r="R759" s="60"/>
      <c r="S759" s="60"/>
      <c r="T759" s="60"/>
      <c r="U759" s="60"/>
      <c r="V759" s="60"/>
      <c r="W759" s="60"/>
      <c r="X759" s="60"/>
      <c r="Y759" s="60"/>
      <c r="Z759" s="60"/>
    </row>
    <row r="760" spans="1:26" ht="30" customHeight="1">
      <c r="A760" s="73">
        <v>71400</v>
      </c>
      <c r="B760" s="91" t="s">
        <v>1954</v>
      </c>
      <c r="C760" s="42"/>
      <c r="D760" s="53"/>
      <c r="E760" s="53"/>
      <c r="F760" s="53"/>
      <c r="G760" s="40"/>
      <c r="H760" s="40">
        <f>ROUND(D760+F760-E760,2)</f>
        <v>0</v>
      </c>
      <c r="I760" s="60"/>
      <c r="J760" s="60"/>
      <c r="K760" s="60"/>
      <c r="L760" s="60"/>
      <c r="M760" s="60"/>
      <c r="N760" s="60"/>
      <c r="O760" s="60"/>
      <c r="P760" s="60"/>
      <c r="Q760" s="60"/>
      <c r="R760" s="60"/>
      <c r="S760" s="60"/>
      <c r="T760" s="60"/>
      <c r="U760" s="60"/>
      <c r="V760" s="60"/>
      <c r="W760" s="60"/>
      <c r="X760" s="60"/>
      <c r="Y760" s="60"/>
      <c r="Z760" s="60"/>
    </row>
    <row r="761" spans="1:26" ht="30" customHeight="1">
      <c r="A761" s="73">
        <v>71500</v>
      </c>
      <c r="B761" s="91" t="s">
        <v>1955</v>
      </c>
      <c r="C761" s="53"/>
      <c r="D761" s="39"/>
      <c r="E761" s="53"/>
      <c r="F761" s="53"/>
      <c r="G761" s="40">
        <f>ROUND(C761+E761-F761,2)</f>
        <v>0</v>
      </c>
      <c r="H761" s="40"/>
      <c r="I761" s="60"/>
      <c r="J761" s="60"/>
      <c r="K761" s="60"/>
      <c r="L761" s="60"/>
      <c r="M761" s="60"/>
      <c r="N761" s="60"/>
      <c r="O761" s="60"/>
      <c r="P761" s="60"/>
      <c r="Q761" s="60"/>
      <c r="R761" s="60"/>
      <c r="S761" s="60"/>
      <c r="T761" s="60"/>
      <c r="U761" s="60"/>
      <c r="V761" s="60"/>
      <c r="W761" s="60"/>
      <c r="X761" s="60"/>
      <c r="Y761" s="60"/>
      <c r="Z761" s="60"/>
    </row>
    <row r="762" spans="1:26" ht="30" customHeight="1">
      <c r="A762" s="73">
        <v>71600</v>
      </c>
      <c r="B762" s="91" t="s">
        <v>1956</v>
      </c>
      <c r="C762" s="42"/>
      <c r="D762" s="53"/>
      <c r="E762" s="53"/>
      <c r="F762" s="53"/>
      <c r="G762" s="40"/>
      <c r="H762" s="40">
        <f>ROUND(D762+F762-E762,2)</f>
        <v>0</v>
      </c>
      <c r="I762" s="60"/>
      <c r="J762" s="60"/>
      <c r="K762" s="60"/>
      <c r="L762" s="60"/>
      <c r="M762" s="60"/>
      <c r="N762" s="60"/>
      <c r="O762" s="60"/>
      <c r="P762" s="60"/>
      <c r="Q762" s="60"/>
      <c r="R762" s="60"/>
      <c r="S762" s="60"/>
      <c r="T762" s="60"/>
      <c r="U762" s="60"/>
      <c r="V762" s="60"/>
      <c r="W762" s="60"/>
      <c r="X762" s="60"/>
      <c r="Y762" s="60"/>
      <c r="Z762" s="60"/>
    </row>
    <row r="763" spans="1:26" ht="30" customHeight="1">
      <c r="A763" s="28">
        <v>72000</v>
      </c>
      <c r="B763" s="90" t="s">
        <v>1957</v>
      </c>
      <c r="C763" s="30">
        <f t="shared" ref="C763:H763" si="292">SUM(C764:C769)</f>
        <v>0</v>
      </c>
      <c r="D763" s="30">
        <f t="shared" si="292"/>
        <v>0</v>
      </c>
      <c r="E763" s="30">
        <f t="shared" si="292"/>
        <v>0</v>
      </c>
      <c r="F763" s="30">
        <f t="shared" si="292"/>
        <v>0</v>
      </c>
      <c r="G763" s="30">
        <f t="shared" si="292"/>
        <v>0</v>
      </c>
      <c r="H763" s="30">
        <f t="shared" si="292"/>
        <v>0</v>
      </c>
      <c r="I763" s="60"/>
      <c r="J763" s="60"/>
      <c r="K763" s="60"/>
      <c r="L763" s="60"/>
      <c r="M763" s="60"/>
      <c r="N763" s="60"/>
      <c r="O763" s="60"/>
      <c r="P763" s="60"/>
      <c r="Q763" s="60"/>
      <c r="R763" s="60"/>
      <c r="S763" s="60"/>
      <c r="T763" s="60"/>
      <c r="U763" s="60"/>
      <c r="V763" s="60"/>
      <c r="W763" s="60"/>
      <c r="X763" s="60"/>
      <c r="Y763" s="60"/>
      <c r="Z763" s="60"/>
    </row>
    <row r="764" spans="1:26" ht="30" customHeight="1">
      <c r="A764" s="73">
        <v>72100</v>
      </c>
      <c r="B764" s="91" t="s">
        <v>1958</v>
      </c>
      <c r="C764" s="53"/>
      <c r="D764" s="39"/>
      <c r="E764" s="53"/>
      <c r="F764" s="53"/>
      <c r="G764" s="40">
        <f>ROUND(C764+E764-F764,2)</f>
        <v>0</v>
      </c>
      <c r="H764" s="40"/>
      <c r="I764" s="60"/>
      <c r="J764" s="60"/>
      <c r="K764" s="60"/>
      <c r="L764" s="60"/>
      <c r="M764" s="60"/>
      <c r="N764" s="60"/>
      <c r="O764" s="60"/>
      <c r="P764" s="60"/>
      <c r="Q764" s="60"/>
      <c r="R764" s="60"/>
      <c r="S764" s="60"/>
      <c r="T764" s="60"/>
      <c r="U764" s="60"/>
      <c r="V764" s="60"/>
      <c r="W764" s="60"/>
      <c r="X764" s="60"/>
      <c r="Y764" s="60"/>
      <c r="Z764" s="60"/>
    </row>
    <row r="765" spans="1:26" ht="30" customHeight="1">
      <c r="A765" s="73">
        <v>72200</v>
      </c>
      <c r="B765" s="91" t="s">
        <v>1959</v>
      </c>
      <c r="C765" s="42"/>
      <c r="D765" s="39"/>
      <c r="E765" s="39"/>
      <c r="F765" s="39"/>
      <c r="G765" s="40"/>
      <c r="H765" s="40"/>
      <c r="I765" s="60"/>
      <c r="J765" s="60"/>
      <c r="K765" s="60"/>
      <c r="L765" s="60"/>
      <c r="M765" s="60"/>
      <c r="N765" s="60"/>
      <c r="O765" s="60"/>
      <c r="P765" s="60"/>
      <c r="Q765" s="60"/>
      <c r="R765" s="60"/>
      <c r="S765" s="60"/>
      <c r="T765" s="60"/>
      <c r="U765" s="60"/>
      <c r="V765" s="60"/>
      <c r="W765" s="60"/>
      <c r="X765" s="60"/>
      <c r="Y765" s="60"/>
      <c r="Z765" s="60"/>
    </row>
    <row r="766" spans="1:26" ht="30" customHeight="1">
      <c r="A766" s="73">
        <v>72300</v>
      </c>
      <c r="B766" s="91" t="s">
        <v>1960</v>
      </c>
      <c r="C766" s="42"/>
      <c r="D766" s="53"/>
      <c r="E766" s="53"/>
      <c r="F766" s="53"/>
      <c r="G766" s="40"/>
      <c r="H766" s="40">
        <f>ROUND(D766+F766-E766,2)</f>
        <v>0</v>
      </c>
      <c r="I766" s="60"/>
      <c r="J766" s="60"/>
      <c r="K766" s="60"/>
      <c r="L766" s="60"/>
      <c r="M766" s="60"/>
      <c r="N766" s="60"/>
      <c r="O766" s="60"/>
      <c r="P766" s="60"/>
      <c r="Q766" s="60"/>
      <c r="R766" s="60"/>
      <c r="S766" s="60"/>
      <c r="T766" s="60"/>
      <c r="U766" s="60"/>
      <c r="V766" s="60"/>
      <c r="W766" s="60"/>
      <c r="X766" s="60"/>
      <c r="Y766" s="60"/>
      <c r="Z766" s="60"/>
    </row>
    <row r="767" spans="1:26" ht="30" customHeight="1">
      <c r="A767" s="73">
        <v>72400</v>
      </c>
      <c r="B767" s="91" t="s">
        <v>1961</v>
      </c>
      <c r="C767" s="53"/>
      <c r="D767" s="39"/>
      <c r="E767" s="53"/>
      <c r="F767" s="53"/>
      <c r="G767" s="40">
        <f>ROUND(C767+E767-F767,2)</f>
        <v>0</v>
      </c>
      <c r="H767" s="40"/>
      <c r="I767" s="60"/>
      <c r="J767" s="60"/>
      <c r="K767" s="60"/>
      <c r="L767" s="60"/>
      <c r="M767" s="60"/>
      <c r="N767" s="60"/>
      <c r="O767" s="60"/>
      <c r="P767" s="60"/>
      <c r="Q767" s="60"/>
      <c r="R767" s="60"/>
      <c r="S767" s="60"/>
      <c r="T767" s="60"/>
      <c r="U767" s="60"/>
      <c r="V767" s="60"/>
      <c r="W767" s="60"/>
      <c r="X767" s="60"/>
      <c r="Y767" s="60"/>
      <c r="Z767" s="60"/>
    </row>
    <row r="768" spans="1:26" ht="30" customHeight="1">
      <c r="A768" s="73">
        <v>72500</v>
      </c>
      <c r="B768" s="91" t="s">
        <v>1962</v>
      </c>
      <c r="C768" s="42"/>
      <c r="D768" s="39"/>
      <c r="E768" s="39"/>
      <c r="F768" s="39"/>
      <c r="G768" s="40"/>
      <c r="H768" s="40"/>
      <c r="I768" s="60"/>
      <c r="J768" s="60"/>
      <c r="K768" s="60"/>
      <c r="L768" s="60"/>
      <c r="M768" s="60"/>
      <c r="N768" s="60"/>
      <c r="O768" s="60"/>
      <c r="P768" s="60"/>
      <c r="Q768" s="60"/>
      <c r="R768" s="60"/>
      <c r="S768" s="60"/>
      <c r="T768" s="60"/>
      <c r="U768" s="60"/>
      <c r="V768" s="60"/>
      <c r="W768" s="60"/>
      <c r="X768" s="60"/>
      <c r="Y768" s="60"/>
      <c r="Z768" s="60"/>
    </row>
    <row r="769" spans="1:26" ht="30" customHeight="1">
      <c r="A769" s="73">
        <v>72600</v>
      </c>
      <c r="B769" s="91" t="s">
        <v>1963</v>
      </c>
      <c r="C769" s="42"/>
      <c r="D769" s="53"/>
      <c r="E769" s="53"/>
      <c r="F769" s="53"/>
      <c r="G769" s="40"/>
      <c r="H769" s="40">
        <f>ROUND(D769+F769-E769,2)</f>
        <v>0</v>
      </c>
      <c r="I769" s="60"/>
      <c r="J769" s="60"/>
      <c r="K769" s="60"/>
      <c r="L769" s="60"/>
      <c r="M769" s="60"/>
      <c r="N769" s="60"/>
      <c r="O769" s="60"/>
      <c r="P769" s="60"/>
      <c r="Q769" s="60"/>
      <c r="R769" s="60"/>
      <c r="S769" s="60"/>
      <c r="T769" s="60"/>
      <c r="U769" s="60"/>
      <c r="V769" s="60"/>
      <c r="W769" s="60"/>
      <c r="X769" s="60"/>
      <c r="Y769" s="60"/>
      <c r="Z769" s="60"/>
    </row>
    <row r="770" spans="1:26" ht="30" customHeight="1">
      <c r="A770" s="28">
        <v>73000</v>
      </c>
      <c r="B770" s="90" t="s">
        <v>1964</v>
      </c>
      <c r="C770" s="30">
        <f t="shared" ref="C770:H770" si="293">SUM(C771:C776)</f>
        <v>0</v>
      </c>
      <c r="D770" s="30">
        <f t="shared" si="293"/>
        <v>0</v>
      </c>
      <c r="E770" s="30">
        <f t="shared" si="293"/>
        <v>0</v>
      </c>
      <c r="F770" s="30">
        <f t="shared" si="293"/>
        <v>0</v>
      </c>
      <c r="G770" s="30">
        <f t="shared" si="293"/>
        <v>0</v>
      </c>
      <c r="H770" s="30">
        <f t="shared" si="293"/>
        <v>0</v>
      </c>
      <c r="I770" s="60"/>
      <c r="J770" s="60"/>
      <c r="K770" s="60"/>
      <c r="L770" s="60"/>
      <c r="M770" s="60"/>
      <c r="N770" s="60"/>
      <c r="O770" s="60"/>
      <c r="P770" s="60"/>
      <c r="Q770" s="60"/>
      <c r="R770" s="60"/>
      <c r="S770" s="60"/>
      <c r="T770" s="60"/>
      <c r="U770" s="60"/>
      <c r="V770" s="60"/>
      <c r="W770" s="60"/>
      <c r="X770" s="60"/>
      <c r="Y770" s="60"/>
      <c r="Z770" s="60"/>
    </row>
    <row r="771" spans="1:26" ht="30" customHeight="1">
      <c r="A771" s="73">
        <v>73100</v>
      </c>
      <c r="B771" s="91" t="s">
        <v>1965</v>
      </c>
      <c r="C771" s="53"/>
      <c r="D771" s="39"/>
      <c r="E771" s="53"/>
      <c r="F771" s="53"/>
      <c r="G771" s="40">
        <f>ROUND(C771+E771-F771,2)</f>
        <v>0</v>
      </c>
      <c r="H771" s="40"/>
      <c r="I771" s="60"/>
      <c r="J771" s="60"/>
      <c r="K771" s="60"/>
      <c r="L771" s="60"/>
      <c r="M771" s="60"/>
      <c r="N771" s="60"/>
      <c r="O771" s="60"/>
      <c r="P771" s="60"/>
      <c r="Q771" s="60"/>
      <c r="R771" s="60"/>
      <c r="S771" s="60"/>
      <c r="T771" s="60"/>
      <c r="U771" s="60"/>
      <c r="V771" s="60"/>
      <c r="W771" s="60"/>
      <c r="X771" s="60"/>
      <c r="Y771" s="60"/>
      <c r="Z771" s="60"/>
    </row>
    <row r="772" spans="1:26" ht="30" customHeight="1">
      <c r="A772" s="73">
        <v>73200</v>
      </c>
      <c r="B772" s="91" t="s">
        <v>1966</v>
      </c>
      <c r="C772" s="42"/>
      <c r="D772" s="53"/>
      <c r="E772" s="53"/>
      <c r="F772" s="53"/>
      <c r="G772" s="40"/>
      <c r="H772" s="40">
        <f>ROUND(D772+F772-E772,2)</f>
        <v>0</v>
      </c>
      <c r="I772" s="60"/>
      <c r="J772" s="60"/>
      <c r="K772" s="60"/>
      <c r="L772" s="60"/>
      <c r="M772" s="60"/>
      <c r="N772" s="60"/>
      <c r="O772" s="60"/>
      <c r="P772" s="60"/>
      <c r="Q772" s="60"/>
      <c r="R772" s="60"/>
      <c r="S772" s="60"/>
      <c r="T772" s="60"/>
      <c r="U772" s="60"/>
      <c r="V772" s="60"/>
      <c r="W772" s="60"/>
      <c r="X772" s="60"/>
      <c r="Y772" s="60"/>
      <c r="Z772" s="60"/>
    </row>
    <row r="773" spans="1:26" ht="30" customHeight="1">
      <c r="A773" s="73">
        <v>73300</v>
      </c>
      <c r="B773" s="91" t="s">
        <v>1967</v>
      </c>
      <c r="C773" s="53"/>
      <c r="D773" s="39"/>
      <c r="E773" s="53"/>
      <c r="F773" s="53"/>
      <c r="G773" s="40">
        <f>ROUND(C773+E773-F773,2)</f>
        <v>0</v>
      </c>
      <c r="H773" s="40"/>
      <c r="I773" s="60"/>
      <c r="J773" s="60"/>
      <c r="K773" s="60"/>
      <c r="L773" s="60"/>
      <c r="M773" s="60"/>
      <c r="N773" s="60"/>
      <c r="O773" s="60"/>
      <c r="P773" s="60"/>
      <c r="Q773" s="60"/>
      <c r="R773" s="60"/>
      <c r="S773" s="60"/>
      <c r="T773" s="60"/>
      <c r="U773" s="60"/>
      <c r="V773" s="60"/>
      <c r="W773" s="60"/>
      <c r="X773" s="60"/>
      <c r="Y773" s="60"/>
      <c r="Z773" s="60"/>
    </row>
    <row r="774" spans="1:26" ht="30" customHeight="1">
      <c r="A774" s="73">
        <v>73400</v>
      </c>
      <c r="B774" s="91" t="s">
        <v>1968</v>
      </c>
      <c r="C774" s="42"/>
      <c r="D774" s="53"/>
      <c r="E774" s="53"/>
      <c r="F774" s="53"/>
      <c r="G774" s="40"/>
      <c r="H774" s="40">
        <f>ROUND(D774+F774-E774,2)</f>
        <v>0</v>
      </c>
      <c r="I774" s="60"/>
      <c r="J774" s="60"/>
      <c r="K774" s="60"/>
      <c r="L774" s="60"/>
      <c r="M774" s="60"/>
      <c r="N774" s="60"/>
      <c r="O774" s="60"/>
      <c r="P774" s="60"/>
      <c r="Q774" s="60"/>
      <c r="R774" s="60"/>
      <c r="S774" s="60"/>
      <c r="T774" s="60"/>
      <c r="U774" s="60"/>
      <c r="V774" s="60"/>
      <c r="W774" s="60"/>
      <c r="X774" s="60"/>
      <c r="Y774" s="60"/>
      <c r="Z774" s="60"/>
    </row>
    <row r="775" spans="1:26" ht="30" customHeight="1">
      <c r="A775" s="73">
        <v>73500</v>
      </c>
      <c r="B775" s="91" t="s">
        <v>1969</v>
      </c>
      <c r="C775" s="53"/>
      <c r="D775" s="39"/>
      <c r="E775" s="53"/>
      <c r="F775" s="53"/>
      <c r="G775" s="40">
        <f>ROUND(C775+E775-F775,2)</f>
        <v>0</v>
      </c>
      <c r="H775" s="40"/>
      <c r="I775" s="60"/>
      <c r="J775" s="60"/>
      <c r="K775" s="60"/>
      <c r="L775" s="60"/>
      <c r="M775" s="60"/>
      <c r="N775" s="60"/>
      <c r="O775" s="60"/>
      <c r="P775" s="60"/>
      <c r="Q775" s="60"/>
      <c r="R775" s="60"/>
      <c r="S775" s="60"/>
      <c r="T775" s="60"/>
      <c r="U775" s="60"/>
      <c r="V775" s="60"/>
      <c r="W775" s="60"/>
      <c r="X775" s="60"/>
      <c r="Y775" s="60"/>
      <c r="Z775" s="60"/>
    </row>
    <row r="776" spans="1:26" ht="30" customHeight="1">
      <c r="A776" s="73">
        <v>73600</v>
      </c>
      <c r="B776" s="91" t="s">
        <v>1970</v>
      </c>
      <c r="C776" s="42"/>
      <c r="D776" s="53"/>
      <c r="E776" s="53"/>
      <c r="F776" s="53"/>
      <c r="G776" s="40"/>
      <c r="H776" s="40">
        <f>ROUND(D776+F776-E776,2)</f>
        <v>0</v>
      </c>
      <c r="I776" s="60"/>
      <c r="J776" s="60"/>
      <c r="K776" s="60"/>
      <c r="L776" s="60"/>
      <c r="M776" s="60"/>
      <c r="N776" s="60"/>
      <c r="O776" s="60"/>
      <c r="P776" s="60"/>
      <c r="Q776" s="60"/>
      <c r="R776" s="60"/>
      <c r="S776" s="60"/>
      <c r="T776" s="60"/>
      <c r="U776" s="60"/>
      <c r="V776" s="60"/>
      <c r="W776" s="60"/>
      <c r="X776" s="60"/>
      <c r="Y776" s="60"/>
      <c r="Z776" s="60"/>
    </row>
    <row r="777" spans="1:26" ht="30" customHeight="1">
      <c r="A777" s="28">
        <v>74000</v>
      </c>
      <c r="B777" s="90" t="s">
        <v>1971</v>
      </c>
      <c r="C777" s="30">
        <f t="shared" ref="C777:H777" si="294">SUM(C778:C779)</f>
        <v>0</v>
      </c>
      <c r="D777" s="30">
        <f t="shared" si="294"/>
        <v>0</v>
      </c>
      <c r="E777" s="30">
        <f t="shared" si="294"/>
        <v>0</v>
      </c>
      <c r="F777" s="30">
        <f t="shared" si="294"/>
        <v>0</v>
      </c>
      <c r="G777" s="30">
        <f t="shared" si="294"/>
        <v>0</v>
      </c>
      <c r="H777" s="30">
        <f t="shared" si="294"/>
        <v>0</v>
      </c>
      <c r="I777" s="60"/>
      <c r="J777" s="60"/>
      <c r="K777" s="60"/>
      <c r="L777" s="60"/>
      <c r="M777" s="60"/>
      <c r="N777" s="60"/>
      <c r="O777" s="60"/>
      <c r="P777" s="60"/>
      <c r="Q777" s="60"/>
      <c r="R777" s="60"/>
      <c r="S777" s="60"/>
      <c r="T777" s="60"/>
      <c r="U777" s="60"/>
      <c r="V777" s="60"/>
      <c r="W777" s="60"/>
      <c r="X777" s="60"/>
      <c r="Y777" s="60"/>
      <c r="Z777" s="60"/>
    </row>
    <row r="778" spans="1:26" ht="30" customHeight="1">
      <c r="A778" s="73">
        <v>74100</v>
      </c>
      <c r="B778" s="91" t="s">
        <v>1972</v>
      </c>
      <c r="C778" s="53"/>
      <c r="D778" s="39"/>
      <c r="E778" s="53"/>
      <c r="F778" s="53"/>
      <c r="G778" s="40">
        <f>ROUND(C778+E778-F778,2)</f>
        <v>0</v>
      </c>
      <c r="H778" s="40"/>
      <c r="I778" s="60"/>
      <c r="J778" s="60"/>
      <c r="K778" s="60"/>
      <c r="L778" s="60"/>
      <c r="M778" s="60"/>
      <c r="N778" s="60"/>
      <c r="O778" s="60"/>
      <c r="P778" s="60"/>
      <c r="Q778" s="60"/>
      <c r="R778" s="60"/>
      <c r="S778" s="60"/>
      <c r="T778" s="60"/>
      <c r="U778" s="60"/>
      <c r="V778" s="60"/>
      <c r="W778" s="60"/>
      <c r="X778" s="60"/>
      <c r="Y778" s="60"/>
      <c r="Z778" s="60"/>
    </row>
    <row r="779" spans="1:26" ht="30" customHeight="1">
      <c r="A779" s="73">
        <v>74200</v>
      </c>
      <c r="B779" s="91" t="s">
        <v>1973</v>
      </c>
      <c r="C779" s="42"/>
      <c r="D779" s="53"/>
      <c r="E779" s="53"/>
      <c r="F779" s="53"/>
      <c r="G779" s="40"/>
      <c r="H779" s="40">
        <f>ROUND(D779+F779-E779,2)</f>
        <v>0</v>
      </c>
      <c r="I779" s="60"/>
      <c r="J779" s="60"/>
      <c r="K779" s="60"/>
      <c r="L779" s="60"/>
      <c r="M779" s="60"/>
      <c r="N779" s="60"/>
      <c r="O779" s="60"/>
      <c r="P779" s="60"/>
      <c r="Q779" s="60"/>
      <c r="R779" s="60"/>
      <c r="S779" s="60"/>
      <c r="T779" s="60"/>
      <c r="U779" s="60"/>
      <c r="V779" s="60"/>
      <c r="W779" s="60"/>
      <c r="X779" s="60"/>
      <c r="Y779" s="60"/>
      <c r="Z779" s="60"/>
    </row>
    <row r="780" spans="1:26" ht="30" customHeight="1">
      <c r="A780" s="28">
        <v>75000</v>
      </c>
      <c r="B780" s="90" t="s">
        <v>1974</v>
      </c>
      <c r="C780" s="30">
        <f t="shared" ref="C780:H780" si="295">SUM(C781:C782)</f>
        <v>0</v>
      </c>
      <c r="D780" s="30">
        <f t="shared" si="295"/>
        <v>0</v>
      </c>
      <c r="E780" s="30">
        <f t="shared" si="295"/>
        <v>0</v>
      </c>
      <c r="F780" s="30">
        <f t="shared" si="295"/>
        <v>0</v>
      </c>
      <c r="G780" s="30">
        <f t="shared" si="295"/>
        <v>0</v>
      </c>
      <c r="H780" s="30">
        <f t="shared" si="295"/>
        <v>0</v>
      </c>
      <c r="I780" s="60"/>
      <c r="J780" s="60"/>
      <c r="K780" s="60"/>
      <c r="L780" s="60"/>
      <c r="M780" s="60"/>
      <c r="N780" s="60"/>
      <c r="O780" s="60"/>
      <c r="P780" s="60"/>
      <c r="Q780" s="60"/>
      <c r="R780" s="60"/>
      <c r="S780" s="60"/>
      <c r="T780" s="60"/>
      <c r="U780" s="60"/>
      <c r="V780" s="60"/>
      <c r="W780" s="60"/>
      <c r="X780" s="60"/>
      <c r="Y780" s="60"/>
      <c r="Z780" s="60"/>
    </row>
    <row r="781" spans="1:26" ht="30" customHeight="1">
      <c r="A781" s="73">
        <v>75100</v>
      </c>
      <c r="B781" s="91" t="s">
        <v>1975</v>
      </c>
      <c r="C781" s="53"/>
      <c r="D781" s="39"/>
      <c r="E781" s="53"/>
      <c r="F781" s="53"/>
      <c r="G781" s="40">
        <f>ROUND(C781+E781-F781,2)</f>
        <v>0</v>
      </c>
      <c r="H781" s="40"/>
      <c r="I781" s="60"/>
      <c r="J781" s="60"/>
      <c r="K781" s="60"/>
      <c r="L781" s="60"/>
      <c r="M781" s="60"/>
      <c r="N781" s="60"/>
      <c r="O781" s="60"/>
      <c r="P781" s="60"/>
      <c r="Q781" s="60"/>
      <c r="R781" s="60"/>
      <c r="S781" s="60"/>
      <c r="T781" s="60"/>
      <c r="U781" s="60"/>
      <c r="V781" s="60"/>
      <c r="W781" s="60"/>
      <c r="X781" s="60"/>
      <c r="Y781" s="60"/>
      <c r="Z781" s="60"/>
    </row>
    <row r="782" spans="1:26" ht="30" customHeight="1">
      <c r="A782" s="73">
        <v>75200</v>
      </c>
      <c r="B782" s="91" t="s">
        <v>1976</v>
      </c>
      <c r="C782" s="42"/>
      <c r="D782" s="53"/>
      <c r="E782" s="53"/>
      <c r="F782" s="53"/>
      <c r="G782" s="40"/>
      <c r="H782" s="40">
        <f>ROUND(D782+F782-E782,2)</f>
        <v>0</v>
      </c>
      <c r="I782" s="60"/>
      <c r="J782" s="60"/>
      <c r="K782" s="60"/>
      <c r="L782" s="60"/>
      <c r="M782" s="60"/>
      <c r="N782" s="60"/>
      <c r="O782" s="60"/>
      <c r="P782" s="60"/>
      <c r="Q782" s="60"/>
      <c r="R782" s="60"/>
      <c r="S782" s="60"/>
      <c r="T782" s="60"/>
      <c r="U782" s="60"/>
      <c r="V782" s="60"/>
      <c r="W782" s="60"/>
      <c r="X782" s="60"/>
      <c r="Y782" s="60"/>
      <c r="Z782" s="60"/>
    </row>
    <row r="783" spans="1:26" ht="30" customHeight="1">
      <c r="A783" s="28">
        <v>76000</v>
      </c>
      <c r="B783" s="90" t="s">
        <v>1977</v>
      </c>
      <c r="C783" s="30">
        <f t="shared" ref="C783:H783" si="296">SUM(C784:C787)</f>
        <v>0</v>
      </c>
      <c r="D783" s="30">
        <f t="shared" si="296"/>
        <v>0</v>
      </c>
      <c r="E783" s="30">
        <f t="shared" si="296"/>
        <v>0</v>
      </c>
      <c r="F783" s="30">
        <f t="shared" si="296"/>
        <v>0</v>
      </c>
      <c r="G783" s="30">
        <f t="shared" si="296"/>
        <v>0</v>
      </c>
      <c r="H783" s="30">
        <f t="shared" si="296"/>
        <v>0</v>
      </c>
      <c r="I783" s="60"/>
      <c r="J783" s="60"/>
      <c r="K783" s="60"/>
      <c r="L783" s="60"/>
      <c r="M783" s="60"/>
      <c r="N783" s="60"/>
      <c r="O783" s="60"/>
      <c r="P783" s="60"/>
      <c r="Q783" s="60"/>
      <c r="R783" s="60"/>
      <c r="S783" s="60"/>
      <c r="T783" s="60"/>
      <c r="U783" s="60"/>
      <c r="V783" s="60"/>
      <c r="W783" s="60"/>
      <c r="X783" s="60"/>
      <c r="Y783" s="60"/>
      <c r="Z783" s="60"/>
    </row>
    <row r="784" spans="1:26" ht="30" customHeight="1">
      <c r="A784" s="73">
        <v>76100</v>
      </c>
      <c r="B784" s="91" t="s">
        <v>1978</v>
      </c>
      <c r="C784" s="53"/>
      <c r="D784" s="39"/>
      <c r="E784" s="53"/>
      <c r="F784" s="53"/>
      <c r="G784" s="40">
        <f>ROUND(C784+E784-F784,2)</f>
        <v>0</v>
      </c>
      <c r="H784" s="40"/>
      <c r="I784" s="60"/>
      <c r="J784" s="60"/>
      <c r="K784" s="60"/>
      <c r="L784" s="60"/>
      <c r="M784" s="60"/>
      <c r="N784" s="60"/>
      <c r="O784" s="60"/>
      <c r="P784" s="60"/>
      <c r="Q784" s="60"/>
      <c r="R784" s="60"/>
      <c r="S784" s="60"/>
      <c r="T784" s="60"/>
      <c r="U784" s="60"/>
      <c r="V784" s="60"/>
      <c r="W784" s="60"/>
      <c r="X784" s="60"/>
      <c r="Y784" s="60"/>
      <c r="Z784" s="60"/>
    </row>
    <row r="785" spans="1:26" ht="30" customHeight="1">
      <c r="A785" s="73">
        <v>76200</v>
      </c>
      <c r="B785" s="91" t="s">
        <v>1979</v>
      </c>
      <c r="C785" s="42"/>
      <c r="D785" s="53"/>
      <c r="E785" s="53"/>
      <c r="F785" s="53"/>
      <c r="G785" s="40"/>
      <c r="H785" s="40">
        <f>ROUND(D785+F785-E785,2)</f>
        <v>0</v>
      </c>
      <c r="I785" s="60"/>
      <c r="J785" s="60"/>
      <c r="K785" s="60"/>
      <c r="L785" s="60"/>
      <c r="M785" s="60"/>
      <c r="N785" s="60"/>
      <c r="O785" s="60"/>
      <c r="P785" s="60"/>
      <c r="Q785" s="60"/>
      <c r="R785" s="60"/>
      <c r="S785" s="60"/>
      <c r="T785" s="60"/>
      <c r="U785" s="60"/>
      <c r="V785" s="60"/>
      <c r="W785" s="60"/>
      <c r="X785" s="60"/>
      <c r="Y785" s="60"/>
      <c r="Z785" s="60"/>
    </row>
    <row r="786" spans="1:26" ht="30" customHeight="1">
      <c r="A786" s="73">
        <v>76300</v>
      </c>
      <c r="B786" s="91" t="s">
        <v>1980</v>
      </c>
      <c r="C786" s="53"/>
      <c r="D786" s="39"/>
      <c r="E786" s="53"/>
      <c r="F786" s="53"/>
      <c r="G786" s="40">
        <f>ROUND(C786+E786-F786,2)</f>
        <v>0</v>
      </c>
      <c r="H786" s="40"/>
      <c r="I786" s="60"/>
      <c r="J786" s="60"/>
      <c r="K786" s="60"/>
      <c r="L786" s="60"/>
      <c r="M786" s="60"/>
      <c r="N786" s="60"/>
      <c r="O786" s="60"/>
      <c r="P786" s="60"/>
      <c r="Q786" s="60"/>
      <c r="R786" s="60"/>
      <c r="S786" s="60"/>
      <c r="T786" s="60"/>
      <c r="U786" s="60"/>
      <c r="V786" s="60"/>
      <c r="W786" s="60"/>
      <c r="X786" s="60"/>
      <c r="Y786" s="60"/>
      <c r="Z786" s="60"/>
    </row>
    <row r="787" spans="1:26" ht="30" customHeight="1">
      <c r="A787" s="73">
        <v>76400</v>
      </c>
      <c r="B787" s="91" t="s">
        <v>1981</v>
      </c>
      <c r="C787" s="42"/>
      <c r="D787" s="53"/>
      <c r="E787" s="53"/>
      <c r="F787" s="53"/>
      <c r="G787" s="40"/>
      <c r="H787" s="40">
        <f>ROUND(D787+F787-E787,2)</f>
        <v>0</v>
      </c>
      <c r="I787" s="60"/>
      <c r="J787" s="60"/>
      <c r="K787" s="60"/>
      <c r="L787" s="60"/>
      <c r="M787" s="60"/>
      <c r="N787" s="60"/>
      <c r="O787" s="60"/>
      <c r="P787" s="60"/>
      <c r="Q787" s="60"/>
      <c r="R787" s="60"/>
      <c r="S787" s="60"/>
      <c r="T787" s="60"/>
      <c r="U787" s="60"/>
      <c r="V787" s="60"/>
      <c r="W787" s="60"/>
      <c r="X787" s="60"/>
      <c r="Y787" s="60"/>
      <c r="Z787" s="60"/>
    </row>
    <row r="788" spans="1:26" ht="30" customHeight="1">
      <c r="A788" s="28">
        <v>77000</v>
      </c>
      <c r="B788" s="90" t="s">
        <v>1982</v>
      </c>
      <c r="C788" s="30">
        <f t="shared" ref="C788:H788" si="297">SUM(C789:C792)</f>
        <v>0</v>
      </c>
      <c r="D788" s="30">
        <f t="shared" si="297"/>
        <v>0</v>
      </c>
      <c r="E788" s="30">
        <f t="shared" si="297"/>
        <v>0</v>
      </c>
      <c r="F788" s="30">
        <f t="shared" si="297"/>
        <v>0</v>
      </c>
      <c r="G788" s="30">
        <f t="shared" si="297"/>
        <v>0</v>
      </c>
      <c r="H788" s="30">
        <f t="shared" si="297"/>
        <v>0</v>
      </c>
      <c r="I788" s="60"/>
      <c r="J788" s="60"/>
      <c r="K788" s="60"/>
      <c r="L788" s="60"/>
      <c r="M788" s="60"/>
      <c r="N788" s="60"/>
      <c r="O788" s="60"/>
      <c r="P788" s="60"/>
      <c r="Q788" s="60"/>
      <c r="R788" s="60"/>
      <c r="S788" s="60"/>
      <c r="T788" s="60"/>
      <c r="U788" s="60"/>
      <c r="V788" s="60"/>
      <c r="W788" s="60"/>
      <c r="X788" s="60"/>
      <c r="Y788" s="60"/>
      <c r="Z788" s="60"/>
    </row>
    <row r="789" spans="1:26" ht="30" customHeight="1">
      <c r="A789" s="73">
        <v>77100</v>
      </c>
      <c r="B789" s="91" t="s">
        <v>1983</v>
      </c>
      <c r="C789" s="53"/>
      <c r="D789" s="39"/>
      <c r="E789" s="53"/>
      <c r="F789" s="53"/>
      <c r="G789" s="40">
        <f t="shared" ref="G789:G791" si="298">ROUND(C789+E789-F789,2)</f>
        <v>0</v>
      </c>
      <c r="H789" s="40"/>
      <c r="I789" s="60"/>
      <c r="J789" s="60"/>
      <c r="K789" s="60"/>
      <c r="L789" s="60"/>
      <c r="M789" s="60"/>
      <c r="N789" s="60"/>
      <c r="O789" s="60"/>
      <c r="P789" s="60"/>
      <c r="Q789" s="60"/>
      <c r="R789" s="60"/>
      <c r="S789" s="60"/>
      <c r="T789" s="60"/>
      <c r="U789" s="60"/>
      <c r="V789" s="60"/>
      <c r="W789" s="60"/>
      <c r="X789" s="60"/>
      <c r="Y789" s="60"/>
      <c r="Z789" s="60"/>
    </row>
    <row r="790" spans="1:26" ht="30" customHeight="1">
      <c r="A790" s="73">
        <v>77200</v>
      </c>
      <c r="B790" s="91" t="s">
        <v>1984</v>
      </c>
      <c r="C790" s="53"/>
      <c r="D790" s="39"/>
      <c r="E790" s="53"/>
      <c r="F790" s="53"/>
      <c r="G790" s="40">
        <f t="shared" si="298"/>
        <v>0</v>
      </c>
      <c r="H790" s="40"/>
      <c r="I790" s="60"/>
      <c r="J790" s="60"/>
      <c r="K790" s="60"/>
      <c r="L790" s="60"/>
      <c r="M790" s="60"/>
      <c r="N790" s="60"/>
      <c r="O790" s="60"/>
      <c r="P790" s="60"/>
      <c r="Q790" s="60"/>
      <c r="R790" s="60"/>
      <c r="S790" s="60"/>
      <c r="T790" s="60"/>
      <c r="U790" s="60"/>
      <c r="V790" s="60"/>
      <c r="W790" s="60"/>
      <c r="X790" s="60"/>
      <c r="Y790" s="60"/>
      <c r="Z790" s="60"/>
    </row>
    <row r="791" spans="1:26" ht="30" customHeight="1">
      <c r="A791" s="73">
        <v>77300</v>
      </c>
      <c r="B791" s="91" t="s">
        <v>1985</v>
      </c>
      <c r="C791" s="53"/>
      <c r="D791" s="39"/>
      <c r="E791" s="53"/>
      <c r="F791" s="53"/>
      <c r="G791" s="40">
        <f t="shared" si="298"/>
        <v>0</v>
      </c>
      <c r="H791" s="40"/>
      <c r="I791" s="60"/>
      <c r="J791" s="60"/>
      <c r="K791" s="60"/>
      <c r="L791" s="60"/>
      <c r="M791" s="60"/>
      <c r="N791" s="60"/>
      <c r="O791" s="60"/>
      <c r="P791" s="60"/>
      <c r="Q791" s="60"/>
      <c r="R791" s="60"/>
      <c r="S791" s="60"/>
      <c r="T791" s="60"/>
      <c r="U791" s="60"/>
      <c r="V791" s="60"/>
      <c r="W791" s="60"/>
      <c r="X791" s="60"/>
      <c r="Y791" s="60"/>
      <c r="Z791" s="60"/>
    </row>
    <row r="792" spans="1:26" ht="30" customHeight="1">
      <c r="A792" s="73">
        <v>77400</v>
      </c>
      <c r="B792" s="91" t="s">
        <v>1986</v>
      </c>
      <c r="C792" s="42"/>
      <c r="D792" s="53"/>
      <c r="E792" s="53"/>
      <c r="F792" s="53"/>
      <c r="G792" s="40"/>
      <c r="H792" s="40">
        <f>ROUND(D792+F792-E792,2)</f>
        <v>0</v>
      </c>
      <c r="I792" s="60"/>
      <c r="J792" s="60"/>
      <c r="K792" s="60"/>
      <c r="L792" s="60"/>
      <c r="M792" s="60"/>
      <c r="N792" s="60"/>
      <c r="O792" s="60"/>
      <c r="P792" s="60"/>
      <c r="Q792" s="60"/>
      <c r="R792" s="60"/>
      <c r="S792" s="60"/>
      <c r="T792" s="60"/>
      <c r="U792" s="60"/>
      <c r="V792" s="60"/>
      <c r="W792" s="60"/>
      <c r="X792" s="60"/>
      <c r="Y792" s="60"/>
      <c r="Z792" s="60"/>
    </row>
    <row r="793" spans="1:26" ht="30" customHeight="1">
      <c r="A793" s="87" t="s">
        <v>1947</v>
      </c>
      <c r="B793" s="88" t="s">
        <v>1987</v>
      </c>
      <c r="C793" s="89">
        <f t="shared" ref="C793:H793" si="299">C755</f>
        <v>0</v>
      </c>
      <c r="D793" s="89">
        <f t="shared" si="299"/>
        <v>0</v>
      </c>
      <c r="E793" s="89">
        <f t="shared" si="299"/>
        <v>0</v>
      </c>
      <c r="F793" s="89">
        <f t="shared" si="299"/>
        <v>0</v>
      </c>
      <c r="G793" s="89">
        <f t="shared" si="299"/>
        <v>0</v>
      </c>
      <c r="H793" s="89">
        <f t="shared" si="299"/>
        <v>0</v>
      </c>
    </row>
    <row r="794" spans="1:26" ht="30" hidden="1" customHeight="1">
      <c r="A794" s="23">
        <v>80000</v>
      </c>
      <c r="B794" s="46" t="s">
        <v>1988</v>
      </c>
      <c r="C794" s="25"/>
      <c r="D794" s="25"/>
      <c r="E794" s="25">
        <f t="shared" ref="E794:H794" si="300">E795+E1266</f>
        <v>67077685115.289993</v>
      </c>
      <c r="F794" s="25">
        <f t="shared" si="300"/>
        <v>67077685115.289993</v>
      </c>
      <c r="G794" s="25">
        <f t="shared" si="300"/>
        <v>25085448507.259995</v>
      </c>
      <c r="H794" s="25">
        <f t="shared" si="300"/>
        <v>25085448507.259998</v>
      </c>
      <c r="I794" s="60"/>
      <c r="J794" s="60"/>
      <c r="K794" s="60"/>
      <c r="L794" s="60"/>
      <c r="M794" s="60"/>
      <c r="N794" s="60"/>
      <c r="O794" s="60"/>
      <c r="P794" s="60"/>
      <c r="Q794" s="60"/>
      <c r="R794" s="60"/>
      <c r="S794" s="60"/>
      <c r="T794" s="60"/>
      <c r="U794" s="60"/>
      <c r="V794" s="60"/>
      <c r="W794" s="60"/>
      <c r="X794" s="60"/>
      <c r="Y794" s="60"/>
      <c r="Z794" s="60"/>
    </row>
    <row r="795" spans="1:26" ht="30" hidden="1" customHeight="1">
      <c r="A795" s="28">
        <v>81000</v>
      </c>
      <c r="B795" s="47" t="s">
        <v>1989</v>
      </c>
      <c r="C795" s="30"/>
      <c r="D795" s="30"/>
      <c r="E795" s="30">
        <f t="shared" ref="E795:H795" si="301">E796+E890+E984+E1078+E1172</f>
        <v>26685824435.269997</v>
      </c>
      <c r="F795" s="30">
        <f t="shared" si="301"/>
        <v>26685824435.27</v>
      </c>
      <c r="G795" s="30">
        <f t="shared" si="301"/>
        <v>12542724253.629999</v>
      </c>
      <c r="H795" s="30">
        <f t="shared" si="301"/>
        <v>12542724253.630001</v>
      </c>
      <c r="I795" s="60"/>
      <c r="J795" s="60"/>
      <c r="K795" s="60"/>
      <c r="L795" s="60"/>
      <c r="M795" s="60"/>
      <c r="N795" s="60"/>
      <c r="O795" s="60"/>
      <c r="P795" s="60"/>
      <c r="Q795" s="60"/>
      <c r="R795" s="60"/>
      <c r="S795" s="60"/>
      <c r="T795" s="60"/>
      <c r="U795" s="60"/>
      <c r="V795" s="60"/>
      <c r="W795" s="60"/>
      <c r="X795" s="60"/>
      <c r="Y795" s="60"/>
      <c r="Z795" s="60"/>
    </row>
    <row r="796" spans="1:26" ht="30" hidden="1" customHeight="1">
      <c r="A796" s="32">
        <v>81100</v>
      </c>
      <c r="B796" s="34" t="s">
        <v>1990</v>
      </c>
      <c r="C796" s="34"/>
      <c r="D796" s="34"/>
      <c r="E796" s="34">
        <f t="shared" ref="E796:F796" si="302">E797+E807+E813+E816+E823+E827+E832+E842+E874+E884</f>
        <v>12491139903.439999</v>
      </c>
      <c r="F796" s="34">
        <f t="shared" si="302"/>
        <v>0</v>
      </c>
      <c r="G796" s="35">
        <f>E796-F796</f>
        <v>12491139903.439999</v>
      </c>
      <c r="H796" s="35"/>
      <c r="I796" s="60"/>
      <c r="J796" s="60"/>
      <c r="K796" s="60"/>
      <c r="L796" s="60"/>
      <c r="M796" s="60"/>
      <c r="N796" s="60"/>
      <c r="O796" s="60"/>
      <c r="P796" s="60"/>
      <c r="Q796" s="60"/>
      <c r="R796" s="60"/>
      <c r="S796" s="60"/>
      <c r="T796" s="60"/>
      <c r="U796" s="60"/>
      <c r="V796" s="60"/>
      <c r="W796" s="60"/>
      <c r="X796" s="60"/>
      <c r="Y796" s="60"/>
      <c r="Z796" s="60"/>
    </row>
    <row r="797" spans="1:26" ht="30" hidden="1" customHeight="1">
      <c r="A797" s="92" t="s">
        <v>1991</v>
      </c>
      <c r="B797" s="93" t="s">
        <v>1992</v>
      </c>
      <c r="C797" s="94"/>
      <c r="D797" s="94"/>
      <c r="E797" s="94">
        <f t="shared" ref="E797:G797" si="303">SUM(E798:E806)</f>
        <v>3098766955.1999998</v>
      </c>
      <c r="F797" s="94">
        <f t="shared" si="303"/>
        <v>0</v>
      </c>
      <c r="G797" s="94">
        <f t="shared" si="303"/>
        <v>3098766955.1999998</v>
      </c>
      <c r="H797" s="94"/>
      <c r="I797" s="60"/>
      <c r="J797" s="60"/>
      <c r="K797" s="60"/>
      <c r="L797" s="60"/>
      <c r="M797" s="60"/>
      <c r="N797" s="60"/>
      <c r="O797" s="60"/>
      <c r="P797" s="60"/>
      <c r="Q797" s="60"/>
      <c r="R797" s="60"/>
      <c r="S797" s="60"/>
      <c r="T797" s="60"/>
      <c r="U797" s="60"/>
      <c r="V797" s="60"/>
      <c r="W797" s="60"/>
      <c r="X797" s="60"/>
      <c r="Y797" s="60"/>
      <c r="Z797" s="60"/>
    </row>
    <row r="798" spans="1:26" ht="30" hidden="1" customHeight="1">
      <c r="A798" s="95" t="s">
        <v>1993</v>
      </c>
      <c r="B798" s="51" t="s">
        <v>899</v>
      </c>
      <c r="C798" s="96"/>
      <c r="D798" s="96"/>
      <c r="E798" s="53">
        <v>37762263.240000002</v>
      </c>
      <c r="F798" s="53"/>
      <c r="G798" s="96">
        <f t="shared" ref="G798:G800" si="304">ROUND(E798-F798,2)</f>
        <v>37762263.240000002</v>
      </c>
      <c r="H798" s="96"/>
      <c r="I798" s="60"/>
      <c r="J798" s="60"/>
      <c r="K798" s="60"/>
      <c r="L798" s="60"/>
      <c r="M798" s="60"/>
      <c r="N798" s="60"/>
      <c r="O798" s="60"/>
      <c r="P798" s="60"/>
      <c r="Q798" s="60"/>
      <c r="R798" s="60"/>
      <c r="S798" s="60"/>
      <c r="T798" s="60"/>
      <c r="U798" s="60"/>
      <c r="V798" s="60"/>
      <c r="W798" s="60"/>
      <c r="X798" s="60"/>
      <c r="Y798" s="60"/>
      <c r="Z798" s="60"/>
    </row>
    <row r="799" spans="1:26" ht="30" hidden="1" customHeight="1">
      <c r="A799" s="95" t="s">
        <v>1994</v>
      </c>
      <c r="B799" s="51" t="s">
        <v>1995</v>
      </c>
      <c r="C799" s="96"/>
      <c r="D799" s="96"/>
      <c r="E799" s="53">
        <v>2828929198.1599998</v>
      </c>
      <c r="F799" s="53"/>
      <c r="G799" s="96">
        <f t="shared" si="304"/>
        <v>2828929198.1599998</v>
      </c>
      <c r="H799" s="96"/>
      <c r="I799" s="60"/>
      <c r="J799" s="60"/>
      <c r="K799" s="60"/>
      <c r="L799" s="60"/>
      <c r="M799" s="60"/>
      <c r="N799" s="60"/>
      <c r="O799" s="60"/>
      <c r="P799" s="60"/>
      <c r="Q799" s="60"/>
      <c r="R799" s="60"/>
      <c r="S799" s="60"/>
      <c r="T799" s="60"/>
      <c r="U799" s="60"/>
      <c r="V799" s="60"/>
      <c r="W799" s="60"/>
      <c r="X799" s="60"/>
      <c r="Y799" s="60"/>
      <c r="Z799" s="60"/>
    </row>
    <row r="800" spans="1:26" ht="30" hidden="1" customHeight="1">
      <c r="A800" s="95" t="s">
        <v>1996</v>
      </c>
      <c r="B800" s="51" t="s">
        <v>1997</v>
      </c>
      <c r="C800" s="96"/>
      <c r="D800" s="96"/>
      <c r="E800" s="53"/>
      <c r="F800" s="53"/>
      <c r="G800" s="96">
        <f t="shared" si="304"/>
        <v>0</v>
      </c>
      <c r="H800" s="96"/>
      <c r="I800" s="60"/>
      <c r="J800" s="60"/>
      <c r="K800" s="60"/>
      <c r="L800" s="60"/>
      <c r="M800" s="60"/>
      <c r="N800" s="60"/>
      <c r="O800" s="60"/>
      <c r="P800" s="60"/>
      <c r="Q800" s="60"/>
      <c r="R800" s="60"/>
      <c r="S800" s="60"/>
      <c r="T800" s="60"/>
      <c r="U800" s="60"/>
      <c r="V800" s="60"/>
      <c r="W800" s="60"/>
      <c r="X800" s="60"/>
      <c r="Y800" s="60"/>
      <c r="Z800" s="60"/>
    </row>
    <row r="801" spans="1:26" ht="30" hidden="1" customHeight="1">
      <c r="A801" s="95" t="s">
        <v>1998</v>
      </c>
      <c r="B801" s="51" t="s">
        <v>912</v>
      </c>
      <c r="C801" s="96"/>
      <c r="D801" s="96"/>
      <c r="E801" s="96"/>
      <c r="F801" s="96"/>
      <c r="G801" s="96">
        <f>E801-F801</f>
        <v>0</v>
      </c>
      <c r="H801" s="96"/>
      <c r="I801" s="60"/>
      <c r="J801" s="60"/>
      <c r="K801" s="60"/>
      <c r="L801" s="60"/>
      <c r="M801" s="60"/>
      <c r="N801" s="60"/>
      <c r="O801" s="60"/>
      <c r="P801" s="60"/>
      <c r="Q801" s="60"/>
      <c r="R801" s="60"/>
      <c r="S801" s="60"/>
      <c r="T801" s="60"/>
      <c r="U801" s="60"/>
      <c r="V801" s="60"/>
      <c r="W801" s="60"/>
      <c r="X801" s="60"/>
      <c r="Y801" s="60"/>
      <c r="Z801" s="60"/>
    </row>
    <row r="802" spans="1:26" ht="30" hidden="1" customHeight="1">
      <c r="A802" s="95" t="s">
        <v>1999</v>
      </c>
      <c r="B802" s="51" t="s">
        <v>914</v>
      </c>
      <c r="C802" s="96"/>
      <c r="D802" s="96"/>
      <c r="E802" s="96"/>
      <c r="F802" s="96"/>
      <c r="G802" s="96">
        <f t="shared" ref="G802:G806" si="305">ROUND(E802-F802,2)</f>
        <v>0</v>
      </c>
      <c r="H802" s="96"/>
      <c r="I802" s="60"/>
      <c r="J802" s="60"/>
      <c r="K802" s="60"/>
      <c r="L802" s="60"/>
      <c r="M802" s="60"/>
      <c r="N802" s="60"/>
      <c r="O802" s="60"/>
      <c r="P802" s="60"/>
      <c r="Q802" s="60"/>
      <c r="R802" s="60"/>
      <c r="S802" s="60"/>
      <c r="T802" s="60"/>
      <c r="U802" s="60"/>
      <c r="V802" s="60"/>
      <c r="W802" s="60"/>
      <c r="X802" s="60"/>
      <c r="Y802" s="60"/>
      <c r="Z802" s="60"/>
    </row>
    <row r="803" spans="1:26" ht="30" hidden="1" customHeight="1">
      <c r="A803" s="95" t="s">
        <v>2000</v>
      </c>
      <c r="B803" s="51" t="s">
        <v>916</v>
      </c>
      <c r="C803" s="96"/>
      <c r="D803" s="96"/>
      <c r="E803" s="96"/>
      <c r="F803" s="96"/>
      <c r="G803" s="96">
        <f t="shared" si="305"/>
        <v>0</v>
      </c>
      <c r="H803" s="96"/>
      <c r="I803" s="60"/>
      <c r="J803" s="60"/>
      <c r="K803" s="60"/>
      <c r="L803" s="60"/>
      <c r="M803" s="60"/>
      <c r="N803" s="60"/>
      <c r="O803" s="60"/>
      <c r="P803" s="60"/>
      <c r="Q803" s="60"/>
      <c r="R803" s="60"/>
      <c r="S803" s="60"/>
      <c r="T803" s="60"/>
      <c r="U803" s="60"/>
      <c r="V803" s="60"/>
      <c r="W803" s="60"/>
      <c r="X803" s="60"/>
      <c r="Y803" s="60"/>
      <c r="Z803" s="60"/>
    </row>
    <row r="804" spans="1:26" ht="30" hidden="1" customHeight="1">
      <c r="A804" s="95" t="s">
        <v>2001</v>
      </c>
      <c r="B804" s="51" t="s">
        <v>2002</v>
      </c>
      <c r="C804" s="96"/>
      <c r="D804" s="96"/>
      <c r="E804" s="53">
        <v>207773614.28</v>
      </c>
      <c r="F804" s="53"/>
      <c r="G804" s="96">
        <f t="shared" si="305"/>
        <v>207773614.28</v>
      </c>
      <c r="H804" s="96"/>
      <c r="I804" s="60"/>
      <c r="J804" s="60"/>
      <c r="K804" s="60"/>
      <c r="L804" s="60"/>
      <c r="M804" s="60"/>
      <c r="N804" s="60"/>
      <c r="O804" s="60"/>
      <c r="P804" s="60"/>
      <c r="Q804" s="60"/>
      <c r="R804" s="60"/>
      <c r="S804" s="60"/>
      <c r="T804" s="60"/>
      <c r="U804" s="60"/>
      <c r="V804" s="60"/>
      <c r="W804" s="60"/>
      <c r="X804" s="60"/>
      <c r="Y804" s="60"/>
      <c r="Z804" s="60"/>
    </row>
    <row r="805" spans="1:26" ht="30" hidden="1" customHeight="1">
      <c r="A805" s="95" t="s">
        <v>2003</v>
      </c>
      <c r="B805" s="51" t="s">
        <v>933</v>
      </c>
      <c r="C805" s="96"/>
      <c r="D805" s="96"/>
      <c r="E805" s="53">
        <v>24301879.52</v>
      </c>
      <c r="F805" s="53"/>
      <c r="G805" s="96">
        <f t="shared" si="305"/>
        <v>24301879.52</v>
      </c>
      <c r="H805" s="96"/>
      <c r="I805" s="60"/>
      <c r="J805" s="60"/>
      <c r="K805" s="60"/>
      <c r="L805" s="60"/>
      <c r="M805" s="60"/>
      <c r="N805" s="60"/>
      <c r="O805" s="60"/>
      <c r="P805" s="60"/>
      <c r="Q805" s="60"/>
      <c r="R805" s="60"/>
      <c r="S805" s="60"/>
      <c r="T805" s="60"/>
      <c r="U805" s="60"/>
      <c r="V805" s="60"/>
      <c r="W805" s="60"/>
      <c r="X805" s="60"/>
      <c r="Y805" s="60"/>
      <c r="Z805" s="60"/>
    </row>
    <row r="806" spans="1:26" ht="30" hidden="1" customHeight="1">
      <c r="A806" s="95" t="s">
        <v>2004</v>
      </c>
      <c r="B806" s="51" t="s">
        <v>2005</v>
      </c>
      <c r="C806" s="52"/>
      <c r="D806" s="52"/>
      <c r="E806" s="53"/>
      <c r="F806" s="53"/>
      <c r="G806" s="96">
        <f t="shared" si="305"/>
        <v>0</v>
      </c>
      <c r="H806" s="52"/>
      <c r="I806" s="72"/>
      <c r="J806" s="72"/>
      <c r="K806" s="72"/>
      <c r="L806" s="72"/>
      <c r="M806" s="72"/>
      <c r="N806" s="72"/>
      <c r="O806" s="72"/>
      <c r="P806" s="72"/>
      <c r="Q806" s="72"/>
      <c r="R806" s="72"/>
      <c r="S806" s="72"/>
      <c r="T806" s="72"/>
      <c r="U806" s="72"/>
      <c r="V806" s="72"/>
      <c r="W806" s="72"/>
      <c r="X806" s="72"/>
      <c r="Y806" s="72"/>
      <c r="Z806" s="72"/>
    </row>
    <row r="807" spans="1:26" ht="30" hidden="1" customHeight="1">
      <c r="A807" s="92" t="s">
        <v>2006</v>
      </c>
      <c r="B807" s="93" t="s">
        <v>2007</v>
      </c>
      <c r="C807" s="94"/>
      <c r="D807" s="94"/>
      <c r="E807" s="94">
        <f t="shared" ref="E807:G807" si="306">SUM(E808:E812)</f>
        <v>0</v>
      </c>
      <c r="F807" s="94">
        <f t="shared" si="306"/>
        <v>0</v>
      </c>
      <c r="G807" s="94">
        <f t="shared" si="306"/>
        <v>0</v>
      </c>
      <c r="H807" s="94"/>
      <c r="I807" s="60"/>
      <c r="J807" s="60"/>
      <c r="K807" s="60"/>
      <c r="L807" s="60"/>
      <c r="M807" s="60"/>
      <c r="N807" s="60"/>
      <c r="O807" s="60"/>
      <c r="P807" s="60"/>
      <c r="Q807" s="60"/>
      <c r="R807" s="60"/>
      <c r="S807" s="60"/>
      <c r="T807" s="60"/>
      <c r="U807" s="60"/>
      <c r="V807" s="60"/>
      <c r="W807" s="60"/>
      <c r="X807" s="60"/>
      <c r="Y807" s="60"/>
      <c r="Z807" s="60"/>
    </row>
    <row r="808" spans="1:26" ht="30" hidden="1" customHeight="1">
      <c r="A808" s="95" t="s">
        <v>2008</v>
      </c>
      <c r="B808" s="51" t="s">
        <v>938</v>
      </c>
      <c r="C808" s="96"/>
      <c r="D808" s="96"/>
      <c r="E808" s="96"/>
      <c r="F808" s="96"/>
      <c r="G808" s="96">
        <f t="shared" ref="G808:G812" si="307">ROUND(E808-F808,2)</f>
        <v>0</v>
      </c>
      <c r="H808" s="96"/>
      <c r="I808" s="60"/>
      <c r="J808" s="60"/>
      <c r="K808" s="60"/>
      <c r="L808" s="60"/>
      <c r="M808" s="60"/>
      <c r="N808" s="60"/>
      <c r="O808" s="60"/>
      <c r="P808" s="60"/>
      <c r="Q808" s="60"/>
      <c r="R808" s="60"/>
      <c r="S808" s="60"/>
      <c r="T808" s="60"/>
      <c r="U808" s="60"/>
      <c r="V808" s="60"/>
      <c r="W808" s="60"/>
      <c r="X808" s="60"/>
      <c r="Y808" s="60"/>
      <c r="Z808" s="60"/>
    </row>
    <row r="809" spans="1:26" ht="30" hidden="1" customHeight="1">
      <c r="A809" s="95" t="s">
        <v>2009</v>
      </c>
      <c r="B809" s="51" t="s">
        <v>2010</v>
      </c>
      <c r="C809" s="96"/>
      <c r="D809" s="96"/>
      <c r="E809" s="96"/>
      <c r="F809" s="96"/>
      <c r="G809" s="96">
        <f t="shared" si="307"/>
        <v>0</v>
      </c>
      <c r="H809" s="96"/>
      <c r="I809" s="60"/>
      <c r="J809" s="60"/>
      <c r="K809" s="60"/>
      <c r="L809" s="60"/>
      <c r="M809" s="60"/>
      <c r="N809" s="60"/>
      <c r="O809" s="60"/>
      <c r="P809" s="60"/>
      <c r="Q809" s="60"/>
      <c r="R809" s="60"/>
      <c r="S809" s="60"/>
      <c r="T809" s="60"/>
      <c r="U809" s="60"/>
      <c r="V809" s="60"/>
      <c r="W809" s="60"/>
      <c r="X809" s="60"/>
      <c r="Y809" s="60"/>
      <c r="Z809" s="60"/>
    </row>
    <row r="810" spans="1:26" ht="30" hidden="1" customHeight="1">
      <c r="A810" s="95" t="s">
        <v>2011</v>
      </c>
      <c r="B810" s="51" t="s">
        <v>942</v>
      </c>
      <c r="C810" s="96"/>
      <c r="D810" s="96"/>
      <c r="E810" s="96"/>
      <c r="F810" s="96"/>
      <c r="G810" s="96">
        <f t="shared" si="307"/>
        <v>0</v>
      </c>
      <c r="H810" s="96"/>
      <c r="I810" s="60"/>
      <c r="J810" s="60"/>
      <c r="K810" s="60"/>
      <c r="L810" s="60"/>
      <c r="M810" s="60"/>
      <c r="N810" s="60"/>
      <c r="O810" s="60"/>
      <c r="P810" s="60"/>
      <c r="Q810" s="60"/>
      <c r="R810" s="60"/>
      <c r="S810" s="60"/>
      <c r="T810" s="60"/>
      <c r="U810" s="60"/>
      <c r="V810" s="60"/>
      <c r="W810" s="60"/>
      <c r="X810" s="60"/>
      <c r="Y810" s="60"/>
      <c r="Z810" s="60"/>
    </row>
    <row r="811" spans="1:26" ht="30" hidden="1" customHeight="1">
      <c r="A811" s="95" t="s">
        <v>2012</v>
      </c>
      <c r="B811" s="51" t="s">
        <v>946</v>
      </c>
      <c r="C811" s="96"/>
      <c r="D811" s="96"/>
      <c r="E811" s="96"/>
      <c r="F811" s="96"/>
      <c r="G811" s="96">
        <f t="shared" si="307"/>
        <v>0</v>
      </c>
      <c r="H811" s="96"/>
      <c r="I811" s="60"/>
      <c r="J811" s="60"/>
      <c r="K811" s="60"/>
      <c r="L811" s="60"/>
      <c r="M811" s="60"/>
      <c r="N811" s="60"/>
      <c r="O811" s="60"/>
      <c r="P811" s="60"/>
      <c r="Q811" s="60"/>
      <c r="R811" s="60"/>
      <c r="S811" s="60"/>
      <c r="T811" s="60"/>
      <c r="U811" s="60"/>
      <c r="V811" s="60"/>
      <c r="W811" s="60"/>
      <c r="X811" s="60"/>
      <c r="Y811" s="60"/>
      <c r="Z811" s="60"/>
    </row>
    <row r="812" spans="1:26" ht="30" hidden="1" customHeight="1">
      <c r="A812" s="95" t="s">
        <v>2013</v>
      </c>
      <c r="B812" s="51" t="s">
        <v>944</v>
      </c>
      <c r="C812" s="96"/>
      <c r="D812" s="96"/>
      <c r="E812" s="96"/>
      <c r="F812" s="96"/>
      <c r="G812" s="96">
        <f t="shared" si="307"/>
        <v>0</v>
      </c>
      <c r="H812" s="96"/>
      <c r="I812" s="60"/>
      <c r="J812" s="60"/>
      <c r="K812" s="60"/>
      <c r="L812" s="60"/>
      <c r="M812" s="60"/>
      <c r="N812" s="60"/>
      <c r="O812" s="60"/>
      <c r="P812" s="60"/>
      <c r="Q812" s="60"/>
      <c r="R812" s="60"/>
      <c r="S812" s="60"/>
      <c r="T812" s="60"/>
      <c r="U812" s="60"/>
      <c r="V812" s="60"/>
      <c r="W812" s="60"/>
      <c r="X812" s="60"/>
      <c r="Y812" s="60"/>
      <c r="Z812" s="60"/>
    </row>
    <row r="813" spans="1:26" ht="30" hidden="1" customHeight="1">
      <c r="A813" s="92" t="s">
        <v>2014</v>
      </c>
      <c r="B813" s="93" t="s">
        <v>2015</v>
      </c>
      <c r="C813" s="94"/>
      <c r="D813" s="94"/>
      <c r="E813" s="94">
        <f t="shared" ref="E813:G813" si="308">SUM(E814:E815)</f>
        <v>0</v>
      </c>
      <c r="F813" s="94">
        <f t="shared" si="308"/>
        <v>0</v>
      </c>
      <c r="G813" s="94">
        <f t="shared" si="308"/>
        <v>0</v>
      </c>
      <c r="H813" s="94"/>
      <c r="I813" s="60"/>
      <c r="J813" s="60"/>
      <c r="K813" s="60"/>
      <c r="L813" s="60"/>
      <c r="M813" s="60"/>
      <c r="N813" s="60"/>
      <c r="O813" s="60"/>
      <c r="P813" s="60"/>
      <c r="Q813" s="60"/>
      <c r="R813" s="60"/>
      <c r="S813" s="60"/>
      <c r="T813" s="60"/>
      <c r="U813" s="60"/>
      <c r="V813" s="60"/>
      <c r="W813" s="60"/>
      <c r="X813" s="60"/>
      <c r="Y813" s="60"/>
      <c r="Z813" s="60"/>
    </row>
    <row r="814" spans="1:26" ht="30" hidden="1" customHeight="1">
      <c r="A814" s="95" t="s">
        <v>2016</v>
      </c>
      <c r="B814" s="51" t="s">
        <v>952</v>
      </c>
      <c r="C814" s="96"/>
      <c r="D814" s="96"/>
      <c r="E814" s="53"/>
      <c r="F814" s="53"/>
      <c r="G814" s="96">
        <f t="shared" ref="G814:G815" si="309">ROUND(E814-F814,2)</f>
        <v>0</v>
      </c>
      <c r="H814" s="96"/>
      <c r="I814" s="60"/>
      <c r="J814" s="60"/>
      <c r="K814" s="60"/>
      <c r="L814" s="60"/>
      <c r="M814" s="60"/>
      <c r="N814" s="60"/>
      <c r="O814" s="60"/>
      <c r="P814" s="60"/>
      <c r="Q814" s="60"/>
      <c r="R814" s="60"/>
      <c r="S814" s="60"/>
      <c r="T814" s="60"/>
      <c r="U814" s="60"/>
      <c r="V814" s="60"/>
      <c r="W814" s="60"/>
      <c r="X814" s="60"/>
      <c r="Y814" s="60"/>
      <c r="Z814" s="60"/>
    </row>
    <row r="815" spans="1:26" ht="30" hidden="1" customHeight="1">
      <c r="A815" s="95" t="s">
        <v>2017</v>
      </c>
      <c r="B815" s="51" t="s">
        <v>2018</v>
      </c>
      <c r="C815" s="96"/>
      <c r="D815" s="96"/>
      <c r="E815" s="53"/>
      <c r="F815" s="53"/>
      <c r="G815" s="96">
        <f t="shared" si="309"/>
        <v>0</v>
      </c>
      <c r="H815" s="96"/>
      <c r="I815" s="60"/>
      <c r="J815" s="60"/>
      <c r="K815" s="60"/>
      <c r="L815" s="60"/>
      <c r="M815" s="60"/>
      <c r="N815" s="60"/>
      <c r="O815" s="60"/>
      <c r="P815" s="60"/>
      <c r="Q815" s="60"/>
      <c r="R815" s="60"/>
      <c r="S815" s="60"/>
      <c r="T815" s="60"/>
      <c r="U815" s="60"/>
      <c r="V815" s="60"/>
      <c r="W815" s="60"/>
      <c r="X815" s="60"/>
      <c r="Y815" s="60"/>
      <c r="Z815" s="60"/>
    </row>
    <row r="816" spans="1:26" ht="30" hidden="1" customHeight="1">
      <c r="A816" s="92" t="s">
        <v>2019</v>
      </c>
      <c r="B816" s="93" t="s">
        <v>2020</v>
      </c>
      <c r="C816" s="94"/>
      <c r="D816" s="94"/>
      <c r="E816" s="94">
        <f t="shared" ref="E816:G816" si="310">SUM(E817:E822)</f>
        <v>1614044241.5100002</v>
      </c>
      <c r="F816" s="94">
        <f t="shared" si="310"/>
        <v>0</v>
      </c>
      <c r="G816" s="94">
        <f t="shared" si="310"/>
        <v>1614044241.5100002</v>
      </c>
      <c r="H816" s="94"/>
      <c r="I816" s="60"/>
      <c r="J816" s="60"/>
      <c r="K816" s="60"/>
      <c r="L816" s="60"/>
      <c r="M816" s="60"/>
      <c r="N816" s="60"/>
      <c r="O816" s="60"/>
      <c r="P816" s="60"/>
      <c r="Q816" s="60"/>
      <c r="R816" s="60"/>
      <c r="S816" s="60"/>
      <c r="T816" s="60"/>
      <c r="U816" s="60"/>
      <c r="V816" s="60"/>
      <c r="W816" s="60"/>
      <c r="X816" s="60"/>
      <c r="Y816" s="60"/>
      <c r="Z816" s="60"/>
    </row>
    <row r="817" spans="1:26" ht="30" hidden="1" customHeight="1">
      <c r="A817" s="95" t="s">
        <v>2021</v>
      </c>
      <c r="B817" s="51" t="s">
        <v>959</v>
      </c>
      <c r="C817" s="96"/>
      <c r="D817" s="96"/>
      <c r="E817" s="53">
        <v>396294786.63999999</v>
      </c>
      <c r="F817" s="53"/>
      <c r="G817" s="96">
        <f>ROUND(E817-F817,2)</f>
        <v>396294786.63999999</v>
      </c>
      <c r="H817" s="96"/>
      <c r="I817" s="60"/>
      <c r="J817" s="60"/>
      <c r="K817" s="60"/>
      <c r="L817" s="60"/>
      <c r="M817" s="60"/>
      <c r="N817" s="60"/>
      <c r="O817" s="60"/>
      <c r="P817" s="60"/>
      <c r="Q817" s="60"/>
      <c r="R817" s="60"/>
      <c r="S817" s="60"/>
      <c r="T817" s="60"/>
      <c r="U817" s="60"/>
      <c r="V817" s="60"/>
      <c r="W817" s="60"/>
      <c r="X817" s="60"/>
      <c r="Y817" s="60"/>
      <c r="Z817" s="60"/>
    </row>
    <row r="818" spans="1:26" ht="30" hidden="1" customHeight="1">
      <c r="A818" s="95" t="s">
        <v>2022</v>
      </c>
      <c r="B818" s="51" t="s">
        <v>2023</v>
      </c>
      <c r="C818" s="96"/>
      <c r="D818" s="96"/>
      <c r="E818" s="96"/>
      <c r="F818" s="96"/>
      <c r="G818" s="96">
        <f>E818-F818</f>
        <v>0</v>
      </c>
      <c r="H818" s="96"/>
      <c r="I818" s="60"/>
      <c r="J818" s="60"/>
      <c r="K818" s="60"/>
      <c r="L818" s="60"/>
      <c r="M818" s="60"/>
      <c r="N818" s="60"/>
      <c r="O818" s="60"/>
      <c r="P818" s="60"/>
      <c r="Q818" s="60"/>
      <c r="R818" s="60"/>
      <c r="S818" s="60"/>
      <c r="T818" s="60"/>
      <c r="U818" s="60"/>
      <c r="V818" s="60"/>
      <c r="W818" s="60"/>
      <c r="X818" s="60"/>
      <c r="Y818" s="60"/>
      <c r="Z818" s="60"/>
    </row>
    <row r="819" spans="1:26" ht="30" hidden="1" customHeight="1">
      <c r="A819" s="95" t="s">
        <v>2024</v>
      </c>
      <c r="B819" s="51" t="s">
        <v>971</v>
      </c>
      <c r="C819" s="96"/>
      <c r="D819" s="96"/>
      <c r="E819" s="53">
        <v>1106684106.9300001</v>
      </c>
      <c r="F819" s="53"/>
      <c r="G819" s="96">
        <f t="shared" ref="G819:G822" si="311">ROUND(E819-F819,2)</f>
        <v>1106684106.9300001</v>
      </c>
      <c r="H819" s="96"/>
      <c r="I819" s="60"/>
      <c r="J819" s="60"/>
      <c r="K819" s="60"/>
      <c r="L819" s="60"/>
      <c r="M819" s="60"/>
      <c r="N819" s="60"/>
      <c r="O819" s="60"/>
      <c r="P819" s="60"/>
      <c r="Q819" s="60"/>
      <c r="R819" s="60"/>
      <c r="S819" s="60"/>
      <c r="T819" s="60"/>
      <c r="U819" s="60"/>
      <c r="V819" s="60"/>
      <c r="W819" s="60"/>
      <c r="X819" s="60"/>
      <c r="Y819" s="60"/>
      <c r="Z819" s="60"/>
    </row>
    <row r="820" spans="1:26" ht="30" hidden="1" customHeight="1">
      <c r="A820" s="95" t="s">
        <v>2025</v>
      </c>
      <c r="B820" s="51" t="s">
        <v>1011</v>
      </c>
      <c r="C820" s="96"/>
      <c r="D820" s="96"/>
      <c r="E820" s="53">
        <v>67994773.439999998</v>
      </c>
      <c r="F820" s="53"/>
      <c r="G820" s="96">
        <f t="shared" si="311"/>
        <v>67994773.439999998</v>
      </c>
      <c r="H820" s="96"/>
      <c r="I820" s="60"/>
      <c r="J820" s="60"/>
      <c r="K820" s="60"/>
      <c r="L820" s="60"/>
      <c r="M820" s="60"/>
      <c r="N820" s="60"/>
      <c r="O820" s="60"/>
      <c r="P820" s="60"/>
      <c r="Q820" s="60"/>
      <c r="R820" s="60"/>
      <c r="S820" s="60"/>
      <c r="T820" s="60"/>
      <c r="U820" s="60"/>
      <c r="V820" s="60"/>
      <c r="W820" s="60"/>
      <c r="X820" s="60"/>
      <c r="Y820" s="60"/>
      <c r="Z820" s="60"/>
    </row>
    <row r="821" spans="1:26" ht="30" hidden="1" customHeight="1">
      <c r="A821" s="95" t="s">
        <v>2026</v>
      </c>
      <c r="B821" s="51" t="s">
        <v>2027</v>
      </c>
      <c r="C821" s="96"/>
      <c r="D821" s="96"/>
      <c r="E821" s="53">
        <v>43070574.5</v>
      </c>
      <c r="F821" s="53"/>
      <c r="G821" s="96">
        <f t="shared" si="311"/>
        <v>43070574.5</v>
      </c>
      <c r="H821" s="96"/>
      <c r="I821" s="60"/>
      <c r="J821" s="60"/>
      <c r="K821" s="60"/>
      <c r="L821" s="60"/>
      <c r="M821" s="60"/>
      <c r="N821" s="60"/>
      <c r="O821" s="60"/>
      <c r="P821" s="60"/>
      <c r="Q821" s="60"/>
      <c r="R821" s="60"/>
      <c r="S821" s="60"/>
      <c r="T821" s="60"/>
      <c r="U821" s="60"/>
      <c r="V821" s="60"/>
      <c r="W821" s="60"/>
      <c r="X821" s="60"/>
      <c r="Y821" s="60"/>
      <c r="Z821" s="60"/>
    </row>
    <row r="822" spans="1:26" ht="30" hidden="1" customHeight="1">
      <c r="A822" s="95" t="s">
        <v>2028</v>
      </c>
      <c r="B822" s="51" t="s">
        <v>1008</v>
      </c>
      <c r="C822" s="96"/>
      <c r="D822" s="96"/>
      <c r="E822" s="53"/>
      <c r="F822" s="53"/>
      <c r="G822" s="96">
        <f t="shared" si="311"/>
        <v>0</v>
      </c>
      <c r="H822" s="96"/>
      <c r="I822" s="60"/>
      <c r="J822" s="60"/>
      <c r="K822" s="60"/>
      <c r="L822" s="60"/>
      <c r="M822" s="60"/>
      <c r="N822" s="60"/>
      <c r="O822" s="60"/>
      <c r="P822" s="60"/>
      <c r="Q822" s="60"/>
      <c r="R822" s="60"/>
      <c r="S822" s="60"/>
      <c r="T822" s="60"/>
      <c r="U822" s="60"/>
      <c r="V822" s="60"/>
      <c r="W822" s="60"/>
      <c r="X822" s="60"/>
      <c r="Y822" s="60"/>
      <c r="Z822" s="60"/>
    </row>
    <row r="823" spans="1:26" ht="30" hidden="1" customHeight="1">
      <c r="A823" s="92" t="s">
        <v>2029</v>
      </c>
      <c r="B823" s="93" t="s">
        <v>1016</v>
      </c>
      <c r="C823" s="94"/>
      <c r="D823" s="94"/>
      <c r="E823" s="94">
        <f t="shared" ref="E823:G823" si="312">SUM(E824:E826)</f>
        <v>178061060.72</v>
      </c>
      <c r="F823" s="94">
        <f t="shared" si="312"/>
        <v>0</v>
      </c>
      <c r="G823" s="94">
        <f t="shared" si="312"/>
        <v>178061060.72</v>
      </c>
      <c r="H823" s="94"/>
      <c r="I823" s="60"/>
      <c r="J823" s="60"/>
      <c r="K823" s="60"/>
      <c r="L823" s="60"/>
      <c r="M823" s="60"/>
      <c r="N823" s="60"/>
      <c r="O823" s="60"/>
      <c r="P823" s="60"/>
      <c r="Q823" s="60"/>
      <c r="R823" s="60"/>
      <c r="S823" s="60"/>
      <c r="T823" s="60"/>
      <c r="U823" s="60"/>
      <c r="V823" s="60"/>
      <c r="W823" s="60"/>
      <c r="X823" s="60"/>
      <c r="Y823" s="60"/>
      <c r="Z823" s="60"/>
    </row>
    <row r="824" spans="1:26" ht="30" hidden="1" customHeight="1">
      <c r="A824" s="95" t="s">
        <v>2030</v>
      </c>
      <c r="B824" s="51" t="s">
        <v>1016</v>
      </c>
      <c r="C824" s="96"/>
      <c r="D824" s="96"/>
      <c r="E824" s="53">
        <v>178061060.72</v>
      </c>
      <c r="F824" s="53"/>
      <c r="G824" s="96">
        <f>ROUND(E824-F824,2)</f>
        <v>178061060.72</v>
      </c>
      <c r="H824" s="96"/>
      <c r="I824" s="60"/>
      <c r="J824" s="60"/>
      <c r="K824" s="60"/>
      <c r="L824" s="60"/>
      <c r="M824" s="60"/>
      <c r="N824" s="60"/>
      <c r="O824" s="60"/>
      <c r="P824" s="60"/>
      <c r="Q824" s="60"/>
      <c r="R824" s="60"/>
      <c r="S824" s="60"/>
      <c r="T824" s="60"/>
      <c r="U824" s="60"/>
      <c r="V824" s="60"/>
      <c r="W824" s="60"/>
      <c r="X824" s="60"/>
      <c r="Y824" s="60"/>
      <c r="Z824" s="60"/>
    </row>
    <row r="825" spans="1:26" ht="30" hidden="1" customHeight="1">
      <c r="A825" s="95" t="s">
        <v>2031</v>
      </c>
      <c r="B825" s="51" t="s">
        <v>2032</v>
      </c>
      <c r="C825" s="96"/>
      <c r="D825" s="96"/>
      <c r="E825" s="96"/>
      <c r="F825" s="96"/>
      <c r="G825" s="96">
        <f>E825-F825</f>
        <v>0</v>
      </c>
      <c r="H825" s="96"/>
      <c r="I825" s="60"/>
      <c r="J825" s="60"/>
      <c r="K825" s="60"/>
      <c r="L825" s="60"/>
      <c r="M825" s="60"/>
      <c r="N825" s="60"/>
      <c r="O825" s="60"/>
      <c r="P825" s="60"/>
      <c r="Q825" s="60"/>
      <c r="R825" s="60"/>
      <c r="S825" s="60"/>
      <c r="T825" s="60"/>
      <c r="U825" s="60"/>
      <c r="V825" s="60"/>
      <c r="W825" s="60"/>
      <c r="X825" s="60"/>
      <c r="Y825" s="60"/>
      <c r="Z825" s="60"/>
    </row>
    <row r="826" spans="1:26" ht="30" hidden="1" customHeight="1">
      <c r="A826" s="95" t="s">
        <v>2033</v>
      </c>
      <c r="B826" s="51" t="s">
        <v>2034</v>
      </c>
      <c r="C826" s="96"/>
      <c r="D826" s="96"/>
      <c r="E826" s="53"/>
      <c r="F826" s="53"/>
      <c r="G826" s="96">
        <f>ROUND(E826-F826,2)</f>
        <v>0</v>
      </c>
      <c r="H826" s="96"/>
      <c r="I826" s="60"/>
      <c r="J826" s="60"/>
      <c r="K826" s="60"/>
      <c r="L826" s="60"/>
      <c r="M826" s="60"/>
      <c r="N826" s="60"/>
      <c r="O826" s="60"/>
      <c r="P826" s="60"/>
      <c r="Q826" s="60"/>
      <c r="R826" s="60"/>
      <c r="S826" s="60"/>
      <c r="T826" s="60"/>
      <c r="U826" s="60"/>
      <c r="V826" s="60"/>
      <c r="W826" s="60"/>
      <c r="X826" s="60"/>
      <c r="Y826" s="60"/>
      <c r="Z826" s="60"/>
    </row>
    <row r="827" spans="1:26" ht="30" hidden="1" customHeight="1">
      <c r="A827" s="92" t="s">
        <v>2035</v>
      </c>
      <c r="B827" s="93" t="s">
        <v>2036</v>
      </c>
      <c r="C827" s="94"/>
      <c r="D827" s="94"/>
      <c r="E827" s="94">
        <f t="shared" ref="E827:G827" si="313">SUM(E828:E831)</f>
        <v>112985915.93000001</v>
      </c>
      <c r="F827" s="94">
        <f t="shared" si="313"/>
        <v>0</v>
      </c>
      <c r="G827" s="94">
        <f t="shared" si="313"/>
        <v>112985915.93000001</v>
      </c>
      <c r="H827" s="94"/>
      <c r="I827" s="60"/>
      <c r="J827" s="60"/>
      <c r="K827" s="60"/>
      <c r="L827" s="60"/>
      <c r="M827" s="60"/>
      <c r="N827" s="60"/>
      <c r="O827" s="60"/>
      <c r="P827" s="60"/>
      <c r="Q827" s="60"/>
      <c r="R827" s="60"/>
      <c r="S827" s="60"/>
      <c r="T827" s="60"/>
      <c r="U827" s="60"/>
      <c r="V827" s="60"/>
      <c r="W827" s="60"/>
      <c r="X827" s="60"/>
      <c r="Y827" s="60"/>
      <c r="Z827" s="60"/>
    </row>
    <row r="828" spans="1:26" ht="30" hidden="1" customHeight="1">
      <c r="A828" s="95" t="s">
        <v>2037</v>
      </c>
      <c r="B828" s="51" t="s">
        <v>2036</v>
      </c>
      <c r="C828" s="96"/>
      <c r="D828" s="96"/>
      <c r="E828" s="53">
        <v>112335191.26000001</v>
      </c>
      <c r="F828" s="53"/>
      <c r="G828" s="96">
        <f t="shared" ref="G828:G831" si="314">ROUND(E828-F828,2)</f>
        <v>112335191.26000001</v>
      </c>
      <c r="H828" s="96"/>
      <c r="I828" s="60"/>
      <c r="J828" s="60"/>
      <c r="K828" s="60"/>
      <c r="L828" s="60"/>
      <c r="M828" s="60"/>
      <c r="N828" s="60"/>
      <c r="O828" s="60"/>
      <c r="P828" s="60"/>
      <c r="Q828" s="60"/>
      <c r="R828" s="60"/>
      <c r="S828" s="60"/>
      <c r="T828" s="60"/>
      <c r="U828" s="60"/>
      <c r="V828" s="60"/>
      <c r="W828" s="60"/>
      <c r="X828" s="60"/>
      <c r="Y828" s="60"/>
      <c r="Z828" s="60"/>
    </row>
    <row r="829" spans="1:26" ht="30" hidden="1" customHeight="1">
      <c r="A829" s="95" t="s">
        <v>2038</v>
      </c>
      <c r="B829" s="51" t="s">
        <v>2039</v>
      </c>
      <c r="C829" s="96"/>
      <c r="D829" s="96"/>
      <c r="E829" s="53"/>
      <c r="F829" s="53"/>
      <c r="G829" s="96">
        <f t="shared" si="314"/>
        <v>0</v>
      </c>
      <c r="H829" s="96"/>
      <c r="I829" s="60"/>
      <c r="J829" s="60"/>
      <c r="K829" s="60"/>
      <c r="L829" s="60"/>
      <c r="M829" s="60"/>
      <c r="N829" s="60"/>
      <c r="O829" s="60"/>
      <c r="P829" s="60"/>
      <c r="Q829" s="60"/>
      <c r="R829" s="60"/>
      <c r="S829" s="60"/>
      <c r="T829" s="60"/>
      <c r="U829" s="60"/>
      <c r="V829" s="60"/>
      <c r="W829" s="60"/>
      <c r="X829" s="60"/>
      <c r="Y829" s="60"/>
      <c r="Z829" s="60"/>
    </row>
    <row r="830" spans="1:26" ht="30" hidden="1" customHeight="1">
      <c r="A830" s="95" t="s">
        <v>2040</v>
      </c>
      <c r="B830" s="51" t="s">
        <v>2041</v>
      </c>
      <c r="C830" s="96"/>
      <c r="D830" s="96"/>
      <c r="E830" s="53">
        <v>650724.67000000004</v>
      </c>
      <c r="F830" s="53"/>
      <c r="G830" s="96">
        <f t="shared" si="314"/>
        <v>650724.67000000004</v>
      </c>
      <c r="H830" s="96"/>
      <c r="I830" s="60"/>
      <c r="J830" s="60"/>
      <c r="K830" s="60"/>
      <c r="L830" s="60"/>
      <c r="M830" s="60"/>
      <c r="N830" s="60"/>
      <c r="O830" s="60"/>
      <c r="P830" s="60"/>
      <c r="Q830" s="60"/>
      <c r="R830" s="60"/>
      <c r="S830" s="60"/>
      <c r="T830" s="60"/>
      <c r="U830" s="60"/>
      <c r="V830" s="60"/>
      <c r="W830" s="60"/>
      <c r="X830" s="60"/>
      <c r="Y830" s="60"/>
      <c r="Z830" s="60"/>
    </row>
    <row r="831" spans="1:26" ht="30" hidden="1" customHeight="1">
      <c r="A831" s="95" t="s">
        <v>2042</v>
      </c>
      <c r="B831" s="51" t="s">
        <v>1046</v>
      </c>
      <c r="C831" s="96"/>
      <c r="D831" s="96"/>
      <c r="E831" s="53"/>
      <c r="F831" s="53"/>
      <c r="G831" s="96">
        <f t="shared" si="314"/>
        <v>0</v>
      </c>
      <c r="H831" s="96"/>
      <c r="I831" s="60"/>
      <c r="J831" s="60"/>
      <c r="K831" s="60"/>
      <c r="L831" s="60"/>
      <c r="M831" s="60"/>
      <c r="N831" s="60"/>
      <c r="O831" s="60"/>
      <c r="P831" s="60"/>
      <c r="Q831" s="60"/>
      <c r="R831" s="60"/>
      <c r="S831" s="60"/>
      <c r="T831" s="60"/>
      <c r="U831" s="60"/>
      <c r="V831" s="60"/>
      <c r="W831" s="60"/>
      <c r="X831" s="60"/>
      <c r="Y831" s="60"/>
      <c r="Z831" s="60"/>
    </row>
    <row r="832" spans="1:26" ht="30" hidden="1" customHeight="1">
      <c r="A832" s="92" t="s">
        <v>2043</v>
      </c>
      <c r="B832" s="93" t="s">
        <v>2044</v>
      </c>
      <c r="C832" s="94"/>
      <c r="D832" s="94"/>
      <c r="E832" s="94">
        <f t="shared" ref="E832:G832" si="315">SUM(E833:E841)</f>
        <v>0</v>
      </c>
      <c r="F832" s="94">
        <f t="shared" si="315"/>
        <v>0</v>
      </c>
      <c r="G832" s="94">
        <f t="shared" si="315"/>
        <v>0</v>
      </c>
      <c r="H832" s="94"/>
      <c r="I832" s="60"/>
      <c r="J832" s="60"/>
      <c r="K832" s="60"/>
      <c r="L832" s="60"/>
      <c r="M832" s="60"/>
      <c r="N832" s="60"/>
      <c r="O832" s="60"/>
      <c r="P832" s="60"/>
      <c r="Q832" s="60"/>
      <c r="R832" s="60"/>
      <c r="S832" s="60"/>
      <c r="T832" s="60"/>
      <c r="U832" s="60"/>
      <c r="V832" s="60"/>
      <c r="W832" s="60"/>
      <c r="X832" s="60"/>
      <c r="Y832" s="60"/>
      <c r="Z832" s="60"/>
    </row>
    <row r="833" spans="1:26" ht="30" hidden="1" customHeight="1">
      <c r="A833" s="95" t="s">
        <v>2045</v>
      </c>
      <c r="B833" s="51" t="s">
        <v>1065</v>
      </c>
      <c r="C833" s="96"/>
      <c r="D833" s="96"/>
      <c r="E833" s="53"/>
      <c r="F833" s="53"/>
      <c r="G833" s="96">
        <f>ROUND(E833-F833,2)</f>
        <v>0</v>
      </c>
      <c r="H833" s="96"/>
      <c r="I833" s="60"/>
      <c r="J833" s="60"/>
      <c r="K833" s="60"/>
      <c r="L833" s="60"/>
      <c r="M833" s="60"/>
      <c r="N833" s="60"/>
      <c r="O833" s="60"/>
      <c r="P833" s="60"/>
      <c r="Q833" s="60"/>
      <c r="R833" s="60"/>
      <c r="S833" s="60"/>
      <c r="T833" s="60"/>
      <c r="U833" s="60"/>
      <c r="V833" s="60"/>
      <c r="W833" s="60"/>
      <c r="X833" s="60"/>
      <c r="Y833" s="60"/>
      <c r="Z833" s="60"/>
    </row>
    <row r="834" spans="1:26" ht="30" hidden="1" customHeight="1">
      <c r="A834" s="95" t="s">
        <v>2046</v>
      </c>
      <c r="B834" s="51" t="s">
        <v>1067</v>
      </c>
      <c r="C834" s="96"/>
      <c r="D834" s="96"/>
      <c r="E834" s="96"/>
      <c r="F834" s="96"/>
      <c r="G834" s="96">
        <f>E834-F834</f>
        <v>0</v>
      </c>
      <c r="H834" s="96"/>
      <c r="I834" s="60"/>
      <c r="J834" s="60"/>
      <c r="K834" s="60"/>
      <c r="L834" s="60"/>
      <c r="M834" s="60"/>
      <c r="N834" s="60"/>
      <c r="O834" s="60"/>
      <c r="P834" s="60"/>
      <c r="Q834" s="60"/>
      <c r="R834" s="60"/>
      <c r="S834" s="60"/>
      <c r="T834" s="60"/>
      <c r="U834" s="60"/>
      <c r="V834" s="60"/>
      <c r="W834" s="60"/>
      <c r="X834" s="60"/>
      <c r="Y834" s="60"/>
      <c r="Z834" s="60"/>
    </row>
    <row r="835" spans="1:26" ht="30" hidden="1" customHeight="1">
      <c r="A835" s="95" t="s">
        <v>2047</v>
      </c>
      <c r="B835" s="51" t="s">
        <v>1069</v>
      </c>
      <c r="C835" s="96"/>
      <c r="D835" s="96"/>
      <c r="E835" s="53"/>
      <c r="F835" s="53"/>
      <c r="G835" s="96">
        <f>ROUND(E835-F835,2)</f>
        <v>0</v>
      </c>
      <c r="H835" s="96"/>
      <c r="I835" s="60"/>
      <c r="J835" s="60"/>
      <c r="K835" s="60"/>
      <c r="L835" s="60"/>
      <c r="M835" s="60"/>
      <c r="N835" s="60"/>
      <c r="O835" s="60"/>
      <c r="P835" s="60"/>
      <c r="Q835" s="60"/>
      <c r="R835" s="60"/>
      <c r="S835" s="60"/>
      <c r="T835" s="60"/>
      <c r="U835" s="60"/>
      <c r="V835" s="60"/>
      <c r="W835" s="60"/>
      <c r="X835" s="60"/>
      <c r="Y835" s="60"/>
      <c r="Z835" s="60"/>
    </row>
    <row r="836" spans="1:26" ht="30" hidden="1" customHeight="1">
      <c r="A836" s="95" t="s">
        <v>2048</v>
      </c>
      <c r="B836" s="51" t="s">
        <v>2049</v>
      </c>
      <c r="C836" s="96"/>
      <c r="D836" s="96"/>
      <c r="E836" s="96"/>
      <c r="F836" s="96"/>
      <c r="G836" s="96">
        <f t="shared" ref="G836:G838" si="316">E836-F836</f>
        <v>0</v>
      </c>
      <c r="H836" s="96"/>
      <c r="I836" s="60"/>
      <c r="J836" s="60"/>
      <c r="K836" s="60"/>
      <c r="L836" s="60"/>
      <c r="M836" s="60"/>
      <c r="N836" s="60"/>
      <c r="O836" s="60"/>
      <c r="P836" s="60"/>
      <c r="Q836" s="60"/>
      <c r="R836" s="60"/>
      <c r="S836" s="60"/>
      <c r="T836" s="60"/>
      <c r="U836" s="60"/>
      <c r="V836" s="60"/>
      <c r="W836" s="60"/>
      <c r="X836" s="60"/>
      <c r="Y836" s="60"/>
      <c r="Z836" s="60"/>
    </row>
    <row r="837" spans="1:26" ht="30" hidden="1" customHeight="1">
      <c r="A837" s="95" t="s">
        <v>2050</v>
      </c>
      <c r="B837" s="51" t="s">
        <v>1074</v>
      </c>
      <c r="C837" s="96"/>
      <c r="D837" s="96"/>
      <c r="E837" s="96"/>
      <c r="F837" s="96"/>
      <c r="G837" s="96">
        <f t="shared" si="316"/>
        <v>0</v>
      </c>
      <c r="H837" s="96"/>
      <c r="I837" s="60"/>
      <c r="J837" s="60"/>
      <c r="K837" s="60"/>
      <c r="L837" s="60"/>
      <c r="M837" s="60"/>
      <c r="N837" s="60"/>
      <c r="O837" s="60"/>
      <c r="P837" s="60"/>
      <c r="Q837" s="60"/>
      <c r="R837" s="60"/>
      <c r="S837" s="60"/>
      <c r="T837" s="60"/>
      <c r="U837" s="60"/>
      <c r="V837" s="60"/>
      <c r="W837" s="60"/>
      <c r="X837" s="60"/>
      <c r="Y837" s="60"/>
      <c r="Z837" s="60"/>
    </row>
    <row r="838" spans="1:26" ht="30" hidden="1" customHeight="1">
      <c r="A838" s="95" t="s">
        <v>2051</v>
      </c>
      <c r="B838" s="51" t="s">
        <v>1076</v>
      </c>
      <c r="C838" s="96"/>
      <c r="D838" s="96"/>
      <c r="E838" s="96"/>
      <c r="F838" s="96"/>
      <c r="G838" s="96">
        <f t="shared" si="316"/>
        <v>0</v>
      </c>
      <c r="H838" s="96"/>
      <c r="I838" s="60"/>
      <c r="J838" s="60"/>
      <c r="K838" s="60"/>
      <c r="L838" s="60"/>
      <c r="M838" s="60"/>
      <c r="N838" s="60"/>
      <c r="O838" s="60"/>
      <c r="P838" s="60"/>
      <c r="Q838" s="60"/>
      <c r="R838" s="60"/>
      <c r="S838" s="60"/>
      <c r="T838" s="60"/>
      <c r="U838" s="60"/>
      <c r="V838" s="60"/>
      <c r="W838" s="60"/>
      <c r="X838" s="60"/>
      <c r="Y838" s="60"/>
      <c r="Z838" s="60"/>
    </row>
    <row r="839" spans="1:26" ht="30" hidden="1" customHeight="1">
      <c r="A839" s="95" t="s">
        <v>2052</v>
      </c>
      <c r="B839" s="51" t="s">
        <v>1078</v>
      </c>
      <c r="C839" s="96"/>
      <c r="D839" s="96"/>
      <c r="E839" s="53"/>
      <c r="F839" s="53"/>
      <c r="G839" s="96">
        <f>ROUND(E839-F839,2)</f>
        <v>0</v>
      </c>
      <c r="H839" s="96"/>
      <c r="I839" s="60"/>
      <c r="J839" s="60"/>
      <c r="K839" s="60"/>
      <c r="L839" s="60"/>
      <c r="M839" s="60"/>
      <c r="N839" s="60"/>
      <c r="O839" s="60"/>
      <c r="P839" s="60"/>
      <c r="Q839" s="60"/>
      <c r="R839" s="60"/>
      <c r="S839" s="60"/>
      <c r="T839" s="60"/>
      <c r="U839" s="60"/>
      <c r="V839" s="60"/>
      <c r="W839" s="60"/>
      <c r="X839" s="60"/>
      <c r="Y839" s="60"/>
      <c r="Z839" s="60"/>
    </row>
    <row r="840" spans="1:26" ht="30" hidden="1" customHeight="1">
      <c r="A840" s="95" t="s">
        <v>2053</v>
      </c>
      <c r="B840" s="51" t="s">
        <v>2054</v>
      </c>
      <c r="C840" s="96"/>
      <c r="D840" s="96"/>
      <c r="E840" s="96"/>
      <c r="F840" s="96"/>
      <c r="G840" s="96">
        <f>E840-F840</f>
        <v>0</v>
      </c>
      <c r="H840" s="96"/>
      <c r="I840" s="60"/>
      <c r="J840" s="60"/>
      <c r="K840" s="60"/>
      <c r="L840" s="60"/>
      <c r="M840" s="60"/>
      <c r="N840" s="60"/>
      <c r="O840" s="60"/>
      <c r="P840" s="60"/>
      <c r="Q840" s="60"/>
      <c r="R840" s="60"/>
      <c r="S840" s="60"/>
      <c r="T840" s="60"/>
      <c r="U840" s="60"/>
      <c r="V840" s="60"/>
      <c r="W840" s="60"/>
      <c r="X840" s="60"/>
      <c r="Y840" s="60"/>
      <c r="Z840" s="60"/>
    </row>
    <row r="841" spans="1:26" ht="30" hidden="1" customHeight="1">
      <c r="A841" s="95" t="s">
        <v>2055</v>
      </c>
      <c r="B841" s="51" t="s">
        <v>2056</v>
      </c>
      <c r="C841" s="96"/>
      <c r="D841" s="96"/>
      <c r="E841" s="53"/>
      <c r="F841" s="53"/>
      <c r="G841" s="96">
        <f>ROUND(E841-F841,2)</f>
        <v>0</v>
      </c>
      <c r="H841" s="96"/>
      <c r="I841" s="60"/>
      <c r="J841" s="60"/>
      <c r="K841" s="60"/>
      <c r="L841" s="60"/>
      <c r="M841" s="60"/>
      <c r="N841" s="60"/>
      <c r="O841" s="60"/>
      <c r="P841" s="60"/>
      <c r="Q841" s="60"/>
      <c r="R841" s="60"/>
      <c r="S841" s="60"/>
      <c r="T841" s="60"/>
      <c r="U841" s="60"/>
      <c r="V841" s="60"/>
      <c r="W841" s="60"/>
      <c r="X841" s="60"/>
      <c r="Y841" s="60"/>
      <c r="Z841" s="60"/>
    </row>
    <row r="842" spans="1:26" ht="30" hidden="1" customHeight="1">
      <c r="A842" s="92" t="s">
        <v>2057</v>
      </c>
      <c r="B842" s="97" t="s">
        <v>2058</v>
      </c>
      <c r="C842" s="94"/>
      <c r="D842" s="94"/>
      <c r="E842" s="94">
        <f t="shared" ref="E842:G842" si="317">E843+E856+E859+E860+E865+E871</f>
        <v>7487281730.079999</v>
      </c>
      <c r="F842" s="94">
        <f t="shared" si="317"/>
        <v>0</v>
      </c>
      <c r="G842" s="94">
        <f t="shared" si="317"/>
        <v>7487281730.079999</v>
      </c>
      <c r="H842" s="94"/>
      <c r="I842" s="60"/>
      <c r="J842" s="60"/>
      <c r="K842" s="60"/>
      <c r="L842" s="60"/>
      <c r="M842" s="60"/>
      <c r="N842" s="60"/>
      <c r="O842" s="60"/>
      <c r="P842" s="60"/>
      <c r="Q842" s="60"/>
      <c r="R842" s="60"/>
      <c r="S842" s="60"/>
      <c r="T842" s="60"/>
      <c r="U842" s="60"/>
      <c r="V842" s="60"/>
      <c r="W842" s="60"/>
      <c r="X842" s="60"/>
      <c r="Y842" s="60"/>
      <c r="Z842" s="60"/>
    </row>
    <row r="843" spans="1:26" ht="30" hidden="1" customHeight="1">
      <c r="A843" s="95" t="s">
        <v>2059</v>
      </c>
      <c r="B843" s="51" t="s">
        <v>1093</v>
      </c>
      <c r="C843" s="96"/>
      <c r="D843" s="96"/>
      <c r="E843" s="94">
        <f t="shared" ref="E843:G843" si="318">SUM(E844:E855)</f>
        <v>5869113412.9799995</v>
      </c>
      <c r="F843" s="94">
        <f t="shared" si="318"/>
        <v>0</v>
      </c>
      <c r="G843" s="94">
        <f t="shared" si="318"/>
        <v>5869113412.9799995</v>
      </c>
      <c r="H843" s="96"/>
      <c r="I843" s="60"/>
      <c r="J843" s="60"/>
      <c r="K843" s="60"/>
      <c r="L843" s="60"/>
      <c r="M843" s="60"/>
      <c r="N843" s="60"/>
      <c r="O843" s="60"/>
      <c r="P843" s="60"/>
      <c r="Q843" s="60"/>
      <c r="R843" s="60"/>
      <c r="S843" s="60"/>
      <c r="T843" s="60"/>
      <c r="U843" s="60"/>
      <c r="V843" s="60"/>
      <c r="W843" s="60"/>
      <c r="X843" s="60"/>
      <c r="Y843" s="60"/>
      <c r="Z843" s="60"/>
    </row>
    <row r="844" spans="1:26" ht="30" hidden="1" customHeight="1">
      <c r="A844" s="95" t="s">
        <v>2060</v>
      </c>
      <c r="B844" s="51" t="s">
        <v>1095</v>
      </c>
      <c r="C844" s="96"/>
      <c r="D844" s="96"/>
      <c r="E844" s="53">
        <v>2813192265.6599998</v>
      </c>
      <c r="F844" s="53"/>
      <c r="G844" s="96">
        <f t="shared" ref="G844:G855" si="319">ROUND(E844-F844,2)</f>
        <v>2813192265.6599998</v>
      </c>
      <c r="H844" s="96"/>
      <c r="I844" s="60"/>
      <c r="J844" s="60"/>
      <c r="K844" s="60"/>
      <c r="L844" s="60"/>
      <c r="M844" s="60"/>
      <c r="N844" s="60"/>
      <c r="O844" s="60"/>
      <c r="P844" s="60"/>
      <c r="Q844" s="60"/>
      <c r="R844" s="60"/>
      <c r="S844" s="60"/>
      <c r="T844" s="60"/>
      <c r="U844" s="60"/>
      <c r="V844" s="60"/>
      <c r="W844" s="60"/>
      <c r="X844" s="60"/>
      <c r="Y844" s="60"/>
      <c r="Z844" s="60"/>
    </row>
    <row r="845" spans="1:26" ht="30" hidden="1" customHeight="1">
      <c r="A845" s="95" t="s">
        <v>2061</v>
      </c>
      <c r="B845" s="51" t="s">
        <v>1097</v>
      </c>
      <c r="C845" s="96"/>
      <c r="D845" s="96"/>
      <c r="E845" s="53">
        <v>430724110.88999999</v>
      </c>
      <c r="F845" s="53"/>
      <c r="G845" s="96">
        <f t="shared" si="319"/>
        <v>430724110.88999999</v>
      </c>
      <c r="H845" s="96"/>
      <c r="I845" s="60"/>
      <c r="J845" s="60"/>
      <c r="K845" s="60"/>
      <c r="L845" s="60"/>
      <c r="M845" s="60"/>
      <c r="N845" s="60"/>
      <c r="O845" s="60"/>
      <c r="P845" s="60"/>
      <c r="Q845" s="60"/>
      <c r="R845" s="60"/>
      <c r="S845" s="60"/>
      <c r="T845" s="60"/>
      <c r="U845" s="60"/>
      <c r="V845" s="60"/>
      <c r="W845" s="60"/>
      <c r="X845" s="60"/>
      <c r="Y845" s="60"/>
      <c r="Z845" s="60"/>
    </row>
    <row r="846" spans="1:26" ht="30" hidden="1" customHeight="1">
      <c r="A846" s="95" t="s">
        <v>2062</v>
      </c>
      <c r="B846" s="51" t="s">
        <v>1099</v>
      </c>
      <c r="C846" s="96"/>
      <c r="D846" s="96"/>
      <c r="E846" s="53">
        <v>550823964.02999997</v>
      </c>
      <c r="F846" s="53"/>
      <c r="G846" s="96">
        <f t="shared" si="319"/>
        <v>550823964.02999997</v>
      </c>
      <c r="H846" s="96"/>
      <c r="I846" s="60"/>
      <c r="J846" s="60"/>
      <c r="K846" s="60"/>
      <c r="L846" s="60"/>
      <c r="M846" s="60"/>
      <c r="N846" s="60"/>
      <c r="O846" s="60"/>
      <c r="P846" s="60"/>
      <c r="Q846" s="60"/>
      <c r="R846" s="60"/>
      <c r="S846" s="60"/>
      <c r="T846" s="60"/>
      <c r="U846" s="60"/>
      <c r="V846" s="60"/>
      <c r="W846" s="60"/>
      <c r="X846" s="60"/>
      <c r="Y846" s="60"/>
      <c r="Z846" s="60"/>
    </row>
    <row r="847" spans="1:26" ht="30" hidden="1" customHeight="1">
      <c r="A847" s="95" t="s">
        <v>2063</v>
      </c>
      <c r="B847" s="51" t="s">
        <v>1101</v>
      </c>
      <c r="C847" s="96"/>
      <c r="D847" s="96"/>
      <c r="E847" s="53"/>
      <c r="F847" s="53"/>
      <c r="G847" s="96">
        <f t="shared" si="319"/>
        <v>0</v>
      </c>
      <c r="H847" s="96"/>
      <c r="I847" s="60"/>
      <c r="J847" s="60"/>
      <c r="K847" s="60"/>
      <c r="L847" s="60"/>
      <c r="M847" s="60"/>
      <c r="N847" s="60"/>
      <c r="O847" s="60"/>
      <c r="P847" s="60"/>
      <c r="Q847" s="60"/>
      <c r="R847" s="60"/>
      <c r="S847" s="60"/>
      <c r="T847" s="60"/>
      <c r="U847" s="60"/>
      <c r="V847" s="60"/>
      <c r="W847" s="60"/>
      <c r="X847" s="60"/>
      <c r="Y847" s="60"/>
      <c r="Z847" s="60"/>
    </row>
    <row r="848" spans="1:26" ht="30" hidden="1" customHeight="1">
      <c r="A848" s="95" t="s">
        <v>2064</v>
      </c>
      <c r="B848" s="51" t="s">
        <v>1103</v>
      </c>
      <c r="C848" s="96"/>
      <c r="D848" s="96"/>
      <c r="E848" s="53"/>
      <c r="F848" s="53"/>
      <c r="G848" s="96">
        <f t="shared" si="319"/>
        <v>0</v>
      </c>
      <c r="H848" s="96"/>
      <c r="I848" s="60"/>
      <c r="J848" s="60"/>
      <c r="K848" s="60"/>
      <c r="L848" s="60"/>
      <c r="M848" s="60"/>
      <c r="N848" s="60"/>
      <c r="O848" s="60"/>
      <c r="P848" s="60"/>
      <c r="Q848" s="60"/>
      <c r="R848" s="60"/>
      <c r="S848" s="60"/>
      <c r="T848" s="60"/>
      <c r="U848" s="60"/>
      <c r="V848" s="60"/>
      <c r="W848" s="60"/>
      <c r="X848" s="60"/>
      <c r="Y848" s="60"/>
      <c r="Z848" s="60"/>
    </row>
    <row r="849" spans="1:26" ht="30" hidden="1" customHeight="1">
      <c r="A849" s="95" t="s">
        <v>2065</v>
      </c>
      <c r="B849" s="51" t="s">
        <v>1105</v>
      </c>
      <c r="C849" s="96"/>
      <c r="D849" s="96"/>
      <c r="E849" s="53">
        <v>70903102.590000004</v>
      </c>
      <c r="F849" s="53"/>
      <c r="G849" s="96">
        <f t="shared" si="319"/>
        <v>70903102.590000004</v>
      </c>
      <c r="H849" s="96"/>
      <c r="I849" s="60"/>
      <c r="J849" s="60"/>
      <c r="K849" s="60"/>
      <c r="L849" s="60"/>
      <c r="M849" s="60"/>
      <c r="N849" s="60"/>
      <c r="O849" s="60"/>
      <c r="P849" s="60"/>
      <c r="Q849" s="60"/>
      <c r="R849" s="60"/>
      <c r="S849" s="60"/>
      <c r="T849" s="60"/>
      <c r="U849" s="60"/>
      <c r="V849" s="60"/>
      <c r="W849" s="60"/>
      <c r="X849" s="60"/>
      <c r="Y849" s="60"/>
      <c r="Z849" s="60"/>
    </row>
    <row r="850" spans="1:26" ht="30" hidden="1" customHeight="1">
      <c r="A850" s="95" t="s">
        <v>2066</v>
      </c>
      <c r="B850" s="51" t="s">
        <v>1107</v>
      </c>
      <c r="C850" s="96"/>
      <c r="D850" s="96"/>
      <c r="E850" s="53"/>
      <c r="F850" s="53"/>
      <c r="G850" s="96">
        <f t="shared" si="319"/>
        <v>0</v>
      </c>
      <c r="H850" s="96"/>
      <c r="I850" s="60"/>
      <c r="J850" s="60"/>
      <c r="K850" s="60"/>
      <c r="L850" s="60"/>
      <c r="M850" s="60"/>
      <c r="N850" s="60"/>
      <c r="O850" s="60"/>
      <c r="P850" s="60"/>
      <c r="Q850" s="60"/>
      <c r="R850" s="60"/>
      <c r="S850" s="60"/>
      <c r="T850" s="60"/>
      <c r="U850" s="60"/>
      <c r="V850" s="60"/>
      <c r="W850" s="60"/>
      <c r="X850" s="60"/>
      <c r="Y850" s="60"/>
      <c r="Z850" s="60"/>
    </row>
    <row r="851" spans="1:26" ht="30" hidden="1" customHeight="1">
      <c r="A851" s="95" t="s">
        <v>2067</v>
      </c>
      <c r="B851" s="51" t="s">
        <v>1109</v>
      </c>
      <c r="C851" s="96"/>
      <c r="D851" s="96"/>
      <c r="E851" s="53"/>
      <c r="F851" s="53"/>
      <c r="G851" s="96">
        <f t="shared" si="319"/>
        <v>0</v>
      </c>
      <c r="H851" s="96"/>
      <c r="I851" s="60"/>
      <c r="J851" s="60"/>
      <c r="K851" s="60"/>
      <c r="L851" s="60"/>
      <c r="M851" s="60"/>
      <c r="N851" s="60"/>
      <c r="O851" s="60"/>
      <c r="P851" s="60"/>
      <c r="Q851" s="60"/>
      <c r="R851" s="60"/>
      <c r="S851" s="60"/>
      <c r="T851" s="60"/>
      <c r="U851" s="60"/>
      <c r="V851" s="60"/>
      <c r="W851" s="60"/>
      <c r="X851" s="60"/>
      <c r="Y851" s="60"/>
      <c r="Z851" s="60"/>
    </row>
    <row r="852" spans="1:26" ht="30" hidden="1" customHeight="1">
      <c r="A852" s="95" t="s">
        <v>2068</v>
      </c>
      <c r="B852" s="51" t="s">
        <v>1111</v>
      </c>
      <c r="C852" s="96"/>
      <c r="D852" s="96"/>
      <c r="E852" s="53">
        <v>36878564.920000002</v>
      </c>
      <c r="F852" s="53"/>
      <c r="G852" s="96">
        <f t="shared" si="319"/>
        <v>36878564.920000002</v>
      </c>
      <c r="H852" s="96"/>
      <c r="I852" s="60"/>
      <c r="J852" s="60"/>
      <c r="K852" s="60"/>
      <c r="L852" s="60"/>
      <c r="M852" s="60"/>
      <c r="N852" s="60"/>
      <c r="O852" s="60"/>
      <c r="P852" s="60"/>
      <c r="Q852" s="60"/>
      <c r="R852" s="60"/>
      <c r="S852" s="60"/>
      <c r="T852" s="60"/>
      <c r="U852" s="60"/>
      <c r="V852" s="60"/>
      <c r="W852" s="60"/>
      <c r="X852" s="60"/>
      <c r="Y852" s="60"/>
      <c r="Z852" s="60"/>
    </row>
    <row r="853" spans="1:26" ht="30" hidden="1" customHeight="1">
      <c r="A853" s="95" t="s">
        <v>2069</v>
      </c>
      <c r="B853" s="51" t="s">
        <v>2070</v>
      </c>
      <c r="C853" s="96"/>
      <c r="D853" s="96"/>
      <c r="E853" s="53">
        <v>799805146.89999998</v>
      </c>
      <c r="F853" s="53"/>
      <c r="G853" s="96">
        <f t="shared" si="319"/>
        <v>799805146.89999998</v>
      </c>
      <c r="H853" s="96"/>
      <c r="I853" s="60"/>
      <c r="J853" s="60"/>
      <c r="K853" s="60"/>
      <c r="L853" s="60"/>
      <c r="M853" s="60"/>
      <c r="N853" s="60"/>
      <c r="O853" s="60"/>
      <c r="P853" s="60"/>
      <c r="Q853" s="60"/>
      <c r="R853" s="60"/>
      <c r="S853" s="60"/>
      <c r="T853" s="60"/>
      <c r="U853" s="60"/>
      <c r="V853" s="60"/>
      <c r="W853" s="60"/>
      <c r="X853" s="60"/>
      <c r="Y853" s="60"/>
      <c r="Z853" s="60"/>
    </row>
    <row r="854" spans="1:26" ht="30" hidden="1" customHeight="1">
      <c r="A854" s="95" t="s">
        <v>2071</v>
      </c>
      <c r="B854" s="51" t="s">
        <v>1115</v>
      </c>
      <c r="C854" s="96"/>
      <c r="D854" s="96"/>
      <c r="E854" s="53">
        <v>4322658.55</v>
      </c>
      <c r="F854" s="53"/>
      <c r="G854" s="96">
        <f t="shared" si="319"/>
        <v>4322658.55</v>
      </c>
      <c r="H854" s="96"/>
      <c r="I854" s="60"/>
      <c r="J854" s="60"/>
      <c r="K854" s="60"/>
      <c r="L854" s="60"/>
      <c r="M854" s="60"/>
      <c r="N854" s="60"/>
      <c r="O854" s="60"/>
      <c r="P854" s="60"/>
      <c r="Q854" s="60"/>
      <c r="R854" s="60"/>
      <c r="S854" s="60"/>
      <c r="T854" s="60"/>
      <c r="U854" s="60"/>
      <c r="V854" s="60"/>
      <c r="W854" s="60"/>
      <c r="X854" s="60"/>
      <c r="Y854" s="60"/>
      <c r="Z854" s="60"/>
    </row>
    <row r="855" spans="1:26" ht="30" hidden="1" customHeight="1">
      <c r="A855" s="95" t="s">
        <v>2072</v>
      </c>
      <c r="B855" s="51" t="s">
        <v>2073</v>
      </c>
      <c r="C855" s="96"/>
      <c r="D855" s="96"/>
      <c r="E855" s="53">
        <v>1162463599.4400001</v>
      </c>
      <c r="F855" s="53"/>
      <c r="G855" s="96">
        <f t="shared" si="319"/>
        <v>1162463599.4400001</v>
      </c>
      <c r="H855" s="96"/>
      <c r="I855" s="60"/>
      <c r="J855" s="60"/>
      <c r="K855" s="60"/>
      <c r="L855" s="60"/>
      <c r="M855" s="60"/>
      <c r="N855" s="60"/>
      <c r="O855" s="60"/>
      <c r="P855" s="60"/>
      <c r="Q855" s="60"/>
      <c r="R855" s="60"/>
      <c r="S855" s="60"/>
      <c r="T855" s="60"/>
      <c r="U855" s="60"/>
      <c r="V855" s="60"/>
      <c r="W855" s="60"/>
      <c r="X855" s="60"/>
      <c r="Y855" s="60"/>
      <c r="Z855" s="60"/>
    </row>
    <row r="856" spans="1:26" ht="30" hidden="1" customHeight="1">
      <c r="A856" s="95" t="s">
        <v>2074</v>
      </c>
      <c r="B856" s="51" t="s">
        <v>1119</v>
      </c>
      <c r="C856" s="96"/>
      <c r="D856" s="96"/>
      <c r="E856" s="94">
        <f t="shared" ref="E856:G856" si="320">SUM(E857:E858)</f>
        <v>1507710011.28</v>
      </c>
      <c r="F856" s="94">
        <f t="shared" si="320"/>
        <v>0</v>
      </c>
      <c r="G856" s="94">
        <f t="shared" si="320"/>
        <v>1507710011.28</v>
      </c>
      <c r="H856" s="96"/>
      <c r="I856" s="60"/>
      <c r="J856" s="60"/>
      <c r="K856" s="60"/>
      <c r="L856" s="60"/>
      <c r="M856" s="60"/>
      <c r="N856" s="60"/>
      <c r="O856" s="60"/>
      <c r="P856" s="60"/>
      <c r="Q856" s="60"/>
      <c r="R856" s="60"/>
      <c r="S856" s="60"/>
      <c r="T856" s="60"/>
      <c r="U856" s="60"/>
      <c r="V856" s="60"/>
      <c r="W856" s="60"/>
      <c r="X856" s="60"/>
      <c r="Y856" s="60"/>
      <c r="Z856" s="60"/>
    </row>
    <row r="857" spans="1:26" ht="30" hidden="1" customHeight="1">
      <c r="A857" s="95" t="s">
        <v>2075</v>
      </c>
      <c r="B857" s="51" t="s">
        <v>1121</v>
      </c>
      <c r="C857" s="96"/>
      <c r="D857" s="96"/>
      <c r="E857" s="53">
        <v>146767398.31</v>
      </c>
      <c r="F857" s="53"/>
      <c r="G857" s="96">
        <f t="shared" ref="G857:G859" si="321">ROUND(E857-F857,2)</f>
        <v>146767398.31</v>
      </c>
      <c r="H857" s="96"/>
      <c r="I857" s="60"/>
      <c r="J857" s="60"/>
      <c r="K857" s="60"/>
      <c r="L857" s="60"/>
      <c r="M857" s="60"/>
      <c r="N857" s="60"/>
      <c r="O857" s="60"/>
      <c r="P857" s="60"/>
      <c r="Q857" s="60"/>
      <c r="R857" s="60"/>
      <c r="S857" s="60"/>
      <c r="T857" s="60"/>
      <c r="U857" s="60"/>
      <c r="V857" s="60"/>
      <c r="W857" s="60"/>
      <c r="X857" s="60"/>
      <c r="Y857" s="60"/>
      <c r="Z857" s="60"/>
    </row>
    <row r="858" spans="1:26" ht="30" hidden="1" customHeight="1">
      <c r="A858" s="95" t="s">
        <v>2076</v>
      </c>
      <c r="B858" s="51" t="s">
        <v>2077</v>
      </c>
      <c r="C858" s="96"/>
      <c r="D858" s="96"/>
      <c r="E858" s="53">
        <v>1360942612.97</v>
      </c>
      <c r="F858" s="53"/>
      <c r="G858" s="96">
        <f t="shared" si="321"/>
        <v>1360942612.97</v>
      </c>
      <c r="H858" s="96"/>
      <c r="I858" s="60"/>
      <c r="J858" s="60"/>
      <c r="K858" s="60"/>
      <c r="L858" s="60"/>
      <c r="M858" s="60"/>
      <c r="N858" s="60"/>
      <c r="O858" s="60"/>
      <c r="P858" s="60"/>
      <c r="Q858" s="60"/>
      <c r="R858" s="60"/>
      <c r="S858" s="60"/>
      <c r="T858" s="60"/>
      <c r="U858" s="60"/>
      <c r="V858" s="60"/>
      <c r="W858" s="60"/>
      <c r="X858" s="60"/>
      <c r="Y858" s="60"/>
      <c r="Z858" s="60"/>
    </row>
    <row r="859" spans="1:26" ht="30" hidden="1" customHeight="1">
      <c r="A859" s="95" t="s">
        <v>2078</v>
      </c>
      <c r="B859" s="51" t="s">
        <v>2079</v>
      </c>
      <c r="C859" s="96"/>
      <c r="D859" s="96"/>
      <c r="E859" s="53"/>
      <c r="F859" s="53"/>
      <c r="G859" s="96">
        <f t="shared" si="321"/>
        <v>0</v>
      </c>
      <c r="H859" s="96"/>
      <c r="I859" s="60"/>
      <c r="J859" s="60"/>
      <c r="K859" s="60"/>
      <c r="L859" s="60"/>
      <c r="M859" s="60"/>
      <c r="N859" s="60"/>
      <c r="O859" s="60"/>
      <c r="P859" s="60"/>
      <c r="Q859" s="60"/>
      <c r="R859" s="60"/>
      <c r="S859" s="60"/>
      <c r="T859" s="60"/>
      <c r="U859" s="60"/>
      <c r="V859" s="60"/>
      <c r="W859" s="60"/>
      <c r="X859" s="60"/>
      <c r="Y859" s="60"/>
      <c r="Z859" s="60"/>
    </row>
    <row r="860" spans="1:26" ht="30" hidden="1" customHeight="1">
      <c r="A860" s="95" t="s">
        <v>2080</v>
      </c>
      <c r="B860" s="51" t="s">
        <v>2081</v>
      </c>
      <c r="C860" s="96"/>
      <c r="D860" s="96"/>
      <c r="E860" s="94">
        <f t="shared" ref="E860:G860" si="322">SUM(E861:E864)</f>
        <v>0</v>
      </c>
      <c r="F860" s="94">
        <f t="shared" si="322"/>
        <v>0</v>
      </c>
      <c r="G860" s="94">
        <f t="shared" si="322"/>
        <v>0</v>
      </c>
      <c r="H860" s="96"/>
      <c r="I860" s="60"/>
      <c r="J860" s="60"/>
      <c r="K860" s="60"/>
      <c r="L860" s="60"/>
      <c r="M860" s="60"/>
      <c r="N860" s="60"/>
      <c r="O860" s="60"/>
      <c r="P860" s="60"/>
      <c r="Q860" s="60"/>
      <c r="R860" s="60"/>
      <c r="S860" s="60"/>
      <c r="T860" s="60"/>
      <c r="U860" s="60"/>
      <c r="V860" s="60"/>
      <c r="W860" s="60"/>
      <c r="X860" s="60"/>
      <c r="Y860" s="60"/>
      <c r="Z860" s="60"/>
    </row>
    <row r="861" spans="1:26" ht="30" hidden="1" customHeight="1">
      <c r="A861" s="95" t="s">
        <v>2082</v>
      </c>
      <c r="B861" s="51" t="s">
        <v>1127</v>
      </c>
      <c r="C861" s="96"/>
      <c r="D861" s="96"/>
      <c r="E861" s="53"/>
      <c r="F861" s="53"/>
      <c r="G861" s="96">
        <f t="shared" ref="G861:G864" si="323">ROUND(E861-F861,2)</f>
        <v>0</v>
      </c>
      <c r="H861" s="96"/>
      <c r="I861" s="60"/>
      <c r="J861" s="60"/>
      <c r="K861" s="60"/>
      <c r="L861" s="60"/>
      <c r="M861" s="60"/>
      <c r="N861" s="60"/>
      <c r="O861" s="60"/>
      <c r="P861" s="60"/>
      <c r="Q861" s="60"/>
      <c r="R861" s="60"/>
      <c r="S861" s="60"/>
      <c r="T861" s="60"/>
      <c r="U861" s="60"/>
      <c r="V861" s="60"/>
      <c r="W861" s="60"/>
      <c r="X861" s="60"/>
      <c r="Y861" s="60"/>
      <c r="Z861" s="60"/>
    </row>
    <row r="862" spans="1:26" ht="30" hidden="1" customHeight="1">
      <c r="A862" s="95" t="s">
        <v>2083</v>
      </c>
      <c r="B862" s="51" t="s">
        <v>1809</v>
      </c>
      <c r="C862" s="96"/>
      <c r="D862" s="96"/>
      <c r="E862" s="53"/>
      <c r="F862" s="53"/>
      <c r="G862" s="96">
        <f t="shared" si="323"/>
        <v>0</v>
      </c>
      <c r="H862" s="96"/>
      <c r="I862" s="60"/>
      <c r="J862" s="60"/>
      <c r="K862" s="60"/>
      <c r="L862" s="60"/>
      <c r="M862" s="60"/>
      <c r="N862" s="60"/>
      <c r="O862" s="60"/>
      <c r="P862" s="60"/>
      <c r="Q862" s="60"/>
      <c r="R862" s="60"/>
      <c r="S862" s="60"/>
      <c r="T862" s="60"/>
      <c r="U862" s="60"/>
      <c r="V862" s="60"/>
      <c r="W862" s="60"/>
      <c r="X862" s="60"/>
      <c r="Y862" s="60"/>
      <c r="Z862" s="60"/>
    </row>
    <row r="863" spans="1:26" ht="30" hidden="1" customHeight="1">
      <c r="A863" s="95" t="s">
        <v>2084</v>
      </c>
      <c r="B863" s="51" t="s">
        <v>1804</v>
      </c>
      <c r="C863" s="96"/>
      <c r="D863" s="96"/>
      <c r="E863" s="53"/>
      <c r="F863" s="53"/>
      <c r="G863" s="96">
        <f t="shared" si="323"/>
        <v>0</v>
      </c>
      <c r="H863" s="96"/>
      <c r="I863" s="60"/>
      <c r="J863" s="60"/>
      <c r="K863" s="60"/>
      <c r="L863" s="60"/>
      <c r="M863" s="60"/>
      <c r="N863" s="60"/>
      <c r="O863" s="60"/>
      <c r="P863" s="60"/>
      <c r="Q863" s="60"/>
      <c r="R863" s="60"/>
      <c r="S863" s="60"/>
      <c r="T863" s="60"/>
      <c r="U863" s="60"/>
      <c r="V863" s="60"/>
      <c r="W863" s="60"/>
      <c r="X863" s="60"/>
      <c r="Y863" s="60"/>
      <c r="Z863" s="60"/>
    </row>
    <row r="864" spans="1:26" ht="30" hidden="1" customHeight="1">
      <c r="A864" s="95" t="s">
        <v>2085</v>
      </c>
      <c r="B864" s="51" t="s">
        <v>2086</v>
      </c>
      <c r="C864" s="96"/>
      <c r="D864" s="96"/>
      <c r="E864" s="53"/>
      <c r="F864" s="53"/>
      <c r="G864" s="96">
        <f t="shared" si="323"/>
        <v>0</v>
      </c>
      <c r="H864" s="96"/>
      <c r="I864" s="60"/>
      <c r="J864" s="60"/>
      <c r="K864" s="60"/>
      <c r="L864" s="60"/>
      <c r="M864" s="60"/>
      <c r="N864" s="60"/>
      <c r="O864" s="60"/>
      <c r="P864" s="60"/>
      <c r="Q864" s="60"/>
      <c r="R864" s="60"/>
      <c r="S864" s="60"/>
      <c r="T864" s="60"/>
      <c r="U864" s="60"/>
      <c r="V864" s="60"/>
      <c r="W864" s="60"/>
      <c r="X864" s="60"/>
      <c r="Y864" s="60"/>
      <c r="Z864" s="60"/>
    </row>
    <row r="865" spans="1:26" ht="30" hidden="1" customHeight="1">
      <c r="A865" s="95" t="s">
        <v>2087</v>
      </c>
      <c r="B865" s="51" t="s">
        <v>1139</v>
      </c>
      <c r="C865" s="96"/>
      <c r="D865" s="96"/>
      <c r="E865" s="94">
        <f t="shared" ref="E865:G865" si="324">SUM(E866:E870)</f>
        <v>110458305.82000001</v>
      </c>
      <c r="F865" s="94">
        <f t="shared" si="324"/>
        <v>0</v>
      </c>
      <c r="G865" s="94">
        <f t="shared" si="324"/>
        <v>110458305.82000001</v>
      </c>
      <c r="H865" s="96"/>
      <c r="I865" s="60"/>
      <c r="J865" s="60"/>
      <c r="K865" s="60"/>
      <c r="L865" s="60"/>
      <c r="M865" s="60"/>
      <c r="N865" s="60"/>
      <c r="O865" s="60"/>
      <c r="P865" s="60"/>
      <c r="Q865" s="60"/>
      <c r="R865" s="60"/>
      <c r="S865" s="60"/>
      <c r="T865" s="60"/>
      <c r="U865" s="60"/>
      <c r="V865" s="60"/>
      <c r="W865" s="60"/>
      <c r="X865" s="60"/>
      <c r="Y865" s="60"/>
      <c r="Z865" s="60"/>
    </row>
    <row r="866" spans="1:26" ht="30" hidden="1" customHeight="1">
      <c r="A866" s="95" t="s">
        <v>2088</v>
      </c>
      <c r="B866" s="51" t="s">
        <v>1141</v>
      </c>
      <c r="C866" s="96"/>
      <c r="D866" s="96"/>
      <c r="E866" s="53">
        <v>555.66999999999996</v>
      </c>
      <c r="F866" s="53"/>
      <c r="G866" s="96">
        <f t="shared" ref="G866:G870" si="325">ROUND(E866-F866,2)</f>
        <v>555.66999999999996</v>
      </c>
      <c r="H866" s="96"/>
      <c r="I866" s="60"/>
      <c r="J866" s="60"/>
      <c r="K866" s="60"/>
      <c r="L866" s="60"/>
      <c r="M866" s="60"/>
      <c r="N866" s="60"/>
      <c r="O866" s="60"/>
      <c r="P866" s="60"/>
      <c r="Q866" s="60"/>
      <c r="R866" s="60"/>
      <c r="S866" s="60"/>
      <c r="T866" s="60"/>
      <c r="U866" s="60"/>
      <c r="V866" s="60"/>
      <c r="W866" s="60"/>
      <c r="X866" s="60"/>
      <c r="Y866" s="60"/>
      <c r="Z866" s="60"/>
    </row>
    <row r="867" spans="1:26" ht="30" hidden="1" customHeight="1">
      <c r="A867" s="95" t="s">
        <v>2089</v>
      </c>
      <c r="B867" s="51" t="s">
        <v>1143</v>
      </c>
      <c r="C867" s="96"/>
      <c r="D867" s="96"/>
      <c r="E867" s="53">
        <v>12646691.640000001</v>
      </c>
      <c r="F867" s="53"/>
      <c r="G867" s="96">
        <f t="shared" si="325"/>
        <v>12646691.640000001</v>
      </c>
      <c r="H867" s="96"/>
      <c r="I867" s="60"/>
      <c r="J867" s="60"/>
      <c r="K867" s="60"/>
      <c r="L867" s="60"/>
      <c r="M867" s="60"/>
      <c r="N867" s="60"/>
      <c r="O867" s="60"/>
      <c r="P867" s="60"/>
      <c r="Q867" s="60"/>
      <c r="R867" s="60"/>
      <c r="S867" s="60"/>
      <c r="T867" s="60"/>
      <c r="U867" s="60"/>
      <c r="V867" s="60"/>
      <c r="W867" s="60"/>
      <c r="X867" s="60"/>
      <c r="Y867" s="60"/>
      <c r="Z867" s="60"/>
    </row>
    <row r="868" spans="1:26" ht="30" hidden="1" customHeight="1">
      <c r="A868" s="95" t="s">
        <v>2090</v>
      </c>
      <c r="B868" s="51" t="s">
        <v>1145</v>
      </c>
      <c r="C868" s="96"/>
      <c r="D868" s="96"/>
      <c r="E868" s="53">
        <v>97811058.510000005</v>
      </c>
      <c r="F868" s="53"/>
      <c r="G868" s="96">
        <f t="shared" si="325"/>
        <v>97811058.510000005</v>
      </c>
      <c r="H868" s="96"/>
      <c r="I868" s="60"/>
      <c r="J868" s="60"/>
      <c r="K868" s="60"/>
      <c r="L868" s="60"/>
      <c r="M868" s="60"/>
      <c r="N868" s="60"/>
      <c r="O868" s="60"/>
      <c r="P868" s="60"/>
      <c r="Q868" s="60"/>
      <c r="R868" s="60"/>
      <c r="S868" s="60"/>
      <c r="T868" s="60"/>
      <c r="U868" s="60"/>
      <c r="V868" s="60"/>
      <c r="W868" s="60"/>
      <c r="X868" s="60"/>
      <c r="Y868" s="60"/>
      <c r="Z868" s="60"/>
    </row>
    <row r="869" spans="1:26" ht="30" hidden="1" customHeight="1">
      <c r="A869" s="95" t="s">
        <v>2091</v>
      </c>
      <c r="B869" s="51" t="s">
        <v>1147</v>
      </c>
      <c r="C869" s="96"/>
      <c r="D869" s="96"/>
      <c r="E869" s="53"/>
      <c r="F869" s="53"/>
      <c r="G869" s="96">
        <f t="shared" si="325"/>
        <v>0</v>
      </c>
      <c r="H869" s="96"/>
      <c r="I869" s="60"/>
      <c r="J869" s="60"/>
      <c r="K869" s="60"/>
      <c r="L869" s="60"/>
      <c r="M869" s="60"/>
      <c r="N869" s="60"/>
      <c r="O869" s="60"/>
      <c r="P869" s="60"/>
      <c r="Q869" s="60"/>
      <c r="R869" s="60"/>
      <c r="S869" s="60"/>
      <c r="T869" s="60"/>
      <c r="U869" s="60"/>
      <c r="V869" s="60"/>
      <c r="W869" s="60"/>
      <c r="X869" s="60"/>
      <c r="Y869" s="60"/>
      <c r="Z869" s="60"/>
    </row>
    <row r="870" spans="1:26" ht="30" hidden="1" customHeight="1">
      <c r="A870" s="95" t="s">
        <v>2092</v>
      </c>
      <c r="B870" s="51" t="s">
        <v>1149</v>
      </c>
      <c r="C870" s="96"/>
      <c r="D870" s="96"/>
      <c r="E870" s="53"/>
      <c r="F870" s="53"/>
      <c r="G870" s="96">
        <f t="shared" si="325"/>
        <v>0</v>
      </c>
      <c r="H870" s="96"/>
      <c r="I870" s="60"/>
      <c r="J870" s="60"/>
      <c r="K870" s="60"/>
      <c r="L870" s="60"/>
      <c r="M870" s="60"/>
      <c r="N870" s="60"/>
      <c r="O870" s="60"/>
      <c r="P870" s="60"/>
      <c r="Q870" s="60"/>
      <c r="R870" s="60"/>
      <c r="S870" s="60"/>
      <c r="T870" s="60"/>
      <c r="U870" s="60"/>
      <c r="V870" s="60"/>
      <c r="W870" s="60"/>
      <c r="X870" s="60"/>
      <c r="Y870" s="60"/>
      <c r="Z870" s="60"/>
    </row>
    <row r="871" spans="1:26" ht="30" hidden="1" customHeight="1">
      <c r="A871" s="95" t="s">
        <v>2093</v>
      </c>
      <c r="B871" s="51" t="s">
        <v>1151</v>
      </c>
      <c r="C871" s="96"/>
      <c r="D871" s="96"/>
      <c r="E871" s="94">
        <f t="shared" ref="E871:G871" si="326">SUM(E872:E873)</f>
        <v>0</v>
      </c>
      <c r="F871" s="94">
        <f t="shared" si="326"/>
        <v>0</v>
      </c>
      <c r="G871" s="94">
        <f t="shared" si="326"/>
        <v>0</v>
      </c>
      <c r="H871" s="96"/>
      <c r="I871" s="60"/>
      <c r="J871" s="60"/>
      <c r="K871" s="60"/>
      <c r="L871" s="60"/>
      <c r="M871" s="60"/>
      <c r="N871" s="60"/>
      <c r="O871" s="60"/>
      <c r="P871" s="60"/>
      <c r="Q871" s="60"/>
      <c r="R871" s="60"/>
      <c r="S871" s="60"/>
      <c r="T871" s="60"/>
      <c r="U871" s="60"/>
      <c r="V871" s="60"/>
      <c r="W871" s="60"/>
      <c r="X871" s="60"/>
      <c r="Y871" s="60"/>
      <c r="Z871" s="60"/>
    </row>
    <row r="872" spans="1:26" ht="30" hidden="1" customHeight="1">
      <c r="A872" s="95" t="s">
        <v>2094</v>
      </c>
      <c r="B872" s="51" t="s">
        <v>1153</v>
      </c>
      <c r="C872" s="96"/>
      <c r="D872" s="96"/>
      <c r="E872" s="53"/>
      <c r="F872" s="53"/>
      <c r="G872" s="96">
        <f t="shared" ref="G872:G873" si="327">ROUND(E872-F872,2)</f>
        <v>0</v>
      </c>
      <c r="H872" s="96"/>
      <c r="I872" s="60"/>
      <c r="J872" s="60"/>
      <c r="K872" s="60"/>
      <c r="L872" s="60"/>
      <c r="M872" s="60"/>
      <c r="N872" s="60"/>
      <c r="O872" s="60"/>
      <c r="P872" s="60"/>
      <c r="Q872" s="60"/>
      <c r="R872" s="60"/>
      <c r="S872" s="60"/>
      <c r="T872" s="60"/>
      <c r="U872" s="60"/>
      <c r="V872" s="60"/>
      <c r="W872" s="60"/>
      <c r="X872" s="60"/>
      <c r="Y872" s="60"/>
      <c r="Z872" s="60"/>
    </row>
    <row r="873" spans="1:26" ht="30" hidden="1" customHeight="1">
      <c r="A873" s="95" t="s">
        <v>2095</v>
      </c>
      <c r="B873" s="51" t="s">
        <v>1155</v>
      </c>
      <c r="C873" s="96"/>
      <c r="D873" s="96"/>
      <c r="E873" s="53"/>
      <c r="F873" s="53"/>
      <c r="G873" s="96">
        <f t="shared" si="327"/>
        <v>0</v>
      </c>
      <c r="H873" s="96"/>
      <c r="I873" s="60"/>
      <c r="J873" s="60"/>
      <c r="K873" s="60"/>
      <c r="L873" s="60"/>
      <c r="M873" s="60"/>
      <c r="N873" s="60"/>
      <c r="O873" s="60"/>
      <c r="P873" s="60"/>
      <c r="Q873" s="60"/>
      <c r="R873" s="60"/>
      <c r="S873" s="60"/>
      <c r="T873" s="60"/>
      <c r="U873" s="60"/>
      <c r="V873" s="60"/>
      <c r="W873" s="60"/>
      <c r="X873" s="60"/>
      <c r="Y873" s="60"/>
      <c r="Z873" s="60"/>
    </row>
    <row r="874" spans="1:26" ht="30" hidden="1" customHeight="1">
      <c r="A874" s="92" t="s">
        <v>2096</v>
      </c>
      <c r="B874" s="93" t="s">
        <v>2097</v>
      </c>
      <c r="C874" s="94"/>
      <c r="D874" s="94"/>
      <c r="E874" s="94">
        <f t="shared" ref="E874:G874" si="328">SUM(E875:E883)</f>
        <v>0</v>
      </c>
      <c r="F874" s="94">
        <f t="shared" si="328"/>
        <v>0</v>
      </c>
      <c r="G874" s="94">
        <f t="shared" si="328"/>
        <v>0</v>
      </c>
      <c r="H874" s="94"/>
      <c r="I874" s="60"/>
      <c r="J874" s="60"/>
      <c r="K874" s="60"/>
      <c r="L874" s="60"/>
      <c r="M874" s="60"/>
      <c r="N874" s="60"/>
      <c r="O874" s="60"/>
      <c r="P874" s="60"/>
      <c r="Q874" s="60"/>
      <c r="R874" s="60"/>
      <c r="S874" s="60"/>
      <c r="T874" s="60"/>
      <c r="U874" s="60"/>
      <c r="V874" s="60"/>
      <c r="W874" s="60"/>
      <c r="X874" s="60"/>
      <c r="Y874" s="60"/>
      <c r="Z874" s="60"/>
    </row>
    <row r="875" spans="1:26" ht="30" hidden="1" customHeight="1">
      <c r="A875" s="95" t="s">
        <v>2098</v>
      </c>
      <c r="B875" s="51" t="s">
        <v>2099</v>
      </c>
      <c r="C875" s="96"/>
      <c r="D875" s="96"/>
      <c r="E875" s="53"/>
      <c r="F875" s="53"/>
      <c r="G875" s="96">
        <f t="shared" ref="G875:G876" si="329">ROUND(E875-F875,2)</f>
        <v>0</v>
      </c>
      <c r="H875" s="96"/>
      <c r="I875" s="60"/>
      <c r="J875" s="60"/>
      <c r="K875" s="60"/>
      <c r="L875" s="60"/>
      <c r="M875" s="60"/>
      <c r="N875" s="60"/>
      <c r="O875" s="60"/>
      <c r="P875" s="60"/>
      <c r="Q875" s="60"/>
      <c r="R875" s="60"/>
      <c r="S875" s="60"/>
      <c r="T875" s="60"/>
      <c r="U875" s="60"/>
      <c r="V875" s="60"/>
      <c r="W875" s="60"/>
      <c r="X875" s="60"/>
      <c r="Y875" s="60"/>
      <c r="Z875" s="60"/>
    </row>
    <row r="876" spans="1:26" ht="30" hidden="1" customHeight="1">
      <c r="A876" s="95" t="s">
        <v>2100</v>
      </c>
      <c r="B876" s="51" t="s">
        <v>2101</v>
      </c>
      <c r="C876" s="96"/>
      <c r="D876" s="96"/>
      <c r="E876" s="53"/>
      <c r="F876" s="53"/>
      <c r="G876" s="96">
        <f t="shared" si="329"/>
        <v>0</v>
      </c>
      <c r="H876" s="96"/>
      <c r="I876" s="60"/>
      <c r="J876" s="60"/>
      <c r="K876" s="60"/>
      <c r="L876" s="60"/>
      <c r="M876" s="60"/>
      <c r="N876" s="60"/>
      <c r="O876" s="60"/>
      <c r="P876" s="60"/>
      <c r="Q876" s="60"/>
      <c r="R876" s="60"/>
      <c r="S876" s="60"/>
      <c r="T876" s="60"/>
      <c r="U876" s="60"/>
      <c r="V876" s="60"/>
      <c r="W876" s="60"/>
      <c r="X876" s="60"/>
      <c r="Y876" s="60"/>
      <c r="Z876" s="60"/>
    </row>
    <row r="877" spans="1:26" ht="30" hidden="1" customHeight="1">
      <c r="A877" s="95" t="s">
        <v>2102</v>
      </c>
      <c r="B877" s="51" t="s">
        <v>2103</v>
      </c>
      <c r="C877" s="96"/>
      <c r="D877" s="96"/>
      <c r="E877" s="96"/>
      <c r="F877" s="96"/>
      <c r="G877" s="96">
        <f>E877-F877</f>
        <v>0</v>
      </c>
      <c r="H877" s="96"/>
      <c r="I877" s="60"/>
      <c r="J877" s="60"/>
      <c r="K877" s="60"/>
      <c r="L877" s="60"/>
      <c r="M877" s="60"/>
      <c r="N877" s="60"/>
      <c r="O877" s="60"/>
      <c r="P877" s="60"/>
      <c r="Q877" s="60"/>
      <c r="R877" s="60"/>
      <c r="S877" s="60"/>
      <c r="T877" s="60"/>
      <c r="U877" s="60"/>
      <c r="V877" s="60"/>
      <c r="W877" s="60"/>
      <c r="X877" s="60"/>
      <c r="Y877" s="60"/>
      <c r="Z877" s="60"/>
    </row>
    <row r="878" spans="1:26" ht="30" hidden="1" customHeight="1">
      <c r="A878" s="95" t="s">
        <v>2104</v>
      </c>
      <c r="B878" s="51" t="s">
        <v>2105</v>
      </c>
      <c r="C878" s="96"/>
      <c r="D878" s="96"/>
      <c r="E878" s="53"/>
      <c r="F878" s="53"/>
      <c r="G878" s="96">
        <f t="shared" ref="G878:G879" si="330">ROUND(E878-F878,2)</f>
        <v>0</v>
      </c>
      <c r="H878" s="96"/>
      <c r="I878" s="60"/>
      <c r="J878" s="60"/>
      <c r="K878" s="60"/>
      <c r="L878" s="60"/>
      <c r="M878" s="60"/>
      <c r="N878" s="60"/>
      <c r="O878" s="60"/>
      <c r="P878" s="60"/>
      <c r="Q878" s="60"/>
      <c r="R878" s="60"/>
      <c r="S878" s="60"/>
      <c r="T878" s="60"/>
      <c r="U878" s="60"/>
      <c r="V878" s="60"/>
      <c r="W878" s="60"/>
      <c r="X878" s="60"/>
      <c r="Y878" s="60"/>
      <c r="Z878" s="60"/>
    </row>
    <row r="879" spans="1:26" ht="30" hidden="1" customHeight="1">
      <c r="A879" s="95" t="s">
        <v>2106</v>
      </c>
      <c r="B879" s="51" t="s">
        <v>2107</v>
      </c>
      <c r="C879" s="96"/>
      <c r="D879" s="96"/>
      <c r="E879" s="53"/>
      <c r="F879" s="53"/>
      <c r="G879" s="96">
        <f t="shared" si="330"/>
        <v>0</v>
      </c>
      <c r="H879" s="96"/>
      <c r="I879" s="60"/>
      <c r="J879" s="60"/>
      <c r="K879" s="60"/>
      <c r="L879" s="60"/>
      <c r="M879" s="60"/>
      <c r="N879" s="60"/>
      <c r="O879" s="60"/>
      <c r="P879" s="60"/>
      <c r="Q879" s="60"/>
      <c r="R879" s="60"/>
      <c r="S879" s="60"/>
      <c r="T879" s="60"/>
      <c r="U879" s="60"/>
      <c r="V879" s="60"/>
      <c r="W879" s="60"/>
      <c r="X879" s="60"/>
      <c r="Y879" s="60"/>
      <c r="Z879" s="60"/>
    </row>
    <row r="880" spans="1:26" ht="30" hidden="1" customHeight="1">
      <c r="A880" s="95" t="s">
        <v>2108</v>
      </c>
      <c r="B880" s="51" t="s">
        <v>2109</v>
      </c>
      <c r="C880" s="96"/>
      <c r="D880" s="96"/>
      <c r="E880" s="96"/>
      <c r="F880" s="96"/>
      <c r="G880" s="96">
        <f>E880-F880</f>
        <v>0</v>
      </c>
      <c r="H880" s="96"/>
      <c r="I880" s="60"/>
      <c r="J880" s="60"/>
      <c r="K880" s="60"/>
      <c r="L880" s="60"/>
      <c r="M880" s="60"/>
      <c r="N880" s="60"/>
      <c r="O880" s="60"/>
      <c r="P880" s="60"/>
      <c r="Q880" s="60"/>
      <c r="R880" s="60"/>
      <c r="S880" s="60"/>
      <c r="T880" s="60"/>
      <c r="U880" s="60"/>
      <c r="V880" s="60"/>
      <c r="W880" s="60"/>
      <c r="X880" s="60"/>
      <c r="Y880" s="60"/>
      <c r="Z880" s="60"/>
    </row>
    <row r="881" spans="1:26" ht="30" hidden="1" customHeight="1">
      <c r="A881" s="95" t="s">
        <v>2110</v>
      </c>
      <c r="B881" s="51" t="s">
        <v>1175</v>
      </c>
      <c r="C881" s="96"/>
      <c r="D881" s="96"/>
      <c r="E881" s="53"/>
      <c r="F881" s="53"/>
      <c r="G881" s="96">
        <f>ROUND(E881-F881,2)</f>
        <v>0</v>
      </c>
      <c r="H881" s="96"/>
      <c r="I881" s="60"/>
      <c r="J881" s="60"/>
      <c r="K881" s="60"/>
      <c r="L881" s="60"/>
      <c r="M881" s="60"/>
      <c r="N881" s="60"/>
      <c r="O881" s="60"/>
      <c r="P881" s="60"/>
      <c r="Q881" s="60"/>
      <c r="R881" s="60"/>
      <c r="S881" s="60"/>
      <c r="T881" s="60"/>
      <c r="U881" s="60"/>
      <c r="V881" s="60"/>
      <c r="W881" s="60"/>
      <c r="X881" s="60"/>
      <c r="Y881" s="60"/>
      <c r="Z881" s="60"/>
    </row>
    <row r="882" spans="1:26" ht="30" hidden="1" customHeight="1">
      <c r="A882" s="95" t="s">
        <v>2111</v>
      </c>
      <c r="B882" s="51" t="s">
        <v>2112</v>
      </c>
      <c r="C882" s="96"/>
      <c r="D882" s="96"/>
      <c r="E882" s="96"/>
      <c r="F882" s="96"/>
      <c r="G882" s="96">
        <f>E882-F882</f>
        <v>0</v>
      </c>
      <c r="H882" s="96"/>
      <c r="I882" s="60"/>
      <c r="J882" s="60"/>
      <c r="K882" s="60"/>
      <c r="L882" s="60"/>
      <c r="M882" s="60"/>
      <c r="N882" s="60"/>
      <c r="O882" s="60"/>
      <c r="P882" s="60"/>
      <c r="Q882" s="60"/>
      <c r="R882" s="60"/>
      <c r="S882" s="60"/>
      <c r="T882" s="60"/>
      <c r="U882" s="60"/>
      <c r="V882" s="60"/>
      <c r="W882" s="60"/>
      <c r="X882" s="60"/>
      <c r="Y882" s="60"/>
      <c r="Z882" s="60"/>
    </row>
    <row r="883" spans="1:26" ht="30" hidden="1" customHeight="1">
      <c r="A883" s="95" t="s">
        <v>2113</v>
      </c>
      <c r="B883" s="51" t="s">
        <v>1180</v>
      </c>
      <c r="C883" s="96"/>
      <c r="D883" s="96"/>
      <c r="E883" s="53"/>
      <c r="F883" s="53"/>
      <c r="G883" s="96">
        <f>ROUND(E883-F883,2)</f>
        <v>0</v>
      </c>
      <c r="H883" s="96"/>
      <c r="I883" s="60"/>
      <c r="J883" s="60"/>
      <c r="K883" s="60"/>
      <c r="L883" s="60"/>
      <c r="M883" s="60"/>
      <c r="N883" s="60"/>
      <c r="O883" s="60"/>
      <c r="P883" s="60"/>
      <c r="Q883" s="60"/>
      <c r="R883" s="60"/>
      <c r="S883" s="60"/>
      <c r="T883" s="60"/>
      <c r="U883" s="60"/>
      <c r="V883" s="60"/>
      <c r="W883" s="60"/>
      <c r="X883" s="60"/>
      <c r="Y883" s="60"/>
      <c r="Z883" s="60"/>
    </row>
    <row r="884" spans="1:26" ht="30" hidden="1" customHeight="1">
      <c r="A884" s="92" t="s">
        <v>2114</v>
      </c>
      <c r="B884" s="93" t="s">
        <v>2115</v>
      </c>
      <c r="C884" s="94"/>
      <c r="D884" s="94"/>
      <c r="E884" s="94">
        <f t="shared" ref="E884:G884" si="331">SUM(E885:E887)</f>
        <v>0</v>
      </c>
      <c r="F884" s="94">
        <f t="shared" si="331"/>
        <v>0</v>
      </c>
      <c r="G884" s="94">
        <f t="shared" si="331"/>
        <v>0</v>
      </c>
      <c r="H884" s="94"/>
      <c r="I884" s="60"/>
      <c r="J884" s="60"/>
      <c r="K884" s="60"/>
      <c r="L884" s="60"/>
      <c r="M884" s="60"/>
      <c r="N884" s="60"/>
      <c r="O884" s="60"/>
      <c r="P884" s="60"/>
      <c r="Q884" s="60"/>
      <c r="R884" s="60"/>
      <c r="S884" s="60"/>
      <c r="T884" s="60"/>
      <c r="U884" s="60"/>
      <c r="V884" s="60"/>
      <c r="W884" s="60"/>
      <c r="X884" s="60"/>
      <c r="Y884" s="60"/>
      <c r="Z884" s="60"/>
    </row>
    <row r="885" spans="1:26" ht="30" hidden="1" customHeight="1">
      <c r="A885" s="95" t="s">
        <v>2116</v>
      </c>
      <c r="B885" s="51" t="s">
        <v>2117</v>
      </c>
      <c r="C885" s="96"/>
      <c r="D885" s="96"/>
      <c r="E885" s="96"/>
      <c r="F885" s="96"/>
      <c r="G885" s="96">
        <f t="shared" ref="G885:G886" si="332">E885-F885</f>
        <v>0</v>
      </c>
      <c r="H885" s="96"/>
      <c r="I885" s="60"/>
      <c r="J885" s="60"/>
      <c r="K885" s="60"/>
      <c r="L885" s="60"/>
      <c r="M885" s="60"/>
      <c r="N885" s="60"/>
      <c r="O885" s="60"/>
      <c r="P885" s="60"/>
      <c r="Q885" s="60"/>
      <c r="R885" s="60"/>
      <c r="S885" s="60"/>
      <c r="T885" s="60"/>
      <c r="U885" s="60"/>
      <c r="V885" s="60"/>
      <c r="W885" s="60"/>
      <c r="X885" s="60"/>
      <c r="Y885" s="60"/>
      <c r="Z885" s="60"/>
    </row>
    <row r="886" spans="1:26" ht="30" hidden="1" customHeight="1">
      <c r="A886" s="95" t="s">
        <v>2118</v>
      </c>
      <c r="B886" s="51" t="s">
        <v>2119</v>
      </c>
      <c r="C886" s="96"/>
      <c r="D886" s="96"/>
      <c r="E886" s="96"/>
      <c r="F886" s="96"/>
      <c r="G886" s="96">
        <f t="shared" si="332"/>
        <v>0</v>
      </c>
      <c r="H886" s="96"/>
      <c r="I886" s="60"/>
      <c r="J886" s="60"/>
      <c r="K886" s="60"/>
      <c r="L886" s="60"/>
      <c r="M886" s="60"/>
      <c r="N886" s="60"/>
      <c r="O886" s="60"/>
      <c r="P886" s="60"/>
      <c r="Q886" s="60"/>
      <c r="R886" s="60"/>
      <c r="S886" s="60"/>
      <c r="T886" s="60"/>
      <c r="U886" s="60"/>
      <c r="V886" s="60"/>
      <c r="W886" s="60"/>
      <c r="X886" s="60"/>
      <c r="Y886" s="60"/>
      <c r="Z886" s="60"/>
    </row>
    <row r="887" spans="1:26" ht="30" hidden="1" customHeight="1">
      <c r="A887" s="95" t="s">
        <v>2120</v>
      </c>
      <c r="B887" s="55" t="s">
        <v>2121</v>
      </c>
      <c r="C887" s="96"/>
      <c r="D887" s="96"/>
      <c r="E887" s="94">
        <f t="shared" ref="E887:G887" si="333">SUM(E888:E889)</f>
        <v>0</v>
      </c>
      <c r="F887" s="94">
        <f t="shared" si="333"/>
        <v>0</v>
      </c>
      <c r="G887" s="94">
        <f t="shared" si="333"/>
        <v>0</v>
      </c>
      <c r="H887" s="96"/>
      <c r="I887" s="60"/>
      <c r="J887" s="60"/>
      <c r="K887" s="60"/>
      <c r="L887" s="60"/>
      <c r="M887" s="60"/>
      <c r="N887" s="60"/>
      <c r="O887" s="60"/>
      <c r="P887" s="60"/>
      <c r="Q887" s="60"/>
      <c r="R887" s="60"/>
      <c r="S887" s="60"/>
      <c r="T887" s="60"/>
      <c r="U887" s="60"/>
      <c r="V887" s="60"/>
      <c r="W887" s="60"/>
      <c r="X887" s="60"/>
      <c r="Y887" s="60"/>
      <c r="Z887" s="60"/>
    </row>
    <row r="888" spans="1:26" ht="30" hidden="1" customHeight="1">
      <c r="A888" s="98" t="s">
        <v>2122</v>
      </c>
      <c r="B888" s="55" t="s">
        <v>2123</v>
      </c>
      <c r="C888" s="99"/>
      <c r="D888" s="96"/>
      <c r="E888" s="53"/>
      <c r="F888" s="53"/>
      <c r="G888" s="96">
        <f t="shared" ref="G888:G889" si="334">ROUND(E888-F888,2)</f>
        <v>0</v>
      </c>
      <c r="H888" s="96"/>
      <c r="I888" s="60"/>
      <c r="J888" s="60"/>
      <c r="K888" s="60"/>
      <c r="L888" s="60"/>
      <c r="M888" s="60"/>
      <c r="N888" s="60"/>
      <c r="O888" s="60"/>
      <c r="P888" s="60"/>
      <c r="Q888" s="60"/>
      <c r="R888" s="60"/>
      <c r="S888" s="60"/>
      <c r="T888" s="60"/>
      <c r="U888" s="60"/>
      <c r="V888" s="60"/>
      <c r="W888" s="60"/>
      <c r="X888" s="60"/>
      <c r="Y888" s="60"/>
      <c r="Z888" s="60"/>
    </row>
    <row r="889" spans="1:26" ht="30" hidden="1" customHeight="1">
      <c r="A889" s="98" t="s">
        <v>2124</v>
      </c>
      <c r="B889" s="55" t="s">
        <v>2125</v>
      </c>
      <c r="C889" s="99"/>
      <c r="D889" s="96"/>
      <c r="E889" s="53"/>
      <c r="F889" s="53"/>
      <c r="G889" s="96">
        <f t="shared" si="334"/>
        <v>0</v>
      </c>
      <c r="H889" s="96"/>
      <c r="I889" s="60"/>
      <c r="J889" s="60"/>
      <c r="K889" s="60"/>
      <c r="L889" s="60"/>
      <c r="M889" s="60"/>
      <c r="N889" s="60"/>
      <c r="O889" s="60"/>
      <c r="P889" s="60"/>
      <c r="Q889" s="60"/>
      <c r="R889" s="60"/>
      <c r="S889" s="60"/>
      <c r="T889" s="60"/>
      <c r="U889" s="60"/>
      <c r="V889" s="60"/>
      <c r="W889" s="60"/>
      <c r="X889" s="60"/>
      <c r="Y889" s="60"/>
      <c r="Z889" s="60"/>
    </row>
    <row r="890" spans="1:26" ht="30" hidden="1" customHeight="1">
      <c r="A890" s="73">
        <v>81200</v>
      </c>
      <c r="B890" s="91" t="s">
        <v>2126</v>
      </c>
      <c r="C890" s="80"/>
      <c r="D890" s="34"/>
      <c r="E890" s="34">
        <f t="shared" ref="E890:F890" si="335">E891+E901+E907+E910+E917+E921+E926+E936+E968+E978</f>
        <v>7071550090.8199997</v>
      </c>
      <c r="F890" s="34">
        <f t="shared" si="335"/>
        <v>12556514613.040001</v>
      </c>
      <c r="G890" s="35"/>
      <c r="H890" s="35">
        <f>F890-E890</f>
        <v>5484964522.2200012</v>
      </c>
      <c r="I890" s="60"/>
      <c r="J890" s="60"/>
      <c r="K890" s="60"/>
      <c r="L890" s="60"/>
      <c r="M890" s="60"/>
      <c r="N890" s="60"/>
      <c r="O890" s="60"/>
      <c r="P890" s="60"/>
      <c r="Q890" s="60"/>
      <c r="R890" s="60"/>
      <c r="S890" s="60"/>
      <c r="T890" s="60"/>
      <c r="U890" s="60"/>
      <c r="V890" s="60"/>
      <c r="W890" s="60"/>
      <c r="X890" s="60"/>
      <c r="Y890" s="60"/>
      <c r="Z890" s="60"/>
    </row>
    <row r="891" spans="1:26" ht="30" hidden="1" customHeight="1">
      <c r="A891" s="92" t="s">
        <v>2127</v>
      </c>
      <c r="B891" s="93" t="s">
        <v>1992</v>
      </c>
      <c r="C891" s="94"/>
      <c r="D891" s="94"/>
      <c r="E891" s="94">
        <f t="shared" ref="E891:F891" si="336">SUM(E892:E900)</f>
        <v>2369059661.6899996</v>
      </c>
      <c r="F891" s="94">
        <f t="shared" si="336"/>
        <v>3098766955.1999998</v>
      </c>
      <c r="G891" s="94"/>
      <c r="H891" s="94">
        <f>SUM(H892:H900)</f>
        <v>729707293.50999999</v>
      </c>
      <c r="I891" s="60"/>
      <c r="J891" s="60"/>
      <c r="K891" s="60"/>
      <c r="L891" s="60"/>
      <c r="M891" s="60"/>
      <c r="N891" s="60"/>
      <c r="O891" s="60"/>
      <c r="P891" s="60"/>
      <c r="Q891" s="60"/>
      <c r="R891" s="60"/>
      <c r="S891" s="60"/>
      <c r="T891" s="60"/>
      <c r="U891" s="60"/>
      <c r="V891" s="60"/>
      <c r="W891" s="60"/>
      <c r="X891" s="60"/>
      <c r="Y891" s="60"/>
      <c r="Z891" s="60"/>
    </row>
    <row r="892" spans="1:26" ht="30" hidden="1" customHeight="1">
      <c r="A892" s="95" t="s">
        <v>2128</v>
      </c>
      <c r="B892" s="51" t="s">
        <v>899</v>
      </c>
      <c r="C892" s="96"/>
      <c r="D892" s="96"/>
      <c r="E892" s="53">
        <v>14877409.199999999</v>
      </c>
      <c r="F892" s="53">
        <v>37762263.240000002</v>
      </c>
      <c r="G892" s="96"/>
      <c r="H892" s="96">
        <f t="shared" ref="H892:H900" si="337">ROUND(F892-E892,2)</f>
        <v>22884854.039999999</v>
      </c>
      <c r="I892" s="60"/>
      <c r="J892" s="60"/>
      <c r="K892" s="60"/>
      <c r="L892" s="60"/>
      <c r="M892" s="60"/>
      <c r="N892" s="60"/>
      <c r="O892" s="60"/>
      <c r="P892" s="60"/>
      <c r="Q892" s="60"/>
      <c r="R892" s="60"/>
      <c r="S892" s="60"/>
      <c r="T892" s="60"/>
      <c r="U892" s="60"/>
      <c r="V892" s="60"/>
      <c r="W892" s="60"/>
      <c r="X892" s="60"/>
      <c r="Y892" s="60"/>
      <c r="Z892" s="60"/>
    </row>
    <row r="893" spans="1:26" ht="30" hidden="1" customHeight="1">
      <c r="A893" s="95" t="s">
        <v>2129</v>
      </c>
      <c r="B893" s="51" t="s">
        <v>1995</v>
      </c>
      <c r="C893" s="96"/>
      <c r="D893" s="96"/>
      <c r="E893" s="53">
        <v>2250233189.5900002</v>
      </c>
      <c r="F893" s="53">
        <v>2828929198.1599998</v>
      </c>
      <c r="G893" s="96"/>
      <c r="H893" s="96">
        <f t="shared" si="337"/>
        <v>578696008.57000005</v>
      </c>
      <c r="I893" s="60"/>
      <c r="J893" s="60"/>
      <c r="K893" s="60"/>
      <c r="L893" s="60"/>
      <c r="M893" s="60"/>
      <c r="N893" s="60"/>
      <c r="O893" s="60"/>
      <c r="P893" s="60"/>
      <c r="Q893" s="60"/>
      <c r="R893" s="60"/>
      <c r="S893" s="60"/>
      <c r="T893" s="60"/>
      <c r="U893" s="60"/>
      <c r="V893" s="60"/>
      <c r="W893" s="60"/>
      <c r="X893" s="60"/>
      <c r="Y893" s="60"/>
      <c r="Z893" s="60"/>
    </row>
    <row r="894" spans="1:26" ht="30" hidden="1" customHeight="1">
      <c r="A894" s="95" t="s">
        <v>2130</v>
      </c>
      <c r="B894" s="51" t="s">
        <v>1997</v>
      </c>
      <c r="C894" s="96"/>
      <c r="D894" s="96"/>
      <c r="E894" s="53"/>
      <c r="F894" s="53"/>
      <c r="G894" s="96"/>
      <c r="H894" s="96">
        <f t="shared" si="337"/>
        <v>0</v>
      </c>
      <c r="I894" s="60"/>
      <c r="J894" s="60"/>
      <c r="K894" s="60"/>
      <c r="L894" s="60"/>
      <c r="M894" s="60"/>
      <c r="N894" s="60"/>
      <c r="O894" s="60"/>
      <c r="P894" s="60"/>
      <c r="Q894" s="60"/>
      <c r="R894" s="60"/>
      <c r="S894" s="60"/>
      <c r="T894" s="60"/>
      <c r="U894" s="60"/>
      <c r="V894" s="60"/>
      <c r="W894" s="60"/>
      <c r="X894" s="60"/>
      <c r="Y894" s="60"/>
      <c r="Z894" s="60"/>
    </row>
    <row r="895" spans="1:26" ht="30" hidden="1" customHeight="1">
      <c r="A895" s="95" t="s">
        <v>2131</v>
      </c>
      <c r="B895" s="51" t="s">
        <v>912</v>
      </c>
      <c r="C895" s="96"/>
      <c r="D895" s="96"/>
      <c r="E895" s="96"/>
      <c r="F895" s="96"/>
      <c r="G895" s="96"/>
      <c r="H895" s="96">
        <f t="shared" si="337"/>
        <v>0</v>
      </c>
      <c r="I895" s="60"/>
      <c r="J895" s="60"/>
      <c r="K895" s="60"/>
      <c r="L895" s="60"/>
      <c r="M895" s="60"/>
      <c r="N895" s="60"/>
      <c r="O895" s="60"/>
      <c r="P895" s="60"/>
      <c r="Q895" s="60"/>
      <c r="R895" s="60"/>
      <c r="S895" s="60"/>
      <c r="T895" s="60"/>
      <c r="U895" s="60"/>
      <c r="V895" s="60"/>
      <c r="W895" s="60"/>
      <c r="X895" s="60"/>
      <c r="Y895" s="60"/>
      <c r="Z895" s="60"/>
    </row>
    <row r="896" spans="1:26" ht="30" hidden="1" customHeight="1">
      <c r="A896" s="95" t="s">
        <v>2132</v>
      </c>
      <c r="B896" s="51" t="s">
        <v>914</v>
      </c>
      <c r="C896" s="96"/>
      <c r="D896" s="96"/>
      <c r="E896" s="96"/>
      <c r="F896" s="96"/>
      <c r="G896" s="96"/>
      <c r="H896" s="96">
        <f t="shared" si="337"/>
        <v>0</v>
      </c>
      <c r="I896" s="60"/>
      <c r="J896" s="60"/>
      <c r="K896" s="60"/>
      <c r="L896" s="60"/>
      <c r="M896" s="60"/>
      <c r="N896" s="60"/>
      <c r="O896" s="60"/>
      <c r="P896" s="60"/>
      <c r="Q896" s="60"/>
      <c r="R896" s="60"/>
      <c r="S896" s="60"/>
      <c r="T896" s="60"/>
      <c r="U896" s="60"/>
      <c r="V896" s="60"/>
      <c r="W896" s="60"/>
      <c r="X896" s="60"/>
      <c r="Y896" s="60"/>
      <c r="Z896" s="60"/>
    </row>
    <row r="897" spans="1:26" ht="30" hidden="1" customHeight="1">
      <c r="A897" s="95" t="s">
        <v>2133</v>
      </c>
      <c r="B897" s="51" t="s">
        <v>916</v>
      </c>
      <c r="C897" s="96"/>
      <c r="D897" s="96"/>
      <c r="E897" s="96"/>
      <c r="F897" s="96"/>
      <c r="G897" s="96"/>
      <c r="H897" s="96">
        <f t="shared" si="337"/>
        <v>0</v>
      </c>
      <c r="I897" s="60"/>
      <c r="J897" s="60"/>
      <c r="K897" s="60"/>
      <c r="L897" s="60"/>
      <c r="M897" s="60"/>
      <c r="N897" s="60"/>
      <c r="O897" s="60"/>
      <c r="P897" s="60"/>
      <c r="Q897" s="60"/>
      <c r="R897" s="60"/>
      <c r="S897" s="60"/>
      <c r="T897" s="60"/>
      <c r="U897" s="60"/>
      <c r="V897" s="60"/>
      <c r="W897" s="60"/>
      <c r="X897" s="60"/>
      <c r="Y897" s="60"/>
      <c r="Z897" s="60"/>
    </row>
    <row r="898" spans="1:26" ht="30" hidden="1" customHeight="1">
      <c r="A898" s="95" t="s">
        <v>2134</v>
      </c>
      <c r="B898" s="51" t="s">
        <v>2002</v>
      </c>
      <c r="C898" s="96"/>
      <c r="D898" s="96"/>
      <c r="E898" s="53">
        <v>86830113.659999996</v>
      </c>
      <c r="F898" s="53">
        <v>207773614.28</v>
      </c>
      <c r="G898" s="96"/>
      <c r="H898" s="96">
        <f t="shared" si="337"/>
        <v>120943500.62</v>
      </c>
      <c r="I898" s="60"/>
      <c r="J898" s="60"/>
      <c r="K898" s="60"/>
      <c r="L898" s="60"/>
      <c r="M898" s="60"/>
      <c r="N898" s="60"/>
      <c r="O898" s="60"/>
      <c r="P898" s="60"/>
      <c r="Q898" s="60"/>
      <c r="R898" s="60"/>
      <c r="S898" s="60"/>
      <c r="T898" s="60"/>
      <c r="U898" s="60"/>
      <c r="V898" s="60"/>
      <c r="W898" s="60"/>
      <c r="X898" s="60"/>
      <c r="Y898" s="60"/>
      <c r="Z898" s="60"/>
    </row>
    <row r="899" spans="1:26" ht="30" hidden="1" customHeight="1">
      <c r="A899" s="95" t="s">
        <v>2135</v>
      </c>
      <c r="B899" s="51" t="s">
        <v>933</v>
      </c>
      <c r="C899" s="96"/>
      <c r="D899" s="96"/>
      <c r="E899" s="53">
        <v>17118949.239999998</v>
      </c>
      <c r="F899" s="53">
        <v>24301879.52</v>
      </c>
      <c r="G899" s="96"/>
      <c r="H899" s="96">
        <f t="shared" si="337"/>
        <v>7182930.2800000003</v>
      </c>
      <c r="I899" s="60"/>
      <c r="J899" s="60"/>
      <c r="K899" s="60"/>
      <c r="L899" s="60"/>
      <c r="M899" s="60"/>
      <c r="N899" s="60"/>
      <c r="O899" s="60"/>
      <c r="P899" s="60"/>
      <c r="Q899" s="60"/>
      <c r="R899" s="60"/>
      <c r="S899" s="60"/>
      <c r="T899" s="60"/>
      <c r="U899" s="60"/>
      <c r="V899" s="60"/>
      <c r="W899" s="60"/>
      <c r="X899" s="60"/>
      <c r="Y899" s="60"/>
      <c r="Z899" s="60"/>
    </row>
    <row r="900" spans="1:26" ht="30" hidden="1" customHeight="1">
      <c r="A900" s="95" t="s">
        <v>2136</v>
      </c>
      <c r="B900" s="51" t="s">
        <v>2005</v>
      </c>
      <c r="C900" s="52"/>
      <c r="D900" s="52"/>
      <c r="E900" s="53"/>
      <c r="F900" s="53"/>
      <c r="G900" s="96"/>
      <c r="H900" s="96">
        <f t="shared" si="337"/>
        <v>0</v>
      </c>
      <c r="I900" s="72"/>
      <c r="J900" s="72"/>
      <c r="K900" s="72"/>
      <c r="L900" s="72"/>
      <c r="M900" s="72"/>
      <c r="N900" s="72"/>
      <c r="O900" s="72"/>
      <c r="P900" s="72"/>
      <c r="Q900" s="72"/>
      <c r="R900" s="72"/>
      <c r="S900" s="72"/>
      <c r="T900" s="72"/>
      <c r="U900" s="72"/>
      <c r="V900" s="72"/>
      <c r="W900" s="72"/>
      <c r="X900" s="72"/>
      <c r="Y900" s="72"/>
      <c r="Z900" s="72"/>
    </row>
    <row r="901" spans="1:26" ht="30" hidden="1" customHeight="1">
      <c r="A901" s="92" t="s">
        <v>2137</v>
      </c>
      <c r="B901" s="93" t="s">
        <v>2007</v>
      </c>
      <c r="C901" s="94"/>
      <c r="D901" s="94"/>
      <c r="E901" s="94">
        <f t="shared" ref="E901:F901" si="338">SUM(E902:E906)</f>
        <v>0</v>
      </c>
      <c r="F901" s="94">
        <f t="shared" si="338"/>
        <v>0</v>
      </c>
      <c r="G901" s="94"/>
      <c r="H901" s="94">
        <f>SUM(H902:H906)</f>
        <v>0</v>
      </c>
      <c r="I901" s="60"/>
      <c r="J901" s="60"/>
      <c r="K901" s="60"/>
      <c r="L901" s="60"/>
      <c r="M901" s="60"/>
      <c r="N901" s="60"/>
      <c r="O901" s="60"/>
      <c r="P901" s="60"/>
      <c r="Q901" s="60"/>
      <c r="R901" s="60"/>
      <c r="S901" s="60"/>
      <c r="T901" s="60"/>
      <c r="U901" s="60"/>
      <c r="V901" s="60"/>
      <c r="W901" s="60"/>
      <c r="X901" s="60"/>
      <c r="Y901" s="60"/>
      <c r="Z901" s="60"/>
    </row>
    <row r="902" spans="1:26" ht="30" hidden="1" customHeight="1">
      <c r="A902" s="95" t="s">
        <v>2138</v>
      </c>
      <c r="B902" s="51" t="s">
        <v>938</v>
      </c>
      <c r="C902" s="96"/>
      <c r="D902" s="96"/>
      <c r="E902" s="96"/>
      <c r="F902" s="96"/>
      <c r="G902" s="96"/>
      <c r="H902" s="96">
        <f t="shared" ref="H902:H906" si="339">ROUND(F902-E902,2)</f>
        <v>0</v>
      </c>
      <c r="I902" s="60"/>
      <c r="J902" s="60"/>
      <c r="K902" s="60"/>
      <c r="L902" s="60"/>
      <c r="M902" s="60"/>
      <c r="N902" s="60"/>
      <c r="O902" s="60"/>
      <c r="P902" s="60"/>
      <c r="Q902" s="60"/>
      <c r="R902" s="60"/>
      <c r="S902" s="60"/>
      <c r="T902" s="60"/>
      <c r="U902" s="60"/>
      <c r="V902" s="60"/>
      <c r="W902" s="60"/>
      <c r="X902" s="60"/>
      <c r="Y902" s="60"/>
      <c r="Z902" s="60"/>
    </row>
    <row r="903" spans="1:26" ht="30" hidden="1" customHeight="1">
      <c r="A903" s="95" t="s">
        <v>2139</v>
      </c>
      <c r="B903" s="51" t="s">
        <v>2010</v>
      </c>
      <c r="C903" s="96"/>
      <c r="D903" s="96"/>
      <c r="E903" s="96"/>
      <c r="F903" s="96"/>
      <c r="G903" s="96"/>
      <c r="H903" s="96">
        <f t="shared" si="339"/>
        <v>0</v>
      </c>
      <c r="I903" s="60"/>
      <c r="J903" s="60"/>
      <c r="K903" s="60"/>
      <c r="L903" s="60"/>
      <c r="M903" s="60"/>
      <c r="N903" s="60"/>
      <c r="O903" s="60"/>
      <c r="P903" s="60"/>
      <c r="Q903" s="60"/>
      <c r="R903" s="60"/>
      <c r="S903" s="60"/>
      <c r="T903" s="60"/>
      <c r="U903" s="60"/>
      <c r="V903" s="60"/>
      <c r="W903" s="60"/>
      <c r="X903" s="60"/>
      <c r="Y903" s="60"/>
      <c r="Z903" s="60"/>
    </row>
    <row r="904" spans="1:26" ht="30" hidden="1" customHeight="1">
      <c r="A904" s="95" t="s">
        <v>2140</v>
      </c>
      <c r="B904" s="51" t="s">
        <v>942</v>
      </c>
      <c r="C904" s="96"/>
      <c r="D904" s="96"/>
      <c r="E904" s="96"/>
      <c r="F904" s="96"/>
      <c r="G904" s="96"/>
      <c r="H904" s="96">
        <f t="shared" si="339"/>
        <v>0</v>
      </c>
      <c r="I904" s="60"/>
      <c r="J904" s="60"/>
      <c r="K904" s="60"/>
      <c r="L904" s="60"/>
      <c r="M904" s="60"/>
      <c r="N904" s="60"/>
      <c r="O904" s="60"/>
      <c r="P904" s="60"/>
      <c r="Q904" s="60"/>
      <c r="R904" s="60"/>
      <c r="S904" s="60"/>
      <c r="T904" s="60"/>
      <c r="U904" s="60"/>
      <c r="V904" s="60"/>
      <c r="W904" s="60"/>
      <c r="X904" s="60"/>
      <c r="Y904" s="60"/>
      <c r="Z904" s="60"/>
    </row>
    <row r="905" spans="1:26" ht="30" hidden="1" customHeight="1">
      <c r="A905" s="95" t="s">
        <v>2141</v>
      </c>
      <c r="B905" s="51" t="s">
        <v>946</v>
      </c>
      <c r="C905" s="96"/>
      <c r="D905" s="96"/>
      <c r="E905" s="96"/>
      <c r="F905" s="96"/>
      <c r="G905" s="96"/>
      <c r="H905" s="96">
        <f t="shared" si="339"/>
        <v>0</v>
      </c>
      <c r="I905" s="60"/>
      <c r="J905" s="60"/>
      <c r="K905" s="60"/>
      <c r="L905" s="60"/>
      <c r="M905" s="60"/>
      <c r="N905" s="60"/>
      <c r="O905" s="60"/>
      <c r="P905" s="60"/>
      <c r="Q905" s="60"/>
      <c r="R905" s="60"/>
      <c r="S905" s="60"/>
      <c r="T905" s="60"/>
      <c r="U905" s="60"/>
      <c r="V905" s="60"/>
      <c r="W905" s="60"/>
      <c r="X905" s="60"/>
      <c r="Y905" s="60"/>
      <c r="Z905" s="60"/>
    </row>
    <row r="906" spans="1:26" ht="30" hidden="1" customHeight="1">
      <c r="A906" s="95" t="s">
        <v>2142</v>
      </c>
      <c r="B906" s="51" t="s">
        <v>944</v>
      </c>
      <c r="C906" s="96"/>
      <c r="D906" s="96"/>
      <c r="E906" s="96"/>
      <c r="F906" s="96"/>
      <c r="G906" s="96"/>
      <c r="H906" s="96">
        <f t="shared" si="339"/>
        <v>0</v>
      </c>
      <c r="I906" s="60"/>
      <c r="J906" s="60"/>
      <c r="K906" s="60"/>
      <c r="L906" s="60"/>
      <c r="M906" s="60"/>
      <c r="N906" s="60"/>
      <c r="O906" s="60"/>
      <c r="P906" s="60"/>
      <c r="Q906" s="60"/>
      <c r="R906" s="60"/>
      <c r="S906" s="60"/>
      <c r="T906" s="60"/>
      <c r="U906" s="60"/>
      <c r="V906" s="60"/>
      <c r="W906" s="60"/>
      <c r="X906" s="60"/>
      <c r="Y906" s="60"/>
      <c r="Z906" s="60"/>
    </row>
    <row r="907" spans="1:26" ht="30" hidden="1" customHeight="1">
      <c r="A907" s="92" t="s">
        <v>2143</v>
      </c>
      <c r="B907" s="93" t="s">
        <v>2015</v>
      </c>
      <c r="C907" s="94"/>
      <c r="D907" s="94"/>
      <c r="E907" s="94">
        <f t="shared" ref="E907:F907" si="340">SUM(E908:E909)</f>
        <v>0</v>
      </c>
      <c r="F907" s="94">
        <f t="shared" si="340"/>
        <v>0</v>
      </c>
      <c r="G907" s="94"/>
      <c r="H907" s="94">
        <f>SUM(H908:H909)</f>
        <v>0</v>
      </c>
      <c r="I907" s="60"/>
      <c r="J907" s="60"/>
      <c r="K907" s="60"/>
      <c r="L907" s="60"/>
      <c r="M907" s="60"/>
      <c r="N907" s="60"/>
      <c r="O907" s="60"/>
      <c r="P907" s="60"/>
      <c r="Q907" s="60"/>
      <c r="R907" s="60"/>
      <c r="S907" s="60"/>
      <c r="T907" s="60"/>
      <c r="U907" s="60"/>
      <c r="V907" s="60"/>
      <c r="W907" s="60"/>
      <c r="X907" s="60"/>
      <c r="Y907" s="60"/>
      <c r="Z907" s="60"/>
    </row>
    <row r="908" spans="1:26" ht="30" hidden="1" customHeight="1">
      <c r="A908" s="95" t="s">
        <v>2144</v>
      </c>
      <c r="B908" s="51" t="s">
        <v>952</v>
      </c>
      <c r="C908" s="96"/>
      <c r="D908" s="96"/>
      <c r="E908" s="53"/>
      <c r="F908" s="53"/>
      <c r="G908" s="96"/>
      <c r="H908" s="96">
        <f t="shared" ref="H908:H909" si="341">ROUND(F908-E908,2)</f>
        <v>0</v>
      </c>
      <c r="I908" s="60"/>
      <c r="J908" s="60"/>
      <c r="K908" s="60"/>
      <c r="L908" s="60"/>
      <c r="M908" s="60"/>
      <c r="N908" s="60"/>
      <c r="O908" s="60"/>
      <c r="P908" s="60"/>
      <c r="Q908" s="60"/>
      <c r="R908" s="60"/>
      <c r="S908" s="60"/>
      <c r="T908" s="60"/>
      <c r="U908" s="60"/>
      <c r="V908" s="60"/>
      <c r="W908" s="60"/>
      <c r="X908" s="60"/>
      <c r="Y908" s="60"/>
      <c r="Z908" s="60"/>
    </row>
    <row r="909" spans="1:26" ht="30" hidden="1" customHeight="1">
      <c r="A909" s="95" t="s">
        <v>2145</v>
      </c>
      <c r="B909" s="51" t="s">
        <v>2018</v>
      </c>
      <c r="C909" s="96"/>
      <c r="D909" s="96"/>
      <c r="E909" s="53"/>
      <c r="F909" s="53"/>
      <c r="G909" s="96"/>
      <c r="H909" s="96">
        <f t="shared" si="341"/>
        <v>0</v>
      </c>
      <c r="I909" s="60"/>
      <c r="J909" s="60"/>
      <c r="K909" s="60"/>
      <c r="L909" s="60"/>
      <c r="M909" s="60"/>
      <c r="N909" s="60"/>
      <c r="O909" s="60"/>
      <c r="P909" s="60"/>
      <c r="Q909" s="60"/>
      <c r="R909" s="60"/>
      <c r="S909" s="60"/>
      <c r="T909" s="60"/>
      <c r="U909" s="60"/>
      <c r="V909" s="60"/>
      <c r="W909" s="60"/>
      <c r="X909" s="60"/>
      <c r="Y909" s="60"/>
      <c r="Z909" s="60"/>
    </row>
    <row r="910" spans="1:26" ht="30" hidden="1" customHeight="1">
      <c r="A910" s="92" t="s">
        <v>2146</v>
      </c>
      <c r="B910" s="93" t="s">
        <v>2020</v>
      </c>
      <c r="C910" s="94"/>
      <c r="D910" s="94"/>
      <c r="E910" s="94">
        <f t="shared" ref="E910:F910" si="342">SUM(E911:E916)</f>
        <v>677173940.41000009</v>
      </c>
      <c r="F910" s="94">
        <f t="shared" si="342"/>
        <v>1614044241.5100002</v>
      </c>
      <c r="G910" s="94"/>
      <c r="H910" s="94">
        <f>SUM(H911:H916)</f>
        <v>936870301.10000002</v>
      </c>
      <c r="I910" s="60"/>
      <c r="J910" s="60"/>
      <c r="K910" s="60"/>
      <c r="L910" s="60"/>
      <c r="M910" s="60"/>
      <c r="N910" s="60"/>
      <c r="O910" s="60"/>
      <c r="P910" s="60"/>
      <c r="Q910" s="60"/>
      <c r="R910" s="60"/>
      <c r="S910" s="60"/>
      <c r="T910" s="60"/>
      <c r="U910" s="60"/>
      <c r="V910" s="60"/>
      <c r="W910" s="60"/>
      <c r="X910" s="60"/>
      <c r="Y910" s="60"/>
      <c r="Z910" s="60"/>
    </row>
    <row r="911" spans="1:26" ht="30" hidden="1" customHeight="1">
      <c r="A911" s="95" t="s">
        <v>2147</v>
      </c>
      <c r="B911" s="51" t="s">
        <v>959</v>
      </c>
      <c r="C911" s="96"/>
      <c r="D911" s="96"/>
      <c r="E911" s="53">
        <v>222437491.43000001</v>
      </c>
      <c r="F911" s="53">
        <v>396294786.63999999</v>
      </c>
      <c r="G911" s="96"/>
      <c r="H911" s="96">
        <f>ROUND(F911-E911,2)</f>
        <v>173857295.21000001</v>
      </c>
      <c r="I911" s="60"/>
      <c r="J911" s="60"/>
      <c r="K911" s="60"/>
      <c r="L911" s="60"/>
      <c r="M911" s="60"/>
      <c r="N911" s="60"/>
      <c r="O911" s="60"/>
      <c r="P911" s="60"/>
      <c r="Q911" s="60"/>
      <c r="R911" s="60"/>
      <c r="S911" s="60"/>
      <c r="T911" s="60"/>
      <c r="U911" s="60"/>
      <c r="V911" s="60"/>
      <c r="W911" s="60"/>
      <c r="X911" s="60"/>
      <c r="Y911" s="60"/>
      <c r="Z911" s="60"/>
    </row>
    <row r="912" spans="1:26" ht="30" hidden="1" customHeight="1">
      <c r="A912" s="95" t="s">
        <v>2148</v>
      </c>
      <c r="B912" s="51" t="s">
        <v>2023</v>
      </c>
      <c r="C912" s="96"/>
      <c r="D912" s="96"/>
      <c r="E912" s="96"/>
      <c r="F912" s="96"/>
      <c r="G912" s="96"/>
      <c r="H912" s="96">
        <f>F912-E912</f>
        <v>0</v>
      </c>
      <c r="I912" s="60"/>
      <c r="J912" s="60"/>
      <c r="K912" s="60"/>
      <c r="L912" s="60"/>
      <c r="M912" s="60"/>
      <c r="N912" s="60"/>
      <c r="O912" s="60"/>
      <c r="P912" s="60"/>
      <c r="Q912" s="60"/>
      <c r="R912" s="60"/>
      <c r="S912" s="60"/>
      <c r="T912" s="60"/>
      <c r="U912" s="60"/>
      <c r="V912" s="60"/>
      <c r="W912" s="60"/>
      <c r="X912" s="60"/>
      <c r="Y912" s="60"/>
      <c r="Z912" s="60"/>
    </row>
    <row r="913" spans="1:26" ht="30" hidden="1" customHeight="1">
      <c r="A913" s="95" t="s">
        <v>2149</v>
      </c>
      <c r="B913" s="51" t="s">
        <v>971</v>
      </c>
      <c r="C913" s="96"/>
      <c r="D913" s="96"/>
      <c r="E913" s="53">
        <v>400082601.66000003</v>
      </c>
      <c r="F913" s="53">
        <v>1106684106.9300001</v>
      </c>
      <c r="G913" s="96"/>
      <c r="H913" s="96">
        <f t="shared" ref="H913:H916" si="343">ROUND(F913-E913,2)</f>
        <v>706601505.26999998</v>
      </c>
      <c r="I913" s="60"/>
      <c r="J913" s="60"/>
      <c r="K913" s="60"/>
      <c r="L913" s="60"/>
      <c r="M913" s="60"/>
      <c r="N913" s="60"/>
      <c r="O913" s="60"/>
      <c r="P913" s="60"/>
      <c r="Q913" s="60"/>
      <c r="R913" s="60"/>
      <c r="S913" s="60"/>
      <c r="T913" s="60"/>
      <c r="U913" s="60"/>
      <c r="V913" s="60"/>
      <c r="W913" s="60"/>
      <c r="X913" s="60"/>
      <c r="Y913" s="60"/>
      <c r="Z913" s="60"/>
    </row>
    <row r="914" spans="1:26" ht="30" hidden="1" customHeight="1">
      <c r="A914" s="95" t="s">
        <v>2150</v>
      </c>
      <c r="B914" s="51" t="s">
        <v>1011</v>
      </c>
      <c r="C914" s="96"/>
      <c r="D914" s="96"/>
      <c r="E914" s="53">
        <v>33195164.48</v>
      </c>
      <c r="F914" s="53">
        <v>67994773.439999998</v>
      </c>
      <c r="G914" s="96"/>
      <c r="H914" s="96">
        <f t="shared" si="343"/>
        <v>34799608.960000001</v>
      </c>
      <c r="I914" s="60"/>
      <c r="J914" s="60"/>
      <c r="K914" s="60"/>
      <c r="L914" s="60"/>
      <c r="M914" s="60"/>
      <c r="N914" s="60"/>
      <c r="O914" s="60"/>
      <c r="P914" s="60"/>
      <c r="Q914" s="60"/>
      <c r="R914" s="60"/>
      <c r="S914" s="60"/>
      <c r="T914" s="60"/>
      <c r="U914" s="60"/>
      <c r="V914" s="60"/>
      <c r="W914" s="60"/>
      <c r="X914" s="60"/>
      <c r="Y914" s="60"/>
      <c r="Z914" s="60"/>
    </row>
    <row r="915" spans="1:26" ht="30" hidden="1" customHeight="1">
      <c r="A915" s="95" t="s">
        <v>2151</v>
      </c>
      <c r="B915" s="51" t="s">
        <v>2027</v>
      </c>
      <c r="C915" s="96"/>
      <c r="D915" s="96"/>
      <c r="E915" s="53">
        <v>21458682.84</v>
      </c>
      <c r="F915" s="53">
        <v>43070574.5</v>
      </c>
      <c r="G915" s="96"/>
      <c r="H915" s="96">
        <f t="shared" si="343"/>
        <v>21611891.66</v>
      </c>
      <c r="I915" s="60"/>
      <c r="J915" s="60"/>
      <c r="K915" s="60"/>
      <c r="L915" s="60"/>
      <c r="M915" s="60"/>
      <c r="N915" s="60"/>
      <c r="O915" s="60"/>
      <c r="P915" s="60"/>
      <c r="Q915" s="60"/>
      <c r="R915" s="60"/>
      <c r="S915" s="60"/>
      <c r="T915" s="60"/>
      <c r="U915" s="60"/>
      <c r="V915" s="60"/>
      <c r="W915" s="60"/>
      <c r="X915" s="60"/>
      <c r="Y915" s="60"/>
      <c r="Z915" s="60"/>
    </row>
    <row r="916" spans="1:26" ht="30" hidden="1" customHeight="1">
      <c r="A916" s="95" t="s">
        <v>2152</v>
      </c>
      <c r="B916" s="51" t="s">
        <v>1008</v>
      </c>
      <c r="C916" s="96"/>
      <c r="D916" s="96"/>
      <c r="E916" s="53"/>
      <c r="F916" s="53"/>
      <c r="G916" s="96"/>
      <c r="H916" s="96">
        <f t="shared" si="343"/>
        <v>0</v>
      </c>
      <c r="I916" s="60"/>
      <c r="J916" s="60"/>
      <c r="K916" s="60"/>
      <c r="L916" s="60"/>
      <c r="M916" s="60"/>
      <c r="N916" s="60"/>
      <c r="O916" s="60"/>
      <c r="P916" s="60"/>
      <c r="Q916" s="60"/>
      <c r="R916" s="60"/>
      <c r="S916" s="60"/>
      <c r="T916" s="60"/>
      <c r="U916" s="60"/>
      <c r="V916" s="60"/>
      <c r="W916" s="60"/>
      <c r="X916" s="60"/>
      <c r="Y916" s="60"/>
      <c r="Z916" s="60"/>
    </row>
    <row r="917" spans="1:26" ht="30" hidden="1" customHeight="1">
      <c r="A917" s="92" t="s">
        <v>2153</v>
      </c>
      <c r="B917" s="93" t="s">
        <v>1016</v>
      </c>
      <c r="C917" s="94"/>
      <c r="D917" s="94"/>
      <c r="E917" s="94">
        <f t="shared" ref="E917:F917" si="344">SUM(E918:E920)</f>
        <v>100037434.66</v>
      </c>
      <c r="F917" s="94">
        <f t="shared" si="344"/>
        <v>178061060.72</v>
      </c>
      <c r="G917" s="94"/>
      <c r="H917" s="94">
        <f>SUM(H918:H920)</f>
        <v>78023626.060000002</v>
      </c>
      <c r="I917" s="60"/>
      <c r="J917" s="60"/>
      <c r="K917" s="60"/>
      <c r="L917" s="60"/>
      <c r="M917" s="60"/>
      <c r="N917" s="60"/>
      <c r="O917" s="60"/>
      <c r="P917" s="60"/>
      <c r="Q917" s="60"/>
      <c r="R917" s="60"/>
      <c r="S917" s="60"/>
      <c r="T917" s="60"/>
      <c r="U917" s="60"/>
      <c r="V917" s="60"/>
      <c r="W917" s="60"/>
      <c r="X917" s="60"/>
      <c r="Y917" s="60"/>
      <c r="Z917" s="60"/>
    </row>
    <row r="918" spans="1:26" ht="30" hidden="1" customHeight="1">
      <c r="A918" s="95" t="s">
        <v>2154</v>
      </c>
      <c r="B918" s="51" t="s">
        <v>1016</v>
      </c>
      <c r="C918" s="96"/>
      <c r="D918" s="96"/>
      <c r="E918" s="53">
        <v>100037434.66</v>
      </c>
      <c r="F918" s="53">
        <v>178061060.72</v>
      </c>
      <c r="G918" s="96"/>
      <c r="H918" s="96">
        <f>ROUND(F918-E918,2)</f>
        <v>78023626.060000002</v>
      </c>
      <c r="I918" s="60"/>
      <c r="J918" s="60"/>
      <c r="K918" s="60"/>
      <c r="L918" s="60"/>
      <c r="M918" s="60"/>
      <c r="N918" s="60"/>
      <c r="O918" s="60"/>
      <c r="P918" s="60"/>
      <c r="Q918" s="60"/>
      <c r="R918" s="60"/>
      <c r="S918" s="60"/>
      <c r="T918" s="60"/>
      <c r="U918" s="60"/>
      <c r="V918" s="60"/>
      <c r="W918" s="60"/>
      <c r="X918" s="60"/>
      <c r="Y918" s="60"/>
      <c r="Z918" s="60"/>
    </row>
    <row r="919" spans="1:26" ht="30" hidden="1" customHeight="1">
      <c r="A919" s="95" t="s">
        <v>2155</v>
      </c>
      <c r="B919" s="51" t="s">
        <v>2032</v>
      </c>
      <c r="C919" s="96"/>
      <c r="D919" s="96"/>
      <c r="E919" s="96"/>
      <c r="F919" s="96"/>
      <c r="G919" s="96"/>
      <c r="H919" s="96">
        <f>F919-E919</f>
        <v>0</v>
      </c>
      <c r="I919" s="60"/>
      <c r="J919" s="60"/>
      <c r="K919" s="60"/>
      <c r="L919" s="60"/>
      <c r="M919" s="60"/>
      <c r="N919" s="60"/>
      <c r="O919" s="60"/>
      <c r="P919" s="60"/>
      <c r="Q919" s="60"/>
      <c r="R919" s="60"/>
      <c r="S919" s="60"/>
      <c r="T919" s="60"/>
      <c r="U919" s="60"/>
      <c r="V919" s="60"/>
      <c r="W919" s="60"/>
      <c r="X919" s="60"/>
      <c r="Y919" s="60"/>
      <c r="Z919" s="60"/>
    </row>
    <row r="920" spans="1:26" ht="30" hidden="1" customHeight="1">
      <c r="A920" s="95" t="s">
        <v>2156</v>
      </c>
      <c r="B920" s="51" t="s">
        <v>2034</v>
      </c>
      <c r="C920" s="96"/>
      <c r="D920" s="96"/>
      <c r="E920" s="53"/>
      <c r="F920" s="53"/>
      <c r="G920" s="96"/>
      <c r="H920" s="96">
        <f>ROUND(F920-E920,2)</f>
        <v>0</v>
      </c>
      <c r="I920" s="60"/>
      <c r="J920" s="60"/>
      <c r="K920" s="60"/>
      <c r="L920" s="60"/>
      <c r="M920" s="60"/>
      <c r="N920" s="60"/>
      <c r="O920" s="60"/>
      <c r="P920" s="60"/>
      <c r="Q920" s="60"/>
      <c r="R920" s="60"/>
      <c r="S920" s="60"/>
      <c r="T920" s="60"/>
      <c r="U920" s="60"/>
      <c r="V920" s="60"/>
      <c r="W920" s="60"/>
      <c r="X920" s="60"/>
      <c r="Y920" s="60"/>
      <c r="Z920" s="60"/>
    </row>
    <row r="921" spans="1:26" ht="30" hidden="1" customHeight="1">
      <c r="A921" s="92" t="s">
        <v>2157</v>
      </c>
      <c r="B921" s="93" t="s">
        <v>2036</v>
      </c>
      <c r="C921" s="94"/>
      <c r="D921" s="94"/>
      <c r="E921" s="94">
        <f t="shared" ref="E921:F921" si="345">SUM(E922:E925)</f>
        <v>87159634.730000004</v>
      </c>
      <c r="F921" s="94">
        <f t="shared" si="345"/>
        <v>112985915.93000001</v>
      </c>
      <c r="G921" s="94"/>
      <c r="H921" s="94">
        <f>SUM(H922:H925)</f>
        <v>25826281.199999999</v>
      </c>
      <c r="I921" s="60"/>
      <c r="J921" s="60"/>
      <c r="K921" s="60"/>
      <c r="L921" s="60"/>
      <c r="M921" s="60"/>
      <c r="N921" s="60"/>
      <c r="O921" s="60"/>
      <c r="P921" s="60"/>
      <c r="Q921" s="60"/>
      <c r="R921" s="60"/>
      <c r="S921" s="60"/>
      <c r="T921" s="60"/>
      <c r="U921" s="60"/>
      <c r="V921" s="60"/>
      <c r="W921" s="60"/>
      <c r="X921" s="60"/>
      <c r="Y921" s="60"/>
      <c r="Z921" s="60"/>
    </row>
    <row r="922" spans="1:26" ht="30" hidden="1" customHeight="1">
      <c r="A922" s="95" t="s">
        <v>2158</v>
      </c>
      <c r="B922" s="51" t="s">
        <v>2036</v>
      </c>
      <c r="C922" s="96"/>
      <c r="D922" s="96"/>
      <c r="E922" s="53">
        <v>86943294.030000001</v>
      </c>
      <c r="F922" s="53">
        <v>112335191.26000001</v>
      </c>
      <c r="G922" s="96"/>
      <c r="H922" s="96">
        <f t="shared" ref="H922:H925" si="346">ROUND(F922-E922,2)</f>
        <v>25391897.23</v>
      </c>
      <c r="I922" s="60"/>
      <c r="J922" s="60"/>
      <c r="K922" s="60"/>
      <c r="L922" s="60"/>
      <c r="M922" s="60"/>
      <c r="N922" s="60"/>
      <c r="O922" s="60"/>
      <c r="P922" s="60"/>
      <c r="Q922" s="60"/>
      <c r="R922" s="60"/>
      <c r="S922" s="60"/>
      <c r="T922" s="60"/>
      <c r="U922" s="60"/>
      <c r="V922" s="60"/>
      <c r="W922" s="60"/>
      <c r="X922" s="60"/>
      <c r="Y922" s="60"/>
      <c r="Z922" s="60"/>
    </row>
    <row r="923" spans="1:26" ht="30" hidden="1" customHeight="1">
      <c r="A923" s="95" t="s">
        <v>2159</v>
      </c>
      <c r="B923" s="51" t="s">
        <v>2039</v>
      </c>
      <c r="C923" s="96"/>
      <c r="D923" s="96"/>
      <c r="E923" s="53"/>
      <c r="F923" s="53"/>
      <c r="G923" s="96"/>
      <c r="H923" s="96">
        <f t="shared" si="346"/>
        <v>0</v>
      </c>
      <c r="I923" s="60"/>
      <c r="J923" s="60"/>
      <c r="K923" s="60"/>
      <c r="L923" s="60"/>
      <c r="M923" s="60"/>
      <c r="N923" s="60"/>
      <c r="O923" s="60"/>
      <c r="P923" s="60"/>
      <c r="Q923" s="60"/>
      <c r="R923" s="60"/>
      <c r="S923" s="60"/>
      <c r="T923" s="60"/>
      <c r="U923" s="60"/>
      <c r="V923" s="60"/>
      <c r="W923" s="60"/>
      <c r="X923" s="60"/>
      <c r="Y923" s="60"/>
      <c r="Z923" s="60"/>
    </row>
    <row r="924" spans="1:26" ht="30" hidden="1" customHeight="1">
      <c r="A924" s="95" t="s">
        <v>2160</v>
      </c>
      <c r="B924" s="51" t="s">
        <v>2041</v>
      </c>
      <c r="C924" s="96"/>
      <c r="D924" s="96"/>
      <c r="E924" s="53">
        <v>216224.7</v>
      </c>
      <c r="F924" s="53">
        <v>650724.67000000004</v>
      </c>
      <c r="G924" s="96"/>
      <c r="H924" s="96">
        <f t="shared" si="346"/>
        <v>434499.97</v>
      </c>
      <c r="I924" s="60"/>
      <c r="J924" s="60"/>
      <c r="K924" s="60"/>
      <c r="L924" s="60"/>
      <c r="M924" s="60"/>
      <c r="N924" s="60"/>
      <c r="O924" s="60"/>
      <c r="P924" s="60"/>
      <c r="Q924" s="60"/>
      <c r="R924" s="60"/>
      <c r="S924" s="60"/>
      <c r="T924" s="60"/>
      <c r="U924" s="60"/>
      <c r="V924" s="60"/>
      <c r="W924" s="60"/>
      <c r="X924" s="60"/>
      <c r="Y924" s="60"/>
      <c r="Z924" s="60"/>
    </row>
    <row r="925" spans="1:26" ht="30" hidden="1" customHeight="1">
      <c r="A925" s="95" t="s">
        <v>2161</v>
      </c>
      <c r="B925" s="51" t="s">
        <v>1046</v>
      </c>
      <c r="C925" s="96"/>
      <c r="D925" s="96"/>
      <c r="E925" s="53">
        <v>116</v>
      </c>
      <c r="F925" s="53"/>
      <c r="G925" s="96"/>
      <c r="H925" s="96">
        <f t="shared" si="346"/>
        <v>-116</v>
      </c>
      <c r="I925" s="60"/>
      <c r="J925" s="60"/>
      <c r="K925" s="60"/>
      <c r="L925" s="60"/>
      <c r="M925" s="60"/>
      <c r="N925" s="60"/>
      <c r="O925" s="60"/>
      <c r="P925" s="60"/>
      <c r="Q925" s="60"/>
      <c r="R925" s="60"/>
      <c r="S925" s="60"/>
      <c r="T925" s="60"/>
      <c r="U925" s="60"/>
      <c r="V925" s="60"/>
      <c r="W925" s="60"/>
      <c r="X925" s="60"/>
      <c r="Y925" s="60"/>
      <c r="Z925" s="60"/>
    </row>
    <row r="926" spans="1:26" ht="30" hidden="1" customHeight="1">
      <c r="A926" s="92" t="s">
        <v>2162</v>
      </c>
      <c r="B926" s="93" t="s">
        <v>2044</v>
      </c>
      <c r="C926" s="94"/>
      <c r="D926" s="94"/>
      <c r="E926" s="94">
        <f t="shared" ref="E926:F926" si="347">SUM(E927:E935)</f>
        <v>0</v>
      </c>
      <c r="F926" s="94">
        <f t="shared" si="347"/>
        <v>0</v>
      </c>
      <c r="G926" s="94"/>
      <c r="H926" s="94">
        <f>SUM(H927:H935)</f>
        <v>0</v>
      </c>
      <c r="I926" s="60"/>
      <c r="J926" s="60"/>
      <c r="K926" s="60"/>
      <c r="L926" s="60"/>
      <c r="M926" s="60"/>
      <c r="N926" s="60"/>
      <c r="O926" s="60"/>
      <c r="P926" s="60"/>
      <c r="Q926" s="60"/>
      <c r="R926" s="60"/>
      <c r="S926" s="60"/>
      <c r="T926" s="60"/>
      <c r="U926" s="60"/>
      <c r="V926" s="60"/>
      <c r="W926" s="60"/>
      <c r="X926" s="60"/>
      <c r="Y926" s="60"/>
      <c r="Z926" s="60"/>
    </row>
    <row r="927" spans="1:26" ht="30" hidden="1" customHeight="1">
      <c r="A927" s="95" t="s">
        <v>2163</v>
      </c>
      <c r="B927" s="51" t="s">
        <v>1065</v>
      </c>
      <c r="C927" s="96"/>
      <c r="D927" s="96"/>
      <c r="E927" s="53"/>
      <c r="F927" s="53"/>
      <c r="G927" s="96"/>
      <c r="H927" s="96">
        <f>ROUND(F927-E927,2)</f>
        <v>0</v>
      </c>
      <c r="I927" s="60"/>
      <c r="J927" s="60"/>
      <c r="K927" s="60"/>
      <c r="L927" s="60"/>
      <c r="M927" s="60"/>
      <c r="N927" s="60"/>
      <c r="O927" s="60"/>
      <c r="P927" s="60"/>
      <c r="Q927" s="60"/>
      <c r="R927" s="60"/>
      <c r="S927" s="60"/>
      <c r="T927" s="60"/>
      <c r="U927" s="60"/>
      <c r="V927" s="60"/>
      <c r="W927" s="60"/>
      <c r="X927" s="60"/>
      <c r="Y927" s="60"/>
      <c r="Z927" s="60"/>
    </row>
    <row r="928" spans="1:26" ht="30" hidden="1" customHeight="1">
      <c r="A928" s="95" t="s">
        <v>2164</v>
      </c>
      <c r="B928" s="51" t="s">
        <v>1067</v>
      </c>
      <c r="C928" s="96"/>
      <c r="D928" s="96"/>
      <c r="E928" s="96"/>
      <c r="F928" s="96"/>
      <c r="G928" s="96"/>
      <c r="H928" s="96">
        <f>F928-E928</f>
        <v>0</v>
      </c>
      <c r="I928" s="60"/>
      <c r="J928" s="60"/>
      <c r="K928" s="60"/>
      <c r="L928" s="60"/>
      <c r="M928" s="60"/>
      <c r="N928" s="60"/>
      <c r="O928" s="60"/>
      <c r="P928" s="60"/>
      <c r="Q928" s="60"/>
      <c r="R928" s="60"/>
      <c r="S928" s="60"/>
      <c r="T928" s="60"/>
      <c r="U928" s="60"/>
      <c r="V928" s="60"/>
      <c r="W928" s="60"/>
      <c r="X928" s="60"/>
      <c r="Y928" s="60"/>
      <c r="Z928" s="60"/>
    </row>
    <row r="929" spans="1:26" ht="30" hidden="1" customHeight="1">
      <c r="A929" s="95" t="s">
        <v>2165</v>
      </c>
      <c r="B929" s="51" t="s">
        <v>1069</v>
      </c>
      <c r="C929" s="96"/>
      <c r="D929" s="96"/>
      <c r="E929" s="53"/>
      <c r="F929" s="53"/>
      <c r="G929" s="96"/>
      <c r="H929" s="96">
        <f>ROUND(F929-E929,2)</f>
        <v>0</v>
      </c>
      <c r="I929" s="60"/>
      <c r="J929" s="60"/>
      <c r="K929" s="60"/>
      <c r="L929" s="60"/>
      <c r="M929" s="60"/>
      <c r="N929" s="60"/>
      <c r="O929" s="60"/>
      <c r="P929" s="60"/>
      <c r="Q929" s="60"/>
      <c r="R929" s="60"/>
      <c r="S929" s="60"/>
      <c r="T929" s="60"/>
      <c r="U929" s="60"/>
      <c r="V929" s="60"/>
      <c r="W929" s="60"/>
      <c r="X929" s="60"/>
      <c r="Y929" s="60"/>
      <c r="Z929" s="60"/>
    </row>
    <row r="930" spans="1:26" ht="30" hidden="1" customHeight="1">
      <c r="A930" s="95" t="s">
        <v>2166</v>
      </c>
      <c r="B930" s="51" t="s">
        <v>2049</v>
      </c>
      <c r="C930" s="96"/>
      <c r="D930" s="96"/>
      <c r="E930" s="96"/>
      <c r="F930" s="96"/>
      <c r="G930" s="96"/>
      <c r="H930" s="96">
        <f t="shared" ref="H930:H932" si="348">F930-E930</f>
        <v>0</v>
      </c>
      <c r="I930" s="60"/>
      <c r="J930" s="60"/>
      <c r="K930" s="60"/>
      <c r="L930" s="60"/>
      <c r="M930" s="60"/>
      <c r="N930" s="60"/>
      <c r="O930" s="60"/>
      <c r="P930" s="60"/>
      <c r="Q930" s="60"/>
      <c r="R930" s="60"/>
      <c r="S930" s="60"/>
      <c r="T930" s="60"/>
      <c r="U930" s="60"/>
      <c r="V930" s="60"/>
      <c r="W930" s="60"/>
      <c r="X930" s="60"/>
      <c r="Y930" s="60"/>
      <c r="Z930" s="60"/>
    </row>
    <row r="931" spans="1:26" ht="30" hidden="1" customHeight="1">
      <c r="A931" s="95" t="s">
        <v>2167</v>
      </c>
      <c r="B931" s="51" t="s">
        <v>1074</v>
      </c>
      <c r="C931" s="96"/>
      <c r="D931" s="96"/>
      <c r="E931" s="96"/>
      <c r="F931" s="96"/>
      <c r="G931" s="96"/>
      <c r="H931" s="96">
        <f t="shared" si="348"/>
        <v>0</v>
      </c>
      <c r="I931" s="60"/>
      <c r="J931" s="60"/>
      <c r="K931" s="60"/>
      <c r="L931" s="60"/>
      <c r="M931" s="60"/>
      <c r="N931" s="60"/>
      <c r="O931" s="60"/>
      <c r="P931" s="60"/>
      <c r="Q931" s="60"/>
      <c r="R931" s="60"/>
      <c r="S931" s="60"/>
      <c r="T931" s="60"/>
      <c r="U931" s="60"/>
      <c r="V931" s="60"/>
      <c r="W931" s="60"/>
      <c r="X931" s="60"/>
      <c r="Y931" s="60"/>
      <c r="Z931" s="60"/>
    </row>
    <row r="932" spans="1:26" ht="30" hidden="1" customHeight="1">
      <c r="A932" s="95" t="s">
        <v>2168</v>
      </c>
      <c r="B932" s="51" t="s">
        <v>1076</v>
      </c>
      <c r="C932" s="96"/>
      <c r="D932" s="96"/>
      <c r="E932" s="96"/>
      <c r="F932" s="96"/>
      <c r="G932" s="96"/>
      <c r="H932" s="96">
        <f t="shared" si="348"/>
        <v>0</v>
      </c>
      <c r="I932" s="60"/>
      <c r="J932" s="60"/>
      <c r="K932" s="60"/>
      <c r="L932" s="60"/>
      <c r="M932" s="60"/>
      <c r="N932" s="60"/>
      <c r="O932" s="60"/>
      <c r="P932" s="60"/>
      <c r="Q932" s="60"/>
      <c r="R932" s="60"/>
      <c r="S932" s="60"/>
      <c r="T932" s="60"/>
      <c r="U932" s="60"/>
      <c r="V932" s="60"/>
      <c r="W932" s="60"/>
      <c r="X932" s="60"/>
      <c r="Y932" s="60"/>
      <c r="Z932" s="60"/>
    </row>
    <row r="933" spans="1:26" ht="30" hidden="1" customHeight="1">
      <c r="A933" s="95" t="s">
        <v>2169</v>
      </c>
      <c r="B933" s="51" t="s">
        <v>1078</v>
      </c>
      <c r="C933" s="96"/>
      <c r="D933" s="96"/>
      <c r="E933" s="53"/>
      <c r="F933" s="53"/>
      <c r="G933" s="96"/>
      <c r="H933" s="96">
        <f>ROUND(F933-E933,2)</f>
        <v>0</v>
      </c>
      <c r="I933" s="60"/>
      <c r="J933" s="60"/>
      <c r="K933" s="60"/>
      <c r="L933" s="60"/>
      <c r="M933" s="60"/>
      <c r="N933" s="60"/>
      <c r="O933" s="60"/>
      <c r="P933" s="60"/>
      <c r="Q933" s="60"/>
      <c r="R933" s="60"/>
      <c r="S933" s="60"/>
      <c r="T933" s="60"/>
      <c r="U933" s="60"/>
      <c r="V933" s="60"/>
      <c r="W933" s="60"/>
      <c r="X933" s="60"/>
      <c r="Y933" s="60"/>
      <c r="Z933" s="60"/>
    </row>
    <row r="934" spans="1:26" ht="30" hidden="1" customHeight="1">
      <c r="A934" s="95" t="s">
        <v>2170</v>
      </c>
      <c r="B934" s="51" t="s">
        <v>2054</v>
      </c>
      <c r="C934" s="96"/>
      <c r="D934" s="96"/>
      <c r="E934" s="96"/>
      <c r="F934" s="96"/>
      <c r="G934" s="96"/>
      <c r="H934" s="96">
        <f>F934-E934</f>
        <v>0</v>
      </c>
      <c r="I934" s="60"/>
      <c r="J934" s="60"/>
      <c r="K934" s="60"/>
      <c r="L934" s="60"/>
      <c r="M934" s="60"/>
      <c r="N934" s="60"/>
      <c r="O934" s="60"/>
      <c r="P934" s="60"/>
      <c r="Q934" s="60"/>
      <c r="R934" s="60"/>
      <c r="S934" s="60"/>
      <c r="T934" s="60"/>
      <c r="U934" s="60"/>
      <c r="V934" s="60"/>
      <c r="W934" s="60"/>
      <c r="X934" s="60"/>
      <c r="Y934" s="60"/>
      <c r="Z934" s="60"/>
    </row>
    <row r="935" spans="1:26" ht="30" hidden="1" customHeight="1">
      <c r="A935" s="95" t="s">
        <v>2171</v>
      </c>
      <c r="B935" s="51" t="s">
        <v>2056</v>
      </c>
      <c r="C935" s="96"/>
      <c r="D935" s="96"/>
      <c r="E935" s="53"/>
      <c r="F935" s="53"/>
      <c r="G935" s="96"/>
      <c r="H935" s="96">
        <f>ROUND(F935-E935,2)</f>
        <v>0</v>
      </c>
      <c r="I935" s="60"/>
      <c r="J935" s="60"/>
      <c r="K935" s="60"/>
      <c r="L935" s="60"/>
      <c r="M935" s="60"/>
      <c r="N935" s="60"/>
      <c r="O935" s="60"/>
      <c r="P935" s="60"/>
      <c r="Q935" s="60"/>
      <c r="R935" s="60"/>
      <c r="S935" s="60"/>
      <c r="T935" s="60"/>
      <c r="U935" s="60"/>
      <c r="V935" s="60"/>
      <c r="W935" s="60"/>
      <c r="X935" s="60"/>
      <c r="Y935" s="60"/>
      <c r="Z935" s="60"/>
    </row>
    <row r="936" spans="1:26" ht="30" hidden="1" customHeight="1">
      <c r="A936" s="92" t="s">
        <v>2172</v>
      </c>
      <c r="B936" s="97" t="s">
        <v>2058</v>
      </c>
      <c r="C936" s="94"/>
      <c r="D936" s="94"/>
      <c r="E936" s="94">
        <f t="shared" ref="E936:F936" si="349">E937+E950+E953+E954+E959+E965</f>
        <v>3838119419.3300004</v>
      </c>
      <c r="F936" s="94">
        <f t="shared" si="349"/>
        <v>7552656439.6799994</v>
      </c>
      <c r="G936" s="94"/>
      <c r="H936" s="94">
        <f>H937+H950+H953+H954+H959+H965</f>
        <v>3714537020.3499994</v>
      </c>
      <c r="I936" s="60"/>
      <c r="J936" s="60"/>
      <c r="K936" s="60"/>
      <c r="L936" s="60"/>
      <c r="M936" s="60"/>
      <c r="N936" s="60"/>
      <c r="O936" s="60"/>
      <c r="P936" s="60"/>
      <c r="Q936" s="60"/>
      <c r="R936" s="60"/>
      <c r="S936" s="60"/>
      <c r="T936" s="60"/>
      <c r="U936" s="60"/>
      <c r="V936" s="60"/>
      <c r="W936" s="60"/>
      <c r="X936" s="60"/>
      <c r="Y936" s="60"/>
      <c r="Z936" s="60"/>
    </row>
    <row r="937" spans="1:26" ht="30" hidden="1" customHeight="1">
      <c r="A937" s="95" t="s">
        <v>2173</v>
      </c>
      <c r="B937" s="51" t="s">
        <v>1093</v>
      </c>
      <c r="C937" s="96"/>
      <c r="D937" s="96"/>
      <c r="E937" s="94">
        <f t="shared" ref="E937:F937" si="350">SUM(E938:E949)</f>
        <v>3012352816.2199998</v>
      </c>
      <c r="F937" s="94">
        <f t="shared" si="350"/>
        <v>5869113412.9799995</v>
      </c>
      <c r="G937" s="96"/>
      <c r="H937" s="94">
        <f>SUM(H938:H949)</f>
        <v>2856760596.7599998</v>
      </c>
      <c r="I937" s="60"/>
      <c r="J937" s="60"/>
      <c r="K937" s="60"/>
      <c r="L937" s="60"/>
      <c r="M937" s="60"/>
      <c r="N937" s="60"/>
      <c r="O937" s="60"/>
      <c r="P937" s="60"/>
      <c r="Q937" s="60"/>
      <c r="R937" s="60"/>
      <c r="S937" s="60"/>
      <c r="T937" s="60"/>
      <c r="U937" s="60"/>
      <c r="V937" s="60"/>
      <c r="W937" s="60"/>
      <c r="X937" s="60"/>
      <c r="Y937" s="60"/>
      <c r="Z937" s="60"/>
    </row>
    <row r="938" spans="1:26" ht="30" hidden="1" customHeight="1">
      <c r="A938" s="95" t="s">
        <v>2174</v>
      </c>
      <c r="B938" s="51" t="s">
        <v>1095</v>
      </c>
      <c r="C938" s="96"/>
      <c r="D938" s="96"/>
      <c r="E938" s="53">
        <v>1467777654.4000001</v>
      </c>
      <c r="F938" s="53">
        <v>2813192265.6599998</v>
      </c>
      <c r="G938" s="96"/>
      <c r="H938" s="96">
        <f t="shared" ref="H938:H949" si="351">ROUND(F938-E938,2)</f>
        <v>1345414611.26</v>
      </c>
      <c r="I938" s="60"/>
      <c r="J938" s="60"/>
      <c r="K938" s="60"/>
      <c r="L938" s="60"/>
      <c r="M938" s="60"/>
      <c r="N938" s="60"/>
      <c r="O938" s="60"/>
      <c r="P938" s="60"/>
      <c r="Q938" s="60"/>
      <c r="R938" s="60"/>
      <c r="S938" s="60"/>
      <c r="T938" s="60"/>
      <c r="U938" s="60"/>
      <c r="V938" s="60"/>
      <c r="W938" s="60"/>
      <c r="X938" s="60"/>
      <c r="Y938" s="60"/>
      <c r="Z938" s="60"/>
    </row>
    <row r="939" spans="1:26" ht="30" hidden="1" customHeight="1">
      <c r="A939" s="95" t="s">
        <v>2175</v>
      </c>
      <c r="B939" s="51" t="s">
        <v>1097</v>
      </c>
      <c r="C939" s="96"/>
      <c r="D939" s="96"/>
      <c r="E939" s="53">
        <v>246873957.37</v>
      </c>
      <c r="F939" s="53">
        <v>430724110.88999999</v>
      </c>
      <c r="G939" s="96"/>
      <c r="H939" s="96">
        <f t="shared" si="351"/>
        <v>183850153.52000001</v>
      </c>
      <c r="I939" s="60"/>
      <c r="J939" s="60"/>
      <c r="K939" s="60"/>
      <c r="L939" s="60"/>
      <c r="M939" s="60"/>
      <c r="N939" s="60"/>
      <c r="O939" s="60"/>
      <c r="P939" s="60"/>
      <c r="Q939" s="60"/>
      <c r="R939" s="60"/>
      <c r="S939" s="60"/>
      <c r="T939" s="60"/>
      <c r="U939" s="60"/>
      <c r="V939" s="60"/>
      <c r="W939" s="60"/>
      <c r="X939" s="60"/>
      <c r="Y939" s="60"/>
      <c r="Z939" s="60"/>
    </row>
    <row r="940" spans="1:26" ht="30" hidden="1" customHeight="1">
      <c r="A940" s="95" t="s">
        <v>2176</v>
      </c>
      <c r="B940" s="51" t="s">
        <v>1099</v>
      </c>
      <c r="C940" s="96"/>
      <c r="D940" s="96"/>
      <c r="E940" s="53">
        <v>261553212.03</v>
      </c>
      <c r="F940" s="53">
        <v>550823964.02999997</v>
      </c>
      <c r="G940" s="96"/>
      <c r="H940" s="96">
        <f t="shared" si="351"/>
        <v>289270752</v>
      </c>
      <c r="I940" s="60"/>
      <c r="J940" s="60"/>
      <c r="K940" s="60"/>
      <c r="L940" s="60"/>
      <c r="M940" s="60"/>
      <c r="N940" s="60"/>
      <c r="O940" s="60"/>
      <c r="P940" s="60"/>
      <c r="Q940" s="60"/>
      <c r="R940" s="60"/>
      <c r="S940" s="60"/>
      <c r="T940" s="60"/>
      <c r="U940" s="60"/>
      <c r="V940" s="60"/>
      <c r="W940" s="60"/>
      <c r="X940" s="60"/>
      <c r="Y940" s="60"/>
      <c r="Z940" s="60"/>
    </row>
    <row r="941" spans="1:26" ht="30" hidden="1" customHeight="1">
      <c r="A941" s="95" t="s">
        <v>2177</v>
      </c>
      <c r="B941" s="51" t="s">
        <v>1101</v>
      </c>
      <c r="C941" s="96"/>
      <c r="D941" s="96"/>
      <c r="E941" s="53"/>
      <c r="F941" s="53"/>
      <c r="G941" s="96"/>
      <c r="H941" s="96">
        <f t="shared" si="351"/>
        <v>0</v>
      </c>
      <c r="I941" s="60"/>
      <c r="J941" s="60"/>
      <c r="K941" s="60"/>
      <c r="L941" s="60"/>
      <c r="M941" s="60"/>
      <c r="N941" s="60"/>
      <c r="O941" s="60"/>
      <c r="P941" s="60"/>
      <c r="Q941" s="60"/>
      <c r="R941" s="60"/>
      <c r="S941" s="60"/>
      <c r="T941" s="60"/>
      <c r="U941" s="60"/>
      <c r="V941" s="60"/>
      <c r="W941" s="60"/>
      <c r="X941" s="60"/>
      <c r="Y941" s="60"/>
      <c r="Z941" s="60"/>
    </row>
    <row r="942" spans="1:26" ht="30" hidden="1" customHeight="1">
      <c r="A942" s="95" t="s">
        <v>2178</v>
      </c>
      <c r="B942" s="51" t="s">
        <v>1103</v>
      </c>
      <c r="C942" s="96"/>
      <c r="D942" s="96"/>
      <c r="E942" s="53"/>
      <c r="F942" s="53"/>
      <c r="G942" s="96"/>
      <c r="H942" s="96">
        <f t="shared" si="351"/>
        <v>0</v>
      </c>
      <c r="I942" s="60"/>
      <c r="J942" s="60"/>
      <c r="K942" s="60"/>
      <c r="L942" s="60"/>
      <c r="M942" s="60"/>
      <c r="N942" s="60"/>
      <c r="O942" s="60"/>
      <c r="P942" s="60"/>
      <c r="Q942" s="60"/>
      <c r="R942" s="60"/>
      <c r="S942" s="60"/>
      <c r="T942" s="60"/>
      <c r="U942" s="60"/>
      <c r="V942" s="60"/>
      <c r="W942" s="60"/>
      <c r="X942" s="60"/>
      <c r="Y942" s="60"/>
      <c r="Z942" s="60"/>
    </row>
    <row r="943" spans="1:26" ht="30" hidden="1" customHeight="1">
      <c r="A943" s="95" t="s">
        <v>2179</v>
      </c>
      <c r="B943" s="51" t="s">
        <v>1105</v>
      </c>
      <c r="C943" s="96"/>
      <c r="D943" s="96"/>
      <c r="E943" s="53">
        <v>36467989.840000004</v>
      </c>
      <c r="F943" s="53">
        <v>70903102.590000004</v>
      </c>
      <c r="G943" s="96"/>
      <c r="H943" s="96">
        <f t="shared" si="351"/>
        <v>34435112.75</v>
      </c>
      <c r="I943" s="60"/>
      <c r="J943" s="60"/>
      <c r="K943" s="60"/>
      <c r="L943" s="60"/>
      <c r="M943" s="60"/>
      <c r="N943" s="60"/>
      <c r="O943" s="60"/>
      <c r="P943" s="60"/>
      <c r="Q943" s="60"/>
      <c r="R943" s="60"/>
      <c r="S943" s="60"/>
      <c r="T943" s="60"/>
      <c r="U943" s="60"/>
      <c r="V943" s="60"/>
      <c r="W943" s="60"/>
      <c r="X943" s="60"/>
      <c r="Y943" s="60"/>
      <c r="Z943" s="60"/>
    </row>
    <row r="944" spans="1:26" ht="30" hidden="1" customHeight="1">
      <c r="A944" s="95" t="s">
        <v>2180</v>
      </c>
      <c r="B944" s="51" t="s">
        <v>1107</v>
      </c>
      <c r="C944" s="96"/>
      <c r="D944" s="96"/>
      <c r="E944" s="53"/>
      <c r="F944" s="53"/>
      <c r="G944" s="96"/>
      <c r="H944" s="96">
        <f t="shared" si="351"/>
        <v>0</v>
      </c>
      <c r="I944" s="60"/>
      <c r="J944" s="60"/>
      <c r="K944" s="60"/>
      <c r="L944" s="60"/>
      <c r="M944" s="60"/>
      <c r="N944" s="60"/>
      <c r="O944" s="60"/>
      <c r="P944" s="60"/>
      <c r="Q944" s="60"/>
      <c r="R944" s="60"/>
      <c r="S944" s="60"/>
      <c r="T944" s="60"/>
      <c r="U944" s="60"/>
      <c r="V944" s="60"/>
      <c r="W944" s="60"/>
      <c r="X944" s="60"/>
      <c r="Y944" s="60"/>
      <c r="Z944" s="60"/>
    </row>
    <row r="945" spans="1:26" ht="30" hidden="1" customHeight="1">
      <c r="A945" s="95" t="s">
        <v>2181</v>
      </c>
      <c r="B945" s="51" t="s">
        <v>1109</v>
      </c>
      <c r="C945" s="96"/>
      <c r="D945" s="96"/>
      <c r="E945" s="53"/>
      <c r="F945" s="53"/>
      <c r="G945" s="96"/>
      <c r="H945" s="96">
        <f t="shared" si="351"/>
        <v>0</v>
      </c>
      <c r="I945" s="60"/>
      <c r="J945" s="60"/>
      <c r="K945" s="60"/>
      <c r="L945" s="60"/>
      <c r="M945" s="60"/>
      <c r="N945" s="60"/>
      <c r="O945" s="60"/>
      <c r="P945" s="60"/>
      <c r="Q945" s="60"/>
      <c r="R945" s="60"/>
      <c r="S945" s="60"/>
      <c r="T945" s="60"/>
      <c r="U945" s="60"/>
      <c r="V945" s="60"/>
      <c r="W945" s="60"/>
      <c r="X945" s="60"/>
      <c r="Y945" s="60"/>
      <c r="Z945" s="60"/>
    </row>
    <row r="946" spans="1:26" ht="30" hidden="1" customHeight="1">
      <c r="A946" s="95" t="s">
        <v>2182</v>
      </c>
      <c r="B946" s="51" t="s">
        <v>1111</v>
      </c>
      <c r="C946" s="96"/>
      <c r="D946" s="96"/>
      <c r="E946" s="53">
        <v>19708541.100000001</v>
      </c>
      <c r="F946" s="53">
        <v>36878564.920000002</v>
      </c>
      <c r="G946" s="96"/>
      <c r="H946" s="96">
        <f t="shared" si="351"/>
        <v>17170023.82</v>
      </c>
      <c r="I946" s="60"/>
      <c r="J946" s="60"/>
      <c r="K946" s="60"/>
      <c r="L946" s="60"/>
      <c r="M946" s="60"/>
      <c r="N946" s="60"/>
      <c r="O946" s="60"/>
      <c r="P946" s="60"/>
      <c r="Q946" s="60"/>
      <c r="R946" s="60"/>
      <c r="S946" s="60"/>
      <c r="T946" s="60"/>
      <c r="U946" s="60"/>
      <c r="V946" s="60"/>
      <c r="W946" s="60"/>
      <c r="X946" s="60"/>
      <c r="Y946" s="60"/>
      <c r="Z946" s="60"/>
    </row>
    <row r="947" spans="1:26" ht="30" hidden="1" customHeight="1">
      <c r="A947" s="95" t="s">
        <v>2183</v>
      </c>
      <c r="B947" s="51" t="s">
        <v>2070</v>
      </c>
      <c r="C947" s="96"/>
      <c r="D947" s="96"/>
      <c r="E947" s="53">
        <v>348957351.20999998</v>
      </c>
      <c r="F947" s="53">
        <v>799805146.89999998</v>
      </c>
      <c r="G947" s="96"/>
      <c r="H947" s="96">
        <f t="shared" si="351"/>
        <v>450847795.69</v>
      </c>
      <c r="I947" s="60"/>
      <c r="J947" s="60"/>
      <c r="K947" s="60"/>
      <c r="L947" s="60"/>
      <c r="M947" s="60"/>
      <c r="N947" s="60"/>
      <c r="O947" s="60"/>
      <c r="P947" s="60"/>
      <c r="Q947" s="60"/>
      <c r="R947" s="60"/>
      <c r="S947" s="60"/>
      <c r="T947" s="60"/>
      <c r="U947" s="60"/>
      <c r="V947" s="60"/>
      <c r="W947" s="60"/>
      <c r="X947" s="60"/>
      <c r="Y947" s="60"/>
      <c r="Z947" s="60"/>
    </row>
    <row r="948" spans="1:26" ht="30" hidden="1" customHeight="1">
      <c r="A948" s="95" t="s">
        <v>2184</v>
      </c>
      <c r="B948" s="51" t="s">
        <v>1115</v>
      </c>
      <c r="C948" s="96"/>
      <c r="D948" s="96"/>
      <c r="E948" s="53">
        <v>-311382.44</v>
      </c>
      <c r="F948" s="53">
        <v>4322658.55</v>
      </c>
      <c r="G948" s="96"/>
      <c r="H948" s="96">
        <f t="shared" si="351"/>
        <v>4634040.99</v>
      </c>
      <c r="I948" s="60"/>
      <c r="J948" s="60"/>
      <c r="K948" s="60"/>
      <c r="L948" s="60"/>
      <c r="M948" s="60"/>
      <c r="N948" s="60"/>
      <c r="O948" s="60"/>
      <c r="P948" s="60"/>
      <c r="Q948" s="60"/>
      <c r="R948" s="60"/>
      <c r="S948" s="60"/>
      <c r="T948" s="60"/>
      <c r="U948" s="60"/>
      <c r="V948" s="60"/>
      <c r="W948" s="60"/>
      <c r="X948" s="60"/>
      <c r="Y948" s="60"/>
      <c r="Z948" s="60"/>
    </row>
    <row r="949" spans="1:26" ht="30" hidden="1" customHeight="1">
      <c r="A949" s="95" t="s">
        <v>2185</v>
      </c>
      <c r="B949" s="51" t="s">
        <v>2073</v>
      </c>
      <c r="C949" s="96"/>
      <c r="D949" s="96"/>
      <c r="E949" s="53">
        <v>631325492.71000004</v>
      </c>
      <c r="F949" s="53">
        <v>1162463599.4400001</v>
      </c>
      <c r="G949" s="96"/>
      <c r="H949" s="96">
        <f t="shared" si="351"/>
        <v>531138106.73000002</v>
      </c>
      <c r="I949" s="60"/>
      <c r="J949" s="60"/>
      <c r="K949" s="60"/>
      <c r="L949" s="60"/>
      <c r="M949" s="60"/>
      <c r="N949" s="60"/>
      <c r="O949" s="60"/>
      <c r="P949" s="60"/>
      <c r="Q949" s="60"/>
      <c r="R949" s="60"/>
      <c r="S949" s="60"/>
      <c r="T949" s="60"/>
      <c r="U949" s="60"/>
      <c r="V949" s="60"/>
      <c r="W949" s="60"/>
      <c r="X949" s="60"/>
      <c r="Y949" s="60"/>
      <c r="Z949" s="60"/>
    </row>
    <row r="950" spans="1:26" ht="30" hidden="1" customHeight="1">
      <c r="A950" s="95" t="s">
        <v>2186</v>
      </c>
      <c r="B950" s="51" t="s">
        <v>1119</v>
      </c>
      <c r="C950" s="96"/>
      <c r="D950" s="96"/>
      <c r="E950" s="94">
        <f t="shared" ref="E950:F950" si="352">SUM(E951:E952)</f>
        <v>785226975.99000001</v>
      </c>
      <c r="F950" s="94">
        <f t="shared" si="352"/>
        <v>1527832876.25</v>
      </c>
      <c r="G950" s="96"/>
      <c r="H950" s="94">
        <f>SUM(H951:H952)</f>
        <v>742605900.25999999</v>
      </c>
      <c r="I950" s="60"/>
      <c r="J950" s="60"/>
      <c r="K950" s="60"/>
      <c r="L950" s="60"/>
      <c r="M950" s="60"/>
      <c r="N950" s="60"/>
      <c r="O950" s="60"/>
      <c r="P950" s="60"/>
      <c r="Q950" s="60"/>
      <c r="R950" s="60"/>
      <c r="S950" s="60"/>
      <c r="T950" s="60"/>
      <c r="U950" s="60"/>
      <c r="V950" s="60"/>
      <c r="W950" s="60"/>
      <c r="X950" s="60"/>
      <c r="Y950" s="60"/>
      <c r="Z950" s="60"/>
    </row>
    <row r="951" spans="1:26" ht="30" hidden="1" customHeight="1">
      <c r="A951" s="95" t="s">
        <v>2187</v>
      </c>
      <c r="B951" s="51" t="s">
        <v>1121</v>
      </c>
      <c r="C951" s="96"/>
      <c r="D951" s="96"/>
      <c r="E951" s="53">
        <v>93400644.069999993</v>
      </c>
      <c r="F951" s="53">
        <v>146767398.31</v>
      </c>
      <c r="G951" s="96"/>
      <c r="H951" s="96">
        <f t="shared" ref="H951:H953" si="353">ROUND(F951-E951,2)</f>
        <v>53366754.240000002</v>
      </c>
      <c r="I951" s="60"/>
      <c r="J951" s="60"/>
      <c r="K951" s="60"/>
      <c r="L951" s="60"/>
      <c r="M951" s="60"/>
      <c r="N951" s="60"/>
      <c r="O951" s="60"/>
      <c r="P951" s="60"/>
      <c r="Q951" s="60"/>
      <c r="R951" s="60"/>
      <c r="S951" s="60"/>
      <c r="T951" s="60"/>
      <c r="U951" s="60"/>
      <c r="V951" s="60"/>
      <c r="W951" s="60"/>
      <c r="X951" s="60"/>
      <c r="Y951" s="60"/>
      <c r="Z951" s="60"/>
    </row>
    <row r="952" spans="1:26" ht="30" hidden="1" customHeight="1">
      <c r="A952" s="95" t="s">
        <v>2188</v>
      </c>
      <c r="B952" s="51" t="s">
        <v>2077</v>
      </c>
      <c r="C952" s="96"/>
      <c r="D952" s="96"/>
      <c r="E952" s="53">
        <v>691826331.91999996</v>
      </c>
      <c r="F952" s="53">
        <v>1381065477.9400001</v>
      </c>
      <c r="G952" s="96"/>
      <c r="H952" s="96">
        <f t="shared" si="353"/>
        <v>689239146.01999998</v>
      </c>
      <c r="I952" s="60"/>
      <c r="J952" s="60"/>
      <c r="K952" s="60"/>
      <c r="L952" s="60"/>
      <c r="M952" s="60"/>
      <c r="N952" s="60"/>
      <c r="O952" s="60"/>
      <c r="P952" s="60"/>
      <c r="Q952" s="60"/>
      <c r="R952" s="60"/>
      <c r="S952" s="60"/>
      <c r="T952" s="60"/>
      <c r="U952" s="60"/>
      <c r="V952" s="60"/>
      <c r="W952" s="60"/>
      <c r="X952" s="60"/>
      <c r="Y952" s="60"/>
      <c r="Z952" s="60"/>
    </row>
    <row r="953" spans="1:26" ht="30" hidden="1" customHeight="1">
      <c r="A953" s="95" t="s">
        <v>2189</v>
      </c>
      <c r="B953" s="51" t="s">
        <v>2190</v>
      </c>
      <c r="C953" s="96"/>
      <c r="D953" s="96"/>
      <c r="E953" s="53"/>
      <c r="F953" s="53"/>
      <c r="G953" s="96"/>
      <c r="H953" s="96">
        <f t="shared" si="353"/>
        <v>0</v>
      </c>
      <c r="I953" s="60"/>
      <c r="J953" s="60"/>
      <c r="K953" s="60"/>
      <c r="L953" s="60"/>
      <c r="M953" s="60"/>
      <c r="N953" s="60"/>
      <c r="O953" s="60"/>
      <c r="P953" s="60"/>
      <c r="Q953" s="60"/>
      <c r="R953" s="60"/>
      <c r="S953" s="60"/>
      <c r="T953" s="60"/>
      <c r="U953" s="60"/>
      <c r="V953" s="60"/>
      <c r="W953" s="60"/>
      <c r="X953" s="60"/>
      <c r="Y953" s="60"/>
      <c r="Z953" s="60"/>
    </row>
    <row r="954" spans="1:26" ht="30" hidden="1" customHeight="1">
      <c r="A954" s="95" t="s">
        <v>2191</v>
      </c>
      <c r="B954" s="51" t="s">
        <v>2192</v>
      </c>
      <c r="C954" s="96"/>
      <c r="D954" s="96"/>
      <c r="E954" s="94">
        <f t="shared" ref="E954:F954" si="354">SUM(E955:E958)</f>
        <v>38183.359999999986</v>
      </c>
      <c r="F954" s="94">
        <f t="shared" si="354"/>
        <v>45251844.630000003</v>
      </c>
      <c r="G954" s="96"/>
      <c r="H954" s="94">
        <f>SUM(H955:H958)</f>
        <v>45213661.270000003</v>
      </c>
      <c r="I954" s="60"/>
      <c r="J954" s="60"/>
      <c r="K954" s="60"/>
      <c r="L954" s="60"/>
      <c r="M954" s="60"/>
      <c r="N954" s="60"/>
      <c r="O954" s="60"/>
      <c r="P954" s="60"/>
      <c r="Q954" s="60"/>
      <c r="R954" s="60"/>
      <c r="S954" s="60"/>
      <c r="T954" s="60"/>
      <c r="U954" s="60"/>
      <c r="V954" s="60"/>
      <c r="W954" s="60"/>
      <c r="X954" s="60"/>
      <c r="Y954" s="60"/>
      <c r="Z954" s="60"/>
    </row>
    <row r="955" spans="1:26" ht="30" hidden="1" customHeight="1">
      <c r="A955" s="95" t="s">
        <v>2193</v>
      </c>
      <c r="B955" s="51" t="s">
        <v>1127</v>
      </c>
      <c r="C955" s="96"/>
      <c r="D955" s="96"/>
      <c r="E955" s="53">
        <v>1404.16</v>
      </c>
      <c r="F955" s="53">
        <v>489510</v>
      </c>
      <c r="G955" s="96"/>
      <c r="H955" s="96">
        <f t="shared" ref="H955:H958" si="355">ROUND(F955-E955,2)</f>
        <v>488105.84</v>
      </c>
      <c r="I955" s="60"/>
      <c r="J955" s="60"/>
      <c r="K955" s="60"/>
      <c r="L955" s="60"/>
      <c r="M955" s="60"/>
      <c r="N955" s="60"/>
      <c r="O955" s="60"/>
      <c r="P955" s="60"/>
      <c r="Q955" s="60"/>
      <c r="R955" s="60"/>
      <c r="S955" s="60"/>
      <c r="T955" s="60"/>
      <c r="U955" s="60"/>
      <c r="V955" s="60"/>
      <c r="W955" s="60"/>
      <c r="X955" s="60"/>
      <c r="Y955" s="60"/>
      <c r="Z955" s="60"/>
    </row>
    <row r="956" spans="1:26" ht="30" hidden="1" customHeight="1">
      <c r="A956" s="95" t="s">
        <v>2194</v>
      </c>
      <c r="B956" s="51" t="s">
        <v>1809</v>
      </c>
      <c r="C956" s="96"/>
      <c r="D956" s="96"/>
      <c r="E956" s="53">
        <v>-110565.85</v>
      </c>
      <c r="F956" s="53">
        <v>44759100</v>
      </c>
      <c r="G956" s="96"/>
      <c r="H956" s="96">
        <f t="shared" si="355"/>
        <v>44869665.850000001</v>
      </c>
      <c r="I956" s="60"/>
      <c r="J956" s="60"/>
      <c r="K956" s="60"/>
      <c r="L956" s="60"/>
      <c r="M956" s="60"/>
      <c r="N956" s="60"/>
      <c r="O956" s="60"/>
      <c r="P956" s="60"/>
      <c r="Q956" s="60"/>
      <c r="R956" s="60"/>
      <c r="S956" s="60"/>
      <c r="T956" s="60"/>
      <c r="U956" s="60"/>
      <c r="V956" s="60"/>
      <c r="W956" s="60"/>
      <c r="X956" s="60"/>
      <c r="Y956" s="60"/>
      <c r="Z956" s="60"/>
    </row>
    <row r="957" spans="1:26" ht="30" hidden="1" customHeight="1">
      <c r="A957" s="95" t="s">
        <v>2195</v>
      </c>
      <c r="B957" s="51" t="s">
        <v>1804</v>
      </c>
      <c r="C957" s="96"/>
      <c r="D957" s="96"/>
      <c r="E957" s="53"/>
      <c r="F957" s="53"/>
      <c r="G957" s="96"/>
      <c r="H957" s="96">
        <f t="shared" si="355"/>
        <v>0</v>
      </c>
      <c r="I957" s="60"/>
      <c r="J957" s="60"/>
      <c r="K957" s="60"/>
      <c r="L957" s="60"/>
      <c r="M957" s="60"/>
      <c r="N957" s="60"/>
      <c r="O957" s="60"/>
      <c r="P957" s="60"/>
      <c r="Q957" s="60"/>
      <c r="R957" s="60"/>
      <c r="S957" s="60"/>
      <c r="T957" s="60"/>
      <c r="U957" s="60"/>
      <c r="V957" s="60"/>
      <c r="W957" s="60"/>
      <c r="X957" s="60"/>
      <c r="Y957" s="60"/>
      <c r="Z957" s="60"/>
    </row>
    <row r="958" spans="1:26" ht="30" hidden="1" customHeight="1">
      <c r="A958" s="95" t="s">
        <v>2196</v>
      </c>
      <c r="B958" s="51" t="s">
        <v>2086</v>
      </c>
      <c r="C958" s="96"/>
      <c r="D958" s="96"/>
      <c r="E958" s="53">
        <v>147345.04999999999</v>
      </c>
      <c r="F958" s="53">
        <v>3234.63</v>
      </c>
      <c r="G958" s="96"/>
      <c r="H958" s="96">
        <f t="shared" si="355"/>
        <v>-144110.42000000001</v>
      </c>
      <c r="I958" s="60"/>
      <c r="J958" s="60"/>
      <c r="K958" s="60"/>
      <c r="L958" s="60"/>
      <c r="M958" s="60"/>
      <c r="N958" s="60"/>
      <c r="O958" s="60"/>
      <c r="P958" s="60"/>
      <c r="Q958" s="60"/>
      <c r="R958" s="60"/>
      <c r="S958" s="60"/>
      <c r="T958" s="60"/>
      <c r="U958" s="60"/>
      <c r="V958" s="60"/>
      <c r="W958" s="60"/>
      <c r="X958" s="60"/>
      <c r="Y958" s="60"/>
      <c r="Z958" s="60"/>
    </row>
    <row r="959" spans="1:26" ht="30" hidden="1" customHeight="1">
      <c r="A959" s="95" t="s">
        <v>2197</v>
      </c>
      <c r="B959" s="51" t="s">
        <v>1139</v>
      </c>
      <c r="C959" s="96"/>
      <c r="D959" s="96"/>
      <c r="E959" s="94">
        <f t="shared" ref="E959:F959" si="356">SUM(E960:E965)</f>
        <v>40501443.759999998</v>
      </c>
      <c r="F959" s="94">
        <f t="shared" si="356"/>
        <v>110458305.82000001</v>
      </c>
      <c r="G959" s="96"/>
      <c r="H959" s="94">
        <f>SUM(H960:H965)</f>
        <v>69956862.060000002</v>
      </c>
      <c r="I959" s="60"/>
      <c r="J959" s="60"/>
      <c r="K959" s="60"/>
      <c r="L959" s="60"/>
      <c r="M959" s="60"/>
      <c r="N959" s="60"/>
      <c r="O959" s="60"/>
      <c r="P959" s="60"/>
      <c r="Q959" s="60"/>
      <c r="R959" s="60"/>
      <c r="S959" s="60"/>
      <c r="T959" s="60"/>
      <c r="U959" s="60"/>
      <c r="V959" s="60"/>
      <c r="W959" s="60"/>
      <c r="X959" s="60"/>
      <c r="Y959" s="60"/>
      <c r="Z959" s="60"/>
    </row>
    <row r="960" spans="1:26" ht="30" hidden="1" customHeight="1">
      <c r="A960" s="95" t="s">
        <v>2198</v>
      </c>
      <c r="B960" s="51" t="s">
        <v>1141</v>
      </c>
      <c r="C960" s="96"/>
      <c r="D960" s="96"/>
      <c r="E960" s="53">
        <v>174.68</v>
      </c>
      <c r="F960" s="53">
        <v>555.66999999999996</v>
      </c>
      <c r="G960" s="96"/>
      <c r="H960" s="96">
        <f t="shared" ref="H960:H964" si="357">ROUND(F960-E960,2)</f>
        <v>380.99</v>
      </c>
      <c r="I960" s="60"/>
      <c r="J960" s="60"/>
      <c r="K960" s="60"/>
      <c r="L960" s="60"/>
      <c r="M960" s="60"/>
      <c r="N960" s="60"/>
      <c r="O960" s="60"/>
      <c r="P960" s="60"/>
      <c r="Q960" s="60"/>
      <c r="R960" s="60"/>
      <c r="S960" s="60"/>
      <c r="T960" s="60"/>
      <c r="U960" s="60"/>
      <c r="V960" s="60"/>
      <c r="W960" s="60"/>
      <c r="X960" s="60"/>
      <c r="Y960" s="60"/>
      <c r="Z960" s="60"/>
    </row>
    <row r="961" spans="1:26" ht="30" hidden="1" customHeight="1">
      <c r="A961" s="95" t="s">
        <v>2199</v>
      </c>
      <c r="B961" s="51" t="s">
        <v>1143</v>
      </c>
      <c r="C961" s="96"/>
      <c r="D961" s="96"/>
      <c r="E961" s="53">
        <v>4805794.68</v>
      </c>
      <c r="F961" s="53">
        <v>12646691.640000001</v>
      </c>
      <c r="G961" s="96"/>
      <c r="H961" s="96">
        <f t="shared" si="357"/>
        <v>7840896.96</v>
      </c>
      <c r="I961" s="60"/>
      <c r="J961" s="60"/>
      <c r="K961" s="60"/>
      <c r="L961" s="60"/>
      <c r="M961" s="60"/>
      <c r="N961" s="60"/>
      <c r="O961" s="60"/>
      <c r="P961" s="60"/>
      <c r="Q961" s="60"/>
      <c r="R961" s="60"/>
      <c r="S961" s="60"/>
      <c r="T961" s="60"/>
      <c r="U961" s="60"/>
      <c r="V961" s="60"/>
      <c r="W961" s="60"/>
      <c r="X961" s="60"/>
      <c r="Y961" s="60"/>
      <c r="Z961" s="60"/>
    </row>
    <row r="962" spans="1:26" ht="30" hidden="1" customHeight="1">
      <c r="A962" s="95" t="s">
        <v>2200</v>
      </c>
      <c r="B962" s="51" t="s">
        <v>1145</v>
      </c>
      <c r="C962" s="96"/>
      <c r="D962" s="96"/>
      <c r="E962" s="53">
        <v>35695474.399999999</v>
      </c>
      <c r="F962" s="53">
        <v>97811058.510000005</v>
      </c>
      <c r="G962" s="96"/>
      <c r="H962" s="96">
        <f t="shared" si="357"/>
        <v>62115584.109999999</v>
      </c>
      <c r="I962" s="60"/>
      <c r="J962" s="60"/>
      <c r="K962" s="60"/>
      <c r="L962" s="60"/>
      <c r="M962" s="60"/>
      <c r="N962" s="60"/>
      <c r="O962" s="60"/>
      <c r="P962" s="60"/>
      <c r="Q962" s="60"/>
      <c r="R962" s="60"/>
      <c r="S962" s="60"/>
      <c r="T962" s="60"/>
      <c r="U962" s="60"/>
      <c r="V962" s="60"/>
      <c r="W962" s="60"/>
      <c r="X962" s="60"/>
      <c r="Y962" s="60"/>
      <c r="Z962" s="60"/>
    </row>
    <row r="963" spans="1:26" ht="30" hidden="1" customHeight="1">
      <c r="A963" s="95" t="s">
        <v>2201</v>
      </c>
      <c r="B963" s="51" t="s">
        <v>1147</v>
      </c>
      <c r="C963" s="96"/>
      <c r="D963" s="96"/>
      <c r="E963" s="53"/>
      <c r="F963" s="53"/>
      <c r="G963" s="96"/>
      <c r="H963" s="96">
        <f t="shared" si="357"/>
        <v>0</v>
      </c>
      <c r="I963" s="60"/>
      <c r="J963" s="60"/>
      <c r="K963" s="60"/>
      <c r="L963" s="60"/>
      <c r="M963" s="60"/>
      <c r="N963" s="60"/>
      <c r="O963" s="60"/>
      <c r="P963" s="60"/>
      <c r="Q963" s="60"/>
      <c r="R963" s="60"/>
      <c r="S963" s="60"/>
      <c r="T963" s="60"/>
      <c r="U963" s="60"/>
      <c r="V963" s="60"/>
      <c r="W963" s="60"/>
      <c r="X963" s="60"/>
      <c r="Y963" s="60"/>
      <c r="Z963" s="60"/>
    </row>
    <row r="964" spans="1:26" ht="30" hidden="1" customHeight="1">
      <c r="A964" s="95" t="s">
        <v>2202</v>
      </c>
      <c r="B964" s="51" t="s">
        <v>1149</v>
      </c>
      <c r="C964" s="96"/>
      <c r="D964" s="96"/>
      <c r="E964" s="53"/>
      <c r="F964" s="53"/>
      <c r="G964" s="96"/>
      <c r="H964" s="96">
        <f t="shared" si="357"/>
        <v>0</v>
      </c>
      <c r="I964" s="60"/>
      <c r="J964" s="60"/>
      <c r="K964" s="60"/>
      <c r="L964" s="60"/>
      <c r="M964" s="60"/>
      <c r="N964" s="60"/>
      <c r="O964" s="60"/>
      <c r="P964" s="60"/>
      <c r="Q964" s="60"/>
      <c r="R964" s="60"/>
      <c r="S964" s="60"/>
      <c r="T964" s="60"/>
      <c r="U964" s="60"/>
      <c r="V964" s="60"/>
      <c r="W964" s="60"/>
      <c r="X964" s="60"/>
      <c r="Y964" s="60"/>
      <c r="Z964" s="60"/>
    </row>
    <row r="965" spans="1:26" ht="30" hidden="1" customHeight="1">
      <c r="A965" s="95" t="s">
        <v>2203</v>
      </c>
      <c r="B965" s="51" t="s">
        <v>1151</v>
      </c>
      <c r="C965" s="96"/>
      <c r="D965" s="96"/>
      <c r="E965" s="94">
        <f t="shared" ref="E965:F965" si="358">SUM(E966:E967)</f>
        <v>0</v>
      </c>
      <c r="F965" s="94">
        <f t="shared" si="358"/>
        <v>0</v>
      </c>
      <c r="G965" s="96"/>
      <c r="H965" s="94">
        <f>SUM(H966:H967)</f>
        <v>0</v>
      </c>
      <c r="I965" s="60"/>
      <c r="J965" s="60"/>
      <c r="K965" s="60"/>
      <c r="L965" s="60"/>
      <c r="M965" s="60"/>
      <c r="N965" s="60"/>
      <c r="O965" s="60"/>
      <c r="P965" s="60"/>
      <c r="Q965" s="60"/>
      <c r="R965" s="60"/>
      <c r="S965" s="60"/>
      <c r="T965" s="60"/>
      <c r="U965" s="60"/>
      <c r="V965" s="60"/>
      <c r="W965" s="60"/>
      <c r="X965" s="60"/>
      <c r="Y965" s="60"/>
      <c r="Z965" s="60"/>
    </row>
    <row r="966" spans="1:26" ht="30" hidden="1" customHeight="1">
      <c r="A966" s="95" t="s">
        <v>2204</v>
      </c>
      <c r="B966" s="51" t="s">
        <v>1153</v>
      </c>
      <c r="C966" s="96"/>
      <c r="D966" s="96"/>
      <c r="E966" s="53"/>
      <c r="F966" s="53"/>
      <c r="G966" s="96"/>
      <c r="H966" s="96">
        <f t="shared" ref="H966:H967" si="359">ROUND(F966-E966,2)</f>
        <v>0</v>
      </c>
      <c r="I966" s="60"/>
      <c r="J966" s="60"/>
      <c r="K966" s="60"/>
      <c r="L966" s="60"/>
      <c r="M966" s="60"/>
      <c r="N966" s="60"/>
      <c r="O966" s="60"/>
      <c r="P966" s="60"/>
      <c r="Q966" s="60"/>
      <c r="R966" s="60"/>
      <c r="S966" s="60"/>
      <c r="T966" s="60"/>
      <c r="U966" s="60"/>
      <c r="V966" s="60"/>
      <c r="W966" s="60"/>
      <c r="X966" s="60"/>
      <c r="Y966" s="60"/>
      <c r="Z966" s="60"/>
    </row>
    <row r="967" spans="1:26" ht="30" hidden="1" customHeight="1">
      <c r="A967" s="95" t="s">
        <v>2205</v>
      </c>
      <c r="B967" s="51" t="s">
        <v>1155</v>
      </c>
      <c r="C967" s="96"/>
      <c r="D967" s="96"/>
      <c r="E967" s="53"/>
      <c r="F967" s="53"/>
      <c r="G967" s="96"/>
      <c r="H967" s="96">
        <f t="shared" si="359"/>
        <v>0</v>
      </c>
      <c r="I967" s="60"/>
      <c r="J967" s="60"/>
      <c r="K967" s="60"/>
      <c r="L967" s="60"/>
      <c r="M967" s="60"/>
      <c r="N967" s="60"/>
      <c r="O967" s="60"/>
      <c r="P967" s="60"/>
      <c r="Q967" s="60"/>
      <c r="R967" s="60"/>
      <c r="S967" s="60"/>
      <c r="T967" s="60"/>
      <c r="U967" s="60"/>
      <c r="V967" s="60"/>
      <c r="W967" s="60"/>
      <c r="X967" s="60"/>
      <c r="Y967" s="60"/>
      <c r="Z967" s="60"/>
    </row>
    <row r="968" spans="1:26" ht="30" hidden="1" customHeight="1">
      <c r="A968" s="92" t="s">
        <v>2206</v>
      </c>
      <c r="B968" s="93" t="s">
        <v>2097</v>
      </c>
      <c r="C968" s="94"/>
      <c r="D968" s="94"/>
      <c r="E968" s="94">
        <f t="shared" ref="E968:F968" si="360">SUM(E969:E977)</f>
        <v>0</v>
      </c>
      <c r="F968" s="94">
        <f t="shared" si="360"/>
        <v>0</v>
      </c>
      <c r="G968" s="94"/>
      <c r="H968" s="94">
        <f>SUM(H969:H977)</f>
        <v>0</v>
      </c>
      <c r="I968" s="60"/>
      <c r="J968" s="60"/>
      <c r="K968" s="60"/>
      <c r="L968" s="60"/>
      <c r="M968" s="60"/>
      <c r="N968" s="60"/>
      <c r="O968" s="60"/>
      <c r="P968" s="60"/>
      <c r="Q968" s="60"/>
      <c r="R968" s="60"/>
      <c r="S968" s="60"/>
      <c r="T968" s="60"/>
      <c r="U968" s="60"/>
      <c r="V968" s="60"/>
      <c r="W968" s="60"/>
      <c r="X968" s="60"/>
      <c r="Y968" s="60"/>
      <c r="Z968" s="60"/>
    </row>
    <row r="969" spans="1:26" ht="30" hidden="1" customHeight="1">
      <c r="A969" s="95" t="s">
        <v>2207</v>
      </c>
      <c r="B969" s="51" t="s">
        <v>2208</v>
      </c>
      <c r="C969" s="96"/>
      <c r="D969" s="96"/>
      <c r="E969" s="53"/>
      <c r="F969" s="53"/>
      <c r="G969" s="96"/>
      <c r="H969" s="96">
        <f t="shared" ref="H969:H970" si="361">ROUND(F969-E969,2)</f>
        <v>0</v>
      </c>
      <c r="I969" s="60"/>
      <c r="J969" s="60"/>
      <c r="K969" s="60"/>
      <c r="L969" s="60"/>
      <c r="M969" s="60"/>
      <c r="N969" s="60"/>
      <c r="O969" s="60"/>
      <c r="P969" s="60"/>
      <c r="Q969" s="60"/>
      <c r="R969" s="60"/>
      <c r="S969" s="60"/>
      <c r="T969" s="60"/>
      <c r="U969" s="60"/>
      <c r="V969" s="60"/>
      <c r="W969" s="60"/>
      <c r="X969" s="60"/>
      <c r="Y969" s="60"/>
      <c r="Z969" s="60"/>
    </row>
    <row r="970" spans="1:26" ht="30" hidden="1" customHeight="1">
      <c r="A970" s="95" t="s">
        <v>2209</v>
      </c>
      <c r="B970" s="51" t="s">
        <v>2210</v>
      </c>
      <c r="C970" s="96"/>
      <c r="D970" s="96"/>
      <c r="E970" s="53"/>
      <c r="F970" s="53"/>
      <c r="G970" s="96"/>
      <c r="H970" s="96">
        <f t="shared" si="361"/>
        <v>0</v>
      </c>
      <c r="I970" s="60"/>
      <c r="J970" s="60"/>
      <c r="K970" s="60"/>
      <c r="L970" s="60"/>
      <c r="M970" s="60"/>
      <c r="N970" s="60"/>
      <c r="O970" s="60"/>
      <c r="P970" s="60"/>
      <c r="Q970" s="60"/>
      <c r="R970" s="60"/>
      <c r="S970" s="60"/>
      <c r="T970" s="60"/>
      <c r="U970" s="60"/>
      <c r="V970" s="60"/>
      <c r="W970" s="60"/>
      <c r="X970" s="60"/>
      <c r="Y970" s="60"/>
      <c r="Z970" s="60"/>
    </row>
    <row r="971" spans="1:26" ht="30" hidden="1" customHeight="1">
      <c r="A971" s="95" t="s">
        <v>2211</v>
      </c>
      <c r="B971" s="51" t="s">
        <v>2103</v>
      </c>
      <c r="C971" s="96"/>
      <c r="D971" s="96"/>
      <c r="E971" s="96"/>
      <c r="F971" s="96"/>
      <c r="G971" s="96"/>
      <c r="H971" s="96">
        <f>F971-E971</f>
        <v>0</v>
      </c>
      <c r="I971" s="60"/>
      <c r="J971" s="60"/>
      <c r="K971" s="60"/>
      <c r="L971" s="60"/>
      <c r="M971" s="60"/>
      <c r="N971" s="60"/>
      <c r="O971" s="60"/>
      <c r="P971" s="60"/>
      <c r="Q971" s="60"/>
      <c r="R971" s="60"/>
      <c r="S971" s="60"/>
      <c r="T971" s="60"/>
      <c r="U971" s="60"/>
      <c r="V971" s="60"/>
      <c r="W971" s="60"/>
      <c r="X971" s="60"/>
      <c r="Y971" s="60"/>
      <c r="Z971" s="60"/>
    </row>
    <row r="972" spans="1:26" ht="30" hidden="1" customHeight="1">
      <c r="A972" s="95" t="s">
        <v>2212</v>
      </c>
      <c r="B972" s="51" t="s">
        <v>2213</v>
      </c>
      <c r="C972" s="96"/>
      <c r="D972" s="96"/>
      <c r="E972" s="53"/>
      <c r="F972" s="53"/>
      <c r="G972" s="96"/>
      <c r="H972" s="96">
        <f t="shared" ref="H972:H973" si="362">ROUND(F972-E972,2)</f>
        <v>0</v>
      </c>
      <c r="I972" s="60"/>
      <c r="J972" s="60"/>
      <c r="K972" s="60"/>
      <c r="L972" s="60"/>
      <c r="M972" s="60"/>
      <c r="N972" s="60"/>
      <c r="O972" s="60"/>
      <c r="P972" s="60"/>
      <c r="Q972" s="60"/>
      <c r="R972" s="60"/>
      <c r="S972" s="60"/>
      <c r="T972" s="60"/>
      <c r="U972" s="60"/>
      <c r="V972" s="60"/>
      <c r="W972" s="60"/>
      <c r="X972" s="60"/>
      <c r="Y972" s="60"/>
      <c r="Z972" s="60"/>
    </row>
    <row r="973" spans="1:26" ht="30" hidden="1" customHeight="1">
      <c r="A973" s="95" t="s">
        <v>2214</v>
      </c>
      <c r="B973" s="51" t="s">
        <v>2215</v>
      </c>
      <c r="C973" s="96"/>
      <c r="D973" s="96"/>
      <c r="E973" s="53"/>
      <c r="F973" s="53"/>
      <c r="G973" s="96"/>
      <c r="H973" s="96">
        <f t="shared" si="362"/>
        <v>0</v>
      </c>
      <c r="I973" s="60"/>
      <c r="J973" s="60"/>
      <c r="K973" s="60"/>
      <c r="L973" s="60"/>
      <c r="M973" s="60"/>
      <c r="N973" s="60"/>
      <c r="O973" s="60"/>
      <c r="P973" s="60"/>
      <c r="Q973" s="60"/>
      <c r="R973" s="60"/>
      <c r="S973" s="60"/>
      <c r="T973" s="60"/>
      <c r="U973" s="60"/>
      <c r="V973" s="60"/>
      <c r="W973" s="60"/>
      <c r="X973" s="60"/>
      <c r="Y973" s="60"/>
      <c r="Z973" s="60"/>
    </row>
    <row r="974" spans="1:26" ht="30" hidden="1" customHeight="1">
      <c r="A974" s="95" t="s">
        <v>2216</v>
      </c>
      <c r="B974" s="51" t="s">
        <v>2109</v>
      </c>
      <c r="C974" s="96"/>
      <c r="D974" s="96"/>
      <c r="E974" s="96"/>
      <c r="F974" s="96"/>
      <c r="G974" s="96"/>
      <c r="H974" s="96">
        <f>F974-E974</f>
        <v>0</v>
      </c>
      <c r="I974" s="60"/>
      <c r="J974" s="60"/>
      <c r="K974" s="60"/>
      <c r="L974" s="60"/>
      <c r="M974" s="60"/>
      <c r="N974" s="60"/>
      <c r="O974" s="60"/>
      <c r="P974" s="60"/>
      <c r="Q974" s="60"/>
      <c r="R974" s="60"/>
      <c r="S974" s="60"/>
      <c r="T974" s="60"/>
      <c r="U974" s="60"/>
      <c r="V974" s="60"/>
      <c r="W974" s="60"/>
      <c r="X974" s="60"/>
      <c r="Y974" s="60"/>
      <c r="Z974" s="60"/>
    </row>
    <row r="975" spans="1:26" ht="30" hidden="1" customHeight="1">
      <c r="A975" s="95" t="s">
        <v>2217</v>
      </c>
      <c r="B975" s="51" t="s">
        <v>1175</v>
      </c>
      <c r="C975" s="96"/>
      <c r="D975" s="96"/>
      <c r="E975" s="53"/>
      <c r="F975" s="53"/>
      <c r="G975" s="96"/>
      <c r="H975" s="96">
        <f>ROUND(F975-E975,2)</f>
        <v>0</v>
      </c>
      <c r="I975" s="60"/>
      <c r="J975" s="60"/>
      <c r="K975" s="60"/>
      <c r="L975" s="60"/>
      <c r="M975" s="60"/>
      <c r="N975" s="60"/>
      <c r="O975" s="60"/>
      <c r="P975" s="60"/>
      <c r="Q975" s="60"/>
      <c r="R975" s="60"/>
      <c r="S975" s="60"/>
      <c r="T975" s="60"/>
      <c r="U975" s="60"/>
      <c r="V975" s="60"/>
      <c r="W975" s="60"/>
      <c r="X975" s="60"/>
      <c r="Y975" s="60"/>
      <c r="Z975" s="60"/>
    </row>
    <row r="976" spans="1:26" ht="30" hidden="1" customHeight="1">
      <c r="A976" s="95" t="s">
        <v>2218</v>
      </c>
      <c r="B976" s="51" t="s">
        <v>2112</v>
      </c>
      <c r="C976" s="96"/>
      <c r="D976" s="96"/>
      <c r="E976" s="96"/>
      <c r="F976" s="96"/>
      <c r="G976" s="96"/>
      <c r="H976" s="96">
        <f>F976-E976</f>
        <v>0</v>
      </c>
      <c r="I976" s="60"/>
      <c r="J976" s="60"/>
      <c r="K976" s="60"/>
      <c r="L976" s="60"/>
      <c r="M976" s="60"/>
      <c r="N976" s="60"/>
      <c r="O976" s="60"/>
      <c r="P976" s="60"/>
      <c r="Q976" s="60"/>
      <c r="R976" s="60"/>
      <c r="S976" s="60"/>
      <c r="T976" s="60"/>
      <c r="U976" s="60"/>
      <c r="V976" s="60"/>
      <c r="W976" s="60"/>
      <c r="X976" s="60"/>
      <c r="Y976" s="60"/>
      <c r="Z976" s="60"/>
    </row>
    <row r="977" spans="1:26" ht="30" hidden="1" customHeight="1">
      <c r="A977" s="95" t="s">
        <v>2219</v>
      </c>
      <c r="B977" s="51" t="s">
        <v>1180</v>
      </c>
      <c r="C977" s="96"/>
      <c r="D977" s="96"/>
      <c r="E977" s="53"/>
      <c r="F977" s="53"/>
      <c r="G977" s="96"/>
      <c r="H977" s="96">
        <f>ROUND(F977-E977,2)</f>
        <v>0</v>
      </c>
      <c r="I977" s="60"/>
      <c r="J977" s="60"/>
      <c r="K977" s="60"/>
      <c r="L977" s="60"/>
      <c r="M977" s="60"/>
      <c r="N977" s="60"/>
      <c r="O977" s="60"/>
      <c r="P977" s="60"/>
      <c r="Q977" s="60"/>
      <c r="R977" s="60"/>
      <c r="S977" s="60"/>
      <c r="T977" s="60"/>
      <c r="U977" s="60"/>
      <c r="V977" s="60"/>
      <c r="W977" s="60"/>
      <c r="X977" s="60"/>
      <c r="Y977" s="60"/>
      <c r="Z977" s="60"/>
    </row>
    <row r="978" spans="1:26" ht="30" hidden="1" customHeight="1">
      <c r="A978" s="92" t="s">
        <v>2220</v>
      </c>
      <c r="B978" s="93" t="s">
        <v>2115</v>
      </c>
      <c r="C978" s="94"/>
      <c r="D978" s="94"/>
      <c r="E978" s="94">
        <f t="shared" ref="E978:F978" si="363">SUM(E979:E981)</f>
        <v>0</v>
      </c>
      <c r="F978" s="94">
        <f t="shared" si="363"/>
        <v>0</v>
      </c>
      <c r="G978" s="94"/>
      <c r="H978" s="94">
        <f>SUM(H979:H981)</f>
        <v>0</v>
      </c>
      <c r="I978" s="60"/>
      <c r="J978" s="60"/>
      <c r="K978" s="60"/>
      <c r="L978" s="60"/>
      <c r="M978" s="60"/>
      <c r="N978" s="60"/>
      <c r="O978" s="60"/>
      <c r="P978" s="60"/>
      <c r="Q978" s="60"/>
      <c r="R978" s="60"/>
      <c r="S978" s="60"/>
      <c r="T978" s="60"/>
      <c r="U978" s="60"/>
      <c r="V978" s="60"/>
      <c r="W978" s="60"/>
      <c r="X978" s="60"/>
      <c r="Y978" s="60"/>
      <c r="Z978" s="60"/>
    </row>
    <row r="979" spans="1:26" ht="30" hidden="1" customHeight="1">
      <c r="A979" s="95" t="s">
        <v>2221</v>
      </c>
      <c r="B979" s="51" t="s">
        <v>2117</v>
      </c>
      <c r="C979" s="96"/>
      <c r="D979" s="96"/>
      <c r="E979" s="96"/>
      <c r="F979" s="96"/>
      <c r="G979" s="96"/>
      <c r="H979" s="96">
        <f t="shared" ref="H979:H980" si="364">F979-E979</f>
        <v>0</v>
      </c>
      <c r="I979" s="60"/>
      <c r="J979" s="60"/>
      <c r="K979" s="60"/>
      <c r="L979" s="60"/>
      <c r="M979" s="60"/>
      <c r="N979" s="60"/>
      <c r="O979" s="60"/>
      <c r="P979" s="60"/>
      <c r="Q979" s="60"/>
      <c r="R979" s="60"/>
      <c r="S979" s="60"/>
      <c r="T979" s="60"/>
      <c r="U979" s="60"/>
      <c r="V979" s="60"/>
      <c r="W979" s="60"/>
      <c r="X979" s="60"/>
      <c r="Y979" s="60"/>
      <c r="Z979" s="60"/>
    </row>
    <row r="980" spans="1:26" ht="30" hidden="1" customHeight="1">
      <c r="A980" s="95" t="s">
        <v>2222</v>
      </c>
      <c r="B980" s="51" t="s">
        <v>2119</v>
      </c>
      <c r="C980" s="96"/>
      <c r="D980" s="96"/>
      <c r="E980" s="96"/>
      <c r="F980" s="96"/>
      <c r="G980" s="96"/>
      <c r="H980" s="96">
        <f t="shared" si="364"/>
        <v>0</v>
      </c>
      <c r="I980" s="60"/>
      <c r="J980" s="60"/>
      <c r="K980" s="60"/>
      <c r="L980" s="60"/>
      <c r="M980" s="60"/>
      <c r="N980" s="60"/>
      <c r="O980" s="60"/>
      <c r="P980" s="60"/>
      <c r="Q980" s="60"/>
      <c r="R980" s="60"/>
      <c r="S980" s="60"/>
      <c r="T980" s="60"/>
      <c r="U980" s="60"/>
      <c r="V980" s="60"/>
      <c r="W980" s="60"/>
      <c r="X980" s="60"/>
      <c r="Y980" s="60"/>
      <c r="Z980" s="60"/>
    </row>
    <row r="981" spans="1:26" ht="30" hidden="1" customHeight="1">
      <c r="A981" s="95" t="s">
        <v>2223</v>
      </c>
      <c r="B981" s="55" t="s">
        <v>2121</v>
      </c>
      <c r="C981" s="96"/>
      <c r="D981" s="96"/>
      <c r="E981" s="94">
        <f t="shared" ref="E981:F981" si="365">SUM(E982:E983)</f>
        <v>0</v>
      </c>
      <c r="F981" s="94">
        <f t="shared" si="365"/>
        <v>0</v>
      </c>
      <c r="G981" s="96"/>
      <c r="H981" s="94">
        <f>SUM(H982:H983)</f>
        <v>0</v>
      </c>
      <c r="I981" s="60"/>
      <c r="J981" s="60"/>
      <c r="K981" s="60"/>
      <c r="L981" s="60"/>
      <c r="M981" s="60"/>
      <c r="N981" s="60"/>
      <c r="O981" s="60"/>
      <c r="P981" s="60"/>
      <c r="Q981" s="60"/>
      <c r="R981" s="60"/>
      <c r="S981" s="60"/>
      <c r="T981" s="60"/>
      <c r="U981" s="60"/>
      <c r="V981" s="60"/>
      <c r="W981" s="60"/>
      <c r="X981" s="60"/>
      <c r="Y981" s="60"/>
      <c r="Z981" s="60"/>
    </row>
    <row r="982" spans="1:26" ht="30" hidden="1" customHeight="1">
      <c r="A982" s="98" t="s">
        <v>2224</v>
      </c>
      <c r="B982" s="55" t="s">
        <v>2123</v>
      </c>
      <c r="C982" s="99"/>
      <c r="D982" s="96"/>
      <c r="E982" s="53"/>
      <c r="F982" s="53"/>
      <c r="G982" s="96"/>
      <c r="H982" s="96">
        <f t="shared" ref="H982:H983" si="366">ROUND(F982-E982,2)</f>
        <v>0</v>
      </c>
      <c r="I982" s="60"/>
      <c r="J982" s="60"/>
      <c r="K982" s="60"/>
      <c r="L982" s="60"/>
      <c r="M982" s="60"/>
      <c r="N982" s="60"/>
      <c r="O982" s="60"/>
      <c r="P982" s="60"/>
      <c r="Q982" s="60"/>
      <c r="R982" s="60"/>
      <c r="S982" s="60"/>
      <c r="T982" s="60"/>
      <c r="U982" s="60"/>
      <c r="V982" s="60"/>
      <c r="W982" s="60"/>
      <c r="X982" s="60"/>
      <c r="Y982" s="60"/>
      <c r="Z982" s="60"/>
    </row>
    <row r="983" spans="1:26" ht="30" hidden="1" customHeight="1">
      <c r="A983" s="98" t="s">
        <v>2225</v>
      </c>
      <c r="B983" s="55" t="s">
        <v>2125</v>
      </c>
      <c r="C983" s="99"/>
      <c r="D983" s="96"/>
      <c r="E983" s="53"/>
      <c r="F983" s="53"/>
      <c r="G983" s="96"/>
      <c r="H983" s="96">
        <f t="shared" si="366"/>
        <v>0</v>
      </c>
      <c r="I983" s="60"/>
      <c r="J983" s="60"/>
      <c r="K983" s="60"/>
      <c r="L983" s="60"/>
      <c r="M983" s="60"/>
      <c r="N983" s="60"/>
      <c r="O983" s="60"/>
      <c r="P983" s="60"/>
      <c r="Q983" s="60"/>
      <c r="R983" s="60"/>
      <c r="S983" s="60"/>
      <c r="T983" s="60"/>
      <c r="U983" s="60"/>
      <c r="V983" s="60"/>
      <c r="W983" s="60"/>
      <c r="X983" s="60"/>
      <c r="Y983" s="60"/>
      <c r="Z983" s="60"/>
    </row>
    <row r="984" spans="1:26" ht="30" hidden="1" customHeight="1">
      <c r="A984" s="73">
        <v>81300</v>
      </c>
      <c r="B984" s="91" t="s">
        <v>2226</v>
      </c>
      <c r="C984" s="80"/>
      <c r="D984" s="34"/>
      <c r="E984" s="34">
        <f t="shared" ref="E984:F984" si="367">E985+E995+E1001+E1004+E1011+E1015+E1020+E1030+E1062+E1072</f>
        <v>65374709.600000001</v>
      </c>
      <c r="F984" s="34">
        <f t="shared" si="367"/>
        <v>13790359.41</v>
      </c>
      <c r="G984" s="35">
        <f t="shared" ref="G984:G985" si="368">E984-F984</f>
        <v>51584350.189999998</v>
      </c>
      <c r="H984" s="35"/>
      <c r="I984" s="60"/>
      <c r="J984" s="60"/>
      <c r="K984" s="60"/>
      <c r="L984" s="60"/>
      <c r="M984" s="60"/>
      <c r="N984" s="60"/>
      <c r="O984" s="60"/>
      <c r="P984" s="60"/>
      <c r="Q984" s="60"/>
      <c r="R984" s="60"/>
      <c r="S984" s="60"/>
      <c r="T984" s="60"/>
      <c r="U984" s="60"/>
      <c r="V984" s="60"/>
      <c r="W984" s="60"/>
      <c r="X984" s="60"/>
      <c r="Y984" s="60"/>
      <c r="Z984" s="60"/>
    </row>
    <row r="985" spans="1:26" ht="30" hidden="1" customHeight="1">
      <c r="A985" s="92" t="s">
        <v>2227</v>
      </c>
      <c r="B985" s="93" t="s">
        <v>1992</v>
      </c>
      <c r="C985" s="94"/>
      <c r="D985" s="94"/>
      <c r="E985" s="94">
        <f t="shared" ref="E985:F985" si="369">SUM(E986:E994)</f>
        <v>0</v>
      </c>
      <c r="F985" s="94">
        <f t="shared" si="369"/>
        <v>0</v>
      </c>
      <c r="G985" s="94">
        <f t="shared" si="368"/>
        <v>0</v>
      </c>
      <c r="H985" s="94"/>
      <c r="I985" s="60"/>
      <c r="J985" s="60"/>
      <c r="K985" s="60"/>
      <c r="L985" s="60"/>
      <c r="M985" s="60"/>
      <c r="N985" s="60"/>
      <c r="O985" s="60"/>
      <c r="P985" s="60"/>
      <c r="Q985" s="60"/>
      <c r="R985" s="60"/>
      <c r="S985" s="60"/>
      <c r="T985" s="60"/>
      <c r="U985" s="60"/>
      <c r="V985" s="60"/>
      <c r="W985" s="60"/>
      <c r="X985" s="60"/>
      <c r="Y985" s="60"/>
      <c r="Z985" s="60"/>
    </row>
    <row r="986" spans="1:26" ht="30" hidden="1" customHeight="1">
      <c r="A986" s="95" t="s">
        <v>2228</v>
      </c>
      <c r="B986" s="51" t="s">
        <v>899</v>
      </c>
      <c r="C986" s="96"/>
      <c r="D986" s="96"/>
      <c r="E986" s="53"/>
      <c r="F986" s="53"/>
      <c r="G986" s="96">
        <f t="shared" ref="G986:G994" si="370">ROUND(E986-F986,2)</f>
        <v>0</v>
      </c>
      <c r="H986" s="96"/>
      <c r="I986" s="60"/>
      <c r="J986" s="60"/>
      <c r="K986" s="60"/>
      <c r="L986" s="60"/>
      <c r="M986" s="60"/>
      <c r="N986" s="60"/>
      <c r="O986" s="60"/>
      <c r="P986" s="60"/>
      <c r="Q986" s="60"/>
      <c r="R986" s="60"/>
      <c r="S986" s="60"/>
      <c r="T986" s="60"/>
      <c r="U986" s="60"/>
      <c r="V986" s="60"/>
      <c r="W986" s="60"/>
      <c r="X986" s="60"/>
      <c r="Y986" s="60"/>
      <c r="Z986" s="60"/>
    </row>
    <row r="987" spans="1:26" ht="30" hidden="1" customHeight="1">
      <c r="A987" s="95" t="s">
        <v>2229</v>
      </c>
      <c r="B987" s="51" t="s">
        <v>1995</v>
      </c>
      <c r="C987" s="96"/>
      <c r="D987" s="96"/>
      <c r="E987" s="53"/>
      <c r="F987" s="53"/>
      <c r="G987" s="96">
        <f t="shared" si="370"/>
        <v>0</v>
      </c>
      <c r="H987" s="96"/>
      <c r="I987" s="60"/>
      <c r="J987" s="60"/>
      <c r="K987" s="60"/>
      <c r="L987" s="60"/>
      <c r="M987" s="60"/>
      <c r="N987" s="60"/>
      <c r="O987" s="60"/>
      <c r="P987" s="60"/>
      <c r="Q987" s="60"/>
      <c r="R987" s="60"/>
      <c r="S987" s="60"/>
      <c r="T987" s="60"/>
      <c r="U987" s="60"/>
      <c r="V987" s="60"/>
      <c r="W987" s="60"/>
      <c r="X987" s="60"/>
      <c r="Y987" s="60"/>
      <c r="Z987" s="60"/>
    </row>
    <row r="988" spans="1:26" ht="30" hidden="1" customHeight="1">
      <c r="A988" s="95" t="s">
        <v>2230</v>
      </c>
      <c r="B988" s="51" t="s">
        <v>1997</v>
      </c>
      <c r="C988" s="96"/>
      <c r="D988" s="96"/>
      <c r="E988" s="53"/>
      <c r="F988" s="53"/>
      <c r="G988" s="96">
        <f t="shared" si="370"/>
        <v>0</v>
      </c>
      <c r="H988" s="96"/>
      <c r="I988" s="60"/>
      <c r="J988" s="60"/>
      <c r="K988" s="60"/>
      <c r="L988" s="60"/>
      <c r="M988" s="60"/>
      <c r="N988" s="60"/>
      <c r="O988" s="60"/>
      <c r="P988" s="60"/>
      <c r="Q988" s="60"/>
      <c r="R988" s="60"/>
      <c r="S988" s="60"/>
      <c r="T988" s="60"/>
      <c r="U988" s="60"/>
      <c r="V988" s="60"/>
      <c r="W988" s="60"/>
      <c r="X988" s="60"/>
      <c r="Y988" s="60"/>
      <c r="Z988" s="60"/>
    </row>
    <row r="989" spans="1:26" ht="30" hidden="1" customHeight="1">
      <c r="A989" s="95" t="s">
        <v>2231</v>
      </c>
      <c r="B989" s="51" t="s">
        <v>912</v>
      </c>
      <c r="C989" s="96"/>
      <c r="D989" s="96"/>
      <c r="E989" s="96"/>
      <c r="F989" s="96"/>
      <c r="G989" s="96">
        <f t="shared" si="370"/>
        <v>0</v>
      </c>
      <c r="H989" s="96"/>
      <c r="I989" s="60"/>
      <c r="J989" s="60"/>
      <c r="K989" s="60"/>
      <c r="L989" s="60"/>
      <c r="M989" s="60"/>
      <c r="N989" s="60"/>
      <c r="O989" s="60"/>
      <c r="P989" s="60"/>
      <c r="Q989" s="60"/>
      <c r="R989" s="60"/>
      <c r="S989" s="60"/>
      <c r="T989" s="60"/>
      <c r="U989" s="60"/>
      <c r="V989" s="60"/>
      <c r="W989" s="60"/>
      <c r="X989" s="60"/>
      <c r="Y989" s="60"/>
      <c r="Z989" s="60"/>
    </row>
    <row r="990" spans="1:26" ht="30" hidden="1" customHeight="1">
      <c r="A990" s="95" t="s">
        <v>2232</v>
      </c>
      <c r="B990" s="51" t="s">
        <v>914</v>
      </c>
      <c r="C990" s="96"/>
      <c r="D990" s="96"/>
      <c r="E990" s="96"/>
      <c r="F990" s="96"/>
      <c r="G990" s="96">
        <f t="shared" si="370"/>
        <v>0</v>
      </c>
      <c r="H990" s="96"/>
      <c r="I990" s="60"/>
      <c r="J990" s="60"/>
      <c r="K990" s="60"/>
      <c r="L990" s="60"/>
      <c r="M990" s="60"/>
      <c r="N990" s="60"/>
      <c r="O990" s="60"/>
      <c r="P990" s="60"/>
      <c r="Q990" s="60"/>
      <c r="R990" s="60"/>
      <c r="S990" s="60"/>
      <c r="T990" s="60"/>
      <c r="U990" s="60"/>
      <c r="V990" s="60"/>
      <c r="W990" s="60"/>
      <c r="X990" s="60"/>
      <c r="Y990" s="60"/>
      <c r="Z990" s="60"/>
    </row>
    <row r="991" spans="1:26" ht="30" hidden="1" customHeight="1">
      <c r="A991" s="95" t="s">
        <v>2233</v>
      </c>
      <c r="B991" s="51" t="s">
        <v>916</v>
      </c>
      <c r="C991" s="96"/>
      <c r="D991" s="96"/>
      <c r="E991" s="96"/>
      <c r="F991" s="96"/>
      <c r="G991" s="96">
        <f t="shared" si="370"/>
        <v>0</v>
      </c>
      <c r="H991" s="96"/>
      <c r="I991" s="60"/>
      <c r="J991" s="60"/>
      <c r="K991" s="60"/>
      <c r="L991" s="60"/>
      <c r="M991" s="60"/>
      <c r="N991" s="60"/>
      <c r="O991" s="60"/>
      <c r="P991" s="60"/>
      <c r="Q991" s="60"/>
      <c r="R991" s="60"/>
      <c r="S991" s="60"/>
      <c r="T991" s="60"/>
      <c r="U991" s="60"/>
      <c r="V991" s="60"/>
      <c r="W991" s="60"/>
      <c r="X991" s="60"/>
      <c r="Y991" s="60"/>
      <c r="Z991" s="60"/>
    </row>
    <row r="992" spans="1:26" ht="30" hidden="1" customHeight="1">
      <c r="A992" s="95" t="s">
        <v>2234</v>
      </c>
      <c r="B992" s="51" t="s">
        <v>2002</v>
      </c>
      <c r="C992" s="96"/>
      <c r="D992" s="96"/>
      <c r="E992" s="53"/>
      <c r="F992" s="53"/>
      <c r="G992" s="96">
        <f t="shared" si="370"/>
        <v>0</v>
      </c>
      <c r="H992" s="96"/>
      <c r="I992" s="60"/>
      <c r="J992" s="60"/>
      <c r="K992" s="60"/>
      <c r="L992" s="60"/>
      <c r="M992" s="60"/>
      <c r="N992" s="60"/>
      <c r="O992" s="60"/>
      <c r="P992" s="60"/>
      <c r="Q992" s="60"/>
      <c r="R992" s="60"/>
      <c r="S992" s="60"/>
      <c r="T992" s="60"/>
      <c r="U992" s="60"/>
      <c r="V992" s="60"/>
      <c r="W992" s="60"/>
      <c r="X992" s="60"/>
      <c r="Y992" s="60"/>
      <c r="Z992" s="60"/>
    </row>
    <row r="993" spans="1:26" ht="30" hidden="1" customHeight="1">
      <c r="A993" s="95" t="s">
        <v>2235</v>
      </c>
      <c r="B993" s="51" t="s">
        <v>933</v>
      </c>
      <c r="C993" s="96"/>
      <c r="D993" s="96"/>
      <c r="E993" s="53"/>
      <c r="F993" s="53"/>
      <c r="G993" s="96">
        <f t="shared" si="370"/>
        <v>0</v>
      </c>
      <c r="H993" s="96"/>
      <c r="I993" s="60"/>
      <c r="J993" s="60"/>
      <c r="K993" s="60"/>
      <c r="L993" s="60"/>
      <c r="M993" s="60"/>
      <c r="N993" s="60"/>
      <c r="O993" s="60"/>
      <c r="P993" s="60"/>
      <c r="Q993" s="60"/>
      <c r="R993" s="60"/>
      <c r="S993" s="60"/>
      <c r="T993" s="60"/>
      <c r="U993" s="60"/>
      <c r="V993" s="60"/>
      <c r="W993" s="60"/>
      <c r="X993" s="60"/>
      <c r="Y993" s="60"/>
      <c r="Z993" s="60"/>
    </row>
    <row r="994" spans="1:26" ht="30" hidden="1" customHeight="1">
      <c r="A994" s="95" t="s">
        <v>2236</v>
      </c>
      <c r="B994" s="51" t="s">
        <v>2005</v>
      </c>
      <c r="C994" s="52"/>
      <c r="D994" s="52"/>
      <c r="E994" s="53"/>
      <c r="F994" s="53"/>
      <c r="G994" s="96">
        <f t="shared" si="370"/>
        <v>0</v>
      </c>
      <c r="H994" s="52"/>
      <c r="I994" s="72"/>
      <c r="J994" s="72"/>
      <c r="K994" s="72"/>
      <c r="L994" s="72"/>
      <c r="M994" s="72"/>
      <c r="N994" s="72"/>
      <c r="O994" s="72"/>
      <c r="P994" s="72"/>
      <c r="Q994" s="72"/>
      <c r="R994" s="72"/>
      <c r="S994" s="72"/>
      <c r="T994" s="72"/>
      <c r="U994" s="72"/>
      <c r="V994" s="72"/>
      <c r="W994" s="72"/>
      <c r="X994" s="72"/>
      <c r="Y994" s="72"/>
      <c r="Z994" s="72"/>
    </row>
    <row r="995" spans="1:26" ht="30" hidden="1" customHeight="1">
      <c r="A995" s="92" t="s">
        <v>2237</v>
      </c>
      <c r="B995" s="93" t="s">
        <v>2007</v>
      </c>
      <c r="C995" s="94"/>
      <c r="D995" s="94"/>
      <c r="E995" s="94">
        <f t="shared" ref="E995:G995" si="371">SUM(E996:E1000)</f>
        <v>0</v>
      </c>
      <c r="F995" s="94">
        <f t="shared" si="371"/>
        <v>0</v>
      </c>
      <c r="G995" s="94">
        <f t="shared" si="371"/>
        <v>0</v>
      </c>
      <c r="H995" s="94"/>
      <c r="I995" s="60"/>
      <c r="J995" s="60"/>
      <c r="K995" s="60"/>
      <c r="L995" s="60"/>
      <c r="M995" s="60"/>
      <c r="N995" s="60"/>
      <c r="O995" s="60"/>
      <c r="P995" s="60"/>
      <c r="Q995" s="60"/>
      <c r="R995" s="60"/>
      <c r="S995" s="60"/>
      <c r="T995" s="60"/>
      <c r="U995" s="60"/>
      <c r="V995" s="60"/>
      <c r="W995" s="60"/>
      <c r="X995" s="60"/>
      <c r="Y995" s="60"/>
      <c r="Z995" s="60"/>
    </row>
    <row r="996" spans="1:26" ht="30" hidden="1" customHeight="1">
      <c r="A996" s="95" t="s">
        <v>2238</v>
      </c>
      <c r="B996" s="51" t="s">
        <v>938</v>
      </c>
      <c r="C996" s="96"/>
      <c r="D996" s="96"/>
      <c r="E996" s="96"/>
      <c r="F996" s="96"/>
      <c r="G996" s="96">
        <f t="shared" ref="G996:G1000" si="372">ROUND(E996-F996,2)</f>
        <v>0</v>
      </c>
      <c r="H996" s="96"/>
      <c r="I996" s="60"/>
      <c r="J996" s="60"/>
      <c r="K996" s="60"/>
      <c r="L996" s="60"/>
      <c r="M996" s="60"/>
      <c r="N996" s="60"/>
      <c r="O996" s="60"/>
      <c r="P996" s="60"/>
      <c r="Q996" s="60"/>
      <c r="R996" s="60"/>
      <c r="S996" s="60"/>
      <c r="T996" s="60"/>
      <c r="U996" s="60"/>
      <c r="V996" s="60"/>
      <c r="W996" s="60"/>
      <c r="X996" s="60"/>
      <c r="Y996" s="60"/>
      <c r="Z996" s="60"/>
    </row>
    <row r="997" spans="1:26" ht="30" hidden="1" customHeight="1">
      <c r="A997" s="95" t="s">
        <v>2239</v>
      </c>
      <c r="B997" s="51" t="s">
        <v>2010</v>
      </c>
      <c r="C997" s="96"/>
      <c r="D997" s="96"/>
      <c r="E997" s="96"/>
      <c r="F997" s="96"/>
      <c r="G997" s="96">
        <f t="shared" si="372"/>
        <v>0</v>
      </c>
      <c r="H997" s="96"/>
      <c r="I997" s="60"/>
      <c r="J997" s="60"/>
      <c r="K997" s="60"/>
      <c r="L997" s="60"/>
      <c r="M997" s="60"/>
      <c r="N997" s="60"/>
      <c r="O997" s="60"/>
      <c r="P997" s="60"/>
      <c r="Q997" s="60"/>
      <c r="R997" s="60"/>
      <c r="S997" s="60"/>
      <c r="T997" s="60"/>
      <c r="U997" s="60"/>
      <c r="V997" s="60"/>
      <c r="W997" s="60"/>
      <c r="X997" s="60"/>
      <c r="Y997" s="60"/>
      <c r="Z997" s="60"/>
    </row>
    <row r="998" spans="1:26" ht="30" hidden="1" customHeight="1">
      <c r="A998" s="95" t="s">
        <v>2240</v>
      </c>
      <c r="B998" s="51" t="s">
        <v>942</v>
      </c>
      <c r="C998" s="96"/>
      <c r="D998" s="96"/>
      <c r="E998" s="96"/>
      <c r="F998" s="96"/>
      <c r="G998" s="96">
        <f t="shared" si="372"/>
        <v>0</v>
      </c>
      <c r="H998" s="96"/>
      <c r="I998" s="60"/>
      <c r="J998" s="60"/>
      <c r="K998" s="60"/>
      <c r="L998" s="60"/>
      <c r="M998" s="60"/>
      <c r="N998" s="60"/>
      <c r="O998" s="60"/>
      <c r="P998" s="60"/>
      <c r="Q998" s="60"/>
      <c r="R998" s="60"/>
      <c r="S998" s="60"/>
      <c r="T998" s="60"/>
      <c r="U998" s="60"/>
      <c r="V998" s="60"/>
      <c r="W998" s="60"/>
      <c r="X998" s="60"/>
      <c r="Y998" s="60"/>
      <c r="Z998" s="60"/>
    </row>
    <row r="999" spans="1:26" ht="30" hidden="1" customHeight="1">
      <c r="A999" s="95" t="s">
        <v>2241</v>
      </c>
      <c r="B999" s="51" t="s">
        <v>946</v>
      </c>
      <c r="C999" s="96"/>
      <c r="D999" s="96"/>
      <c r="E999" s="96"/>
      <c r="F999" s="96"/>
      <c r="G999" s="96">
        <f t="shared" si="372"/>
        <v>0</v>
      </c>
      <c r="H999" s="96"/>
      <c r="I999" s="60"/>
      <c r="J999" s="60"/>
      <c r="K999" s="60"/>
      <c r="L999" s="60"/>
      <c r="M999" s="60"/>
      <c r="N999" s="60"/>
      <c r="O999" s="60"/>
      <c r="P999" s="60"/>
      <c r="Q999" s="60"/>
      <c r="R999" s="60"/>
      <c r="S999" s="60"/>
      <c r="T999" s="60"/>
      <c r="U999" s="60"/>
      <c r="V999" s="60"/>
      <c r="W999" s="60"/>
      <c r="X999" s="60"/>
      <c r="Y999" s="60"/>
      <c r="Z999" s="60"/>
    </row>
    <row r="1000" spans="1:26" ht="30" hidden="1" customHeight="1">
      <c r="A1000" s="95" t="s">
        <v>2242</v>
      </c>
      <c r="B1000" s="51" t="s">
        <v>944</v>
      </c>
      <c r="C1000" s="96"/>
      <c r="D1000" s="96"/>
      <c r="E1000" s="96"/>
      <c r="F1000" s="96"/>
      <c r="G1000" s="96">
        <f t="shared" si="372"/>
        <v>0</v>
      </c>
      <c r="H1000" s="96"/>
      <c r="I1000" s="60"/>
      <c r="J1000" s="60"/>
      <c r="K1000" s="60"/>
      <c r="L1000" s="60"/>
      <c r="M1000" s="60"/>
      <c r="N1000" s="60"/>
      <c r="O1000" s="60"/>
      <c r="P1000" s="60"/>
      <c r="Q1000" s="60"/>
      <c r="R1000" s="60"/>
      <c r="S1000" s="60"/>
      <c r="T1000" s="60"/>
      <c r="U1000" s="60"/>
      <c r="V1000" s="60"/>
      <c r="W1000" s="60"/>
      <c r="X1000" s="60"/>
      <c r="Y1000" s="60"/>
      <c r="Z1000" s="60"/>
    </row>
    <row r="1001" spans="1:26" ht="30" hidden="1" customHeight="1">
      <c r="A1001" s="92" t="s">
        <v>2243</v>
      </c>
      <c r="B1001" s="93" t="s">
        <v>2015</v>
      </c>
      <c r="C1001" s="94"/>
      <c r="D1001" s="94"/>
      <c r="E1001" s="94">
        <f t="shared" ref="E1001:G1001" si="373">SUM(E1002:E1003)</f>
        <v>0</v>
      </c>
      <c r="F1001" s="94">
        <f t="shared" si="373"/>
        <v>0</v>
      </c>
      <c r="G1001" s="94">
        <f t="shared" si="373"/>
        <v>0</v>
      </c>
      <c r="H1001" s="94"/>
      <c r="I1001" s="60"/>
      <c r="J1001" s="60"/>
      <c r="K1001" s="60"/>
      <c r="L1001" s="60"/>
      <c r="M1001" s="60"/>
      <c r="N1001" s="60"/>
      <c r="O1001" s="60"/>
      <c r="P1001" s="60"/>
      <c r="Q1001" s="60"/>
      <c r="R1001" s="60"/>
      <c r="S1001" s="60"/>
      <c r="T1001" s="60"/>
      <c r="U1001" s="60"/>
      <c r="V1001" s="60"/>
      <c r="W1001" s="60"/>
      <c r="X1001" s="60"/>
      <c r="Y1001" s="60"/>
      <c r="Z1001" s="60"/>
    </row>
    <row r="1002" spans="1:26" ht="30" hidden="1" customHeight="1">
      <c r="A1002" s="95" t="s">
        <v>2244</v>
      </c>
      <c r="B1002" s="51" t="s">
        <v>952</v>
      </c>
      <c r="C1002" s="96"/>
      <c r="D1002" s="96"/>
      <c r="E1002" s="53"/>
      <c r="F1002" s="53"/>
      <c r="G1002" s="96">
        <f t="shared" ref="G1002:G1003" si="374">ROUND(E1002-F1002,2)</f>
        <v>0</v>
      </c>
      <c r="H1002" s="96"/>
      <c r="I1002" s="60"/>
      <c r="J1002" s="60"/>
      <c r="K1002" s="60"/>
      <c r="L1002" s="60"/>
      <c r="M1002" s="60"/>
      <c r="N1002" s="60"/>
      <c r="O1002" s="60"/>
      <c r="P1002" s="60"/>
      <c r="Q1002" s="60"/>
      <c r="R1002" s="60"/>
      <c r="S1002" s="60"/>
      <c r="T1002" s="60"/>
      <c r="U1002" s="60"/>
      <c r="V1002" s="60"/>
      <c r="W1002" s="60"/>
      <c r="X1002" s="60"/>
      <c r="Y1002" s="60"/>
      <c r="Z1002" s="60"/>
    </row>
    <row r="1003" spans="1:26" ht="30" hidden="1" customHeight="1">
      <c r="A1003" s="95" t="s">
        <v>2245</v>
      </c>
      <c r="B1003" s="51" t="s">
        <v>2018</v>
      </c>
      <c r="C1003" s="96"/>
      <c r="D1003" s="96"/>
      <c r="E1003" s="53"/>
      <c r="F1003" s="53"/>
      <c r="G1003" s="96">
        <f t="shared" si="374"/>
        <v>0</v>
      </c>
      <c r="H1003" s="96"/>
      <c r="I1003" s="60"/>
      <c r="J1003" s="60"/>
      <c r="K1003" s="60"/>
      <c r="L1003" s="60"/>
      <c r="M1003" s="60"/>
      <c r="N1003" s="60"/>
      <c r="O1003" s="60"/>
      <c r="P1003" s="60"/>
      <c r="Q1003" s="60"/>
      <c r="R1003" s="60"/>
      <c r="S1003" s="60"/>
      <c r="T1003" s="60"/>
      <c r="U1003" s="60"/>
      <c r="V1003" s="60"/>
      <c r="W1003" s="60"/>
      <c r="X1003" s="60"/>
      <c r="Y1003" s="60"/>
      <c r="Z1003" s="60"/>
    </row>
    <row r="1004" spans="1:26" ht="30" hidden="1" customHeight="1">
      <c r="A1004" s="92" t="s">
        <v>2246</v>
      </c>
      <c r="B1004" s="93" t="s">
        <v>2020</v>
      </c>
      <c r="C1004" s="94"/>
      <c r="D1004" s="94"/>
      <c r="E1004" s="94">
        <f t="shared" ref="E1004:G1004" si="375">SUM(E1005:E1010)</f>
        <v>0</v>
      </c>
      <c r="F1004" s="94">
        <f t="shared" si="375"/>
        <v>0</v>
      </c>
      <c r="G1004" s="94">
        <f t="shared" si="375"/>
        <v>0</v>
      </c>
      <c r="H1004" s="94"/>
      <c r="I1004" s="60"/>
      <c r="J1004" s="60"/>
      <c r="K1004" s="60"/>
      <c r="L1004" s="60"/>
      <c r="M1004" s="60"/>
      <c r="N1004" s="60"/>
      <c r="O1004" s="60"/>
      <c r="P1004" s="60"/>
      <c r="Q1004" s="60"/>
      <c r="R1004" s="60"/>
      <c r="S1004" s="60"/>
      <c r="T1004" s="60"/>
      <c r="U1004" s="60"/>
      <c r="V1004" s="60"/>
      <c r="W1004" s="60"/>
      <c r="X1004" s="60"/>
      <c r="Y1004" s="60"/>
      <c r="Z1004" s="60"/>
    </row>
    <row r="1005" spans="1:26" ht="30" hidden="1" customHeight="1">
      <c r="A1005" s="95" t="s">
        <v>2247</v>
      </c>
      <c r="B1005" s="51" t="s">
        <v>959</v>
      </c>
      <c r="C1005" s="96"/>
      <c r="D1005" s="96"/>
      <c r="E1005" s="53"/>
      <c r="F1005" s="53"/>
      <c r="G1005" s="96">
        <f>ROUND(E1005-F1005,2)</f>
        <v>0</v>
      </c>
      <c r="H1005" s="96"/>
      <c r="I1005" s="60"/>
      <c r="J1005" s="60"/>
      <c r="K1005" s="60"/>
      <c r="L1005" s="60"/>
      <c r="M1005" s="60"/>
      <c r="N1005" s="60"/>
      <c r="O1005" s="60"/>
      <c r="P1005" s="60"/>
      <c r="Q1005" s="60"/>
      <c r="R1005" s="60"/>
      <c r="S1005" s="60"/>
      <c r="T1005" s="60"/>
      <c r="U1005" s="60"/>
      <c r="V1005" s="60"/>
      <c r="W1005" s="60"/>
      <c r="X1005" s="60"/>
      <c r="Y1005" s="60"/>
      <c r="Z1005" s="60"/>
    </row>
    <row r="1006" spans="1:26" ht="30" hidden="1" customHeight="1">
      <c r="A1006" s="95" t="s">
        <v>2248</v>
      </c>
      <c r="B1006" s="51" t="s">
        <v>2023</v>
      </c>
      <c r="C1006" s="96"/>
      <c r="D1006" s="96"/>
      <c r="E1006" s="96"/>
      <c r="F1006" s="96"/>
      <c r="G1006" s="96">
        <f>E1006-F1006</f>
        <v>0</v>
      </c>
      <c r="H1006" s="96"/>
      <c r="I1006" s="60"/>
      <c r="J1006" s="60"/>
      <c r="K1006" s="60"/>
      <c r="L1006" s="60"/>
      <c r="M1006" s="60"/>
      <c r="N1006" s="60"/>
      <c r="O1006" s="60"/>
      <c r="P1006" s="60"/>
      <c r="Q1006" s="60"/>
      <c r="R1006" s="60"/>
      <c r="S1006" s="60"/>
      <c r="T1006" s="60"/>
      <c r="U1006" s="60"/>
      <c r="V1006" s="60"/>
      <c r="W1006" s="60"/>
      <c r="X1006" s="60"/>
      <c r="Y1006" s="60"/>
      <c r="Z1006" s="60"/>
    </row>
    <row r="1007" spans="1:26" ht="30" hidden="1" customHeight="1">
      <c r="A1007" s="95" t="s">
        <v>2249</v>
      </c>
      <c r="B1007" s="51" t="s">
        <v>971</v>
      </c>
      <c r="C1007" s="96"/>
      <c r="D1007" s="96"/>
      <c r="E1007" s="53"/>
      <c r="F1007" s="53"/>
      <c r="G1007" s="96">
        <f t="shared" ref="G1007:G1010" si="376">ROUND(E1007-F1007,2)</f>
        <v>0</v>
      </c>
      <c r="H1007" s="96"/>
      <c r="I1007" s="60"/>
      <c r="J1007" s="60"/>
      <c r="K1007" s="60"/>
      <c r="L1007" s="60"/>
      <c r="M1007" s="60"/>
      <c r="N1007" s="60"/>
      <c r="O1007" s="60"/>
      <c r="P1007" s="60"/>
      <c r="Q1007" s="60"/>
      <c r="R1007" s="60"/>
      <c r="S1007" s="60"/>
      <c r="T1007" s="60"/>
      <c r="U1007" s="60"/>
      <c r="V1007" s="60"/>
      <c r="W1007" s="60"/>
      <c r="X1007" s="60"/>
      <c r="Y1007" s="60"/>
      <c r="Z1007" s="60"/>
    </row>
    <row r="1008" spans="1:26" ht="30" hidden="1" customHeight="1">
      <c r="A1008" s="95" t="s">
        <v>2250</v>
      </c>
      <c r="B1008" s="51" t="s">
        <v>1011</v>
      </c>
      <c r="C1008" s="96"/>
      <c r="D1008" s="96"/>
      <c r="E1008" s="53"/>
      <c r="F1008" s="53"/>
      <c r="G1008" s="96">
        <f t="shared" si="376"/>
        <v>0</v>
      </c>
      <c r="H1008" s="96"/>
      <c r="I1008" s="60"/>
      <c r="J1008" s="60"/>
      <c r="K1008" s="60"/>
      <c r="L1008" s="60"/>
      <c r="M1008" s="60"/>
      <c r="N1008" s="60"/>
      <c r="O1008" s="60"/>
      <c r="P1008" s="60"/>
      <c r="Q1008" s="60"/>
      <c r="R1008" s="60"/>
      <c r="S1008" s="60"/>
      <c r="T1008" s="60"/>
      <c r="U1008" s="60"/>
      <c r="V1008" s="60"/>
      <c r="W1008" s="60"/>
      <c r="X1008" s="60"/>
      <c r="Y1008" s="60"/>
      <c r="Z1008" s="60"/>
    </row>
    <row r="1009" spans="1:26" ht="30" hidden="1" customHeight="1">
      <c r="A1009" s="95" t="s">
        <v>2251</v>
      </c>
      <c r="B1009" s="51" t="s">
        <v>2027</v>
      </c>
      <c r="C1009" s="96"/>
      <c r="D1009" s="96"/>
      <c r="E1009" s="53"/>
      <c r="F1009" s="53"/>
      <c r="G1009" s="96">
        <f t="shared" si="376"/>
        <v>0</v>
      </c>
      <c r="H1009" s="96"/>
      <c r="I1009" s="60"/>
      <c r="J1009" s="60"/>
      <c r="K1009" s="60"/>
      <c r="L1009" s="60"/>
      <c r="M1009" s="60"/>
      <c r="N1009" s="60"/>
      <c r="O1009" s="60"/>
      <c r="P1009" s="60"/>
      <c r="Q1009" s="60"/>
      <c r="R1009" s="60"/>
      <c r="S1009" s="60"/>
      <c r="T1009" s="60"/>
      <c r="U1009" s="60"/>
      <c r="V1009" s="60"/>
      <c r="W1009" s="60"/>
      <c r="X1009" s="60"/>
      <c r="Y1009" s="60"/>
      <c r="Z1009" s="60"/>
    </row>
    <row r="1010" spans="1:26" ht="30" hidden="1" customHeight="1">
      <c r="A1010" s="95" t="s">
        <v>2252</v>
      </c>
      <c r="B1010" s="51" t="s">
        <v>1008</v>
      </c>
      <c r="C1010" s="96"/>
      <c r="D1010" s="96"/>
      <c r="E1010" s="53"/>
      <c r="F1010" s="53"/>
      <c r="G1010" s="96">
        <f t="shared" si="376"/>
        <v>0</v>
      </c>
      <c r="H1010" s="96"/>
      <c r="I1010" s="60"/>
      <c r="J1010" s="60"/>
      <c r="K1010" s="60"/>
      <c r="L1010" s="60"/>
      <c r="M1010" s="60"/>
      <c r="N1010" s="60"/>
      <c r="O1010" s="60"/>
      <c r="P1010" s="60"/>
      <c r="Q1010" s="60"/>
      <c r="R1010" s="60"/>
      <c r="S1010" s="60"/>
      <c r="T1010" s="60"/>
      <c r="U1010" s="60"/>
      <c r="V1010" s="60"/>
      <c r="W1010" s="60"/>
      <c r="X1010" s="60"/>
      <c r="Y1010" s="60"/>
      <c r="Z1010" s="60"/>
    </row>
    <row r="1011" spans="1:26" ht="30" hidden="1" customHeight="1">
      <c r="A1011" s="92" t="s">
        <v>2253</v>
      </c>
      <c r="B1011" s="93" t="s">
        <v>1016</v>
      </c>
      <c r="C1011" s="94"/>
      <c r="D1011" s="94"/>
      <c r="E1011" s="94">
        <f t="shared" ref="E1011:G1011" si="377">SUM(E1012:E1014)</f>
        <v>0</v>
      </c>
      <c r="F1011" s="94">
        <f t="shared" si="377"/>
        <v>0</v>
      </c>
      <c r="G1011" s="94">
        <f t="shared" si="377"/>
        <v>0</v>
      </c>
      <c r="H1011" s="94"/>
      <c r="I1011" s="60"/>
      <c r="J1011" s="60"/>
      <c r="K1011" s="60"/>
      <c r="L1011" s="60"/>
      <c r="M1011" s="60"/>
      <c r="N1011" s="60"/>
      <c r="O1011" s="60"/>
      <c r="P1011" s="60"/>
      <c r="Q1011" s="60"/>
      <c r="R1011" s="60"/>
      <c r="S1011" s="60"/>
      <c r="T1011" s="60"/>
      <c r="U1011" s="60"/>
      <c r="V1011" s="60"/>
      <c r="W1011" s="60"/>
      <c r="X1011" s="60"/>
      <c r="Y1011" s="60"/>
      <c r="Z1011" s="60"/>
    </row>
    <row r="1012" spans="1:26" ht="30" hidden="1" customHeight="1">
      <c r="A1012" s="95" t="s">
        <v>2254</v>
      </c>
      <c r="B1012" s="51" t="s">
        <v>1016</v>
      </c>
      <c r="C1012" s="96"/>
      <c r="D1012" s="96"/>
      <c r="E1012" s="53"/>
      <c r="F1012" s="53"/>
      <c r="G1012" s="96">
        <f>ROUND(E1012-F1012,2)</f>
        <v>0</v>
      </c>
      <c r="H1012" s="96"/>
      <c r="I1012" s="60"/>
      <c r="J1012" s="60"/>
      <c r="K1012" s="60"/>
      <c r="L1012" s="60"/>
      <c r="M1012" s="60"/>
      <c r="N1012" s="60"/>
      <c r="O1012" s="60"/>
      <c r="P1012" s="60"/>
      <c r="Q1012" s="60"/>
      <c r="R1012" s="60"/>
      <c r="S1012" s="60"/>
      <c r="T1012" s="60"/>
      <c r="U1012" s="60"/>
      <c r="V1012" s="60"/>
      <c r="W1012" s="60"/>
      <c r="X1012" s="60"/>
      <c r="Y1012" s="60"/>
      <c r="Z1012" s="60"/>
    </row>
    <row r="1013" spans="1:26" ht="30" hidden="1" customHeight="1">
      <c r="A1013" s="95" t="s">
        <v>2255</v>
      </c>
      <c r="B1013" s="51" t="s">
        <v>2032</v>
      </c>
      <c r="C1013" s="96"/>
      <c r="D1013" s="96"/>
      <c r="E1013" s="96"/>
      <c r="F1013" s="96"/>
      <c r="G1013" s="96">
        <f>E1013-F1013</f>
        <v>0</v>
      </c>
      <c r="H1013" s="96"/>
      <c r="I1013" s="60"/>
      <c r="J1013" s="60"/>
      <c r="K1013" s="60"/>
      <c r="L1013" s="60"/>
      <c r="M1013" s="60"/>
      <c r="N1013" s="60"/>
      <c r="O1013" s="60"/>
      <c r="P1013" s="60"/>
      <c r="Q1013" s="60"/>
      <c r="R1013" s="60"/>
      <c r="S1013" s="60"/>
      <c r="T1013" s="60"/>
      <c r="U1013" s="60"/>
      <c r="V1013" s="60"/>
      <c r="W1013" s="60"/>
      <c r="X1013" s="60"/>
      <c r="Y1013" s="60"/>
      <c r="Z1013" s="60"/>
    </row>
    <row r="1014" spans="1:26" ht="30" hidden="1" customHeight="1">
      <c r="A1014" s="95" t="s">
        <v>2256</v>
      </c>
      <c r="B1014" s="51" t="s">
        <v>2034</v>
      </c>
      <c r="C1014" s="96"/>
      <c r="D1014" s="96"/>
      <c r="E1014" s="53"/>
      <c r="F1014" s="53"/>
      <c r="G1014" s="96">
        <f>ROUND(E1014-F1014,2)</f>
        <v>0</v>
      </c>
      <c r="H1014" s="96"/>
      <c r="I1014" s="60"/>
      <c r="J1014" s="60"/>
      <c r="K1014" s="60"/>
      <c r="L1014" s="60"/>
      <c r="M1014" s="60"/>
      <c r="N1014" s="60"/>
      <c r="O1014" s="60"/>
      <c r="P1014" s="60"/>
      <c r="Q1014" s="60"/>
      <c r="R1014" s="60"/>
      <c r="S1014" s="60"/>
      <c r="T1014" s="60"/>
      <c r="U1014" s="60"/>
      <c r="V1014" s="60"/>
      <c r="W1014" s="60"/>
      <c r="X1014" s="60"/>
      <c r="Y1014" s="60"/>
      <c r="Z1014" s="60"/>
    </row>
    <row r="1015" spans="1:26" ht="30" hidden="1" customHeight="1">
      <c r="A1015" s="92" t="s">
        <v>2257</v>
      </c>
      <c r="B1015" s="93" t="s">
        <v>2036</v>
      </c>
      <c r="C1015" s="94"/>
      <c r="D1015" s="94"/>
      <c r="E1015" s="94">
        <f t="shared" ref="E1015:G1015" si="378">SUM(E1016:E1019)</f>
        <v>0</v>
      </c>
      <c r="F1015" s="94">
        <f t="shared" si="378"/>
        <v>0</v>
      </c>
      <c r="G1015" s="94">
        <f t="shared" si="378"/>
        <v>0</v>
      </c>
      <c r="H1015" s="94"/>
      <c r="I1015" s="60"/>
      <c r="J1015" s="60"/>
      <c r="K1015" s="60"/>
      <c r="L1015" s="60"/>
      <c r="M1015" s="60"/>
      <c r="N1015" s="60"/>
      <c r="O1015" s="60"/>
      <c r="P1015" s="60"/>
      <c r="Q1015" s="60"/>
      <c r="R1015" s="60"/>
      <c r="S1015" s="60"/>
      <c r="T1015" s="60"/>
      <c r="U1015" s="60"/>
      <c r="V1015" s="60"/>
      <c r="W1015" s="60"/>
      <c r="X1015" s="60"/>
      <c r="Y1015" s="60"/>
      <c r="Z1015" s="60"/>
    </row>
    <row r="1016" spans="1:26" ht="30" hidden="1" customHeight="1">
      <c r="A1016" s="95" t="s">
        <v>2258</v>
      </c>
      <c r="B1016" s="51" t="s">
        <v>2036</v>
      </c>
      <c r="C1016" s="96"/>
      <c r="D1016" s="96"/>
      <c r="E1016" s="53"/>
      <c r="F1016" s="53"/>
      <c r="G1016" s="96">
        <f t="shared" ref="G1016:G1019" si="379">ROUND(E1016-F1016,2)</f>
        <v>0</v>
      </c>
      <c r="H1016" s="96"/>
      <c r="I1016" s="60"/>
      <c r="J1016" s="60"/>
      <c r="K1016" s="60"/>
      <c r="L1016" s="60"/>
      <c r="M1016" s="60"/>
      <c r="N1016" s="60"/>
      <c r="O1016" s="60"/>
      <c r="P1016" s="60"/>
      <c r="Q1016" s="60"/>
      <c r="R1016" s="60"/>
      <c r="S1016" s="60"/>
      <c r="T1016" s="60"/>
      <c r="U1016" s="60"/>
      <c r="V1016" s="60"/>
      <c r="W1016" s="60"/>
      <c r="X1016" s="60"/>
      <c r="Y1016" s="60"/>
      <c r="Z1016" s="60"/>
    </row>
    <row r="1017" spans="1:26" ht="30" hidden="1" customHeight="1">
      <c r="A1017" s="95" t="s">
        <v>2259</v>
      </c>
      <c r="B1017" s="51" t="s">
        <v>2039</v>
      </c>
      <c r="C1017" s="96"/>
      <c r="D1017" s="96"/>
      <c r="E1017" s="53"/>
      <c r="F1017" s="53"/>
      <c r="G1017" s="96">
        <f t="shared" si="379"/>
        <v>0</v>
      </c>
      <c r="H1017" s="96"/>
      <c r="I1017" s="60"/>
      <c r="J1017" s="60"/>
      <c r="K1017" s="60"/>
      <c r="L1017" s="60"/>
      <c r="M1017" s="60"/>
      <c r="N1017" s="60"/>
      <c r="O1017" s="60"/>
      <c r="P1017" s="60"/>
      <c r="Q1017" s="60"/>
      <c r="R1017" s="60"/>
      <c r="S1017" s="60"/>
      <c r="T1017" s="60"/>
      <c r="U1017" s="60"/>
      <c r="V1017" s="60"/>
      <c r="W1017" s="60"/>
      <c r="X1017" s="60"/>
      <c r="Y1017" s="60"/>
      <c r="Z1017" s="60"/>
    </row>
    <row r="1018" spans="1:26" ht="30" hidden="1" customHeight="1">
      <c r="A1018" s="95" t="s">
        <v>2260</v>
      </c>
      <c r="B1018" s="51" t="s">
        <v>2041</v>
      </c>
      <c r="C1018" s="96"/>
      <c r="D1018" s="96"/>
      <c r="E1018" s="53"/>
      <c r="F1018" s="53"/>
      <c r="G1018" s="96">
        <f t="shared" si="379"/>
        <v>0</v>
      </c>
      <c r="H1018" s="96"/>
      <c r="I1018" s="60"/>
      <c r="J1018" s="60"/>
      <c r="K1018" s="60"/>
      <c r="L1018" s="60"/>
      <c r="M1018" s="60"/>
      <c r="N1018" s="60"/>
      <c r="O1018" s="60"/>
      <c r="P1018" s="60"/>
      <c r="Q1018" s="60"/>
      <c r="R1018" s="60"/>
      <c r="S1018" s="60"/>
      <c r="T1018" s="60"/>
      <c r="U1018" s="60"/>
      <c r="V1018" s="60"/>
      <c r="W1018" s="60"/>
      <c r="X1018" s="60"/>
      <c r="Y1018" s="60"/>
      <c r="Z1018" s="60"/>
    </row>
    <row r="1019" spans="1:26" ht="30" hidden="1" customHeight="1">
      <c r="A1019" s="95" t="s">
        <v>2261</v>
      </c>
      <c r="B1019" s="51" t="s">
        <v>1046</v>
      </c>
      <c r="C1019" s="96"/>
      <c r="D1019" s="96"/>
      <c r="E1019" s="53"/>
      <c r="F1019" s="53"/>
      <c r="G1019" s="96">
        <f t="shared" si="379"/>
        <v>0</v>
      </c>
      <c r="H1019" s="96"/>
      <c r="I1019" s="60"/>
      <c r="J1019" s="60"/>
      <c r="K1019" s="60"/>
      <c r="L1019" s="60"/>
      <c r="M1019" s="60"/>
      <c r="N1019" s="60"/>
      <c r="O1019" s="60"/>
      <c r="P1019" s="60"/>
      <c r="Q1019" s="60"/>
      <c r="R1019" s="60"/>
      <c r="S1019" s="60"/>
      <c r="T1019" s="60"/>
      <c r="U1019" s="60"/>
      <c r="V1019" s="60"/>
      <c r="W1019" s="60"/>
      <c r="X1019" s="60"/>
      <c r="Y1019" s="60"/>
      <c r="Z1019" s="60"/>
    </row>
    <row r="1020" spans="1:26" ht="30" hidden="1" customHeight="1">
      <c r="A1020" s="92" t="s">
        <v>2262</v>
      </c>
      <c r="B1020" s="93" t="s">
        <v>2044</v>
      </c>
      <c r="C1020" s="94"/>
      <c r="D1020" s="94"/>
      <c r="E1020" s="94">
        <f t="shared" ref="E1020:G1020" si="380">SUM(E1021:E1029)</f>
        <v>0</v>
      </c>
      <c r="F1020" s="94">
        <f t="shared" si="380"/>
        <v>0</v>
      </c>
      <c r="G1020" s="94">
        <f t="shared" si="380"/>
        <v>0</v>
      </c>
      <c r="H1020" s="94"/>
      <c r="I1020" s="60"/>
      <c r="J1020" s="60"/>
      <c r="K1020" s="60"/>
      <c r="L1020" s="60"/>
      <c r="M1020" s="60"/>
      <c r="N1020" s="60"/>
      <c r="O1020" s="60"/>
      <c r="P1020" s="60"/>
      <c r="Q1020" s="60"/>
      <c r="R1020" s="60"/>
      <c r="S1020" s="60"/>
      <c r="T1020" s="60"/>
      <c r="U1020" s="60"/>
      <c r="V1020" s="60"/>
      <c r="W1020" s="60"/>
      <c r="X1020" s="60"/>
      <c r="Y1020" s="60"/>
      <c r="Z1020" s="60"/>
    </row>
    <row r="1021" spans="1:26" ht="30" hidden="1" customHeight="1">
      <c r="A1021" s="95" t="s">
        <v>2263</v>
      </c>
      <c r="B1021" s="51" t="s">
        <v>1065</v>
      </c>
      <c r="C1021" s="96"/>
      <c r="D1021" s="96"/>
      <c r="E1021" s="53"/>
      <c r="F1021" s="53"/>
      <c r="G1021" s="96">
        <f>ROUND(E1021-F1021,2)</f>
        <v>0</v>
      </c>
      <c r="H1021" s="96"/>
      <c r="I1021" s="60"/>
      <c r="J1021" s="60"/>
      <c r="K1021" s="60"/>
      <c r="L1021" s="60"/>
      <c r="M1021" s="60"/>
      <c r="N1021" s="60"/>
      <c r="O1021" s="60"/>
      <c r="P1021" s="60"/>
      <c r="Q1021" s="60"/>
      <c r="R1021" s="60"/>
      <c r="S1021" s="60"/>
      <c r="T1021" s="60"/>
      <c r="U1021" s="60"/>
      <c r="V1021" s="60"/>
      <c r="W1021" s="60"/>
      <c r="X1021" s="60"/>
      <c r="Y1021" s="60"/>
      <c r="Z1021" s="60"/>
    </row>
    <row r="1022" spans="1:26" ht="30" hidden="1" customHeight="1">
      <c r="A1022" s="95" t="s">
        <v>2264</v>
      </c>
      <c r="B1022" s="51" t="s">
        <v>1067</v>
      </c>
      <c r="C1022" s="96"/>
      <c r="D1022" s="96"/>
      <c r="E1022" s="96"/>
      <c r="F1022" s="96"/>
      <c r="G1022" s="96">
        <f>E1022-F1022</f>
        <v>0</v>
      </c>
      <c r="H1022" s="96"/>
      <c r="I1022" s="60"/>
      <c r="J1022" s="60"/>
      <c r="K1022" s="60"/>
      <c r="L1022" s="60"/>
      <c r="M1022" s="60"/>
      <c r="N1022" s="60"/>
      <c r="O1022" s="60"/>
      <c r="P1022" s="60"/>
      <c r="Q1022" s="60"/>
      <c r="R1022" s="60"/>
      <c r="S1022" s="60"/>
      <c r="T1022" s="60"/>
      <c r="U1022" s="60"/>
      <c r="V1022" s="60"/>
      <c r="W1022" s="60"/>
      <c r="X1022" s="60"/>
      <c r="Y1022" s="60"/>
      <c r="Z1022" s="60"/>
    </row>
    <row r="1023" spans="1:26" ht="30" hidden="1" customHeight="1">
      <c r="A1023" s="95" t="s">
        <v>2265</v>
      </c>
      <c r="B1023" s="51" t="s">
        <v>1069</v>
      </c>
      <c r="C1023" s="96"/>
      <c r="D1023" s="96"/>
      <c r="E1023" s="53"/>
      <c r="F1023" s="53"/>
      <c r="G1023" s="96">
        <f>ROUND(E1023-F1023,2)</f>
        <v>0</v>
      </c>
      <c r="H1023" s="96"/>
      <c r="I1023" s="60"/>
      <c r="J1023" s="60"/>
      <c r="K1023" s="60"/>
      <c r="L1023" s="60"/>
      <c r="M1023" s="60"/>
      <c r="N1023" s="60"/>
      <c r="O1023" s="60"/>
      <c r="P1023" s="60"/>
      <c r="Q1023" s="60"/>
      <c r="R1023" s="60"/>
      <c r="S1023" s="60"/>
      <c r="T1023" s="60"/>
      <c r="U1023" s="60"/>
      <c r="V1023" s="60"/>
      <c r="W1023" s="60"/>
      <c r="X1023" s="60"/>
      <c r="Y1023" s="60"/>
      <c r="Z1023" s="60"/>
    </row>
    <row r="1024" spans="1:26" ht="30" hidden="1" customHeight="1">
      <c r="A1024" s="95" t="s">
        <v>2266</v>
      </c>
      <c r="B1024" s="51" t="s">
        <v>2049</v>
      </c>
      <c r="C1024" s="96"/>
      <c r="D1024" s="96"/>
      <c r="E1024" s="96"/>
      <c r="F1024" s="96"/>
      <c r="G1024" s="96">
        <f t="shared" ref="G1024:G1026" si="381">E1024-F1024</f>
        <v>0</v>
      </c>
      <c r="H1024" s="96"/>
      <c r="I1024" s="60"/>
      <c r="J1024" s="60"/>
      <c r="K1024" s="60"/>
      <c r="L1024" s="60"/>
      <c r="M1024" s="60"/>
      <c r="N1024" s="60"/>
      <c r="O1024" s="60"/>
      <c r="P1024" s="60"/>
      <c r="Q1024" s="60"/>
      <c r="R1024" s="60"/>
      <c r="S1024" s="60"/>
      <c r="T1024" s="60"/>
      <c r="U1024" s="60"/>
      <c r="V1024" s="60"/>
      <c r="W1024" s="60"/>
      <c r="X1024" s="60"/>
      <c r="Y1024" s="60"/>
      <c r="Z1024" s="60"/>
    </row>
    <row r="1025" spans="1:26" ht="30" hidden="1" customHeight="1">
      <c r="A1025" s="95" t="s">
        <v>2267</v>
      </c>
      <c r="B1025" s="51" t="s">
        <v>1074</v>
      </c>
      <c r="C1025" s="96"/>
      <c r="D1025" s="96"/>
      <c r="E1025" s="96"/>
      <c r="F1025" s="96"/>
      <c r="G1025" s="96">
        <f t="shared" si="381"/>
        <v>0</v>
      </c>
      <c r="H1025" s="96"/>
      <c r="I1025" s="60"/>
      <c r="J1025" s="60"/>
      <c r="K1025" s="60"/>
      <c r="L1025" s="60"/>
      <c r="M1025" s="60"/>
      <c r="N1025" s="60"/>
      <c r="O1025" s="60"/>
      <c r="P1025" s="60"/>
      <c r="Q1025" s="60"/>
      <c r="R1025" s="60"/>
      <c r="S1025" s="60"/>
      <c r="T1025" s="60"/>
      <c r="U1025" s="60"/>
      <c r="V1025" s="60"/>
      <c r="W1025" s="60"/>
      <c r="X1025" s="60"/>
      <c r="Y1025" s="60"/>
      <c r="Z1025" s="60"/>
    </row>
    <row r="1026" spans="1:26" ht="30" hidden="1" customHeight="1">
      <c r="A1026" s="95" t="s">
        <v>2268</v>
      </c>
      <c r="B1026" s="51" t="s">
        <v>1076</v>
      </c>
      <c r="C1026" s="96"/>
      <c r="D1026" s="96"/>
      <c r="E1026" s="96"/>
      <c r="F1026" s="96"/>
      <c r="G1026" s="96">
        <f t="shared" si="381"/>
        <v>0</v>
      </c>
      <c r="H1026" s="96"/>
      <c r="I1026" s="60"/>
      <c r="J1026" s="60"/>
      <c r="K1026" s="60"/>
      <c r="L1026" s="60"/>
      <c r="M1026" s="60"/>
      <c r="N1026" s="60"/>
      <c r="O1026" s="60"/>
      <c r="P1026" s="60"/>
      <c r="Q1026" s="60"/>
      <c r="R1026" s="60"/>
      <c r="S1026" s="60"/>
      <c r="T1026" s="60"/>
      <c r="U1026" s="60"/>
      <c r="V1026" s="60"/>
      <c r="W1026" s="60"/>
      <c r="X1026" s="60"/>
      <c r="Y1026" s="60"/>
      <c r="Z1026" s="60"/>
    </row>
    <row r="1027" spans="1:26" ht="30" hidden="1" customHeight="1">
      <c r="A1027" s="95" t="s">
        <v>2269</v>
      </c>
      <c r="B1027" s="51" t="s">
        <v>1078</v>
      </c>
      <c r="C1027" s="96"/>
      <c r="D1027" s="96"/>
      <c r="E1027" s="53"/>
      <c r="F1027" s="53"/>
      <c r="G1027" s="96">
        <f>ROUND(E1027-F1027,2)</f>
        <v>0</v>
      </c>
      <c r="H1027" s="96"/>
      <c r="I1027" s="60"/>
      <c r="J1027" s="60"/>
      <c r="K1027" s="60"/>
      <c r="L1027" s="60"/>
      <c r="M1027" s="60"/>
      <c r="N1027" s="60"/>
      <c r="O1027" s="60"/>
      <c r="P1027" s="60"/>
      <c r="Q1027" s="60"/>
      <c r="R1027" s="60"/>
      <c r="S1027" s="60"/>
      <c r="T1027" s="60"/>
      <c r="U1027" s="60"/>
      <c r="V1027" s="60"/>
      <c r="W1027" s="60"/>
      <c r="X1027" s="60"/>
      <c r="Y1027" s="60"/>
      <c r="Z1027" s="60"/>
    </row>
    <row r="1028" spans="1:26" ht="30" hidden="1" customHeight="1">
      <c r="A1028" s="95" t="s">
        <v>2270</v>
      </c>
      <c r="B1028" s="51" t="s">
        <v>2054</v>
      </c>
      <c r="C1028" s="96"/>
      <c r="D1028" s="96"/>
      <c r="E1028" s="96"/>
      <c r="F1028" s="96"/>
      <c r="G1028" s="96">
        <f>E1028-F1028</f>
        <v>0</v>
      </c>
      <c r="H1028" s="96"/>
      <c r="I1028" s="60"/>
      <c r="J1028" s="60"/>
      <c r="K1028" s="60"/>
      <c r="L1028" s="60"/>
      <c r="M1028" s="60"/>
      <c r="N1028" s="60"/>
      <c r="O1028" s="60"/>
      <c r="P1028" s="60"/>
      <c r="Q1028" s="60"/>
      <c r="R1028" s="60"/>
      <c r="S1028" s="60"/>
      <c r="T1028" s="60"/>
      <c r="U1028" s="60"/>
      <c r="V1028" s="60"/>
      <c r="W1028" s="60"/>
      <c r="X1028" s="60"/>
      <c r="Y1028" s="60"/>
      <c r="Z1028" s="60"/>
    </row>
    <row r="1029" spans="1:26" ht="30" hidden="1" customHeight="1">
      <c r="A1029" s="95" t="s">
        <v>2271</v>
      </c>
      <c r="B1029" s="51" t="s">
        <v>2056</v>
      </c>
      <c r="C1029" s="96"/>
      <c r="D1029" s="96"/>
      <c r="E1029" s="53"/>
      <c r="F1029" s="53"/>
      <c r="G1029" s="96">
        <f>ROUND(E1029-F1029,2)</f>
        <v>0</v>
      </c>
      <c r="H1029" s="96"/>
      <c r="I1029" s="60"/>
      <c r="J1029" s="60"/>
      <c r="K1029" s="60"/>
      <c r="L1029" s="60"/>
      <c r="M1029" s="60"/>
      <c r="N1029" s="60"/>
      <c r="O1029" s="60"/>
      <c r="P1029" s="60"/>
      <c r="Q1029" s="60"/>
      <c r="R1029" s="60"/>
      <c r="S1029" s="60"/>
      <c r="T1029" s="60"/>
      <c r="U1029" s="60"/>
      <c r="V1029" s="60"/>
      <c r="W1029" s="60"/>
      <c r="X1029" s="60"/>
      <c r="Y1029" s="60"/>
      <c r="Z1029" s="60"/>
    </row>
    <row r="1030" spans="1:26" ht="30" hidden="1" customHeight="1">
      <c r="A1030" s="92" t="s">
        <v>2272</v>
      </c>
      <c r="B1030" s="97" t="s">
        <v>2058</v>
      </c>
      <c r="C1030" s="94"/>
      <c r="D1030" s="94"/>
      <c r="E1030" s="94">
        <f t="shared" ref="E1030:G1030" si="382">E1031+E1044+E1047+E1048+E1053+E1059</f>
        <v>65374709.600000001</v>
      </c>
      <c r="F1030" s="94">
        <f t="shared" si="382"/>
        <v>13790359.41</v>
      </c>
      <c r="G1030" s="94">
        <f t="shared" si="382"/>
        <v>51584350.189999998</v>
      </c>
      <c r="H1030" s="94"/>
      <c r="I1030" s="60"/>
      <c r="J1030" s="60"/>
      <c r="K1030" s="60"/>
      <c r="L1030" s="60"/>
      <c r="M1030" s="60"/>
      <c r="N1030" s="60"/>
      <c r="O1030" s="60"/>
      <c r="P1030" s="60"/>
      <c r="Q1030" s="60"/>
      <c r="R1030" s="60"/>
      <c r="S1030" s="60"/>
      <c r="T1030" s="60"/>
      <c r="U1030" s="60"/>
      <c r="V1030" s="60"/>
      <c r="W1030" s="60"/>
      <c r="X1030" s="60"/>
      <c r="Y1030" s="60"/>
      <c r="Z1030" s="60"/>
    </row>
    <row r="1031" spans="1:26" ht="30" hidden="1" customHeight="1">
      <c r="A1031" s="95" t="s">
        <v>2273</v>
      </c>
      <c r="B1031" s="51" t="s">
        <v>1093</v>
      </c>
      <c r="C1031" s="96"/>
      <c r="D1031" s="96"/>
      <c r="E1031" s="94">
        <f t="shared" ref="E1031:G1031" si="383">SUM(E1032:E1043)</f>
        <v>0</v>
      </c>
      <c r="F1031" s="94">
        <f t="shared" si="383"/>
        <v>0</v>
      </c>
      <c r="G1031" s="94">
        <f t="shared" si="383"/>
        <v>0</v>
      </c>
      <c r="H1031" s="96"/>
      <c r="I1031" s="60"/>
      <c r="J1031" s="60"/>
      <c r="K1031" s="60"/>
      <c r="L1031" s="60"/>
      <c r="M1031" s="60"/>
      <c r="N1031" s="60"/>
      <c r="O1031" s="60"/>
      <c r="P1031" s="60"/>
      <c r="Q1031" s="60"/>
      <c r="R1031" s="60"/>
      <c r="S1031" s="60"/>
      <c r="T1031" s="60"/>
      <c r="U1031" s="60"/>
      <c r="V1031" s="60"/>
      <c r="W1031" s="60"/>
      <c r="X1031" s="60"/>
      <c r="Y1031" s="60"/>
      <c r="Z1031" s="60"/>
    </row>
    <row r="1032" spans="1:26" ht="30" hidden="1" customHeight="1">
      <c r="A1032" s="95" t="s">
        <v>2274</v>
      </c>
      <c r="B1032" s="51" t="s">
        <v>1095</v>
      </c>
      <c r="C1032" s="96"/>
      <c r="D1032" s="96"/>
      <c r="E1032" s="53"/>
      <c r="F1032" s="53"/>
      <c r="G1032" s="96">
        <f t="shared" ref="G1032:G1043" si="384">ROUND(E1032-F1032,2)</f>
        <v>0</v>
      </c>
      <c r="H1032" s="96"/>
      <c r="I1032" s="60"/>
      <c r="J1032" s="60"/>
      <c r="K1032" s="60"/>
      <c r="L1032" s="60"/>
      <c r="M1032" s="60"/>
      <c r="N1032" s="60"/>
      <c r="O1032" s="60"/>
      <c r="P1032" s="60"/>
      <c r="Q1032" s="60"/>
      <c r="R1032" s="60"/>
      <c r="S1032" s="60"/>
      <c r="T1032" s="60"/>
      <c r="U1032" s="60"/>
      <c r="V1032" s="60"/>
      <c r="W1032" s="60"/>
      <c r="X1032" s="60"/>
      <c r="Y1032" s="60"/>
      <c r="Z1032" s="60"/>
    </row>
    <row r="1033" spans="1:26" ht="30" hidden="1" customHeight="1">
      <c r="A1033" s="95" t="s">
        <v>2275</v>
      </c>
      <c r="B1033" s="51" t="s">
        <v>1097</v>
      </c>
      <c r="C1033" s="96"/>
      <c r="D1033" s="96"/>
      <c r="E1033" s="53"/>
      <c r="F1033" s="53"/>
      <c r="G1033" s="96">
        <f t="shared" si="384"/>
        <v>0</v>
      </c>
      <c r="H1033" s="96"/>
      <c r="I1033" s="60"/>
      <c r="J1033" s="60"/>
      <c r="K1033" s="60"/>
      <c r="L1033" s="60"/>
      <c r="M1033" s="60"/>
      <c r="N1033" s="60"/>
      <c r="O1033" s="60"/>
      <c r="P1033" s="60"/>
      <c r="Q1033" s="60"/>
      <c r="R1033" s="60"/>
      <c r="S1033" s="60"/>
      <c r="T1033" s="60"/>
      <c r="U1033" s="60"/>
      <c r="V1033" s="60"/>
      <c r="W1033" s="60"/>
      <c r="X1033" s="60"/>
      <c r="Y1033" s="60"/>
      <c r="Z1033" s="60"/>
    </row>
    <row r="1034" spans="1:26" ht="30" hidden="1" customHeight="1">
      <c r="A1034" s="95" t="s">
        <v>2276</v>
      </c>
      <c r="B1034" s="51" t="s">
        <v>1099</v>
      </c>
      <c r="C1034" s="96"/>
      <c r="D1034" s="96"/>
      <c r="E1034" s="53"/>
      <c r="F1034" s="53"/>
      <c r="G1034" s="96">
        <f t="shared" si="384"/>
        <v>0</v>
      </c>
      <c r="H1034" s="96"/>
      <c r="I1034" s="60"/>
      <c r="J1034" s="60"/>
      <c r="K1034" s="60"/>
      <c r="L1034" s="60"/>
      <c r="M1034" s="60"/>
      <c r="N1034" s="60"/>
      <c r="O1034" s="60"/>
      <c r="P1034" s="60"/>
      <c r="Q1034" s="60"/>
      <c r="R1034" s="60"/>
      <c r="S1034" s="60"/>
      <c r="T1034" s="60"/>
      <c r="U1034" s="60"/>
      <c r="V1034" s="60"/>
      <c r="W1034" s="60"/>
      <c r="X1034" s="60"/>
      <c r="Y1034" s="60"/>
      <c r="Z1034" s="60"/>
    </row>
    <row r="1035" spans="1:26" ht="30" hidden="1" customHeight="1">
      <c r="A1035" s="95" t="s">
        <v>2277</v>
      </c>
      <c r="B1035" s="51" t="s">
        <v>1101</v>
      </c>
      <c r="C1035" s="96"/>
      <c r="D1035" s="96"/>
      <c r="E1035" s="53"/>
      <c r="F1035" s="53"/>
      <c r="G1035" s="96">
        <f t="shared" si="384"/>
        <v>0</v>
      </c>
      <c r="H1035" s="96"/>
      <c r="I1035" s="60"/>
      <c r="J1035" s="60"/>
      <c r="K1035" s="60"/>
      <c r="L1035" s="60"/>
      <c r="M1035" s="60"/>
      <c r="N1035" s="60"/>
      <c r="O1035" s="60"/>
      <c r="P1035" s="60"/>
      <c r="Q1035" s="60"/>
      <c r="R1035" s="60"/>
      <c r="S1035" s="60"/>
      <c r="T1035" s="60"/>
      <c r="U1035" s="60"/>
      <c r="V1035" s="60"/>
      <c r="W1035" s="60"/>
      <c r="X1035" s="60"/>
      <c r="Y1035" s="60"/>
      <c r="Z1035" s="60"/>
    </row>
    <row r="1036" spans="1:26" ht="30" hidden="1" customHeight="1">
      <c r="A1036" s="95" t="s">
        <v>2278</v>
      </c>
      <c r="B1036" s="51" t="s">
        <v>1103</v>
      </c>
      <c r="C1036" s="96"/>
      <c r="D1036" s="96"/>
      <c r="E1036" s="53"/>
      <c r="F1036" s="53"/>
      <c r="G1036" s="96">
        <f t="shared" si="384"/>
        <v>0</v>
      </c>
      <c r="H1036" s="96"/>
      <c r="I1036" s="60"/>
      <c r="J1036" s="60"/>
      <c r="K1036" s="60"/>
      <c r="L1036" s="60"/>
      <c r="M1036" s="60"/>
      <c r="N1036" s="60"/>
      <c r="O1036" s="60"/>
      <c r="P1036" s="60"/>
      <c r="Q1036" s="60"/>
      <c r="R1036" s="60"/>
      <c r="S1036" s="60"/>
      <c r="T1036" s="60"/>
      <c r="U1036" s="60"/>
      <c r="V1036" s="60"/>
      <c r="W1036" s="60"/>
      <c r="X1036" s="60"/>
      <c r="Y1036" s="60"/>
      <c r="Z1036" s="60"/>
    </row>
    <row r="1037" spans="1:26" ht="30" hidden="1" customHeight="1">
      <c r="A1037" s="95" t="s">
        <v>2279</v>
      </c>
      <c r="B1037" s="51" t="s">
        <v>1105</v>
      </c>
      <c r="C1037" s="96"/>
      <c r="D1037" s="96"/>
      <c r="E1037" s="53"/>
      <c r="F1037" s="53"/>
      <c r="G1037" s="96">
        <f t="shared" si="384"/>
        <v>0</v>
      </c>
      <c r="H1037" s="96"/>
      <c r="I1037" s="60"/>
      <c r="J1037" s="60"/>
      <c r="K1037" s="60"/>
      <c r="L1037" s="60"/>
      <c r="M1037" s="60"/>
      <c r="N1037" s="60"/>
      <c r="O1037" s="60"/>
      <c r="P1037" s="60"/>
      <c r="Q1037" s="60"/>
      <c r="R1037" s="60"/>
      <c r="S1037" s="60"/>
      <c r="T1037" s="60"/>
      <c r="U1037" s="60"/>
      <c r="V1037" s="60"/>
      <c r="W1037" s="60"/>
      <c r="X1037" s="60"/>
      <c r="Y1037" s="60"/>
      <c r="Z1037" s="60"/>
    </row>
    <row r="1038" spans="1:26" ht="30" hidden="1" customHeight="1">
      <c r="A1038" s="95" t="s">
        <v>2280</v>
      </c>
      <c r="B1038" s="51" t="s">
        <v>1107</v>
      </c>
      <c r="C1038" s="96"/>
      <c r="D1038" s="96"/>
      <c r="E1038" s="53"/>
      <c r="F1038" s="53"/>
      <c r="G1038" s="96">
        <f t="shared" si="384"/>
        <v>0</v>
      </c>
      <c r="H1038" s="96"/>
      <c r="I1038" s="60"/>
      <c r="J1038" s="60"/>
      <c r="K1038" s="60"/>
      <c r="L1038" s="60"/>
      <c r="M1038" s="60"/>
      <c r="N1038" s="60"/>
      <c r="O1038" s="60"/>
      <c r="P1038" s="60"/>
      <c r="Q1038" s="60"/>
      <c r="R1038" s="60"/>
      <c r="S1038" s="60"/>
      <c r="T1038" s="60"/>
      <c r="U1038" s="60"/>
      <c r="V1038" s="60"/>
      <c r="W1038" s="60"/>
      <c r="X1038" s="60"/>
      <c r="Y1038" s="60"/>
      <c r="Z1038" s="60"/>
    </row>
    <row r="1039" spans="1:26" ht="30" hidden="1" customHeight="1">
      <c r="A1039" s="95" t="s">
        <v>2281</v>
      </c>
      <c r="B1039" s="51" t="s">
        <v>1109</v>
      </c>
      <c r="C1039" s="96"/>
      <c r="D1039" s="96"/>
      <c r="E1039" s="53"/>
      <c r="F1039" s="53"/>
      <c r="G1039" s="96">
        <f t="shared" si="384"/>
        <v>0</v>
      </c>
      <c r="H1039" s="96"/>
      <c r="I1039" s="60"/>
      <c r="J1039" s="60"/>
      <c r="K1039" s="60"/>
      <c r="L1039" s="60"/>
      <c r="M1039" s="60"/>
      <c r="N1039" s="60"/>
      <c r="O1039" s="60"/>
      <c r="P1039" s="60"/>
      <c r="Q1039" s="60"/>
      <c r="R1039" s="60"/>
      <c r="S1039" s="60"/>
      <c r="T1039" s="60"/>
      <c r="U1039" s="60"/>
      <c r="V1039" s="60"/>
      <c r="W1039" s="60"/>
      <c r="X1039" s="60"/>
      <c r="Y1039" s="60"/>
      <c r="Z1039" s="60"/>
    </row>
    <row r="1040" spans="1:26" ht="30" hidden="1" customHeight="1">
      <c r="A1040" s="95" t="s">
        <v>2282</v>
      </c>
      <c r="B1040" s="51" t="s">
        <v>1111</v>
      </c>
      <c r="C1040" s="96"/>
      <c r="D1040" s="96"/>
      <c r="E1040" s="53"/>
      <c r="F1040" s="53"/>
      <c r="G1040" s="96">
        <f t="shared" si="384"/>
        <v>0</v>
      </c>
      <c r="H1040" s="96"/>
      <c r="I1040" s="60"/>
      <c r="J1040" s="60"/>
      <c r="K1040" s="60"/>
      <c r="L1040" s="60"/>
      <c r="M1040" s="60"/>
      <c r="N1040" s="60"/>
      <c r="O1040" s="60"/>
      <c r="P1040" s="60"/>
      <c r="Q1040" s="60"/>
      <c r="R1040" s="60"/>
      <c r="S1040" s="60"/>
      <c r="T1040" s="60"/>
      <c r="U1040" s="60"/>
      <c r="V1040" s="60"/>
      <c r="W1040" s="60"/>
      <c r="X1040" s="60"/>
      <c r="Y1040" s="60"/>
      <c r="Z1040" s="60"/>
    </row>
    <row r="1041" spans="1:26" ht="30" hidden="1" customHeight="1">
      <c r="A1041" s="95" t="s">
        <v>2283</v>
      </c>
      <c r="B1041" s="51" t="s">
        <v>2070</v>
      </c>
      <c r="C1041" s="96"/>
      <c r="D1041" s="96"/>
      <c r="E1041" s="53"/>
      <c r="F1041" s="53"/>
      <c r="G1041" s="96">
        <f t="shared" si="384"/>
        <v>0</v>
      </c>
      <c r="H1041" s="96"/>
      <c r="I1041" s="60"/>
      <c r="J1041" s="60"/>
      <c r="K1041" s="60"/>
      <c r="L1041" s="60"/>
      <c r="M1041" s="60"/>
      <c r="N1041" s="60"/>
      <c r="O1041" s="60"/>
      <c r="P1041" s="60"/>
      <c r="Q1041" s="60"/>
      <c r="R1041" s="60"/>
      <c r="S1041" s="60"/>
      <c r="T1041" s="60"/>
      <c r="U1041" s="60"/>
      <c r="V1041" s="60"/>
      <c r="W1041" s="60"/>
      <c r="X1041" s="60"/>
      <c r="Y1041" s="60"/>
      <c r="Z1041" s="60"/>
    </row>
    <row r="1042" spans="1:26" ht="30" hidden="1" customHeight="1">
      <c r="A1042" s="95" t="s">
        <v>2284</v>
      </c>
      <c r="B1042" s="51" t="s">
        <v>1115</v>
      </c>
      <c r="C1042" s="96"/>
      <c r="D1042" s="96"/>
      <c r="E1042" s="53"/>
      <c r="F1042" s="53"/>
      <c r="G1042" s="96">
        <f t="shared" si="384"/>
        <v>0</v>
      </c>
      <c r="H1042" s="96"/>
      <c r="I1042" s="60"/>
      <c r="J1042" s="60"/>
      <c r="K1042" s="60"/>
      <c r="L1042" s="60"/>
      <c r="M1042" s="60"/>
      <c r="N1042" s="60"/>
      <c r="O1042" s="60"/>
      <c r="P1042" s="60"/>
      <c r="Q1042" s="60"/>
      <c r="R1042" s="60"/>
      <c r="S1042" s="60"/>
      <c r="T1042" s="60"/>
      <c r="U1042" s="60"/>
      <c r="V1042" s="60"/>
      <c r="W1042" s="60"/>
      <c r="X1042" s="60"/>
      <c r="Y1042" s="60"/>
      <c r="Z1042" s="60"/>
    </row>
    <row r="1043" spans="1:26" ht="30" hidden="1" customHeight="1">
      <c r="A1043" s="95" t="s">
        <v>2285</v>
      </c>
      <c r="B1043" s="51" t="s">
        <v>2073</v>
      </c>
      <c r="C1043" s="96"/>
      <c r="D1043" s="96"/>
      <c r="E1043" s="53"/>
      <c r="F1043" s="53"/>
      <c r="G1043" s="96">
        <f t="shared" si="384"/>
        <v>0</v>
      </c>
      <c r="H1043" s="96"/>
      <c r="I1043" s="60"/>
      <c r="J1043" s="60"/>
      <c r="K1043" s="60"/>
      <c r="L1043" s="60"/>
      <c r="M1043" s="60"/>
      <c r="N1043" s="60"/>
      <c r="O1043" s="60"/>
      <c r="P1043" s="60"/>
      <c r="Q1043" s="60"/>
      <c r="R1043" s="60"/>
      <c r="S1043" s="60"/>
      <c r="T1043" s="60"/>
      <c r="U1043" s="60"/>
      <c r="V1043" s="60"/>
      <c r="W1043" s="60"/>
      <c r="X1043" s="60"/>
      <c r="Y1043" s="60"/>
      <c r="Z1043" s="60"/>
    </row>
    <row r="1044" spans="1:26" ht="30" hidden="1" customHeight="1">
      <c r="A1044" s="95" t="s">
        <v>2286</v>
      </c>
      <c r="B1044" s="51" t="s">
        <v>1119</v>
      </c>
      <c r="C1044" s="96"/>
      <c r="D1044" s="96"/>
      <c r="E1044" s="94">
        <f t="shared" ref="E1044:G1044" si="385">SUM(E1045:E1046)</f>
        <v>20122864.969999999</v>
      </c>
      <c r="F1044" s="94">
        <f t="shared" si="385"/>
        <v>13790359.41</v>
      </c>
      <c r="G1044" s="94">
        <f t="shared" si="385"/>
        <v>6332505.5599999987</v>
      </c>
      <c r="H1044" s="96"/>
      <c r="I1044" s="60"/>
      <c r="J1044" s="60"/>
      <c r="K1044" s="60"/>
      <c r="L1044" s="60"/>
      <c r="M1044" s="60"/>
      <c r="N1044" s="60"/>
      <c r="O1044" s="60"/>
      <c r="P1044" s="60"/>
      <c r="Q1044" s="60"/>
      <c r="R1044" s="60"/>
      <c r="S1044" s="60"/>
      <c r="T1044" s="60"/>
      <c r="U1044" s="60"/>
      <c r="V1044" s="60"/>
      <c r="W1044" s="60"/>
      <c r="X1044" s="60"/>
      <c r="Y1044" s="60"/>
      <c r="Z1044" s="60"/>
    </row>
    <row r="1045" spans="1:26" ht="30" hidden="1" customHeight="1">
      <c r="A1045" s="95" t="s">
        <v>2287</v>
      </c>
      <c r="B1045" s="51" t="s">
        <v>1121</v>
      </c>
      <c r="C1045" s="96"/>
      <c r="D1045" s="96"/>
      <c r="E1045" s="53"/>
      <c r="F1045" s="53">
        <v>13790359.41</v>
      </c>
      <c r="G1045" s="96">
        <f t="shared" ref="G1045:G1047" si="386">ROUND(E1045-F1045,2)</f>
        <v>-13790359.41</v>
      </c>
      <c r="H1045" s="96"/>
      <c r="I1045" s="60"/>
      <c r="J1045" s="60"/>
      <c r="K1045" s="60"/>
      <c r="L1045" s="60"/>
      <c r="M1045" s="60"/>
      <c r="N1045" s="60"/>
      <c r="O1045" s="60"/>
      <c r="P1045" s="60"/>
      <c r="Q1045" s="60"/>
      <c r="R1045" s="60"/>
      <c r="S1045" s="60"/>
      <c r="T1045" s="60"/>
      <c r="U1045" s="60"/>
      <c r="V1045" s="60"/>
      <c r="W1045" s="60"/>
      <c r="X1045" s="60"/>
      <c r="Y1045" s="60"/>
      <c r="Z1045" s="60"/>
    </row>
    <row r="1046" spans="1:26" ht="30" hidden="1" customHeight="1">
      <c r="A1046" s="95" t="s">
        <v>2288</v>
      </c>
      <c r="B1046" s="51" t="s">
        <v>2077</v>
      </c>
      <c r="C1046" s="96"/>
      <c r="D1046" s="96"/>
      <c r="E1046" s="53">
        <v>20122864.969999999</v>
      </c>
      <c r="F1046" s="53"/>
      <c r="G1046" s="96">
        <f t="shared" si="386"/>
        <v>20122864.969999999</v>
      </c>
      <c r="H1046" s="96"/>
      <c r="I1046" s="60"/>
      <c r="J1046" s="60"/>
      <c r="K1046" s="60"/>
      <c r="L1046" s="60"/>
      <c r="M1046" s="60"/>
      <c r="N1046" s="60"/>
      <c r="O1046" s="60"/>
      <c r="P1046" s="60"/>
      <c r="Q1046" s="60"/>
      <c r="R1046" s="60"/>
      <c r="S1046" s="60"/>
      <c r="T1046" s="60"/>
      <c r="U1046" s="60"/>
      <c r="V1046" s="60"/>
      <c r="W1046" s="60"/>
      <c r="X1046" s="60"/>
      <c r="Y1046" s="60"/>
      <c r="Z1046" s="60"/>
    </row>
    <row r="1047" spans="1:26" ht="30" hidden="1" customHeight="1">
      <c r="A1047" s="95" t="s">
        <v>2289</v>
      </c>
      <c r="B1047" s="51" t="s">
        <v>2290</v>
      </c>
      <c r="C1047" s="96"/>
      <c r="D1047" s="96"/>
      <c r="E1047" s="53"/>
      <c r="F1047" s="53"/>
      <c r="G1047" s="96">
        <f t="shared" si="386"/>
        <v>0</v>
      </c>
      <c r="H1047" s="96"/>
      <c r="I1047" s="60"/>
      <c r="J1047" s="60"/>
      <c r="K1047" s="60"/>
      <c r="L1047" s="60"/>
      <c r="M1047" s="60"/>
      <c r="N1047" s="60"/>
      <c r="O1047" s="60"/>
      <c r="P1047" s="60"/>
      <c r="Q1047" s="60"/>
      <c r="R1047" s="60"/>
      <c r="S1047" s="60"/>
      <c r="T1047" s="60"/>
      <c r="U1047" s="60"/>
      <c r="V1047" s="60"/>
      <c r="W1047" s="60"/>
      <c r="X1047" s="60"/>
      <c r="Y1047" s="60"/>
      <c r="Z1047" s="60"/>
    </row>
    <row r="1048" spans="1:26" ht="30" hidden="1" customHeight="1">
      <c r="A1048" s="95" t="s">
        <v>2291</v>
      </c>
      <c r="B1048" s="51" t="s">
        <v>2292</v>
      </c>
      <c r="C1048" s="96"/>
      <c r="D1048" s="96"/>
      <c r="E1048" s="94">
        <f t="shared" ref="E1048:G1048" si="387">SUM(E1049:E1052)</f>
        <v>45251844.630000003</v>
      </c>
      <c r="F1048" s="94">
        <f t="shared" si="387"/>
        <v>0</v>
      </c>
      <c r="G1048" s="94">
        <f t="shared" si="387"/>
        <v>45251844.630000003</v>
      </c>
      <c r="H1048" s="96"/>
      <c r="I1048" s="60"/>
      <c r="J1048" s="60"/>
      <c r="K1048" s="60"/>
      <c r="L1048" s="60"/>
      <c r="M1048" s="60"/>
      <c r="N1048" s="60"/>
      <c r="O1048" s="60"/>
      <c r="P1048" s="60"/>
      <c r="Q1048" s="60"/>
      <c r="R1048" s="60"/>
      <c r="S1048" s="60"/>
      <c r="T1048" s="60"/>
      <c r="U1048" s="60"/>
      <c r="V1048" s="60"/>
      <c r="W1048" s="60"/>
      <c r="X1048" s="60"/>
      <c r="Y1048" s="60"/>
      <c r="Z1048" s="60"/>
    </row>
    <row r="1049" spans="1:26" ht="30" hidden="1" customHeight="1">
      <c r="A1049" s="95" t="s">
        <v>2293</v>
      </c>
      <c r="B1049" s="51" t="s">
        <v>1127</v>
      </c>
      <c r="C1049" s="96"/>
      <c r="D1049" s="96"/>
      <c r="E1049" s="53">
        <v>489510</v>
      </c>
      <c r="F1049" s="53"/>
      <c r="G1049" s="96">
        <f t="shared" ref="G1049:G1052" si="388">ROUND(E1049-F1049,2)</f>
        <v>489510</v>
      </c>
      <c r="H1049" s="96"/>
      <c r="I1049" s="60"/>
      <c r="J1049" s="60"/>
      <c r="K1049" s="60"/>
      <c r="L1049" s="60"/>
      <c r="M1049" s="60"/>
      <c r="N1049" s="60"/>
      <c r="O1049" s="60"/>
      <c r="P1049" s="60"/>
      <c r="Q1049" s="60"/>
      <c r="R1049" s="60"/>
      <c r="S1049" s="60"/>
      <c r="T1049" s="60"/>
      <c r="U1049" s="60"/>
      <c r="V1049" s="60"/>
      <c r="W1049" s="60"/>
      <c r="X1049" s="60"/>
      <c r="Y1049" s="60"/>
      <c r="Z1049" s="60"/>
    </row>
    <row r="1050" spans="1:26" ht="30" hidden="1" customHeight="1">
      <c r="A1050" s="95" t="s">
        <v>2294</v>
      </c>
      <c r="B1050" s="51" t="s">
        <v>1809</v>
      </c>
      <c r="C1050" s="96"/>
      <c r="D1050" s="96"/>
      <c r="E1050" s="53">
        <v>44759100</v>
      </c>
      <c r="F1050" s="53"/>
      <c r="G1050" s="96">
        <f t="shared" si="388"/>
        <v>44759100</v>
      </c>
      <c r="H1050" s="96"/>
      <c r="I1050" s="60"/>
      <c r="J1050" s="60"/>
      <c r="K1050" s="60"/>
      <c r="L1050" s="60"/>
      <c r="M1050" s="60"/>
      <c r="N1050" s="60"/>
      <c r="O1050" s="60"/>
      <c r="P1050" s="60"/>
      <c r="Q1050" s="60"/>
      <c r="R1050" s="60"/>
      <c r="S1050" s="60"/>
      <c r="T1050" s="60"/>
      <c r="U1050" s="60"/>
      <c r="V1050" s="60"/>
      <c r="W1050" s="60"/>
      <c r="X1050" s="60"/>
      <c r="Y1050" s="60"/>
      <c r="Z1050" s="60"/>
    </row>
    <row r="1051" spans="1:26" ht="30" hidden="1" customHeight="1">
      <c r="A1051" s="95" t="s">
        <v>2295</v>
      </c>
      <c r="B1051" s="51" t="s">
        <v>1804</v>
      </c>
      <c r="C1051" s="96"/>
      <c r="D1051" s="96"/>
      <c r="E1051" s="53"/>
      <c r="F1051" s="53"/>
      <c r="G1051" s="96">
        <f t="shared" si="388"/>
        <v>0</v>
      </c>
      <c r="H1051" s="96"/>
      <c r="I1051" s="60"/>
      <c r="J1051" s="60"/>
      <c r="K1051" s="60"/>
      <c r="L1051" s="60"/>
      <c r="M1051" s="60"/>
      <c r="N1051" s="60"/>
      <c r="O1051" s="60"/>
      <c r="P1051" s="60"/>
      <c r="Q1051" s="60"/>
      <c r="R1051" s="60"/>
      <c r="S1051" s="60"/>
      <c r="T1051" s="60"/>
      <c r="U1051" s="60"/>
      <c r="V1051" s="60"/>
      <c r="W1051" s="60"/>
      <c r="X1051" s="60"/>
      <c r="Y1051" s="60"/>
      <c r="Z1051" s="60"/>
    </row>
    <row r="1052" spans="1:26" ht="30" hidden="1" customHeight="1">
      <c r="A1052" s="95" t="s">
        <v>2296</v>
      </c>
      <c r="B1052" s="51" t="s">
        <v>2086</v>
      </c>
      <c r="C1052" s="96"/>
      <c r="D1052" s="96"/>
      <c r="E1052" s="53">
        <v>3234.63</v>
      </c>
      <c r="F1052" s="53"/>
      <c r="G1052" s="96">
        <f t="shared" si="388"/>
        <v>3234.63</v>
      </c>
      <c r="H1052" s="96"/>
      <c r="I1052" s="60"/>
      <c r="J1052" s="60"/>
      <c r="K1052" s="60"/>
      <c r="L1052" s="60"/>
      <c r="M1052" s="60"/>
      <c r="N1052" s="60"/>
      <c r="O1052" s="60"/>
      <c r="P1052" s="60"/>
      <c r="Q1052" s="60"/>
      <c r="R1052" s="60"/>
      <c r="S1052" s="60"/>
      <c r="T1052" s="60"/>
      <c r="U1052" s="60"/>
      <c r="V1052" s="60"/>
      <c r="W1052" s="60"/>
      <c r="X1052" s="60"/>
      <c r="Y1052" s="60"/>
      <c r="Z1052" s="60"/>
    </row>
    <row r="1053" spans="1:26" ht="30" hidden="1" customHeight="1">
      <c r="A1053" s="95" t="s">
        <v>2297</v>
      </c>
      <c r="B1053" s="51" t="s">
        <v>1139</v>
      </c>
      <c r="C1053" s="96"/>
      <c r="D1053" s="96"/>
      <c r="E1053" s="94">
        <f t="shared" ref="E1053:G1053" si="389">SUM(E1054:E1058)</f>
        <v>0</v>
      </c>
      <c r="F1053" s="94">
        <f t="shared" si="389"/>
        <v>0</v>
      </c>
      <c r="G1053" s="94">
        <f t="shared" si="389"/>
        <v>0</v>
      </c>
      <c r="H1053" s="96"/>
      <c r="I1053" s="60"/>
      <c r="J1053" s="60"/>
      <c r="K1053" s="60"/>
      <c r="L1053" s="60"/>
      <c r="M1053" s="60"/>
      <c r="N1053" s="60"/>
      <c r="O1053" s="60"/>
      <c r="P1053" s="60"/>
      <c r="Q1053" s="60"/>
      <c r="R1053" s="60"/>
      <c r="S1053" s="60"/>
      <c r="T1053" s="60"/>
      <c r="U1053" s="60"/>
      <c r="V1053" s="60"/>
      <c r="W1053" s="60"/>
      <c r="X1053" s="60"/>
      <c r="Y1053" s="60"/>
      <c r="Z1053" s="60"/>
    </row>
    <row r="1054" spans="1:26" ht="30" hidden="1" customHeight="1">
      <c r="A1054" s="95" t="s">
        <v>2298</v>
      </c>
      <c r="B1054" s="51" t="s">
        <v>1141</v>
      </c>
      <c r="C1054" s="96"/>
      <c r="D1054" s="96"/>
      <c r="E1054" s="53"/>
      <c r="F1054" s="53"/>
      <c r="G1054" s="96">
        <f t="shared" ref="G1054:G1058" si="390">ROUND(E1054-F1054,2)</f>
        <v>0</v>
      </c>
      <c r="H1054" s="96"/>
      <c r="I1054" s="60"/>
      <c r="J1054" s="60"/>
      <c r="K1054" s="60"/>
      <c r="L1054" s="60"/>
      <c r="M1054" s="60"/>
      <c r="N1054" s="60"/>
      <c r="O1054" s="60"/>
      <c r="P1054" s="60"/>
      <c r="Q1054" s="60"/>
      <c r="R1054" s="60"/>
      <c r="S1054" s="60"/>
      <c r="T1054" s="60"/>
      <c r="U1054" s="60"/>
      <c r="V1054" s="60"/>
      <c r="W1054" s="60"/>
      <c r="X1054" s="60"/>
      <c r="Y1054" s="60"/>
      <c r="Z1054" s="60"/>
    </row>
    <row r="1055" spans="1:26" ht="30" hidden="1" customHeight="1">
      <c r="A1055" s="95" t="s">
        <v>2299</v>
      </c>
      <c r="B1055" s="51" t="s">
        <v>1143</v>
      </c>
      <c r="C1055" s="96"/>
      <c r="D1055" s="96"/>
      <c r="E1055" s="53"/>
      <c r="F1055" s="53"/>
      <c r="G1055" s="96">
        <f t="shared" si="390"/>
        <v>0</v>
      </c>
      <c r="H1055" s="96"/>
      <c r="I1055" s="60"/>
      <c r="J1055" s="60"/>
      <c r="K1055" s="60"/>
      <c r="L1055" s="60"/>
      <c r="M1055" s="60"/>
      <c r="N1055" s="60"/>
      <c r="O1055" s="60"/>
      <c r="P1055" s="60"/>
      <c r="Q1055" s="60"/>
      <c r="R1055" s="60"/>
      <c r="S1055" s="60"/>
      <c r="T1055" s="60"/>
      <c r="U1055" s="60"/>
      <c r="V1055" s="60"/>
      <c r="W1055" s="60"/>
      <c r="X1055" s="60"/>
      <c r="Y1055" s="60"/>
      <c r="Z1055" s="60"/>
    </row>
    <row r="1056" spans="1:26" ht="30" hidden="1" customHeight="1">
      <c r="A1056" s="95" t="s">
        <v>2300</v>
      </c>
      <c r="B1056" s="51" t="s">
        <v>1145</v>
      </c>
      <c r="C1056" s="96"/>
      <c r="D1056" s="96"/>
      <c r="E1056" s="53"/>
      <c r="F1056" s="53"/>
      <c r="G1056" s="96">
        <f t="shared" si="390"/>
        <v>0</v>
      </c>
      <c r="H1056" s="96"/>
      <c r="I1056" s="60"/>
      <c r="J1056" s="60"/>
      <c r="K1056" s="60"/>
      <c r="L1056" s="60"/>
      <c r="M1056" s="60"/>
      <c r="N1056" s="60"/>
      <c r="O1056" s="60"/>
      <c r="P1056" s="60"/>
      <c r="Q1056" s="60"/>
      <c r="R1056" s="60"/>
      <c r="S1056" s="60"/>
      <c r="T1056" s="60"/>
      <c r="U1056" s="60"/>
      <c r="V1056" s="60"/>
      <c r="W1056" s="60"/>
      <c r="X1056" s="60"/>
      <c r="Y1056" s="60"/>
      <c r="Z1056" s="60"/>
    </row>
    <row r="1057" spans="1:26" ht="30" hidden="1" customHeight="1">
      <c r="A1057" s="95" t="s">
        <v>2301</v>
      </c>
      <c r="B1057" s="51" t="s">
        <v>1147</v>
      </c>
      <c r="C1057" s="96"/>
      <c r="D1057" s="96"/>
      <c r="E1057" s="53"/>
      <c r="F1057" s="53"/>
      <c r="G1057" s="96">
        <f t="shared" si="390"/>
        <v>0</v>
      </c>
      <c r="H1057" s="96"/>
      <c r="I1057" s="60"/>
      <c r="J1057" s="60"/>
      <c r="K1057" s="60"/>
      <c r="L1057" s="60"/>
      <c r="M1057" s="60"/>
      <c r="N1057" s="60"/>
      <c r="O1057" s="60"/>
      <c r="P1057" s="60"/>
      <c r="Q1057" s="60"/>
      <c r="R1057" s="60"/>
      <c r="S1057" s="60"/>
      <c r="T1057" s="60"/>
      <c r="U1057" s="60"/>
      <c r="V1057" s="60"/>
      <c r="W1057" s="60"/>
      <c r="X1057" s="60"/>
      <c r="Y1057" s="60"/>
      <c r="Z1057" s="60"/>
    </row>
    <row r="1058" spans="1:26" ht="30" hidden="1" customHeight="1">
      <c r="A1058" s="95" t="s">
        <v>2302</v>
      </c>
      <c r="B1058" s="51" t="s">
        <v>1149</v>
      </c>
      <c r="C1058" s="96"/>
      <c r="D1058" s="96"/>
      <c r="E1058" s="53"/>
      <c r="F1058" s="53"/>
      <c r="G1058" s="96">
        <f t="shared" si="390"/>
        <v>0</v>
      </c>
      <c r="H1058" s="96"/>
      <c r="I1058" s="60"/>
      <c r="J1058" s="60"/>
      <c r="K1058" s="60"/>
      <c r="L1058" s="60"/>
      <c r="M1058" s="60"/>
      <c r="N1058" s="60"/>
      <c r="O1058" s="60"/>
      <c r="P1058" s="60"/>
      <c r="Q1058" s="60"/>
      <c r="R1058" s="60"/>
      <c r="S1058" s="60"/>
      <c r="T1058" s="60"/>
      <c r="U1058" s="60"/>
      <c r="V1058" s="60"/>
      <c r="W1058" s="60"/>
      <c r="X1058" s="60"/>
      <c r="Y1058" s="60"/>
      <c r="Z1058" s="60"/>
    </row>
    <row r="1059" spans="1:26" ht="30" hidden="1" customHeight="1">
      <c r="A1059" s="95" t="s">
        <v>2303</v>
      </c>
      <c r="B1059" s="51" t="s">
        <v>1151</v>
      </c>
      <c r="C1059" s="96"/>
      <c r="D1059" s="96"/>
      <c r="E1059" s="94">
        <f t="shared" ref="E1059:G1059" si="391">SUM(E1060:E1061)</f>
        <v>0</v>
      </c>
      <c r="F1059" s="94">
        <f t="shared" si="391"/>
        <v>0</v>
      </c>
      <c r="G1059" s="94">
        <f t="shared" si="391"/>
        <v>0</v>
      </c>
      <c r="H1059" s="96"/>
      <c r="I1059" s="60"/>
      <c r="J1059" s="60"/>
      <c r="K1059" s="60"/>
      <c r="L1059" s="60"/>
      <c r="M1059" s="60"/>
      <c r="N1059" s="60"/>
      <c r="O1059" s="60"/>
      <c r="P1059" s="60"/>
      <c r="Q1059" s="60"/>
      <c r="R1059" s="60"/>
      <c r="S1059" s="60"/>
      <c r="T1059" s="60"/>
      <c r="U1059" s="60"/>
      <c r="V1059" s="60"/>
      <c r="W1059" s="60"/>
      <c r="X1059" s="60"/>
      <c r="Y1059" s="60"/>
      <c r="Z1059" s="60"/>
    </row>
    <row r="1060" spans="1:26" ht="30" hidden="1" customHeight="1">
      <c r="A1060" s="95" t="s">
        <v>2304</v>
      </c>
      <c r="B1060" s="51" t="s">
        <v>1153</v>
      </c>
      <c r="C1060" s="96"/>
      <c r="D1060" s="96"/>
      <c r="E1060" s="53"/>
      <c r="F1060" s="53"/>
      <c r="G1060" s="96">
        <f t="shared" ref="G1060:G1061" si="392">ROUND(E1060-F1060,2)</f>
        <v>0</v>
      </c>
      <c r="H1060" s="96"/>
      <c r="I1060" s="60"/>
      <c r="J1060" s="60"/>
      <c r="K1060" s="60"/>
      <c r="L1060" s="60"/>
      <c r="M1060" s="60"/>
      <c r="N1060" s="60"/>
      <c r="O1060" s="60"/>
      <c r="P1060" s="60"/>
      <c r="Q1060" s="60"/>
      <c r="R1060" s="60"/>
      <c r="S1060" s="60"/>
      <c r="T1060" s="60"/>
      <c r="U1060" s="60"/>
      <c r="V1060" s="60"/>
      <c r="W1060" s="60"/>
      <c r="X1060" s="60"/>
      <c r="Y1060" s="60"/>
      <c r="Z1060" s="60"/>
    </row>
    <row r="1061" spans="1:26" ht="30" hidden="1" customHeight="1">
      <c r="A1061" s="95" t="s">
        <v>2305</v>
      </c>
      <c r="B1061" s="51" t="s">
        <v>1155</v>
      </c>
      <c r="C1061" s="96"/>
      <c r="D1061" s="96"/>
      <c r="E1061" s="53"/>
      <c r="F1061" s="53"/>
      <c r="G1061" s="96">
        <f t="shared" si="392"/>
        <v>0</v>
      </c>
      <c r="H1061" s="96"/>
      <c r="I1061" s="60"/>
      <c r="J1061" s="60"/>
      <c r="K1061" s="60"/>
      <c r="L1061" s="60"/>
      <c r="M1061" s="60"/>
      <c r="N1061" s="60"/>
      <c r="O1061" s="60"/>
      <c r="P1061" s="60"/>
      <c r="Q1061" s="60"/>
      <c r="R1061" s="60"/>
      <c r="S1061" s="60"/>
      <c r="T1061" s="60"/>
      <c r="U1061" s="60"/>
      <c r="V1061" s="60"/>
      <c r="W1061" s="60"/>
      <c r="X1061" s="60"/>
      <c r="Y1061" s="60"/>
      <c r="Z1061" s="60"/>
    </row>
    <row r="1062" spans="1:26" ht="30" hidden="1" customHeight="1">
      <c r="A1062" s="92" t="s">
        <v>2306</v>
      </c>
      <c r="B1062" s="93" t="s">
        <v>2097</v>
      </c>
      <c r="C1062" s="94"/>
      <c r="D1062" s="94"/>
      <c r="E1062" s="94">
        <f t="shared" ref="E1062:G1062" si="393">SUM(E1063:E1071)</f>
        <v>0</v>
      </c>
      <c r="F1062" s="94">
        <f t="shared" si="393"/>
        <v>0</v>
      </c>
      <c r="G1062" s="94">
        <f t="shared" si="393"/>
        <v>0</v>
      </c>
      <c r="H1062" s="94"/>
      <c r="I1062" s="60"/>
      <c r="J1062" s="60"/>
      <c r="K1062" s="60"/>
      <c r="L1062" s="60"/>
      <c r="M1062" s="60"/>
      <c r="N1062" s="60"/>
      <c r="O1062" s="60"/>
      <c r="P1062" s="60"/>
      <c r="Q1062" s="60"/>
      <c r="R1062" s="60"/>
      <c r="S1062" s="60"/>
      <c r="T1062" s="60"/>
      <c r="U1062" s="60"/>
      <c r="V1062" s="60"/>
      <c r="W1062" s="60"/>
      <c r="X1062" s="60"/>
      <c r="Y1062" s="60"/>
      <c r="Z1062" s="60"/>
    </row>
    <row r="1063" spans="1:26" ht="30" hidden="1" customHeight="1">
      <c r="A1063" s="95" t="s">
        <v>2307</v>
      </c>
      <c r="B1063" s="51" t="s">
        <v>2308</v>
      </c>
      <c r="C1063" s="96"/>
      <c r="D1063" s="96"/>
      <c r="E1063" s="53"/>
      <c r="F1063" s="53"/>
      <c r="G1063" s="96">
        <f t="shared" ref="G1063:G1064" si="394">ROUND(E1063-F1063,2)</f>
        <v>0</v>
      </c>
      <c r="H1063" s="96"/>
      <c r="I1063" s="60"/>
      <c r="J1063" s="60"/>
      <c r="K1063" s="60"/>
      <c r="L1063" s="60"/>
      <c r="M1063" s="60"/>
      <c r="N1063" s="60"/>
      <c r="O1063" s="60"/>
      <c r="P1063" s="60"/>
      <c r="Q1063" s="60"/>
      <c r="R1063" s="60"/>
      <c r="S1063" s="60"/>
      <c r="T1063" s="60"/>
      <c r="U1063" s="60"/>
      <c r="V1063" s="60"/>
      <c r="W1063" s="60"/>
      <c r="X1063" s="60"/>
      <c r="Y1063" s="60"/>
      <c r="Z1063" s="60"/>
    </row>
    <row r="1064" spans="1:26" ht="30" hidden="1" customHeight="1">
      <c r="A1064" s="95" t="s">
        <v>2309</v>
      </c>
      <c r="B1064" s="51" t="s">
        <v>2310</v>
      </c>
      <c r="C1064" s="96"/>
      <c r="D1064" s="96"/>
      <c r="E1064" s="53"/>
      <c r="F1064" s="53"/>
      <c r="G1064" s="96">
        <f t="shared" si="394"/>
        <v>0</v>
      </c>
      <c r="H1064" s="96"/>
      <c r="I1064" s="60"/>
      <c r="J1064" s="60"/>
      <c r="K1064" s="60"/>
      <c r="L1064" s="60"/>
      <c r="M1064" s="60"/>
      <c r="N1064" s="60"/>
      <c r="O1064" s="60"/>
      <c r="P1064" s="60"/>
      <c r="Q1064" s="60"/>
      <c r="R1064" s="60"/>
      <c r="S1064" s="60"/>
      <c r="T1064" s="60"/>
      <c r="U1064" s="60"/>
      <c r="V1064" s="60"/>
      <c r="W1064" s="60"/>
      <c r="X1064" s="60"/>
      <c r="Y1064" s="60"/>
      <c r="Z1064" s="60"/>
    </row>
    <row r="1065" spans="1:26" ht="30" hidden="1" customHeight="1">
      <c r="A1065" s="95" t="s">
        <v>2311</v>
      </c>
      <c r="B1065" s="51" t="s">
        <v>2103</v>
      </c>
      <c r="C1065" s="96"/>
      <c r="D1065" s="96"/>
      <c r="E1065" s="96"/>
      <c r="F1065" s="96"/>
      <c r="G1065" s="96">
        <f>E1065-F1065</f>
        <v>0</v>
      </c>
      <c r="H1065" s="96"/>
      <c r="I1065" s="60"/>
      <c r="J1065" s="60"/>
      <c r="K1065" s="60"/>
      <c r="L1065" s="60"/>
      <c r="M1065" s="60"/>
      <c r="N1065" s="60"/>
      <c r="O1065" s="60"/>
      <c r="P1065" s="60"/>
      <c r="Q1065" s="60"/>
      <c r="R1065" s="60"/>
      <c r="S1065" s="60"/>
      <c r="T1065" s="60"/>
      <c r="U1065" s="60"/>
      <c r="V1065" s="60"/>
      <c r="W1065" s="60"/>
      <c r="X1065" s="60"/>
      <c r="Y1065" s="60"/>
      <c r="Z1065" s="60"/>
    </row>
    <row r="1066" spans="1:26" ht="30" hidden="1" customHeight="1">
      <c r="A1066" s="95" t="s">
        <v>2312</v>
      </c>
      <c r="B1066" s="51" t="s">
        <v>2313</v>
      </c>
      <c r="C1066" s="96"/>
      <c r="D1066" s="96"/>
      <c r="E1066" s="53"/>
      <c r="F1066" s="53"/>
      <c r="G1066" s="96">
        <f t="shared" ref="G1066:G1067" si="395">ROUND(E1066-F1066,2)</f>
        <v>0</v>
      </c>
      <c r="H1066" s="96"/>
      <c r="I1066" s="60"/>
      <c r="J1066" s="60"/>
      <c r="K1066" s="60"/>
      <c r="L1066" s="60"/>
      <c r="M1066" s="60"/>
      <c r="N1066" s="60"/>
      <c r="O1066" s="60"/>
      <c r="P1066" s="60"/>
      <c r="Q1066" s="60"/>
      <c r="R1066" s="60"/>
      <c r="S1066" s="60"/>
      <c r="T1066" s="60"/>
      <c r="U1066" s="60"/>
      <c r="V1066" s="60"/>
      <c r="W1066" s="60"/>
      <c r="X1066" s="60"/>
      <c r="Y1066" s="60"/>
      <c r="Z1066" s="60"/>
    </row>
    <row r="1067" spans="1:26" ht="30" hidden="1" customHeight="1">
      <c r="A1067" s="95" t="s">
        <v>2314</v>
      </c>
      <c r="B1067" s="51" t="s">
        <v>2315</v>
      </c>
      <c r="C1067" s="96"/>
      <c r="D1067" s="96"/>
      <c r="E1067" s="53"/>
      <c r="F1067" s="53"/>
      <c r="G1067" s="96">
        <f t="shared" si="395"/>
        <v>0</v>
      </c>
      <c r="H1067" s="96"/>
      <c r="I1067" s="60"/>
      <c r="J1067" s="60"/>
      <c r="K1067" s="60"/>
      <c r="L1067" s="60"/>
      <c r="M1067" s="60"/>
      <c r="N1067" s="60"/>
      <c r="O1067" s="60"/>
      <c r="P1067" s="60"/>
      <c r="Q1067" s="60"/>
      <c r="R1067" s="60"/>
      <c r="S1067" s="60"/>
      <c r="T1067" s="60"/>
      <c r="U1067" s="60"/>
      <c r="V1067" s="60"/>
      <c r="W1067" s="60"/>
      <c r="X1067" s="60"/>
      <c r="Y1067" s="60"/>
      <c r="Z1067" s="60"/>
    </row>
    <row r="1068" spans="1:26" ht="30" hidden="1" customHeight="1">
      <c r="A1068" s="95" t="s">
        <v>2316</v>
      </c>
      <c r="B1068" s="51" t="s">
        <v>2109</v>
      </c>
      <c r="C1068" s="96"/>
      <c r="D1068" s="96"/>
      <c r="E1068" s="96"/>
      <c r="F1068" s="96"/>
      <c r="G1068" s="96">
        <f>E1068-F1068</f>
        <v>0</v>
      </c>
      <c r="H1068" s="96"/>
      <c r="I1068" s="60"/>
      <c r="J1068" s="60"/>
      <c r="K1068" s="60"/>
      <c r="L1068" s="60"/>
      <c r="M1068" s="60"/>
      <c r="N1068" s="60"/>
      <c r="O1068" s="60"/>
      <c r="P1068" s="60"/>
      <c r="Q1068" s="60"/>
      <c r="R1068" s="60"/>
      <c r="S1068" s="60"/>
      <c r="T1068" s="60"/>
      <c r="U1068" s="60"/>
      <c r="V1068" s="60"/>
      <c r="W1068" s="60"/>
      <c r="X1068" s="60"/>
      <c r="Y1068" s="60"/>
      <c r="Z1068" s="60"/>
    </row>
    <row r="1069" spans="1:26" ht="30" hidden="1" customHeight="1">
      <c r="A1069" s="95" t="s">
        <v>2317</v>
      </c>
      <c r="B1069" s="51" t="s">
        <v>1175</v>
      </c>
      <c r="C1069" s="96"/>
      <c r="D1069" s="96"/>
      <c r="E1069" s="53"/>
      <c r="F1069" s="53"/>
      <c r="G1069" s="96">
        <f>ROUND(E1069-F1069,2)</f>
        <v>0</v>
      </c>
      <c r="H1069" s="96"/>
      <c r="I1069" s="60"/>
      <c r="J1069" s="60"/>
      <c r="K1069" s="60"/>
      <c r="L1069" s="60"/>
      <c r="M1069" s="60"/>
      <c r="N1069" s="60"/>
      <c r="O1069" s="60"/>
      <c r="P1069" s="60"/>
      <c r="Q1069" s="60"/>
      <c r="R1069" s="60"/>
      <c r="S1069" s="60"/>
      <c r="T1069" s="60"/>
      <c r="U1069" s="60"/>
      <c r="V1069" s="60"/>
      <c r="W1069" s="60"/>
      <c r="X1069" s="60"/>
      <c r="Y1069" s="60"/>
      <c r="Z1069" s="60"/>
    </row>
    <row r="1070" spans="1:26" ht="30" hidden="1" customHeight="1">
      <c r="A1070" s="95" t="s">
        <v>2318</v>
      </c>
      <c r="B1070" s="51" t="s">
        <v>2112</v>
      </c>
      <c r="C1070" s="96"/>
      <c r="D1070" s="96"/>
      <c r="E1070" s="96"/>
      <c r="F1070" s="96"/>
      <c r="G1070" s="96">
        <f>E1070-F1070</f>
        <v>0</v>
      </c>
      <c r="H1070" s="96"/>
      <c r="I1070" s="60"/>
      <c r="J1070" s="60"/>
      <c r="K1070" s="60"/>
      <c r="L1070" s="60"/>
      <c r="M1070" s="60"/>
      <c r="N1070" s="60"/>
      <c r="O1070" s="60"/>
      <c r="P1070" s="60"/>
      <c r="Q1070" s="60"/>
      <c r="R1070" s="60"/>
      <c r="S1070" s="60"/>
      <c r="T1070" s="60"/>
      <c r="U1070" s="60"/>
      <c r="V1070" s="60"/>
      <c r="W1070" s="60"/>
      <c r="X1070" s="60"/>
      <c r="Y1070" s="60"/>
      <c r="Z1070" s="60"/>
    </row>
    <row r="1071" spans="1:26" ht="30" hidden="1" customHeight="1">
      <c r="A1071" s="95" t="s">
        <v>2319</v>
      </c>
      <c r="B1071" s="51" t="s">
        <v>1180</v>
      </c>
      <c r="C1071" s="96"/>
      <c r="D1071" s="96"/>
      <c r="E1071" s="53"/>
      <c r="F1071" s="53"/>
      <c r="G1071" s="96">
        <f>ROUND(E1071-F1071,2)</f>
        <v>0</v>
      </c>
      <c r="H1071" s="96"/>
      <c r="I1071" s="60"/>
      <c r="J1071" s="60"/>
      <c r="K1071" s="60"/>
      <c r="L1071" s="60"/>
      <c r="M1071" s="60"/>
      <c r="N1071" s="60"/>
      <c r="O1071" s="60"/>
      <c r="P1071" s="60"/>
      <c r="Q1071" s="60"/>
      <c r="R1071" s="60"/>
      <c r="S1071" s="60"/>
      <c r="T1071" s="60"/>
      <c r="U1071" s="60"/>
      <c r="V1071" s="60"/>
      <c r="W1071" s="60"/>
      <c r="X1071" s="60"/>
      <c r="Y1071" s="60"/>
      <c r="Z1071" s="60"/>
    </row>
    <row r="1072" spans="1:26" ht="30" hidden="1" customHeight="1">
      <c r="A1072" s="92" t="s">
        <v>2320</v>
      </c>
      <c r="B1072" s="93" t="s">
        <v>2115</v>
      </c>
      <c r="C1072" s="94"/>
      <c r="D1072" s="94"/>
      <c r="E1072" s="94">
        <f t="shared" ref="E1072:G1072" si="396">SUM(E1073:E1075)</f>
        <v>0</v>
      </c>
      <c r="F1072" s="94">
        <f t="shared" si="396"/>
        <v>0</v>
      </c>
      <c r="G1072" s="94">
        <f t="shared" si="396"/>
        <v>0</v>
      </c>
      <c r="H1072" s="94"/>
      <c r="I1072" s="60"/>
      <c r="J1072" s="60"/>
      <c r="K1072" s="60"/>
      <c r="L1072" s="60"/>
      <c r="M1072" s="60"/>
      <c r="N1072" s="60"/>
      <c r="O1072" s="60"/>
      <c r="P1072" s="60"/>
      <c r="Q1072" s="60"/>
      <c r="R1072" s="60"/>
      <c r="S1072" s="60"/>
      <c r="T1072" s="60"/>
      <c r="U1072" s="60"/>
      <c r="V1072" s="60"/>
      <c r="W1072" s="60"/>
      <c r="X1072" s="60"/>
      <c r="Y1072" s="60"/>
      <c r="Z1072" s="60"/>
    </row>
    <row r="1073" spans="1:26" ht="30" hidden="1" customHeight="1">
      <c r="A1073" s="95" t="s">
        <v>2321</v>
      </c>
      <c r="B1073" s="51" t="s">
        <v>2117</v>
      </c>
      <c r="C1073" s="96"/>
      <c r="D1073" s="96"/>
      <c r="E1073" s="96"/>
      <c r="F1073" s="96"/>
      <c r="G1073" s="96">
        <f t="shared" ref="G1073:G1074" si="397">E1073-F1073</f>
        <v>0</v>
      </c>
      <c r="H1073" s="96"/>
      <c r="I1073" s="60"/>
      <c r="J1073" s="60"/>
      <c r="K1073" s="60"/>
      <c r="L1073" s="60"/>
      <c r="M1073" s="60"/>
      <c r="N1073" s="60"/>
      <c r="O1073" s="60"/>
      <c r="P1073" s="60"/>
      <c r="Q1073" s="60"/>
      <c r="R1073" s="60"/>
      <c r="S1073" s="60"/>
      <c r="T1073" s="60"/>
      <c r="U1073" s="60"/>
      <c r="V1073" s="60"/>
      <c r="W1073" s="60"/>
      <c r="X1073" s="60"/>
      <c r="Y1073" s="60"/>
      <c r="Z1073" s="60"/>
    </row>
    <row r="1074" spans="1:26" ht="30" hidden="1" customHeight="1">
      <c r="A1074" s="95" t="s">
        <v>2322</v>
      </c>
      <c r="B1074" s="51" t="s">
        <v>2119</v>
      </c>
      <c r="C1074" s="96"/>
      <c r="D1074" s="96"/>
      <c r="E1074" s="96"/>
      <c r="F1074" s="96"/>
      <c r="G1074" s="96">
        <f t="shared" si="397"/>
        <v>0</v>
      </c>
      <c r="H1074" s="96"/>
      <c r="I1074" s="60"/>
      <c r="J1074" s="60"/>
      <c r="K1074" s="60"/>
      <c r="L1074" s="60"/>
      <c r="M1074" s="60"/>
      <c r="N1074" s="60"/>
      <c r="O1074" s="60"/>
      <c r="P1074" s="60"/>
      <c r="Q1074" s="60"/>
      <c r="R1074" s="60"/>
      <c r="S1074" s="60"/>
      <c r="T1074" s="60"/>
      <c r="U1074" s="60"/>
      <c r="V1074" s="60"/>
      <c r="W1074" s="60"/>
      <c r="X1074" s="60"/>
      <c r="Y1074" s="60"/>
      <c r="Z1074" s="60"/>
    </row>
    <row r="1075" spans="1:26" ht="30" hidden="1" customHeight="1">
      <c r="A1075" s="95" t="s">
        <v>2323</v>
      </c>
      <c r="B1075" s="55" t="s">
        <v>2121</v>
      </c>
      <c r="C1075" s="96"/>
      <c r="D1075" s="96"/>
      <c r="E1075" s="94">
        <f t="shared" ref="E1075:G1075" si="398">SUM(E1076:E1077)</f>
        <v>0</v>
      </c>
      <c r="F1075" s="94">
        <f t="shared" si="398"/>
        <v>0</v>
      </c>
      <c r="G1075" s="94">
        <f t="shared" si="398"/>
        <v>0</v>
      </c>
      <c r="H1075" s="96"/>
      <c r="I1075" s="60"/>
      <c r="J1075" s="60"/>
      <c r="K1075" s="60"/>
      <c r="L1075" s="60"/>
      <c r="M1075" s="60"/>
      <c r="N1075" s="60"/>
      <c r="O1075" s="60"/>
      <c r="P1075" s="60"/>
      <c r="Q1075" s="60"/>
      <c r="R1075" s="60"/>
      <c r="S1075" s="60"/>
      <c r="T1075" s="60"/>
      <c r="U1075" s="60"/>
      <c r="V1075" s="60"/>
      <c r="W1075" s="60"/>
      <c r="X1075" s="60"/>
      <c r="Y1075" s="60"/>
      <c r="Z1075" s="60"/>
    </row>
    <row r="1076" spans="1:26" ht="30" hidden="1" customHeight="1">
      <c r="A1076" s="98" t="s">
        <v>2324</v>
      </c>
      <c r="B1076" s="55" t="s">
        <v>2123</v>
      </c>
      <c r="C1076" s="99"/>
      <c r="D1076" s="96"/>
      <c r="E1076" s="53"/>
      <c r="F1076" s="53"/>
      <c r="G1076" s="96">
        <f t="shared" ref="G1076:G1077" si="399">ROUND(E1076-F1076,2)</f>
        <v>0</v>
      </c>
      <c r="H1076" s="96"/>
      <c r="I1076" s="60"/>
      <c r="J1076" s="60"/>
      <c r="K1076" s="60"/>
      <c r="L1076" s="60"/>
      <c r="M1076" s="60"/>
      <c r="N1076" s="60"/>
      <c r="O1076" s="60"/>
      <c r="P1076" s="60"/>
      <c r="Q1076" s="60"/>
      <c r="R1076" s="60"/>
      <c r="S1076" s="60"/>
      <c r="T1076" s="60"/>
      <c r="U1076" s="60"/>
      <c r="V1076" s="60"/>
      <c r="W1076" s="60"/>
      <c r="X1076" s="60"/>
      <c r="Y1076" s="60"/>
      <c r="Z1076" s="60"/>
    </row>
    <row r="1077" spans="1:26" ht="30" hidden="1" customHeight="1">
      <c r="A1077" s="98" t="s">
        <v>2325</v>
      </c>
      <c r="B1077" s="55" t="s">
        <v>2125</v>
      </c>
      <c r="C1077" s="99"/>
      <c r="D1077" s="96"/>
      <c r="E1077" s="53"/>
      <c r="F1077" s="53"/>
      <c r="G1077" s="96">
        <f t="shared" si="399"/>
        <v>0</v>
      </c>
      <c r="H1077" s="96"/>
      <c r="I1077" s="60"/>
      <c r="J1077" s="60"/>
      <c r="K1077" s="60"/>
      <c r="L1077" s="60"/>
      <c r="M1077" s="60"/>
      <c r="N1077" s="60"/>
      <c r="O1077" s="60"/>
      <c r="P1077" s="60"/>
      <c r="Q1077" s="60"/>
      <c r="R1077" s="60"/>
      <c r="S1077" s="60"/>
      <c r="T1077" s="60"/>
      <c r="U1077" s="60"/>
      <c r="V1077" s="60"/>
      <c r="W1077" s="60"/>
      <c r="X1077" s="60"/>
      <c r="Y1077" s="60"/>
      <c r="Z1077" s="60"/>
    </row>
    <row r="1078" spans="1:26" ht="30" hidden="1" customHeight="1">
      <c r="A1078" s="73">
        <v>81400</v>
      </c>
      <c r="B1078" s="91" t="s">
        <v>2326</v>
      </c>
      <c r="C1078" s="80"/>
      <c r="D1078" s="34"/>
      <c r="E1078" s="34">
        <f t="shared" ref="E1078:F1078" si="400">E1079+E1089+E1095+E1098+E1105+E1109+E1114+E1124+E1156+E1166</f>
        <v>7057759731.4099998</v>
      </c>
      <c r="F1078" s="34">
        <f t="shared" si="400"/>
        <v>7057759731.4099998</v>
      </c>
      <c r="G1078" s="35"/>
      <c r="H1078" s="35">
        <f>F1078-E1078</f>
        <v>0</v>
      </c>
      <c r="I1078" s="60"/>
      <c r="J1078" s="60"/>
      <c r="K1078" s="60"/>
      <c r="L1078" s="60"/>
      <c r="M1078" s="60"/>
      <c r="N1078" s="60"/>
      <c r="O1078" s="60"/>
      <c r="P1078" s="60"/>
      <c r="Q1078" s="60"/>
      <c r="R1078" s="60"/>
      <c r="S1078" s="60"/>
      <c r="T1078" s="60"/>
      <c r="U1078" s="60"/>
      <c r="V1078" s="60"/>
      <c r="W1078" s="60"/>
      <c r="X1078" s="60"/>
      <c r="Y1078" s="60"/>
      <c r="Z1078" s="60"/>
    </row>
    <row r="1079" spans="1:26" ht="30" hidden="1" customHeight="1">
      <c r="A1079" s="92" t="s">
        <v>2327</v>
      </c>
      <c r="B1079" s="93" t="s">
        <v>1992</v>
      </c>
      <c r="C1079" s="94"/>
      <c r="D1079" s="94"/>
      <c r="E1079" s="94">
        <f t="shared" ref="E1079:F1079" si="401">SUM(E1080:E1088)</f>
        <v>2369059661.6899996</v>
      </c>
      <c r="F1079" s="94">
        <f t="shared" si="401"/>
        <v>2369059661.6899996</v>
      </c>
      <c r="G1079" s="94"/>
      <c r="H1079" s="94">
        <f>SUM(H1080:H1088)</f>
        <v>0</v>
      </c>
      <c r="I1079" s="60"/>
      <c r="J1079" s="60"/>
      <c r="K1079" s="60"/>
      <c r="L1079" s="60"/>
      <c r="M1079" s="60"/>
      <c r="N1079" s="60"/>
      <c r="O1079" s="60"/>
      <c r="P1079" s="60"/>
      <c r="Q1079" s="60"/>
      <c r="R1079" s="60"/>
      <c r="S1079" s="60"/>
      <c r="T1079" s="60"/>
      <c r="U1079" s="60"/>
      <c r="V1079" s="60"/>
      <c r="W1079" s="60"/>
      <c r="X1079" s="60"/>
      <c r="Y1079" s="60"/>
      <c r="Z1079" s="60"/>
    </row>
    <row r="1080" spans="1:26" ht="30" hidden="1" customHeight="1">
      <c r="A1080" s="95" t="s">
        <v>2328</v>
      </c>
      <c r="B1080" s="51" t="s">
        <v>899</v>
      </c>
      <c r="C1080" s="96"/>
      <c r="D1080" s="96"/>
      <c r="E1080" s="53">
        <v>14877409.199999999</v>
      </c>
      <c r="F1080" s="53">
        <v>14877409.199999999</v>
      </c>
      <c r="G1080" s="96"/>
      <c r="H1080" s="96">
        <f t="shared" ref="H1080:H1088" si="402">ROUND(F1080-E1080,2)</f>
        <v>0</v>
      </c>
      <c r="I1080" s="60"/>
      <c r="J1080" s="60"/>
      <c r="K1080" s="60"/>
      <c r="L1080" s="60"/>
      <c r="M1080" s="60"/>
      <c r="N1080" s="60"/>
      <c r="O1080" s="60"/>
      <c r="P1080" s="60"/>
      <c r="Q1080" s="60"/>
      <c r="R1080" s="60"/>
      <c r="S1080" s="60"/>
      <c r="T1080" s="60"/>
      <c r="U1080" s="60"/>
      <c r="V1080" s="60"/>
      <c r="W1080" s="60"/>
      <c r="X1080" s="60"/>
      <c r="Y1080" s="60"/>
      <c r="Z1080" s="60"/>
    </row>
    <row r="1081" spans="1:26" ht="30" hidden="1" customHeight="1">
      <c r="A1081" s="95" t="s">
        <v>2329</v>
      </c>
      <c r="B1081" s="51" t="s">
        <v>1995</v>
      </c>
      <c r="C1081" s="96"/>
      <c r="D1081" s="96"/>
      <c r="E1081" s="53">
        <v>2250233189.5900002</v>
      </c>
      <c r="F1081" s="53">
        <v>2250233189.5900002</v>
      </c>
      <c r="G1081" s="96"/>
      <c r="H1081" s="96">
        <f t="shared" si="402"/>
        <v>0</v>
      </c>
      <c r="I1081" s="60"/>
      <c r="J1081" s="60"/>
      <c r="K1081" s="60"/>
      <c r="L1081" s="60"/>
      <c r="M1081" s="60"/>
      <c r="N1081" s="60"/>
      <c r="O1081" s="60"/>
      <c r="P1081" s="60"/>
      <c r="Q1081" s="60"/>
      <c r="R1081" s="60"/>
      <c r="S1081" s="60"/>
      <c r="T1081" s="60"/>
      <c r="U1081" s="60"/>
      <c r="V1081" s="60"/>
      <c r="W1081" s="60"/>
      <c r="X1081" s="60"/>
      <c r="Y1081" s="60"/>
      <c r="Z1081" s="60"/>
    </row>
    <row r="1082" spans="1:26" ht="30" hidden="1" customHeight="1">
      <c r="A1082" s="95" t="s">
        <v>2330</v>
      </c>
      <c r="B1082" s="51" t="s">
        <v>1997</v>
      </c>
      <c r="C1082" s="96"/>
      <c r="D1082" s="96"/>
      <c r="E1082" s="53"/>
      <c r="F1082" s="53"/>
      <c r="G1082" s="96"/>
      <c r="H1082" s="96">
        <f t="shared" si="402"/>
        <v>0</v>
      </c>
      <c r="I1082" s="60"/>
      <c r="J1082" s="60"/>
      <c r="K1082" s="60"/>
      <c r="L1082" s="60"/>
      <c r="M1082" s="60"/>
      <c r="N1082" s="60"/>
      <c r="O1082" s="60"/>
      <c r="P1082" s="60"/>
      <c r="Q1082" s="60"/>
      <c r="R1082" s="60"/>
      <c r="S1082" s="60"/>
      <c r="T1082" s="60"/>
      <c r="U1082" s="60"/>
      <c r="V1082" s="60"/>
      <c r="W1082" s="60"/>
      <c r="X1082" s="60"/>
      <c r="Y1082" s="60"/>
      <c r="Z1082" s="60"/>
    </row>
    <row r="1083" spans="1:26" ht="30" hidden="1" customHeight="1">
      <c r="A1083" s="95" t="s">
        <v>2331</v>
      </c>
      <c r="B1083" s="51" t="s">
        <v>912</v>
      </c>
      <c r="C1083" s="96"/>
      <c r="D1083" s="96"/>
      <c r="E1083" s="96"/>
      <c r="F1083" s="96"/>
      <c r="G1083" s="96"/>
      <c r="H1083" s="96">
        <f t="shared" si="402"/>
        <v>0</v>
      </c>
      <c r="I1083" s="60"/>
      <c r="J1083" s="60"/>
      <c r="K1083" s="60"/>
      <c r="L1083" s="60"/>
      <c r="M1083" s="60"/>
      <c r="N1083" s="60"/>
      <c r="O1083" s="60"/>
      <c r="P1083" s="60"/>
      <c r="Q1083" s="60"/>
      <c r="R1083" s="60"/>
      <c r="S1083" s="60"/>
      <c r="T1083" s="60"/>
      <c r="U1083" s="60"/>
      <c r="V1083" s="60"/>
      <c r="W1083" s="60"/>
      <c r="X1083" s="60"/>
      <c r="Y1083" s="60"/>
      <c r="Z1083" s="60"/>
    </row>
    <row r="1084" spans="1:26" ht="30" hidden="1" customHeight="1">
      <c r="A1084" s="95" t="s">
        <v>2332</v>
      </c>
      <c r="B1084" s="51" t="s">
        <v>914</v>
      </c>
      <c r="C1084" s="96"/>
      <c r="D1084" s="96"/>
      <c r="E1084" s="96"/>
      <c r="F1084" s="96"/>
      <c r="G1084" s="96"/>
      <c r="H1084" s="96">
        <f t="shared" si="402"/>
        <v>0</v>
      </c>
      <c r="I1084" s="60"/>
      <c r="J1084" s="60"/>
      <c r="K1084" s="60"/>
      <c r="L1084" s="60"/>
      <c r="M1084" s="60"/>
      <c r="N1084" s="60"/>
      <c r="O1084" s="60"/>
      <c r="P1084" s="60"/>
      <c r="Q1084" s="60"/>
      <c r="R1084" s="60"/>
      <c r="S1084" s="60"/>
      <c r="T1084" s="60"/>
      <c r="U1084" s="60"/>
      <c r="V1084" s="60"/>
      <c r="W1084" s="60"/>
      <c r="X1084" s="60"/>
      <c r="Y1084" s="60"/>
      <c r="Z1084" s="60"/>
    </row>
    <row r="1085" spans="1:26" ht="30" hidden="1" customHeight="1">
      <c r="A1085" s="95" t="s">
        <v>2333</v>
      </c>
      <c r="B1085" s="51" t="s">
        <v>916</v>
      </c>
      <c r="C1085" s="96"/>
      <c r="D1085" s="96"/>
      <c r="E1085" s="96"/>
      <c r="F1085" s="96"/>
      <c r="G1085" s="96"/>
      <c r="H1085" s="96">
        <f t="shared" si="402"/>
        <v>0</v>
      </c>
      <c r="I1085" s="60"/>
      <c r="J1085" s="60"/>
      <c r="K1085" s="60"/>
      <c r="L1085" s="60"/>
      <c r="M1085" s="60"/>
      <c r="N1085" s="60"/>
      <c r="O1085" s="60"/>
      <c r="P1085" s="60"/>
      <c r="Q1085" s="60"/>
      <c r="R1085" s="60"/>
      <c r="S1085" s="60"/>
      <c r="T1085" s="60"/>
      <c r="U1085" s="60"/>
      <c r="V1085" s="60"/>
      <c r="W1085" s="60"/>
      <c r="X1085" s="60"/>
      <c r="Y1085" s="60"/>
      <c r="Z1085" s="60"/>
    </row>
    <row r="1086" spans="1:26" ht="30" hidden="1" customHeight="1">
      <c r="A1086" s="95" t="s">
        <v>2334</v>
      </c>
      <c r="B1086" s="51" t="s">
        <v>2002</v>
      </c>
      <c r="C1086" s="96"/>
      <c r="D1086" s="96"/>
      <c r="E1086" s="53">
        <v>86830113.659999996</v>
      </c>
      <c r="F1086" s="53">
        <v>86830113.659999996</v>
      </c>
      <c r="G1086" s="96"/>
      <c r="H1086" s="96">
        <f t="shared" si="402"/>
        <v>0</v>
      </c>
      <c r="I1086" s="60"/>
      <c r="J1086" s="60"/>
      <c r="K1086" s="60"/>
      <c r="L1086" s="60"/>
      <c r="M1086" s="60"/>
      <c r="N1086" s="60"/>
      <c r="O1086" s="60"/>
      <c r="P1086" s="60"/>
      <c r="Q1086" s="60"/>
      <c r="R1086" s="60"/>
      <c r="S1086" s="60"/>
      <c r="T1086" s="60"/>
      <c r="U1086" s="60"/>
      <c r="V1086" s="60"/>
      <c r="W1086" s="60"/>
      <c r="X1086" s="60"/>
      <c r="Y1086" s="60"/>
      <c r="Z1086" s="60"/>
    </row>
    <row r="1087" spans="1:26" ht="30" hidden="1" customHeight="1">
      <c r="A1087" s="95" t="s">
        <v>2335</v>
      </c>
      <c r="B1087" s="51" t="s">
        <v>933</v>
      </c>
      <c r="C1087" s="96"/>
      <c r="D1087" s="96"/>
      <c r="E1087" s="53">
        <v>17118949.239999998</v>
      </c>
      <c r="F1087" s="53">
        <v>17118949.239999998</v>
      </c>
      <c r="G1087" s="96"/>
      <c r="H1087" s="96">
        <f t="shared" si="402"/>
        <v>0</v>
      </c>
      <c r="I1087" s="60"/>
      <c r="J1087" s="60"/>
      <c r="K1087" s="60"/>
      <c r="L1087" s="60"/>
      <c r="M1087" s="60"/>
      <c r="N1087" s="60"/>
      <c r="O1087" s="60"/>
      <c r="P1087" s="60"/>
      <c r="Q1087" s="60"/>
      <c r="R1087" s="60"/>
      <c r="S1087" s="60"/>
      <c r="T1087" s="60"/>
      <c r="U1087" s="60"/>
      <c r="V1087" s="60"/>
      <c r="W1087" s="60"/>
      <c r="X1087" s="60"/>
      <c r="Y1087" s="60"/>
      <c r="Z1087" s="60"/>
    </row>
    <row r="1088" spans="1:26" ht="30" hidden="1" customHeight="1">
      <c r="A1088" s="95" t="s">
        <v>2336</v>
      </c>
      <c r="B1088" s="51" t="s">
        <v>2005</v>
      </c>
      <c r="C1088" s="52"/>
      <c r="D1088" s="52"/>
      <c r="E1088" s="53"/>
      <c r="F1088" s="53"/>
      <c r="G1088" s="96"/>
      <c r="H1088" s="96">
        <f t="shared" si="402"/>
        <v>0</v>
      </c>
      <c r="I1088" s="72"/>
      <c r="J1088" s="72"/>
      <c r="K1088" s="72"/>
      <c r="L1088" s="72"/>
      <c r="M1088" s="72"/>
      <c r="N1088" s="72"/>
      <c r="O1088" s="72"/>
      <c r="P1088" s="72"/>
      <c r="Q1088" s="72"/>
      <c r="R1088" s="72"/>
      <c r="S1088" s="72"/>
      <c r="T1088" s="72"/>
      <c r="U1088" s="72"/>
      <c r="V1088" s="72"/>
      <c r="W1088" s="72"/>
      <c r="X1088" s="72"/>
      <c r="Y1088" s="72"/>
      <c r="Z1088" s="72"/>
    </row>
    <row r="1089" spans="1:26" ht="30" hidden="1" customHeight="1">
      <c r="A1089" s="92" t="s">
        <v>2337</v>
      </c>
      <c r="B1089" s="93" t="s">
        <v>2007</v>
      </c>
      <c r="C1089" s="94"/>
      <c r="D1089" s="94"/>
      <c r="E1089" s="94">
        <f t="shared" ref="E1089:F1089" si="403">SUM(E1090:E1094)</f>
        <v>0</v>
      </c>
      <c r="F1089" s="94">
        <f t="shared" si="403"/>
        <v>0</v>
      </c>
      <c r="G1089" s="94"/>
      <c r="H1089" s="94">
        <f>SUM(H1090:H1094)</f>
        <v>0</v>
      </c>
      <c r="I1089" s="60"/>
      <c r="J1089" s="60"/>
      <c r="K1089" s="60"/>
      <c r="L1089" s="60"/>
      <c r="M1089" s="60"/>
      <c r="N1089" s="60"/>
      <c r="O1089" s="60"/>
      <c r="P1089" s="60"/>
      <c r="Q1089" s="60"/>
      <c r="R1089" s="60"/>
      <c r="S1089" s="60"/>
      <c r="T1089" s="60"/>
      <c r="U1089" s="60"/>
      <c r="V1089" s="60"/>
      <c r="W1089" s="60"/>
      <c r="X1089" s="60"/>
      <c r="Y1089" s="60"/>
      <c r="Z1089" s="60"/>
    </row>
    <row r="1090" spans="1:26" ht="30" hidden="1" customHeight="1">
      <c r="A1090" s="95" t="s">
        <v>2338</v>
      </c>
      <c r="B1090" s="51" t="s">
        <v>938</v>
      </c>
      <c r="C1090" s="96"/>
      <c r="D1090" s="96"/>
      <c r="E1090" s="96"/>
      <c r="F1090" s="96"/>
      <c r="G1090" s="96"/>
      <c r="H1090" s="96">
        <f t="shared" ref="H1090:H1094" si="404">ROUND(F1090-E1090,2)</f>
        <v>0</v>
      </c>
      <c r="I1090" s="60"/>
      <c r="J1090" s="60"/>
      <c r="K1090" s="60"/>
      <c r="L1090" s="60"/>
      <c r="M1090" s="60"/>
      <c r="N1090" s="60"/>
      <c r="O1090" s="60"/>
      <c r="P1090" s="60"/>
      <c r="Q1090" s="60"/>
      <c r="R1090" s="60"/>
      <c r="S1090" s="60"/>
      <c r="T1090" s="60"/>
      <c r="U1090" s="60"/>
      <c r="V1090" s="60"/>
      <c r="W1090" s="60"/>
      <c r="X1090" s="60"/>
      <c r="Y1090" s="60"/>
      <c r="Z1090" s="60"/>
    </row>
    <row r="1091" spans="1:26" ht="30" hidden="1" customHeight="1">
      <c r="A1091" s="95" t="s">
        <v>2339</v>
      </c>
      <c r="B1091" s="51" t="s">
        <v>2010</v>
      </c>
      <c r="C1091" s="96"/>
      <c r="D1091" s="96"/>
      <c r="E1091" s="96"/>
      <c r="F1091" s="96"/>
      <c r="G1091" s="96"/>
      <c r="H1091" s="96">
        <f t="shared" si="404"/>
        <v>0</v>
      </c>
      <c r="I1091" s="60"/>
      <c r="J1091" s="60"/>
      <c r="K1091" s="60"/>
      <c r="L1091" s="60"/>
      <c r="M1091" s="60"/>
      <c r="N1091" s="60"/>
      <c r="O1091" s="60"/>
      <c r="P1091" s="60"/>
      <c r="Q1091" s="60"/>
      <c r="R1091" s="60"/>
      <c r="S1091" s="60"/>
      <c r="T1091" s="60"/>
      <c r="U1091" s="60"/>
      <c r="V1091" s="60"/>
      <c r="W1091" s="60"/>
      <c r="X1091" s="60"/>
      <c r="Y1091" s="60"/>
      <c r="Z1091" s="60"/>
    </row>
    <row r="1092" spans="1:26" ht="30" hidden="1" customHeight="1">
      <c r="A1092" s="95" t="s">
        <v>2340</v>
      </c>
      <c r="B1092" s="51" t="s">
        <v>942</v>
      </c>
      <c r="C1092" s="96"/>
      <c r="D1092" s="96"/>
      <c r="E1092" s="96"/>
      <c r="F1092" s="96"/>
      <c r="G1092" s="96"/>
      <c r="H1092" s="96">
        <f t="shared" si="404"/>
        <v>0</v>
      </c>
      <c r="I1092" s="60"/>
      <c r="J1092" s="60"/>
      <c r="K1092" s="60"/>
      <c r="L1092" s="60"/>
      <c r="M1092" s="60"/>
      <c r="N1092" s="60"/>
      <c r="O1092" s="60"/>
      <c r="P1092" s="60"/>
      <c r="Q1092" s="60"/>
      <c r="R1092" s="60"/>
      <c r="S1092" s="60"/>
      <c r="T1092" s="60"/>
      <c r="U1092" s="60"/>
      <c r="V1092" s="60"/>
      <c r="W1092" s="60"/>
      <c r="X1092" s="60"/>
      <c r="Y1092" s="60"/>
      <c r="Z1092" s="60"/>
    </row>
    <row r="1093" spans="1:26" ht="30" hidden="1" customHeight="1">
      <c r="A1093" s="95" t="s">
        <v>2341</v>
      </c>
      <c r="B1093" s="51" t="s">
        <v>946</v>
      </c>
      <c r="C1093" s="96"/>
      <c r="D1093" s="96"/>
      <c r="E1093" s="96"/>
      <c r="F1093" s="96"/>
      <c r="G1093" s="96"/>
      <c r="H1093" s="96">
        <f t="shared" si="404"/>
        <v>0</v>
      </c>
      <c r="I1093" s="60"/>
      <c r="J1093" s="60"/>
      <c r="K1093" s="60"/>
      <c r="L1093" s="60"/>
      <c r="M1093" s="60"/>
      <c r="N1093" s="60"/>
      <c r="O1093" s="60"/>
      <c r="P1093" s="60"/>
      <c r="Q1093" s="60"/>
      <c r="R1093" s="60"/>
      <c r="S1093" s="60"/>
      <c r="T1093" s="60"/>
      <c r="U1093" s="60"/>
      <c r="V1093" s="60"/>
      <c r="W1093" s="60"/>
      <c r="X1093" s="60"/>
      <c r="Y1093" s="60"/>
      <c r="Z1093" s="60"/>
    </row>
    <row r="1094" spans="1:26" ht="30" hidden="1" customHeight="1">
      <c r="A1094" s="95" t="s">
        <v>2342</v>
      </c>
      <c r="B1094" s="51" t="s">
        <v>944</v>
      </c>
      <c r="C1094" s="96"/>
      <c r="D1094" s="96"/>
      <c r="E1094" s="96"/>
      <c r="F1094" s="96"/>
      <c r="G1094" s="96"/>
      <c r="H1094" s="96">
        <f t="shared" si="404"/>
        <v>0</v>
      </c>
      <c r="I1094" s="60"/>
      <c r="J1094" s="60"/>
      <c r="K1094" s="60"/>
      <c r="L1094" s="60"/>
      <c r="M1094" s="60"/>
      <c r="N1094" s="60"/>
      <c r="O1094" s="60"/>
      <c r="P1094" s="60"/>
      <c r="Q1094" s="60"/>
      <c r="R1094" s="60"/>
      <c r="S1094" s="60"/>
      <c r="T1094" s="60"/>
      <c r="U1094" s="60"/>
      <c r="V1094" s="60"/>
      <c r="W1094" s="60"/>
      <c r="X1094" s="60"/>
      <c r="Y1094" s="60"/>
      <c r="Z1094" s="60"/>
    </row>
    <row r="1095" spans="1:26" ht="30" hidden="1" customHeight="1">
      <c r="A1095" s="92" t="s">
        <v>2343</v>
      </c>
      <c r="B1095" s="93" t="s">
        <v>2015</v>
      </c>
      <c r="C1095" s="94"/>
      <c r="D1095" s="94"/>
      <c r="E1095" s="94">
        <f t="shared" ref="E1095:F1095" si="405">SUM(E1096:E1097)</f>
        <v>0</v>
      </c>
      <c r="F1095" s="94">
        <f t="shared" si="405"/>
        <v>0</v>
      </c>
      <c r="G1095" s="94"/>
      <c r="H1095" s="94">
        <f>SUM(H1096:H1097)</f>
        <v>0</v>
      </c>
      <c r="I1095" s="60"/>
      <c r="J1095" s="60"/>
      <c r="K1095" s="60"/>
      <c r="L1095" s="60"/>
      <c r="M1095" s="60"/>
      <c r="N1095" s="60"/>
      <c r="O1095" s="60"/>
      <c r="P1095" s="60"/>
      <c r="Q1095" s="60"/>
      <c r="R1095" s="60"/>
      <c r="S1095" s="60"/>
      <c r="T1095" s="60"/>
      <c r="U1095" s="60"/>
      <c r="V1095" s="60"/>
      <c r="W1095" s="60"/>
      <c r="X1095" s="60"/>
      <c r="Y1095" s="60"/>
      <c r="Z1095" s="60"/>
    </row>
    <row r="1096" spans="1:26" ht="30" hidden="1" customHeight="1">
      <c r="A1096" s="95" t="s">
        <v>2344</v>
      </c>
      <c r="B1096" s="51" t="s">
        <v>952</v>
      </c>
      <c r="C1096" s="96"/>
      <c r="D1096" s="96"/>
      <c r="E1096" s="53"/>
      <c r="F1096" s="53"/>
      <c r="G1096" s="96"/>
      <c r="H1096" s="96">
        <f t="shared" ref="H1096:H1097" si="406">ROUND(F1096-E1096,2)</f>
        <v>0</v>
      </c>
      <c r="I1096" s="60"/>
      <c r="J1096" s="60"/>
      <c r="K1096" s="60"/>
      <c r="L1096" s="60"/>
      <c r="M1096" s="60"/>
      <c r="N1096" s="60"/>
      <c r="O1096" s="60"/>
      <c r="P1096" s="60"/>
      <c r="Q1096" s="60"/>
      <c r="R1096" s="60"/>
      <c r="S1096" s="60"/>
      <c r="T1096" s="60"/>
      <c r="U1096" s="60"/>
      <c r="V1096" s="60"/>
      <c r="W1096" s="60"/>
      <c r="X1096" s="60"/>
      <c r="Y1096" s="60"/>
      <c r="Z1096" s="60"/>
    </row>
    <row r="1097" spans="1:26" ht="30" hidden="1" customHeight="1">
      <c r="A1097" s="95" t="s">
        <v>2345</v>
      </c>
      <c r="B1097" s="51" t="s">
        <v>2018</v>
      </c>
      <c r="C1097" s="96"/>
      <c r="D1097" s="96"/>
      <c r="E1097" s="53"/>
      <c r="F1097" s="53"/>
      <c r="G1097" s="96"/>
      <c r="H1097" s="96">
        <f t="shared" si="406"/>
        <v>0</v>
      </c>
      <c r="I1097" s="60"/>
      <c r="J1097" s="60"/>
      <c r="K1097" s="60"/>
      <c r="L1097" s="60"/>
      <c r="M1097" s="60"/>
      <c r="N1097" s="60"/>
      <c r="O1097" s="60"/>
      <c r="P1097" s="60"/>
      <c r="Q1097" s="60"/>
      <c r="R1097" s="60"/>
      <c r="S1097" s="60"/>
      <c r="T1097" s="60"/>
      <c r="U1097" s="60"/>
      <c r="V1097" s="60"/>
      <c r="W1097" s="60"/>
      <c r="X1097" s="60"/>
      <c r="Y1097" s="60"/>
      <c r="Z1097" s="60"/>
    </row>
    <row r="1098" spans="1:26" ht="30" hidden="1" customHeight="1">
      <c r="A1098" s="92" t="s">
        <v>2346</v>
      </c>
      <c r="B1098" s="93" t="s">
        <v>2020</v>
      </c>
      <c r="C1098" s="94"/>
      <c r="D1098" s="94"/>
      <c r="E1098" s="94">
        <f t="shared" ref="E1098:F1098" si="407">SUM(E1099:E1104)</f>
        <v>677173940.41000009</v>
      </c>
      <c r="F1098" s="94">
        <f t="shared" si="407"/>
        <v>677173940.41000009</v>
      </c>
      <c r="G1098" s="94"/>
      <c r="H1098" s="94">
        <f>SUM(H1099:H1104)</f>
        <v>0</v>
      </c>
      <c r="I1098" s="60"/>
      <c r="J1098" s="60"/>
      <c r="K1098" s="60"/>
      <c r="L1098" s="60"/>
      <c r="M1098" s="60"/>
      <c r="N1098" s="60"/>
      <c r="O1098" s="60"/>
      <c r="P1098" s="60"/>
      <c r="Q1098" s="60"/>
      <c r="R1098" s="60"/>
      <c r="S1098" s="60"/>
      <c r="T1098" s="60"/>
      <c r="U1098" s="60"/>
      <c r="V1098" s="60"/>
      <c r="W1098" s="60"/>
      <c r="X1098" s="60"/>
      <c r="Y1098" s="60"/>
      <c r="Z1098" s="60"/>
    </row>
    <row r="1099" spans="1:26" ht="30" hidden="1" customHeight="1">
      <c r="A1099" s="95" t="s">
        <v>2347</v>
      </c>
      <c r="B1099" s="51" t="s">
        <v>959</v>
      </c>
      <c r="C1099" s="96"/>
      <c r="D1099" s="96"/>
      <c r="E1099" s="53">
        <v>222437491.43000001</v>
      </c>
      <c r="F1099" s="53">
        <v>222437491.43000001</v>
      </c>
      <c r="G1099" s="96"/>
      <c r="H1099" s="96">
        <f>ROUND(F1099-E1099,2)</f>
        <v>0</v>
      </c>
      <c r="I1099" s="60"/>
      <c r="J1099" s="60"/>
      <c r="K1099" s="60"/>
      <c r="L1099" s="60"/>
      <c r="M1099" s="60"/>
      <c r="N1099" s="60"/>
      <c r="O1099" s="60"/>
      <c r="P1099" s="60"/>
      <c r="Q1099" s="60"/>
      <c r="R1099" s="60"/>
      <c r="S1099" s="60"/>
      <c r="T1099" s="60"/>
      <c r="U1099" s="60"/>
      <c r="V1099" s="60"/>
      <c r="W1099" s="60"/>
      <c r="X1099" s="60"/>
      <c r="Y1099" s="60"/>
      <c r="Z1099" s="60"/>
    </row>
    <row r="1100" spans="1:26" ht="30" hidden="1" customHeight="1">
      <c r="A1100" s="95" t="s">
        <v>2348</v>
      </c>
      <c r="B1100" s="51" t="s">
        <v>2023</v>
      </c>
      <c r="C1100" s="96"/>
      <c r="D1100" s="96"/>
      <c r="E1100" s="96"/>
      <c r="F1100" s="96"/>
      <c r="G1100" s="96"/>
      <c r="H1100" s="96">
        <f>F1100-E1100</f>
        <v>0</v>
      </c>
      <c r="I1100" s="60"/>
      <c r="J1100" s="60"/>
      <c r="K1100" s="60"/>
      <c r="L1100" s="60"/>
      <c r="M1100" s="60"/>
      <c r="N1100" s="60"/>
      <c r="O1100" s="60"/>
      <c r="P1100" s="60"/>
      <c r="Q1100" s="60"/>
      <c r="R1100" s="60"/>
      <c r="S1100" s="60"/>
      <c r="T1100" s="60"/>
      <c r="U1100" s="60"/>
      <c r="V1100" s="60"/>
      <c r="W1100" s="60"/>
      <c r="X1100" s="60"/>
      <c r="Y1100" s="60"/>
      <c r="Z1100" s="60"/>
    </row>
    <row r="1101" spans="1:26" ht="30" hidden="1" customHeight="1">
      <c r="A1101" s="95" t="s">
        <v>2349</v>
      </c>
      <c r="B1101" s="51" t="s">
        <v>971</v>
      </c>
      <c r="C1101" s="96"/>
      <c r="D1101" s="96"/>
      <c r="E1101" s="53">
        <v>400082601.66000003</v>
      </c>
      <c r="F1101" s="53">
        <v>400082601.66000003</v>
      </c>
      <c r="G1101" s="96"/>
      <c r="H1101" s="96">
        <f t="shared" ref="H1101:H1104" si="408">ROUND(F1101-E1101,2)</f>
        <v>0</v>
      </c>
      <c r="I1101" s="60"/>
      <c r="J1101" s="60"/>
      <c r="K1101" s="60"/>
      <c r="L1101" s="60"/>
      <c r="M1101" s="60"/>
      <c r="N1101" s="60"/>
      <c r="O1101" s="60"/>
      <c r="P1101" s="60"/>
      <c r="Q1101" s="60"/>
      <c r="R1101" s="60"/>
      <c r="S1101" s="60"/>
      <c r="T1101" s="60"/>
      <c r="U1101" s="60"/>
      <c r="V1101" s="60"/>
      <c r="W1101" s="60"/>
      <c r="X1101" s="60"/>
      <c r="Y1101" s="60"/>
      <c r="Z1101" s="60"/>
    </row>
    <row r="1102" spans="1:26" ht="30" hidden="1" customHeight="1">
      <c r="A1102" s="95" t="s">
        <v>2350</v>
      </c>
      <c r="B1102" s="51" t="s">
        <v>1011</v>
      </c>
      <c r="C1102" s="96"/>
      <c r="D1102" s="96"/>
      <c r="E1102" s="53">
        <v>33195164.48</v>
      </c>
      <c r="F1102" s="53">
        <v>33195164.48</v>
      </c>
      <c r="G1102" s="96"/>
      <c r="H1102" s="96">
        <f t="shared" si="408"/>
        <v>0</v>
      </c>
      <c r="I1102" s="60"/>
      <c r="J1102" s="60"/>
      <c r="K1102" s="60"/>
      <c r="L1102" s="60"/>
      <c r="M1102" s="60"/>
      <c r="N1102" s="60"/>
      <c r="O1102" s="60"/>
      <c r="P1102" s="60"/>
      <c r="Q1102" s="60"/>
      <c r="R1102" s="60"/>
      <c r="S1102" s="60"/>
      <c r="T1102" s="60"/>
      <c r="U1102" s="60"/>
      <c r="V1102" s="60"/>
      <c r="W1102" s="60"/>
      <c r="X1102" s="60"/>
      <c r="Y1102" s="60"/>
      <c r="Z1102" s="60"/>
    </row>
    <row r="1103" spans="1:26" ht="30" hidden="1" customHeight="1">
      <c r="A1103" s="95" t="s">
        <v>2351</v>
      </c>
      <c r="B1103" s="51" t="s">
        <v>2027</v>
      </c>
      <c r="C1103" s="96"/>
      <c r="D1103" s="96"/>
      <c r="E1103" s="53">
        <v>21458682.84</v>
      </c>
      <c r="F1103" s="53">
        <v>21458682.84</v>
      </c>
      <c r="G1103" s="96"/>
      <c r="H1103" s="96">
        <f t="shared" si="408"/>
        <v>0</v>
      </c>
      <c r="I1103" s="60"/>
      <c r="J1103" s="60"/>
      <c r="K1103" s="60"/>
      <c r="L1103" s="60"/>
      <c r="M1103" s="60"/>
      <c r="N1103" s="60"/>
      <c r="O1103" s="60"/>
      <c r="P1103" s="60"/>
      <c r="Q1103" s="60"/>
      <c r="R1103" s="60"/>
      <c r="S1103" s="60"/>
      <c r="T1103" s="60"/>
      <c r="U1103" s="60"/>
      <c r="V1103" s="60"/>
      <c r="W1103" s="60"/>
      <c r="X1103" s="60"/>
      <c r="Y1103" s="60"/>
      <c r="Z1103" s="60"/>
    </row>
    <row r="1104" spans="1:26" ht="30" hidden="1" customHeight="1">
      <c r="A1104" s="95" t="s">
        <v>2352</v>
      </c>
      <c r="B1104" s="51" t="s">
        <v>1008</v>
      </c>
      <c r="C1104" s="96"/>
      <c r="D1104" s="96"/>
      <c r="E1104" s="53"/>
      <c r="F1104" s="53"/>
      <c r="G1104" s="96"/>
      <c r="H1104" s="96">
        <f t="shared" si="408"/>
        <v>0</v>
      </c>
      <c r="I1104" s="60"/>
      <c r="J1104" s="60"/>
      <c r="K1104" s="60"/>
      <c r="L1104" s="60"/>
      <c r="M1104" s="60"/>
      <c r="N1104" s="60"/>
      <c r="O1104" s="60"/>
      <c r="P1104" s="60"/>
      <c r="Q1104" s="60"/>
      <c r="R1104" s="60"/>
      <c r="S1104" s="60"/>
      <c r="T1104" s="60"/>
      <c r="U1104" s="60"/>
      <c r="V1104" s="60"/>
      <c r="W1104" s="60"/>
      <c r="X1104" s="60"/>
      <c r="Y1104" s="60"/>
      <c r="Z1104" s="60"/>
    </row>
    <row r="1105" spans="1:26" ht="30" hidden="1" customHeight="1">
      <c r="A1105" s="92" t="s">
        <v>2353</v>
      </c>
      <c r="B1105" s="93" t="s">
        <v>1016</v>
      </c>
      <c r="C1105" s="94"/>
      <c r="D1105" s="94"/>
      <c r="E1105" s="94">
        <f t="shared" ref="E1105:F1105" si="409">SUM(E1106:E1108)</f>
        <v>100037434.66</v>
      </c>
      <c r="F1105" s="94">
        <f t="shared" si="409"/>
        <v>100037434.66</v>
      </c>
      <c r="G1105" s="94"/>
      <c r="H1105" s="94">
        <f>SUM(H1106:H1108)</f>
        <v>0</v>
      </c>
      <c r="I1105" s="60"/>
      <c r="J1105" s="60"/>
      <c r="K1105" s="60"/>
      <c r="L1105" s="60"/>
      <c r="M1105" s="60"/>
      <c r="N1105" s="60"/>
      <c r="O1105" s="60"/>
      <c r="P1105" s="60"/>
      <c r="Q1105" s="60"/>
      <c r="R1105" s="60"/>
      <c r="S1105" s="60"/>
      <c r="T1105" s="60"/>
      <c r="U1105" s="60"/>
      <c r="V1105" s="60"/>
      <c r="W1105" s="60"/>
      <c r="X1105" s="60"/>
      <c r="Y1105" s="60"/>
      <c r="Z1105" s="60"/>
    </row>
    <row r="1106" spans="1:26" ht="30" hidden="1" customHeight="1">
      <c r="A1106" s="95" t="s">
        <v>2354</v>
      </c>
      <c r="B1106" s="51" t="s">
        <v>1016</v>
      </c>
      <c r="C1106" s="96"/>
      <c r="D1106" s="96"/>
      <c r="E1106" s="53">
        <v>100037434.66</v>
      </c>
      <c r="F1106" s="53">
        <v>100037434.66</v>
      </c>
      <c r="G1106" s="96"/>
      <c r="H1106" s="96">
        <f>ROUND(F1106-E1106,2)</f>
        <v>0</v>
      </c>
      <c r="I1106" s="60"/>
      <c r="J1106" s="60"/>
      <c r="K1106" s="60"/>
      <c r="L1106" s="60"/>
      <c r="M1106" s="60"/>
      <c r="N1106" s="60"/>
      <c r="O1106" s="60"/>
      <c r="P1106" s="60"/>
      <c r="Q1106" s="60"/>
      <c r="R1106" s="60"/>
      <c r="S1106" s="60"/>
      <c r="T1106" s="60"/>
      <c r="U1106" s="60"/>
      <c r="V1106" s="60"/>
      <c r="W1106" s="60"/>
      <c r="X1106" s="60"/>
      <c r="Y1106" s="60"/>
      <c r="Z1106" s="60"/>
    </row>
    <row r="1107" spans="1:26" ht="30" hidden="1" customHeight="1">
      <c r="A1107" s="95" t="s">
        <v>2355</v>
      </c>
      <c r="B1107" s="51" t="s">
        <v>2032</v>
      </c>
      <c r="C1107" s="96"/>
      <c r="D1107" s="96"/>
      <c r="E1107" s="96"/>
      <c r="F1107" s="96"/>
      <c r="G1107" s="96"/>
      <c r="H1107" s="96">
        <f>F1107-E1107</f>
        <v>0</v>
      </c>
      <c r="I1107" s="60"/>
      <c r="J1107" s="60"/>
      <c r="K1107" s="60"/>
      <c r="L1107" s="60"/>
      <c r="M1107" s="60"/>
      <c r="N1107" s="60"/>
      <c r="O1107" s="60"/>
      <c r="P1107" s="60"/>
      <c r="Q1107" s="60"/>
      <c r="R1107" s="60"/>
      <c r="S1107" s="60"/>
      <c r="T1107" s="60"/>
      <c r="U1107" s="60"/>
      <c r="V1107" s="60"/>
      <c r="W1107" s="60"/>
      <c r="X1107" s="60"/>
      <c r="Y1107" s="60"/>
      <c r="Z1107" s="60"/>
    </row>
    <row r="1108" spans="1:26" ht="30" hidden="1" customHeight="1">
      <c r="A1108" s="95" t="s">
        <v>2356</v>
      </c>
      <c r="B1108" s="51" t="s">
        <v>2034</v>
      </c>
      <c r="C1108" s="96"/>
      <c r="D1108" s="96"/>
      <c r="E1108" s="53"/>
      <c r="F1108" s="53"/>
      <c r="G1108" s="96"/>
      <c r="H1108" s="96">
        <f>ROUND(F1108-E1108,2)</f>
        <v>0</v>
      </c>
      <c r="I1108" s="60"/>
      <c r="J1108" s="60"/>
      <c r="K1108" s="60"/>
      <c r="L1108" s="60"/>
      <c r="M1108" s="60"/>
      <c r="N1108" s="60"/>
      <c r="O1108" s="60"/>
      <c r="P1108" s="60"/>
      <c r="Q1108" s="60"/>
      <c r="R1108" s="60"/>
      <c r="S1108" s="60"/>
      <c r="T1108" s="60"/>
      <c r="U1108" s="60"/>
      <c r="V1108" s="60"/>
      <c r="W1108" s="60"/>
      <c r="X1108" s="60"/>
      <c r="Y1108" s="60"/>
      <c r="Z1108" s="60"/>
    </row>
    <row r="1109" spans="1:26" ht="30" hidden="1" customHeight="1">
      <c r="A1109" s="92" t="s">
        <v>2357</v>
      </c>
      <c r="B1109" s="93" t="s">
        <v>2036</v>
      </c>
      <c r="C1109" s="94"/>
      <c r="D1109" s="94"/>
      <c r="E1109" s="94">
        <f t="shared" ref="E1109:F1109" si="410">SUM(E1110:E1113)</f>
        <v>87159634.730000004</v>
      </c>
      <c r="F1109" s="94">
        <f t="shared" si="410"/>
        <v>87159634.730000004</v>
      </c>
      <c r="G1109" s="94"/>
      <c r="H1109" s="94">
        <f>SUM(H1110:H1113)</f>
        <v>0</v>
      </c>
      <c r="I1109" s="60"/>
      <c r="J1109" s="60"/>
      <c r="K1109" s="60"/>
      <c r="L1109" s="60"/>
      <c r="M1109" s="60"/>
      <c r="N1109" s="60"/>
      <c r="O1109" s="60"/>
      <c r="P1109" s="60"/>
      <c r="Q1109" s="60"/>
      <c r="R1109" s="60"/>
      <c r="S1109" s="60"/>
      <c r="T1109" s="60"/>
      <c r="U1109" s="60"/>
      <c r="V1109" s="60"/>
      <c r="W1109" s="60"/>
      <c r="X1109" s="60"/>
      <c r="Y1109" s="60"/>
      <c r="Z1109" s="60"/>
    </row>
    <row r="1110" spans="1:26" ht="30" hidden="1" customHeight="1">
      <c r="A1110" s="95" t="s">
        <v>2358</v>
      </c>
      <c r="B1110" s="51" t="s">
        <v>2036</v>
      </c>
      <c r="C1110" s="96"/>
      <c r="D1110" s="96"/>
      <c r="E1110" s="53">
        <v>86943294.030000001</v>
      </c>
      <c r="F1110" s="53">
        <v>86943294.030000001</v>
      </c>
      <c r="G1110" s="96"/>
      <c r="H1110" s="96">
        <f t="shared" ref="H1110:H1113" si="411">ROUND(F1110-E1110,2)</f>
        <v>0</v>
      </c>
      <c r="I1110" s="60"/>
      <c r="J1110" s="60"/>
      <c r="K1110" s="60"/>
      <c r="L1110" s="60"/>
      <c r="M1110" s="60"/>
      <c r="N1110" s="60"/>
      <c r="O1110" s="60"/>
      <c r="P1110" s="60"/>
      <c r="Q1110" s="60"/>
      <c r="R1110" s="60"/>
      <c r="S1110" s="60"/>
      <c r="T1110" s="60"/>
      <c r="U1110" s="60"/>
      <c r="V1110" s="60"/>
      <c r="W1110" s="60"/>
      <c r="X1110" s="60"/>
      <c r="Y1110" s="60"/>
      <c r="Z1110" s="60"/>
    </row>
    <row r="1111" spans="1:26" ht="30" hidden="1" customHeight="1">
      <c r="A1111" s="95" t="s">
        <v>2359</v>
      </c>
      <c r="B1111" s="51" t="s">
        <v>2039</v>
      </c>
      <c r="C1111" s="96"/>
      <c r="D1111" s="96"/>
      <c r="E1111" s="53"/>
      <c r="F1111" s="53"/>
      <c r="G1111" s="96"/>
      <c r="H1111" s="96">
        <f t="shared" si="411"/>
        <v>0</v>
      </c>
      <c r="I1111" s="60"/>
      <c r="J1111" s="60"/>
      <c r="K1111" s="60"/>
      <c r="L1111" s="60"/>
      <c r="M1111" s="60"/>
      <c r="N1111" s="60"/>
      <c r="O1111" s="60"/>
      <c r="P1111" s="60"/>
      <c r="Q1111" s="60"/>
      <c r="R1111" s="60"/>
      <c r="S1111" s="60"/>
      <c r="T1111" s="60"/>
      <c r="U1111" s="60"/>
      <c r="V1111" s="60"/>
      <c r="W1111" s="60"/>
      <c r="X1111" s="60"/>
      <c r="Y1111" s="60"/>
      <c r="Z1111" s="60"/>
    </row>
    <row r="1112" spans="1:26" ht="30" hidden="1" customHeight="1">
      <c r="A1112" s="95" t="s">
        <v>2360</v>
      </c>
      <c r="B1112" s="51" t="s">
        <v>2041</v>
      </c>
      <c r="C1112" s="96"/>
      <c r="D1112" s="96"/>
      <c r="E1112" s="53">
        <v>216224.7</v>
      </c>
      <c r="F1112" s="53">
        <v>216224.7</v>
      </c>
      <c r="G1112" s="96"/>
      <c r="H1112" s="96">
        <f t="shared" si="411"/>
        <v>0</v>
      </c>
      <c r="I1112" s="60"/>
      <c r="J1112" s="60"/>
      <c r="K1112" s="60"/>
      <c r="L1112" s="60"/>
      <c r="M1112" s="60"/>
      <c r="N1112" s="60"/>
      <c r="O1112" s="60"/>
      <c r="P1112" s="60"/>
      <c r="Q1112" s="60"/>
      <c r="R1112" s="60"/>
      <c r="S1112" s="60"/>
      <c r="T1112" s="60"/>
      <c r="U1112" s="60"/>
      <c r="V1112" s="60"/>
      <c r="W1112" s="60"/>
      <c r="X1112" s="60"/>
      <c r="Y1112" s="60"/>
      <c r="Z1112" s="60"/>
    </row>
    <row r="1113" spans="1:26" ht="30" hidden="1" customHeight="1">
      <c r="A1113" s="95" t="s">
        <v>2361</v>
      </c>
      <c r="B1113" s="51" t="s">
        <v>1046</v>
      </c>
      <c r="C1113" s="96"/>
      <c r="D1113" s="96"/>
      <c r="E1113" s="53">
        <v>116</v>
      </c>
      <c r="F1113" s="53">
        <v>116</v>
      </c>
      <c r="G1113" s="96"/>
      <c r="H1113" s="96">
        <f t="shared" si="411"/>
        <v>0</v>
      </c>
      <c r="I1113" s="60"/>
      <c r="J1113" s="60"/>
      <c r="K1113" s="60"/>
      <c r="L1113" s="60"/>
      <c r="M1113" s="60"/>
      <c r="N1113" s="60"/>
      <c r="O1113" s="60"/>
      <c r="P1113" s="60"/>
      <c r="Q1113" s="60"/>
      <c r="R1113" s="60"/>
      <c r="S1113" s="60"/>
      <c r="T1113" s="60"/>
      <c r="U1113" s="60"/>
      <c r="V1113" s="60"/>
      <c r="W1113" s="60"/>
      <c r="X1113" s="60"/>
      <c r="Y1113" s="60"/>
      <c r="Z1113" s="60"/>
    </row>
    <row r="1114" spans="1:26" ht="30" hidden="1" customHeight="1">
      <c r="A1114" s="92" t="s">
        <v>2362</v>
      </c>
      <c r="B1114" s="93" t="s">
        <v>2044</v>
      </c>
      <c r="C1114" s="94"/>
      <c r="D1114" s="94"/>
      <c r="E1114" s="94">
        <f t="shared" ref="E1114:F1114" si="412">SUM(E1115:E1123)</f>
        <v>0</v>
      </c>
      <c r="F1114" s="94">
        <f t="shared" si="412"/>
        <v>0</v>
      </c>
      <c r="G1114" s="94"/>
      <c r="H1114" s="94">
        <f>SUM(H1115:H1123)</f>
        <v>0</v>
      </c>
      <c r="I1114" s="60"/>
      <c r="J1114" s="60"/>
      <c r="K1114" s="60"/>
      <c r="L1114" s="60"/>
      <c r="M1114" s="60"/>
      <c r="N1114" s="60"/>
      <c r="O1114" s="60"/>
      <c r="P1114" s="60"/>
      <c r="Q1114" s="60"/>
      <c r="R1114" s="60"/>
      <c r="S1114" s="60"/>
      <c r="T1114" s="60"/>
      <c r="U1114" s="60"/>
      <c r="V1114" s="60"/>
      <c r="W1114" s="60"/>
      <c r="X1114" s="60"/>
      <c r="Y1114" s="60"/>
      <c r="Z1114" s="60"/>
    </row>
    <row r="1115" spans="1:26" ht="30" hidden="1" customHeight="1">
      <c r="A1115" s="95" t="s">
        <v>2363</v>
      </c>
      <c r="B1115" s="51" t="s">
        <v>1065</v>
      </c>
      <c r="C1115" s="96"/>
      <c r="D1115" s="96"/>
      <c r="E1115" s="53"/>
      <c r="F1115" s="53"/>
      <c r="G1115" s="96"/>
      <c r="H1115" s="96">
        <f>ROUND(F1115-E1115,2)</f>
        <v>0</v>
      </c>
      <c r="I1115" s="60"/>
      <c r="J1115" s="60"/>
      <c r="K1115" s="60"/>
      <c r="L1115" s="60"/>
      <c r="M1115" s="60"/>
      <c r="N1115" s="60"/>
      <c r="O1115" s="60"/>
      <c r="P1115" s="60"/>
      <c r="Q1115" s="60"/>
      <c r="R1115" s="60"/>
      <c r="S1115" s="60"/>
      <c r="T1115" s="60"/>
      <c r="U1115" s="60"/>
      <c r="V1115" s="60"/>
      <c r="W1115" s="60"/>
      <c r="X1115" s="60"/>
      <c r="Y1115" s="60"/>
      <c r="Z1115" s="60"/>
    </row>
    <row r="1116" spans="1:26" ht="30" hidden="1" customHeight="1">
      <c r="A1116" s="95" t="s">
        <v>2364</v>
      </c>
      <c r="B1116" s="51" t="s">
        <v>1067</v>
      </c>
      <c r="C1116" s="96"/>
      <c r="D1116" s="96"/>
      <c r="E1116" s="96"/>
      <c r="F1116" s="96"/>
      <c r="G1116" s="96"/>
      <c r="H1116" s="96">
        <f>F1116-E1116</f>
        <v>0</v>
      </c>
      <c r="I1116" s="60"/>
      <c r="J1116" s="60"/>
      <c r="K1116" s="60"/>
      <c r="L1116" s="60"/>
      <c r="M1116" s="60"/>
      <c r="N1116" s="60"/>
      <c r="O1116" s="60"/>
      <c r="P1116" s="60"/>
      <c r="Q1116" s="60"/>
      <c r="R1116" s="60"/>
      <c r="S1116" s="60"/>
      <c r="T1116" s="60"/>
      <c r="U1116" s="60"/>
      <c r="V1116" s="60"/>
      <c r="W1116" s="60"/>
      <c r="X1116" s="60"/>
      <c r="Y1116" s="60"/>
      <c r="Z1116" s="60"/>
    </row>
    <row r="1117" spans="1:26" ht="30" hidden="1" customHeight="1">
      <c r="A1117" s="95" t="s">
        <v>2365</v>
      </c>
      <c r="B1117" s="51" t="s">
        <v>1069</v>
      </c>
      <c r="C1117" s="96"/>
      <c r="D1117" s="96"/>
      <c r="E1117" s="53"/>
      <c r="F1117" s="53"/>
      <c r="G1117" s="96"/>
      <c r="H1117" s="96">
        <f t="shared" ref="H1117:H1123" si="413">ROUND(F1117-E1117,2)</f>
        <v>0</v>
      </c>
      <c r="I1117" s="60"/>
      <c r="J1117" s="60"/>
      <c r="K1117" s="60"/>
      <c r="L1117" s="60"/>
      <c r="M1117" s="60"/>
      <c r="N1117" s="60"/>
      <c r="O1117" s="60"/>
      <c r="P1117" s="60"/>
      <c r="Q1117" s="60"/>
      <c r="R1117" s="60"/>
      <c r="S1117" s="60"/>
      <c r="T1117" s="60"/>
      <c r="U1117" s="60"/>
      <c r="V1117" s="60"/>
      <c r="W1117" s="60"/>
      <c r="X1117" s="60"/>
      <c r="Y1117" s="60"/>
      <c r="Z1117" s="60"/>
    </row>
    <row r="1118" spans="1:26" ht="30" hidden="1" customHeight="1">
      <c r="A1118" s="95" t="s">
        <v>2366</v>
      </c>
      <c r="B1118" s="51" t="s">
        <v>2049</v>
      </c>
      <c r="C1118" s="96"/>
      <c r="D1118" s="96"/>
      <c r="E1118" s="96"/>
      <c r="F1118" s="96"/>
      <c r="G1118" s="96"/>
      <c r="H1118" s="96">
        <f t="shared" si="413"/>
        <v>0</v>
      </c>
      <c r="I1118" s="60"/>
      <c r="J1118" s="60"/>
      <c r="K1118" s="60"/>
      <c r="L1118" s="60"/>
      <c r="M1118" s="60"/>
      <c r="N1118" s="60"/>
      <c r="O1118" s="60"/>
      <c r="P1118" s="60"/>
      <c r="Q1118" s="60"/>
      <c r="R1118" s="60"/>
      <c r="S1118" s="60"/>
      <c r="T1118" s="60"/>
      <c r="U1118" s="60"/>
      <c r="V1118" s="60"/>
      <c r="W1118" s="60"/>
      <c r="X1118" s="60"/>
      <c r="Y1118" s="60"/>
      <c r="Z1118" s="60"/>
    </row>
    <row r="1119" spans="1:26" ht="30" hidden="1" customHeight="1">
      <c r="A1119" s="95" t="s">
        <v>2367</v>
      </c>
      <c r="B1119" s="51" t="s">
        <v>1074</v>
      </c>
      <c r="C1119" s="96"/>
      <c r="D1119" s="96"/>
      <c r="E1119" s="96"/>
      <c r="F1119" s="96"/>
      <c r="G1119" s="96"/>
      <c r="H1119" s="96">
        <f t="shared" si="413"/>
        <v>0</v>
      </c>
      <c r="I1119" s="60"/>
      <c r="J1119" s="60"/>
      <c r="K1119" s="60"/>
      <c r="L1119" s="60"/>
      <c r="M1119" s="60"/>
      <c r="N1119" s="60"/>
      <c r="O1119" s="60"/>
      <c r="P1119" s="60"/>
      <c r="Q1119" s="60"/>
      <c r="R1119" s="60"/>
      <c r="S1119" s="60"/>
      <c r="T1119" s="60"/>
      <c r="U1119" s="60"/>
      <c r="V1119" s="60"/>
      <c r="W1119" s="60"/>
      <c r="X1119" s="60"/>
      <c r="Y1119" s="60"/>
      <c r="Z1119" s="60"/>
    </row>
    <row r="1120" spans="1:26" ht="30" hidden="1" customHeight="1">
      <c r="A1120" s="95" t="s">
        <v>2368</v>
      </c>
      <c r="B1120" s="51" t="s">
        <v>1076</v>
      </c>
      <c r="C1120" s="96"/>
      <c r="D1120" s="96"/>
      <c r="E1120" s="96"/>
      <c r="F1120" s="96"/>
      <c r="G1120" s="96"/>
      <c r="H1120" s="96">
        <f t="shared" si="413"/>
        <v>0</v>
      </c>
      <c r="I1120" s="60"/>
      <c r="J1120" s="60"/>
      <c r="K1120" s="60"/>
      <c r="L1120" s="60"/>
      <c r="M1120" s="60"/>
      <c r="N1120" s="60"/>
      <c r="O1120" s="60"/>
      <c r="P1120" s="60"/>
      <c r="Q1120" s="60"/>
      <c r="R1120" s="60"/>
      <c r="S1120" s="60"/>
      <c r="T1120" s="60"/>
      <c r="U1120" s="60"/>
      <c r="V1120" s="60"/>
      <c r="W1120" s="60"/>
      <c r="X1120" s="60"/>
      <c r="Y1120" s="60"/>
      <c r="Z1120" s="60"/>
    </row>
    <row r="1121" spans="1:26" ht="30" hidden="1" customHeight="1">
      <c r="A1121" s="95" t="s">
        <v>2369</v>
      </c>
      <c r="B1121" s="51" t="s">
        <v>1078</v>
      </c>
      <c r="C1121" s="96"/>
      <c r="D1121" s="96"/>
      <c r="E1121" s="53"/>
      <c r="F1121" s="53"/>
      <c r="G1121" s="96"/>
      <c r="H1121" s="96">
        <f t="shared" si="413"/>
        <v>0</v>
      </c>
      <c r="I1121" s="60"/>
      <c r="J1121" s="60"/>
      <c r="K1121" s="60"/>
      <c r="L1121" s="60"/>
      <c r="M1121" s="60"/>
      <c r="N1121" s="60"/>
      <c r="O1121" s="60"/>
      <c r="P1121" s="60"/>
      <c r="Q1121" s="60"/>
      <c r="R1121" s="60"/>
      <c r="S1121" s="60"/>
      <c r="T1121" s="60"/>
      <c r="U1121" s="60"/>
      <c r="V1121" s="60"/>
      <c r="W1121" s="60"/>
      <c r="X1121" s="60"/>
      <c r="Y1121" s="60"/>
      <c r="Z1121" s="60"/>
    </row>
    <row r="1122" spans="1:26" ht="30" hidden="1" customHeight="1">
      <c r="A1122" s="95" t="s">
        <v>2370</v>
      </c>
      <c r="B1122" s="51" t="s">
        <v>2054</v>
      </c>
      <c r="C1122" s="96"/>
      <c r="D1122" s="96"/>
      <c r="E1122" s="96"/>
      <c r="F1122" s="96"/>
      <c r="G1122" s="96"/>
      <c r="H1122" s="96">
        <f t="shared" si="413"/>
        <v>0</v>
      </c>
      <c r="I1122" s="60"/>
      <c r="J1122" s="60"/>
      <c r="K1122" s="60"/>
      <c r="L1122" s="60"/>
      <c r="M1122" s="60"/>
      <c r="N1122" s="60"/>
      <c r="O1122" s="60"/>
      <c r="P1122" s="60"/>
      <c r="Q1122" s="60"/>
      <c r="R1122" s="60"/>
      <c r="S1122" s="60"/>
      <c r="T1122" s="60"/>
      <c r="U1122" s="60"/>
      <c r="V1122" s="60"/>
      <c r="W1122" s="60"/>
      <c r="X1122" s="60"/>
      <c r="Y1122" s="60"/>
      <c r="Z1122" s="60"/>
    </row>
    <row r="1123" spans="1:26" ht="30" hidden="1" customHeight="1">
      <c r="A1123" s="95" t="s">
        <v>2371</v>
      </c>
      <c r="B1123" s="51" t="s">
        <v>2056</v>
      </c>
      <c r="C1123" s="96"/>
      <c r="D1123" s="96"/>
      <c r="E1123" s="53"/>
      <c r="F1123" s="53"/>
      <c r="G1123" s="96"/>
      <c r="H1123" s="96">
        <f t="shared" si="413"/>
        <v>0</v>
      </c>
      <c r="I1123" s="60"/>
      <c r="J1123" s="60"/>
      <c r="K1123" s="60"/>
      <c r="L1123" s="60"/>
      <c r="M1123" s="60"/>
      <c r="N1123" s="60"/>
      <c r="O1123" s="60"/>
      <c r="P1123" s="60"/>
      <c r="Q1123" s="60"/>
      <c r="R1123" s="60"/>
      <c r="S1123" s="60"/>
      <c r="T1123" s="60"/>
      <c r="U1123" s="60"/>
      <c r="V1123" s="60"/>
      <c r="W1123" s="60"/>
      <c r="X1123" s="60"/>
      <c r="Y1123" s="60"/>
      <c r="Z1123" s="60"/>
    </row>
    <row r="1124" spans="1:26" ht="30" hidden="1" customHeight="1">
      <c r="A1124" s="92" t="s">
        <v>2372</v>
      </c>
      <c r="B1124" s="97" t="s">
        <v>2058</v>
      </c>
      <c r="C1124" s="94"/>
      <c r="D1124" s="94"/>
      <c r="E1124" s="94">
        <f t="shared" ref="E1124:F1124" si="414">E1125+E1138+E1141+E1142+E1147+E1153</f>
        <v>3824329059.9200001</v>
      </c>
      <c r="F1124" s="94">
        <f t="shared" si="414"/>
        <v>3824329059.9200001</v>
      </c>
      <c r="G1124" s="94"/>
      <c r="H1124" s="94">
        <f>H1125+H1138+H1141+H1142+H1147+H1153</f>
        <v>0</v>
      </c>
      <c r="I1124" s="60"/>
      <c r="J1124" s="60"/>
      <c r="K1124" s="60"/>
      <c r="L1124" s="60"/>
      <c r="M1124" s="60"/>
      <c r="N1124" s="60"/>
      <c r="O1124" s="60"/>
      <c r="P1124" s="60"/>
      <c r="Q1124" s="60"/>
      <c r="R1124" s="60"/>
      <c r="S1124" s="60"/>
      <c r="T1124" s="60"/>
      <c r="U1124" s="60"/>
      <c r="V1124" s="60"/>
      <c r="W1124" s="60"/>
      <c r="X1124" s="60"/>
      <c r="Y1124" s="60"/>
      <c r="Z1124" s="60"/>
    </row>
    <row r="1125" spans="1:26" ht="30" hidden="1" customHeight="1">
      <c r="A1125" s="95" t="s">
        <v>2373</v>
      </c>
      <c r="B1125" s="51" t="s">
        <v>1093</v>
      </c>
      <c r="C1125" s="96"/>
      <c r="D1125" s="96"/>
      <c r="E1125" s="94">
        <f t="shared" ref="E1125:F1125" si="415">SUM(E1126:E1137)</f>
        <v>3012352816.2199998</v>
      </c>
      <c r="F1125" s="94">
        <f t="shared" si="415"/>
        <v>3012352816.2199998</v>
      </c>
      <c r="G1125" s="96"/>
      <c r="H1125" s="94">
        <f>SUM(H1126:H1137)</f>
        <v>0</v>
      </c>
      <c r="I1125" s="60"/>
      <c r="J1125" s="60"/>
      <c r="K1125" s="60"/>
      <c r="L1125" s="60"/>
      <c r="M1125" s="60"/>
      <c r="N1125" s="60"/>
      <c r="O1125" s="60"/>
      <c r="P1125" s="60"/>
      <c r="Q1125" s="60"/>
      <c r="R1125" s="60"/>
      <c r="S1125" s="60"/>
      <c r="T1125" s="60"/>
      <c r="U1125" s="60"/>
      <c r="V1125" s="60"/>
      <c r="W1125" s="60"/>
      <c r="X1125" s="60"/>
      <c r="Y1125" s="60"/>
      <c r="Z1125" s="60"/>
    </row>
    <row r="1126" spans="1:26" ht="30" hidden="1" customHeight="1">
      <c r="A1126" s="95" t="s">
        <v>2374</v>
      </c>
      <c r="B1126" s="51" t="s">
        <v>1095</v>
      </c>
      <c r="C1126" s="96"/>
      <c r="D1126" s="96"/>
      <c r="E1126" s="53">
        <v>1467777654.4000001</v>
      </c>
      <c r="F1126" s="53">
        <v>1467777654.4000001</v>
      </c>
      <c r="G1126" s="96"/>
      <c r="H1126" s="96">
        <f t="shared" ref="H1126:H1137" si="416">ROUND(F1126-E1126,2)</f>
        <v>0</v>
      </c>
      <c r="I1126" s="60"/>
      <c r="J1126" s="60"/>
      <c r="K1126" s="60"/>
      <c r="L1126" s="60"/>
      <c r="M1126" s="60"/>
      <c r="N1126" s="60"/>
      <c r="O1126" s="60"/>
      <c r="P1126" s="60"/>
      <c r="Q1126" s="60"/>
      <c r="R1126" s="60"/>
      <c r="S1126" s="60"/>
      <c r="T1126" s="60"/>
      <c r="U1126" s="60"/>
      <c r="V1126" s="60"/>
      <c r="W1126" s="60"/>
      <c r="X1126" s="60"/>
      <c r="Y1126" s="60"/>
      <c r="Z1126" s="60"/>
    </row>
    <row r="1127" spans="1:26" ht="30" hidden="1" customHeight="1">
      <c r="A1127" s="95" t="s">
        <v>2375</v>
      </c>
      <c r="B1127" s="51" t="s">
        <v>1097</v>
      </c>
      <c r="C1127" s="96"/>
      <c r="D1127" s="96"/>
      <c r="E1127" s="53">
        <v>246873957.37</v>
      </c>
      <c r="F1127" s="53">
        <v>246873957.37</v>
      </c>
      <c r="G1127" s="96"/>
      <c r="H1127" s="96">
        <f t="shared" si="416"/>
        <v>0</v>
      </c>
      <c r="I1127" s="60"/>
      <c r="J1127" s="60"/>
      <c r="K1127" s="60"/>
      <c r="L1127" s="60"/>
      <c r="M1127" s="60"/>
      <c r="N1127" s="60"/>
      <c r="O1127" s="60"/>
      <c r="P1127" s="60"/>
      <c r="Q1127" s="60"/>
      <c r="R1127" s="60"/>
      <c r="S1127" s="60"/>
      <c r="T1127" s="60"/>
      <c r="U1127" s="60"/>
      <c r="V1127" s="60"/>
      <c r="W1127" s="60"/>
      <c r="X1127" s="60"/>
      <c r="Y1127" s="60"/>
      <c r="Z1127" s="60"/>
    </row>
    <row r="1128" spans="1:26" ht="30" hidden="1" customHeight="1">
      <c r="A1128" s="95" t="s">
        <v>2376</v>
      </c>
      <c r="B1128" s="51" t="s">
        <v>1099</v>
      </c>
      <c r="C1128" s="96"/>
      <c r="D1128" s="96"/>
      <c r="E1128" s="53">
        <v>261553212.03</v>
      </c>
      <c r="F1128" s="53">
        <v>261553212.03</v>
      </c>
      <c r="G1128" s="96"/>
      <c r="H1128" s="96">
        <f t="shared" si="416"/>
        <v>0</v>
      </c>
      <c r="I1128" s="60"/>
      <c r="J1128" s="60"/>
      <c r="K1128" s="60"/>
      <c r="L1128" s="60"/>
      <c r="M1128" s="60"/>
      <c r="N1128" s="60"/>
      <c r="O1128" s="60"/>
      <c r="P1128" s="60"/>
      <c r="Q1128" s="60"/>
      <c r="R1128" s="60"/>
      <c r="S1128" s="60"/>
      <c r="T1128" s="60"/>
      <c r="U1128" s="60"/>
      <c r="V1128" s="60"/>
      <c r="W1128" s="60"/>
      <c r="X1128" s="60"/>
      <c r="Y1128" s="60"/>
      <c r="Z1128" s="60"/>
    </row>
    <row r="1129" spans="1:26" ht="30" hidden="1" customHeight="1">
      <c r="A1129" s="95" t="s">
        <v>2377</v>
      </c>
      <c r="B1129" s="51" t="s">
        <v>1101</v>
      </c>
      <c r="C1129" s="96"/>
      <c r="D1129" s="96"/>
      <c r="E1129" s="53"/>
      <c r="F1129" s="53"/>
      <c r="G1129" s="96"/>
      <c r="H1129" s="96">
        <f t="shared" si="416"/>
        <v>0</v>
      </c>
      <c r="I1129" s="60"/>
      <c r="J1129" s="60"/>
      <c r="K1129" s="60"/>
      <c r="L1129" s="60"/>
      <c r="M1129" s="60"/>
      <c r="N1129" s="60"/>
      <c r="O1129" s="60"/>
      <c r="P1129" s="60"/>
      <c r="Q1129" s="60"/>
      <c r="R1129" s="60"/>
      <c r="S1129" s="60"/>
      <c r="T1129" s="60"/>
      <c r="U1129" s="60"/>
      <c r="V1129" s="60"/>
      <c r="W1129" s="60"/>
      <c r="X1129" s="60"/>
      <c r="Y1129" s="60"/>
      <c r="Z1129" s="60"/>
    </row>
    <row r="1130" spans="1:26" ht="30" hidden="1" customHeight="1">
      <c r="A1130" s="95" t="s">
        <v>2378</v>
      </c>
      <c r="B1130" s="51" t="s">
        <v>1103</v>
      </c>
      <c r="C1130" s="96"/>
      <c r="D1130" s="96"/>
      <c r="E1130" s="53"/>
      <c r="F1130" s="53"/>
      <c r="G1130" s="96"/>
      <c r="H1130" s="96">
        <f t="shared" si="416"/>
        <v>0</v>
      </c>
      <c r="I1130" s="60"/>
      <c r="J1130" s="60"/>
      <c r="K1130" s="60"/>
      <c r="L1130" s="60"/>
      <c r="M1130" s="60"/>
      <c r="N1130" s="60"/>
      <c r="O1130" s="60"/>
      <c r="P1130" s="60"/>
      <c r="Q1130" s="60"/>
      <c r="R1130" s="60"/>
      <c r="S1130" s="60"/>
      <c r="T1130" s="60"/>
      <c r="U1130" s="60"/>
      <c r="V1130" s="60"/>
      <c r="W1130" s="60"/>
      <c r="X1130" s="60"/>
      <c r="Y1130" s="60"/>
      <c r="Z1130" s="60"/>
    </row>
    <row r="1131" spans="1:26" ht="30" hidden="1" customHeight="1">
      <c r="A1131" s="95" t="s">
        <v>2379</v>
      </c>
      <c r="B1131" s="51" t="s">
        <v>1105</v>
      </c>
      <c r="C1131" s="96"/>
      <c r="D1131" s="96"/>
      <c r="E1131" s="53">
        <v>36467989.840000004</v>
      </c>
      <c r="F1131" s="53">
        <v>36467989.840000004</v>
      </c>
      <c r="G1131" s="96"/>
      <c r="H1131" s="96">
        <f t="shared" si="416"/>
        <v>0</v>
      </c>
      <c r="I1131" s="60"/>
      <c r="J1131" s="60"/>
      <c r="K1131" s="60"/>
      <c r="L1131" s="60"/>
      <c r="M1131" s="60"/>
      <c r="N1131" s="60"/>
      <c r="O1131" s="60"/>
      <c r="P1131" s="60"/>
      <c r="Q1131" s="60"/>
      <c r="R1131" s="60"/>
      <c r="S1131" s="60"/>
      <c r="T1131" s="60"/>
      <c r="U1131" s="60"/>
      <c r="V1131" s="60"/>
      <c r="W1131" s="60"/>
      <c r="X1131" s="60"/>
      <c r="Y1131" s="60"/>
      <c r="Z1131" s="60"/>
    </row>
    <row r="1132" spans="1:26" ht="30" hidden="1" customHeight="1">
      <c r="A1132" s="95" t="s">
        <v>2380</v>
      </c>
      <c r="B1132" s="51" t="s">
        <v>1107</v>
      </c>
      <c r="C1132" s="96"/>
      <c r="D1132" s="96"/>
      <c r="E1132" s="53"/>
      <c r="F1132" s="53"/>
      <c r="G1132" s="96"/>
      <c r="H1132" s="96">
        <f t="shared" si="416"/>
        <v>0</v>
      </c>
      <c r="I1132" s="60"/>
      <c r="J1132" s="60"/>
      <c r="K1132" s="60"/>
      <c r="L1132" s="60"/>
      <c r="M1132" s="60"/>
      <c r="N1132" s="60"/>
      <c r="O1132" s="60"/>
      <c r="P1132" s="60"/>
      <c r="Q1132" s="60"/>
      <c r="R1132" s="60"/>
      <c r="S1132" s="60"/>
      <c r="T1132" s="60"/>
      <c r="U1132" s="60"/>
      <c r="V1132" s="60"/>
      <c r="W1132" s="60"/>
      <c r="X1132" s="60"/>
      <c r="Y1132" s="60"/>
      <c r="Z1132" s="60"/>
    </row>
    <row r="1133" spans="1:26" ht="30" hidden="1" customHeight="1">
      <c r="A1133" s="95" t="s">
        <v>2381</v>
      </c>
      <c r="B1133" s="51" t="s">
        <v>1109</v>
      </c>
      <c r="C1133" s="96"/>
      <c r="D1133" s="96"/>
      <c r="E1133" s="53"/>
      <c r="F1133" s="53"/>
      <c r="G1133" s="96"/>
      <c r="H1133" s="96">
        <f t="shared" si="416"/>
        <v>0</v>
      </c>
      <c r="I1133" s="60"/>
      <c r="J1133" s="60"/>
      <c r="K1133" s="60"/>
      <c r="L1133" s="60"/>
      <c r="M1133" s="60"/>
      <c r="N1133" s="60"/>
      <c r="O1133" s="60"/>
      <c r="P1133" s="60"/>
      <c r="Q1133" s="60"/>
      <c r="R1133" s="60"/>
      <c r="S1133" s="60"/>
      <c r="T1133" s="60"/>
      <c r="U1133" s="60"/>
      <c r="V1133" s="60"/>
      <c r="W1133" s="60"/>
      <c r="X1133" s="60"/>
      <c r="Y1133" s="60"/>
      <c r="Z1133" s="60"/>
    </row>
    <row r="1134" spans="1:26" ht="30" hidden="1" customHeight="1">
      <c r="A1134" s="95" t="s">
        <v>2382</v>
      </c>
      <c r="B1134" s="51" t="s">
        <v>1111</v>
      </c>
      <c r="C1134" s="96"/>
      <c r="D1134" s="96"/>
      <c r="E1134" s="53">
        <v>19708541.100000001</v>
      </c>
      <c r="F1134" s="53">
        <v>19708541.100000001</v>
      </c>
      <c r="G1134" s="96"/>
      <c r="H1134" s="96">
        <f t="shared" si="416"/>
        <v>0</v>
      </c>
      <c r="I1134" s="60"/>
      <c r="J1134" s="60"/>
      <c r="K1134" s="60"/>
      <c r="L1134" s="60"/>
      <c r="M1134" s="60"/>
      <c r="N1134" s="60"/>
      <c r="O1134" s="60"/>
      <c r="P1134" s="60"/>
      <c r="Q1134" s="60"/>
      <c r="R1134" s="60"/>
      <c r="S1134" s="60"/>
      <c r="T1134" s="60"/>
      <c r="U1134" s="60"/>
      <c r="V1134" s="60"/>
      <c r="W1134" s="60"/>
      <c r="X1134" s="60"/>
      <c r="Y1134" s="60"/>
      <c r="Z1134" s="60"/>
    </row>
    <row r="1135" spans="1:26" ht="30" hidden="1" customHeight="1">
      <c r="A1135" s="95" t="s">
        <v>2383</v>
      </c>
      <c r="B1135" s="51" t="s">
        <v>2070</v>
      </c>
      <c r="C1135" s="96"/>
      <c r="D1135" s="96"/>
      <c r="E1135" s="53">
        <v>348957351.20999998</v>
      </c>
      <c r="F1135" s="53">
        <v>348957351.20999998</v>
      </c>
      <c r="G1135" s="96"/>
      <c r="H1135" s="96">
        <f t="shared" si="416"/>
        <v>0</v>
      </c>
      <c r="I1135" s="60"/>
      <c r="J1135" s="60"/>
      <c r="K1135" s="60"/>
      <c r="L1135" s="60"/>
      <c r="M1135" s="60"/>
      <c r="N1135" s="60"/>
      <c r="O1135" s="60"/>
      <c r="P1135" s="60"/>
      <c r="Q1135" s="60"/>
      <c r="R1135" s="60"/>
      <c r="S1135" s="60"/>
      <c r="T1135" s="60"/>
      <c r="U1135" s="60"/>
      <c r="V1135" s="60"/>
      <c r="W1135" s="60"/>
      <c r="X1135" s="60"/>
      <c r="Y1135" s="60"/>
      <c r="Z1135" s="60"/>
    </row>
    <row r="1136" spans="1:26" ht="30" hidden="1" customHeight="1">
      <c r="A1136" s="95" t="s">
        <v>2384</v>
      </c>
      <c r="B1136" s="51" t="s">
        <v>1115</v>
      </c>
      <c r="C1136" s="96"/>
      <c r="D1136" s="96"/>
      <c r="E1136" s="53">
        <v>-311382.44</v>
      </c>
      <c r="F1136" s="53">
        <v>-311382.44</v>
      </c>
      <c r="G1136" s="96"/>
      <c r="H1136" s="96">
        <f t="shared" si="416"/>
        <v>0</v>
      </c>
      <c r="I1136" s="60"/>
      <c r="J1136" s="60"/>
      <c r="K1136" s="60"/>
      <c r="L1136" s="60"/>
      <c r="M1136" s="60"/>
      <c r="N1136" s="60"/>
      <c r="O1136" s="60"/>
      <c r="P1136" s="60"/>
      <c r="Q1136" s="60"/>
      <c r="R1136" s="60"/>
      <c r="S1136" s="60"/>
      <c r="T1136" s="60"/>
      <c r="U1136" s="60"/>
      <c r="V1136" s="60"/>
      <c r="W1136" s="60"/>
      <c r="X1136" s="60"/>
      <c r="Y1136" s="60"/>
      <c r="Z1136" s="60"/>
    </row>
    <row r="1137" spans="1:26" ht="30" hidden="1" customHeight="1">
      <c r="A1137" s="95" t="s">
        <v>2385</v>
      </c>
      <c r="B1137" s="51" t="s">
        <v>2073</v>
      </c>
      <c r="C1137" s="96"/>
      <c r="D1137" s="96"/>
      <c r="E1137" s="53">
        <v>631325492.71000004</v>
      </c>
      <c r="F1137" s="53">
        <v>631325492.71000004</v>
      </c>
      <c r="G1137" s="96"/>
      <c r="H1137" s="96">
        <f t="shared" si="416"/>
        <v>0</v>
      </c>
      <c r="I1137" s="60"/>
      <c r="J1137" s="60"/>
      <c r="K1137" s="60"/>
      <c r="L1137" s="60"/>
      <c r="M1137" s="60"/>
      <c r="N1137" s="60"/>
      <c r="O1137" s="60"/>
      <c r="P1137" s="60"/>
      <c r="Q1137" s="60"/>
      <c r="R1137" s="60"/>
      <c r="S1137" s="60"/>
      <c r="T1137" s="60"/>
      <c r="U1137" s="60"/>
      <c r="V1137" s="60"/>
      <c r="W1137" s="60"/>
      <c r="X1137" s="60"/>
      <c r="Y1137" s="60"/>
      <c r="Z1137" s="60"/>
    </row>
    <row r="1138" spans="1:26" ht="30" hidden="1" customHeight="1">
      <c r="A1138" s="95" t="s">
        <v>2386</v>
      </c>
      <c r="B1138" s="51" t="s">
        <v>1119</v>
      </c>
      <c r="C1138" s="96"/>
      <c r="D1138" s="96"/>
      <c r="E1138" s="94">
        <f t="shared" ref="E1138:F1138" si="417">SUM(E1139:E1140)</f>
        <v>771436616.57999992</v>
      </c>
      <c r="F1138" s="94">
        <f t="shared" si="417"/>
        <v>771436616.57999992</v>
      </c>
      <c r="G1138" s="96"/>
      <c r="H1138" s="94">
        <f>SUM(H1139:H1140)</f>
        <v>0</v>
      </c>
      <c r="I1138" s="60"/>
      <c r="J1138" s="60"/>
      <c r="K1138" s="60"/>
      <c r="L1138" s="60"/>
      <c r="M1138" s="60"/>
      <c r="N1138" s="60"/>
      <c r="O1138" s="60"/>
      <c r="P1138" s="60"/>
      <c r="Q1138" s="60"/>
      <c r="R1138" s="60"/>
      <c r="S1138" s="60"/>
      <c r="T1138" s="60"/>
      <c r="U1138" s="60"/>
      <c r="V1138" s="60"/>
      <c r="W1138" s="60"/>
      <c r="X1138" s="60"/>
      <c r="Y1138" s="60"/>
      <c r="Z1138" s="60"/>
    </row>
    <row r="1139" spans="1:26" ht="30" hidden="1" customHeight="1">
      <c r="A1139" s="95" t="s">
        <v>2387</v>
      </c>
      <c r="B1139" s="51" t="s">
        <v>1121</v>
      </c>
      <c r="C1139" s="96"/>
      <c r="D1139" s="96"/>
      <c r="E1139" s="53">
        <v>79610284.659999996</v>
      </c>
      <c r="F1139" s="53">
        <v>79610284.659999996</v>
      </c>
      <c r="G1139" s="96"/>
      <c r="H1139" s="96">
        <f t="shared" ref="H1139:H1141" si="418">ROUND(F1139-E1139,2)</f>
        <v>0</v>
      </c>
      <c r="I1139" s="60"/>
      <c r="J1139" s="60"/>
      <c r="K1139" s="60"/>
      <c r="L1139" s="60"/>
      <c r="M1139" s="60"/>
      <c r="N1139" s="60"/>
      <c r="O1139" s="60"/>
      <c r="P1139" s="60"/>
      <c r="Q1139" s="60"/>
      <c r="R1139" s="60"/>
      <c r="S1139" s="60"/>
      <c r="T1139" s="60"/>
      <c r="U1139" s="60"/>
      <c r="V1139" s="60"/>
      <c r="W1139" s="60"/>
      <c r="X1139" s="60"/>
      <c r="Y1139" s="60"/>
      <c r="Z1139" s="60"/>
    </row>
    <row r="1140" spans="1:26" ht="30" hidden="1" customHeight="1">
      <c r="A1140" s="95" t="s">
        <v>2388</v>
      </c>
      <c r="B1140" s="51" t="s">
        <v>2077</v>
      </c>
      <c r="C1140" s="96"/>
      <c r="D1140" s="96"/>
      <c r="E1140" s="53">
        <v>691826331.91999996</v>
      </c>
      <c r="F1140" s="53">
        <v>691826331.91999996</v>
      </c>
      <c r="G1140" s="96"/>
      <c r="H1140" s="96">
        <f t="shared" si="418"/>
        <v>0</v>
      </c>
      <c r="I1140" s="60"/>
      <c r="J1140" s="60"/>
      <c r="K1140" s="60"/>
      <c r="L1140" s="60"/>
      <c r="M1140" s="60"/>
      <c r="N1140" s="60"/>
      <c r="O1140" s="60"/>
      <c r="P1140" s="60"/>
      <c r="Q1140" s="60"/>
      <c r="R1140" s="60"/>
      <c r="S1140" s="60"/>
      <c r="T1140" s="60"/>
      <c r="U1140" s="60"/>
      <c r="V1140" s="60"/>
      <c r="W1140" s="60"/>
      <c r="X1140" s="60"/>
      <c r="Y1140" s="60"/>
      <c r="Z1140" s="60"/>
    </row>
    <row r="1141" spans="1:26" ht="30" hidden="1" customHeight="1">
      <c r="A1141" s="95" t="s">
        <v>2389</v>
      </c>
      <c r="B1141" s="51" t="s">
        <v>2390</v>
      </c>
      <c r="C1141" s="96"/>
      <c r="D1141" s="96"/>
      <c r="E1141" s="53"/>
      <c r="F1141" s="53"/>
      <c r="G1141" s="96"/>
      <c r="H1141" s="96">
        <f t="shared" si="418"/>
        <v>0</v>
      </c>
      <c r="I1141" s="60"/>
      <c r="J1141" s="60"/>
      <c r="K1141" s="60"/>
      <c r="L1141" s="60"/>
      <c r="M1141" s="60"/>
      <c r="N1141" s="60"/>
      <c r="O1141" s="60"/>
      <c r="P1141" s="60"/>
      <c r="Q1141" s="60"/>
      <c r="R1141" s="60"/>
      <c r="S1141" s="60"/>
      <c r="T1141" s="60"/>
      <c r="U1141" s="60"/>
      <c r="V1141" s="60"/>
      <c r="W1141" s="60"/>
      <c r="X1141" s="60"/>
      <c r="Y1141" s="60"/>
      <c r="Z1141" s="60"/>
    </row>
    <row r="1142" spans="1:26" ht="30" hidden="1" customHeight="1">
      <c r="A1142" s="95" t="s">
        <v>2391</v>
      </c>
      <c r="B1142" s="51" t="s">
        <v>2392</v>
      </c>
      <c r="C1142" s="96"/>
      <c r="D1142" s="96"/>
      <c r="E1142" s="94">
        <f t="shared" ref="E1142:F1142" si="419">SUM(E1143:E1146)</f>
        <v>38183.359999999986</v>
      </c>
      <c r="F1142" s="94">
        <f t="shared" si="419"/>
        <v>38183.359999999986</v>
      </c>
      <c r="G1142" s="96"/>
      <c r="H1142" s="94">
        <f>SUM(H1143:H1146)</f>
        <v>0</v>
      </c>
      <c r="I1142" s="60"/>
      <c r="J1142" s="60"/>
      <c r="K1142" s="60"/>
      <c r="L1142" s="60"/>
      <c r="M1142" s="60"/>
      <c r="N1142" s="60"/>
      <c r="O1142" s="60"/>
      <c r="P1142" s="60"/>
      <c r="Q1142" s="60"/>
      <c r="R1142" s="60"/>
      <c r="S1142" s="60"/>
      <c r="T1142" s="60"/>
      <c r="U1142" s="60"/>
      <c r="V1142" s="60"/>
      <c r="W1142" s="60"/>
      <c r="X1142" s="60"/>
      <c r="Y1142" s="60"/>
      <c r="Z1142" s="60"/>
    </row>
    <row r="1143" spans="1:26" ht="30" hidden="1" customHeight="1">
      <c r="A1143" s="95" t="s">
        <v>2393</v>
      </c>
      <c r="B1143" s="51" t="s">
        <v>1127</v>
      </c>
      <c r="C1143" s="96"/>
      <c r="D1143" s="96"/>
      <c r="E1143" s="53">
        <v>1404.16</v>
      </c>
      <c r="F1143" s="53">
        <v>1404.16</v>
      </c>
      <c r="G1143" s="96"/>
      <c r="H1143" s="96">
        <f t="shared" ref="H1143:H1146" si="420">ROUND(F1143-E1143,2)</f>
        <v>0</v>
      </c>
      <c r="I1143" s="60"/>
      <c r="J1143" s="60"/>
      <c r="K1143" s="60"/>
      <c r="L1143" s="60"/>
      <c r="M1143" s="60"/>
      <c r="N1143" s="60"/>
      <c r="O1143" s="60"/>
      <c r="P1143" s="60"/>
      <c r="Q1143" s="60"/>
      <c r="R1143" s="60"/>
      <c r="S1143" s="60"/>
      <c r="T1143" s="60"/>
      <c r="U1143" s="60"/>
      <c r="V1143" s="60"/>
      <c r="W1143" s="60"/>
      <c r="X1143" s="60"/>
      <c r="Y1143" s="60"/>
      <c r="Z1143" s="60"/>
    </row>
    <row r="1144" spans="1:26" ht="30" hidden="1" customHeight="1">
      <c r="A1144" s="95" t="s">
        <v>2394</v>
      </c>
      <c r="B1144" s="51" t="s">
        <v>1809</v>
      </c>
      <c r="C1144" s="96"/>
      <c r="D1144" s="96"/>
      <c r="E1144" s="53">
        <v>-110565.85</v>
      </c>
      <c r="F1144" s="53">
        <v>-110565.85</v>
      </c>
      <c r="G1144" s="96"/>
      <c r="H1144" s="96">
        <f t="shared" si="420"/>
        <v>0</v>
      </c>
      <c r="I1144" s="60"/>
      <c r="J1144" s="60"/>
      <c r="K1144" s="60"/>
      <c r="L1144" s="60"/>
      <c r="M1144" s="60"/>
      <c r="N1144" s="60"/>
      <c r="O1144" s="60"/>
      <c r="P1144" s="60"/>
      <c r="Q1144" s="60"/>
      <c r="R1144" s="60"/>
      <c r="S1144" s="60"/>
      <c r="T1144" s="60"/>
      <c r="U1144" s="60"/>
      <c r="V1144" s="60"/>
      <c r="W1144" s="60"/>
      <c r="X1144" s="60"/>
      <c r="Y1144" s="60"/>
      <c r="Z1144" s="60"/>
    </row>
    <row r="1145" spans="1:26" ht="30" hidden="1" customHeight="1">
      <c r="A1145" s="95" t="s">
        <v>2395</v>
      </c>
      <c r="B1145" s="51" t="s">
        <v>1804</v>
      </c>
      <c r="C1145" s="96"/>
      <c r="D1145" s="96"/>
      <c r="E1145" s="53"/>
      <c r="F1145" s="53"/>
      <c r="G1145" s="96"/>
      <c r="H1145" s="96">
        <f t="shared" si="420"/>
        <v>0</v>
      </c>
      <c r="I1145" s="60"/>
      <c r="J1145" s="60"/>
      <c r="K1145" s="60"/>
      <c r="L1145" s="60"/>
      <c r="M1145" s="60"/>
      <c r="N1145" s="60"/>
      <c r="O1145" s="60"/>
      <c r="P1145" s="60"/>
      <c r="Q1145" s="60"/>
      <c r="R1145" s="60"/>
      <c r="S1145" s="60"/>
      <c r="T1145" s="60"/>
      <c r="U1145" s="60"/>
      <c r="V1145" s="60"/>
      <c r="W1145" s="60"/>
      <c r="X1145" s="60"/>
      <c r="Y1145" s="60"/>
      <c r="Z1145" s="60"/>
    </row>
    <row r="1146" spans="1:26" ht="30" hidden="1" customHeight="1">
      <c r="A1146" s="95" t="s">
        <v>2396</v>
      </c>
      <c r="B1146" s="51" t="s">
        <v>2086</v>
      </c>
      <c r="C1146" s="96"/>
      <c r="D1146" s="96"/>
      <c r="E1146" s="53">
        <v>147345.04999999999</v>
      </c>
      <c r="F1146" s="53">
        <v>147345.04999999999</v>
      </c>
      <c r="G1146" s="96"/>
      <c r="H1146" s="96">
        <f t="shared" si="420"/>
        <v>0</v>
      </c>
      <c r="I1146" s="60"/>
      <c r="J1146" s="60"/>
      <c r="K1146" s="60"/>
      <c r="L1146" s="60"/>
      <c r="M1146" s="60"/>
      <c r="N1146" s="60"/>
      <c r="O1146" s="60"/>
      <c r="P1146" s="60"/>
      <c r="Q1146" s="60"/>
      <c r="R1146" s="60"/>
      <c r="S1146" s="60"/>
      <c r="T1146" s="60"/>
      <c r="U1146" s="60"/>
      <c r="V1146" s="60"/>
      <c r="W1146" s="60"/>
      <c r="X1146" s="60"/>
      <c r="Y1146" s="60"/>
      <c r="Z1146" s="60"/>
    </row>
    <row r="1147" spans="1:26" ht="30" hidden="1" customHeight="1">
      <c r="A1147" s="95" t="s">
        <v>2397</v>
      </c>
      <c r="B1147" s="51" t="s">
        <v>1139</v>
      </c>
      <c r="C1147" s="96"/>
      <c r="D1147" s="96"/>
      <c r="E1147" s="94">
        <f t="shared" ref="E1147:F1147" si="421">SUM(E1148:E1152)</f>
        <v>40501443.759999998</v>
      </c>
      <c r="F1147" s="94">
        <f t="shared" si="421"/>
        <v>40501443.759999998</v>
      </c>
      <c r="G1147" s="96"/>
      <c r="H1147" s="94">
        <f>SUM(H1148:H1152)</f>
        <v>0</v>
      </c>
      <c r="I1147" s="60"/>
      <c r="J1147" s="60"/>
      <c r="K1147" s="60"/>
      <c r="L1147" s="60"/>
      <c r="M1147" s="60"/>
      <c r="N1147" s="60"/>
      <c r="O1147" s="60"/>
      <c r="P1147" s="60"/>
      <c r="Q1147" s="60"/>
      <c r="R1147" s="60"/>
      <c r="S1147" s="60"/>
      <c r="T1147" s="60"/>
      <c r="U1147" s="60"/>
      <c r="V1147" s="60"/>
      <c r="W1147" s="60"/>
      <c r="X1147" s="60"/>
      <c r="Y1147" s="60"/>
      <c r="Z1147" s="60"/>
    </row>
    <row r="1148" spans="1:26" ht="30" hidden="1" customHeight="1">
      <c r="A1148" s="95" t="s">
        <v>2398</v>
      </c>
      <c r="B1148" s="51" t="s">
        <v>1141</v>
      </c>
      <c r="C1148" s="96"/>
      <c r="D1148" s="96"/>
      <c r="E1148" s="53">
        <v>174.68</v>
      </c>
      <c r="F1148" s="53">
        <v>174.68</v>
      </c>
      <c r="G1148" s="96"/>
      <c r="H1148" s="96">
        <f t="shared" ref="H1148:H1152" si="422">ROUND(F1148-E1148,2)</f>
        <v>0</v>
      </c>
      <c r="I1148" s="60"/>
      <c r="J1148" s="60"/>
      <c r="K1148" s="60"/>
      <c r="L1148" s="60"/>
      <c r="M1148" s="60"/>
      <c r="N1148" s="60"/>
      <c r="O1148" s="60"/>
      <c r="P1148" s="60"/>
      <c r="Q1148" s="60"/>
      <c r="R1148" s="60"/>
      <c r="S1148" s="60"/>
      <c r="T1148" s="60"/>
      <c r="U1148" s="60"/>
      <c r="V1148" s="60"/>
      <c r="W1148" s="60"/>
      <c r="X1148" s="60"/>
      <c r="Y1148" s="60"/>
      <c r="Z1148" s="60"/>
    </row>
    <row r="1149" spans="1:26" ht="30" hidden="1" customHeight="1">
      <c r="A1149" s="95" t="s">
        <v>2399</v>
      </c>
      <c r="B1149" s="51" t="s">
        <v>1143</v>
      </c>
      <c r="C1149" s="96"/>
      <c r="D1149" s="96"/>
      <c r="E1149" s="53">
        <v>4805794.68</v>
      </c>
      <c r="F1149" s="53">
        <v>4805794.68</v>
      </c>
      <c r="G1149" s="96"/>
      <c r="H1149" s="96">
        <f t="shared" si="422"/>
        <v>0</v>
      </c>
      <c r="I1149" s="60"/>
      <c r="J1149" s="60"/>
      <c r="K1149" s="60"/>
      <c r="L1149" s="60"/>
      <c r="M1149" s="60"/>
      <c r="N1149" s="60"/>
      <c r="O1149" s="60"/>
      <c r="P1149" s="60"/>
      <c r="Q1149" s="60"/>
      <c r="R1149" s="60"/>
      <c r="S1149" s="60"/>
      <c r="T1149" s="60"/>
      <c r="U1149" s="60"/>
      <c r="V1149" s="60"/>
      <c r="W1149" s="60"/>
      <c r="X1149" s="60"/>
      <c r="Y1149" s="60"/>
      <c r="Z1149" s="60"/>
    </row>
    <row r="1150" spans="1:26" ht="30" hidden="1" customHeight="1">
      <c r="A1150" s="95" t="s">
        <v>2400</v>
      </c>
      <c r="B1150" s="51" t="s">
        <v>1145</v>
      </c>
      <c r="C1150" s="96"/>
      <c r="D1150" s="96"/>
      <c r="E1150" s="53">
        <v>35695474.399999999</v>
      </c>
      <c r="F1150" s="53">
        <v>35695474.399999999</v>
      </c>
      <c r="G1150" s="96"/>
      <c r="H1150" s="96">
        <f t="shared" si="422"/>
        <v>0</v>
      </c>
      <c r="I1150" s="60"/>
      <c r="J1150" s="60"/>
      <c r="K1150" s="60"/>
      <c r="L1150" s="60"/>
      <c r="M1150" s="60"/>
      <c r="N1150" s="60"/>
      <c r="O1150" s="60"/>
      <c r="P1150" s="60"/>
      <c r="Q1150" s="60"/>
      <c r="R1150" s="60"/>
      <c r="S1150" s="60"/>
      <c r="T1150" s="60"/>
      <c r="U1150" s="60"/>
      <c r="V1150" s="60"/>
      <c r="W1150" s="60"/>
      <c r="X1150" s="60"/>
      <c r="Y1150" s="60"/>
      <c r="Z1150" s="60"/>
    </row>
    <row r="1151" spans="1:26" ht="30" hidden="1" customHeight="1">
      <c r="A1151" s="95" t="s">
        <v>2401</v>
      </c>
      <c r="B1151" s="51" t="s">
        <v>1147</v>
      </c>
      <c r="C1151" s="96"/>
      <c r="D1151" s="96"/>
      <c r="E1151" s="53"/>
      <c r="F1151" s="53"/>
      <c r="G1151" s="96"/>
      <c r="H1151" s="96">
        <f t="shared" si="422"/>
        <v>0</v>
      </c>
      <c r="I1151" s="60"/>
      <c r="J1151" s="60"/>
      <c r="K1151" s="60"/>
      <c r="L1151" s="60"/>
      <c r="M1151" s="60"/>
      <c r="N1151" s="60"/>
      <c r="O1151" s="60"/>
      <c r="P1151" s="60"/>
      <c r="Q1151" s="60"/>
      <c r="R1151" s="60"/>
      <c r="S1151" s="60"/>
      <c r="T1151" s="60"/>
      <c r="U1151" s="60"/>
      <c r="V1151" s="60"/>
      <c r="W1151" s="60"/>
      <c r="X1151" s="60"/>
      <c r="Y1151" s="60"/>
      <c r="Z1151" s="60"/>
    </row>
    <row r="1152" spans="1:26" ht="30" hidden="1" customHeight="1">
      <c r="A1152" s="95" t="s">
        <v>2402</v>
      </c>
      <c r="B1152" s="51" t="s">
        <v>1149</v>
      </c>
      <c r="C1152" s="96"/>
      <c r="D1152" s="96"/>
      <c r="E1152" s="53"/>
      <c r="F1152" s="53"/>
      <c r="G1152" s="96"/>
      <c r="H1152" s="96">
        <f t="shared" si="422"/>
        <v>0</v>
      </c>
      <c r="I1152" s="60"/>
      <c r="J1152" s="60"/>
      <c r="K1152" s="60"/>
      <c r="L1152" s="60"/>
      <c r="M1152" s="60"/>
      <c r="N1152" s="60"/>
      <c r="O1152" s="60"/>
      <c r="P1152" s="60"/>
      <c r="Q1152" s="60"/>
      <c r="R1152" s="60"/>
      <c r="S1152" s="60"/>
      <c r="T1152" s="60"/>
      <c r="U1152" s="60"/>
      <c r="V1152" s="60"/>
      <c r="W1152" s="60"/>
      <c r="X1152" s="60"/>
      <c r="Y1152" s="60"/>
      <c r="Z1152" s="60"/>
    </row>
    <row r="1153" spans="1:26" ht="30" hidden="1" customHeight="1">
      <c r="A1153" s="95" t="s">
        <v>2403</v>
      </c>
      <c r="B1153" s="51" t="s">
        <v>1151</v>
      </c>
      <c r="C1153" s="96"/>
      <c r="D1153" s="96"/>
      <c r="E1153" s="94">
        <f t="shared" ref="E1153:F1153" si="423">SUM(E1154:E1155)</f>
        <v>0</v>
      </c>
      <c r="F1153" s="94">
        <f t="shared" si="423"/>
        <v>0</v>
      </c>
      <c r="G1153" s="96"/>
      <c r="H1153" s="94">
        <f>SUM(H1154:H1155)</f>
        <v>0</v>
      </c>
      <c r="I1153" s="60"/>
      <c r="J1153" s="60"/>
      <c r="K1153" s="60"/>
      <c r="L1153" s="60"/>
      <c r="M1153" s="60"/>
      <c r="N1153" s="60"/>
      <c r="O1153" s="60"/>
      <c r="P1153" s="60"/>
      <c r="Q1153" s="60"/>
      <c r="R1153" s="60"/>
      <c r="S1153" s="60"/>
      <c r="T1153" s="60"/>
      <c r="U1153" s="60"/>
      <c r="V1153" s="60"/>
      <c r="W1153" s="60"/>
      <c r="X1153" s="60"/>
      <c r="Y1153" s="60"/>
      <c r="Z1153" s="60"/>
    </row>
    <row r="1154" spans="1:26" ht="30" hidden="1" customHeight="1">
      <c r="A1154" s="95" t="s">
        <v>2404</v>
      </c>
      <c r="B1154" s="51" t="s">
        <v>1153</v>
      </c>
      <c r="C1154" s="96"/>
      <c r="D1154" s="96"/>
      <c r="E1154" s="53"/>
      <c r="F1154" s="53"/>
      <c r="G1154" s="96"/>
      <c r="H1154" s="96">
        <f t="shared" ref="H1154:H1155" si="424">ROUND(F1154-E1154,2)</f>
        <v>0</v>
      </c>
      <c r="I1154" s="60"/>
      <c r="J1154" s="60"/>
      <c r="K1154" s="60"/>
      <c r="L1154" s="60"/>
      <c r="M1154" s="60"/>
      <c r="N1154" s="60"/>
      <c r="O1154" s="60"/>
      <c r="P1154" s="60"/>
      <c r="Q1154" s="60"/>
      <c r="R1154" s="60"/>
      <c r="S1154" s="60"/>
      <c r="T1154" s="60"/>
      <c r="U1154" s="60"/>
      <c r="V1154" s="60"/>
      <c r="W1154" s="60"/>
      <c r="X1154" s="60"/>
      <c r="Y1154" s="60"/>
      <c r="Z1154" s="60"/>
    </row>
    <row r="1155" spans="1:26" ht="30" hidden="1" customHeight="1">
      <c r="A1155" s="95" t="s">
        <v>2405</v>
      </c>
      <c r="B1155" s="51" t="s">
        <v>1155</v>
      </c>
      <c r="C1155" s="96"/>
      <c r="D1155" s="96"/>
      <c r="E1155" s="53"/>
      <c r="F1155" s="53"/>
      <c r="G1155" s="96"/>
      <c r="H1155" s="96">
        <f t="shared" si="424"/>
        <v>0</v>
      </c>
      <c r="I1155" s="60"/>
      <c r="J1155" s="60"/>
      <c r="K1155" s="60"/>
      <c r="L1155" s="60"/>
      <c r="M1155" s="60"/>
      <c r="N1155" s="60"/>
      <c r="O1155" s="60"/>
      <c r="P1155" s="60"/>
      <c r="Q1155" s="60"/>
      <c r="R1155" s="60"/>
      <c r="S1155" s="60"/>
      <c r="T1155" s="60"/>
      <c r="U1155" s="60"/>
      <c r="V1155" s="60"/>
      <c r="W1155" s="60"/>
      <c r="X1155" s="60"/>
      <c r="Y1155" s="60"/>
      <c r="Z1155" s="60"/>
    </row>
    <row r="1156" spans="1:26" ht="30" hidden="1" customHeight="1">
      <c r="A1156" s="92" t="s">
        <v>2406</v>
      </c>
      <c r="B1156" s="93" t="s">
        <v>2097</v>
      </c>
      <c r="C1156" s="94"/>
      <c r="D1156" s="94"/>
      <c r="E1156" s="94">
        <f t="shared" ref="E1156:F1156" si="425">SUM(E1157:E1165)</f>
        <v>0</v>
      </c>
      <c r="F1156" s="94">
        <f t="shared" si="425"/>
        <v>0</v>
      </c>
      <c r="G1156" s="94"/>
      <c r="H1156" s="94">
        <f>SUM(H1157:H1165)</f>
        <v>0</v>
      </c>
      <c r="I1156" s="60"/>
      <c r="J1156" s="60"/>
      <c r="K1156" s="60"/>
      <c r="L1156" s="60"/>
      <c r="M1156" s="60"/>
      <c r="N1156" s="60"/>
      <c r="O1156" s="60"/>
      <c r="P1156" s="60"/>
      <c r="Q1156" s="60"/>
      <c r="R1156" s="60"/>
      <c r="S1156" s="60"/>
      <c r="T1156" s="60"/>
      <c r="U1156" s="60"/>
      <c r="V1156" s="60"/>
      <c r="W1156" s="60"/>
      <c r="X1156" s="60"/>
      <c r="Y1156" s="60"/>
      <c r="Z1156" s="60"/>
    </row>
    <row r="1157" spans="1:26" ht="30" hidden="1" customHeight="1">
      <c r="A1157" s="95" t="s">
        <v>2407</v>
      </c>
      <c r="B1157" s="51" t="s">
        <v>2408</v>
      </c>
      <c r="C1157" s="96"/>
      <c r="D1157" s="96"/>
      <c r="E1157" s="53"/>
      <c r="F1157" s="53"/>
      <c r="G1157" s="96"/>
      <c r="H1157" s="96">
        <f t="shared" ref="H1157:H1165" si="426">ROUND(F1157-E1157,2)</f>
        <v>0</v>
      </c>
      <c r="I1157" s="60"/>
      <c r="J1157" s="60"/>
      <c r="K1157" s="60"/>
      <c r="L1157" s="60"/>
      <c r="M1157" s="60"/>
      <c r="N1157" s="60"/>
      <c r="O1157" s="60"/>
      <c r="P1157" s="60"/>
      <c r="Q1157" s="60"/>
      <c r="R1157" s="60"/>
      <c r="S1157" s="60"/>
      <c r="T1157" s="60"/>
      <c r="U1157" s="60"/>
      <c r="V1157" s="60"/>
      <c r="W1157" s="60"/>
      <c r="X1157" s="60"/>
      <c r="Y1157" s="60"/>
      <c r="Z1157" s="60"/>
    </row>
    <row r="1158" spans="1:26" ht="30" hidden="1" customHeight="1">
      <c r="A1158" s="95" t="s">
        <v>2409</v>
      </c>
      <c r="B1158" s="51" t="s">
        <v>2410</v>
      </c>
      <c r="C1158" s="96"/>
      <c r="D1158" s="96"/>
      <c r="E1158" s="53"/>
      <c r="F1158" s="53"/>
      <c r="G1158" s="96"/>
      <c r="H1158" s="96">
        <f t="shared" si="426"/>
        <v>0</v>
      </c>
      <c r="I1158" s="60"/>
      <c r="J1158" s="60"/>
      <c r="K1158" s="60"/>
      <c r="L1158" s="60"/>
      <c r="M1158" s="60"/>
      <c r="N1158" s="60"/>
      <c r="O1158" s="60"/>
      <c r="P1158" s="60"/>
      <c r="Q1158" s="60"/>
      <c r="R1158" s="60"/>
      <c r="S1158" s="60"/>
      <c r="T1158" s="60"/>
      <c r="U1158" s="60"/>
      <c r="V1158" s="60"/>
      <c r="W1158" s="60"/>
      <c r="X1158" s="60"/>
      <c r="Y1158" s="60"/>
      <c r="Z1158" s="60"/>
    </row>
    <row r="1159" spans="1:26" ht="30" hidden="1" customHeight="1">
      <c r="A1159" s="95" t="s">
        <v>2411</v>
      </c>
      <c r="B1159" s="51" t="s">
        <v>2103</v>
      </c>
      <c r="C1159" s="96"/>
      <c r="D1159" s="96"/>
      <c r="E1159" s="96"/>
      <c r="F1159" s="96"/>
      <c r="G1159" s="96"/>
      <c r="H1159" s="96">
        <f t="shared" si="426"/>
        <v>0</v>
      </c>
      <c r="I1159" s="60"/>
      <c r="J1159" s="60"/>
      <c r="K1159" s="60"/>
      <c r="L1159" s="60"/>
      <c r="M1159" s="60"/>
      <c r="N1159" s="60"/>
      <c r="O1159" s="60"/>
      <c r="P1159" s="60"/>
      <c r="Q1159" s="60"/>
      <c r="R1159" s="60"/>
      <c r="S1159" s="60"/>
      <c r="T1159" s="60"/>
      <c r="U1159" s="60"/>
      <c r="V1159" s="60"/>
      <c r="W1159" s="60"/>
      <c r="X1159" s="60"/>
      <c r="Y1159" s="60"/>
      <c r="Z1159" s="60"/>
    </row>
    <row r="1160" spans="1:26" ht="30" hidden="1" customHeight="1">
      <c r="A1160" s="95" t="s">
        <v>2412</v>
      </c>
      <c r="B1160" s="51" t="s">
        <v>2413</v>
      </c>
      <c r="C1160" s="96"/>
      <c r="D1160" s="96"/>
      <c r="E1160" s="53"/>
      <c r="F1160" s="53"/>
      <c r="G1160" s="96"/>
      <c r="H1160" s="96">
        <f t="shared" si="426"/>
        <v>0</v>
      </c>
      <c r="I1160" s="60"/>
      <c r="J1160" s="60"/>
      <c r="K1160" s="60"/>
      <c r="L1160" s="60"/>
      <c r="M1160" s="60"/>
      <c r="N1160" s="60"/>
      <c r="O1160" s="60"/>
      <c r="P1160" s="60"/>
      <c r="Q1160" s="60"/>
      <c r="R1160" s="60"/>
      <c r="S1160" s="60"/>
      <c r="T1160" s="60"/>
      <c r="U1160" s="60"/>
      <c r="V1160" s="60"/>
      <c r="W1160" s="60"/>
      <c r="X1160" s="60"/>
      <c r="Y1160" s="60"/>
      <c r="Z1160" s="60"/>
    </row>
    <row r="1161" spans="1:26" ht="30" hidden="1" customHeight="1">
      <c r="A1161" s="95" t="s">
        <v>2414</v>
      </c>
      <c r="B1161" s="51" t="s">
        <v>2415</v>
      </c>
      <c r="C1161" s="96"/>
      <c r="D1161" s="96"/>
      <c r="E1161" s="53"/>
      <c r="F1161" s="53"/>
      <c r="G1161" s="96"/>
      <c r="H1161" s="96">
        <f t="shared" si="426"/>
        <v>0</v>
      </c>
      <c r="I1161" s="60"/>
      <c r="J1161" s="60"/>
      <c r="K1161" s="60"/>
      <c r="L1161" s="60"/>
      <c r="M1161" s="60"/>
      <c r="N1161" s="60"/>
      <c r="O1161" s="60"/>
      <c r="P1161" s="60"/>
      <c r="Q1161" s="60"/>
      <c r="R1161" s="60"/>
      <c r="S1161" s="60"/>
      <c r="T1161" s="60"/>
      <c r="U1161" s="60"/>
      <c r="V1161" s="60"/>
      <c r="W1161" s="60"/>
      <c r="X1161" s="60"/>
      <c r="Y1161" s="60"/>
      <c r="Z1161" s="60"/>
    </row>
    <row r="1162" spans="1:26" ht="30" hidden="1" customHeight="1">
      <c r="A1162" s="95" t="s">
        <v>2416</v>
      </c>
      <c r="B1162" s="51" t="s">
        <v>2109</v>
      </c>
      <c r="C1162" s="96"/>
      <c r="D1162" s="96"/>
      <c r="E1162" s="96"/>
      <c r="F1162" s="96"/>
      <c r="G1162" s="96"/>
      <c r="H1162" s="96">
        <f t="shared" si="426"/>
        <v>0</v>
      </c>
      <c r="I1162" s="60"/>
      <c r="J1162" s="60"/>
      <c r="K1162" s="60"/>
      <c r="L1162" s="60"/>
      <c r="M1162" s="60"/>
      <c r="N1162" s="60"/>
      <c r="O1162" s="60"/>
      <c r="P1162" s="60"/>
      <c r="Q1162" s="60"/>
      <c r="R1162" s="60"/>
      <c r="S1162" s="60"/>
      <c r="T1162" s="60"/>
      <c r="U1162" s="60"/>
      <c r="V1162" s="60"/>
      <c r="W1162" s="60"/>
      <c r="X1162" s="60"/>
      <c r="Y1162" s="60"/>
      <c r="Z1162" s="60"/>
    </row>
    <row r="1163" spans="1:26" ht="30" hidden="1" customHeight="1">
      <c r="A1163" s="95" t="s">
        <v>2417</v>
      </c>
      <c r="B1163" s="51" t="s">
        <v>1175</v>
      </c>
      <c r="C1163" s="96"/>
      <c r="D1163" s="96"/>
      <c r="E1163" s="53"/>
      <c r="F1163" s="53"/>
      <c r="G1163" s="96"/>
      <c r="H1163" s="96">
        <f t="shared" si="426"/>
        <v>0</v>
      </c>
      <c r="I1163" s="60"/>
      <c r="J1163" s="60"/>
      <c r="K1163" s="60"/>
      <c r="L1163" s="60"/>
      <c r="M1163" s="60"/>
      <c r="N1163" s="60"/>
      <c r="O1163" s="60"/>
      <c r="P1163" s="60"/>
      <c r="Q1163" s="60"/>
      <c r="R1163" s="60"/>
      <c r="S1163" s="60"/>
      <c r="T1163" s="60"/>
      <c r="U1163" s="60"/>
      <c r="V1163" s="60"/>
      <c r="W1163" s="60"/>
      <c r="X1163" s="60"/>
      <c r="Y1163" s="60"/>
      <c r="Z1163" s="60"/>
    </row>
    <row r="1164" spans="1:26" ht="30" hidden="1" customHeight="1">
      <c r="A1164" s="95" t="s">
        <v>2418</v>
      </c>
      <c r="B1164" s="51" t="s">
        <v>2112</v>
      </c>
      <c r="C1164" s="96"/>
      <c r="D1164" s="96"/>
      <c r="E1164" s="96"/>
      <c r="F1164" s="96"/>
      <c r="G1164" s="96"/>
      <c r="H1164" s="96">
        <f t="shared" si="426"/>
        <v>0</v>
      </c>
      <c r="I1164" s="60"/>
      <c r="J1164" s="60"/>
      <c r="K1164" s="60"/>
      <c r="L1164" s="60"/>
      <c r="M1164" s="60"/>
      <c r="N1164" s="60"/>
      <c r="O1164" s="60"/>
      <c r="P1164" s="60"/>
      <c r="Q1164" s="60"/>
      <c r="R1164" s="60"/>
      <c r="S1164" s="60"/>
      <c r="T1164" s="60"/>
      <c r="U1164" s="60"/>
      <c r="V1164" s="60"/>
      <c r="W1164" s="60"/>
      <c r="X1164" s="60"/>
      <c r="Y1164" s="60"/>
      <c r="Z1164" s="60"/>
    </row>
    <row r="1165" spans="1:26" ht="30" hidden="1" customHeight="1">
      <c r="A1165" s="95" t="s">
        <v>2419</v>
      </c>
      <c r="B1165" s="51" t="s">
        <v>1180</v>
      </c>
      <c r="C1165" s="96"/>
      <c r="D1165" s="96"/>
      <c r="E1165" s="53"/>
      <c r="F1165" s="53"/>
      <c r="G1165" s="96"/>
      <c r="H1165" s="96">
        <f t="shared" si="426"/>
        <v>0</v>
      </c>
      <c r="I1165" s="60"/>
      <c r="J1165" s="60"/>
      <c r="K1165" s="60"/>
      <c r="L1165" s="60"/>
      <c r="M1165" s="60"/>
      <c r="N1165" s="60"/>
      <c r="O1165" s="60"/>
      <c r="P1165" s="60"/>
      <c r="Q1165" s="60"/>
      <c r="R1165" s="60"/>
      <c r="S1165" s="60"/>
      <c r="T1165" s="60"/>
      <c r="U1165" s="60"/>
      <c r="V1165" s="60"/>
      <c r="W1165" s="60"/>
      <c r="X1165" s="60"/>
      <c r="Y1165" s="60"/>
      <c r="Z1165" s="60"/>
    </row>
    <row r="1166" spans="1:26" ht="30" hidden="1" customHeight="1">
      <c r="A1166" s="92" t="s">
        <v>2420</v>
      </c>
      <c r="B1166" s="93" t="s">
        <v>2115</v>
      </c>
      <c r="C1166" s="94"/>
      <c r="D1166" s="94"/>
      <c r="E1166" s="94">
        <f t="shared" ref="E1166:F1166" si="427">SUM(E1167:E1169)</f>
        <v>0</v>
      </c>
      <c r="F1166" s="94">
        <f t="shared" si="427"/>
        <v>0</v>
      </c>
      <c r="G1166" s="94"/>
      <c r="H1166" s="94">
        <f>SUM(H1167:H1169)</f>
        <v>0</v>
      </c>
      <c r="I1166" s="60"/>
      <c r="J1166" s="60"/>
      <c r="K1166" s="60"/>
      <c r="L1166" s="60"/>
      <c r="M1166" s="60"/>
      <c r="N1166" s="60"/>
      <c r="O1166" s="60"/>
      <c r="P1166" s="60"/>
      <c r="Q1166" s="60"/>
      <c r="R1166" s="60"/>
      <c r="S1166" s="60"/>
      <c r="T1166" s="60"/>
      <c r="U1166" s="60"/>
      <c r="V1166" s="60"/>
      <c r="W1166" s="60"/>
      <c r="X1166" s="60"/>
      <c r="Y1166" s="60"/>
      <c r="Z1166" s="60"/>
    </row>
    <row r="1167" spans="1:26" ht="30" hidden="1" customHeight="1">
      <c r="A1167" s="95" t="s">
        <v>2421</v>
      </c>
      <c r="B1167" s="51" t="s">
        <v>2117</v>
      </c>
      <c r="C1167" s="96"/>
      <c r="D1167" s="96"/>
      <c r="E1167" s="96"/>
      <c r="F1167" s="96"/>
      <c r="G1167" s="96"/>
      <c r="H1167" s="96">
        <f t="shared" ref="H1167:H1168" si="428">ROUND(F1167-E1167,2)</f>
        <v>0</v>
      </c>
      <c r="I1167" s="60"/>
      <c r="J1167" s="60"/>
      <c r="K1167" s="60"/>
      <c r="L1167" s="60"/>
      <c r="M1167" s="60"/>
      <c r="N1167" s="60"/>
      <c r="O1167" s="60"/>
      <c r="P1167" s="60"/>
      <c r="Q1167" s="60"/>
      <c r="R1167" s="60"/>
      <c r="S1167" s="60"/>
      <c r="T1167" s="60"/>
      <c r="U1167" s="60"/>
      <c r="V1167" s="60"/>
      <c r="W1167" s="60"/>
      <c r="X1167" s="60"/>
      <c r="Y1167" s="60"/>
      <c r="Z1167" s="60"/>
    </row>
    <row r="1168" spans="1:26" ht="30" hidden="1" customHeight="1">
      <c r="A1168" s="95" t="s">
        <v>2422</v>
      </c>
      <c r="B1168" s="51" t="s">
        <v>2119</v>
      </c>
      <c r="C1168" s="96"/>
      <c r="D1168" s="96"/>
      <c r="E1168" s="96"/>
      <c r="F1168" s="96"/>
      <c r="G1168" s="96"/>
      <c r="H1168" s="96">
        <f t="shared" si="428"/>
        <v>0</v>
      </c>
      <c r="I1168" s="60"/>
      <c r="J1168" s="60"/>
      <c r="K1168" s="60"/>
      <c r="L1168" s="60"/>
      <c r="M1168" s="60"/>
      <c r="N1168" s="60"/>
      <c r="O1168" s="60"/>
      <c r="P1168" s="60"/>
      <c r="Q1168" s="60"/>
      <c r="R1168" s="60"/>
      <c r="S1168" s="60"/>
      <c r="T1168" s="60"/>
      <c r="U1168" s="60"/>
      <c r="V1168" s="60"/>
      <c r="W1168" s="60"/>
      <c r="X1168" s="60"/>
      <c r="Y1168" s="60"/>
      <c r="Z1168" s="60"/>
    </row>
    <row r="1169" spans="1:26" ht="30" hidden="1" customHeight="1">
      <c r="A1169" s="95" t="s">
        <v>2423</v>
      </c>
      <c r="B1169" s="55" t="s">
        <v>2121</v>
      </c>
      <c r="C1169" s="96"/>
      <c r="D1169" s="96"/>
      <c r="E1169" s="94">
        <f t="shared" ref="E1169:F1169" si="429">SUM(E1170:E1171)</f>
        <v>0</v>
      </c>
      <c r="F1169" s="94">
        <f t="shared" si="429"/>
        <v>0</v>
      </c>
      <c r="G1169" s="96"/>
      <c r="H1169" s="94">
        <f>SUM(H1170:H1171)</f>
        <v>0</v>
      </c>
      <c r="I1169" s="60"/>
      <c r="J1169" s="60"/>
      <c r="K1169" s="60"/>
      <c r="L1169" s="60"/>
      <c r="M1169" s="60"/>
      <c r="N1169" s="60"/>
      <c r="O1169" s="60"/>
      <c r="P1169" s="60"/>
      <c r="Q1169" s="60"/>
      <c r="R1169" s="60"/>
      <c r="S1169" s="60"/>
      <c r="T1169" s="60"/>
      <c r="U1169" s="60"/>
      <c r="V1169" s="60"/>
      <c r="W1169" s="60"/>
      <c r="X1169" s="60"/>
      <c r="Y1169" s="60"/>
      <c r="Z1169" s="60"/>
    </row>
    <row r="1170" spans="1:26" ht="30" hidden="1" customHeight="1">
      <c r="A1170" s="98" t="s">
        <v>2424</v>
      </c>
      <c r="B1170" s="55" t="s">
        <v>2123</v>
      </c>
      <c r="C1170" s="99"/>
      <c r="D1170" s="96"/>
      <c r="E1170" s="53"/>
      <c r="F1170" s="53"/>
      <c r="G1170" s="96"/>
      <c r="H1170" s="96">
        <f t="shared" ref="H1170:H1171" si="430">ROUND(F1170-E1170,2)</f>
        <v>0</v>
      </c>
      <c r="I1170" s="60"/>
      <c r="J1170" s="60"/>
      <c r="K1170" s="60"/>
      <c r="L1170" s="60"/>
      <c r="M1170" s="60"/>
      <c r="N1170" s="60"/>
      <c r="O1170" s="60"/>
      <c r="P1170" s="60"/>
      <c r="Q1170" s="60"/>
      <c r="R1170" s="60"/>
      <c r="S1170" s="60"/>
      <c r="T1170" s="60"/>
      <c r="U1170" s="60"/>
      <c r="V1170" s="60"/>
      <c r="W1170" s="60"/>
      <c r="X1170" s="60"/>
      <c r="Y1170" s="60"/>
      <c r="Z1170" s="60"/>
    </row>
    <row r="1171" spans="1:26" ht="30" hidden="1" customHeight="1">
      <c r="A1171" s="98" t="s">
        <v>2425</v>
      </c>
      <c r="B1171" s="55" t="s">
        <v>2125</v>
      </c>
      <c r="C1171" s="99"/>
      <c r="D1171" s="96"/>
      <c r="E1171" s="53"/>
      <c r="F1171" s="53"/>
      <c r="G1171" s="96"/>
      <c r="H1171" s="96">
        <f t="shared" si="430"/>
        <v>0</v>
      </c>
      <c r="I1171" s="60"/>
      <c r="J1171" s="60"/>
      <c r="K1171" s="60"/>
      <c r="L1171" s="60"/>
      <c r="M1171" s="60"/>
      <c r="N1171" s="60"/>
      <c r="O1171" s="60"/>
      <c r="P1171" s="60"/>
      <c r="Q1171" s="60"/>
      <c r="R1171" s="60"/>
      <c r="S1171" s="60"/>
      <c r="T1171" s="60"/>
      <c r="U1171" s="60"/>
      <c r="V1171" s="60"/>
      <c r="W1171" s="60"/>
      <c r="X1171" s="60"/>
      <c r="Y1171" s="60"/>
      <c r="Z1171" s="60"/>
    </row>
    <row r="1172" spans="1:26" ht="30" hidden="1" customHeight="1">
      <c r="A1172" s="73">
        <v>81500</v>
      </c>
      <c r="B1172" s="91" t="s">
        <v>2426</v>
      </c>
      <c r="C1172" s="80"/>
      <c r="D1172" s="34"/>
      <c r="E1172" s="34">
        <f t="shared" ref="E1172:F1172" si="431">E1173+E1183+E1189+E1192+E1199+E1203+E1208+E1218+E1250+E1260</f>
        <v>0</v>
      </c>
      <c r="F1172" s="34">
        <f t="shared" si="431"/>
        <v>7057759731.4099998</v>
      </c>
      <c r="G1172" s="35"/>
      <c r="H1172" s="35">
        <f>F1172-E1172</f>
        <v>7057759731.4099998</v>
      </c>
      <c r="I1172" s="60"/>
      <c r="J1172" s="60"/>
      <c r="K1172" s="60"/>
      <c r="L1172" s="60"/>
      <c r="M1172" s="60"/>
      <c r="N1172" s="60"/>
      <c r="O1172" s="60"/>
      <c r="P1172" s="60"/>
      <c r="Q1172" s="60"/>
      <c r="R1172" s="60"/>
      <c r="S1172" s="60"/>
      <c r="T1172" s="60"/>
      <c r="U1172" s="60"/>
      <c r="V1172" s="60"/>
      <c r="W1172" s="60"/>
      <c r="X1172" s="60"/>
      <c r="Y1172" s="60"/>
      <c r="Z1172" s="60"/>
    </row>
    <row r="1173" spans="1:26" ht="30" hidden="1" customHeight="1">
      <c r="A1173" s="92" t="s">
        <v>2427</v>
      </c>
      <c r="B1173" s="93" t="s">
        <v>1992</v>
      </c>
      <c r="C1173" s="94"/>
      <c r="D1173" s="94"/>
      <c r="E1173" s="94">
        <f t="shared" ref="E1173:F1173" si="432">SUM(E1174:E1182)</f>
        <v>0</v>
      </c>
      <c r="F1173" s="94">
        <f t="shared" si="432"/>
        <v>2369059661.6899996</v>
      </c>
      <c r="G1173" s="94"/>
      <c r="H1173" s="94">
        <f>SUM(H1174:H1182)</f>
        <v>2369059661.6899996</v>
      </c>
      <c r="I1173" s="60"/>
      <c r="J1173" s="60"/>
      <c r="K1173" s="60"/>
      <c r="L1173" s="60"/>
      <c r="M1173" s="60"/>
      <c r="N1173" s="60"/>
      <c r="O1173" s="60"/>
      <c r="P1173" s="60"/>
      <c r="Q1173" s="60"/>
      <c r="R1173" s="60"/>
      <c r="S1173" s="60"/>
      <c r="T1173" s="60"/>
      <c r="U1173" s="60"/>
      <c r="V1173" s="60"/>
      <c r="W1173" s="60"/>
      <c r="X1173" s="60"/>
      <c r="Y1173" s="60"/>
      <c r="Z1173" s="60"/>
    </row>
    <row r="1174" spans="1:26" ht="30" hidden="1" customHeight="1">
      <c r="A1174" s="95" t="s">
        <v>2428</v>
      </c>
      <c r="B1174" s="51" t="s">
        <v>899</v>
      </c>
      <c r="C1174" s="96"/>
      <c r="D1174" s="96"/>
      <c r="E1174" s="53"/>
      <c r="F1174" s="53">
        <v>14877409.199999999</v>
      </c>
      <c r="G1174" s="96"/>
      <c r="H1174" s="96">
        <f t="shared" ref="H1174:H1182" si="433">ROUND(F1174-E1174,2)</f>
        <v>14877409.199999999</v>
      </c>
      <c r="I1174" s="60"/>
      <c r="J1174" s="60"/>
      <c r="K1174" s="60"/>
      <c r="L1174" s="60"/>
      <c r="M1174" s="60"/>
      <c r="N1174" s="60"/>
      <c r="O1174" s="60"/>
      <c r="P1174" s="60"/>
      <c r="Q1174" s="60"/>
      <c r="R1174" s="60"/>
      <c r="S1174" s="60"/>
      <c r="T1174" s="60"/>
      <c r="U1174" s="60"/>
      <c r="V1174" s="60"/>
      <c r="W1174" s="60"/>
      <c r="X1174" s="60"/>
      <c r="Y1174" s="60"/>
      <c r="Z1174" s="60"/>
    </row>
    <row r="1175" spans="1:26" ht="30" hidden="1" customHeight="1">
      <c r="A1175" s="95" t="s">
        <v>2429</v>
      </c>
      <c r="B1175" s="51" t="s">
        <v>1995</v>
      </c>
      <c r="C1175" s="96"/>
      <c r="D1175" s="96"/>
      <c r="E1175" s="53"/>
      <c r="F1175" s="53">
        <v>2250233189.5900002</v>
      </c>
      <c r="G1175" s="96"/>
      <c r="H1175" s="96">
        <f t="shared" si="433"/>
        <v>2250233189.5900002</v>
      </c>
      <c r="I1175" s="60"/>
      <c r="J1175" s="60"/>
      <c r="K1175" s="60"/>
      <c r="L1175" s="60"/>
      <c r="M1175" s="60"/>
      <c r="N1175" s="60"/>
      <c r="O1175" s="60"/>
      <c r="P1175" s="60"/>
      <c r="Q1175" s="60"/>
      <c r="R1175" s="60"/>
      <c r="S1175" s="60"/>
      <c r="T1175" s="60"/>
      <c r="U1175" s="60"/>
      <c r="V1175" s="60"/>
      <c r="W1175" s="60"/>
      <c r="X1175" s="60"/>
      <c r="Y1175" s="60"/>
      <c r="Z1175" s="60"/>
    </row>
    <row r="1176" spans="1:26" ht="30" hidden="1" customHeight="1">
      <c r="A1176" s="95" t="s">
        <v>2430</v>
      </c>
      <c r="B1176" s="51" t="s">
        <v>1997</v>
      </c>
      <c r="C1176" s="96"/>
      <c r="D1176" s="96"/>
      <c r="E1176" s="53"/>
      <c r="F1176" s="53"/>
      <c r="G1176" s="96"/>
      <c r="H1176" s="96">
        <f t="shared" si="433"/>
        <v>0</v>
      </c>
      <c r="I1176" s="60"/>
      <c r="J1176" s="60"/>
      <c r="K1176" s="60"/>
      <c r="L1176" s="60"/>
      <c r="M1176" s="60"/>
      <c r="N1176" s="60"/>
      <c r="O1176" s="60"/>
      <c r="P1176" s="60"/>
      <c r="Q1176" s="60"/>
      <c r="R1176" s="60"/>
      <c r="S1176" s="60"/>
      <c r="T1176" s="60"/>
      <c r="U1176" s="60"/>
      <c r="V1176" s="60"/>
      <c r="W1176" s="60"/>
      <c r="X1176" s="60"/>
      <c r="Y1176" s="60"/>
      <c r="Z1176" s="60"/>
    </row>
    <row r="1177" spans="1:26" ht="30" hidden="1" customHeight="1">
      <c r="A1177" s="95" t="s">
        <v>2431</v>
      </c>
      <c r="B1177" s="51" t="s">
        <v>912</v>
      </c>
      <c r="C1177" s="96"/>
      <c r="D1177" s="96"/>
      <c r="E1177" s="96"/>
      <c r="F1177" s="96"/>
      <c r="G1177" s="96"/>
      <c r="H1177" s="96">
        <f t="shared" si="433"/>
        <v>0</v>
      </c>
      <c r="I1177" s="60"/>
      <c r="J1177" s="60"/>
      <c r="K1177" s="60"/>
      <c r="L1177" s="60"/>
      <c r="M1177" s="60"/>
      <c r="N1177" s="60"/>
      <c r="O1177" s="60"/>
      <c r="P1177" s="60"/>
      <c r="Q1177" s="60"/>
      <c r="R1177" s="60"/>
      <c r="S1177" s="60"/>
      <c r="T1177" s="60"/>
      <c r="U1177" s="60"/>
      <c r="V1177" s="60"/>
      <c r="W1177" s="60"/>
      <c r="X1177" s="60"/>
      <c r="Y1177" s="60"/>
      <c r="Z1177" s="60"/>
    </row>
    <row r="1178" spans="1:26" ht="30" hidden="1" customHeight="1">
      <c r="A1178" s="95" t="s">
        <v>2432</v>
      </c>
      <c r="B1178" s="51" t="s">
        <v>914</v>
      </c>
      <c r="C1178" s="96"/>
      <c r="D1178" s="96"/>
      <c r="E1178" s="96"/>
      <c r="F1178" s="96"/>
      <c r="G1178" s="96"/>
      <c r="H1178" s="96">
        <f t="shared" si="433"/>
        <v>0</v>
      </c>
      <c r="I1178" s="60"/>
      <c r="J1178" s="60"/>
      <c r="K1178" s="60"/>
      <c r="L1178" s="60"/>
      <c r="M1178" s="60"/>
      <c r="N1178" s="60"/>
      <c r="O1178" s="60"/>
      <c r="P1178" s="60"/>
      <c r="Q1178" s="60"/>
      <c r="R1178" s="60"/>
      <c r="S1178" s="60"/>
      <c r="T1178" s="60"/>
      <c r="U1178" s="60"/>
      <c r="V1178" s="60"/>
      <c r="W1178" s="60"/>
      <c r="X1178" s="60"/>
      <c r="Y1178" s="60"/>
      <c r="Z1178" s="60"/>
    </row>
    <row r="1179" spans="1:26" ht="30" hidden="1" customHeight="1">
      <c r="A1179" s="95" t="s">
        <v>2433</v>
      </c>
      <c r="B1179" s="51" t="s">
        <v>916</v>
      </c>
      <c r="C1179" s="96"/>
      <c r="D1179" s="96"/>
      <c r="E1179" s="96"/>
      <c r="F1179" s="96"/>
      <c r="G1179" s="96"/>
      <c r="H1179" s="96">
        <f t="shared" si="433"/>
        <v>0</v>
      </c>
      <c r="I1179" s="60"/>
      <c r="J1179" s="60"/>
      <c r="K1179" s="60"/>
      <c r="L1179" s="60"/>
      <c r="M1179" s="60"/>
      <c r="N1179" s="60"/>
      <c r="O1179" s="60"/>
      <c r="P1179" s="60"/>
      <c r="Q1179" s="60"/>
      <c r="R1179" s="60"/>
      <c r="S1179" s="60"/>
      <c r="T1179" s="60"/>
      <c r="U1179" s="60"/>
      <c r="V1179" s="60"/>
      <c r="W1179" s="60"/>
      <c r="X1179" s="60"/>
      <c r="Y1179" s="60"/>
      <c r="Z1179" s="60"/>
    </row>
    <row r="1180" spans="1:26" ht="30" hidden="1" customHeight="1">
      <c r="A1180" s="95" t="s">
        <v>2434</v>
      </c>
      <c r="B1180" s="51" t="s">
        <v>2002</v>
      </c>
      <c r="C1180" s="96"/>
      <c r="D1180" s="96"/>
      <c r="E1180" s="53"/>
      <c r="F1180" s="53">
        <v>86830113.659999996</v>
      </c>
      <c r="G1180" s="96"/>
      <c r="H1180" s="96">
        <f t="shared" si="433"/>
        <v>86830113.659999996</v>
      </c>
      <c r="I1180" s="60"/>
      <c r="J1180" s="60"/>
      <c r="K1180" s="60"/>
      <c r="L1180" s="60"/>
      <c r="M1180" s="60"/>
      <c r="N1180" s="60"/>
      <c r="O1180" s="60"/>
      <c r="P1180" s="60"/>
      <c r="Q1180" s="60"/>
      <c r="R1180" s="60"/>
      <c r="S1180" s="60"/>
      <c r="T1180" s="60"/>
      <c r="U1180" s="60"/>
      <c r="V1180" s="60"/>
      <c r="W1180" s="60"/>
      <c r="X1180" s="60"/>
      <c r="Y1180" s="60"/>
      <c r="Z1180" s="60"/>
    </row>
    <row r="1181" spans="1:26" ht="30" hidden="1" customHeight="1">
      <c r="A1181" s="95" t="s">
        <v>2435</v>
      </c>
      <c r="B1181" s="51" t="s">
        <v>933</v>
      </c>
      <c r="C1181" s="96"/>
      <c r="D1181" s="96"/>
      <c r="E1181" s="53"/>
      <c r="F1181" s="53">
        <v>17118949.239999998</v>
      </c>
      <c r="G1181" s="96"/>
      <c r="H1181" s="96">
        <f t="shared" si="433"/>
        <v>17118949.239999998</v>
      </c>
      <c r="I1181" s="60"/>
      <c r="J1181" s="60"/>
      <c r="K1181" s="60"/>
      <c r="L1181" s="60"/>
      <c r="M1181" s="60"/>
      <c r="N1181" s="60"/>
      <c r="O1181" s="60"/>
      <c r="P1181" s="60"/>
      <c r="Q1181" s="60"/>
      <c r="R1181" s="60"/>
      <c r="S1181" s="60"/>
      <c r="T1181" s="60"/>
      <c r="U1181" s="60"/>
      <c r="V1181" s="60"/>
      <c r="W1181" s="60"/>
      <c r="X1181" s="60"/>
      <c r="Y1181" s="60"/>
      <c r="Z1181" s="60"/>
    </row>
    <row r="1182" spans="1:26" ht="30" hidden="1" customHeight="1">
      <c r="A1182" s="95" t="s">
        <v>2436</v>
      </c>
      <c r="B1182" s="51" t="s">
        <v>2005</v>
      </c>
      <c r="C1182" s="52"/>
      <c r="D1182" s="52"/>
      <c r="E1182" s="53"/>
      <c r="F1182" s="53"/>
      <c r="G1182" s="96"/>
      <c r="H1182" s="96">
        <f t="shared" si="433"/>
        <v>0</v>
      </c>
      <c r="I1182" s="72"/>
      <c r="J1182" s="72"/>
      <c r="K1182" s="72"/>
      <c r="L1182" s="72"/>
      <c r="M1182" s="72"/>
      <c r="N1182" s="72"/>
      <c r="O1182" s="72"/>
      <c r="P1182" s="72"/>
      <c r="Q1182" s="72"/>
      <c r="R1182" s="72"/>
      <c r="S1182" s="72"/>
      <c r="T1182" s="72"/>
      <c r="U1182" s="72"/>
      <c r="V1182" s="72"/>
      <c r="W1182" s="72"/>
      <c r="X1182" s="72"/>
      <c r="Y1182" s="72"/>
      <c r="Z1182" s="72"/>
    </row>
    <row r="1183" spans="1:26" ht="30" hidden="1" customHeight="1">
      <c r="A1183" s="92" t="s">
        <v>2437</v>
      </c>
      <c r="B1183" s="93" t="s">
        <v>2007</v>
      </c>
      <c r="C1183" s="94"/>
      <c r="D1183" s="94"/>
      <c r="E1183" s="94">
        <f t="shared" ref="E1183:F1183" si="434">SUM(E1184:E1188)</f>
        <v>0</v>
      </c>
      <c r="F1183" s="94">
        <f t="shared" si="434"/>
        <v>0</v>
      </c>
      <c r="G1183" s="94"/>
      <c r="H1183" s="94">
        <f>SUM(H1184:H1188)</f>
        <v>0</v>
      </c>
      <c r="I1183" s="60"/>
      <c r="J1183" s="60"/>
      <c r="K1183" s="60"/>
      <c r="L1183" s="60"/>
      <c r="M1183" s="60"/>
      <c r="N1183" s="60"/>
      <c r="O1183" s="60"/>
      <c r="P1183" s="60"/>
      <c r="Q1183" s="60"/>
      <c r="R1183" s="60"/>
      <c r="S1183" s="60"/>
      <c r="T1183" s="60"/>
      <c r="U1183" s="60"/>
      <c r="V1183" s="60"/>
      <c r="W1183" s="60"/>
      <c r="X1183" s="60"/>
      <c r="Y1183" s="60"/>
      <c r="Z1183" s="60"/>
    </row>
    <row r="1184" spans="1:26" ht="30" hidden="1" customHeight="1">
      <c r="A1184" s="95" t="s">
        <v>2438</v>
      </c>
      <c r="B1184" s="51" t="s">
        <v>938</v>
      </c>
      <c r="C1184" s="96"/>
      <c r="D1184" s="96"/>
      <c r="E1184" s="96"/>
      <c r="F1184" s="96"/>
      <c r="G1184" s="96"/>
      <c r="H1184" s="96">
        <f t="shared" ref="H1184:H1188" si="435">ROUND(F1184-E1184,2)</f>
        <v>0</v>
      </c>
      <c r="I1184" s="60"/>
      <c r="J1184" s="60"/>
      <c r="K1184" s="60"/>
      <c r="L1184" s="60"/>
      <c r="M1184" s="60"/>
      <c r="N1184" s="60"/>
      <c r="O1184" s="60"/>
      <c r="P1184" s="60"/>
      <c r="Q1184" s="60"/>
      <c r="R1184" s="60"/>
      <c r="S1184" s="60"/>
      <c r="T1184" s="60"/>
      <c r="U1184" s="60"/>
      <c r="V1184" s="60"/>
      <c r="W1184" s="60"/>
      <c r="X1184" s="60"/>
      <c r="Y1184" s="60"/>
      <c r="Z1184" s="60"/>
    </row>
    <row r="1185" spans="1:26" ht="30" hidden="1" customHeight="1">
      <c r="A1185" s="95" t="s">
        <v>2439</v>
      </c>
      <c r="B1185" s="51" t="s">
        <v>2010</v>
      </c>
      <c r="C1185" s="96"/>
      <c r="D1185" s="96"/>
      <c r="E1185" s="96"/>
      <c r="F1185" s="96"/>
      <c r="G1185" s="96"/>
      <c r="H1185" s="96">
        <f t="shared" si="435"/>
        <v>0</v>
      </c>
      <c r="I1185" s="60"/>
      <c r="J1185" s="60"/>
      <c r="K1185" s="60"/>
      <c r="L1185" s="60"/>
      <c r="M1185" s="60"/>
      <c r="N1185" s="60"/>
      <c r="O1185" s="60"/>
      <c r="P1185" s="60"/>
      <c r="Q1185" s="60"/>
      <c r="R1185" s="60"/>
      <c r="S1185" s="60"/>
      <c r="T1185" s="60"/>
      <c r="U1185" s="60"/>
      <c r="V1185" s="60"/>
      <c r="W1185" s="60"/>
      <c r="X1185" s="60"/>
      <c r="Y1185" s="60"/>
      <c r="Z1185" s="60"/>
    </row>
    <row r="1186" spans="1:26" ht="30" hidden="1" customHeight="1">
      <c r="A1186" s="95" t="s">
        <v>2440</v>
      </c>
      <c r="B1186" s="51" t="s">
        <v>942</v>
      </c>
      <c r="C1186" s="96"/>
      <c r="D1186" s="96"/>
      <c r="E1186" s="96"/>
      <c r="F1186" s="96"/>
      <c r="G1186" s="96"/>
      <c r="H1186" s="96">
        <f t="shared" si="435"/>
        <v>0</v>
      </c>
      <c r="I1186" s="60"/>
      <c r="J1186" s="60"/>
      <c r="K1186" s="60"/>
      <c r="L1186" s="60"/>
      <c r="M1186" s="60"/>
      <c r="N1186" s="60"/>
      <c r="O1186" s="60"/>
      <c r="P1186" s="60"/>
      <c r="Q1186" s="60"/>
      <c r="R1186" s="60"/>
      <c r="S1186" s="60"/>
      <c r="T1186" s="60"/>
      <c r="U1186" s="60"/>
      <c r="V1186" s="60"/>
      <c r="W1186" s="60"/>
      <c r="X1186" s="60"/>
      <c r="Y1186" s="60"/>
      <c r="Z1186" s="60"/>
    </row>
    <row r="1187" spans="1:26" ht="30" hidden="1" customHeight="1">
      <c r="A1187" s="95" t="s">
        <v>2441</v>
      </c>
      <c r="B1187" s="51" t="s">
        <v>946</v>
      </c>
      <c r="C1187" s="96"/>
      <c r="D1187" s="96"/>
      <c r="E1187" s="96"/>
      <c r="F1187" s="96"/>
      <c r="G1187" s="96"/>
      <c r="H1187" s="96">
        <f t="shared" si="435"/>
        <v>0</v>
      </c>
      <c r="I1187" s="60"/>
      <c r="J1187" s="60"/>
      <c r="K1187" s="60"/>
      <c r="L1187" s="60"/>
      <c r="M1187" s="60"/>
      <c r="N1187" s="60"/>
      <c r="O1187" s="60"/>
      <c r="P1187" s="60"/>
      <c r="Q1187" s="60"/>
      <c r="R1187" s="60"/>
      <c r="S1187" s="60"/>
      <c r="T1187" s="60"/>
      <c r="U1187" s="60"/>
      <c r="V1187" s="60"/>
      <c r="W1187" s="60"/>
      <c r="X1187" s="60"/>
      <c r="Y1187" s="60"/>
      <c r="Z1187" s="60"/>
    </row>
    <row r="1188" spans="1:26" ht="30" hidden="1" customHeight="1">
      <c r="A1188" s="95" t="s">
        <v>2442</v>
      </c>
      <c r="B1188" s="51" t="s">
        <v>944</v>
      </c>
      <c r="C1188" s="96"/>
      <c r="D1188" s="96"/>
      <c r="E1188" s="96"/>
      <c r="F1188" s="96"/>
      <c r="G1188" s="96"/>
      <c r="H1188" s="96">
        <f t="shared" si="435"/>
        <v>0</v>
      </c>
      <c r="I1188" s="60"/>
      <c r="J1188" s="60"/>
      <c r="K1188" s="60"/>
      <c r="L1188" s="60"/>
      <c r="M1188" s="60"/>
      <c r="N1188" s="60"/>
      <c r="O1188" s="60"/>
      <c r="P1188" s="60"/>
      <c r="Q1188" s="60"/>
      <c r="R1188" s="60"/>
      <c r="S1188" s="60"/>
      <c r="T1188" s="60"/>
      <c r="U1188" s="60"/>
      <c r="V1188" s="60"/>
      <c r="W1188" s="60"/>
      <c r="X1188" s="60"/>
      <c r="Y1188" s="60"/>
      <c r="Z1188" s="60"/>
    </row>
    <row r="1189" spans="1:26" ht="30" hidden="1" customHeight="1">
      <c r="A1189" s="92" t="s">
        <v>2443</v>
      </c>
      <c r="B1189" s="93" t="s">
        <v>2015</v>
      </c>
      <c r="C1189" s="94"/>
      <c r="D1189" s="94"/>
      <c r="E1189" s="94">
        <f t="shared" ref="E1189:F1189" si="436">SUM(E1190:E1191)</f>
        <v>0</v>
      </c>
      <c r="F1189" s="94">
        <f t="shared" si="436"/>
        <v>0</v>
      </c>
      <c r="G1189" s="94"/>
      <c r="H1189" s="94">
        <f>SUM(H1190:H1191)</f>
        <v>0</v>
      </c>
      <c r="I1189" s="60"/>
      <c r="J1189" s="60"/>
      <c r="K1189" s="60"/>
      <c r="L1189" s="60"/>
      <c r="M1189" s="60"/>
      <c r="N1189" s="60"/>
      <c r="O1189" s="60"/>
      <c r="P1189" s="60"/>
      <c r="Q1189" s="60"/>
      <c r="R1189" s="60"/>
      <c r="S1189" s="60"/>
      <c r="T1189" s="60"/>
      <c r="U1189" s="60"/>
      <c r="V1189" s="60"/>
      <c r="W1189" s="60"/>
      <c r="X1189" s="60"/>
      <c r="Y1189" s="60"/>
      <c r="Z1189" s="60"/>
    </row>
    <row r="1190" spans="1:26" ht="30" hidden="1" customHeight="1">
      <c r="A1190" s="95" t="s">
        <v>2444</v>
      </c>
      <c r="B1190" s="51" t="s">
        <v>952</v>
      </c>
      <c r="C1190" s="96"/>
      <c r="D1190" s="96"/>
      <c r="E1190" s="53"/>
      <c r="F1190" s="53"/>
      <c r="G1190" s="96"/>
      <c r="H1190" s="96">
        <f t="shared" ref="H1190:H1191" si="437">ROUND(F1190-E1190,2)</f>
        <v>0</v>
      </c>
      <c r="I1190" s="60"/>
      <c r="J1190" s="60"/>
      <c r="K1190" s="60"/>
      <c r="L1190" s="60"/>
      <c r="M1190" s="60"/>
      <c r="N1190" s="60"/>
      <c r="O1190" s="60"/>
      <c r="P1190" s="60"/>
      <c r="Q1190" s="60"/>
      <c r="R1190" s="60"/>
      <c r="S1190" s="60"/>
      <c r="T1190" s="60"/>
      <c r="U1190" s="60"/>
      <c r="V1190" s="60"/>
      <c r="W1190" s="60"/>
      <c r="X1190" s="60"/>
      <c r="Y1190" s="60"/>
      <c r="Z1190" s="60"/>
    </row>
    <row r="1191" spans="1:26" ht="30" hidden="1" customHeight="1">
      <c r="A1191" s="95" t="s">
        <v>2445</v>
      </c>
      <c r="B1191" s="51" t="s">
        <v>2018</v>
      </c>
      <c r="C1191" s="96"/>
      <c r="D1191" s="96"/>
      <c r="E1191" s="53"/>
      <c r="F1191" s="53"/>
      <c r="G1191" s="96"/>
      <c r="H1191" s="96">
        <f t="shared" si="437"/>
        <v>0</v>
      </c>
      <c r="I1191" s="60"/>
      <c r="J1191" s="60"/>
      <c r="K1191" s="60"/>
      <c r="L1191" s="60"/>
      <c r="M1191" s="60"/>
      <c r="N1191" s="60"/>
      <c r="O1191" s="60"/>
      <c r="P1191" s="60"/>
      <c r="Q1191" s="60"/>
      <c r="R1191" s="60"/>
      <c r="S1191" s="60"/>
      <c r="T1191" s="60"/>
      <c r="U1191" s="60"/>
      <c r="V1191" s="60"/>
      <c r="W1191" s="60"/>
      <c r="X1191" s="60"/>
      <c r="Y1191" s="60"/>
      <c r="Z1191" s="60"/>
    </row>
    <row r="1192" spans="1:26" ht="30" hidden="1" customHeight="1">
      <c r="A1192" s="92" t="s">
        <v>2446</v>
      </c>
      <c r="B1192" s="93" t="s">
        <v>2020</v>
      </c>
      <c r="C1192" s="94"/>
      <c r="D1192" s="94"/>
      <c r="E1192" s="94">
        <f t="shared" ref="E1192:F1192" si="438">SUM(E1193:E1198)</f>
        <v>0</v>
      </c>
      <c r="F1192" s="94">
        <f t="shared" si="438"/>
        <v>677173940.41000009</v>
      </c>
      <c r="G1192" s="94"/>
      <c r="H1192" s="94">
        <f>SUM(H1193:H1198)</f>
        <v>677173940.41000009</v>
      </c>
      <c r="I1192" s="60"/>
      <c r="J1192" s="60"/>
      <c r="K1192" s="60"/>
      <c r="L1192" s="60"/>
      <c r="M1192" s="60"/>
      <c r="N1192" s="60"/>
      <c r="O1192" s="60"/>
      <c r="P1192" s="60"/>
      <c r="Q1192" s="60"/>
      <c r="R1192" s="60"/>
      <c r="S1192" s="60"/>
      <c r="T1192" s="60"/>
      <c r="U1192" s="60"/>
      <c r="V1192" s="60"/>
      <c r="W1192" s="60"/>
      <c r="X1192" s="60"/>
      <c r="Y1192" s="60"/>
      <c r="Z1192" s="60"/>
    </row>
    <row r="1193" spans="1:26" ht="30" hidden="1" customHeight="1">
      <c r="A1193" s="95" t="s">
        <v>2447</v>
      </c>
      <c r="B1193" s="51" t="s">
        <v>959</v>
      </c>
      <c r="C1193" s="96"/>
      <c r="D1193" s="96"/>
      <c r="E1193" s="53"/>
      <c r="F1193" s="53">
        <v>222437491.43000001</v>
      </c>
      <c r="G1193" s="96"/>
      <c r="H1193" s="96">
        <f t="shared" ref="H1193:H1198" si="439">ROUND(F1193-E1193,2)</f>
        <v>222437491.43000001</v>
      </c>
      <c r="I1193" s="60"/>
      <c r="J1193" s="60"/>
      <c r="K1193" s="60"/>
      <c r="L1193" s="60"/>
      <c r="M1193" s="60"/>
      <c r="N1193" s="60"/>
      <c r="O1193" s="60"/>
      <c r="P1193" s="60"/>
      <c r="Q1193" s="60"/>
      <c r="R1193" s="60"/>
      <c r="S1193" s="60"/>
      <c r="T1193" s="60"/>
      <c r="U1193" s="60"/>
      <c r="V1193" s="60"/>
      <c r="W1193" s="60"/>
      <c r="X1193" s="60"/>
      <c r="Y1193" s="60"/>
      <c r="Z1193" s="60"/>
    </row>
    <row r="1194" spans="1:26" ht="30" hidden="1" customHeight="1">
      <c r="A1194" s="95" t="s">
        <v>2448</v>
      </c>
      <c r="B1194" s="51" t="s">
        <v>2023</v>
      </c>
      <c r="C1194" s="96"/>
      <c r="D1194" s="96"/>
      <c r="E1194" s="96"/>
      <c r="F1194" s="96"/>
      <c r="G1194" s="96"/>
      <c r="H1194" s="96">
        <f t="shared" si="439"/>
        <v>0</v>
      </c>
      <c r="I1194" s="60"/>
      <c r="J1194" s="60"/>
      <c r="K1194" s="60"/>
      <c r="L1194" s="60"/>
      <c r="M1194" s="60"/>
      <c r="N1194" s="60"/>
      <c r="O1194" s="60"/>
      <c r="P1194" s="60"/>
      <c r="Q1194" s="60"/>
      <c r="R1194" s="60"/>
      <c r="S1194" s="60"/>
      <c r="T1194" s="60"/>
      <c r="U1194" s="60"/>
      <c r="V1194" s="60"/>
      <c r="W1194" s="60"/>
      <c r="X1194" s="60"/>
      <c r="Y1194" s="60"/>
      <c r="Z1194" s="60"/>
    </row>
    <row r="1195" spans="1:26" ht="30" hidden="1" customHeight="1">
      <c r="A1195" s="95" t="s">
        <v>2449</v>
      </c>
      <c r="B1195" s="51" t="s">
        <v>971</v>
      </c>
      <c r="C1195" s="96"/>
      <c r="D1195" s="96"/>
      <c r="E1195" s="53"/>
      <c r="F1195" s="53">
        <v>400082601.66000003</v>
      </c>
      <c r="G1195" s="96"/>
      <c r="H1195" s="96">
        <f t="shared" si="439"/>
        <v>400082601.66000003</v>
      </c>
      <c r="I1195" s="60"/>
      <c r="J1195" s="60"/>
      <c r="K1195" s="60"/>
      <c r="L1195" s="60"/>
      <c r="M1195" s="60"/>
      <c r="N1195" s="60"/>
      <c r="O1195" s="60"/>
      <c r="P1195" s="60"/>
      <c r="Q1195" s="60"/>
      <c r="R1195" s="60"/>
      <c r="S1195" s="60"/>
      <c r="T1195" s="60"/>
      <c r="U1195" s="60"/>
      <c r="V1195" s="60"/>
      <c r="W1195" s="60"/>
      <c r="X1195" s="60"/>
      <c r="Y1195" s="60"/>
      <c r="Z1195" s="60"/>
    </row>
    <row r="1196" spans="1:26" ht="30" hidden="1" customHeight="1">
      <c r="A1196" s="95" t="s">
        <v>2450</v>
      </c>
      <c r="B1196" s="51" t="s">
        <v>1011</v>
      </c>
      <c r="C1196" s="96"/>
      <c r="D1196" s="96"/>
      <c r="E1196" s="53"/>
      <c r="F1196" s="53">
        <v>33195164.48</v>
      </c>
      <c r="G1196" s="96"/>
      <c r="H1196" s="96">
        <f t="shared" si="439"/>
        <v>33195164.48</v>
      </c>
      <c r="I1196" s="60"/>
      <c r="J1196" s="60"/>
      <c r="K1196" s="60"/>
      <c r="L1196" s="60"/>
      <c r="M1196" s="60"/>
      <c r="N1196" s="60"/>
      <c r="O1196" s="60"/>
      <c r="P1196" s="60"/>
      <c r="Q1196" s="60"/>
      <c r="R1196" s="60"/>
      <c r="S1196" s="60"/>
      <c r="T1196" s="60"/>
      <c r="U1196" s="60"/>
      <c r="V1196" s="60"/>
      <c r="W1196" s="60"/>
      <c r="X1196" s="60"/>
      <c r="Y1196" s="60"/>
      <c r="Z1196" s="60"/>
    </row>
    <row r="1197" spans="1:26" ht="30" hidden="1" customHeight="1">
      <c r="A1197" s="95" t="s">
        <v>2451</v>
      </c>
      <c r="B1197" s="51" t="s">
        <v>2027</v>
      </c>
      <c r="C1197" s="96"/>
      <c r="D1197" s="96"/>
      <c r="E1197" s="53"/>
      <c r="F1197" s="53">
        <v>21458682.84</v>
      </c>
      <c r="G1197" s="96"/>
      <c r="H1197" s="96">
        <f t="shared" si="439"/>
        <v>21458682.84</v>
      </c>
      <c r="I1197" s="60"/>
      <c r="J1197" s="60"/>
      <c r="K1197" s="60"/>
      <c r="L1197" s="60"/>
      <c r="M1197" s="60"/>
      <c r="N1197" s="60"/>
      <c r="O1197" s="60"/>
      <c r="P1197" s="60"/>
      <c r="Q1197" s="60"/>
      <c r="R1197" s="60"/>
      <c r="S1197" s="60"/>
      <c r="T1197" s="60"/>
      <c r="U1197" s="60"/>
      <c r="V1197" s="60"/>
      <c r="W1197" s="60"/>
      <c r="X1197" s="60"/>
      <c r="Y1197" s="60"/>
      <c r="Z1197" s="60"/>
    </row>
    <row r="1198" spans="1:26" ht="30" hidden="1" customHeight="1">
      <c r="A1198" s="95" t="s">
        <v>2452</v>
      </c>
      <c r="B1198" s="51" t="s">
        <v>1008</v>
      </c>
      <c r="C1198" s="96"/>
      <c r="D1198" s="96"/>
      <c r="E1198" s="53"/>
      <c r="F1198" s="53"/>
      <c r="G1198" s="96"/>
      <c r="H1198" s="96">
        <f t="shared" si="439"/>
        <v>0</v>
      </c>
      <c r="I1198" s="60"/>
      <c r="J1198" s="60"/>
      <c r="K1198" s="60"/>
      <c r="L1198" s="60"/>
      <c r="M1198" s="60"/>
      <c r="N1198" s="60"/>
      <c r="O1198" s="60"/>
      <c r="P1198" s="60"/>
      <c r="Q1198" s="60"/>
      <c r="R1198" s="60"/>
      <c r="S1198" s="60"/>
      <c r="T1198" s="60"/>
      <c r="U1198" s="60"/>
      <c r="V1198" s="60"/>
      <c r="W1198" s="60"/>
      <c r="X1198" s="60"/>
      <c r="Y1198" s="60"/>
      <c r="Z1198" s="60"/>
    </row>
    <row r="1199" spans="1:26" ht="30" hidden="1" customHeight="1">
      <c r="A1199" s="92" t="s">
        <v>2453</v>
      </c>
      <c r="B1199" s="93" t="s">
        <v>1016</v>
      </c>
      <c r="C1199" s="94"/>
      <c r="D1199" s="94"/>
      <c r="E1199" s="94">
        <f t="shared" ref="E1199:F1199" si="440">SUM(E1200:E1202)</f>
        <v>0</v>
      </c>
      <c r="F1199" s="94">
        <f t="shared" si="440"/>
        <v>100037434.66</v>
      </c>
      <c r="G1199" s="94"/>
      <c r="H1199" s="94">
        <f>SUM(H1200:H1202)</f>
        <v>100037434.66</v>
      </c>
      <c r="I1199" s="60"/>
      <c r="J1199" s="60"/>
      <c r="K1199" s="60"/>
      <c r="L1199" s="60"/>
      <c r="M1199" s="60"/>
      <c r="N1199" s="60"/>
      <c r="O1199" s="60"/>
      <c r="P1199" s="60"/>
      <c r="Q1199" s="60"/>
      <c r="R1199" s="60"/>
      <c r="S1199" s="60"/>
      <c r="T1199" s="60"/>
      <c r="U1199" s="60"/>
      <c r="V1199" s="60"/>
      <c r="W1199" s="60"/>
      <c r="X1199" s="60"/>
      <c r="Y1199" s="60"/>
      <c r="Z1199" s="60"/>
    </row>
    <row r="1200" spans="1:26" ht="30" hidden="1" customHeight="1">
      <c r="A1200" s="95" t="s">
        <v>2454</v>
      </c>
      <c r="B1200" s="51" t="s">
        <v>1016</v>
      </c>
      <c r="C1200" s="96"/>
      <c r="D1200" s="96"/>
      <c r="E1200" s="53"/>
      <c r="F1200" s="53">
        <v>100037434.66</v>
      </c>
      <c r="G1200" s="96"/>
      <c r="H1200" s="96">
        <f t="shared" ref="H1200:H1202" si="441">ROUND(F1200-E1200,2)</f>
        <v>100037434.66</v>
      </c>
      <c r="I1200" s="60"/>
      <c r="J1200" s="60"/>
      <c r="K1200" s="60"/>
      <c r="L1200" s="60"/>
      <c r="M1200" s="60"/>
      <c r="N1200" s="60"/>
      <c r="O1200" s="60"/>
      <c r="P1200" s="60"/>
      <c r="Q1200" s="60"/>
      <c r="R1200" s="60"/>
      <c r="S1200" s="60"/>
      <c r="T1200" s="60"/>
      <c r="U1200" s="60"/>
      <c r="V1200" s="60"/>
      <c r="W1200" s="60"/>
      <c r="X1200" s="60"/>
      <c r="Y1200" s="60"/>
      <c r="Z1200" s="60"/>
    </row>
    <row r="1201" spans="1:26" ht="30" hidden="1" customHeight="1">
      <c r="A1201" s="95" t="s">
        <v>2455</v>
      </c>
      <c r="B1201" s="51" t="s">
        <v>2032</v>
      </c>
      <c r="C1201" s="96"/>
      <c r="D1201" s="96"/>
      <c r="E1201" s="96"/>
      <c r="F1201" s="96"/>
      <c r="G1201" s="96"/>
      <c r="H1201" s="96">
        <f t="shared" si="441"/>
        <v>0</v>
      </c>
      <c r="I1201" s="60"/>
      <c r="J1201" s="60"/>
      <c r="K1201" s="60"/>
      <c r="L1201" s="60"/>
      <c r="M1201" s="60"/>
      <c r="N1201" s="60"/>
      <c r="O1201" s="60"/>
      <c r="P1201" s="60"/>
      <c r="Q1201" s="60"/>
      <c r="R1201" s="60"/>
      <c r="S1201" s="60"/>
      <c r="T1201" s="60"/>
      <c r="U1201" s="60"/>
      <c r="V1201" s="60"/>
      <c r="W1201" s="60"/>
      <c r="X1201" s="60"/>
      <c r="Y1201" s="60"/>
      <c r="Z1201" s="60"/>
    </row>
    <row r="1202" spans="1:26" ht="30" hidden="1" customHeight="1">
      <c r="A1202" s="95" t="s">
        <v>2456</v>
      </c>
      <c r="B1202" s="51" t="s">
        <v>2034</v>
      </c>
      <c r="C1202" s="96"/>
      <c r="D1202" s="96"/>
      <c r="E1202" s="53"/>
      <c r="F1202" s="53"/>
      <c r="G1202" s="96"/>
      <c r="H1202" s="96">
        <f t="shared" si="441"/>
        <v>0</v>
      </c>
      <c r="I1202" s="60"/>
      <c r="J1202" s="60"/>
      <c r="K1202" s="60"/>
      <c r="L1202" s="60"/>
      <c r="M1202" s="60"/>
      <c r="N1202" s="60"/>
      <c r="O1202" s="60"/>
      <c r="P1202" s="60"/>
      <c r="Q1202" s="60"/>
      <c r="R1202" s="60"/>
      <c r="S1202" s="60"/>
      <c r="T1202" s="60"/>
      <c r="U1202" s="60"/>
      <c r="V1202" s="60"/>
      <c r="W1202" s="60"/>
      <c r="X1202" s="60"/>
      <c r="Y1202" s="60"/>
      <c r="Z1202" s="60"/>
    </row>
    <row r="1203" spans="1:26" ht="30" hidden="1" customHeight="1">
      <c r="A1203" s="92" t="s">
        <v>2457</v>
      </c>
      <c r="B1203" s="93" t="s">
        <v>2036</v>
      </c>
      <c r="C1203" s="94"/>
      <c r="D1203" s="94"/>
      <c r="E1203" s="94">
        <f t="shared" ref="E1203:F1203" si="442">SUM(E1204:E1207)</f>
        <v>0</v>
      </c>
      <c r="F1203" s="94">
        <f t="shared" si="442"/>
        <v>87159634.730000004</v>
      </c>
      <c r="G1203" s="94"/>
      <c r="H1203" s="94">
        <f>SUM(H1204:H1207)</f>
        <v>87159634.730000004</v>
      </c>
      <c r="I1203" s="60"/>
      <c r="J1203" s="60"/>
      <c r="K1203" s="60"/>
      <c r="L1203" s="60"/>
      <c r="M1203" s="60"/>
      <c r="N1203" s="60"/>
      <c r="O1203" s="60"/>
      <c r="P1203" s="60"/>
      <c r="Q1203" s="60"/>
      <c r="R1203" s="60"/>
      <c r="S1203" s="60"/>
      <c r="T1203" s="60"/>
      <c r="U1203" s="60"/>
      <c r="V1203" s="60"/>
      <c r="W1203" s="60"/>
      <c r="X1203" s="60"/>
      <c r="Y1203" s="60"/>
      <c r="Z1203" s="60"/>
    </row>
    <row r="1204" spans="1:26" ht="30" hidden="1" customHeight="1">
      <c r="A1204" s="95" t="s">
        <v>2458</v>
      </c>
      <c r="B1204" s="51" t="s">
        <v>2036</v>
      </c>
      <c r="C1204" s="96"/>
      <c r="D1204" s="96"/>
      <c r="E1204" s="53"/>
      <c r="F1204" s="53">
        <v>86943294.030000001</v>
      </c>
      <c r="G1204" s="96"/>
      <c r="H1204" s="96">
        <f t="shared" ref="H1204:H1207" si="443">ROUND(F1204-E1204,2)</f>
        <v>86943294.030000001</v>
      </c>
      <c r="I1204" s="60"/>
      <c r="J1204" s="60"/>
      <c r="K1204" s="60"/>
      <c r="L1204" s="60"/>
      <c r="M1204" s="60"/>
      <c r="N1204" s="60"/>
      <c r="O1204" s="60"/>
      <c r="P1204" s="60"/>
      <c r="Q1204" s="60"/>
      <c r="R1204" s="60"/>
      <c r="S1204" s="60"/>
      <c r="T1204" s="60"/>
      <c r="U1204" s="60"/>
      <c r="V1204" s="60"/>
      <c r="W1204" s="60"/>
      <c r="X1204" s="60"/>
      <c r="Y1204" s="60"/>
      <c r="Z1204" s="60"/>
    </row>
    <row r="1205" spans="1:26" ht="30" hidden="1" customHeight="1">
      <c r="A1205" s="95" t="s">
        <v>2459</v>
      </c>
      <c r="B1205" s="51" t="s">
        <v>2039</v>
      </c>
      <c r="C1205" s="96"/>
      <c r="D1205" s="96"/>
      <c r="E1205" s="53"/>
      <c r="F1205" s="53"/>
      <c r="G1205" s="96"/>
      <c r="H1205" s="96">
        <f t="shared" si="443"/>
        <v>0</v>
      </c>
      <c r="I1205" s="60"/>
      <c r="J1205" s="60"/>
      <c r="K1205" s="60"/>
      <c r="L1205" s="60"/>
      <c r="M1205" s="60"/>
      <c r="N1205" s="60"/>
      <c r="O1205" s="60"/>
      <c r="P1205" s="60"/>
      <c r="Q1205" s="60"/>
      <c r="R1205" s="60"/>
      <c r="S1205" s="60"/>
      <c r="T1205" s="60"/>
      <c r="U1205" s="60"/>
      <c r="V1205" s="60"/>
      <c r="W1205" s="60"/>
      <c r="X1205" s="60"/>
      <c r="Y1205" s="60"/>
      <c r="Z1205" s="60"/>
    </row>
    <row r="1206" spans="1:26" ht="30" hidden="1" customHeight="1">
      <c r="A1206" s="95" t="s">
        <v>2460</v>
      </c>
      <c r="B1206" s="51" t="s">
        <v>2041</v>
      </c>
      <c r="C1206" s="96"/>
      <c r="D1206" s="96"/>
      <c r="E1206" s="53"/>
      <c r="F1206" s="53">
        <v>216224.7</v>
      </c>
      <c r="G1206" s="96"/>
      <c r="H1206" s="96">
        <f t="shared" si="443"/>
        <v>216224.7</v>
      </c>
      <c r="I1206" s="60"/>
      <c r="J1206" s="60"/>
      <c r="K1206" s="60"/>
      <c r="L1206" s="60"/>
      <c r="M1206" s="60"/>
      <c r="N1206" s="60"/>
      <c r="O1206" s="60"/>
      <c r="P1206" s="60"/>
      <c r="Q1206" s="60"/>
      <c r="R1206" s="60"/>
      <c r="S1206" s="60"/>
      <c r="T1206" s="60"/>
      <c r="U1206" s="60"/>
      <c r="V1206" s="60"/>
      <c r="W1206" s="60"/>
      <c r="X1206" s="60"/>
      <c r="Y1206" s="60"/>
      <c r="Z1206" s="60"/>
    </row>
    <row r="1207" spans="1:26" ht="30" hidden="1" customHeight="1">
      <c r="A1207" s="95" t="s">
        <v>2461</v>
      </c>
      <c r="B1207" s="51" t="s">
        <v>1046</v>
      </c>
      <c r="C1207" s="96"/>
      <c r="D1207" s="96"/>
      <c r="E1207" s="53"/>
      <c r="F1207" s="53">
        <v>116</v>
      </c>
      <c r="G1207" s="96"/>
      <c r="H1207" s="96">
        <f t="shared" si="443"/>
        <v>116</v>
      </c>
      <c r="I1207" s="60"/>
      <c r="J1207" s="60"/>
      <c r="K1207" s="60"/>
      <c r="L1207" s="60"/>
      <c r="M1207" s="60"/>
      <c r="N1207" s="60"/>
      <c r="O1207" s="60"/>
      <c r="P1207" s="60"/>
      <c r="Q1207" s="60"/>
      <c r="R1207" s="60"/>
      <c r="S1207" s="60"/>
      <c r="T1207" s="60"/>
      <c r="U1207" s="60"/>
      <c r="V1207" s="60"/>
      <c r="W1207" s="60"/>
      <c r="X1207" s="60"/>
      <c r="Y1207" s="60"/>
      <c r="Z1207" s="60"/>
    </row>
    <row r="1208" spans="1:26" ht="30" hidden="1" customHeight="1">
      <c r="A1208" s="92" t="s">
        <v>2462</v>
      </c>
      <c r="B1208" s="93" t="s">
        <v>2044</v>
      </c>
      <c r="C1208" s="94"/>
      <c r="D1208" s="94"/>
      <c r="E1208" s="94">
        <f t="shared" ref="E1208:F1208" si="444">SUM(E1209:E1217)</f>
        <v>0</v>
      </c>
      <c r="F1208" s="94">
        <f t="shared" si="444"/>
        <v>0</v>
      </c>
      <c r="G1208" s="94"/>
      <c r="H1208" s="94">
        <f>SUM(H1209:H1217)</f>
        <v>0</v>
      </c>
      <c r="I1208" s="60"/>
      <c r="J1208" s="60"/>
      <c r="K1208" s="60"/>
      <c r="L1208" s="60"/>
      <c r="M1208" s="60"/>
      <c r="N1208" s="60"/>
      <c r="O1208" s="60"/>
      <c r="P1208" s="60"/>
      <c r="Q1208" s="60"/>
      <c r="R1208" s="60"/>
      <c r="S1208" s="60"/>
      <c r="T1208" s="60"/>
      <c r="U1208" s="60"/>
      <c r="V1208" s="60"/>
      <c r="W1208" s="60"/>
      <c r="X1208" s="60"/>
      <c r="Y1208" s="60"/>
      <c r="Z1208" s="60"/>
    </row>
    <row r="1209" spans="1:26" ht="30" hidden="1" customHeight="1">
      <c r="A1209" s="95" t="s">
        <v>2463</v>
      </c>
      <c r="B1209" s="51" t="s">
        <v>1065</v>
      </c>
      <c r="C1209" s="96"/>
      <c r="D1209" s="96"/>
      <c r="E1209" s="53"/>
      <c r="F1209" s="53"/>
      <c r="G1209" s="96"/>
      <c r="H1209" s="96">
        <f t="shared" ref="H1209:H1217" si="445">ROUND(F1209-E1209,2)</f>
        <v>0</v>
      </c>
      <c r="I1209" s="60"/>
      <c r="J1209" s="60"/>
      <c r="K1209" s="60"/>
      <c r="L1209" s="60"/>
      <c r="M1209" s="60"/>
      <c r="N1209" s="60"/>
      <c r="O1209" s="60"/>
      <c r="P1209" s="60"/>
      <c r="Q1209" s="60"/>
      <c r="R1209" s="60"/>
      <c r="S1209" s="60"/>
      <c r="T1209" s="60"/>
      <c r="U1209" s="60"/>
      <c r="V1209" s="60"/>
      <c r="W1209" s="60"/>
      <c r="X1209" s="60"/>
      <c r="Y1209" s="60"/>
      <c r="Z1209" s="60"/>
    </row>
    <row r="1210" spans="1:26" ht="30" hidden="1" customHeight="1">
      <c r="A1210" s="95" t="s">
        <v>2464</v>
      </c>
      <c r="B1210" s="51" t="s">
        <v>1067</v>
      </c>
      <c r="C1210" s="96"/>
      <c r="D1210" s="96"/>
      <c r="E1210" s="96"/>
      <c r="F1210" s="96"/>
      <c r="G1210" s="96"/>
      <c r="H1210" s="96">
        <f t="shared" si="445"/>
        <v>0</v>
      </c>
      <c r="I1210" s="60"/>
      <c r="J1210" s="60"/>
      <c r="K1210" s="60"/>
      <c r="L1210" s="60"/>
      <c r="M1210" s="60"/>
      <c r="N1210" s="60"/>
      <c r="O1210" s="60"/>
      <c r="P1210" s="60"/>
      <c r="Q1210" s="60"/>
      <c r="R1210" s="60"/>
      <c r="S1210" s="60"/>
      <c r="T1210" s="60"/>
      <c r="U1210" s="60"/>
      <c r="V1210" s="60"/>
      <c r="W1210" s="60"/>
      <c r="X1210" s="60"/>
      <c r="Y1210" s="60"/>
      <c r="Z1210" s="60"/>
    </row>
    <row r="1211" spans="1:26" ht="30" hidden="1" customHeight="1">
      <c r="A1211" s="95" t="s">
        <v>2465</v>
      </c>
      <c r="B1211" s="51" t="s">
        <v>1069</v>
      </c>
      <c r="C1211" s="96"/>
      <c r="D1211" s="96"/>
      <c r="E1211" s="53"/>
      <c r="F1211" s="53"/>
      <c r="G1211" s="96"/>
      <c r="H1211" s="96">
        <f t="shared" si="445"/>
        <v>0</v>
      </c>
      <c r="I1211" s="60"/>
      <c r="J1211" s="60"/>
      <c r="K1211" s="60"/>
      <c r="L1211" s="60"/>
      <c r="M1211" s="60"/>
      <c r="N1211" s="60"/>
      <c r="O1211" s="60"/>
      <c r="P1211" s="60"/>
      <c r="Q1211" s="60"/>
      <c r="R1211" s="60"/>
      <c r="S1211" s="60"/>
      <c r="T1211" s="60"/>
      <c r="U1211" s="60"/>
      <c r="V1211" s="60"/>
      <c r="W1211" s="60"/>
      <c r="X1211" s="60"/>
      <c r="Y1211" s="60"/>
      <c r="Z1211" s="60"/>
    </row>
    <row r="1212" spans="1:26" ht="30" hidden="1" customHeight="1">
      <c r="A1212" s="95" t="s">
        <v>2466</v>
      </c>
      <c r="B1212" s="51" t="s">
        <v>2049</v>
      </c>
      <c r="C1212" s="96"/>
      <c r="D1212" s="96"/>
      <c r="E1212" s="96"/>
      <c r="F1212" s="96"/>
      <c r="G1212" s="96"/>
      <c r="H1212" s="96">
        <f t="shared" si="445"/>
        <v>0</v>
      </c>
      <c r="I1212" s="60"/>
      <c r="J1212" s="60"/>
      <c r="K1212" s="60"/>
      <c r="L1212" s="60"/>
      <c r="M1212" s="60"/>
      <c r="N1212" s="60"/>
      <c r="O1212" s="60"/>
      <c r="P1212" s="60"/>
      <c r="Q1212" s="60"/>
      <c r="R1212" s="60"/>
      <c r="S1212" s="60"/>
      <c r="T1212" s="60"/>
      <c r="U1212" s="60"/>
      <c r="V1212" s="60"/>
      <c r="W1212" s="60"/>
      <c r="X1212" s="60"/>
      <c r="Y1212" s="60"/>
      <c r="Z1212" s="60"/>
    </row>
    <row r="1213" spans="1:26" ht="30" hidden="1" customHeight="1">
      <c r="A1213" s="95" t="s">
        <v>2467</v>
      </c>
      <c r="B1213" s="51" t="s">
        <v>1074</v>
      </c>
      <c r="C1213" s="96"/>
      <c r="D1213" s="96"/>
      <c r="E1213" s="96"/>
      <c r="F1213" s="96"/>
      <c r="G1213" s="96"/>
      <c r="H1213" s="96">
        <f t="shared" si="445"/>
        <v>0</v>
      </c>
      <c r="I1213" s="60"/>
      <c r="J1213" s="60"/>
      <c r="K1213" s="60"/>
      <c r="L1213" s="60"/>
      <c r="M1213" s="60"/>
      <c r="N1213" s="60"/>
      <c r="O1213" s="60"/>
      <c r="P1213" s="60"/>
      <c r="Q1213" s="60"/>
      <c r="R1213" s="60"/>
      <c r="S1213" s="60"/>
      <c r="T1213" s="60"/>
      <c r="U1213" s="60"/>
      <c r="V1213" s="60"/>
      <c r="W1213" s="60"/>
      <c r="X1213" s="60"/>
      <c r="Y1213" s="60"/>
      <c r="Z1213" s="60"/>
    </row>
    <row r="1214" spans="1:26" ht="30" hidden="1" customHeight="1">
      <c r="A1214" s="95" t="s">
        <v>2468</v>
      </c>
      <c r="B1214" s="51" t="s">
        <v>1076</v>
      </c>
      <c r="C1214" s="96"/>
      <c r="D1214" s="96"/>
      <c r="E1214" s="96"/>
      <c r="F1214" s="96"/>
      <c r="G1214" s="96"/>
      <c r="H1214" s="96">
        <f t="shared" si="445"/>
        <v>0</v>
      </c>
      <c r="I1214" s="60"/>
      <c r="J1214" s="60"/>
      <c r="K1214" s="60"/>
      <c r="L1214" s="60"/>
      <c r="M1214" s="60"/>
      <c r="N1214" s="60"/>
      <c r="O1214" s="60"/>
      <c r="P1214" s="60"/>
      <c r="Q1214" s="60"/>
      <c r="R1214" s="60"/>
      <c r="S1214" s="60"/>
      <c r="T1214" s="60"/>
      <c r="U1214" s="60"/>
      <c r="V1214" s="60"/>
      <c r="W1214" s="60"/>
      <c r="X1214" s="60"/>
      <c r="Y1214" s="60"/>
      <c r="Z1214" s="60"/>
    </row>
    <row r="1215" spans="1:26" ht="30" hidden="1" customHeight="1">
      <c r="A1215" s="95" t="s">
        <v>2469</v>
      </c>
      <c r="B1215" s="51" t="s">
        <v>1078</v>
      </c>
      <c r="C1215" s="96"/>
      <c r="D1215" s="96"/>
      <c r="E1215" s="53"/>
      <c r="F1215" s="53"/>
      <c r="G1215" s="96"/>
      <c r="H1215" s="96">
        <f t="shared" si="445"/>
        <v>0</v>
      </c>
      <c r="I1215" s="60"/>
      <c r="J1215" s="60"/>
      <c r="K1215" s="60"/>
      <c r="L1215" s="60"/>
      <c r="M1215" s="60"/>
      <c r="N1215" s="60"/>
      <c r="O1215" s="60"/>
      <c r="P1215" s="60"/>
      <c r="Q1215" s="60"/>
      <c r="R1215" s="60"/>
      <c r="S1215" s="60"/>
      <c r="T1215" s="60"/>
      <c r="U1215" s="60"/>
      <c r="V1215" s="60"/>
      <c r="W1215" s="60"/>
      <c r="X1215" s="60"/>
      <c r="Y1215" s="60"/>
      <c r="Z1215" s="60"/>
    </row>
    <row r="1216" spans="1:26" ht="30" hidden="1" customHeight="1">
      <c r="A1216" s="95" t="s">
        <v>2470</v>
      </c>
      <c r="B1216" s="51" t="s">
        <v>2054</v>
      </c>
      <c r="C1216" s="96"/>
      <c r="D1216" s="96"/>
      <c r="E1216" s="96"/>
      <c r="F1216" s="96"/>
      <c r="G1216" s="96"/>
      <c r="H1216" s="96">
        <f t="shared" si="445"/>
        <v>0</v>
      </c>
      <c r="I1216" s="60"/>
      <c r="J1216" s="60"/>
      <c r="K1216" s="60"/>
      <c r="L1216" s="60"/>
      <c r="M1216" s="60"/>
      <c r="N1216" s="60"/>
      <c r="O1216" s="60"/>
      <c r="P1216" s="60"/>
      <c r="Q1216" s="60"/>
      <c r="R1216" s="60"/>
      <c r="S1216" s="60"/>
      <c r="T1216" s="60"/>
      <c r="U1216" s="60"/>
      <c r="V1216" s="60"/>
      <c r="W1216" s="60"/>
      <c r="X1216" s="60"/>
      <c r="Y1216" s="60"/>
      <c r="Z1216" s="60"/>
    </row>
    <row r="1217" spans="1:26" ht="30" hidden="1" customHeight="1">
      <c r="A1217" s="95" t="s">
        <v>2471</v>
      </c>
      <c r="B1217" s="51" t="s">
        <v>2056</v>
      </c>
      <c r="C1217" s="96"/>
      <c r="D1217" s="96"/>
      <c r="E1217" s="53"/>
      <c r="F1217" s="53"/>
      <c r="G1217" s="96"/>
      <c r="H1217" s="96">
        <f t="shared" si="445"/>
        <v>0</v>
      </c>
      <c r="I1217" s="60"/>
      <c r="J1217" s="60"/>
      <c r="K1217" s="60"/>
      <c r="L1217" s="60"/>
      <c r="M1217" s="60"/>
      <c r="N1217" s="60"/>
      <c r="O1217" s="60"/>
      <c r="P1217" s="60"/>
      <c r="Q1217" s="60"/>
      <c r="R1217" s="60"/>
      <c r="S1217" s="60"/>
      <c r="T1217" s="60"/>
      <c r="U1217" s="60"/>
      <c r="V1217" s="60"/>
      <c r="W1217" s="60"/>
      <c r="X1217" s="60"/>
      <c r="Y1217" s="60"/>
      <c r="Z1217" s="60"/>
    </row>
    <row r="1218" spans="1:26" ht="30" hidden="1" customHeight="1">
      <c r="A1218" s="92" t="s">
        <v>2472</v>
      </c>
      <c r="B1218" s="97" t="s">
        <v>2058</v>
      </c>
      <c r="C1218" s="94"/>
      <c r="D1218" s="94"/>
      <c r="E1218" s="94">
        <f t="shared" ref="E1218:F1218" si="446">E1219+E1232+E1235+E1236+E1241+E1247</f>
        <v>0</v>
      </c>
      <c r="F1218" s="94">
        <f t="shared" si="446"/>
        <v>3824329059.9200001</v>
      </c>
      <c r="G1218" s="94"/>
      <c r="H1218" s="94">
        <f>H1219+H1232+H1235+H1236+H1241+H1247</f>
        <v>3824329059.9200001</v>
      </c>
      <c r="I1218" s="60"/>
      <c r="J1218" s="60"/>
      <c r="K1218" s="60"/>
      <c r="L1218" s="60"/>
      <c r="M1218" s="60"/>
      <c r="N1218" s="60"/>
      <c r="O1218" s="60"/>
      <c r="P1218" s="60"/>
      <c r="Q1218" s="60"/>
      <c r="R1218" s="60"/>
      <c r="S1218" s="60"/>
      <c r="T1218" s="60"/>
      <c r="U1218" s="60"/>
      <c r="V1218" s="60"/>
      <c r="W1218" s="60"/>
      <c r="X1218" s="60"/>
      <c r="Y1218" s="60"/>
      <c r="Z1218" s="60"/>
    </row>
    <row r="1219" spans="1:26" ht="30" hidden="1" customHeight="1">
      <c r="A1219" s="95" t="s">
        <v>2473</v>
      </c>
      <c r="B1219" s="51" t="s">
        <v>1093</v>
      </c>
      <c r="C1219" s="96"/>
      <c r="D1219" s="96"/>
      <c r="E1219" s="94">
        <f t="shared" ref="E1219:F1219" si="447">SUM(E1220:E1231)</f>
        <v>0</v>
      </c>
      <c r="F1219" s="94">
        <f t="shared" si="447"/>
        <v>3012352816.2199998</v>
      </c>
      <c r="G1219" s="96"/>
      <c r="H1219" s="94">
        <f>SUM(H1220:H1231)</f>
        <v>3012352816.2199998</v>
      </c>
      <c r="I1219" s="60"/>
      <c r="J1219" s="60"/>
      <c r="K1219" s="60"/>
      <c r="L1219" s="60"/>
      <c r="M1219" s="60"/>
      <c r="N1219" s="60"/>
      <c r="O1219" s="60"/>
      <c r="P1219" s="60"/>
      <c r="Q1219" s="60"/>
      <c r="R1219" s="60"/>
      <c r="S1219" s="60"/>
      <c r="T1219" s="60"/>
      <c r="U1219" s="60"/>
      <c r="V1219" s="60"/>
      <c r="W1219" s="60"/>
      <c r="X1219" s="60"/>
      <c r="Y1219" s="60"/>
      <c r="Z1219" s="60"/>
    </row>
    <row r="1220" spans="1:26" ht="30" hidden="1" customHeight="1">
      <c r="A1220" s="95" t="s">
        <v>2474</v>
      </c>
      <c r="B1220" s="51" t="s">
        <v>1095</v>
      </c>
      <c r="C1220" s="96"/>
      <c r="D1220" s="96"/>
      <c r="E1220" s="53"/>
      <c r="F1220" s="53">
        <v>1467777654.4000001</v>
      </c>
      <c r="G1220" s="96"/>
      <c r="H1220" s="96">
        <f t="shared" ref="H1220:H1231" si="448">ROUND(F1220-E1220,2)</f>
        <v>1467777654.4000001</v>
      </c>
      <c r="I1220" s="60"/>
      <c r="J1220" s="60"/>
      <c r="K1220" s="60"/>
      <c r="L1220" s="60"/>
      <c r="M1220" s="60"/>
      <c r="N1220" s="60"/>
      <c r="O1220" s="60"/>
      <c r="P1220" s="60"/>
      <c r="Q1220" s="60"/>
      <c r="R1220" s="60"/>
      <c r="S1220" s="60"/>
      <c r="T1220" s="60"/>
      <c r="U1220" s="60"/>
      <c r="V1220" s="60"/>
      <c r="W1220" s="60"/>
      <c r="X1220" s="60"/>
      <c r="Y1220" s="60"/>
      <c r="Z1220" s="60"/>
    </row>
    <row r="1221" spans="1:26" ht="30" hidden="1" customHeight="1">
      <c r="A1221" s="95" t="s">
        <v>2475</v>
      </c>
      <c r="B1221" s="51" t="s">
        <v>1097</v>
      </c>
      <c r="C1221" s="96"/>
      <c r="D1221" s="96"/>
      <c r="E1221" s="53"/>
      <c r="F1221" s="53">
        <v>246873957.37</v>
      </c>
      <c r="G1221" s="96"/>
      <c r="H1221" s="96">
        <f t="shared" si="448"/>
        <v>246873957.37</v>
      </c>
      <c r="I1221" s="60"/>
      <c r="J1221" s="60"/>
      <c r="K1221" s="60"/>
      <c r="L1221" s="60"/>
      <c r="M1221" s="60"/>
      <c r="N1221" s="60"/>
      <c r="O1221" s="60"/>
      <c r="P1221" s="60"/>
      <c r="Q1221" s="60"/>
      <c r="R1221" s="60"/>
      <c r="S1221" s="60"/>
      <c r="T1221" s="60"/>
      <c r="U1221" s="60"/>
      <c r="V1221" s="60"/>
      <c r="W1221" s="60"/>
      <c r="X1221" s="60"/>
      <c r="Y1221" s="60"/>
      <c r="Z1221" s="60"/>
    </row>
    <row r="1222" spans="1:26" ht="30" hidden="1" customHeight="1">
      <c r="A1222" s="95" t="s">
        <v>2476</v>
      </c>
      <c r="B1222" s="51" t="s">
        <v>1099</v>
      </c>
      <c r="C1222" s="96"/>
      <c r="D1222" s="96"/>
      <c r="E1222" s="53"/>
      <c r="F1222" s="53">
        <v>261553212.03</v>
      </c>
      <c r="G1222" s="96"/>
      <c r="H1222" s="96">
        <f t="shared" si="448"/>
        <v>261553212.03</v>
      </c>
      <c r="I1222" s="60"/>
      <c r="J1222" s="60"/>
      <c r="K1222" s="60"/>
      <c r="L1222" s="60"/>
      <c r="M1222" s="60"/>
      <c r="N1222" s="60"/>
      <c r="O1222" s="60"/>
      <c r="P1222" s="60"/>
      <c r="Q1222" s="60"/>
      <c r="R1222" s="60"/>
      <c r="S1222" s="60"/>
      <c r="T1222" s="60"/>
      <c r="U1222" s="60"/>
      <c r="V1222" s="60"/>
      <c r="W1222" s="60"/>
      <c r="X1222" s="60"/>
      <c r="Y1222" s="60"/>
      <c r="Z1222" s="60"/>
    </row>
    <row r="1223" spans="1:26" ht="30" hidden="1" customHeight="1">
      <c r="A1223" s="95" t="s">
        <v>2477</v>
      </c>
      <c r="B1223" s="51" t="s">
        <v>1101</v>
      </c>
      <c r="C1223" s="96"/>
      <c r="D1223" s="96"/>
      <c r="E1223" s="53"/>
      <c r="F1223" s="53"/>
      <c r="G1223" s="96"/>
      <c r="H1223" s="96">
        <f t="shared" si="448"/>
        <v>0</v>
      </c>
      <c r="I1223" s="60"/>
      <c r="J1223" s="60"/>
      <c r="K1223" s="60"/>
      <c r="L1223" s="60"/>
      <c r="M1223" s="60"/>
      <c r="N1223" s="60"/>
      <c r="O1223" s="60"/>
      <c r="P1223" s="60"/>
      <c r="Q1223" s="60"/>
      <c r="R1223" s="60"/>
      <c r="S1223" s="60"/>
      <c r="T1223" s="60"/>
      <c r="U1223" s="60"/>
      <c r="V1223" s="60"/>
      <c r="W1223" s="60"/>
      <c r="X1223" s="60"/>
      <c r="Y1223" s="60"/>
      <c r="Z1223" s="60"/>
    </row>
    <row r="1224" spans="1:26" ht="30" hidden="1" customHeight="1">
      <c r="A1224" s="95" t="s">
        <v>2478</v>
      </c>
      <c r="B1224" s="51" t="s">
        <v>1103</v>
      </c>
      <c r="C1224" s="96"/>
      <c r="D1224" s="96"/>
      <c r="E1224" s="53"/>
      <c r="F1224" s="53"/>
      <c r="G1224" s="96"/>
      <c r="H1224" s="96">
        <f t="shared" si="448"/>
        <v>0</v>
      </c>
      <c r="I1224" s="60"/>
      <c r="J1224" s="60"/>
      <c r="K1224" s="60"/>
      <c r="L1224" s="60"/>
      <c r="M1224" s="60"/>
      <c r="N1224" s="60"/>
      <c r="O1224" s="60"/>
      <c r="P1224" s="60"/>
      <c r="Q1224" s="60"/>
      <c r="R1224" s="60"/>
      <c r="S1224" s="60"/>
      <c r="T1224" s="60"/>
      <c r="U1224" s="60"/>
      <c r="V1224" s="60"/>
      <c r="W1224" s="60"/>
      <c r="X1224" s="60"/>
      <c r="Y1224" s="60"/>
      <c r="Z1224" s="60"/>
    </row>
    <row r="1225" spans="1:26" ht="30" hidden="1" customHeight="1">
      <c r="A1225" s="95" t="s">
        <v>2479</v>
      </c>
      <c r="B1225" s="51" t="s">
        <v>1105</v>
      </c>
      <c r="C1225" s="96"/>
      <c r="D1225" s="96"/>
      <c r="E1225" s="53"/>
      <c r="F1225" s="53">
        <v>36467989.840000004</v>
      </c>
      <c r="G1225" s="96"/>
      <c r="H1225" s="96">
        <f t="shared" si="448"/>
        <v>36467989.840000004</v>
      </c>
      <c r="I1225" s="60"/>
      <c r="J1225" s="60"/>
      <c r="K1225" s="60"/>
      <c r="L1225" s="60"/>
      <c r="M1225" s="60"/>
      <c r="N1225" s="60"/>
      <c r="O1225" s="60"/>
      <c r="P1225" s="60"/>
      <c r="Q1225" s="60"/>
      <c r="R1225" s="60"/>
      <c r="S1225" s="60"/>
      <c r="T1225" s="60"/>
      <c r="U1225" s="60"/>
      <c r="V1225" s="60"/>
      <c r="W1225" s="60"/>
      <c r="X1225" s="60"/>
      <c r="Y1225" s="60"/>
      <c r="Z1225" s="60"/>
    </row>
    <row r="1226" spans="1:26" ht="30" hidden="1" customHeight="1">
      <c r="A1226" s="95" t="s">
        <v>2480</v>
      </c>
      <c r="B1226" s="51" t="s">
        <v>1107</v>
      </c>
      <c r="C1226" s="96"/>
      <c r="D1226" s="96"/>
      <c r="E1226" s="53"/>
      <c r="F1226" s="53"/>
      <c r="G1226" s="96"/>
      <c r="H1226" s="96">
        <f t="shared" si="448"/>
        <v>0</v>
      </c>
      <c r="I1226" s="60"/>
      <c r="J1226" s="60"/>
      <c r="K1226" s="60"/>
      <c r="L1226" s="60"/>
      <c r="M1226" s="60"/>
      <c r="N1226" s="60"/>
      <c r="O1226" s="60"/>
      <c r="P1226" s="60"/>
      <c r="Q1226" s="60"/>
      <c r="R1226" s="60"/>
      <c r="S1226" s="60"/>
      <c r="T1226" s="60"/>
      <c r="U1226" s="60"/>
      <c r="V1226" s="60"/>
      <c r="W1226" s="60"/>
      <c r="X1226" s="60"/>
      <c r="Y1226" s="60"/>
      <c r="Z1226" s="60"/>
    </row>
    <row r="1227" spans="1:26" ht="30" hidden="1" customHeight="1">
      <c r="A1227" s="95" t="s">
        <v>2481</v>
      </c>
      <c r="B1227" s="51" t="s">
        <v>1109</v>
      </c>
      <c r="C1227" s="96"/>
      <c r="D1227" s="96"/>
      <c r="E1227" s="53"/>
      <c r="F1227" s="53"/>
      <c r="G1227" s="96"/>
      <c r="H1227" s="96">
        <f t="shared" si="448"/>
        <v>0</v>
      </c>
      <c r="I1227" s="60"/>
      <c r="J1227" s="60"/>
      <c r="K1227" s="60"/>
      <c r="L1227" s="60"/>
      <c r="M1227" s="60"/>
      <c r="N1227" s="60"/>
      <c r="O1227" s="60"/>
      <c r="P1227" s="60"/>
      <c r="Q1227" s="60"/>
      <c r="R1227" s="60"/>
      <c r="S1227" s="60"/>
      <c r="T1227" s="60"/>
      <c r="U1227" s="60"/>
      <c r="V1227" s="60"/>
      <c r="W1227" s="60"/>
      <c r="X1227" s="60"/>
      <c r="Y1227" s="60"/>
      <c r="Z1227" s="60"/>
    </row>
    <row r="1228" spans="1:26" ht="30" hidden="1" customHeight="1">
      <c r="A1228" s="95" t="s">
        <v>2482</v>
      </c>
      <c r="B1228" s="51" t="s">
        <v>1111</v>
      </c>
      <c r="C1228" s="96"/>
      <c r="D1228" s="96"/>
      <c r="E1228" s="53"/>
      <c r="F1228" s="53">
        <v>19708541.100000001</v>
      </c>
      <c r="G1228" s="96"/>
      <c r="H1228" s="96">
        <f t="shared" si="448"/>
        <v>19708541.100000001</v>
      </c>
      <c r="I1228" s="60"/>
      <c r="J1228" s="60"/>
      <c r="K1228" s="60"/>
      <c r="L1228" s="60"/>
      <c r="M1228" s="60"/>
      <c r="N1228" s="60"/>
      <c r="O1228" s="60"/>
      <c r="P1228" s="60"/>
      <c r="Q1228" s="60"/>
      <c r="R1228" s="60"/>
      <c r="S1228" s="60"/>
      <c r="T1228" s="60"/>
      <c r="U1228" s="60"/>
      <c r="V1228" s="60"/>
      <c r="W1228" s="60"/>
      <c r="X1228" s="60"/>
      <c r="Y1228" s="60"/>
      <c r="Z1228" s="60"/>
    </row>
    <row r="1229" spans="1:26" ht="30" hidden="1" customHeight="1">
      <c r="A1229" s="95" t="s">
        <v>2483</v>
      </c>
      <c r="B1229" s="51" t="s">
        <v>2070</v>
      </c>
      <c r="C1229" s="96"/>
      <c r="D1229" s="96"/>
      <c r="E1229" s="53"/>
      <c r="F1229" s="53">
        <v>348957351.20999998</v>
      </c>
      <c r="G1229" s="96"/>
      <c r="H1229" s="96">
        <f t="shared" si="448"/>
        <v>348957351.20999998</v>
      </c>
      <c r="I1229" s="60"/>
      <c r="J1229" s="60"/>
      <c r="K1229" s="60"/>
      <c r="L1229" s="60"/>
      <c r="M1229" s="60"/>
      <c r="N1229" s="60"/>
      <c r="O1229" s="60"/>
      <c r="P1229" s="60"/>
      <c r="Q1229" s="60"/>
      <c r="R1229" s="60"/>
      <c r="S1229" s="60"/>
      <c r="T1229" s="60"/>
      <c r="U1229" s="60"/>
      <c r="V1229" s="60"/>
      <c r="W1229" s="60"/>
      <c r="X1229" s="60"/>
      <c r="Y1229" s="60"/>
      <c r="Z1229" s="60"/>
    </row>
    <row r="1230" spans="1:26" ht="30" hidden="1" customHeight="1">
      <c r="A1230" s="95" t="s">
        <v>2484</v>
      </c>
      <c r="B1230" s="51" t="s">
        <v>1115</v>
      </c>
      <c r="C1230" s="96"/>
      <c r="D1230" s="96"/>
      <c r="E1230" s="53"/>
      <c r="F1230" s="53">
        <v>-311382.44</v>
      </c>
      <c r="G1230" s="96"/>
      <c r="H1230" s="96">
        <f t="shared" si="448"/>
        <v>-311382.44</v>
      </c>
      <c r="I1230" s="60"/>
      <c r="J1230" s="60"/>
      <c r="K1230" s="60"/>
      <c r="L1230" s="60"/>
      <c r="M1230" s="60"/>
      <c r="N1230" s="60"/>
      <c r="O1230" s="60"/>
      <c r="P1230" s="60"/>
      <c r="Q1230" s="60"/>
      <c r="R1230" s="60"/>
      <c r="S1230" s="60"/>
      <c r="T1230" s="60"/>
      <c r="U1230" s="60"/>
      <c r="V1230" s="60"/>
      <c r="W1230" s="60"/>
      <c r="X1230" s="60"/>
      <c r="Y1230" s="60"/>
      <c r="Z1230" s="60"/>
    </row>
    <row r="1231" spans="1:26" ht="30" hidden="1" customHeight="1">
      <c r="A1231" s="95" t="s">
        <v>2485</v>
      </c>
      <c r="B1231" s="51" t="s">
        <v>2073</v>
      </c>
      <c r="C1231" s="96"/>
      <c r="D1231" s="96"/>
      <c r="E1231" s="53"/>
      <c r="F1231" s="53">
        <v>631325492.71000004</v>
      </c>
      <c r="G1231" s="96"/>
      <c r="H1231" s="96">
        <f t="shared" si="448"/>
        <v>631325492.71000004</v>
      </c>
      <c r="I1231" s="60"/>
      <c r="J1231" s="60"/>
      <c r="K1231" s="60"/>
      <c r="L1231" s="60"/>
      <c r="M1231" s="60"/>
      <c r="N1231" s="60"/>
      <c r="O1231" s="60"/>
      <c r="P1231" s="60"/>
      <c r="Q1231" s="60"/>
      <c r="R1231" s="60"/>
      <c r="S1231" s="60"/>
      <c r="T1231" s="60"/>
      <c r="U1231" s="60"/>
      <c r="V1231" s="60"/>
      <c r="W1231" s="60"/>
      <c r="X1231" s="60"/>
      <c r="Y1231" s="60"/>
      <c r="Z1231" s="60"/>
    </row>
    <row r="1232" spans="1:26" ht="30" hidden="1" customHeight="1">
      <c r="A1232" s="95" t="s">
        <v>2486</v>
      </c>
      <c r="B1232" s="51" t="s">
        <v>1119</v>
      </c>
      <c r="C1232" s="96"/>
      <c r="D1232" s="96"/>
      <c r="E1232" s="94">
        <f t="shared" ref="E1232:F1232" si="449">SUM(E1233:E1234)</f>
        <v>0</v>
      </c>
      <c r="F1232" s="94">
        <f t="shared" si="449"/>
        <v>771436616.57999992</v>
      </c>
      <c r="G1232" s="96"/>
      <c r="H1232" s="94">
        <f>SUM(H1233:H1234)</f>
        <v>771436616.57999992</v>
      </c>
      <c r="I1232" s="60"/>
      <c r="J1232" s="60"/>
      <c r="K1232" s="60"/>
      <c r="L1232" s="60"/>
      <c r="M1232" s="60"/>
      <c r="N1232" s="60"/>
      <c r="O1232" s="60"/>
      <c r="P1232" s="60"/>
      <c r="Q1232" s="60"/>
      <c r="R1232" s="60"/>
      <c r="S1232" s="60"/>
      <c r="T1232" s="60"/>
      <c r="U1232" s="60"/>
      <c r="V1232" s="60"/>
      <c r="W1232" s="60"/>
      <c r="X1232" s="60"/>
      <c r="Y1232" s="60"/>
      <c r="Z1232" s="60"/>
    </row>
    <row r="1233" spans="1:26" ht="30" hidden="1" customHeight="1">
      <c r="A1233" s="95" t="s">
        <v>2487</v>
      </c>
      <c r="B1233" s="51" t="s">
        <v>1121</v>
      </c>
      <c r="C1233" s="96"/>
      <c r="D1233" s="96"/>
      <c r="E1233" s="53"/>
      <c r="F1233" s="53">
        <v>79610284.659999996</v>
      </c>
      <c r="G1233" s="96"/>
      <c r="H1233" s="96">
        <f t="shared" ref="H1233:H1235" si="450">ROUND(F1233-E1233,2)</f>
        <v>79610284.659999996</v>
      </c>
      <c r="I1233" s="60"/>
      <c r="J1233" s="60"/>
      <c r="K1233" s="60"/>
      <c r="L1233" s="60"/>
      <c r="M1233" s="60"/>
      <c r="N1233" s="60"/>
      <c r="O1233" s="60"/>
      <c r="P1233" s="60"/>
      <c r="Q1233" s="60"/>
      <c r="R1233" s="60"/>
      <c r="S1233" s="60"/>
      <c r="T1233" s="60"/>
      <c r="U1233" s="60"/>
      <c r="V1233" s="60"/>
      <c r="W1233" s="60"/>
      <c r="X1233" s="60"/>
      <c r="Y1233" s="60"/>
      <c r="Z1233" s="60"/>
    </row>
    <row r="1234" spans="1:26" ht="30" hidden="1" customHeight="1">
      <c r="A1234" s="95" t="s">
        <v>2488</v>
      </c>
      <c r="B1234" s="51" t="s">
        <v>2077</v>
      </c>
      <c r="C1234" s="96"/>
      <c r="D1234" s="96"/>
      <c r="E1234" s="53"/>
      <c r="F1234" s="53">
        <v>691826331.91999996</v>
      </c>
      <c r="G1234" s="96"/>
      <c r="H1234" s="96">
        <f t="shared" si="450"/>
        <v>691826331.91999996</v>
      </c>
      <c r="I1234" s="60"/>
      <c r="J1234" s="60"/>
      <c r="K1234" s="60"/>
      <c r="L1234" s="60"/>
      <c r="M1234" s="60"/>
      <c r="N1234" s="60"/>
      <c r="O1234" s="60"/>
      <c r="P1234" s="60"/>
      <c r="Q1234" s="60"/>
      <c r="R1234" s="60"/>
      <c r="S1234" s="60"/>
      <c r="T1234" s="60"/>
      <c r="U1234" s="60"/>
      <c r="V1234" s="60"/>
      <c r="W1234" s="60"/>
      <c r="X1234" s="60"/>
      <c r="Y1234" s="60"/>
      <c r="Z1234" s="60"/>
    </row>
    <row r="1235" spans="1:26" ht="30" hidden="1" customHeight="1">
      <c r="A1235" s="95" t="s">
        <v>2489</v>
      </c>
      <c r="B1235" s="51" t="s">
        <v>2490</v>
      </c>
      <c r="C1235" s="96"/>
      <c r="D1235" s="96"/>
      <c r="E1235" s="53"/>
      <c r="F1235" s="53"/>
      <c r="G1235" s="96"/>
      <c r="H1235" s="96">
        <f t="shared" si="450"/>
        <v>0</v>
      </c>
      <c r="I1235" s="60"/>
      <c r="J1235" s="60"/>
      <c r="K1235" s="60"/>
      <c r="L1235" s="60"/>
      <c r="M1235" s="60"/>
      <c r="N1235" s="60"/>
      <c r="O1235" s="60"/>
      <c r="P1235" s="60"/>
      <c r="Q1235" s="60"/>
      <c r="R1235" s="60"/>
      <c r="S1235" s="60"/>
      <c r="T1235" s="60"/>
      <c r="U1235" s="60"/>
      <c r="V1235" s="60"/>
      <c r="W1235" s="60"/>
      <c r="X1235" s="60"/>
      <c r="Y1235" s="60"/>
      <c r="Z1235" s="60"/>
    </row>
    <row r="1236" spans="1:26" ht="30" hidden="1" customHeight="1">
      <c r="A1236" s="95" t="s">
        <v>2491</v>
      </c>
      <c r="B1236" s="51" t="s">
        <v>2492</v>
      </c>
      <c r="C1236" s="96"/>
      <c r="D1236" s="96"/>
      <c r="E1236" s="94">
        <f t="shared" ref="E1236:F1236" si="451">SUM(E1237:E1240)</f>
        <v>0</v>
      </c>
      <c r="F1236" s="94">
        <f t="shared" si="451"/>
        <v>38183.359999999986</v>
      </c>
      <c r="G1236" s="96"/>
      <c r="H1236" s="94">
        <f>SUM(H1237:H1240)</f>
        <v>38183.359999999986</v>
      </c>
      <c r="I1236" s="60"/>
      <c r="J1236" s="60"/>
      <c r="K1236" s="60"/>
      <c r="L1236" s="60"/>
      <c r="M1236" s="60"/>
      <c r="N1236" s="60"/>
      <c r="O1236" s="60"/>
      <c r="P1236" s="60"/>
      <c r="Q1236" s="60"/>
      <c r="R1236" s="60"/>
      <c r="S1236" s="60"/>
      <c r="T1236" s="60"/>
      <c r="U1236" s="60"/>
      <c r="V1236" s="60"/>
      <c r="W1236" s="60"/>
      <c r="X1236" s="60"/>
      <c r="Y1236" s="60"/>
      <c r="Z1236" s="60"/>
    </row>
    <row r="1237" spans="1:26" ht="30" hidden="1" customHeight="1">
      <c r="A1237" s="95" t="s">
        <v>2493</v>
      </c>
      <c r="B1237" s="51" t="s">
        <v>1127</v>
      </c>
      <c r="C1237" s="96"/>
      <c r="D1237" s="96"/>
      <c r="E1237" s="53"/>
      <c r="F1237" s="53">
        <v>1404.16</v>
      </c>
      <c r="G1237" s="96"/>
      <c r="H1237" s="96">
        <f t="shared" ref="H1237:H1240" si="452">ROUND(F1237-E1237,2)</f>
        <v>1404.16</v>
      </c>
      <c r="I1237" s="60"/>
      <c r="J1237" s="60"/>
      <c r="K1237" s="60"/>
      <c r="L1237" s="60"/>
      <c r="M1237" s="60"/>
      <c r="N1237" s="60"/>
      <c r="O1237" s="60"/>
      <c r="P1237" s="60"/>
      <c r="Q1237" s="60"/>
      <c r="R1237" s="60"/>
      <c r="S1237" s="60"/>
      <c r="T1237" s="60"/>
      <c r="U1237" s="60"/>
      <c r="V1237" s="60"/>
      <c r="W1237" s="60"/>
      <c r="X1237" s="60"/>
      <c r="Y1237" s="60"/>
      <c r="Z1237" s="60"/>
    </row>
    <row r="1238" spans="1:26" ht="30" hidden="1" customHeight="1">
      <c r="A1238" s="95" t="s">
        <v>2494</v>
      </c>
      <c r="B1238" s="51" t="s">
        <v>1809</v>
      </c>
      <c r="C1238" s="96"/>
      <c r="D1238" s="96"/>
      <c r="E1238" s="53"/>
      <c r="F1238" s="53">
        <v>-110565.85</v>
      </c>
      <c r="G1238" s="96"/>
      <c r="H1238" s="96">
        <f t="shared" si="452"/>
        <v>-110565.85</v>
      </c>
      <c r="I1238" s="60"/>
      <c r="J1238" s="60"/>
      <c r="K1238" s="60"/>
      <c r="L1238" s="60"/>
      <c r="M1238" s="60"/>
      <c r="N1238" s="60"/>
      <c r="O1238" s="60"/>
      <c r="P1238" s="60"/>
      <c r="Q1238" s="60"/>
      <c r="R1238" s="60"/>
      <c r="S1238" s="60"/>
      <c r="T1238" s="60"/>
      <c r="U1238" s="60"/>
      <c r="V1238" s="60"/>
      <c r="W1238" s="60"/>
      <c r="X1238" s="60"/>
      <c r="Y1238" s="60"/>
      <c r="Z1238" s="60"/>
    </row>
    <row r="1239" spans="1:26" ht="30" hidden="1" customHeight="1">
      <c r="A1239" s="95" t="s">
        <v>2495</v>
      </c>
      <c r="B1239" s="51" t="s">
        <v>1804</v>
      </c>
      <c r="C1239" s="96"/>
      <c r="D1239" s="96"/>
      <c r="E1239" s="53"/>
      <c r="F1239" s="53"/>
      <c r="G1239" s="96"/>
      <c r="H1239" s="96">
        <f t="shared" si="452"/>
        <v>0</v>
      </c>
      <c r="I1239" s="60"/>
      <c r="J1239" s="60"/>
      <c r="K1239" s="60"/>
      <c r="L1239" s="60"/>
      <c r="M1239" s="60"/>
      <c r="N1239" s="60"/>
      <c r="O1239" s="60"/>
      <c r="P1239" s="60"/>
      <c r="Q1239" s="60"/>
      <c r="R1239" s="60"/>
      <c r="S1239" s="60"/>
      <c r="T1239" s="60"/>
      <c r="U1239" s="60"/>
      <c r="V1239" s="60"/>
      <c r="W1239" s="60"/>
      <c r="X1239" s="60"/>
      <c r="Y1239" s="60"/>
      <c r="Z1239" s="60"/>
    </row>
    <row r="1240" spans="1:26" ht="30" hidden="1" customHeight="1">
      <c r="A1240" s="95" t="s">
        <v>2496</v>
      </c>
      <c r="B1240" s="51" t="s">
        <v>2086</v>
      </c>
      <c r="C1240" s="96"/>
      <c r="D1240" s="96"/>
      <c r="E1240" s="53"/>
      <c r="F1240" s="53">
        <v>147345.04999999999</v>
      </c>
      <c r="G1240" s="96"/>
      <c r="H1240" s="96">
        <f t="shared" si="452"/>
        <v>147345.04999999999</v>
      </c>
      <c r="I1240" s="60"/>
      <c r="J1240" s="60"/>
      <c r="K1240" s="60"/>
      <c r="L1240" s="60"/>
      <c r="M1240" s="60"/>
      <c r="N1240" s="60"/>
      <c r="O1240" s="60"/>
      <c r="P1240" s="60"/>
      <c r="Q1240" s="60"/>
      <c r="R1240" s="60"/>
      <c r="S1240" s="60"/>
      <c r="T1240" s="60"/>
      <c r="U1240" s="60"/>
      <c r="V1240" s="60"/>
      <c r="W1240" s="60"/>
      <c r="X1240" s="60"/>
      <c r="Y1240" s="60"/>
      <c r="Z1240" s="60"/>
    </row>
    <row r="1241" spans="1:26" ht="30" hidden="1" customHeight="1">
      <c r="A1241" s="95" t="s">
        <v>2497</v>
      </c>
      <c r="B1241" s="51" t="s">
        <v>1139</v>
      </c>
      <c r="C1241" s="96"/>
      <c r="D1241" s="96"/>
      <c r="E1241" s="94">
        <f t="shared" ref="E1241:F1241" si="453">SUM(E1242:E1246)</f>
        <v>0</v>
      </c>
      <c r="F1241" s="94">
        <f t="shared" si="453"/>
        <v>40501443.759999998</v>
      </c>
      <c r="G1241" s="96"/>
      <c r="H1241" s="94">
        <f>SUM(H1242:H1246)</f>
        <v>40501443.759999998</v>
      </c>
      <c r="I1241" s="60"/>
      <c r="J1241" s="60"/>
      <c r="K1241" s="60"/>
      <c r="L1241" s="60"/>
      <c r="M1241" s="60"/>
      <c r="N1241" s="60"/>
      <c r="O1241" s="60"/>
      <c r="P1241" s="60"/>
      <c r="Q1241" s="60"/>
      <c r="R1241" s="60"/>
      <c r="S1241" s="60"/>
      <c r="T1241" s="60"/>
      <c r="U1241" s="60"/>
      <c r="V1241" s="60"/>
      <c r="W1241" s="60"/>
      <c r="X1241" s="60"/>
      <c r="Y1241" s="60"/>
      <c r="Z1241" s="60"/>
    </row>
    <row r="1242" spans="1:26" ht="30" hidden="1" customHeight="1">
      <c r="A1242" s="95" t="s">
        <v>2498</v>
      </c>
      <c r="B1242" s="51" t="s">
        <v>1141</v>
      </c>
      <c r="C1242" s="96"/>
      <c r="D1242" s="96"/>
      <c r="E1242" s="53"/>
      <c r="F1242" s="53">
        <v>174.68</v>
      </c>
      <c r="G1242" s="96"/>
      <c r="H1242" s="96">
        <f t="shared" ref="H1242:H1246" si="454">ROUND(F1242-E1242,2)</f>
        <v>174.68</v>
      </c>
      <c r="I1242" s="60"/>
      <c r="J1242" s="60"/>
      <c r="K1242" s="60"/>
      <c r="L1242" s="60"/>
      <c r="M1242" s="60"/>
      <c r="N1242" s="60"/>
      <c r="O1242" s="60"/>
      <c r="P1242" s="60"/>
      <c r="Q1242" s="60"/>
      <c r="R1242" s="60"/>
      <c r="S1242" s="60"/>
      <c r="T1242" s="60"/>
      <c r="U1242" s="60"/>
      <c r="V1242" s="60"/>
      <c r="W1242" s="60"/>
      <c r="X1242" s="60"/>
      <c r="Y1242" s="60"/>
      <c r="Z1242" s="60"/>
    </row>
    <row r="1243" spans="1:26" ht="30" hidden="1" customHeight="1">
      <c r="A1243" s="95" t="s">
        <v>2499</v>
      </c>
      <c r="B1243" s="51" t="s">
        <v>1143</v>
      </c>
      <c r="C1243" s="96"/>
      <c r="D1243" s="96"/>
      <c r="E1243" s="53"/>
      <c r="F1243" s="53">
        <v>4805794.68</v>
      </c>
      <c r="G1243" s="96"/>
      <c r="H1243" s="96">
        <f t="shared" si="454"/>
        <v>4805794.68</v>
      </c>
      <c r="I1243" s="60"/>
      <c r="J1243" s="60"/>
      <c r="K1243" s="60"/>
      <c r="L1243" s="60"/>
      <c r="M1243" s="60"/>
      <c r="N1243" s="60"/>
      <c r="O1243" s="60"/>
      <c r="P1243" s="60"/>
      <c r="Q1243" s="60"/>
      <c r="R1243" s="60"/>
      <c r="S1243" s="60"/>
      <c r="T1243" s="60"/>
      <c r="U1243" s="60"/>
      <c r="V1243" s="60"/>
      <c r="W1243" s="60"/>
      <c r="X1243" s="60"/>
      <c r="Y1243" s="60"/>
      <c r="Z1243" s="60"/>
    </row>
    <row r="1244" spans="1:26" ht="30" hidden="1" customHeight="1">
      <c r="A1244" s="95" t="s">
        <v>2500</v>
      </c>
      <c r="B1244" s="51" t="s">
        <v>1145</v>
      </c>
      <c r="C1244" s="96"/>
      <c r="D1244" s="96"/>
      <c r="E1244" s="53"/>
      <c r="F1244" s="53">
        <v>35695474.399999999</v>
      </c>
      <c r="G1244" s="96"/>
      <c r="H1244" s="96">
        <f t="shared" si="454"/>
        <v>35695474.399999999</v>
      </c>
      <c r="I1244" s="60"/>
      <c r="J1244" s="60"/>
      <c r="K1244" s="60"/>
      <c r="L1244" s="60"/>
      <c r="M1244" s="60"/>
      <c r="N1244" s="60"/>
      <c r="O1244" s="60"/>
      <c r="P1244" s="60"/>
      <c r="Q1244" s="60"/>
      <c r="R1244" s="60"/>
      <c r="S1244" s="60"/>
      <c r="T1244" s="60"/>
      <c r="U1244" s="60"/>
      <c r="V1244" s="60"/>
      <c r="W1244" s="60"/>
      <c r="X1244" s="60"/>
      <c r="Y1244" s="60"/>
      <c r="Z1244" s="60"/>
    </row>
    <row r="1245" spans="1:26" ht="30" hidden="1" customHeight="1">
      <c r="A1245" s="95" t="s">
        <v>2501</v>
      </c>
      <c r="B1245" s="51" t="s">
        <v>1147</v>
      </c>
      <c r="C1245" s="96"/>
      <c r="D1245" s="96"/>
      <c r="E1245" s="53"/>
      <c r="F1245" s="53"/>
      <c r="G1245" s="96"/>
      <c r="H1245" s="96">
        <f t="shared" si="454"/>
        <v>0</v>
      </c>
      <c r="I1245" s="60"/>
      <c r="J1245" s="60"/>
      <c r="K1245" s="60"/>
      <c r="L1245" s="60"/>
      <c r="M1245" s="60"/>
      <c r="N1245" s="60"/>
      <c r="O1245" s="60"/>
      <c r="P1245" s="60"/>
      <c r="Q1245" s="60"/>
      <c r="R1245" s="60"/>
      <c r="S1245" s="60"/>
      <c r="T1245" s="60"/>
      <c r="U1245" s="60"/>
      <c r="V1245" s="60"/>
      <c r="W1245" s="60"/>
      <c r="X1245" s="60"/>
      <c r="Y1245" s="60"/>
      <c r="Z1245" s="60"/>
    </row>
    <row r="1246" spans="1:26" ht="30" hidden="1" customHeight="1">
      <c r="A1246" s="95" t="s">
        <v>2502</v>
      </c>
      <c r="B1246" s="51" t="s">
        <v>1149</v>
      </c>
      <c r="C1246" s="96"/>
      <c r="D1246" s="96"/>
      <c r="E1246" s="53"/>
      <c r="F1246" s="53"/>
      <c r="G1246" s="96"/>
      <c r="H1246" s="96">
        <f t="shared" si="454"/>
        <v>0</v>
      </c>
      <c r="I1246" s="60"/>
      <c r="J1246" s="60"/>
      <c r="K1246" s="60"/>
      <c r="L1246" s="60"/>
      <c r="M1246" s="60"/>
      <c r="N1246" s="60"/>
      <c r="O1246" s="60"/>
      <c r="P1246" s="60"/>
      <c r="Q1246" s="60"/>
      <c r="R1246" s="60"/>
      <c r="S1246" s="60"/>
      <c r="T1246" s="60"/>
      <c r="U1246" s="60"/>
      <c r="V1246" s="60"/>
      <c r="W1246" s="60"/>
      <c r="X1246" s="60"/>
      <c r="Y1246" s="60"/>
      <c r="Z1246" s="60"/>
    </row>
    <row r="1247" spans="1:26" ht="30" hidden="1" customHeight="1">
      <c r="A1247" s="95" t="s">
        <v>2503</v>
      </c>
      <c r="B1247" s="51" t="s">
        <v>1151</v>
      </c>
      <c r="C1247" s="96"/>
      <c r="D1247" s="96"/>
      <c r="E1247" s="94">
        <f t="shared" ref="E1247:F1247" si="455">SUM(E1248:E1249)</f>
        <v>0</v>
      </c>
      <c r="F1247" s="94">
        <f t="shared" si="455"/>
        <v>0</v>
      </c>
      <c r="G1247" s="96"/>
      <c r="H1247" s="94">
        <f>SUM(H1248:H1249)</f>
        <v>0</v>
      </c>
      <c r="I1247" s="60"/>
      <c r="J1247" s="60"/>
      <c r="K1247" s="60"/>
      <c r="L1247" s="60"/>
      <c r="M1247" s="60"/>
      <c r="N1247" s="60"/>
      <c r="O1247" s="60"/>
      <c r="P1247" s="60"/>
      <c r="Q1247" s="60"/>
      <c r="R1247" s="60"/>
      <c r="S1247" s="60"/>
      <c r="T1247" s="60"/>
      <c r="U1247" s="60"/>
      <c r="V1247" s="60"/>
      <c r="W1247" s="60"/>
      <c r="X1247" s="60"/>
      <c r="Y1247" s="60"/>
      <c r="Z1247" s="60"/>
    </row>
    <row r="1248" spans="1:26" ht="30" hidden="1" customHeight="1">
      <c r="A1248" s="95" t="s">
        <v>2504</v>
      </c>
      <c r="B1248" s="51" t="s">
        <v>1153</v>
      </c>
      <c r="C1248" s="96"/>
      <c r="D1248" s="96"/>
      <c r="E1248" s="53"/>
      <c r="F1248" s="53"/>
      <c r="G1248" s="96"/>
      <c r="H1248" s="96">
        <f t="shared" ref="H1248:H1249" si="456">ROUND(F1248-E1248,2)</f>
        <v>0</v>
      </c>
      <c r="I1248" s="60"/>
      <c r="J1248" s="60"/>
      <c r="K1248" s="60"/>
      <c r="L1248" s="60"/>
      <c r="M1248" s="60"/>
      <c r="N1248" s="60"/>
      <c r="O1248" s="60"/>
      <c r="P1248" s="60"/>
      <c r="Q1248" s="60"/>
      <c r="R1248" s="60"/>
      <c r="S1248" s="60"/>
      <c r="T1248" s="60"/>
      <c r="U1248" s="60"/>
      <c r="V1248" s="60"/>
      <c r="W1248" s="60"/>
      <c r="X1248" s="60"/>
      <c r="Y1248" s="60"/>
      <c r="Z1248" s="60"/>
    </row>
    <row r="1249" spans="1:26" ht="30" hidden="1" customHeight="1">
      <c r="A1249" s="95" t="s">
        <v>2505</v>
      </c>
      <c r="B1249" s="51" t="s">
        <v>1155</v>
      </c>
      <c r="C1249" s="96"/>
      <c r="D1249" s="96"/>
      <c r="E1249" s="53"/>
      <c r="F1249" s="53"/>
      <c r="G1249" s="96"/>
      <c r="H1249" s="96">
        <f t="shared" si="456"/>
        <v>0</v>
      </c>
      <c r="I1249" s="60"/>
      <c r="J1249" s="60"/>
      <c r="K1249" s="60"/>
      <c r="L1249" s="60"/>
      <c r="M1249" s="60"/>
      <c r="N1249" s="60"/>
      <c r="O1249" s="60"/>
      <c r="P1249" s="60"/>
      <c r="Q1249" s="60"/>
      <c r="R1249" s="60"/>
      <c r="S1249" s="60"/>
      <c r="T1249" s="60"/>
      <c r="U1249" s="60"/>
      <c r="V1249" s="60"/>
      <c r="W1249" s="60"/>
      <c r="X1249" s="60"/>
      <c r="Y1249" s="60"/>
      <c r="Z1249" s="60"/>
    </row>
    <row r="1250" spans="1:26" ht="30" hidden="1" customHeight="1">
      <c r="A1250" s="92" t="s">
        <v>2506</v>
      </c>
      <c r="B1250" s="93" t="s">
        <v>2097</v>
      </c>
      <c r="C1250" s="94"/>
      <c r="D1250" s="94"/>
      <c r="E1250" s="94">
        <f t="shared" ref="E1250:F1250" si="457">SUM(E1251:E1259)</f>
        <v>0</v>
      </c>
      <c r="F1250" s="94">
        <f t="shared" si="457"/>
        <v>0</v>
      </c>
      <c r="G1250" s="94"/>
      <c r="H1250" s="94">
        <f>SUM(H1251:H1259)</f>
        <v>0</v>
      </c>
      <c r="I1250" s="60"/>
      <c r="J1250" s="60"/>
      <c r="K1250" s="60"/>
      <c r="L1250" s="60"/>
      <c r="M1250" s="60"/>
      <c r="N1250" s="60"/>
      <c r="O1250" s="60"/>
      <c r="P1250" s="60"/>
      <c r="Q1250" s="60"/>
      <c r="R1250" s="60"/>
      <c r="S1250" s="60"/>
      <c r="T1250" s="60"/>
      <c r="U1250" s="60"/>
      <c r="V1250" s="60"/>
      <c r="W1250" s="60"/>
      <c r="X1250" s="60"/>
      <c r="Y1250" s="60"/>
      <c r="Z1250" s="60"/>
    </row>
    <row r="1251" spans="1:26" ht="30" hidden="1" customHeight="1">
      <c r="A1251" s="95" t="s">
        <v>2507</v>
      </c>
      <c r="B1251" s="51" t="s">
        <v>2508</v>
      </c>
      <c r="C1251" s="96"/>
      <c r="D1251" s="96"/>
      <c r="E1251" s="53"/>
      <c r="F1251" s="53"/>
      <c r="G1251" s="96"/>
      <c r="H1251" s="96">
        <f t="shared" ref="H1251:H1259" si="458">ROUND(F1251-E1251,2)</f>
        <v>0</v>
      </c>
      <c r="I1251" s="60"/>
      <c r="J1251" s="60"/>
      <c r="K1251" s="60"/>
      <c r="L1251" s="60"/>
      <c r="M1251" s="60"/>
      <c r="N1251" s="60"/>
      <c r="O1251" s="60"/>
      <c r="P1251" s="60"/>
      <c r="Q1251" s="60"/>
      <c r="R1251" s="60"/>
      <c r="S1251" s="60"/>
      <c r="T1251" s="60"/>
      <c r="U1251" s="60"/>
      <c r="V1251" s="60"/>
      <c r="W1251" s="60"/>
      <c r="X1251" s="60"/>
      <c r="Y1251" s="60"/>
      <c r="Z1251" s="60"/>
    </row>
    <row r="1252" spans="1:26" ht="30" hidden="1" customHeight="1">
      <c r="A1252" s="95" t="s">
        <v>2509</v>
      </c>
      <c r="B1252" s="51" t="s">
        <v>2510</v>
      </c>
      <c r="C1252" s="96"/>
      <c r="D1252" s="96"/>
      <c r="E1252" s="53"/>
      <c r="F1252" s="53"/>
      <c r="G1252" s="96"/>
      <c r="H1252" s="96">
        <f t="shared" si="458"/>
        <v>0</v>
      </c>
      <c r="I1252" s="60"/>
      <c r="J1252" s="60"/>
      <c r="K1252" s="60"/>
      <c r="L1252" s="60"/>
      <c r="M1252" s="60"/>
      <c r="N1252" s="60"/>
      <c r="O1252" s="60"/>
      <c r="P1252" s="60"/>
      <c r="Q1252" s="60"/>
      <c r="R1252" s="60"/>
      <c r="S1252" s="60"/>
      <c r="T1252" s="60"/>
      <c r="U1252" s="60"/>
      <c r="V1252" s="60"/>
      <c r="W1252" s="60"/>
      <c r="X1252" s="60"/>
      <c r="Y1252" s="60"/>
      <c r="Z1252" s="60"/>
    </row>
    <row r="1253" spans="1:26" ht="30" hidden="1" customHeight="1">
      <c r="A1253" s="95" t="s">
        <v>2511</v>
      </c>
      <c r="B1253" s="51" t="s">
        <v>2103</v>
      </c>
      <c r="C1253" s="96"/>
      <c r="D1253" s="96"/>
      <c r="E1253" s="96"/>
      <c r="F1253" s="96"/>
      <c r="G1253" s="96"/>
      <c r="H1253" s="96">
        <f t="shared" si="458"/>
        <v>0</v>
      </c>
      <c r="I1253" s="60"/>
      <c r="J1253" s="60"/>
      <c r="K1253" s="60"/>
      <c r="L1253" s="60"/>
      <c r="M1253" s="60"/>
      <c r="N1253" s="60"/>
      <c r="O1253" s="60"/>
      <c r="P1253" s="60"/>
      <c r="Q1253" s="60"/>
      <c r="R1253" s="60"/>
      <c r="S1253" s="60"/>
      <c r="T1253" s="60"/>
      <c r="U1253" s="60"/>
      <c r="V1253" s="60"/>
      <c r="W1253" s="60"/>
      <c r="X1253" s="60"/>
      <c r="Y1253" s="60"/>
      <c r="Z1253" s="60"/>
    </row>
    <row r="1254" spans="1:26" ht="30" hidden="1" customHeight="1">
      <c r="A1254" s="95" t="s">
        <v>2512</v>
      </c>
      <c r="B1254" s="51" t="s">
        <v>2513</v>
      </c>
      <c r="C1254" s="96"/>
      <c r="D1254" s="96"/>
      <c r="E1254" s="53"/>
      <c r="F1254" s="53"/>
      <c r="G1254" s="96"/>
      <c r="H1254" s="96">
        <f t="shared" si="458"/>
        <v>0</v>
      </c>
      <c r="I1254" s="60"/>
      <c r="J1254" s="60"/>
      <c r="K1254" s="60"/>
      <c r="L1254" s="60"/>
      <c r="M1254" s="60"/>
      <c r="N1254" s="60"/>
      <c r="O1254" s="60"/>
      <c r="P1254" s="60"/>
      <c r="Q1254" s="60"/>
      <c r="R1254" s="60"/>
      <c r="S1254" s="60"/>
      <c r="T1254" s="60"/>
      <c r="U1254" s="60"/>
      <c r="V1254" s="60"/>
      <c r="W1254" s="60"/>
      <c r="X1254" s="60"/>
      <c r="Y1254" s="60"/>
      <c r="Z1254" s="60"/>
    </row>
    <row r="1255" spans="1:26" ht="30" hidden="1" customHeight="1">
      <c r="A1255" s="95" t="s">
        <v>2514</v>
      </c>
      <c r="B1255" s="51" t="s">
        <v>2515</v>
      </c>
      <c r="C1255" s="96"/>
      <c r="D1255" s="96"/>
      <c r="E1255" s="53"/>
      <c r="F1255" s="53"/>
      <c r="G1255" s="96"/>
      <c r="H1255" s="96">
        <f t="shared" si="458"/>
        <v>0</v>
      </c>
      <c r="I1255" s="60"/>
      <c r="J1255" s="60"/>
      <c r="K1255" s="60"/>
      <c r="L1255" s="60"/>
      <c r="M1255" s="60"/>
      <c r="N1255" s="60"/>
      <c r="O1255" s="60"/>
      <c r="P1255" s="60"/>
      <c r="Q1255" s="60"/>
      <c r="R1255" s="60"/>
      <c r="S1255" s="60"/>
      <c r="T1255" s="60"/>
      <c r="U1255" s="60"/>
      <c r="V1255" s="60"/>
      <c r="W1255" s="60"/>
      <c r="X1255" s="60"/>
      <c r="Y1255" s="60"/>
      <c r="Z1255" s="60"/>
    </row>
    <row r="1256" spans="1:26" ht="30" hidden="1" customHeight="1">
      <c r="A1256" s="95" t="s">
        <v>2516</v>
      </c>
      <c r="B1256" s="51" t="s">
        <v>2109</v>
      </c>
      <c r="C1256" s="96"/>
      <c r="D1256" s="96"/>
      <c r="E1256" s="96"/>
      <c r="F1256" s="96"/>
      <c r="G1256" s="96"/>
      <c r="H1256" s="96">
        <f t="shared" si="458"/>
        <v>0</v>
      </c>
      <c r="I1256" s="60"/>
      <c r="J1256" s="60"/>
      <c r="K1256" s="60"/>
      <c r="L1256" s="60"/>
      <c r="M1256" s="60"/>
      <c r="N1256" s="60"/>
      <c r="O1256" s="60"/>
      <c r="P1256" s="60"/>
      <c r="Q1256" s="60"/>
      <c r="R1256" s="60"/>
      <c r="S1256" s="60"/>
      <c r="T1256" s="60"/>
      <c r="U1256" s="60"/>
      <c r="V1256" s="60"/>
      <c r="W1256" s="60"/>
      <c r="X1256" s="60"/>
      <c r="Y1256" s="60"/>
      <c r="Z1256" s="60"/>
    </row>
    <row r="1257" spans="1:26" ht="30" hidden="1" customHeight="1">
      <c r="A1257" s="95" t="s">
        <v>2517</v>
      </c>
      <c r="B1257" s="51" t="s">
        <v>1175</v>
      </c>
      <c r="C1257" s="96"/>
      <c r="D1257" s="96"/>
      <c r="E1257" s="53"/>
      <c r="F1257" s="53"/>
      <c r="G1257" s="96"/>
      <c r="H1257" s="96">
        <f t="shared" si="458"/>
        <v>0</v>
      </c>
      <c r="I1257" s="60"/>
      <c r="J1257" s="60"/>
      <c r="K1257" s="60"/>
      <c r="L1257" s="60"/>
      <c r="M1257" s="60"/>
      <c r="N1257" s="60"/>
      <c r="O1257" s="60"/>
      <c r="P1257" s="60"/>
      <c r="Q1257" s="60"/>
      <c r="R1257" s="60"/>
      <c r="S1257" s="60"/>
      <c r="T1257" s="60"/>
      <c r="U1257" s="60"/>
      <c r="V1257" s="60"/>
      <c r="W1257" s="60"/>
      <c r="X1257" s="60"/>
      <c r="Y1257" s="60"/>
      <c r="Z1257" s="60"/>
    </row>
    <row r="1258" spans="1:26" ht="30" hidden="1" customHeight="1">
      <c r="A1258" s="95" t="s">
        <v>2518</v>
      </c>
      <c r="B1258" s="51" t="s">
        <v>2112</v>
      </c>
      <c r="C1258" s="96"/>
      <c r="D1258" s="96"/>
      <c r="E1258" s="96"/>
      <c r="F1258" s="96"/>
      <c r="G1258" s="96"/>
      <c r="H1258" s="96">
        <f t="shared" si="458"/>
        <v>0</v>
      </c>
      <c r="I1258" s="60"/>
      <c r="J1258" s="60"/>
      <c r="K1258" s="60"/>
      <c r="L1258" s="60"/>
      <c r="M1258" s="60"/>
      <c r="N1258" s="60"/>
      <c r="O1258" s="60"/>
      <c r="P1258" s="60"/>
      <c r="Q1258" s="60"/>
      <c r="R1258" s="60"/>
      <c r="S1258" s="60"/>
      <c r="T1258" s="60"/>
      <c r="U1258" s="60"/>
      <c r="V1258" s="60"/>
      <c r="W1258" s="60"/>
      <c r="X1258" s="60"/>
      <c r="Y1258" s="60"/>
      <c r="Z1258" s="60"/>
    </row>
    <row r="1259" spans="1:26" ht="30" hidden="1" customHeight="1">
      <c r="A1259" s="95" t="s">
        <v>2519</v>
      </c>
      <c r="B1259" s="51" t="s">
        <v>1180</v>
      </c>
      <c r="C1259" s="96"/>
      <c r="D1259" s="96"/>
      <c r="E1259" s="53"/>
      <c r="F1259" s="53"/>
      <c r="G1259" s="96"/>
      <c r="H1259" s="96">
        <f t="shared" si="458"/>
        <v>0</v>
      </c>
      <c r="I1259" s="60"/>
      <c r="J1259" s="60"/>
      <c r="K1259" s="60"/>
      <c r="L1259" s="60"/>
      <c r="M1259" s="60"/>
      <c r="N1259" s="60"/>
      <c r="O1259" s="60"/>
      <c r="P1259" s="60"/>
      <c r="Q1259" s="60"/>
      <c r="R1259" s="60"/>
      <c r="S1259" s="60"/>
      <c r="T1259" s="60"/>
      <c r="U1259" s="60"/>
      <c r="V1259" s="60"/>
      <c r="W1259" s="60"/>
      <c r="X1259" s="60"/>
      <c r="Y1259" s="60"/>
      <c r="Z1259" s="60"/>
    </row>
    <row r="1260" spans="1:26" ht="30" hidden="1" customHeight="1">
      <c r="A1260" s="92" t="s">
        <v>2520</v>
      </c>
      <c r="B1260" s="93" t="s">
        <v>2115</v>
      </c>
      <c r="C1260" s="94"/>
      <c r="D1260" s="94"/>
      <c r="E1260" s="94">
        <f t="shared" ref="E1260:F1260" si="459">SUM(E1261:E1263)</f>
        <v>0</v>
      </c>
      <c r="F1260" s="94">
        <f t="shared" si="459"/>
        <v>0</v>
      </c>
      <c r="G1260" s="94"/>
      <c r="H1260" s="94">
        <f>SUM(H1261:H1263)</f>
        <v>0</v>
      </c>
      <c r="I1260" s="60"/>
      <c r="J1260" s="60"/>
      <c r="K1260" s="60"/>
      <c r="L1260" s="60"/>
      <c r="M1260" s="60"/>
      <c r="N1260" s="60"/>
      <c r="O1260" s="60"/>
      <c r="P1260" s="60"/>
      <c r="Q1260" s="60"/>
      <c r="R1260" s="60"/>
      <c r="S1260" s="60"/>
      <c r="T1260" s="60"/>
      <c r="U1260" s="60"/>
      <c r="V1260" s="60"/>
      <c r="W1260" s="60"/>
      <c r="X1260" s="60"/>
      <c r="Y1260" s="60"/>
      <c r="Z1260" s="60"/>
    </row>
    <row r="1261" spans="1:26" ht="30" hidden="1" customHeight="1">
      <c r="A1261" s="95" t="s">
        <v>2521</v>
      </c>
      <c r="B1261" s="51" t="s">
        <v>2117</v>
      </c>
      <c r="C1261" s="96"/>
      <c r="D1261" s="96"/>
      <c r="E1261" s="96"/>
      <c r="F1261" s="96"/>
      <c r="G1261" s="96"/>
      <c r="H1261" s="96">
        <f t="shared" ref="H1261:H1262" si="460">ROUND(F1261-E1261,2)</f>
        <v>0</v>
      </c>
      <c r="I1261" s="60"/>
      <c r="J1261" s="60"/>
      <c r="K1261" s="60"/>
      <c r="L1261" s="60"/>
      <c r="M1261" s="60"/>
      <c r="N1261" s="60"/>
      <c r="O1261" s="60"/>
      <c r="P1261" s="60"/>
      <c r="Q1261" s="60"/>
      <c r="R1261" s="60"/>
      <c r="S1261" s="60"/>
      <c r="T1261" s="60"/>
      <c r="U1261" s="60"/>
      <c r="V1261" s="60"/>
      <c r="W1261" s="60"/>
      <c r="X1261" s="60"/>
      <c r="Y1261" s="60"/>
      <c r="Z1261" s="60"/>
    </row>
    <row r="1262" spans="1:26" ht="30" hidden="1" customHeight="1">
      <c r="A1262" s="95" t="s">
        <v>2522</v>
      </c>
      <c r="B1262" s="51" t="s">
        <v>2119</v>
      </c>
      <c r="C1262" s="96"/>
      <c r="D1262" s="96"/>
      <c r="E1262" s="96"/>
      <c r="F1262" s="96"/>
      <c r="G1262" s="96"/>
      <c r="H1262" s="96">
        <f t="shared" si="460"/>
        <v>0</v>
      </c>
      <c r="I1262" s="60"/>
      <c r="J1262" s="60"/>
      <c r="K1262" s="60"/>
      <c r="L1262" s="60"/>
      <c r="M1262" s="60"/>
      <c r="N1262" s="60"/>
      <c r="O1262" s="60"/>
      <c r="P1262" s="60"/>
      <c r="Q1262" s="60"/>
      <c r="R1262" s="60"/>
      <c r="S1262" s="60"/>
      <c r="T1262" s="60"/>
      <c r="U1262" s="60"/>
      <c r="V1262" s="60"/>
      <c r="W1262" s="60"/>
      <c r="X1262" s="60"/>
      <c r="Y1262" s="60"/>
      <c r="Z1262" s="60"/>
    </row>
    <row r="1263" spans="1:26" ht="30" hidden="1" customHeight="1">
      <c r="A1263" s="95" t="s">
        <v>2523</v>
      </c>
      <c r="B1263" s="51" t="s">
        <v>2121</v>
      </c>
      <c r="C1263" s="96"/>
      <c r="D1263" s="96"/>
      <c r="E1263" s="94">
        <f t="shared" ref="E1263:F1263" si="461">SUM(E1264:E1265)</f>
        <v>0</v>
      </c>
      <c r="F1263" s="94">
        <f t="shared" si="461"/>
        <v>0</v>
      </c>
      <c r="G1263" s="96"/>
      <c r="H1263" s="94">
        <f>SUM(H1264:H1265)</f>
        <v>0</v>
      </c>
      <c r="I1263" s="60"/>
      <c r="J1263" s="60"/>
      <c r="K1263" s="60"/>
      <c r="L1263" s="60"/>
      <c r="M1263" s="60"/>
      <c r="N1263" s="60"/>
      <c r="O1263" s="60"/>
      <c r="P1263" s="60"/>
      <c r="Q1263" s="60"/>
      <c r="R1263" s="60"/>
      <c r="S1263" s="60"/>
      <c r="T1263" s="60"/>
      <c r="U1263" s="60"/>
      <c r="V1263" s="60"/>
      <c r="W1263" s="60"/>
      <c r="X1263" s="60"/>
      <c r="Y1263" s="60"/>
      <c r="Z1263" s="60"/>
    </row>
    <row r="1264" spans="1:26" ht="30" hidden="1" customHeight="1">
      <c r="A1264" s="98" t="s">
        <v>2524</v>
      </c>
      <c r="B1264" s="55" t="s">
        <v>2123</v>
      </c>
      <c r="C1264" s="99"/>
      <c r="D1264" s="96"/>
      <c r="E1264" s="53"/>
      <c r="F1264" s="53"/>
      <c r="G1264" s="96"/>
      <c r="H1264" s="96">
        <f t="shared" ref="H1264:H1265" si="462">ROUND(F1264-E1264,2)</f>
        <v>0</v>
      </c>
      <c r="I1264" s="60"/>
      <c r="J1264" s="60"/>
      <c r="K1264" s="60"/>
      <c r="L1264" s="60"/>
      <c r="M1264" s="60"/>
      <c r="N1264" s="60"/>
      <c r="O1264" s="60"/>
      <c r="P1264" s="60"/>
      <c r="Q1264" s="60"/>
      <c r="R1264" s="60"/>
      <c r="S1264" s="60"/>
      <c r="T1264" s="60"/>
      <c r="U1264" s="60"/>
      <c r="V1264" s="60"/>
      <c r="W1264" s="60"/>
      <c r="X1264" s="60"/>
      <c r="Y1264" s="60"/>
      <c r="Z1264" s="60"/>
    </row>
    <row r="1265" spans="1:26" ht="30" hidden="1" customHeight="1">
      <c r="A1265" s="98" t="s">
        <v>2525</v>
      </c>
      <c r="B1265" s="51" t="s">
        <v>2125</v>
      </c>
      <c r="C1265" s="99"/>
      <c r="D1265" s="96"/>
      <c r="E1265" s="53"/>
      <c r="F1265" s="53"/>
      <c r="G1265" s="96"/>
      <c r="H1265" s="96">
        <f t="shared" si="462"/>
        <v>0</v>
      </c>
      <c r="I1265" s="60"/>
      <c r="J1265" s="60"/>
      <c r="K1265" s="60"/>
      <c r="L1265" s="60"/>
      <c r="M1265" s="60"/>
      <c r="N1265" s="60"/>
      <c r="O1265" s="60"/>
      <c r="P1265" s="60"/>
      <c r="Q1265" s="60"/>
      <c r="R1265" s="60"/>
      <c r="S1265" s="60"/>
      <c r="T1265" s="60"/>
      <c r="U1265" s="60"/>
      <c r="V1265" s="60"/>
      <c r="W1265" s="60"/>
      <c r="X1265" s="60"/>
      <c r="Y1265" s="60"/>
      <c r="Z1265" s="60"/>
    </row>
    <row r="1266" spans="1:26" ht="30" hidden="1" customHeight="1">
      <c r="A1266" s="28">
        <v>82000</v>
      </c>
      <c r="B1266" s="47" t="s">
        <v>2526</v>
      </c>
      <c r="C1266" s="30"/>
      <c r="D1266" s="30"/>
      <c r="E1266" s="30">
        <f t="shared" ref="E1266:H1266" si="463">E1267+E1403+E1539+E1675+E1811+E1947+E2083</f>
        <v>40391860680.019997</v>
      </c>
      <c r="F1266" s="30">
        <f t="shared" si="463"/>
        <v>40391860680.019997</v>
      </c>
      <c r="G1266" s="30">
        <f t="shared" si="463"/>
        <v>12542724253.629997</v>
      </c>
      <c r="H1266" s="30">
        <f t="shared" si="463"/>
        <v>12542724253.629997</v>
      </c>
      <c r="I1266" s="60"/>
      <c r="J1266" s="60"/>
      <c r="K1266" s="60"/>
      <c r="L1266" s="60"/>
      <c r="M1266" s="60"/>
      <c r="N1266" s="60"/>
      <c r="O1266" s="60"/>
      <c r="P1266" s="60"/>
      <c r="Q1266" s="60"/>
      <c r="R1266" s="60"/>
      <c r="S1266" s="60"/>
      <c r="T1266" s="60"/>
      <c r="U1266" s="60"/>
      <c r="V1266" s="60"/>
      <c r="W1266" s="60"/>
      <c r="X1266" s="60"/>
      <c r="Y1266" s="60"/>
      <c r="Z1266" s="60"/>
    </row>
    <row r="1267" spans="1:26" ht="30" hidden="1" customHeight="1">
      <c r="A1267" s="32">
        <v>82100</v>
      </c>
      <c r="B1267" s="48" t="s">
        <v>2527</v>
      </c>
      <c r="C1267" s="34"/>
      <c r="D1267" s="34"/>
      <c r="E1267" s="34">
        <f t="shared" ref="E1267:F1267" si="464">E1268+E1283+E1302+E1321+E1340+E1359+E1366+E1381+E1388</f>
        <v>0</v>
      </c>
      <c r="F1267" s="34">
        <f t="shared" si="464"/>
        <v>12491139903.439999</v>
      </c>
      <c r="G1267" s="35"/>
      <c r="H1267" s="35">
        <f t="shared" ref="H1267:H1268" si="465">F1267-E1267</f>
        <v>12491139903.439999</v>
      </c>
      <c r="I1267" s="60"/>
      <c r="J1267" s="60"/>
      <c r="K1267" s="60"/>
      <c r="L1267" s="60"/>
      <c r="M1267" s="60"/>
      <c r="N1267" s="60"/>
      <c r="O1267" s="60"/>
      <c r="P1267" s="60"/>
      <c r="Q1267" s="60"/>
      <c r="R1267" s="60"/>
      <c r="S1267" s="60"/>
      <c r="T1267" s="60"/>
      <c r="U1267" s="60"/>
      <c r="V1267" s="60"/>
      <c r="W1267" s="60"/>
      <c r="X1267" s="60"/>
      <c r="Y1267" s="60"/>
      <c r="Z1267" s="60"/>
    </row>
    <row r="1268" spans="1:26" ht="30" hidden="1" customHeight="1">
      <c r="A1268" s="92" t="s">
        <v>2528</v>
      </c>
      <c r="B1268" s="100" t="s">
        <v>2529</v>
      </c>
      <c r="C1268" s="94"/>
      <c r="D1268" s="94"/>
      <c r="E1268" s="39">
        <f t="shared" ref="E1268:F1268" si="466">SUM(E1269:E1282)</f>
        <v>0</v>
      </c>
      <c r="F1268" s="39">
        <f t="shared" si="466"/>
        <v>5678059773.5</v>
      </c>
      <c r="G1268" s="40"/>
      <c r="H1268" s="94">
        <f t="shared" si="465"/>
        <v>5678059773.5</v>
      </c>
      <c r="I1268" s="60"/>
      <c r="J1268" s="60"/>
      <c r="K1268" s="60"/>
      <c r="L1268" s="60"/>
      <c r="M1268" s="60"/>
      <c r="N1268" s="60"/>
      <c r="O1268" s="60"/>
      <c r="P1268" s="60"/>
      <c r="Q1268" s="60"/>
      <c r="R1268" s="60"/>
      <c r="S1268" s="60"/>
      <c r="T1268" s="60"/>
      <c r="U1268" s="60"/>
      <c r="V1268" s="60"/>
      <c r="W1268" s="60"/>
      <c r="X1268" s="60"/>
      <c r="Y1268" s="60"/>
      <c r="Z1268" s="60"/>
    </row>
    <row r="1269" spans="1:26" ht="30" hidden="1" customHeight="1">
      <c r="A1269" s="98" t="s">
        <v>2530</v>
      </c>
      <c r="B1269" s="68" t="s">
        <v>2531</v>
      </c>
      <c r="C1269" s="99"/>
      <c r="D1269" s="96"/>
      <c r="E1269" s="53"/>
      <c r="F1269" s="53">
        <v>2940418309.3099999</v>
      </c>
      <c r="G1269" s="96"/>
      <c r="H1269" s="96">
        <f t="shared" ref="H1269:H1282" si="467">ROUND(F1269-E1269,2)</f>
        <v>2940418309.3099999</v>
      </c>
      <c r="I1269" s="60"/>
      <c r="J1269" s="60"/>
      <c r="K1269" s="60"/>
      <c r="L1269" s="60"/>
      <c r="M1269" s="60"/>
      <c r="N1269" s="60"/>
      <c r="O1269" s="60"/>
      <c r="P1269" s="60"/>
      <c r="Q1269" s="60"/>
      <c r="R1269" s="60"/>
      <c r="S1269" s="60"/>
      <c r="T1269" s="60"/>
      <c r="U1269" s="60"/>
      <c r="V1269" s="60"/>
      <c r="W1269" s="60"/>
      <c r="X1269" s="60"/>
      <c r="Y1269" s="60"/>
      <c r="Z1269" s="60"/>
    </row>
    <row r="1270" spans="1:26" ht="30" hidden="1" customHeight="1">
      <c r="A1270" s="95" t="s">
        <v>2532</v>
      </c>
      <c r="B1270" s="68" t="s">
        <v>2533</v>
      </c>
      <c r="C1270" s="99"/>
      <c r="D1270" s="96"/>
      <c r="E1270" s="53"/>
      <c r="F1270" s="53"/>
      <c r="G1270" s="96"/>
      <c r="H1270" s="96">
        <f t="shared" si="467"/>
        <v>0</v>
      </c>
      <c r="I1270" s="60"/>
      <c r="J1270" s="60"/>
      <c r="K1270" s="60"/>
      <c r="L1270" s="60"/>
      <c r="M1270" s="60"/>
      <c r="N1270" s="60"/>
      <c r="O1270" s="60"/>
      <c r="P1270" s="60"/>
      <c r="Q1270" s="60"/>
      <c r="R1270" s="60"/>
      <c r="S1270" s="60"/>
      <c r="T1270" s="60"/>
      <c r="U1270" s="60"/>
      <c r="V1270" s="60"/>
      <c r="W1270" s="60"/>
      <c r="X1270" s="60"/>
      <c r="Y1270" s="60"/>
      <c r="Z1270" s="60"/>
    </row>
    <row r="1271" spans="1:26" ht="30" hidden="1" customHeight="1">
      <c r="A1271" s="98" t="s">
        <v>2534</v>
      </c>
      <c r="B1271" s="68" t="s">
        <v>2535</v>
      </c>
      <c r="C1271" s="99"/>
      <c r="D1271" s="96"/>
      <c r="E1271" s="53"/>
      <c r="F1271" s="53">
        <v>530867575.31999999</v>
      </c>
      <c r="G1271" s="96"/>
      <c r="H1271" s="96">
        <f t="shared" si="467"/>
        <v>530867575.31999999</v>
      </c>
      <c r="I1271" s="60"/>
      <c r="J1271" s="60"/>
      <c r="K1271" s="60"/>
      <c r="L1271" s="60"/>
      <c r="M1271" s="60"/>
      <c r="N1271" s="60"/>
      <c r="O1271" s="60"/>
      <c r="P1271" s="60"/>
      <c r="Q1271" s="60"/>
      <c r="R1271" s="60"/>
      <c r="S1271" s="60"/>
      <c r="T1271" s="60"/>
      <c r="U1271" s="60"/>
      <c r="V1271" s="60"/>
      <c r="W1271" s="60"/>
      <c r="X1271" s="60"/>
      <c r="Y1271" s="60"/>
      <c r="Z1271" s="60"/>
    </row>
    <row r="1272" spans="1:26" ht="30" hidden="1" customHeight="1">
      <c r="A1272" s="95" t="s">
        <v>2536</v>
      </c>
      <c r="B1272" s="68" t="s">
        <v>2537</v>
      </c>
      <c r="C1272" s="99"/>
      <c r="D1272" s="96"/>
      <c r="E1272" s="53"/>
      <c r="F1272" s="53"/>
      <c r="G1272" s="96"/>
      <c r="H1272" s="96">
        <f t="shared" si="467"/>
        <v>0</v>
      </c>
      <c r="I1272" s="60"/>
      <c r="J1272" s="60"/>
      <c r="K1272" s="60"/>
      <c r="L1272" s="60"/>
      <c r="M1272" s="60"/>
      <c r="N1272" s="60"/>
      <c r="O1272" s="60"/>
      <c r="P1272" s="60"/>
      <c r="Q1272" s="60"/>
      <c r="R1272" s="60"/>
      <c r="S1272" s="60"/>
      <c r="T1272" s="60"/>
      <c r="U1272" s="60"/>
      <c r="V1272" s="60"/>
      <c r="W1272" s="60"/>
      <c r="X1272" s="60"/>
      <c r="Y1272" s="60"/>
      <c r="Z1272" s="60"/>
    </row>
    <row r="1273" spans="1:26" ht="30" hidden="1" customHeight="1">
      <c r="A1273" s="98" t="s">
        <v>2538</v>
      </c>
      <c r="B1273" s="68" t="s">
        <v>2539</v>
      </c>
      <c r="C1273" s="99"/>
      <c r="D1273" s="96"/>
      <c r="E1273" s="53"/>
      <c r="F1273" s="53">
        <v>621936119.51999998</v>
      </c>
      <c r="G1273" s="96"/>
      <c r="H1273" s="96">
        <f t="shared" si="467"/>
        <v>621936119.51999998</v>
      </c>
      <c r="I1273" s="60"/>
      <c r="J1273" s="60"/>
      <c r="K1273" s="60"/>
      <c r="L1273" s="60"/>
      <c r="M1273" s="60"/>
      <c r="N1273" s="60"/>
      <c r="O1273" s="60"/>
      <c r="P1273" s="60"/>
      <c r="Q1273" s="60"/>
      <c r="R1273" s="60"/>
      <c r="S1273" s="60"/>
      <c r="T1273" s="60"/>
      <c r="U1273" s="60"/>
      <c r="V1273" s="60"/>
      <c r="W1273" s="60"/>
      <c r="X1273" s="60"/>
      <c r="Y1273" s="60"/>
      <c r="Z1273" s="60"/>
    </row>
    <row r="1274" spans="1:26" ht="30" hidden="1" customHeight="1">
      <c r="A1274" s="95" t="s">
        <v>2540</v>
      </c>
      <c r="B1274" s="68" t="s">
        <v>2541</v>
      </c>
      <c r="C1274" s="99"/>
      <c r="D1274" s="96"/>
      <c r="E1274" s="53"/>
      <c r="F1274" s="53"/>
      <c r="G1274" s="96"/>
      <c r="H1274" s="96">
        <f t="shared" si="467"/>
        <v>0</v>
      </c>
      <c r="I1274" s="60"/>
      <c r="J1274" s="60"/>
      <c r="K1274" s="60"/>
      <c r="L1274" s="60"/>
      <c r="M1274" s="60"/>
      <c r="N1274" s="60"/>
      <c r="O1274" s="60"/>
      <c r="P1274" s="60"/>
      <c r="Q1274" s="60"/>
      <c r="R1274" s="60"/>
      <c r="S1274" s="60"/>
      <c r="T1274" s="60"/>
      <c r="U1274" s="60"/>
      <c r="V1274" s="60"/>
      <c r="W1274" s="60"/>
      <c r="X1274" s="60"/>
      <c r="Y1274" s="60"/>
      <c r="Z1274" s="60"/>
    </row>
    <row r="1275" spans="1:26" ht="30" hidden="1" customHeight="1">
      <c r="A1275" s="98" t="s">
        <v>2542</v>
      </c>
      <c r="B1275" s="68" t="s">
        <v>2543</v>
      </c>
      <c r="C1275" s="99"/>
      <c r="D1275" s="96"/>
      <c r="E1275" s="53"/>
      <c r="F1275" s="53">
        <v>1026073081.5599999</v>
      </c>
      <c r="G1275" s="96"/>
      <c r="H1275" s="96">
        <f t="shared" si="467"/>
        <v>1026073081.5599999</v>
      </c>
      <c r="I1275" s="60"/>
      <c r="J1275" s="60"/>
      <c r="K1275" s="60"/>
      <c r="L1275" s="60"/>
      <c r="M1275" s="60"/>
      <c r="N1275" s="60"/>
      <c r="O1275" s="60"/>
      <c r="P1275" s="60"/>
      <c r="Q1275" s="60"/>
      <c r="R1275" s="60"/>
      <c r="S1275" s="60"/>
      <c r="T1275" s="60"/>
      <c r="U1275" s="60"/>
      <c r="V1275" s="60"/>
      <c r="W1275" s="60"/>
      <c r="X1275" s="60"/>
      <c r="Y1275" s="60"/>
      <c r="Z1275" s="60"/>
    </row>
    <row r="1276" spans="1:26" ht="30" hidden="1" customHeight="1">
      <c r="A1276" s="95" t="s">
        <v>2544</v>
      </c>
      <c r="B1276" s="68" t="s">
        <v>2545</v>
      </c>
      <c r="C1276" s="99"/>
      <c r="D1276" s="96"/>
      <c r="E1276" s="53"/>
      <c r="F1276" s="53"/>
      <c r="G1276" s="96"/>
      <c r="H1276" s="96">
        <f t="shared" si="467"/>
        <v>0</v>
      </c>
      <c r="I1276" s="60"/>
      <c r="J1276" s="60"/>
      <c r="K1276" s="60"/>
      <c r="L1276" s="60"/>
      <c r="M1276" s="60"/>
      <c r="N1276" s="60"/>
      <c r="O1276" s="60"/>
      <c r="P1276" s="60"/>
      <c r="Q1276" s="60"/>
      <c r="R1276" s="60"/>
      <c r="S1276" s="60"/>
      <c r="T1276" s="60"/>
      <c r="U1276" s="60"/>
      <c r="V1276" s="60"/>
      <c r="W1276" s="60"/>
      <c r="X1276" s="60"/>
      <c r="Y1276" s="60"/>
      <c r="Z1276" s="60"/>
    </row>
    <row r="1277" spans="1:26" ht="30" hidden="1" customHeight="1">
      <c r="A1277" s="98" t="s">
        <v>2546</v>
      </c>
      <c r="B1277" s="68" t="s">
        <v>2547</v>
      </c>
      <c r="C1277" s="99"/>
      <c r="D1277" s="96"/>
      <c r="E1277" s="53"/>
      <c r="F1277" s="53">
        <v>558764687.78999996</v>
      </c>
      <c r="G1277" s="96"/>
      <c r="H1277" s="96">
        <f t="shared" si="467"/>
        <v>558764687.78999996</v>
      </c>
      <c r="I1277" s="60"/>
      <c r="J1277" s="60"/>
      <c r="K1277" s="60"/>
      <c r="L1277" s="60"/>
      <c r="M1277" s="60"/>
      <c r="N1277" s="60"/>
      <c r="O1277" s="60"/>
      <c r="P1277" s="60"/>
      <c r="Q1277" s="60"/>
      <c r="R1277" s="60"/>
      <c r="S1277" s="60"/>
      <c r="T1277" s="60"/>
      <c r="U1277" s="60"/>
      <c r="V1277" s="60"/>
      <c r="W1277" s="60"/>
      <c r="X1277" s="60"/>
      <c r="Y1277" s="60"/>
      <c r="Z1277" s="60"/>
    </row>
    <row r="1278" spans="1:26" ht="30" hidden="1" customHeight="1">
      <c r="A1278" s="95" t="s">
        <v>2548</v>
      </c>
      <c r="B1278" s="68" t="s">
        <v>2549</v>
      </c>
      <c r="C1278" s="99"/>
      <c r="D1278" s="96"/>
      <c r="E1278" s="53"/>
      <c r="F1278" s="53"/>
      <c r="G1278" s="96"/>
      <c r="H1278" s="96">
        <f t="shared" si="467"/>
        <v>0</v>
      </c>
      <c r="I1278" s="60"/>
      <c r="J1278" s="60"/>
      <c r="K1278" s="60"/>
      <c r="L1278" s="60"/>
      <c r="M1278" s="60"/>
      <c r="N1278" s="60"/>
      <c r="O1278" s="60"/>
      <c r="P1278" s="60"/>
      <c r="Q1278" s="60"/>
      <c r="R1278" s="60"/>
      <c r="S1278" s="60"/>
      <c r="T1278" s="60"/>
      <c r="U1278" s="60"/>
      <c r="V1278" s="60"/>
      <c r="W1278" s="60"/>
      <c r="X1278" s="60"/>
      <c r="Y1278" s="60"/>
      <c r="Z1278" s="60"/>
    </row>
    <row r="1279" spans="1:26" ht="30" hidden="1" customHeight="1">
      <c r="A1279" s="98" t="s">
        <v>2550</v>
      </c>
      <c r="B1279" s="68" t="s">
        <v>2551</v>
      </c>
      <c r="C1279" s="99"/>
      <c r="D1279" s="96"/>
      <c r="E1279" s="53"/>
      <c r="F1279" s="53"/>
      <c r="G1279" s="96"/>
      <c r="H1279" s="96">
        <f t="shared" si="467"/>
        <v>0</v>
      </c>
      <c r="I1279" s="60"/>
      <c r="J1279" s="60"/>
      <c r="K1279" s="60"/>
      <c r="L1279" s="60"/>
      <c r="M1279" s="60"/>
      <c r="N1279" s="60"/>
      <c r="O1279" s="60"/>
      <c r="P1279" s="60"/>
      <c r="Q1279" s="60"/>
      <c r="R1279" s="60"/>
      <c r="S1279" s="60"/>
      <c r="T1279" s="60"/>
      <c r="U1279" s="60"/>
      <c r="V1279" s="60"/>
      <c r="W1279" s="60"/>
      <c r="X1279" s="60"/>
      <c r="Y1279" s="60"/>
      <c r="Z1279" s="60"/>
    </row>
    <row r="1280" spans="1:26" ht="30" hidden="1" customHeight="1">
      <c r="A1280" s="95" t="s">
        <v>2552</v>
      </c>
      <c r="B1280" s="68" t="s">
        <v>2553</v>
      </c>
      <c r="C1280" s="99"/>
      <c r="D1280" s="96"/>
      <c r="E1280" s="53"/>
      <c r="F1280" s="53"/>
      <c r="G1280" s="96"/>
      <c r="H1280" s="96">
        <f t="shared" si="467"/>
        <v>0</v>
      </c>
      <c r="I1280" s="60"/>
      <c r="J1280" s="60"/>
      <c r="K1280" s="60"/>
      <c r="L1280" s="60"/>
      <c r="M1280" s="60"/>
      <c r="N1280" s="60"/>
      <c r="O1280" s="60"/>
      <c r="P1280" s="60"/>
      <c r="Q1280" s="60"/>
      <c r="R1280" s="60"/>
      <c r="S1280" s="60"/>
      <c r="T1280" s="60"/>
      <c r="U1280" s="60"/>
      <c r="V1280" s="60"/>
      <c r="W1280" s="60"/>
      <c r="X1280" s="60"/>
      <c r="Y1280" s="60"/>
      <c r="Z1280" s="60"/>
    </row>
    <row r="1281" spans="1:26" ht="30" hidden="1" customHeight="1">
      <c r="A1281" s="98" t="s">
        <v>2554</v>
      </c>
      <c r="B1281" s="68" t="s">
        <v>2555</v>
      </c>
      <c r="C1281" s="99"/>
      <c r="D1281" s="96"/>
      <c r="E1281" s="53"/>
      <c r="F1281" s="53"/>
      <c r="G1281" s="96"/>
      <c r="H1281" s="96">
        <f t="shared" si="467"/>
        <v>0</v>
      </c>
      <c r="I1281" s="60"/>
      <c r="J1281" s="60"/>
      <c r="K1281" s="60"/>
      <c r="L1281" s="60"/>
      <c r="M1281" s="60"/>
      <c r="N1281" s="60"/>
      <c r="O1281" s="60"/>
      <c r="P1281" s="60"/>
      <c r="Q1281" s="60"/>
      <c r="R1281" s="60"/>
      <c r="S1281" s="60"/>
      <c r="T1281" s="60"/>
      <c r="U1281" s="60"/>
      <c r="V1281" s="60"/>
      <c r="W1281" s="60"/>
      <c r="X1281" s="60"/>
      <c r="Y1281" s="60"/>
      <c r="Z1281" s="60"/>
    </row>
    <row r="1282" spans="1:26" ht="30" hidden="1" customHeight="1">
      <c r="A1282" s="95" t="s">
        <v>2556</v>
      </c>
      <c r="B1282" s="68" t="s">
        <v>2557</v>
      </c>
      <c r="C1282" s="99"/>
      <c r="D1282" s="96"/>
      <c r="E1282" s="53"/>
      <c r="F1282" s="53"/>
      <c r="G1282" s="96"/>
      <c r="H1282" s="96">
        <f t="shared" si="467"/>
        <v>0</v>
      </c>
      <c r="I1282" s="60"/>
      <c r="J1282" s="60"/>
      <c r="K1282" s="60"/>
      <c r="L1282" s="60"/>
      <c r="M1282" s="60"/>
      <c r="N1282" s="60"/>
      <c r="O1282" s="60"/>
      <c r="P1282" s="60"/>
      <c r="Q1282" s="60"/>
      <c r="R1282" s="60"/>
      <c r="S1282" s="60"/>
      <c r="T1282" s="60"/>
      <c r="U1282" s="60"/>
      <c r="V1282" s="60"/>
      <c r="W1282" s="60"/>
      <c r="X1282" s="60"/>
      <c r="Y1282" s="60"/>
      <c r="Z1282" s="60"/>
    </row>
    <row r="1283" spans="1:26" ht="30" hidden="1" customHeight="1">
      <c r="A1283" s="92" t="s">
        <v>2558</v>
      </c>
      <c r="B1283" s="101" t="s">
        <v>2559</v>
      </c>
      <c r="C1283" s="94"/>
      <c r="D1283" s="94"/>
      <c r="E1283" s="39">
        <f t="shared" ref="E1283:F1283" si="468">SUM(E1284:E1301)</f>
        <v>0</v>
      </c>
      <c r="F1283" s="39">
        <f t="shared" si="468"/>
        <v>754953776.33999991</v>
      </c>
      <c r="G1283" s="40"/>
      <c r="H1283" s="39">
        <f>SUM(H1284:H1301)</f>
        <v>754953776.33999991</v>
      </c>
      <c r="I1283" s="60"/>
      <c r="J1283" s="60"/>
      <c r="K1283" s="60"/>
      <c r="L1283" s="60"/>
      <c r="M1283" s="60"/>
      <c r="N1283" s="60"/>
      <c r="O1283" s="60"/>
      <c r="P1283" s="60"/>
      <c r="Q1283" s="60"/>
      <c r="R1283" s="60"/>
      <c r="S1283" s="60"/>
      <c r="T1283" s="60"/>
      <c r="U1283" s="60"/>
      <c r="V1283" s="60"/>
      <c r="W1283" s="60"/>
      <c r="X1283" s="60"/>
      <c r="Y1283" s="60"/>
      <c r="Z1283" s="60"/>
    </row>
    <row r="1284" spans="1:26" ht="30" hidden="1" customHeight="1">
      <c r="A1284" s="98" t="s">
        <v>2560</v>
      </c>
      <c r="B1284" s="68" t="s">
        <v>2561</v>
      </c>
      <c r="C1284" s="99"/>
      <c r="D1284" s="96"/>
      <c r="E1284" s="53"/>
      <c r="F1284" s="53">
        <v>92406689.590000004</v>
      </c>
      <c r="G1284" s="96"/>
      <c r="H1284" s="96">
        <f t="shared" ref="H1284:H1301" si="469">ROUND(F1284-E1284,2)</f>
        <v>92406689.590000004</v>
      </c>
      <c r="I1284" s="60"/>
      <c r="J1284" s="60"/>
      <c r="K1284" s="60"/>
      <c r="L1284" s="60"/>
      <c r="M1284" s="60"/>
      <c r="N1284" s="60"/>
      <c r="O1284" s="60"/>
      <c r="P1284" s="60"/>
      <c r="Q1284" s="60"/>
      <c r="R1284" s="60"/>
      <c r="S1284" s="60"/>
      <c r="T1284" s="60"/>
      <c r="U1284" s="60"/>
      <c r="V1284" s="60"/>
      <c r="W1284" s="60"/>
      <c r="X1284" s="60"/>
      <c r="Y1284" s="60"/>
      <c r="Z1284" s="60"/>
    </row>
    <row r="1285" spans="1:26" ht="30" hidden="1" customHeight="1">
      <c r="A1285" s="95" t="s">
        <v>2562</v>
      </c>
      <c r="B1285" s="68" t="s">
        <v>2563</v>
      </c>
      <c r="C1285" s="99"/>
      <c r="D1285" s="96"/>
      <c r="E1285" s="53"/>
      <c r="F1285" s="53"/>
      <c r="G1285" s="96"/>
      <c r="H1285" s="96">
        <f t="shared" si="469"/>
        <v>0</v>
      </c>
      <c r="I1285" s="60"/>
      <c r="J1285" s="60"/>
      <c r="K1285" s="60"/>
      <c r="L1285" s="60"/>
      <c r="M1285" s="60"/>
      <c r="N1285" s="60"/>
      <c r="O1285" s="60"/>
      <c r="P1285" s="60"/>
      <c r="Q1285" s="60"/>
      <c r="R1285" s="60"/>
      <c r="S1285" s="60"/>
      <c r="T1285" s="60"/>
      <c r="U1285" s="60"/>
      <c r="V1285" s="60"/>
      <c r="W1285" s="60"/>
      <c r="X1285" s="60"/>
      <c r="Y1285" s="60"/>
      <c r="Z1285" s="60"/>
    </row>
    <row r="1286" spans="1:26" ht="30" hidden="1" customHeight="1">
      <c r="A1286" s="98" t="s">
        <v>2564</v>
      </c>
      <c r="B1286" s="68" t="s">
        <v>2565</v>
      </c>
      <c r="C1286" s="99"/>
      <c r="D1286" s="96"/>
      <c r="E1286" s="53"/>
      <c r="F1286" s="53">
        <v>21596396.399999999</v>
      </c>
      <c r="G1286" s="96"/>
      <c r="H1286" s="96">
        <f t="shared" si="469"/>
        <v>21596396.399999999</v>
      </c>
      <c r="I1286" s="60"/>
      <c r="J1286" s="60"/>
      <c r="K1286" s="60"/>
      <c r="L1286" s="60"/>
      <c r="M1286" s="60"/>
      <c r="N1286" s="60"/>
      <c r="O1286" s="60"/>
      <c r="P1286" s="60"/>
      <c r="Q1286" s="60"/>
      <c r="R1286" s="60"/>
      <c r="S1286" s="60"/>
      <c r="T1286" s="60"/>
      <c r="U1286" s="60"/>
      <c r="V1286" s="60"/>
      <c r="W1286" s="60"/>
      <c r="X1286" s="60"/>
      <c r="Y1286" s="60"/>
      <c r="Z1286" s="60"/>
    </row>
    <row r="1287" spans="1:26" ht="30" hidden="1" customHeight="1">
      <c r="A1287" s="95" t="s">
        <v>2566</v>
      </c>
      <c r="B1287" s="68" t="s">
        <v>2567</v>
      </c>
      <c r="C1287" s="99"/>
      <c r="D1287" s="96"/>
      <c r="E1287" s="53"/>
      <c r="F1287" s="53"/>
      <c r="G1287" s="96"/>
      <c r="H1287" s="96">
        <f t="shared" si="469"/>
        <v>0</v>
      </c>
      <c r="I1287" s="60"/>
      <c r="J1287" s="60"/>
      <c r="K1287" s="60"/>
      <c r="L1287" s="60"/>
      <c r="M1287" s="60"/>
      <c r="N1287" s="60"/>
      <c r="O1287" s="60"/>
      <c r="P1287" s="60"/>
      <c r="Q1287" s="60"/>
      <c r="R1287" s="60"/>
      <c r="S1287" s="60"/>
      <c r="T1287" s="60"/>
      <c r="U1287" s="60"/>
      <c r="V1287" s="60"/>
      <c r="W1287" s="60"/>
      <c r="X1287" s="60"/>
      <c r="Y1287" s="60"/>
      <c r="Z1287" s="60"/>
    </row>
    <row r="1288" spans="1:26" ht="30" hidden="1" customHeight="1">
      <c r="A1288" s="98" t="s">
        <v>2568</v>
      </c>
      <c r="B1288" s="68" t="s">
        <v>2569</v>
      </c>
      <c r="C1288" s="99"/>
      <c r="D1288" s="96"/>
      <c r="E1288" s="53"/>
      <c r="F1288" s="53">
        <v>2910000</v>
      </c>
      <c r="G1288" s="96"/>
      <c r="H1288" s="96">
        <f t="shared" si="469"/>
        <v>2910000</v>
      </c>
      <c r="I1288" s="60"/>
      <c r="J1288" s="60"/>
      <c r="K1288" s="60"/>
      <c r="L1288" s="60"/>
      <c r="M1288" s="60"/>
      <c r="N1288" s="60"/>
      <c r="O1288" s="60"/>
      <c r="P1288" s="60"/>
      <c r="Q1288" s="60"/>
      <c r="R1288" s="60"/>
      <c r="S1288" s="60"/>
      <c r="T1288" s="60"/>
      <c r="U1288" s="60"/>
      <c r="V1288" s="60"/>
      <c r="W1288" s="60"/>
      <c r="X1288" s="60"/>
      <c r="Y1288" s="60"/>
      <c r="Z1288" s="60"/>
    </row>
    <row r="1289" spans="1:26" ht="30" hidden="1" customHeight="1">
      <c r="A1289" s="95" t="s">
        <v>2570</v>
      </c>
      <c r="B1289" s="68" t="s">
        <v>2571</v>
      </c>
      <c r="C1289" s="99"/>
      <c r="D1289" s="96"/>
      <c r="E1289" s="96"/>
      <c r="F1289" s="96"/>
      <c r="G1289" s="96"/>
      <c r="H1289" s="96">
        <f t="shared" si="469"/>
        <v>0</v>
      </c>
      <c r="I1289" s="60"/>
      <c r="J1289" s="60"/>
      <c r="K1289" s="60"/>
      <c r="L1289" s="60"/>
      <c r="M1289" s="60"/>
      <c r="N1289" s="60"/>
      <c r="O1289" s="60"/>
      <c r="P1289" s="60"/>
      <c r="Q1289" s="60"/>
      <c r="R1289" s="60"/>
      <c r="S1289" s="60"/>
      <c r="T1289" s="60"/>
      <c r="U1289" s="60"/>
      <c r="V1289" s="60"/>
      <c r="W1289" s="60"/>
      <c r="X1289" s="60"/>
      <c r="Y1289" s="60"/>
      <c r="Z1289" s="60"/>
    </row>
    <row r="1290" spans="1:26" ht="30" hidden="1" customHeight="1">
      <c r="A1290" s="98" t="s">
        <v>2572</v>
      </c>
      <c r="B1290" s="68" t="s">
        <v>2573</v>
      </c>
      <c r="C1290" s="99"/>
      <c r="D1290" s="96"/>
      <c r="E1290" s="53"/>
      <c r="F1290" s="53">
        <v>114091341.06999999</v>
      </c>
      <c r="G1290" s="96"/>
      <c r="H1290" s="96">
        <f t="shared" si="469"/>
        <v>114091341.06999999</v>
      </c>
      <c r="I1290" s="60"/>
      <c r="J1290" s="60"/>
      <c r="K1290" s="60"/>
      <c r="L1290" s="60"/>
      <c r="M1290" s="60"/>
      <c r="N1290" s="60"/>
      <c r="O1290" s="60"/>
      <c r="P1290" s="60"/>
      <c r="Q1290" s="60"/>
      <c r="R1290" s="60"/>
      <c r="S1290" s="60"/>
      <c r="T1290" s="60"/>
      <c r="U1290" s="60"/>
      <c r="V1290" s="60"/>
      <c r="W1290" s="60"/>
      <c r="X1290" s="60"/>
      <c r="Y1290" s="60"/>
      <c r="Z1290" s="60"/>
    </row>
    <row r="1291" spans="1:26" ht="30" hidden="1" customHeight="1">
      <c r="A1291" s="95" t="s">
        <v>2574</v>
      </c>
      <c r="B1291" s="68" t="s">
        <v>2575</v>
      </c>
      <c r="C1291" s="99"/>
      <c r="D1291" s="96"/>
      <c r="E1291" s="53"/>
      <c r="F1291" s="53"/>
      <c r="G1291" s="96"/>
      <c r="H1291" s="96">
        <f t="shared" si="469"/>
        <v>0</v>
      </c>
      <c r="I1291" s="60"/>
      <c r="J1291" s="60"/>
      <c r="K1291" s="60"/>
      <c r="L1291" s="60"/>
      <c r="M1291" s="60"/>
      <c r="N1291" s="60"/>
      <c r="O1291" s="60"/>
      <c r="P1291" s="60"/>
      <c r="Q1291" s="60"/>
      <c r="R1291" s="60"/>
      <c r="S1291" s="60"/>
      <c r="T1291" s="60"/>
      <c r="U1291" s="60"/>
      <c r="V1291" s="60"/>
      <c r="W1291" s="60"/>
      <c r="X1291" s="60"/>
      <c r="Y1291" s="60"/>
      <c r="Z1291" s="60"/>
    </row>
    <row r="1292" spans="1:26" ht="30" hidden="1" customHeight="1">
      <c r="A1292" s="98" t="s">
        <v>2576</v>
      </c>
      <c r="B1292" s="68" t="s">
        <v>2577</v>
      </c>
      <c r="C1292" s="99"/>
      <c r="D1292" s="96"/>
      <c r="E1292" s="53"/>
      <c r="F1292" s="53">
        <v>69676652</v>
      </c>
      <c r="G1292" s="96"/>
      <c r="H1292" s="96">
        <f t="shared" si="469"/>
        <v>69676652</v>
      </c>
      <c r="I1292" s="60"/>
      <c r="J1292" s="60"/>
      <c r="K1292" s="60"/>
      <c r="L1292" s="60"/>
      <c r="M1292" s="60"/>
      <c r="N1292" s="60"/>
      <c r="O1292" s="60"/>
      <c r="P1292" s="60"/>
      <c r="Q1292" s="60"/>
      <c r="R1292" s="60"/>
      <c r="S1292" s="60"/>
      <c r="T1292" s="60"/>
      <c r="U1292" s="60"/>
      <c r="V1292" s="60"/>
      <c r="W1292" s="60"/>
      <c r="X1292" s="60"/>
      <c r="Y1292" s="60"/>
      <c r="Z1292" s="60"/>
    </row>
    <row r="1293" spans="1:26" ht="30" hidden="1" customHeight="1">
      <c r="A1293" s="95" t="s">
        <v>2578</v>
      </c>
      <c r="B1293" s="68" t="s">
        <v>2579</v>
      </c>
      <c r="C1293" s="99"/>
      <c r="D1293" s="96"/>
      <c r="E1293" s="53"/>
      <c r="F1293" s="53"/>
      <c r="G1293" s="96"/>
      <c r="H1293" s="96">
        <f t="shared" si="469"/>
        <v>0</v>
      </c>
      <c r="I1293" s="60"/>
      <c r="J1293" s="60"/>
      <c r="K1293" s="60"/>
      <c r="L1293" s="60"/>
      <c r="M1293" s="60"/>
      <c r="N1293" s="60"/>
      <c r="O1293" s="60"/>
      <c r="P1293" s="60"/>
      <c r="Q1293" s="60"/>
      <c r="R1293" s="60"/>
      <c r="S1293" s="60"/>
      <c r="T1293" s="60"/>
      <c r="U1293" s="60"/>
      <c r="V1293" s="60"/>
      <c r="W1293" s="60"/>
      <c r="X1293" s="60"/>
      <c r="Y1293" s="60"/>
      <c r="Z1293" s="60"/>
    </row>
    <row r="1294" spans="1:26" ht="30" hidden="1" customHeight="1">
      <c r="A1294" s="98" t="s">
        <v>2580</v>
      </c>
      <c r="B1294" s="68" t="s">
        <v>2581</v>
      </c>
      <c r="C1294" s="99"/>
      <c r="D1294" s="96"/>
      <c r="E1294" s="53"/>
      <c r="F1294" s="53">
        <v>322269350.27999997</v>
      </c>
      <c r="G1294" s="96"/>
      <c r="H1294" s="96">
        <f t="shared" si="469"/>
        <v>322269350.27999997</v>
      </c>
      <c r="I1294" s="60"/>
      <c r="J1294" s="60"/>
      <c r="K1294" s="60"/>
      <c r="L1294" s="60"/>
      <c r="M1294" s="60"/>
      <c r="N1294" s="60"/>
      <c r="O1294" s="60"/>
      <c r="P1294" s="60"/>
      <c r="Q1294" s="60"/>
      <c r="R1294" s="60"/>
      <c r="S1294" s="60"/>
      <c r="T1294" s="60"/>
      <c r="U1294" s="60"/>
      <c r="V1294" s="60"/>
      <c r="W1294" s="60"/>
      <c r="X1294" s="60"/>
      <c r="Y1294" s="60"/>
      <c r="Z1294" s="60"/>
    </row>
    <row r="1295" spans="1:26" ht="30" hidden="1" customHeight="1">
      <c r="A1295" s="95" t="s">
        <v>2582</v>
      </c>
      <c r="B1295" s="68" t="s">
        <v>2583</v>
      </c>
      <c r="C1295" s="99"/>
      <c r="D1295" s="96"/>
      <c r="E1295" s="53"/>
      <c r="F1295" s="53"/>
      <c r="G1295" s="96"/>
      <c r="H1295" s="96">
        <f t="shared" si="469"/>
        <v>0</v>
      </c>
      <c r="I1295" s="60"/>
      <c r="J1295" s="60"/>
      <c r="K1295" s="60"/>
      <c r="L1295" s="60"/>
      <c r="M1295" s="60"/>
      <c r="N1295" s="60"/>
      <c r="O1295" s="60"/>
      <c r="P1295" s="60"/>
      <c r="Q1295" s="60"/>
      <c r="R1295" s="60"/>
      <c r="S1295" s="60"/>
      <c r="T1295" s="60"/>
      <c r="U1295" s="60"/>
      <c r="V1295" s="60"/>
      <c r="W1295" s="60"/>
      <c r="X1295" s="60"/>
      <c r="Y1295" s="60"/>
      <c r="Z1295" s="60"/>
    </row>
    <row r="1296" spans="1:26" ht="30" hidden="1" customHeight="1">
      <c r="A1296" s="98" t="s">
        <v>2584</v>
      </c>
      <c r="B1296" s="68" t="s">
        <v>2585</v>
      </c>
      <c r="C1296" s="99"/>
      <c r="D1296" s="96"/>
      <c r="E1296" s="53"/>
      <c r="F1296" s="53">
        <v>93814067</v>
      </c>
      <c r="G1296" s="96"/>
      <c r="H1296" s="96">
        <f t="shared" si="469"/>
        <v>93814067</v>
      </c>
      <c r="I1296" s="60"/>
      <c r="J1296" s="60"/>
      <c r="K1296" s="60"/>
      <c r="L1296" s="60"/>
      <c r="M1296" s="60"/>
      <c r="N1296" s="60"/>
      <c r="O1296" s="60"/>
      <c r="P1296" s="60"/>
      <c r="Q1296" s="60"/>
      <c r="R1296" s="60"/>
      <c r="S1296" s="60"/>
      <c r="T1296" s="60"/>
      <c r="U1296" s="60"/>
      <c r="V1296" s="60"/>
      <c r="W1296" s="60"/>
      <c r="X1296" s="60"/>
      <c r="Y1296" s="60"/>
      <c r="Z1296" s="60"/>
    </row>
    <row r="1297" spans="1:26" ht="30" hidden="1" customHeight="1">
      <c r="A1297" s="95" t="s">
        <v>2586</v>
      </c>
      <c r="B1297" s="68" t="s">
        <v>2587</v>
      </c>
      <c r="C1297" s="99"/>
      <c r="D1297" s="96"/>
      <c r="E1297" s="53"/>
      <c r="F1297" s="53"/>
      <c r="G1297" s="96"/>
      <c r="H1297" s="96">
        <f t="shared" si="469"/>
        <v>0</v>
      </c>
      <c r="I1297" s="60"/>
      <c r="J1297" s="60"/>
      <c r="K1297" s="60"/>
      <c r="L1297" s="60"/>
      <c r="M1297" s="60"/>
      <c r="N1297" s="60"/>
      <c r="O1297" s="60"/>
      <c r="P1297" s="60"/>
      <c r="Q1297" s="60"/>
      <c r="R1297" s="60"/>
      <c r="S1297" s="60"/>
      <c r="T1297" s="60"/>
      <c r="U1297" s="60"/>
      <c r="V1297" s="60"/>
      <c r="W1297" s="60"/>
      <c r="X1297" s="60"/>
      <c r="Y1297" s="60"/>
      <c r="Z1297" s="60"/>
    </row>
    <row r="1298" spans="1:26" ht="30" hidden="1" customHeight="1">
      <c r="A1298" s="98" t="s">
        <v>2588</v>
      </c>
      <c r="B1298" s="68" t="s">
        <v>2589</v>
      </c>
      <c r="C1298" s="99"/>
      <c r="D1298" s="96"/>
      <c r="E1298" s="53"/>
      <c r="F1298" s="53">
        <v>1350000</v>
      </c>
      <c r="G1298" s="96"/>
      <c r="H1298" s="96">
        <f t="shared" si="469"/>
        <v>1350000</v>
      </c>
      <c r="I1298" s="60"/>
      <c r="J1298" s="60"/>
      <c r="K1298" s="60"/>
      <c r="L1298" s="60"/>
      <c r="M1298" s="60"/>
      <c r="N1298" s="60"/>
      <c r="O1298" s="60"/>
      <c r="P1298" s="60"/>
      <c r="Q1298" s="60"/>
      <c r="R1298" s="60"/>
      <c r="S1298" s="60"/>
      <c r="T1298" s="60"/>
      <c r="U1298" s="60"/>
      <c r="V1298" s="60"/>
      <c r="W1298" s="60"/>
      <c r="X1298" s="60"/>
      <c r="Y1298" s="60"/>
      <c r="Z1298" s="60"/>
    </row>
    <row r="1299" spans="1:26" ht="30" hidden="1" customHeight="1">
      <c r="A1299" s="95" t="s">
        <v>2590</v>
      </c>
      <c r="B1299" s="68" t="s">
        <v>2591</v>
      </c>
      <c r="C1299" s="99"/>
      <c r="D1299" s="96"/>
      <c r="E1299" s="53"/>
      <c r="F1299" s="53"/>
      <c r="G1299" s="96"/>
      <c r="H1299" s="96">
        <f t="shared" si="469"/>
        <v>0</v>
      </c>
      <c r="I1299" s="60"/>
      <c r="J1299" s="60"/>
      <c r="K1299" s="60"/>
      <c r="L1299" s="60"/>
      <c r="M1299" s="60"/>
      <c r="N1299" s="60"/>
      <c r="O1299" s="60"/>
      <c r="P1299" s="60"/>
      <c r="Q1299" s="60"/>
      <c r="R1299" s="60"/>
      <c r="S1299" s="60"/>
      <c r="T1299" s="60"/>
      <c r="U1299" s="60"/>
      <c r="V1299" s="60"/>
      <c r="W1299" s="60"/>
      <c r="X1299" s="60"/>
      <c r="Y1299" s="60"/>
      <c r="Z1299" s="60"/>
    </row>
    <row r="1300" spans="1:26" ht="30" hidden="1" customHeight="1">
      <c r="A1300" s="98" t="s">
        <v>2592</v>
      </c>
      <c r="B1300" s="68" t="s">
        <v>2593</v>
      </c>
      <c r="C1300" s="99"/>
      <c r="D1300" s="96"/>
      <c r="E1300" s="53"/>
      <c r="F1300" s="53">
        <v>36839280</v>
      </c>
      <c r="G1300" s="96"/>
      <c r="H1300" s="96">
        <f t="shared" si="469"/>
        <v>36839280</v>
      </c>
      <c r="I1300" s="60"/>
      <c r="J1300" s="60"/>
      <c r="K1300" s="60"/>
      <c r="L1300" s="60"/>
      <c r="M1300" s="60"/>
      <c r="N1300" s="60"/>
      <c r="O1300" s="60"/>
      <c r="P1300" s="60"/>
      <c r="Q1300" s="60"/>
      <c r="R1300" s="60"/>
      <c r="S1300" s="60"/>
      <c r="T1300" s="60"/>
      <c r="U1300" s="60"/>
      <c r="V1300" s="60"/>
      <c r="W1300" s="60"/>
      <c r="X1300" s="60"/>
      <c r="Y1300" s="60"/>
      <c r="Z1300" s="60"/>
    </row>
    <row r="1301" spans="1:26" ht="30" hidden="1" customHeight="1">
      <c r="A1301" s="95" t="s">
        <v>2594</v>
      </c>
      <c r="B1301" s="68" t="s">
        <v>2595</v>
      </c>
      <c r="C1301" s="99"/>
      <c r="D1301" s="96"/>
      <c r="E1301" s="53"/>
      <c r="F1301" s="53"/>
      <c r="G1301" s="96"/>
      <c r="H1301" s="96">
        <f t="shared" si="469"/>
        <v>0</v>
      </c>
      <c r="I1301" s="60"/>
      <c r="J1301" s="60"/>
      <c r="K1301" s="60"/>
      <c r="L1301" s="60"/>
      <c r="M1301" s="60"/>
      <c r="N1301" s="60"/>
      <c r="O1301" s="60"/>
      <c r="P1301" s="60"/>
      <c r="Q1301" s="60"/>
      <c r="R1301" s="60"/>
      <c r="S1301" s="60"/>
      <c r="T1301" s="60"/>
      <c r="U1301" s="60"/>
      <c r="V1301" s="60"/>
      <c r="W1301" s="60"/>
      <c r="X1301" s="60"/>
      <c r="Y1301" s="60"/>
      <c r="Z1301" s="60"/>
    </row>
    <row r="1302" spans="1:26" ht="30" hidden="1" customHeight="1">
      <c r="A1302" s="92" t="s">
        <v>2596</v>
      </c>
      <c r="B1302" s="101" t="s">
        <v>2597</v>
      </c>
      <c r="C1302" s="94"/>
      <c r="D1302" s="94"/>
      <c r="E1302" s="39">
        <f t="shared" ref="E1302:F1302" si="470">SUM(E1303:E1320)</f>
        <v>0</v>
      </c>
      <c r="F1302" s="39">
        <f t="shared" si="470"/>
        <v>2897895850.2199998</v>
      </c>
      <c r="G1302" s="40"/>
      <c r="H1302" s="39">
        <f>SUM(H1303:H1320)</f>
        <v>2897895850.2199998</v>
      </c>
      <c r="I1302" s="60"/>
      <c r="J1302" s="60"/>
      <c r="K1302" s="60"/>
      <c r="L1302" s="60"/>
      <c r="M1302" s="60"/>
      <c r="N1302" s="60"/>
      <c r="O1302" s="60"/>
      <c r="P1302" s="60"/>
      <c r="Q1302" s="60"/>
      <c r="R1302" s="60"/>
      <c r="S1302" s="60"/>
      <c r="T1302" s="60"/>
      <c r="U1302" s="60"/>
      <c r="V1302" s="60"/>
      <c r="W1302" s="60"/>
      <c r="X1302" s="60"/>
      <c r="Y1302" s="60"/>
      <c r="Z1302" s="60"/>
    </row>
    <row r="1303" spans="1:26" ht="30" hidden="1" customHeight="1">
      <c r="A1303" s="98" t="s">
        <v>2598</v>
      </c>
      <c r="B1303" s="68" t="s">
        <v>2599</v>
      </c>
      <c r="C1303" s="99"/>
      <c r="D1303" s="96"/>
      <c r="E1303" s="53"/>
      <c r="F1303" s="53">
        <v>277499857.36000001</v>
      </c>
      <c r="G1303" s="96"/>
      <c r="H1303" s="96">
        <f t="shared" ref="H1303:H1320" si="471">ROUND(F1303-E1303,2)</f>
        <v>277499857.36000001</v>
      </c>
      <c r="I1303" s="60"/>
      <c r="J1303" s="60"/>
      <c r="K1303" s="60"/>
      <c r="L1303" s="60"/>
      <c r="M1303" s="60"/>
      <c r="N1303" s="60"/>
      <c r="O1303" s="60"/>
      <c r="P1303" s="60"/>
      <c r="Q1303" s="60"/>
      <c r="R1303" s="60"/>
      <c r="S1303" s="60"/>
      <c r="T1303" s="60"/>
      <c r="U1303" s="60"/>
      <c r="V1303" s="60"/>
      <c r="W1303" s="60"/>
      <c r="X1303" s="60"/>
      <c r="Y1303" s="60"/>
      <c r="Z1303" s="60"/>
    </row>
    <row r="1304" spans="1:26" ht="30" hidden="1" customHeight="1">
      <c r="A1304" s="95" t="s">
        <v>2600</v>
      </c>
      <c r="B1304" s="68" t="s">
        <v>2601</v>
      </c>
      <c r="C1304" s="99"/>
      <c r="D1304" s="96"/>
      <c r="E1304" s="53"/>
      <c r="F1304" s="53"/>
      <c r="G1304" s="96"/>
      <c r="H1304" s="96">
        <f t="shared" si="471"/>
        <v>0</v>
      </c>
      <c r="I1304" s="60"/>
      <c r="J1304" s="60"/>
      <c r="K1304" s="60"/>
      <c r="L1304" s="60"/>
      <c r="M1304" s="60"/>
      <c r="N1304" s="60"/>
      <c r="O1304" s="60"/>
      <c r="P1304" s="60"/>
      <c r="Q1304" s="60"/>
      <c r="R1304" s="60"/>
      <c r="S1304" s="60"/>
      <c r="T1304" s="60"/>
      <c r="U1304" s="60"/>
      <c r="V1304" s="60"/>
      <c r="W1304" s="60"/>
      <c r="X1304" s="60"/>
      <c r="Y1304" s="60"/>
      <c r="Z1304" s="60"/>
    </row>
    <row r="1305" spans="1:26" ht="30" hidden="1" customHeight="1">
      <c r="A1305" s="98" t="s">
        <v>2602</v>
      </c>
      <c r="B1305" s="68" t="s">
        <v>2603</v>
      </c>
      <c r="C1305" s="99"/>
      <c r="D1305" s="96"/>
      <c r="E1305" s="53"/>
      <c r="F1305" s="53">
        <v>237194350.40000001</v>
      </c>
      <c r="G1305" s="96"/>
      <c r="H1305" s="96">
        <f t="shared" si="471"/>
        <v>237194350.40000001</v>
      </c>
      <c r="I1305" s="60"/>
      <c r="J1305" s="60"/>
      <c r="K1305" s="60"/>
      <c r="L1305" s="60"/>
      <c r="M1305" s="60"/>
      <c r="N1305" s="60"/>
      <c r="O1305" s="60"/>
      <c r="P1305" s="60"/>
      <c r="Q1305" s="60"/>
      <c r="R1305" s="60"/>
      <c r="S1305" s="60"/>
      <c r="T1305" s="60"/>
      <c r="U1305" s="60"/>
      <c r="V1305" s="60"/>
      <c r="W1305" s="60"/>
      <c r="X1305" s="60"/>
      <c r="Y1305" s="60"/>
      <c r="Z1305" s="60"/>
    </row>
    <row r="1306" spans="1:26" ht="30" hidden="1" customHeight="1">
      <c r="A1306" s="95" t="s">
        <v>2604</v>
      </c>
      <c r="B1306" s="68" t="s">
        <v>2605</v>
      </c>
      <c r="C1306" s="99"/>
      <c r="D1306" s="96"/>
      <c r="E1306" s="53"/>
      <c r="F1306" s="53"/>
      <c r="G1306" s="96"/>
      <c r="H1306" s="96">
        <f t="shared" si="471"/>
        <v>0</v>
      </c>
      <c r="I1306" s="60"/>
      <c r="J1306" s="60"/>
      <c r="K1306" s="60"/>
      <c r="L1306" s="60"/>
      <c r="M1306" s="60"/>
      <c r="N1306" s="60"/>
      <c r="O1306" s="60"/>
      <c r="P1306" s="60"/>
      <c r="Q1306" s="60"/>
      <c r="R1306" s="60"/>
      <c r="S1306" s="60"/>
      <c r="T1306" s="60"/>
      <c r="U1306" s="60"/>
      <c r="V1306" s="60"/>
      <c r="W1306" s="60"/>
      <c r="X1306" s="60"/>
      <c r="Y1306" s="60"/>
      <c r="Z1306" s="60"/>
    </row>
    <row r="1307" spans="1:26" ht="30" hidden="1" customHeight="1">
      <c r="A1307" s="98" t="s">
        <v>2606</v>
      </c>
      <c r="B1307" s="68" t="s">
        <v>2607</v>
      </c>
      <c r="C1307" s="99"/>
      <c r="D1307" s="96"/>
      <c r="E1307" s="53"/>
      <c r="F1307" s="53">
        <v>93487716.049999997</v>
      </c>
      <c r="G1307" s="96"/>
      <c r="H1307" s="96">
        <f t="shared" si="471"/>
        <v>93487716.049999997</v>
      </c>
      <c r="I1307" s="60"/>
      <c r="J1307" s="60"/>
      <c r="K1307" s="60"/>
      <c r="L1307" s="60"/>
      <c r="M1307" s="60"/>
      <c r="N1307" s="60"/>
      <c r="O1307" s="60"/>
      <c r="P1307" s="60"/>
      <c r="Q1307" s="60"/>
      <c r="R1307" s="60"/>
      <c r="S1307" s="60"/>
      <c r="T1307" s="60"/>
      <c r="U1307" s="60"/>
      <c r="V1307" s="60"/>
      <c r="W1307" s="60"/>
      <c r="X1307" s="60"/>
      <c r="Y1307" s="60"/>
      <c r="Z1307" s="60"/>
    </row>
    <row r="1308" spans="1:26" ht="30" hidden="1" customHeight="1">
      <c r="A1308" s="95" t="s">
        <v>2608</v>
      </c>
      <c r="B1308" s="68" t="s">
        <v>2609</v>
      </c>
      <c r="C1308" s="99"/>
      <c r="D1308" s="96"/>
      <c r="E1308" s="53"/>
      <c r="F1308" s="53"/>
      <c r="G1308" s="96"/>
      <c r="H1308" s="96">
        <f t="shared" si="471"/>
        <v>0</v>
      </c>
      <c r="I1308" s="60"/>
      <c r="J1308" s="60"/>
      <c r="K1308" s="60"/>
      <c r="L1308" s="60"/>
      <c r="M1308" s="60"/>
      <c r="N1308" s="60"/>
      <c r="O1308" s="60"/>
      <c r="P1308" s="60"/>
      <c r="Q1308" s="60"/>
      <c r="R1308" s="60"/>
      <c r="S1308" s="60"/>
      <c r="T1308" s="60"/>
      <c r="U1308" s="60"/>
      <c r="V1308" s="60"/>
      <c r="W1308" s="60"/>
      <c r="X1308" s="60"/>
      <c r="Y1308" s="60"/>
      <c r="Z1308" s="60"/>
    </row>
    <row r="1309" spans="1:26" ht="30" hidden="1" customHeight="1">
      <c r="A1309" s="98" t="s">
        <v>2610</v>
      </c>
      <c r="B1309" s="68" t="s">
        <v>2611</v>
      </c>
      <c r="C1309" s="99"/>
      <c r="D1309" s="96"/>
      <c r="E1309" s="53"/>
      <c r="F1309" s="53">
        <v>234827665</v>
      </c>
      <c r="G1309" s="96"/>
      <c r="H1309" s="96">
        <f t="shared" si="471"/>
        <v>234827665</v>
      </c>
      <c r="I1309" s="60"/>
      <c r="J1309" s="60"/>
      <c r="K1309" s="60"/>
      <c r="L1309" s="60"/>
      <c r="M1309" s="60"/>
      <c r="N1309" s="60"/>
      <c r="O1309" s="60"/>
      <c r="P1309" s="60"/>
      <c r="Q1309" s="60"/>
      <c r="R1309" s="60"/>
      <c r="S1309" s="60"/>
      <c r="T1309" s="60"/>
      <c r="U1309" s="60"/>
      <c r="V1309" s="60"/>
      <c r="W1309" s="60"/>
      <c r="X1309" s="60"/>
      <c r="Y1309" s="60"/>
      <c r="Z1309" s="60"/>
    </row>
    <row r="1310" spans="1:26" ht="30" hidden="1" customHeight="1">
      <c r="A1310" s="95" t="s">
        <v>2612</v>
      </c>
      <c r="B1310" s="68" t="s">
        <v>2613</v>
      </c>
      <c r="C1310" s="99"/>
      <c r="D1310" s="96"/>
      <c r="E1310" s="53"/>
      <c r="F1310" s="53"/>
      <c r="G1310" s="96"/>
      <c r="H1310" s="96">
        <f t="shared" si="471"/>
        <v>0</v>
      </c>
      <c r="I1310" s="60"/>
      <c r="J1310" s="60"/>
      <c r="K1310" s="60"/>
      <c r="L1310" s="60"/>
      <c r="M1310" s="60"/>
      <c r="N1310" s="60"/>
      <c r="O1310" s="60"/>
      <c r="P1310" s="60"/>
      <c r="Q1310" s="60"/>
      <c r="R1310" s="60"/>
      <c r="S1310" s="60"/>
      <c r="T1310" s="60"/>
      <c r="U1310" s="60"/>
      <c r="V1310" s="60"/>
      <c r="W1310" s="60"/>
      <c r="X1310" s="60"/>
      <c r="Y1310" s="60"/>
      <c r="Z1310" s="60"/>
    </row>
    <row r="1311" spans="1:26" ht="30" hidden="1" customHeight="1">
      <c r="A1311" s="98" t="s">
        <v>2614</v>
      </c>
      <c r="B1311" s="68" t="s">
        <v>2615</v>
      </c>
      <c r="C1311" s="99"/>
      <c r="D1311" s="96"/>
      <c r="E1311" s="53"/>
      <c r="F1311" s="53">
        <v>1222777410.5599999</v>
      </c>
      <c r="G1311" s="96"/>
      <c r="H1311" s="96">
        <f t="shared" si="471"/>
        <v>1222777410.5599999</v>
      </c>
      <c r="I1311" s="60"/>
      <c r="J1311" s="60"/>
      <c r="K1311" s="60"/>
      <c r="L1311" s="60"/>
      <c r="M1311" s="60"/>
      <c r="N1311" s="60"/>
      <c r="O1311" s="60"/>
      <c r="P1311" s="60"/>
      <c r="Q1311" s="60"/>
      <c r="R1311" s="60"/>
      <c r="S1311" s="60"/>
      <c r="T1311" s="60"/>
      <c r="U1311" s="60"/>
      <c r="V1311" s="60"/>
      <c r="W1311" s="60"/>
      <c r="X1311" s="60"/>
      <c r="Y1311" s="60"/>
      <c r="Z1311" s="60"/>
    </row>
    <row r="1312" spans="1:26" ht="30" hidden="1" customHeight="1">
      <c r="A1312" s="95" t="s">
        <v>2616</v>
      </c>
      <c r="B1312" s="68" t="s">
        <v>2617</v>
      </c>
      <c r="C1312" s="99"/>
      <c r="D1312" s="96"/>
      <c r="E1312" s="53"/>
      <c r="F1312" s="53"/>
      <c r="G1312" s="96"/>
      <c r="H1312" s="96">
        <f t="shared" si="471"/>
        <v>0</v>
      </c>
      <c r="I1312" s="60"/>
      <c r="J1312" s="60"/>
      <c r="K1312" s="60"/>
      <c r="L1312" s="60"/>
      <c r="M1312" s="60"/>
      <c r="N1312" s="60"/>
      <c r="O1312" s="60"/>
      <c r="P1312" s="60"/>
      <c r="Q1312" s="60"/>
      <c r="R1312" s="60"/>
      <c r="S1312" s="60"/>
      <c r="T1312" s="60"/>
      <c r="U1312" s="60"/>
      <c r="V1312" s="60"/>
      <c r="W1312" s="60"/>
      <c r="X1312" s="60"/>
      <c r="Y1312" s="60"/>
      <c r="Z1312" s="60"/>
    </row>
    <row r="1313" spans="1:26" ht="30" hidden="1" customHeight="1">
      <c r="A1313" s="98" t="s">
        <v>2618</v>
      </c>
      <c r="B1313" s="68" t="s">
        <v>2619</v>
      </c>
      <c r="C1313" s="99"/>
      <c r="D1313" s="96"/>
      <c r="E1313" s="53"/>
      <c r="F1313" s="53">
        <v>65703000</v>
      </c>
      <c r="G1313" s="96"/>
      <c r="H1313" s="96">
        <f t="shared" si="471"/>
        <v>65703000</v>
      </c>
      <c r="I1313" s="60"/>
      <c r="J1313" s="60"/>
      <c r="K1313" s="60"/>
      <c r="L1313" s="60"/>
      <c r="M1313" s="60"/>
      <c r="N1313" s="60"/>
      <c r="O1313" s="60"/>
      <c r="P1313" s="60"/>
      <c r="Q1313" s="60"/>
      <c r="R1313" s="60"/>
      <c r="S1313" s="60"/>
      <c r="T1313" s="60"/>
      <c r="U1313" s="60"/>
      <c r="V1313" s="60"/>
      <c r="W1313" s="60"/>
      <c r="X1313" s="60"/>
      <c r="Y1313" s="60"/>
      <c r="Z1313" s="60"/>
    </row>
    <row r="1314" spans="1:26" ht="30" hidden="1" customHeight="1">
      <c r="A1314" s="95" t="s">
        <v>2620</v>
      </c>
      <c r="B1314" s="68" t="s">
        <v>2621</v>
      </c>
      <c r="C1314" s="99"/>
      <c r="D1314" s="96"/>
      <c r="E1314" s="53"/>
      <c r="F1314" s="53"/>
      <c r="G1314" s="96"/>
      <c r="H1314" s="96">
        <f t="shared" si="471"/>
        <v>0</v>
      </c>
      <c r="I1314" s="60"/>
      <c r="J1314" s="60"/>
      <c r="K1314" s="60"/>
      <c r="L1314" s="60"/>
      <c r="M1314" s="60"/>
      <c r="N1314" s="60"/>
      <c r="O1314" s="60"/>
      <c r="P1314" s="60"/>
      <c r="Q1314" s="60"/>
      <c r="R1314" s="60"/>
      <c r="S1314" s="60"/>
      <c r="T1314" s="60"/>
      <c r="U1314" s="60"/>
      <c r="V1314" s="60"/>
      <c r="W1314" s="60"/>
      <c r="X1314" s="60"/>
      <c r="Y1314" s="60"/>
      <c r="Z1314" s="60"/>
    </row>
    <row r="1315" spans="1:26" ht="30" hidden="1" customHeight="1">
      <c r="A1315" s="98" t="s">
        <v>2622</v>
      </c>
      <c r="B1315" s="68" t="s">
        <v>2623</v>
      </c>
      <c r="C1315" s="99"/>
      <c r="D1315" s="96"/>
      <c r="E1315" s="53"/>
      <c r="F1315" s="53">
        <v>6468619.1600000001</v>
      </c>
      <c r="G1315" s="96"/>
      <c r="H1315" s="96">
        <f t="shared" si="471"/>
        <v>6468619.1600000001</v>
      </c>
      <c r="I1315" s="60"/>
      <c r="J1315" s="60"/>
      <c r="K1315" s="60"/>
      <c r="L1315" s="60"/>
      <c r="M1315" s="60"/>
      <c r="N1315" s="60"/>
      <c r="O1315" s="60"/>
      <c r="P1315" s="60"/>
      <c r="Q1315" s="60"/>
      <c r="R1315" s="60"/>
      <c r="S1315" s="60"/>
      <c r="T1315" s="60"/>
      <c r="U1315" s="60"/>
      <c r="V1315" s="60"/>
      <c r="W1315" s="60"/>
      <c r="X1315" s="60"/>
      <c r="Y1315" s="60"/>
      <c r="Z1315" s="60"/>
    </row>
    <row r="1316" spans="1:26" ht="30" hidden="1" customHeight="1">
      <c r="A1316" s="95" t="s">
        <v>2624</v>
      </c>
      <c r="B1316" s="68" t="s">
        <v>2625</v>
      </c>
      <c r="C1316" s="99"/>
      <c r="D1316" s="96"/>
      <c r="E1316" s="53"/>
      <c r="F1316" s="53"/>
      <c r="G1316" s="96"/>
      <c r="H1316" s="96">
        <f t="shared" si="471"/>
        <v>0</v>
      </c>
      <c r="I1316" s="60"/>
      <c r="J1316" s="60"/>
      <c r="K1316" s="60"/>
      <c r="L1316" s="60"/>
      <c r="M1316" s="60"/>
      <c r="N1316" s="60"/>
      <c r="O1316" s="60"/>
      <c r="P1316" s="60"/>
      <c r="Q1316" s="60"/>
      <c r="R1316" s="60"/>
      <c r="S1316" s="60"/>
      <c r="T1316" s="60"/>
      <c r="U1316" s="60"/>
      <c r="V1316" s="60"/>
      <c r="W1316" s="60"/>
      <c r="X1316" s="60"/>
      <c r="Y1316" s="60"/>
      <c r="Z1316" s="60"/>
    </row>
    <row r="1317" spans="1:26" ht="30" hidden="1" customHeight="1">
      <c r="A1317" s="98" t="s">
        <v>2626</v>
      </c>
      <c r="B1317" s="68" t="s">
        <v>2627</v>
      </c>
      <c r="C1317" s="99"/>
      <c r="D1317" s="96"/>
      <c r="E1317" s="53"/>
      <c r="F1317" s="53">
        <v>33737667.710000001</v>
      </c>
      <c r="G1317" s="96"/>
      <c r="H1317" s="96">
        <f t="shared" si="471"/>
        <v>33737667.710000001</v>
      </c>
      <c r="I1317" s="60"/>
      <c r="J1317" s="60"/>
      <c r="K1317" s="60"/>
      <c r="L1317" s="60"/>
      <c r="M1317" s="60"/>
      <c r="N1317" s="60"/>
      <c r="O1317" s="60"/>
      <c r="P1317" s="60"/>
      <c r="Q1317" s="60"/>
      <c r="R1317" s="60"/>
      <c r="S1317" s="60"/>
      <c r="T1317" s="60"/>
      <c r="U1317" s="60"/>
      <c r="V1317" s="60"/>
      <c r="W1317" s="60"/>
      <c r="X1317" s="60"/>
      <c r="Y1317" s="60"/>
      <c r="Z1317" s="60"/>
    </row>
    <row r="1318" spans="1:26" ht="30" hidden="1" customHeight="1">
      <c r="A1318" s="95" t="s">
        <v>2628</v>
      </c>
      <c r="B1318" s="68" t="s">
        <v>2629</v>
      </c>
      <c r="C1318" s="99"/>
      <c r="D1318" s="96"/>
      <c r="E1318" s="53"/>
      <c r="F1318" s="53"/>
      <c r="G1318" s="96"/>
      <c r="H1318" s="96">
        <f t="shared" si="471"/>
        <v>0</v>
      </c>
      <c r="I1318" s="60"/>
      <c r="J1318" s="60"/>
      <c r="K1318" s="60"/>
      <c r="L1318" s="60"/>
      <c r="M1318" s="60"/>
      <c r="N1318" s="60"/>
      <c r="O1318" s="60"/>
      <c r="P1318" s="60"/>
      <c r="Q1318" s="60"/>
      <c r="R1318" s="60"/>
      <c r="S1318" s="60"/>
      <c r="T1318" s="60"/>
      <c r="U1318" s="60"/>
      <c r="V1318" s="60"/>
      <c r="W1318" s="60"/>
      <c r="X1318" s="60"/>
      <c r="Y1318" s="60"/>
      <c r="Z1318" s="60"/>
    </row>
    <row r="1319" spans="1:26" ht="30" hidden="1" customHeight="1">
      <c r="A1319" s="98" t="s">
        <v>2630</v>
      </c>
      <c r="B1319" s="68" t="s">
        <v>2631</v>
      </c>
      <c r="C1319" s="99"/>
      <c r="D1319" s="96"/>
      <c r="E1319" s="53"/>
      <c r="F1319" s="53">
        <v>726199563.98000002</v>
      </c>
      <c r="G1319" s="96"/>
      <c r="H1319" s="96">
        <f t="shared" si="471"/>
        <v>726199563.98000002</v>
      </c>
      <c r="I1319" s="60"/>
      <c r="J1319" s="60"/>
      <c r="K1319" s="60"/>
      <c r="L1319" s="60"/>
      <c r="M1319" s="60"/>
      <c r="N1319" s="60"/>
      <c r="O1319" s="60"/>
      <c r="P1319" s="60"/>
      <c r="Q1319" s="60"/>
      <c r="R1319" s="60"/>
      <c r="S1319" s="60"/>
      <c r="T1319" s="60"/>
      <c r="U1319" s="60"/>
      <c r="V1319" s="60"/>
      <c r="W1319" s="60"/>
      <c r="X1319" s="60"/>
      <c r="Y1319" s="60"/>
      <c r="Z1319" s="60"/>
    </row>
    <row r="1320" spans="1:26" ht="30" hidden="1" customHeight="1">
      <c r="A1320" s="95" t="s">
        <v>2632</v>
      </c>
      <c r="B1320" s="68" t="s">
        <v>2633</v>
      </c>
      <c r="C1320" s="99"/>
      <c r="D1320" s="96"/>
      <c r="E1320" s="53"/>
      <c r="F1320" s="53"/>
      <c r="G1320" s="96"/>
      <c r="H1320" s="96">
        <f t="shared" si="471"/>
        <v>0</v>
      </c>
      <c r="I1320" s="60"/>
      <c r="J1320" s="60"/>
      <c r="K1320" s="60"/>
      <c r="L1320" s="60"/>
      <c r="M1320" s="60"/>
      <c r="N1320" s="60"/>
      <c r="O1320" s="60"/>
      <c r="P1320" s="60"/>
      <c r="Q1320" s="60"/>
      <c r="R1320" s="60"/>
      <c r="S1320" s="60"/>
      <c r="T1320" s="60"/>
      <c r="U1320" s="60"/>
      <c r="V1320" s="60"/>
      <c r="W1320" s="60"/>
      <c r="X1320" s="60"/>
      <c r="Y1320" s="60"/>
      <c r="Z1320" s="60"/>
    </row>
    <row r="1321" spans="1:26" ht="30" hidden="1" customHeight="1">
      <c r="A1321" s="92" t="s">
        <v>2634</v>
      </c>
      <c r="B1321" s="101" t="s">
        <v>2635</v>
      </c>
      <c r="C1321" s="94"/>
      <c r="D1321" s="94"/>
      <c r="E1321" s="39">
        <f t="shared" ref="E1321:F1321" si="472">SUM(E1322:E1339)</f>
        <v>0</v>
      </c>
      <c r="F1321" s="39">
        <f t="shared" si="472"/>
        <v>1470913490.9000001</v>
      </c>
      <c r="G1321" s="40"/>
      <c r="H1321" s="39">
        <f>SUM(H1322:H1339)</f>
        <v>1470913490.9000001</v>
      </c>
      <c r="I1321" s="60"/>
      <c r="J1321" s="60"/>
      <c r="K1321" s="60"/>
      <c r="L1321" s="60"/>
      <c r="M1321" s="60"/>
      <c r="N1321" s="60"/>
      <c r="O1321" s="60"/>
      <c r="P1321" s="60"/>
      <c r="Q1321" s="60"/>
      <c r="R1321" s="60"/>
      <c r="S1321" s="60"/>
      <c r="T1321" s="60"/>
      <c r="U1321" s="60"/>
      <c r="V1321" s="60"/>
      <c r="W1321" s="60"/>
      <c r="X1321" s="60"/>
      <c r="Y1321" s="60"/>
      <c r="Z1321" s="60"/>
    </row>
    <row r="1322" spans="1:26" ht="30" hidden="1" customHeight="1">
      <c r="A1322" s="98" t="s">
        <v>2636</v>
      </c>
      <c r="B1322" s="68" t="s">
        <v>2637</v>
      </c>
      <c r="C1322" s="99"/>
      <c r="D1322" s="96"/>
      <c r="E1322" s="53"/>
      <c r="F1322" s="53"/>
      <c r="G1322" s="96"/>
      <c r="H1322" s="96">
        <f t="shared" ref="H1322:H1339" si="473">ROUND(F1322-E1322,2)</f>
        <v>0</v>
      </c>
      <c r="I1322" s="60"/>
      <c r="J1322" s="60"/>
      <c r="K1322" s="60"/>
      <c r="L1322" s="60"/>
      <c r="M1322" s="60"/>
      <c r="N1322" s="60"/>
      <c r="O1322" s="60"/>
      <c r="P1322" s="60"/>
      <c r="Q1322" s="60"/>
      <c r="R1322" s="60"/>
      <c r="S1322" s="60"/>
      <c r="T1322" s="60"/>
      <c r="U1322" s="60"/>
      <c r="V1322" s="60"/>
      <c r="W1322" s="60"/>
      <c r="X1322" s="60"/>
      <c r="Y1322" s="60"/>
      <c r="Z1322" s="60"/>
    </row>
    <row r="1323" spans="1:26" ht="30" hidden="1" customHeight="1">
      <c r="A1323" s="95" t="s">
        <v>2638</v>
      </c>
      <c r="B1323" s="68" t="s">
        <v>2639</v>
      </c>
      <c r="C1323" s="99"/>
      <c r="D1323" s="96"/>
      <c r="E1323" s="53"/>
      <c r="F1323" s="53"/>
      <c r="G1323" s="96"/>
      <c r="H1323" s="96">
        <f t="shared" si="473"/>
        <v>0</v>
      </c>
      <c r="I1323" s="60"/>
      <c r="J1323" s="60"/>
      <c r="K1323" s="60"/>
      <c r="L1323" s="60"/>
      <c r="M1323" s="60"/>
      <c r="N1323" s="60"/>
      <c r="O1323" s="60"/>
      <c r="P1323" s="60"/>
      <c r="Q1323" s="60"/>
      <c r="R1323" s="60"/>
      <c r="S1323" s="60"/>
      <c r="T1323" s="60"/>
      <c r="U1323" s="60"/>
      <c r="V1323" s="60"/>
      <c r="W1323" s="60"/>
      <c r="X1323" s="60"/>
      <c r="Y1323" s="60"/>
      <c r="Z1323" s="60"/>
    </row>
    <row r="1324" spans="1:26" ht="30" hidden="1" customHeight="1">
      <c r="A1324" s="98" t="s">
        <v>2640</v>
      </c>
      <c r="B1324" s="68" t="s">
        <v>2641</v>
      </c>
      <c r="C1324" s="99"/>
      <c r="D1324" s="96"/>
      <c r="E1324" s="53"/>
      <c r="F1324" s="53">
        <v>924685000</v>
      </c>
      <c r="G1324" s="96"/>
      <c r="H1324" s="96">
        <f t="shared" si="473"/>
        <v>924685000</v>
      </c>
      <c r="I1324" s="60"/>
      <c r="J1324" s="60"/>
      <c r="K1324" s="60"/>
      <c r="L1324" s="60"/>
      <c r="M1324" s="60"/>
      <c r="N1324" s="60"/>
      <c r="O1324" s="60"/>
      <c r="P1324" s="60"/>
      <c r="Q1324" s="60"/>
      <c r="R1324" s="60"/>
      <c r="S1324" s="60"/>
      <c r="T1324" s="60"/>
      <c r="U1324" s="60"/>
      <c r="V1324" s="60"/>
      <c r="W1324" s="60"/>
      <c r="X1324" s="60"/>
      <c r="Y1324" s="60"/>
      <c r="Z1324" s="60"/>
    </row>
    <row r="1325" spans="1:26" ht="30" hidden="1" customHeight="1">
      <c r="A1325" s="95" t="s">
        <v>2642</v>
      </c>
      <c r="B1325" s="68" t="s">
        <v>2643</v>
      </c>
      <c r="C1325" s="99"/>
      <c r="D1325" s="96"/>
      <c r="E1325" s="53"/>
      <c r="F1325" s="53"/>
      <c r="G1325" s="96"/>
      <c r="H1325" s="96">
        <f t="shared" si="473"/>
        <v>0</v>
      </c>
      <c r="I1325" s="60"/>
      <c r="J1325" s="60"/>
      <c r="K1325" s="60"/>
      <c r="L1325" s="60"/>
      <c r="M1325" s="60"/>
      <c r="N1325" s="60"/>
      <c r="O1325" s="60"/>
      <c r="P1325" s="60"/>
      <c r="Q1325" s="60"/>
      <c r="R1325" s="60"/>
      <c r="S1325" s="60"/>
      <c r="T1325" s="60"/>
      <c r="U1325" s="60"/>
      <c r="V1325" s="60"/>
      <c r="W1325" s="60"/>
      <c r="X1325" s="60"/>
      <c r="Y1325" s="60"/>
      <c r="Z1325" s="60"/>
    </row>
    <row r="1326" spans="1:26" ht="30" hidden="1" customHeight="1">
      <c r="A1326" s="98" t="s">
        <v>2644</v>
      </c>
      <c r="B1326" s="68" t="s">
        <v>2645</v>
      </c>
      <c r="C1326" s="99"/>
      <c r="D1326" s="96"/>
      <c r="E1326" s="53"/>
      <c r="F1326" s="53">
        <v>85273000</v>
      </c>
      <c r="G1326" s="96"/>
      <c r="H1326" s="96">
        <f t="shared" si="473"/>
        <v>85273000</v>
      </c>
      <c r="I1326" s="60"/>
      <c r="J1326" s="60"/>
      <c r="K1326" s="60"/>
      <c r="L1326" s="60"/>
      <c r="M1326" s="60"/>
      <c r="N1326" s="60"/>
      <c r="O1326" s="60"/>
      <c r="P1326" s="60"/>
      <c r="Q1326" s="60"/>
      <c r="R1326" s="60"/>
      <c r="S1326" s="60"/>
      <c r="T1326" s="60"/>
      <c r="U1326" s="60"/>
      <c r="V1326" s="60"/>
      <c r="W1326" s="60"/>
      <c r="X1326" s="60"/>
      <c r="Y1326" s="60"/>
      <c r="Z1326" s="60"/>
    </row>
    <row r="1327" spans="1:26" ht="30" hidden="1" customHeight="1">
      <c r="A1327" s="95" t="s">
        <v>2646</v>
      </c>
      <c r="B1327" s="68" t="s">
        <v>2647</v>
      </c>
      <c r="C1327" s="99"/>
      <c r="D1327" s="96"/>
      <c r="E1327" s="53"/>
      <c r="F1327" s="53"/>
      <c r="G1327" s="96"/>
      <c r="H1327" s="96">
        <f t="shared" si="473"/>
        <v>0</v>
      </c>
      <c r="I1327" s="60"/>
      <c r="J1327" s="60"/>
      <c r="K1327" s="60"/>
      <c r="L1327" s="60"/>
      <c r="M1327" s="60"/>
      <c r="N1327" s="60"/>
      <c r="O1327" s="60"/>
      <c r="P1327" s="60"/>
      <c r="Q1327" s="60"/>
      <c r="R1327" s="60"/>
      <c r="S1327" s="60"/>
      <c r="T1327" s="60"/>
      <c r="U1327" s="60"/>
      <c r="V1327" s="60"/>
      <c r="W1327" s="60"/>
      <c r="X1327" s="60"/>
      <c r="Y1327" s="60"/>
      <c r="Z1327" s="60"/>
    </row>
    <row r="1328" spans="1:26" ht="30" hidden="1" customHeight="1">
      <c r="A1328" s="98" t="s">
        <v>2648</v>
      </c>
      <c r="B1328" s="68" t="s">
        <v>2649</v>
      </c>
      <c r="C1328" s="99"/>
      <c r="D1328" s="96"/>
      <c r="E1328" s="53"/>
      <c r="F1328" s="53">
        <v>313991490.89999998</v>
      </c>
      <c r="G1328" s="96"/>
      <c r="H1328" s="96">
        <f t="shared" si="473"/>
        <v>313991490.89999998</v>
      </c>
      <c r="I1328" s="60"/>
      <c r="J1328" s="60"/>
      <c r="K1328" s="60"/>
      <c r="L1328" s="60"/>
      <c r="M1328" s="60"/>
      <c r="N1328" s="60"/>
      <c r="O1328" s="60"/>
      <c r="P1328" s="60"/>
      <c r="Q1328" s="60"/>
      <c r="R1328" s="60"/>
      <c r="S1328" s="60"/>
      <c r="T1328" s="60"/>
      <c r="U1328" s="60"/>
      <c r="V1328" s="60"/>
      <c r="W1328" s="60"/>
      <c r="X1328" s="60"/>
      <c r="Y1328" s="60"/>
      <c r="Z1328" s="60"/>
    </row>
    <row r="1329" spans="1:26" ht="30" hidden="1" customHeight="1">
      <c r="A1329" s="95" t="s">
        <v>2650</v>
      </c>
      <c r="B1329" s="68" t="s">
        <v>2651</v>
      </c>
      <c r="C1329" s="99"/>
      <c r="D1329" s="96"/>
      <c r="E1329" s="53"/>
      <c r="F1329" s="53"/>
      <c r="G1329" s="96"/>
      <c r="H1329" s="96">
        <f t="shared" si="473"/>
        <v>0</v>
      </c>
      <c r="I1329" s="60"/>
      <c r="J1329" s="60"/>
      <c r="K1329" s="60"/>
      <c r="L1329" s="60"/>
      <c r="M1329" s="60"/>
      <c r="N1329" s="60"/>
      <c r="O1329" s="60"/>
      <c r="P1329" s="60"/>
      <c r="Q1329" s="60"/>
      <c r="R1329" s="60"/>
      <c r="S1329" s="60"/>
      <c r="T1329" s="60"/>
      <c r="U1329" s="60"/>
      <c r="V1329" s="60"/>
      <c r="W1329" s="60"/>
      <c r="X1329" s="60"/>
      <c r="Y1329" s="60"/>
      <c r="Z1329" s="60"/>
    </row>
    <row r="1330" spans="1:26" ht="30" hidden="1" customHeight="1">
      <c r="A1330" s="98" t="s">
        <v>2652</v>
      </c>
      <c r="B1330" s="68" t="s">
        <v>2653</v>
      </c>
      <c r="C1330" s="99"/>
      <c r="D1330" s="96"/>
      <c r="E1330" s="53"/>
      <c r="F1330" s="53"/>
      <c r="G1330" s="96"/>
      <c r="H1330" s="96">
        <f t="shared" si="473"/>
        <v>0</v>
      </c>
      <c r="I1330" s="60"/>
      <c r="J1330" s="60"/>
      <c r="K1330" s="60"/>
      <c r="L1330" s="60"/>
      <c r="M1330" s="60"/>
      <c r="N1330" s="60"/>
      <c r="O1330" s="60"/>
      <c r="P1330" s="60"/>
      <c r="Q1330" s="60"/>
      <c r="R1330" s="60"/>
      <c r="S1330" s="60"/>
      <c r="T1330" s="60"/>
      <c r="U1330" s="60"/>
      <c r="V1330" s="60"/>
      <c r="W1330" s="60"/>
      <c r="X1330" s="60"/>
      <c r="Y1330" s="60"/>
      <c r="Z1330" s="60"/>
    </row>
    <row r="1331" spans="1:26" ht="30" hidden="1" customHeight="1">
      <c r="A1331" s="95" t="s">
        <v>2654</v>
      </c>
      <c r="B1331" s="68" t="s">
        <v>2655</v>
      </c>
      <c r="C1331" s="99"/>
      <c r="D1331" s="96"/>
      <c r="E1331" s="53"/>
      <c r="F1331" s="53"/>
      <c r="G1331" s="96"/>
      <c r="H1331" s="96">
        <f t="shared" si="473"/>
        <v>0</v>
      </c>
      <c r="I1331" s="60"/>
      <c r="J1331" s="60"/>
      <c r="K1331" s="60"/>
      <c r="L1331" s="60"/>
      <c r="M1331" s="60"/>
      <c r="N1331" s="60"/>
      <c r="O1331" s="60"/>
      <c r="P1331" s="60"/>
      <c r="Q1331" s="60"/>
      <c r="R1331" s="60"/>
      <c r="S1331" s="60"/>
      <c r="T1331" s="60"/>
      <c r="U1331" s="60"/>
      <c r="V1331" s="60"/>
      <c r="W1331" s="60"/>
      <c r="X1331" s="60"/>
      <c r="Y1331" s="60"/>
      <c r="Z1331" s="60"/>
    </row>
    <row r="1332" spans="1:26" ht="30" hidden="1" customHeight="1">
      <c r="A1332" s="98" t="s">
        <v>2656</v>
      </c>
      <c r="B1332" s="68" t="s">
        <v>2657</v>
      </c>
      <c r="C1332" s="99"/>
      <c r="D1332" s="96"/>
      <c r="E1332" s="53"/>
      <c r="F1332" s="53">
        <v>146964000</v>
      </c>
      <c r="G1332" s="96"/>
      <c r="H1332" s="96">
        <f t="shared" si="473"/>
        <v>146964000</v>
      </c>
      <c r="I1332" s="60"/>
      <c r="J1332" s="60"/>
      <c r="K1332" s="60"/>
      <c r="L1332" s="60"/>
      <c r="M1332" s="60"/>
      <c r="N1332" s="60"/>
      <c r="O1332" s="60"/>
      <c r="P1332" s="60"/>
      <c r="Q1332" s="60"/>
      <c r="R1332" s="60"/>
      <c r="S1332" s="60"/>
      <c r="T1332" s="60"/>
      <c r="U1332" s="60"/>
      <c r="V1332" s="60"/>
      <c r="W1332" s="60"/>
      <c r="X1332" s="60"/>
      <c r="Y1332" s="60"/>
      <c r="Z1332" s="60"/>
    </row>
    <row r="1333" spans="1:26" ht="30" hidden="1" customHeight="1">
      <c r="A1333" s="95" t="s">
        <v>2658</v>
      </c>
      <c r="B1333" s="68" t="s">
        <v>2659</v>
      </c>
      <c r="C1333" s="99"/>
      <c r="D1333" s="96"/>
      <c r="E1333" s="53"/>
      <c r="F1333" s="53"/>
      <c r="G1333" s="96"/>
      <c r="H1333" s="96">
        <f t="shared" si="473"/>
        <v>0</v>
      </c>
      <c r="I1333" s="60"/>
      <c r="J1333" s="60"/>
      <c r="K1333" s="60"/>
      <c r="L1333" s="60"/>
      <c r="M1333" s="60"/>
      <c r="N1333" s="60"/>
      <c r="O1333" s="60"/>
      <c r="P1333" s="60"/>
      <c r="Q1333" s="60"/>
      <c r="R1333" s="60"/>
      <c r="S1333" s="60"/>
      <c r="T1333" s="60"/>
      <c r="U1333" s="60"/>
      <c r="V1333" s="60"/>
      <c r="W1333" s="60"/>
      <c r="X1333" s="60"/>
      <c r="Y1333" s="60"/>
      <c r="Z1333" s="60"/>
    </row>
    <row r="1334" spans="1:26" ht="30" hidden="1" customHeight="1">
      <c r="A1334" s="98" t="s">
        <v>2660</v>
      </c>
      <c r="B1334" s="68" t="s">
        <v>2661</v>
      </c>
      <c r="C1334" s="99"/>
      <c r="D1334" s="96"/>
      <c r="E1334" s="53"/>
      <c r="F1334" s="53"/>
      <c r="G1334" s="96"/>
      <c r="H1334" s="96">
        <f t="shared" si="473"/>
        <v>0</v>
      </c>
      <c r="I1334" s="60"/>
      <c r="J1334" s="60"/>
      <c r="K1334" s="60"/>
      <c r="L1334" s="60"/>
      <c r="M1334" s="60"/>
      <c r="N1334" s="60"/>
      <c r="O1334" s="60"/>
      <c r="P1334" s="60"/>
      <c r="Q1334" s="60"/>
      <c r="R1334" s="60"/>
      <c r="S1334" s="60"/>
      <c r="T1334" s="60"/>
      <c r="U1334" s="60"/>
      <c r="V1334" s="60"/>
      <c r="W1334" s="60"/>
      <c r="X1334" s="60"/>
      <c r="Y1334" s="60"/>
      <c r="Z1334" s="60"/>
    </row>
    <row r="1335" spans="1:26" ht="30" hidden="1" customHeight="1">
      <c r="A1335" s="95" t="s">
        <v>2662</v>
      </c>
      <c r="B1335" s="68" t="s">
        <v>2663</v>
      </c>
      <c r="C1335" s="99"/>
      <c r="D1335" s="96"/>
      <c r="E1335" s="53"/>
      <c r="F1335" s="53"/>
      <c r="G1335" s="96"/>
      <c r="H1335" s="96">
        <f t="shared" si="473"/>
        <v>0</v>
      </c>
      <c r="I1335" s="60"/>
      <c r="J1335" s="60"/>
      <c r="K1335" s="60"/>
      <c r="L1335" s="60"/>
      <c r="M1335" s="60"/>
      <c r="N1335" s="60"/>
      <c r="O1335" s="60"/>
      <c r="P1335" s="60"/>
      <c r="Q1335" s="60"/>
      <c r="R1335" s="60"/>
      <c r="S1335" s="60"/>
      <c r="T1335" s="60"/>
      <c r="U1335" s="60"/>
      <c r="V1335" s="60"/>
      <c r="W1335" s="60"/>
      <c r="X1335" s="60"/>
      <c r="Y1335" s="60"/>
      <c r="Z1335" s="60"/>
    </row>
    <row r="1336" spans="1:26" ht="30" hidden="1" customHeight="1">
      <c r="A1336" s="98" t="s">
        <v>2664</v>
      </c>
      <c r="B1336" s="68" t="s">
        <v>2665</v>
      </c>
      <c r="C1336" s="99"/>
      <c r="D1336" s="96"/>
      <c r="E1336" s="53"/>
      <c r="F1336" s="53"/>
      <c r="G1336" s="96"/>
      <c r="H1336" s="96">
        <f t="shared" si="473"/>
        <v>0</v>
      </c>
      <c r="I1336" s="60"/>
      <c r="J1336" s="60"/>
      <c r="K1336" s="60"/>
      <c r="L1336" s="60"/>
      <c r="M1336" s="60"/>
      <c r="N1336" s="60"/>
      <c r="O1336" s="60"/>
      <c r="P1336" s="60"/>
      <c r="Q1336" s="60"/>
      <c r="R1336" s="60"/>
      <c r="S1336" s="60"/>
      <c r="T1336" s="60"/>
      <c r="U1336" s="60"/>
      <c r="V1336" s="60"/>
      <c r="W1336" s="60"/>
      <c r="X1336" s="60"/>
      <c r="Y1336" s="60"/>
      <c r="Z1336" s="60"/>
    </row>
    <row r="1337" spans="1:26" ht="30" hidden="1" customHeight="1">
      <c r="A1337" s="95" t="s">
        <v>2666</v>
      </c>
      <c r="B1337" s="68" t="s">
        <v>2667</v>
      </c>
      <c r="C1337" s="99"/>
      <c r="D1337" s="96"/>
      <c r="E1337" s="53"/>
      <c r="F1337" s="53"/>
      <c r="G1337" s="96"/>
      <c r="H1337" s="96">
        <f t="shared" si="473"/>
        <v>0</v>
      </c>
      <c r="I1337" s="60"/>
      <c r="J1337" s="60"/>
      <c r="K1337" s="60"/>
      <c r="L1337" s="60"/>
      <c r="M1337" s="60"/>
      <c r="N1337" s="60"/>
      <c r="O1337" s="60"/>
      <c r="P1337" s="60"/>
      <c r="Q1337" s="60"/>
      <c r="R1337" s="60"/>
      <c r="S1337" s="60"/>
      <c r="T1337" s="60"/>
      <c r="U1337" s="60"/>
      <c r="V1337" s="60"/>
      <c r="W1337" s="60"/>
      <c r="X1337" s="60"/>
      <c r="Y1337" s="60"/>
      <c r="Z1337" s="60"/>
    </row>
    <row r="1338" spans="1:26" ht="30" hidden="1" customHeight="1">
      <c r="A1338" s="98" t="s">
        <v>2668</v>
      </c>
      <c r="B1338" s="68" t="s">
        <v>2669</v>
      </c>
      <c r="C1338" s="99"/>
      <c r="D1338" s="96"/>
      <c r="E1338" s="53"/>
      <c r="F1338" s="53"/>
      <c r="G1338" s="96"/>
      <c r="H1338" s="96">
        <f t="shared" si="473"/>
        <v>0</v>
      </c>
      <c r="I1338" s="60"/>
      <c r="J1338" s="60"/>
      <c r="K1338" s="60"/>
      <c r="L1338" s="60"/>
      <c r="M1338" s="60"/>
      <c r="N1338" s="60"/>
      <c r="O1338" s="60"/>
      <c r="P1338" s="60"/>
      <c r="Q1338" s="60"/>
      <c r="R1338" s="60"/>
      <c r="S1338" s="60"/>
      <c r="T1338" s="60"/>
      <c r="U1338" s="60"/>
      <c r="V1338" s="60"/>
      <c r="W1338" s="60"/>
      <c r="X1338" s="60"/>
      <c r="Y1338" s="60"/>
      <c r="Z1338" s="60"/>
    </row>
    <row r="1339" spans="1:26" ht="30" hidden="1" customHeight="1">
      <c r="A1339" s="95" t="s">
        <v>2670</v>
      </c>
      <c r="B1339" s="68" t="s">
        <v>2671</v>
      </c>
      <c r="C1339" s="99"/>
      <c r="D1339" s="96"/>
      <c r="E1339" s="53"/>
      <c r="F1339" s="53"/>
      <c r="G1339" s="96"/>
      <c r="H1339" s="96">
        <f t="shared" si="473"/>
        <v>0</v>
      </c>
      <c r="I1339" s="60"/>
      <c r="J1339" s="60"/>
      <c r="K1339" s="60"/>
      <c r="L1339" s="60"/>
      <c r="M1339" s="60"/>
      <c r="N1339" s="60"/>
      <c r="O1339" s="60"/>
      <c r="P1339" s="60"/>
      <c r="Q1339" s="60"/>
      <c r="R1339" s="60"/>
      <c r="S1339" s="60"/>
      <c r="T1339" s="60"/>
      <c r="U1339" s="60"/>
      <c r="V1339" s="60"/>
      <c r="W1339" s="60"/>
      <c r="X1339" s="60"/>
      <c r="Y1339" s="60"/>
      <c r="Z1339" s="60"/>
    </row>
    <row r="1340" spans="1:26" ht="30" hidden="1" customHeight="1">
      <c r="A1340" s="92" t="s">
        <v>2672</v>
      </c>
      <c r="B1340" s="101" t="s">
        <v>2673</v>
      </c>
      <c r="C1340" s="94"/>
      <c r="D1340" s="94"/>
      <c r="E1340" s="39">
        <f t="shared" ref="E1340:F1340" si="474">SUM(E1341:E1358)</f>
        <v>0</v>
      </c>
      <c r="F1340" s="39">
        <f t="shared" si="474"/>
        <v>239290141.56</v>
      </c>
      <c r="G1340" s="40"/>
      <c r="H1340" s="39">
        <f>SUM(H1341:H1358)</f>
        <v>239290141.56</v>
      </c>
      <c r="I1340" s="60"/>
      <c r="J1340" s="60"/>
      <c r="K1340" s="60"/>
      <c r="L1340" s="60"/>
      <c r="M1340" s="60"/>
      <c r="N1340" s="60"/>
      <c r="O1340" s="60"/>
      <c r="P1340" s="60"/>
      <c r="Q1340" s="60"/>
      <c r="R1340" s="60"/>
      <c r="S1340" s="60"/>
      <c r="T1340" s="60"/>
      <c r="U1340" s="60"/>
      <c r="V1340" s="60"/>
      <c r="W1340" s="60"/>
      <c r="X1340" s="60"/>
      <c r="Y1340" s="60"/>
      <c r="Z1340" s="60"/>
    </row>
    <row r="1341" spans="1:26" ht="30" hidden="1" customHeight="1">
      <c r="A1341" s="98" t="s">
        <v>2674</v>
      </c>
      <c r="B1341" s="68" t="s">
        <v>2675</v>
      </c>
      <c r="C1341" s="99"/>
      <c r="D1341" s="96"/>
      <c r="E1341" s="53"/>
      <c r="F1341" s="53">
        <v>32232478.670000002</v>
      </c>
      <c r="G1341" s="96"/>
      <c r="H1341" s="96">
        <f t="shared" ref="H1341:H1358" si="475">ROUND(F1341-E1341,2)</f>
        <v>32232478.670000002</v>
      </c>
      <c r="I1341" s="60"/>
      <c r="J1341" s="60"/>
      <c r="K1341" s="60"/>
      <c r="L1341" s="60"/>
      <c r="M1341" s="60"/>
      <c r="N1341" s="60"/>
      <c r="O1341" s="60"/>
      <c r="P1341" s="60"/>
      <c r="Q1341" s="60"/>
      <c r="R1341" s="60"/>
      <c r="S1341" s="60"/>
      <c r="T1341" s="60"/>
      <c r="U1341" s="60"/>
      <c r="V1341" s="60"/>
      <c r="W1341" s="60"/>
      <c r="X1341" s="60"/>
      <c r="Y1341" s="60"/>
      <c r="Z1341" s="60"/>
    </row>
    <row r="1342" spans="1:26" ht="30" hidden="1" customHeight="1">
      <c r="A1342" s="95" t="s">
        <v>2676</v>
      </c>
      <c r="B1342" s="68" t="s">
        <v>2677</v>
      </c>
      <c r="C1342" s="99"/>
      <c r="D1342" s="96"/>
      <c r="E1342" s="53"/>
      <c r="F1342" s="53"/>
      <c r="G1342" s="96"/>
      <c r="H1342" s="96">
        <f t="shared" si="475"/>
        <v>0</v>
      </c>
      <c r="I1342" s="60"/>
      <c r="J1342" s="60"/>
      <c r="K1342" s="60"/>
      <c r="L1342" s="60"/>
      <c r="M1342" s="60"/>
      <c r="N1342" s="60"/>
      <c r="O1342" s="60"/>
      <c r="P1342" s="60"/>
      <c r="Q1342" s="60"/>
      <c r="R1342" s="60"/>
      <c r="S1342" s="60"/>
      <c r="T1342" s="60"/>
      <c r="U1342" s="60"/>
      <c r="V1342" s="60"/>
      <c r="W1342" s="60"/>
      <c r="X1342" s="60"/>
      <c r="Y1342" s="60"/>
      <c r="Z1342" s="60"/>
    </row>
    <row r="1343" spans="1:26" ht="30" hidden="1" customHeight="1">
      <c r="A1343" s="98" t="s">
        <v>2678</v>
      </c>
      <c r="B1343" s="68" t="s">
        <v>2679</v>
      </c>
      <c r="C1343" s="99"/>
      <c r="D1343" s="96"/>
      <c r="E1343" s="53"/>
      <c r="F1343" s="53">
        <v>5835000</v>
      </c>
      <c r="G1343" s="96"/>
      <c r="H1343" s="96">
        <f t="shared" si="475"/>
        <v>5835000</v>
      </c>
      <c r="I1343" s="60"/>
      <c r="J1343" s="60"/>
      <c r="K1343" s="60"/>
      <c r="L1343" s="60"/>
      <c r="M1343" s="60"/>
      <c r="N1343" s="60"/>
      <c r="O1343" s="60"/>
      <c r="P1343" s="60"/>
      <c r="Q1343" s="60"/>
      <c r="R1343" s="60"/>
      <c r="S1343" s="60"/>
      <c r="T1343" s="60"/>
      <c r="U1343" s="60"/>
      <c r="V1343" s="60"/>
      <c r="W1343" s="60"/>
      <c r="X1343" s="60"/>
      <c r="Y1343" s="60"/>
      <c r="Z1343" s="60"/>
    </row>
    <row r="1344" spans="1:26" ht="30" hidden="1" customHeight="1">
      <c r="A1344" s="95" t="s">
        <v>2680</v>
      </c>
      <c r="B1344" s="68" t="s">
        <v>2681</v>
      </c>
      <c r="C1344" s="99"/>
      <c r="D1344" s="96"/>
      <c r="E1344" s="53"/>
      <c r="F1344" s="53"/>
      <c r="G1344" s="96"/>
      <c r="H1344" s="96">
        <f t="shared" si="475"/>
        <v>0</v>
      </c>
      <c r="I1344" s="60"/>
      <c r="J1344" s="60"/>
      <c r="K1344" s="60"/>
      <c r="L1344" s="60"/>
      <c r="M1344" s="60"/>
      <c r="N1344" s="60"/>
      <c r="O1344" s="60"/>
      <c r="P1344" s="60"/>
      <c r="Q1344" s="60"/>
      <c r="R1344" s="60"/>
      <c r="S1344" s="60"/>
      <c r="T1344" s="60"/>
      <c r="U1344" s="60"/>
      <c r="V1344" s="60"/>
      <c r="W1344" s="60"/>
      <c r="X1344" s="60"/>
      <c r="Y1344" s="60"/>
      <c r="Z1344" s="60"/>
    </row>
    <row r="1345" spans="1:26" ht="30" hidden="1" customHeight="1">
      <c r="A1345" s="98" t="s">
        <v>2682</v>
      </c>
      <c r="B1345" s="68" t="s">
        <v>2683</v>
      </c>
      <c r="C1345" s="99"/>
      <c r="D1345" s="96"/>
      <c r="E1345" s="53"/>
      <c r="F1345" s="53">
        <v>15507300</v>
      </c>
      <c r="G1345" s="96"/>
      <c r="H1345" s="96">
        <f t="shared" si="475"/>
        <v>15507300</v>
      </c>
      <c r="I1345" s="60"/>
      <c r="J1345" s="60"/>
      <c r="K1345" s="60"/>
      <c r="L1345" s="60"/>
      <c r="M1345" s="60"/>
      <c r="N1345" s="60"/>
      <c r="O1345" s="60"/>
      <c r="P1345" s="60"/>
      <c r="Q1345" s="60"/>
      <c r="R1345" s="60"/>
      <c r="S1345" s="60"/>
      <c r="T1345" s="60"/>
      <c r="U1345" s="60"/>
      <c r="V1345" s="60"/>
      <c r="W1345" s="60"/>
      <c r="X1345" s="60"/>
      <c r="Y1345" s="60"/>
      <c r="Z1345" s="60"/>
    </row>
    <row r="1346" spans="1:26" ht="30" hidden="1" customHeight="1">
      <c r="A1346" s="95" t="s">
        <v>2684</v>
      </c>
      <c r="B1346" s="68" t="s">
        <v>2685</v>
      </c>
      <c r="C1346" s="99"/>
      <c r="D1346" s="96"/>
      <c r="E1346" s="53"/>
      <c r="F1346" s="53"/>
      <c r="G1346" s="96"/>
      <c r="H1346" s="96">
        <f t="shared" si="475"/>
        <v>0</v>
      </c>
      <c r="I1346" s="60"/>
      <c r="J1346" s="60"/>
      <c r="K1346" s="60"/>
      <c r="L1346" s="60"/>
      <c r="M1346" s="60"/>
      <c r="N1346" s="60"/>
      <c r="O1346" s="60"/>
      <c r="P1346" s="60"/>
      <c r="Q1346" s="60"/>
      <c r="R1346" s="60"/>
      <c r="S1346" s="60"/>
      <c r="T1346" s="60"/>
      <c r="U1346" s="60"/>
      <c r="V1346" s="60"/>
      <c r="W1346" s="60"/>
      <c r="X1346" s="60"/>
      <c r="Y1346" s="60"/>
      <c r="Z1346" s="60"/>
    </row>
    <row r="1347" spans="1:26" ht="30" hidden="1" customHeight="1">
      <c r="A1347" s="98" t="s">
        <v>2686</v>
      </c>
      <c r="B1347" s="68" t="s">
        <v>2687</v>
      </c>
      <c r="C1347" s="99"/>
      <c r="D1347" s="96"/>
      <c r="E1347" s="53"/>
      <c r="F1347" s="53">
        <v>57543583.990000002</v>
      </c>
      <c r="G1347" s="96"/>
      <c r="H1347" s="96">
        <f t="shared" si="475"/>
        <v>57543583.990000002</v>
      </c>
      <c r="I1347" s="60"/>
      <c r="J1347" s="60"/>
      <c r="K1347" s="60"/>
      <c r="L1347" s="60"/>
      <c r="M1347" s="60"/>
      <c r="N1347" s="60"/>
      <c r="O1347" s="60"/>
      <c r="P1347" s="60"/>
      <c r="Q1347" s="60"/>
      <c r="R1347" s="60"/>
      <c r="S1347" s="60"/>
      <c r="T1347" s="60"/>
      <c r="U1347" s="60"/>
      <c r="V1347" s="60"/>
      <c r="W1347" s="60"/>
      <c r="X1347" s="60"/>
      <c r="Y1347" s="60"/>
      <c r="Z1347" s="60"/>
    </row>
    <row r="1348" spans="1:26" ht="30" hidden="1" customHeight="1">
      <c r="A1348" s="95" t="s">
        <v>2688</v>
      </c>
      <c r="B1348" s="68" t="s">
        <v>2689</v>
      </c>
      <c r="C1348" s="99"/>
      <c r="D1348" s="96"/>
      <c r="E1348" s="53"/>
      <c r="F1348" s="53"/>
      <c r="G1348" s="96"/>
      <c r="H1348" s="96">
        <f t="shared" si="475"/>
        <v>0</v>
      </c>
      <c r="I1348" s="60"/>
      <c r="J1348" s="60"/>
      <c r="K1348" s="60"/>
      <c r="L1348" s="60"/>
      <c r="M1348" s="60"/>
      <c r="N1348" s="60"/>
      <c r="O1348" s="60"/>
      <c r="P1348" s="60"/>
      <c r="Q1348" s="60"/>
      <c r="R1348" s="60"/>
      <c r="S1348" s="60"/>
      <c r="T1348" s="60"/>
      <c r="U1348" s="60"/>
      <c r="V1348" s="60"/>
      <c r="W1348" s="60"/>
      <c r="X1348" s="60"/>
      <c r="Y1348" s="60"/>
      <c r="Z1348" s="60"/>
    </row>
    <row r="1349" spans="1:26" ht="30" hidden="1" customHeight="1">
      <c r="A1349" s="98" t="s">
        <v>2690</v>
      </c>
      <c r="B1349" s="68" t="s">
        <v>2691</v>
      </c>
      <c r="C1349" s="99"/>
      <c r="D1349" s="96"/>
      <c r="E1349" s="53"/>
      <c r="F1349" s="53">
        <v>19750000</v>
      </c>
      <c r="G1349" s="96"/>
      <c r="H1349" s="96">
        <f t="shared" si="475"/>
        <v>19750000</v>
      </c>
      <c r="I1349" s="60"/>
      <c r="J1349" s="60"/>
      <c r="K1349" s="60"/>
      <c r="L1349" s="60"/>
      <c r="M1349" s="60"/>
      <c r="N1349" s="60"/>
      <c r="O1349" s="60"/>
      <c r="P1349" s="60"/>
      <c r="Q1349" s="60"/>
      <c r="R1349" s="60"/>
      <c r="S1349" s="60"/>
      <c r="T1349" s="60"/>
      <c r="U1349" s="60"/>
      <c r="V1349" s="60"/>
      <c r="W1349" s="60"/>
      <c r="X1349" s="60"/>
      <c r="Y1349" s="60"/>
      <c r="Z1349" s="60"/>
    </row>
    <row r="1350" spans="1:26" ht="30" hidden="1" customHeight="1">
      <c r="A1350" s="95" t="s">
        <v>2692</v>
      </c>
      <c r="B1350" s="68" t="s">
        <v>2693</v>
      </c>
      <c r="C1350" s="99"/>
      <c r="D1350" s="96"/>
      <c r="E1350" s="53"/>
      <c r="F1350" s="53"/>
      <c r="G1350" s="96"/>
      <c r="H1350" s="96">
        <f t="shared" si="475"/>
        <v>0</v>
      </c>
      <c r="I1350" s="60"/>
      <c r="J1350" s="60"/>
      <c r="K1350" s="60"/>
      <c r="L1350" s="60"/>
      <c r="M1350" s="60"/>
      <c r="N1350" s="60"/>
      <c r="O1350" s="60"/>
      <c r="P1350" s="60"/>
      <c r="Q1350" s="60"/>
      <c r="R1350" s="60"/>
      <c r="S1350" s="60"/>
      <c r="T1350" s="60"/>
      <c r="U1350" s="60"/>
      <c r="V1350" s="60"/>
      <c r="W1350" s="60"/>
      <c r="X1350" s="60"/>
      <c r="Y1350" s="60"/>
      <c r="Z1350" s="60"/>
    </row>
    <row r="1351" spans="1:26" ht="30" hidden="1" customHeight="1">
      <c r="A1351" s="98" t="s">
        <v>2694</v>
      </c>
      <c r="B1351" s="68" t="s">
        <v>2695</v>
      </c>
      <c r="C1351" s="99"/>
      <c r="D1351" s="96"/>
      <c r="E1351" s="53"/>
      <c r="F1351" s="53">
        <v>76072795</v>
      </c>
      <c r="G1351" s="96"/>
      <c r="H1351" s="96">
        <f t="shared" si="475"/>
        <v>76072795</v>
      </c>
      <c r="I1351" s="60"/>
      <c r="J1351" s="60"/>
      <c r="K1351" s="60"/>
      <c r="L1351" s="60"/>
      <c r="M1351" s="60"/>
      <c r="N1351" s="60"/>
      <c r="O1351" s="60"/>
      <c r="P1351" s="60"/>
      <c r="Q1351" s="60"/>
      <c r="R1351" s="60"/>
      <c r="S1351" s="60"/>
      <c r="T1351" s="60"/>
      <c r="U1351" s="60"/>
      <c r="V1351" s="60"/>
      <c r="W1351" s="60"/>
      <c r="X1351" s="60"/>
      <c r="Y1351" s="60"/>
      <c r="Z1351" s="60"/>
    </row>
    <row r="1352" spans="1:26" ht="30" hidden="1" customHeight="1">
      <c r="A1352" s="95" t="s">
        <v>2696</v>
      </c>
      <c r="B1352" s="68" t="s">
        <v>2697</v>
      </c>
      <c r="C1352" s="99"/>
      <c r="D1352" s="96"/>
      <c r="E1352" s="53"/>
      <c r="F1352" s="53"/>
      <c r="G1352" s="96"/>
      <c r="H1352" s="96">
        <f t="shared" si="475"/>
        <v>0</v>
      </c>
      <c r="I1352" s="60"/>
      <c r="J1352" s="60"/>
      <c r="K1352" s="60"/>
      <c r="L1352" s="60"/>
      <c r="M1352" s="60"/>
      <c r="N1352" s="60"/>
      <c r="O1352" s="60"/>
      <c r="P1352" s="60"/>
      <c r="Q1352" s="60"/>
      <c r="R1352" s="60"/>
      <c r="S1352" s="60"/>
      <c r="T1352" s="60"/>
      <c r="U1352" s="60"/>
      <c r="V1352" s="60"/>
      <c r="W1352" s="60"/>
      <c r="X1352" s="60"/>
      <c r="Y1352" s="60"/>
      <c r="Z1352" s="60"/>
    </row>
    <row r="1353" spans="1:26" ht="30" hidden="1" customHeight="1">
      <c r="A1353" s="98" t="s">
        <v>2698</v>
      </c>
      <c r="B1353" s="68" t="s">
        <v>2699</v>
      </c>
      <c r="C1353" s="99"/>
      <c r="D1353" s="96"/>
      <c r="E1353" s="53"/>
      <c r="F1353" s="53"/>
      <c r="G1353" s="96"/>
      <c r="H1353" s="96">
        <f t="shared" si="475"/>
        <v>0</v>
      </c>
      <c r="I1353" s="60"/>
      <c r="J1353" s="60"/>
      <c r="K1353" s="60"/>
      <c r="L1353" s="60"/>
      <c r="M1353" s="60"/>
      <c r="N1353" s="60"/>
      <c r="O1353" s="60"/>
      <c r="P1353" s="60"/>
      <c r="Q1353" s="60"/>
      <c r="R1353" s="60"/>
      <c r="S1353" s="60"/>
      <c r="T1353" s="60"/>
      <c r="U1353" s="60"/>
      <c r="V1353" s="60"/>
      <c r="W1353" s="60"/>
      <c r="X1353" s="60"/>
      <c r="Y1353" s="60"/>
      <c r="Z1353" s="60"/>
    </row>
    <row r="1354" spans="1:26" ht="30" hidden="1" customHeight="1">
      <c r="A1354" s="95" t="s">
        <v>2700</v>
      </c>
      <c r="B1354" s="68" t="s">
        <v>2701</v>
      </c>
      <c r="C1354" s="99"/>
      <c r="D1354" s="96"/>
      <c r="E1354" s="53"/>
      <c r="F1354" s="53"/>
      <c r="G1354" s="96"/>
      <c r="H1354" s="96">
        <f t="shared" si="475"/>
        <v>0</v>
      </c>
      <c r="I1354" s="60"/>
      <c r="J1354" s="60"/>
      <c r="K1354" s="60"/>
      <c r="L1354" s="60"/>
      <c r="M1354" s="60"/>
      <c r="N1354" s="60"/>
      <c r="O1354" s="60"/>
      <c r="P1354" s="60"/>
      <c r="Q1354" s="60"/>
      <c r="R1354" s="60"/>
      <c r="S1354" s="60"/>
      <c r="T1354" s="60"/>
      <c r="U1354" s="60"/>
      <c r="V1354" s="60"/>
      <c r="W1354" s="60"/>
      <c r="X1354" s="60"/>
      <c r="Y1354" s="60"/>
      <c r="Z1354" s="60"/>
    </row>
    <row r="1355" spans="1:26" ht="30" hidden="1" customHeight="1">
      <c r="A1355" s="98" t="s">
        <v>2702</v>
      </c>
      <c r="B1355" s="68" t="s">
        <v>2703</v>
      </c>
      <c r="C1355" s="99"/>
      <c r="D1355" s="96"/>
      <c r="E1355" s="53"/>
      <c r="F1355" s="53"/>
      <c r="G1355" s="96"/>
      <c r="H1355" s="96">
        <f t="shared" si="475"/>
        <v>0</v>
      </c>
      <c r="I1355" s="60"/>
      <c r="J1355" s="60"/>
      <c r="K1355" s="60"/>
      <c r="L1355" s="60"/>
      <c r="M1355" s="60"/>
      <c r="N1355" s="60"/>
      <c r="O1355" s="60"/>
      <c r="P1355" s="60"/>
      <c r="Q1355" s="60"/>
      <c r="R1355" s="60"/>
      <c r="S1355" s="60"/>
      <c r="T1355" s="60"/>
      <c r="U1355" s="60"/>
      <c r="V1355" s="60"/>
      <c r="W1355" s="60"/>
      <c r="X1355" s="60"/>
      <c r="Y1355" s="60"/>
      <c r="Z1355" s="60"/>
    </row>
    <row r="1356" spans="1:26" ht="30" hidden="1" customHeight="1">
      <c r="A1356" s="95" t="s">
        <v>2704</v>
      </c>
      <c r="B1356" s="68" t="s">
        <v>2705</v>
      </c>
      <c r="C1356" s="99"/>
      <c r="D1356" s="96"/>
      <c r="E1356" s="53"/>
      <c r="F1356" s="53"/>
      <c r="G1356" s="96"/>
      <c r="H1356" s="96">
        <f t="shared" si="475"/>
        <v>0</v>
      </c>
      <c r="I1356" s="60"/>
      <c r="J1356" s="60"/>
      <c r="K1356" s="60"/>
      <c r="L1356" s="60"/>
      <c r="M1356" s="60"/>
      <c r="N1356" s="60"/>
      <c r="O1356" s="60"/>
      <c r="P1356" s="60"/>
      <c r="Q1356" s="60"/>
      <c r="R1356" s="60"/>
      <c r="S1356" s="60"/>
      <c r="T1356" s="60"/>
      <c r="U1356" s="60"/>
      <c r="V1356" s="60"/>
      <c r="W1356" s="60"/>
      <c r="X1356" s="60"/>
      <c r="Y1356" s="60"/>
      <c r="Z1356" s="60"/>
    </row>
    <row r="1357" spans="1:26" ht="30" hidden="1" customHeight="1">
      <c r="A1357" s="98" t="s">
        <v>2706</v>
      </c>
      <c r="B1357" s="68" t="s">
        <v>2707</v>
      </c>
      <c r="C1357" s="99"/>
      <c r="D1357" s="96"/>
      <c r="E1357" s="53"/>
      <c r="F1357" s="53">
        <v>32348983.899999999</v>
      </c>
      <c r="G1357" s="96"/>
      <c r="H1357" s="96">
        <f t="shared" si="475"/>
        <v>32348983.899999999</v>
      </c>
      <c r="I1357" s="60"/>
      <c r="J1357" s="60"/>
      <c r="K1357" s="60"/>
      <c r="L1357" s="60"/>
      <c r="M1357" s="60"/>
      <c r="N1357" s="60"/>
      <c r="O1357" s="60"/>
      <c r="P1357" s="60"/>
      <c r="Q1357" s="60"/>
      <c r="R1357" s="60"/>
      <c r="S1357" s="60"/>
      <c r="T1357" s="60"/>
      <c r="U1357" s="60"/>
      <c r="V1357" s="60"/>
      <c r="W1357" s="60"/>
      <c r="X1357" s="60"/>
      <c r="Y1357" s="60"/>
      <c r="Z1357" s="60"/>
    </row>
    <row r="1358" spans="1:26" ht="30" hidden="1" customHeight="1">
      <c r="A1358" s="95" t="s">
        <v>2708</v>
      </c>
      <c r="B1358" s="68" t="s">
        <v>2709</v>
      </c>
      <c r="C1358" s="99"/>
      <c r="D1358" s="96"/>
      <c r="E1358" s="53"/>
      <c r="F1358" s="53"/>
      <c r="G1358" s="96"/>
      <c r="H1358" s="96">
        <f t="shared" si="475"/>
        <v>0</v>
      </c>
      <c r="I1358" s="60"/>
      <c r="J1358" s="60"/>
      <c r="K1358" s="60"/>
      <c r="L1358" s="60"/>
      <c r="M1358" s="60"/>
      <c r="N1358" s="60"/>
      <c r="O1358" s="60"/>
      <c r="P1358" s="60"/>
      <c r="Q1358" s="60"/>
      <c r="R1358" s="60"/>
      <c r="S1358" s="60"/>
      <c r="T1358" s="60"/>
      <c r="U1358" s="60"/>
      <c r="V1358" s="60"/>
      <c r="W1358" s="60"/>
      <c r="X1358" s="60"/>
      <c r="Y1358" s="60"/>
      <c r="Z1358" s="60"/>
    </row>
    <row r="1359" spans="1:26" ht="30" hidden="1" customHeight="1">
      <c r="A1359" s="92" t="s">
        <v>2710</v>
      </c>
      <c r="B1359" s="101" t="s">
        <v>2711</v>
      </c>
      <c r="C1359" s="94"/>
      <c r="D1359" s="94"/>
      <c r="E1359" s="39">
        <f t="shared" ref="E1359:F1359" si="476">SUM(E1360:E1365)</f>
        <v>0</v>
      </c>
      <c r="F1359" s="39">
        <f t="shared" si="476"/>
        <v>627881760</v>
      </c>
      <c r="G1359" s="40"/>
      <c r="H1359" s="39">
        <f>SUM(H1360:H1365)</f>
        <v>627881760</v>
      </c>
      <c r="I1359" s="60"/>
      <c r="J1359" s="60"/>
      <c r="K1359" s="60"/>
      <c r="L1359" s="60"/>
      <c r="M1359" s="60"/>
      <c r="N1359" s="60"/>
      <c r="O1359" s="60"/>
      <c r="P1359" s="60"/>
      <c r="Q1359" s="60"/>
      <c r="R1359" s="60"/>
      <c r="S1359" s="60"/>
      <c r="T1359" s="60"/>
      <c r="U1359" s="60"/>
      <c r="V1359" s="60"/>
      <c r="W1359" s="60"/>
      <c r="X1359" s="60"/>
      <c r="Y1359" s="60"/>
      <c r="Z1359" s="60"/>
    </row>
    <row r="1360" spans="1:26" ht="30" hidden="1" customHeight="1">
      <c r="A1360" s="98" t="s">
        <v>2712</v>
      </c>
      <c r="B1360" s="68" t="s">
        <v>2713</v>
      </c>
      <c r="C1360" s="99"/>
      <c r="D1360" s="96"/>
      <c r="E1360" s="53"/>
      <c r="F1360" s="53">
        <v>627881760</v>
      </c>
      <c r="G1360" s="96"/>
      <c r="H1360" s="96">
        <f t="shared" ref="H1360:H1365" si="477">ROUND(F1360-E1360,2)</f>
        <v>627881760</v>
      </c>
      <c r="I1360" s="60"/>
      <c r="J1360" s="60"/>
      <c r="K1360" s="60"/>
      <c r="L1360" s="60"/>
      <c r="M1360" s="60"/>
      <c r="N1360" s="60"/>
      <c r="O1360" s="60"/>
      <c r="P1360" s="60"/>
      <c r="Q1360" s="60"/>
      <c r="R1360" s="60"/>
      <c r="S1360" s="60"/>
      <c r="T1360" s="60"/>
      <c r="U1360" s="60"/>
      <c r="V1360" s="60"/>
      <c r="W1360" s="60"/>
      <c r="X1360" s="60"/>
      <c r="Y1360" s="60"/>
      <c r="Z1360" s="60"/>
    </row>
    <row r="1361" spans="1:26" ht="30" hidden="1" customHeight="1">
      <c r="A1361" s="95" t="s">
        <v>2714</v>
      </c>
      <c r="B1361" s="68" t="s">
        <v>2715</v>
      </c>
      <c r="C1361" s="99"/>
      <c r="D1361" s="96"/>
      <c r="E1361" s="53"/>
      <c r="F1361" s="53"/>
      <c r="G1361" s="96"/>
      <c r="H1361" s="96">
        <f t="shared" si="477"/>
        <v>0</v>
      </c>
      <c r="I1361" s="60"/>
      <c r="J1361" s="60"/>
      <c r="K1361" s="60"/>
      <c r="L1361" s="60"/>
      <c r="M1361" s="60"/>
      <c r="N1361" s="60"/>
      <c r="O1361" s="60"/>
      <c r="P1361" s="60"/>
      <c r="Q1361" s="60"/>
      <c r="R1361" s="60"/>
      <c r="S1361" s="60"/>
      <c r="T1361" s="60"/>
      <c r="U1361" s="60"/>
      <c r="V1361" s="60"/>
      <c r="W1361" s="60"/>
      <c r="X1361" s="60"/>
      <c r="Y1361" s="60"/>
      <c r="Z1361" s="60"/>
    </row>
    <row r="1362" spans="1:26" ht="30" hidden="1" customHeight="1">
      <c r="A1362" s="98" t="s">
        <v>2716</v>
      </c>
      <c r="B1362" s="68" t="s">
        <v>2717</v>
      </c>
      <c r="C1362" s="99"/>
      <c r="D1362" s="96"/>
      <c r="E1362" s="53"/>
      <c r="F1362" s="53"/>
      <c r="G1362" s="96"/>
      <c r="H1362" s="96">
        <f t="shared" si="477"/>
        <v>0</v>
      </c>
      <c r="I1362" s="60"/>
      <c r="J1362" s="60"/>
      <c r="K1362" s="60"/>
      <c r="L1362" s="60"/>
      <c r="M1362" s="60"/>
      <c r="N1362" s="60"/>
      <c r="O1362" s="60"/>
      <c r="P1362" s="60"/>
      <c r="Q1362" s="60"/>
      <c r="R1362" s="60"/>
      <c r="S1362" s="60"/>
      <c r="T1362" s="60"/>
      <c r="U1362" s="60"/>
      <c r="V1362" s="60"/>
      <c r="W1362" s="60"/>
      <c r="X1362" s="60"/>
      <c r="Y1362" s="60"/>
      <c r="Z1362" s="60"/>
    </row>
    <row r="1363" spans="1:26" ht="30" hidden="1" customHeight="1">
      <c r="A1363" s="95" t="s">
        <v>2718</v>
      </c>
      <c r="B1363" s="68" t="s">
        <v>2719</v>
      </c>
      <c r="C1363" s="99"/>
      <c r="D1363" s="96"/>
      <c r="E1363" s="53"/>
      <c r="F1363" s="53"/>
      <c r="G1363" s="96"/>
      <c r="H1363" s="96">
        <f t="shared" si="477"/>
        <v>0</v>
      </c>
      <c r="I1363" s="60"/>
      <c r="J1363" s="60"/>
      <c r="K1363" s="60"/>
      <c r="L1363" s="60"/>
      <c r="M1363" s="60"/>
      <c r="N1363" s="60"/>
      <c r="O1363" s="60"/>
      <c r="P1363" s="60"/>
      <c r="Q1363" s="60"/>
      <c r="R1363" s="60"/>
      <c r="S1363" s="60"/>
      <c r="T1363" s="60"/>
      <c r="U1363" s="60"/>
      <c r="V1363" s="60"/>
      <c r="W1363" s="60"/>
      <c r="X1363" s="60"/>
      <c r="Y1363" s="60"/>
      <c r="Z1363" s="60"/>
    </row>
    <row r="1364" spans="1:26" ht="30" hidden="1" customHeight="1">
      <c r="A1364" s="98" t="s">
        <v>2720</v>
      </c>
      <c r="B1364" s="68" t="s">
        <v>2721</v>
      </c>
      <c r="C1364" s="99"/>
      <c r="D1364" s="96"/>
      <c r="E1364" s="53"/>
      <c r="F1364" s="53"/>
      <c r="G1364" s="96"/>
      <c r="H1364" s="96">
        <f t="shared" si="477"/>
        <v>0</v>
      </c>
      <c r="I1364" s="60"/>
      <c r="J1364" s="60"/>
      <c r="K1364" s="60"/>
      <c r="L1364" s="60"/>
      <c r="M1364" s="60"/>
      <c r="N1364" s="60"/>
      <c r="O1364" s="60"/>
      <c r="P1364" s="60"/>
      <c r="Q1364" s="60"/>
      <c r="R1364" s="60"/>
      <c r="S1364" s="60"/>
      <c r="T1364" s="60"/>
      <c r="U1364" s="60"/>
      <c r="V1364" s="60"/>
      <c r="W1364" s="60"/>
      <c r="X1364" s="60"/>
      <c r="Y1364" s="60"/>
      <c r="Z1364" s="60"/>
    </row>
    <row r="1365" spans="1:26" ht="30" hidden="1" customHeight="1">
      <c r="A1365" s="95" t="s">
        <v>2722</v>
      </c>
      <c r="B1365" s="68" t="s">
        <v>2723</v>
      </c>
      <c r="C1365" s="99"/>
      <c r="D1365" s="96"/>
      <c r="E1365" s="53"/>
      <c r="F1365" s="53"/>
      <c r="G1365" s="96"/>
      <c r="H1365" s="96">
        <f t="shared" si="477"/>
        <v>0</v>
      </c>
      <c r="I1365" s="60"/>
      <c r="J1365" s="60"/>
      <c r="K1365" s="60"/>
      <c r="L1365" s="60"/>
      <c r="M1365" s="60"/>
      <c r="N1365" s="60"/>
      <c r="O1365" s="60"/>
      <c r="P1365" s="60"/>
      <c r="Q1365" s="60"/>
      <c r="R1365" s="60"/>
      <c r="S1365" s="60"/>
      <c r="T1365" s="60"/>
      <c r="U1365" s="60"/>
      <c r="V1365" s="60"/>
      <c r="W1365" s="60"/>
      <c r="X1365" s="60"/>
      <c r="Y1365" s="60"/>
      <c r="Z1365" s="60"/>
    </row>
    <row r="1366" spans="1:26" ht="30" hidden="1" customHeight="1">
      <c r="A1366" s="92" t="s">
        <v>2724</v>
      </c>
      <c r="B1366" s="101" t="s">
        <v>2725</v>
      </c>
      <c r="C1366" s="94"/>
      <c r="D1366" s="94"/>
      <c r="E1366" s="39">
        <f t="shared" ref="E1366:F1366" si="478">SUM(E1367:E1380)</f>
        <v>0</v>
      </c>
      <c r="F1366" s="39">
        <f t="shared" si="478"/>
        <v>581600137.83000004</v>
      </c>
      <c r="G1366" s="40"/>
      <c r="H1366" s="39">
        <f>SUM(H1367:H1380)</f>
        <v>581600137.83000004</v>
      </c>
      <c r="I1366" s="60"/>
      <c r="J1366" s="60"/>
      <c r="K1366" s="60"/>
      <c r="L1366" s="60"/>
      <c r="M1366" s="60"/>
      <c r="N1366" s="60"/>
      <c r="O1366" s="60"/>
      <c r="P1366" s="60"/>
      <c r="Q1366" s="60"/>
      <c r="R1366" s="60"/>
      <c r="S1366" s="60"/>
      <c r="T1366" s="60"/>
      <c r="U1366" s="60"/>
      <c r="V1366" s="60"/>
      <c r="W1366" s="60"/>
      <c r="X1366" s="60"/>
      <c r="Y1366" s="60"/>
      <c r="Z1366" s="60"/>
    </row>
    <row r="1367" spans="1:26" ht="30" hidden="1" customHeight="1">
      <c r="A1367" s="98" t="s">
        <v>2726</v>
      </c>
      <c r="B1367" s="68" t="s">
        <v>2727</v>
      </c>
      <c r="C1367" s="99"/>
      <c r="D1367" s="96"/>
      <c r="E1367" s="53"/>
      <c r="F1367" s="53"/>
      <c r="G1367" s="96"/>
      <c r="H1367" s="96">
        <f t="shared" ref="H1367:H1380" si="479">ROUND(F1367-E1367,2)</f>
        <v>0</v>
      </c>
      <c r="I1367" s="60"/>
      <c r="J1367" s="60"/>
      <c r="K1367" s="60"/>
      <c r="L1367" s="60"/>
      <c r="M1367" s="60"/>
      <c r="N1367" s="60"/>
      <c r="O1367" s="60"/>
      <c r="P1367" s="60"/>
      <c r="Q1367" s="60"/>
      <c r="R1367" s="60"/>
      <c r="S1367" s="60"/>
      <c r="T1367" s="60"/>
      <c r="U1367" s="60"/>
      <c r="V1367" s="60"/>
      <c r="W1367" s="60"/>
      <c r="X1367" s="60"/>
      <c r="Y1367" s="60"/>
      <c r="Z1367" s="60"/>
    </row>
    <row r="1368" spans="1:26" ht="30" hidden="1" customHeight="1">
      <c r="A1368" s="95" t="s">
        <v>2728</v>
      </c>
      <c r="B1368" s="68" t="s">
        <v>2729</v>
      </c>
      <c r="C1368" s="99"/>
      <c r="D1368" s="96"/>
      <c r="E1368" s="53"/>
      <c r="F1368" s="53"/>
      <c r="G1368" s="96"/>
      <c r="H1368" s="96">
        <f t="shared" si="479"/>
        <v>0</v>
      </c>
      <c r="I1368" s="60"/>
      <c r="J1368" s="60"/>
      <c r="K1368" s="60"/>
      <c r="L1368" s="60"/>
      <c r="M1368" s="60"/>
      <c r="N1368" s="60"/>
      <c r="O1368" s="60"/>
      <c r="P1368" s="60"/>
      <c r="Q1368" s="60"/>
      <c r="R1368" s="60"/>
      <c r="S1368" s="60"/>
      <c r="T1368" s="60"/>
      <c r="U1368" s="60"/>
      <c r="V1368" s="60"/>
      <c r="W1368" s="60"/>
      <c r="X1368" s="60"/>
      <c r="Y1368" s="60"/>
      <c r="Z1368" s="60"/>
    </row>
    <row r="1369" spans="1:26" ht="30" hidden="1" customHeight="1">
      <c r="A1369" s="98" t="s">
        <v>2730</v>
      </c>
      <c r="B1369" s="68" t="s">
        <v>2731</v>
      </c>
      <c r="C1369" s="99"/>
      <c r="D1369" s="96"/>
      <c r="E1369" s="53"/>
      <c r="F1369" s="53"/>
      <c r="G1369" s="96"/>
      <c r="H1369" s="96">
        <f t="shared" si="479"/>
        <v>0</v>
      </c>
      <c r="I1369" s="60"/>
      <c r="J1369" s="60"/>
      <c r="K1369" s="60"/>
      <c r="L1369" s="60"/>
      <c r="M1369" s="60"/>
      <c r="N1369" s="60"/>
      <c r="O1369" s="60"/>
      <c r="P1369" s="60"/>
      <c r="Q1369" s="60"/>
      <c r="R1369" s="60"/>
      <c r="S1369" s="60"/>
      <c r="T1369" s="60"/>
      <c r="U1369" s="60"/>
      <c r="V1369" s="60"/>
      <c r="W1369" s="60"/>
      <c r="X1369" s="60"/>
      <c r="Y1369" s="60"/>
      <c r="Z1369" s="60"/>
    </row>
    <row r="1370" spans="1:26" ht="30" hidden="1" customHeight="1">
      <c r="A1370" s="95" t="s">
        <v>2732</v>
      </c>
      <c r="B1370" s="68" t="s">
        <v>2733</v>
      </c>
      <c r="C1370" s="99"/>
      <c r="D1370" s="96"/>
      <c r="E1370" s="53"/>
      <c r="F1370" s="53"/>
      <c r="G1370" s="96"/>
      <c r="H1370" s="96">
        <f t="shared" si="479"/>
        <v>0</v>
      </c>
      <c r="I1370" s="60"/>
      <c r="J1370" s="60"/>
      <c r="K1370" s="60"/>
      <c r="L1370" s="60"/>
      <c r="M1370" s="60"/>
      <c r="N1370" s="60"/>
      <c r="O1370" s="60"/>
      <c r="P1370" s="60"/>
      <c r="Q1370" s="60"/>
      <c r="R1370" s="60"/>
      <c r="S1370" s="60"/>
      <c r="T1370" s="60"/>
      <c r="U1370" s="60"/>
      <c r="V1370" s="60"/>
      <c r="W1370" s="60"/>
      <c r="X1370" s="60"/>
      <c r="Y1370" s="60"/>
      <c r="Z1370" s="60"/>
    </row>
    <row r="1371" spans="1:26" ht="30" hidden="1" customHeight="1">
      <c r="A1371" s="98" t="s">
        <v>2734</v>
      </c>
      <c r="B1371" s="68" t="s">
        <v>2735</v>
      </c>
      <c r="C1371" s="99"/>
      <c r="D1371" s="96"/>
      <c r="E1371" s="53"/>
      <c r="F1371" s="53"/>
      <c r="G1371" s="96"/>
      <c r="H1371" s="96">
        <f t="shared" si="479"/>
        <v>0</v>
      </c>
      <c r="I1371" s="60"/>
      <c r="J1371" s="60"/>
      <c r="K1371" s="60"/>
      <c r="L1371" s="60"/>
      <c r="M1371" s="60"/>
      <c r="N1371" s="60"/>
      <c r="O1371" s="60"/>
      <c r="P1371" s="60"/>
      <c r="Q1371" s="60"/>
      <c r="R1371" s="60"/>
      <c r="S1371" s="60"/>
      <c r="T1371" s="60"/>
      <c r="U1371" s="60"/>
      <c r="V1371" s="60"/>
      <c r="W1371" s="60"/>
      <c r="X1371" s="60"/>
      <c r="Y1371" s="60"/>
      <c r="Z1371" s="60"/>
    </row>
    <row r="1372" spans="1:26" ht="30" hidden="1" customHeight="1">
      <c r="A1372" s="95" t="s">
        <v>2736</v>
      </c>
      <c r="B1372" s="68" t="s">
        <v>2737</v>
      </c>
      <c r="C1372" s="99"/>
      <c r="D1372" s="96"/>
      <c r="E1372" s="53"/>
      <c r="F1372" s="53"/>
      <c r="G1372" s="96"/>
      <c r="H1372" s="96">
        <f t="shared" si="479"/>
        <v>0</v>
      </c>
      <c r="I1372" s="60"/>
      <c r="J1372" s="60"/>
      <c r="K1372" s="60"/>
      <c r="L1372" s="60"/>
      <c r="M1372" s="60"/>
      <c r="N1372" s="60"/>
      <c r="O1372" s="60"/>
      <c r="P1372" s="60"/>
      <c r="Q1372" s="60"/>
      <c r="R1372" s="60"/>
      <c r="S1372" s="60"/>
      <c r="T1372" s="60"/>
      <c r="U1372" s="60"/>
      <c r="V1372" s="60"/>
      <c r="W1372" s="60"/>
      <c r="X1372" s="60"/>
      <c r="Y1372" s="60"/>
      <c r="Z1372" s="60"/>
    </row>
    <row r="1373" spans="1:26" ht="30" hidden="1" customHeight="1">
      <c r="A1373" s="98" t="s">
        <v>2738</v>
      </c>
      <c r="B1373" s="68" t="s">
        <v>2739</v>
      </c>
      <c r="C1373" s="99"/>
      <c r="D1373" s="96"/>
      <c r="E1373" s="53"/>
      <c r="F1373" s="53"/>
      <c r="G1373" s="96"/>
      <c r="H1373" s="96">
        <f t="shared" si="479"/>
        <v>0</v>
      </c>
      <c r="I1373" s="60"/>
      <c r="J1373" s="60"/>
      <c r="K1373" s="60"/>
      <c r="L1373" s="60"/>
      <c r="M1373" s="60"/>
      <c r="N1373" s="60"/>
      <c r="O1373" s="60"/>
      <c r="P1373" s="60"/>
      <c r="Q1373" s="60"/>
      <c r="R1373" s="60"/>
      <c r="S1373" s="60"/>
      <c r="T1373" s="60"/>
      <c r="U1373" s="60"/>
      <c r="V1373" s="60"/>
      <c r="W1373" s="60"/>
      <c r="X1373" s="60"/>
      <c r="Y1373" s="60"/>
      <c r="Z1373" s="60"/>
    </row>
    <row r="1374" spans="1:26" ht="30" hidden="1" customHeight="1">
      <c r="A1374" s="95" t="s">
        <v>2740</v>
      </c>
      <c r="B1374" s="68" t="s">
        <v>2741</v>
      </c>
      <c r="C1374" s="99"/>
      <c r="D1374" s="96"/>
      <c r="E1374" s="53"/>
      <c r="F1374" s="53"/>
      <c r="G1374" s="96"/>
      <c r="H1374" s="96">
        <f t="shared" si="479"/>
        <v>0</v>
      </c>
      <c r="I1374" s="60"/>
      <c r="J1374" s="60"/>
      <c r="K1374" s="60"/>
      <c r="L1374" s="60"/>
      <c r="M1374" s="60"/>
      <c r="N1374" s="60"/>
      <c r="O1374" s="60"/>
      <c r="P1374" s="60"/>
      <c r="Q1374" s="60"/>
      <c r="R1374" s="60"/>
      <c r="S1374" s="60"/>
      <c r="T1374" s="60"/>
      <c r="U1374" s="60"/>
      <c r="V1374" s="60"/>
      <c r="W1374" s="60"/>
      <c r="X1374" s="60"/>
      <c r="Y1374" s="60"/>
      <c r="Z1374" s="60"/>
    </row>
    <row r="1375" spans="1:26" ht="30" hidden="1" customHeight="1">
      <c r="A1375" s="98" t="s">
        <v>2742</v>
      </c>
      <c r="B1375" s="68" t="s">
        <v>2743</v>
      </c>
      <c r="C1375" s="99"/>
      <c r="D1375" s="96"/>
      <c r="E1375" s="53"/>
      <c r="F1375" s="53"/>
      <c r="G1375" s="96"/>
      <c r="H1375" s="96">
        <f t="shared" si="479"/>
        <v>0</v>
      </c>
      <c r="I1375" s="60"/>
      <c r="J1375" s="60"/>
      <c r="K1375" s="60"/>
      <c r="L1375" s="60"/>
      <c r="M1375" s="60"/>
      <c r="N1375" s="60"/>
      <c r="O1375" s="60"/>
      <c r="P1375" s="60"/>
      <c r="Q1375" s="60"/>
      <c r="R1375" s="60"/>
      <c r="S1375" s="60"/>
      <c r="T1375" s="60"/>
      <c r="U1375" s="60"/>
      <c r="V1375" s="60"/>
      <c r="W1375" s="60"/>
      <c r="X1375" s="60"/>
      <c r="Y1375" s="60"/>
      <c r="Z1375" s="60"/>
    </row>
    <row r="1376" spans="1:26" ht="30" hidden="1" customHeight="1">
      <c r="A1376" s="95" t="s">
        <v>2744</v>
      </c>
      <c r="B1376" s="68" t="s">
        <v>2745</v>
      </c>
      <c r="C1376" s="99"/>
      <c r="D1376" s="96"/>
      <c r="E1376" s="53"/>
      <c r="F1376" s="53"/>
      <c r="G1376" s="96"/>
      <c r="H1376" s="96">
        <f t="shared" si="479"/>
        <v>0</v>
      </c>
      <c r="I1376" s="60"/>
      <c r="J1376" s="60"/>
      <c r="K1376" s="60"/>
      <c r="L1376" s="60"/>
      <c r="M1376" s="60"/>
      <c r="N1376" s="60"/>
      <c r="O1376" s="60"/>
      <c r="P1376" s="60"/>
      <c r="Q1376" s="60"/>
      <c r="R1376" s="60"/>
      <c r="S1376" s="60"/>
      <c r="T1376" s="60"/>
      <c r="U1376" s="60"/>
      <c r="V1376" s="60"/>
      <c r="W1376" s="60"/>
      <c r="X1376" s="60"/>
      <c r="Y1376" s="60"/>
      <c r="Z1376" s="60"/>
    </row>
    <row r="1377" spans="1:26" ht="30" hidden="1" customHeight="1">
      <c r="A1377" s="98" t="s">
        <v>2746</v>
      </c>
      <c r="B1377" s="68" t="s">
        <v>2747</v>
      </c>
      <c r="C1377" s="99"/>
      <c r="D1377" s="96"/>
      <c r="E1377" s="53"/>
      <c r="F1377" s="53"/>
      <c r="G1377" s="96"/>
      <c r="H1377" s="96">
        <f t="shared" si="479"/>
        <v>0</v>
      </c>
      <c r="I1377" s="60"/>
      <c r="J1377" s="60"/>
      <c r="K1377" s="60"/>
      <c r="L1377" s="60"/>
      <c r="M1377" s="60"/>
      <c r="N1377" s="60"/>
      <c r="O1377" s="60"/>
      <c r="P1377" s="60"/>
      <c r="Q1377" s="60"/>
      <c r="R1377" s="60"/>
      <c r="S1377" s="60"/>
      <c r="T1377" s="60"/>
      <c r="U1377" s="60"/>
      <c r="V1377" s="60"/>
      <c r="W1377" s="60"/>
      <c r="X1377" s="60"/>
      <c r="Y1377" s="60"/>
      <c r="Z1377" s="60"/>
    </row>
    <row r="1378" spans="1:26" ht="30" hidden="1" customHeight="1">
      <c r="A1378" s="95" t="s">
        <v>2748</v>
      </c>
      <c r="B1378" s="68" t="s">
        <v>2749</v>
      </c>
      <c r="C1378" s="99"/>
      <c r="D1378" s="96"/>
      <c r="E1378" s="53"/>
      <c r="F1378" s="53"/>
      <c r="G1378" s="96"/>
      <c r="H1378" s="96">
        <f t="shared" si="479"/>
        <v>0</v>
      </c>
      <c r="I1378" s="60"/>
      <c r="J1378" s="60"/>
      <c r="K1378" s="60"/>
      <c r="L1378" s="60"/>
      <c r="M1378" s="60"/>
      <c r="N1378" s="60"/>
      <c r="O1378" s="60"/>
      <c r="P1378" s="60"/>
      <c r="Q1378" s="60"/>
      <c r="R1378" s="60"/>
      <c r="S1378" s="60"/>
      <c r="T1378" s="60"/>
      <c r="U1378" s="60"/>
      <c r="V1378" s="60"/>
      <c r="W1378" s="60"/>
      <c r="X1378" s="60"/>
      <c r="Y1378" s="60"/>
      <c r="Z1378" s="60"/>
    </row>
    <row r="1379" spans="1:26" ht="30" hidden="1" customHeight="1">
      <c r="A1379" s="98" t="s">
        <v>2750</v>
      </c>
      <c r="B1379" s="68" t="s">
        <v>2751</v>
      </c>
      <c r="C1379" s="99"/>
      <c r="D1379" s="96"/>
      <c r="E1379" s="53"/>
      <c r="F1379" s="53">
        <v>581600137.83000004</v>
      </c>
      <c r="G1379" s="96"/>
      <c r="H1379" s="96">
        <f t="shared" si="479"/>
        <v>581600137.83000004</v>
      </c>
      <c r="I1379" s="60"/>
      <c r="J1379" s="60"/>
      <c r="K1379" s="60"/>
      <c r="L1379" s="60"/>
      <c r="M1379" s="60"/>
      <c r="N1379" s="60"/>
      <c r="O1379" s="60"/>
      <c r="P1379" s="60"/>
      <c r="Q1379" s="60"/>
      <c r="R1379" s="60"/>
      <c r="S1379" s="60"/>
      <c r="T1379" s="60"/>
      <c r="U1379" s="60"/>
      <c r="V1379" s="60"/>
      <c r="W1379" s="60"/>
      <c r="X1379" s="60"/>
      <c r="Y1379" s="60"/>
      <c r="Z1379" s="60"/>
    </row>
    <row r="1380" spans="1:26" ht="30" hidden="1" customHeight="1">
      <c r="A1380" s="95" t="s">
        <v>2752</v>
      </c>
      <c r="B1380" s="68" t="s">
        <v>2753</v>
      </c>
      <c r="C1380" s="99"/>
      <c r="D1380" s="96"/>
      <c r="E1380" s="53"/>
      <c r="F1380" s="53"/>
      <c r="G1380" s="96"/>
      <c r="H1380" s="96">
        <f t="shared" si="479"/>
        <v>0</v>
      </c>
      <c r="I1380" s="60"/>
      <c r="J1380" s="60"/>
      <c r="K1380" s="60"/>
      <c r="L1380" s="60"/>
      <c r="M1380" s="60"/>
      <c r="N1380" s="60"/>
      <c r="O1380" s="60"/>
      <c r="P1380" s="60"/>
      <c r="Q1380" s="60"/>
      <c r="R1380" s="60"/>
      <c r="S1380" s="60"/>
      <c r="T1380" s="60"/>
      <c r="U1380" s="60"/>
      <c r="V1380" s="60"/>
      <c r="W1380" s="60"/>
      <c r="X1380" s="60"/>
      <c r="Y1380" s="60"/>
      <c r="Z1380" s="60"/>
    </row>
    <row r="1381" spans="1:26" ht="30" hidden="1" customHeight="1">
      <c r="A1381" s="92" t="s">
        <v>2754</v>
      </c>
      <c r="B1381" s="102" t="s">
        <v>2755</v>
      </c>
      <c r="C1381" s="94"/>
      <c r="D1381" s="94"/>
      <c r="E1381" s="39">
        <f t="shared" ref="E1381:F1381" si="480">SUM(E1382:E1387)</f>
        <v>0</v>
      </c>
      <c r="F1381" s="39">
        <f t="shared" si="480"/>
        <v>0</v>
      </c>
      <c r="G1381" s="40"/>
      <c r="H1381" s="39">
        <f>SUM(H1382:H1387)</f>
        <v>0</v>
      </c>
      <c r="I1381" s="60"/>
      <c r="J1381" s="60"/>
      <c r="K1381" s="60"/>
      <c r="L1381" s="60"/>
      <c r="M1381" s="60"/>
      <c r="N1381" s="60"/>
      <c r="O1381" s="60"/>
      <c r="P1381" s="60"/>
      <c r="Q1381" s="60"/>
      <c r="R1381" s="60"/>
      <c r="S1381" s="60"/>
      <c r="T1381" s="60"/>
      <c r="U1381" s="60"/>
      <c r="V1381" s="60"/>
      <c r="W1381" s="60"/>
      <c r="X1381" s="60"/>
      <c r="Y1381" s="60"/>
      <c r="Z1381" s="60"/>
    </row>
    <row r="1382" spans="1:26" ht="30" hidden="1" customHeight="1">
      <c r="A1382" s="95" t="s">
        <v>2756</v>
      </c>
      <c r="B1382" s="55" t="s">
        <v>2757</v>
      </c>
      <c r="C1382" s="96"/>
      <c r="D1382" s="96"/>
      <c r="E1382" s="96"/>
      <c r="F1382" s="96"/>
      <c r="G1382" s="96"/>
      <c r="H1382" s="96">
        <f t="shared" ref="H1382:H1387" si="481">ROUND(F1382-E1382,2)</f>
        <v>0</v>
      </c>
      <c r="I1382" s="60"/>
      <c r="J1382" s="60"/>
      <c r="K1382" s="60"/>
      <c r="L1382" s="60"/>
      <c r="M1382" s="60"/>
      <c r="N1382" s="60"/>
      <c r="O1382" s="60"/>
      <c r="P1382" s="60"/>
      <c r="Q1382" s="60"/>
      <c r="R1382" s="60"/>
      <c r="S1382" s="60"/>
      <c r="T1382" s="60"/>
      <c r="U1382" s="60"/>
      <c r="V1382" s="60"/>
      <c r="W1382" s="60"/>
      <c r="X1382" s="60"/>
      <c r="Y1382" s="60"/>
      <c r="Z1382" s="60"/>
    </row>
    <row r="1383" spans="1:26" ht="30" hidden="1" customHeight="1">
      <c r="A1383" s="95" t="s">
        <v>2758</v>
      </c>
      <c r="B1383" s="55" t="s">
        <v>2759</v>
      </c>
      <c r="C1383" s="96"/>
      <c r="D1383" s="96"/>
      <c r="E1383" s="96"/>
      <c r="F1383" s="96"/>
      <c r="G1383" s="96"/>
      <c r="H1383" s="96">
        <f t="shared" si="481"/>
        <v>0</v>
      </c>
      <c r="I1383" s="60"/>
      <c r="J1383" s="60"/>
      <c r="K1383" s="60"/>
      <c r="L1383" s="60"/>
      <c r="M1383" s="60"/>
      <c r="N1383" s="60"/>
      <c r="O1383" s="60"/>
      <c r="P1383" s="60"/>
      <c r="Q1383" s="60"/>
      <c r="R1383" s="60"/>
      <c r="S1383" s="60"/>
      <c r="T1383" s="60"/>
      <c r="U1383" s="60"/>
      <c r="V1383" s="60"/>
      <c r="W1383" s="60"/>
      <c r="X1383" s="60"/>
      <c r="Y1383" s="60"/>
      <c r="Z1383" s="60"/>
    </row>
    <row r="1384" spans="1:26" ht="30" hidden="1" customHeight="1">
      <c r="A1384" s="95" t="s">
        <v>2760</v>
      </c>
      <c r="B1384" s="55" t="s">
        <v>2761</v>
      </c>
      <c r="C1384" s="96"/>
      <c r="D1384" s="96"/>
      <c r="E1384" s="96"/>
      <c r="F1384" s="96"/>
      <c r="G1384" s="96"/>
      <c r="H1384" s="96">
        <f t="shared" si="481"/>
        <v>0</v>
      </c>
      <c r="I1384" s="60"/>
      <c r="J1384" s="60"/>
      <c r="K1384" s="60"/>
      <c r="L1384" s="60"/>
      <c r="M1384" s="60"/>
      <c r="N1384" s="60"/>
      <c r="O1384" s="60"/>
      <c r="P1384" s="60"/>
      <c r="Q1384" s="60"/>
      <c r="R1384" s="60"/>
      <c r="S1384" s="60"/>
      <c r="T1384" s="60"/>
      <c r="U1384" s="60"/>
      <c r="V1384" s="60"/>
      <c r="W1384" s="60"/>
      <c r="X1384" s="60"/>
      <c r="Y1384" s="60"/>
      <c r="Z1384" s="60"/>
    </row>
    <row r="1385" spans="1:26" ht="30" hidden="1" customHeight="1">
      <c r="A1385" s="95" t="s">
        <v>2762</v>
      </c>
      <c r="B1385" s="55" t="s">
        <v>2763</v>
      </c>
      <c r="C1385" s="96"/>
      <c r="D1385" s="96"/>
      <c r="E1385" s="96"/>
      <c r="F1385" s="96"/>
      <c r="G1385" s="96"/>
      <c r="H1385" s="96">
        <f t="shared" si="481"/>
        <v>0</v>
      </c>
      <c r="I1385" s="60"/>
      <c r="J1385" s="60"/>
      <c r="K1385" s="60"/>
      <c r="L1385" s="60"/>
      <c r="M1385" s="60"/>
      <c r="N1385" s="60"/>
      <c r="O1385" s="60"/>
      <c r="P1385" s="60"/>
      <c r="Q1385" s="60"/>
      <c r="R1385" s="60"/>
      <c r="S1385" s="60"/>
      <c r="T1385" s="60"/>
      <c r="U1385" s="60"/>
      <c r="V1385" s="60"/>
      <c r="W1385" s="60"/>
      <c r="X1385" s="60"/>
      <c r="Y1385" s="60"/>
      <c r="Z1385" s="60"/>
    </row>
    <row r="1386" spans="1:26" ht="30" hidden="1" customHeight="1">
      <c r="A1386" s="95" t="s">
        <v>2764</v>
      </c>
      <c r="B1386" s="55" t="s">
        <v>2765</v>
      </c>
      <c r="C1386" s="96"/>
      <c r="D1386" s="96"/>
      <c r="E1386" s="53"/>
      <c r="F1386" s="53"/>
      <c r="G1386" s="96"/>
      <c r="H1386" s="96">
        <f t="shared" si="481"/>
        <v>0</v>
      </c>
      <c r="I1386" s="60"/>
      <c r="J1386" s="60"/>
      <c r="K1386" s="60"/>
      <c r="L1386" s="60"/>
      <c r="M1386" s="60"/>
      <c r="N1386" s="60"/>
      <c r="O1386" s="60"/>
      <c r="P1386" s="60"/>
      <c r="Q1386" s="60"/>
      <c r="R1386" s="60"/>
      <c r="S1386" s="60"/>
      <c r="T1386" s="60"/>
      <c r="U1386" s="60"/>
      <c r="V1386" s="60"/>
      <c r="W1386" s="60"/>
      <c r="X1386" s="60"/>
      <c r="Y1386" s="60"/>
      <c r="Z1386" s="60"/>
    </row>
    <row r="1387" spans="1:26" ht="30" hidden="1" customHeight="1">
      <c r="A1387" s="95" t="s">
        <v>2766</v>
      </c>
      <c r="B1387" s="55" t="s">
        <v>2767</v>
      </c>
      <c r="C1387" s="96"/>
      <c r="D1387" s="96"/>
      <c r="E1387" s="53"/>
      <c r="F1387" s="53"/>
      <c r="G1387" s="96"/>
      <c r="H1387" s="96">
        <f t="shared" si="481"/>
        <v>0</v>
      </c>
      <c r="I1387" s="60"/>
      <c r="J1387" s="60"/>
      <c r="K1387" s="60"/>
      <c r="L1387" s="60"/>
      <c r="M1387" s="60"/>
      <c r="N1387" s="60"/>
      <c r="O1387" s="60"/>
      <c r="P1387" s="60"/>
      <c r="Q1387" s="60"/>
      <c r="R1387" s="60"/>
      <c r="S1387" s="60"/>
      <c r="T1387" s="60"/>
      <c r="U1387" s="60"/>
      <c r="V1387" s="60"/>
      <c r="W1387" s="60"/>
      <c r="X1387" s="60"/>
      <c r="Y1387" s="60"/>
      <c r="Z1387" s="60"/>
    </row>
    <row r="1388" spans="1:26" ht="30" hidden="1" customHeight="1">
      <c r="A1388" s="44" t="s">
        <v>2768</v>
      </c>
      <c r="B1388" s="100" t="s">
        <v>2769</v>
      </c>
      <c r="C1388" s="39"/>
      <c r="D1388" s="39"/>
      <c r="E1388" s="39">
        <f t="shared" ref="E1388:F1388" si="482">SUM(E1389:E1402)</f>
        <v>0</v>
      </c>
      <c r="F1388" s="39">
        <f t="shared" si="482"/>
        <v>240544973.09</v>
      </c>
      <c r="G1388" s="40"/>
      <c r="H1388" s="39">
        <f>SUM(H1389:H1402)</f>
        <v>240544973.09</v>
      </c>
      <c r="I1388" s="60"/>
      <c r="J1388" s="60"/>
      <c r="K1388" s="60"/>
      <c r="L1388" s="60"/>
      <c r="M1388" s="60"/>
      <c r="N1388" s="60"/>
      <c r="O1388" s="60"/>
      <c r="P1388" s="60"/>
      <c r="Q1388" s="60"/>
      <c r="R1388" s="60"/>
      <c r="S1388" s="60"/>
      <c r="T1388" s="60"/>
      <c r="U1388" s="60"/>
      <c r="V1388" s="60"/>
      <c r="W1388" s="60"/>
      <c r="X1388" s="60"/>
      <c r="Y1388" s="60"/>
      <c r="Z1388" s="60"/>
    </row>
    <row r="1389" spans="1:26" ht="30" hidden="1" customHeight="1">
      <c r="A1389" s="57" t="s">
        <v>2770</v>
      </c>
      <c r="B1389" s="51" t="s">
        <v>2771</v>
      </c>
      <c r="C1389" s="58"/>
      <c r="D1389" s="52"/>
      <c r="E1389" s="53"/>
      <c r="F1389" s="53">
        <v>114059568.03</v>
      </c>
      <c r="G1389" s="96"/>
      <c r="H1389" s="96">
        <f t="shared" ref="H1389:H1402" si="483">ROUND(F1389-E1389,2)</f>
        <v>114059568.03</v>
      </c>
      <c r="I1389" s="60"/>
      <c r="J1389" s="60"/>
      <c r="K1389" s="60"/>
      <c r="L1389" s="60"/>
      <c r="M1389" s="60"/>
      <c r="N1389" s="60"/>
      <c r="O1389" s="60"/>
      <c r="P1389" s="60"/>
      <c r="Q1389" s="60"/>
      <c r="R1389" s="60"/>
      <c r="S1389" s="60"/>
      <c r="T1389" s="60"/>
      <c r="U1389" s="60"/>
      <c r="V1389" s="60"/>
      <c r="W1389" s="60"/>
      <c r="X1389" s="60"/>
      <c r="Y1389" s="60"/>
      <c r="Z1389" s="60"/>
    </row>
    <row r="1390" spans="1:26" ht="30" hidden="1" customHeight="1">
      <c r="A1390" s="50" t="s">
        <v>2772</v>
      </c>
      <c r="B1390" s="51" t="s">
        <v>2773</v>
      </c>
      <c r="C1390" s="58"/>
      <c r="D1390" s="52"/>
      <c r="E1390" s="53"/>
      <c r="F1390" s="53"/>
      <c r="G1390" s="96"/>
      <c r="H1390" s="96">
        <f t="shared" si="483"/>
        <v>0</v>
      </c>
      <c r="I1390" s="60"/>
      <c r="J1390" s="60"/>
      <c r="K1390" s="60"/>
      <c r="L1390" s="60"/>
      <c r="M1390" s="60"/>
      <c r="N1390" s="60"/>
      <c r="O1390" s="60"/>
      <c r="P1390" s="60"/>
      <c r="Q1390" s="60"/>
      <c r="R1390" s="60"/>
      <c r="S1390" s="60"/>
      <c r="T1390" s="60"/>
      <c r="U1390" s="60"/>
      <c r="V1390" s="60"/>
      <c r="W1390" s="60"/>
      <c r="X1390" s="60"/>
      <c r="Y1390" s="60"/>
      <c r="Z1390" s="60"/>
    </row>
    <row r="1391" spans="1:26" ht="30" hidden="1" customHeight="1">
      <c r="A1391" s="57" t="s">
        <v>2774</v>
      </c>
      <c r="B1391" s="51" t="s">
        <v>2775</v>
      </c>
      <c r="C1391" s="58"/>
      <c r="D1391" s="52"/>
      <c r="E1391" s="53"/>
      <c r="F1391" s="53">
        <v>123278405.06</v>
      </c>
      <c r="G1391" s="96"/>
      <c r="H1391" s="96">
        <f t="shared" si="483"/>
        <v>123278405.06</v>
      </c>
      <c r="I1391" s="60"/>
      <c r="J1391" s="60"/>
      <c r="K1391" s="60"/>
      <c r="L1391" s="60"/>
      <c r="M1391" s="60"/>
      <c r="N1391" s="60"/>
      <c r="O1391" s="60"/>
      <c r="P1391" s="60"/>
      <c r="Q1391" s="60"/>
      <c r="R1391" s="60"/>
      <c r="S1391" s="60"/>
      <c r="T1391" s="60"/>
      <c r="U1391" s="60"/>
      <c r="V1391" s="60"/>
      <c r="W1391" s="60"/>
      <c r="X1391" s="60"/>
      <c r="Y1391" s="60"/>
      <c r="Z1391" s="60"/>
    </row>
    <row r="1392" spans="1:26" ht="30" hidden="1" customHeight="1">
      <c r="A1392" s="50" t="s">
        <v>2776</v>
      </c>
      <c r="B1392" s="51" t="s">
        <v>2777</v>
      </c>
      <c r="C1392" s="58"/>
      <c r="D1392" s="52"/>
      <c r="E1392" s="53"/>
      <c r="F1392" s="53"/>
      <c r="G1392" s="96"/>
      <c r="H1392" s="96">
        <f t="shared" si="483"/>
        <v>0</v>
      </c>
      <c r="I1392" s="60"/>
      <c r="J1392" s="60"/>
      <c r="K1392" s="60"/>
      <c r="L1392" s="60"/>
      <c r="M1392" s="60"/>
      <c r="N1392" s="60"/>
      <c r="O1392" s="60"/>
      <c r="P1392" s="60"/>
      <c r="Q1392" s="60"/>
      <c r="R1392" s="60"/>
      <c r="S1392" s="60"/>
      <c r="T1392" s="60"/>
      <c r="U1392" s="60"/>
      <c r="V1392" s="60"/>
      <c r="W1392" s="60"/>
      <c r="X1392" s="60"/>
      <c r="Y1392" s="60"/>
      <c r="Z1392" s="60"/>
    </row>
    <row r="1393" spans="1:26" ht="30" hidden="1" customHeight="1">
      <c r="A1393" s="57" t="s">
        <v>2778</v>
      </c>
      <c r="B1393" s="51" t="s">
        <v>2779</v>
      </c>
      <c r="C1393" s="58"/>
      <c r="D1393" s="52"/>
      <c r="E1393" s="53"/>
      <c r="F1393" s="53"/>
      <c r="G1393" s="96"/>
      <c r="H1393" s="96">
        <f t="shared" si="483"/>
        <v>0</v>
      </c>
      <c r="I1393" s="60"/>
      <c r="J1393" s="60"/>
      <c r="K1393" s="60"/>
      <c r="L1393" s="60"/>
      <c r="M1393" s="60"/>
      <c r="N1393" s="60"/>
      <c r="O1393" s="60"/>
      <c r="P1393" s="60"/>
      <c r="Q1393" s="60"/>
      <c r="R1393" s="60"/>
      <c r="S1393" s="60"/>
      <c r="T1393" s="60"/>
      <c r="U1393" s="60"/>
      <c r="V1393" s="60"/>
      <c r="W1393" s="60"/>
      <c r="X1393" s="60"/>
      <c r="Y1393" s="60"/>
      <c r="Z1393" s="60"/>
    </row>
    <row r="1394" spans="1:26" ht="30" hidden="1" customHeight="1">
      <c r="A1394" s="50" t="s">
        <v>2780</v>
      </c>
      <c r="B1394" s="51" t="s">
        <v>2781</v>
      </c>
      <c r="C1394" s="58"/>
      <c r="D1394" s="52"/>
      <c r="E1394" s="53"/>
      <c r="F1394" s="53"/>
      <c r="G1394" s="96"/>
      <c r="H1394" s="96">
        <f t="shared" si="483"/>
        <v>0</v>
      </c>
      <c r="I1394" s="60"/>
      <c r="J1394" s="60"/>
      <c r="K1394" s="60"/>
      <c r="L1394" s="60"/>
      <c r="M1394" s="60"/>
      <c r="N1394" s="60"/>
      <c r="O1394" s="60"/>
      <c r="P1394" s="60"/>
      <c r="Q1394" s="60"/>
      <c r="R1394" s="60"/>
      <c r="S1394" s="60"/>
      <c r="T1394" s="60"/>
      <c r="U1394" s="60"/>
      <c r="V1394" s="60"/>
      <c r="W1394" s="60"/>
      <c r="X1394" s="60"/>
      <c r="Y1394" s="60"/>
      <c r="Z1394" s="60"/>
    </row>
    <row r="1395" spans="1:26" ht="30" hidden="1" customHeight="1">
      <c r="A1395" s="57" t="s">
        <v>2782</v>
      </c>
      <c r="B1395" s="51" t="s">
        <v>2783</v>
      </c>
      <c r="C1395" s="58"/>
      <c r="D1395" s="52"/>
      <c r="E1395" s="53"/>
      <c r="F1395" s="53">
        <v>3207000</v>
      </c>
      <c r="G1395" s="96"/>
      <c r="H1395" s="96">
        <f t="shared" si="483"/>
        <v>3207000</v>
      </c>
      <c r="I1395" s="60"/>
      <c r="J1395" s="60"/>
      <c r="K1395" s="60"/>
      <c r="L1395" s="60"/>
      <c r="M1395" s="60"/>
      <c r="N1395" s="60"/>
      <c r="O1395" s="60"/>
      <c r="P1395" s="60"/>
      <c r="Q1395" s="60"/>
      <c r="R1395" s="60"/>
      <c r="S1395" s="60"/>
      <c r="T1395" s="60"/>
      <c r="U1395" s="60"/>
      <c r="V1395" s="60"/>
      <c r="W1395" s="60"/>
      <c r="X1395" s="60"/>
      <c r="Y1395" s="60"/>
      <c r="Z1395" s="60"/>
    </row>
    <row r="1396" spans="1:26" ht="30" hidden="1" customHeight="1">
      <c r="A1396" s="50" t="s">
        <v>2784</v>
      </c>
      <c r="B1396" s="51" t="s">
        <v>2785</v>
      </c>
      <c r="C1396" s="58"/>
      <c r="D1396" s="52"/>
      <c r="E1396" s="53"/>
      <c r="F1396" s="53"/>
      <c r="G1396" s="96"/>
      <c r="H1396" s="96">
        <f t="shared" si="483"/>
        <v>0</v>
      </c>
      <c r="I1396" s="60"/>
      <c r="J1396" s="60"/>
      <c r="K1396" s="60"/>
      <c r="L1396" s="60"/>
      <c r="M1396" s="60"/>
      <c r="N1396" s="60"/>
      <c r="O1396" s="60"/>
      <c r="P1396" s="60"/>
      <c r="Q1396" s="60"/>
      <c r="R1396" s="60"/>
      <c r="S1396" s="60"/>
      <c r="T1396" s="60"/>
      <c r="U1396" s="60"/>
      <c r="V1396" s="60"/>
      <c r="W1396" s="60"/>
      <c r="X1396" s="60"/>
      <c r="Y1396" s="60"/>
      <c r="Z1396" s="60"/>
    </row>
    <row r="1397" spans="1:26" ht="30" hidden="1" customHeight="1">
      <c r="A1397" s="57" t="s">
        <v>2786</v>
      </c>
      <c r="B1397" s="51" t="s">
        <v>2787</v>
      </c>
      <c r="C1397" s="58"/>
      <c r="D1397" s="52"/>
      <c r="E1397" s="53"/>
      <c r="F1397" s="53"/>
      <c r="G1397" s="96"/>
      <c r="H1397" s="96">
        <f t="shared" si="483"/>
        <v>0</v>
      </c>
      <c r="I1397" s="60"/>
      <c r="J1397" s="60"/>
      <c r="K1397" s="60"/>
      <c r="L1397" s="60"/>
      <c r="M1397" s="60"/>
      <c r="N1397" s="60"/>
      <c r="O1397" s="60"/>
      <c r="P1397" s="60"/>
      <c r="Q1397" s="60"/>
      <c r="R1397" s="60"/>
      <c r="S1397" s="60"/>
      <c r="T1397" s="60"/>
      <c r="U1397" s="60"/>
      <c r="V1397" s="60"/>
      <c r="W1397" s="60"/>
      <c r="X1397" s="60"/>
      <c r="Y1397" s="60"/>
      <c r="Z1397" s="60"/>
    </row>
    <row r="1398" spans="1:26" ht="30" hidden="1" customHeight="1">
      <c r="A1398" s="50" t="s">
        <v>2788</v>
      </c>
      <c r="B1398" s="51" t="s">
        <v>2789</v>
      </c>
      <c r="C1398" s="58"/>
      <c r="D1398" s="52"/>
      <c r="E1398" s="53"/>
      <c r="F1398" s="53"/>
      <c r="G1398" s="96"/>
      <c r="H1398" s="96">
        <f t="shared" si="483"/>
        <v>0</v>
      </c>
      <c r="I1398" s="60"/>
      <c r="J1398" s="60"/>
      <c r="K1398" s="60"/>
      <c r="L1398" s="60"/>
      <c r="M1398" s="60"/>
      <c r="N1398" s="60"/>
      <c r="O1398" s="60"/>
      <c r="P1398" s="60"/>
      <c r="Q1398" s="60"/>
      <c r="R1398" s="60"/>
      <c r="S1398" s="60"/>
      <c r="T1398" s="60"/>
      <c r="U1398" s="60"/>
      <c r="V1398" s="60"/>
      <c r="W1398" s="60"/>
      <c r="X1398" s="60"/>
      <c r="Y1398" s="60"/>
      <c r="Z1398" s="60"/>
    </row>
    <row r="1399" spans="1:26" ht="30" hidden="1" customHeight="1">
      <c r="A1399" s="57" t="s">
        <v>2790</v>
      </c>
      <c r="B1399" s="51" t="s">
        <v>2791</v>
      </c>
      <c r="C1399" s="58"/>
      <c r="D1399" s="52"/>
      <c r="E1399" s="53"/>
      <c r="F1399" s="53"/>
      <c r="G1399" s="96"/>
      <c r="H1399" s="96">
        <f t="shared" si="483"/>
        <v>0</v>
      </c>
      <c r="I1399" s="60"/>
      <c r="J1399" s="60"/>
      <c r="K1399" s="60"/>
      <c r="L1399" s="60"/>
      <c r="M1399" s="60"/>
      <c r="N1399" s="60"/>
      <c r="O1399" s="60"/>
      <c r="P1399" s="60"/>
      <c r="Q1399" s="60"/>
      <c r="R1399" s="60"/>
      <c r="S1399" s="60"/>
      <c r="T1399" s="60"/>
      <c r="U1399" s="60"/>
      <c r="V1399" s="60"/>
      <c r="W1399" s="60"/>
      <c r="X1399" s="60"/>
      <c r="Y1399" s="60"/>
      <c r="Z1399" s="60"/>
    </row>
    <row r="1400" spans="1:26" ht="30" hidden="1" customHeight="1">
      <c r="A1400" s="50" t="s">
        <v>2792</v>
      </c>
      <c r="B1400" s="51" t="s">
        <v>2793</v>
      </c>
      <c r="C1400" s="58"/>
      <c r="D1400" s="52"/>
      <c r="E1400" s="53"/>
      <c r="F1400" s="53"/>
      <c r="G1400" s="96"/>
      <c r="H1400" s="96">
        <f t="shared" si="483"/>
        <v>0</v>
      </c>
      <c r="I1400" s="60"/>
      <c r="J1400" s="60"/>
      <c r="K1400" s="60"/>
      <c r="L1400" s="60"/>
      <c r="M1400" s="60"/>
      <c r="N1400" s="60"/>
      <c r="O1400" s="60"/>
      <c r="P1400" s="60"/>
      <c r="Q1400" s="60"/>
      <c r="R1400" s="60"/>
      <c r="S1400" s="60"/>
      <c r="T1400" s="60"/>
      <c r="U1400" s="60"/>
      <c r="V1400" s="60"/>
      <c r="W1400" s="60"/>
      <c r="X1400" s="60"/>
      <c r="Y1400" s="60"/>
      <c r="Z1400" s="60"/>
    </row>
    <row r="1401" spans="1:26" ht="30" hidden="1" customHeight="1">
      <c r="A1401" s="57" t="s">
        <v>2794</v>
      </c>
      <c r="B1401" s="51" t="s">
        <v>2795</v>
      </c>
      <c r="C1401" s="58"/>
      <c r="D1401" s="52"/>
      <c r="E1401" s="53"/>
      <c r="F1401" s="53"/>
      <c r="G1401" s="96"/>
      <c r="H1401" s="96">
        <f t="shared" si="483"/>
        <v>0</v>
      </c>
      <c r="I1401" s="60"/>
      <c r="J1401" s="60"/>
      <c r="K1401" s="60"/>
      <c r="L1401" s="60"/>
      <c r="M1401" s="60"/>
      <c r="N1401" s="60"/>
      <c r="O1401" s="60"/>
      <c r="P1401" s="60"/>
      <c r="Q1401" s="60"/>
      <c r="R1401" s="60"/>
      <c r="S1401" s="60"/>
      <c r="T1401" s="60"/>
      <c r="U1401" s="60"/>
      <c r="V1401" s="60"/>
      <c r="W1401" s="60"/>
      <c r="X1401" s="60"/>
      <c r="Y1401" s="60"/>
      <c r="Z1401" s="60"/>
    </row>
    <row r="1402" spans="1:26" ht="30" hidden="1" customHeight="1">
      <c r="A1402" s="50" t="s">
        <v>2796</v>
      </c>
      <c r="B1402" s="51" t="s">
        <v>2797</v>
      </c>
      <c r="C1402" s="58"/>
      <c r="D1402" s="52"/>
      <c r="E1402" s="53"/>
      <c r="F1402" s="53"/>
      <c r="G1402" s="96"/>
      <c r="H1402" s="96">
        <f t="shared" si="483"/>
        <v>0</v>
      </c>
      <c r="I1402" s="60"/>
      <c r="J1402" s="60"/>
      <c r="K1402" s="60"/>
      <c r="L1402" s="60"/>
      <c r="M1402" s="60"/>
      <c r="N1402" s="60"/>
      <c r="O1402" s="60"/>
      <c r="P1402" s="60"/>
      <c r="Q1402" s="60"/>
      <c r="R1402" s="60"/>
      <c r="S1402" s="60"/>
      <c r="T1402" s="60"/>
      <c r="U1402" s="60"/>
      <c r="V1402" s="60"/>
      <c r="W1402" s="60"/>
      <c r="X1402" s="60"/>
      <c r="Y1402" s="60"/>
      <c r="Z1402" s="60"/>
    </row>
    <row r="1403" spans="1:26" ht="30" hidden="1" customHeight="1">
      <c r="A1403" s="73">
        <v>82200</v>
      </c>
      <c r="B1403" s="91" t="s">
        <v>2798</v>
      </c>
      <c r="C1403" s="80"/>
      <c r="D1403" s="34"/>
      <c r="E1403" s="34">
        <f t="shared" ref="E1403:F1403" si="484">E1404+E1419+E1438+E1457+E1476+E1495+E1502+E1517+E1524</f>
        <v>16504976101.939999</v>
      </c>
      <c r="F1403" s="34">
        <f t="shared" si="484"/>
        <v>10826392198.560001</v>
      </c>
      <c r="G1403" s="35">
        <f>E1403-F1403</f>
        <v>5678583903.3799973</v>
      </c>
      <c r="H1403" s="35"/>
      <c r="I1403" s="60"/>
      <c r="J1403" s="60"/>
      <c r="K1403" s="60"/>
      <c r="L1403" s="60"/>
      <c r="M1403" s="60"/>
      <c r="N1403" s="60"/>
      <c r="O1403" s="60"/>
      <c r="P1403" s="60"/>
      <c r="Q1403" s="60"/>
      <c r="R1403" s="60"/>
      <c r="S1403" s="60"/>
      <c r="T1403" s="60"/>
      <c r="U1403" s="60"/>
      <c r="V1403" s="60"/>
      <c r="W1403" s="60"/>
      <c r="X1403" s="60"/>
      <c r="Y1403" s="60"/>
      <c r="Z1403" s="60"/>
    </row>
    <row r="1404" spans="1:26" ht="30" hidden="1" customHeight="1">
      <c r="A1404" s="92" t="s">
        <v>2799</v>
      </c>
      <c r="B1404" s="100" t="s">
        <v>2529</v>
      </c>
      <c r="C1404" s="94"/>
      <c r="D1404" s="94"/>
      <c r="E1404" s="39">
        <f t="shared" ref="E1404:G1404" si="485">SUM(E1405:E1418)</f>
        <v>6691261632.7399998</v>
      </c>
      <c r="F1404" s="39">
        <f t="shared" si="485"/>
        <v>3364887617.6300001</v>
      </c>
      <c r="G1404" s="39">
        <f t="shared" si="485"/>
        <v>3326374015.1100006</v>
      </c>
      <c r="H1404" s="94"/>
      <c r="I1404" s="60"/>
      <c r="J1404" s="60"/>
      <c r="K1404" s="60"/>
      <c r="L1404" s="60"/>
      <c r="M1404" s="60"/>
      <c r="N1404" s="60"/>
      <c r="O1404" s="60"/>
      <c r="P1404" s="60"/>
      <c r="Q1404" s="60"/>
      <c r="R1404" s="60"/>
      <c r="S1404" s="60"/>
      <c r="T1404" s="60"/>
      <c r="U1404" s="60"/>
      <c r="V1404" s="60"/>
      <c r="W1404" s="60"/>
      <c r="X1404" s="60"/>
      <c r="Y1404" s="60"/>
      <c r="Z1404" s="60"/>
    </row>
    <row r="1405" spans="1:26" ht="30" hidden="1" customHeight="1">
      <c r="A1405" s="98" t="s">
        <v>2800</v>
      </c>
      <c r="B1405" s="68" t="s">
        <v>2801</v>
      </c>
      <c r="C1405" s="99"/>
      <c r="D1405" s="96"/>
      <c r="E1405" s="53">
        <v>3172311696.46</v>
      </c>
      <c r="F1405" s="53">
        <v>1549928783.49</v>
      </c>
      <c r="G1405" s="96">
        <f t="shared" ref="G1405:G1418" si="486">ROUND(E1405-F1405,2)</f>
        <v>1622382912.97</v>
      </c>
      <c r="H1405" s="96"/>
      <c r="I1405" s="60"/>
      <c r="J1405" s="60"/>
      <c r="K1405" s="60"/>
      <c r="L1405" s="60"/>
      <c r="M1405" s="60"/>
      <c r="N1405" s="60"/>
      <c r="O1405" s="60"/>
      <c r="P1405" s="60"/>
      <c r="Q1405" s="60"/>
      <c r="R1405" s="60"/>
      <c r="S1405" s="60"/>
      <c r="T1405" s="60"/>
      <c r="U1405" s="60"/>
      <c r="V1405" s="60"/>
      <c r="W1405" s="60"/>
      <c r="X1405" s="60"/>
      <c r="Y1405" s="60"/>
      <c r="Z1405" s="60"/>
    </row>
    <row r="1406" spans="1:26" ht="30" hidden="1" customHeight="1">
      <c r="A1406" s="95" t="s">
        <v>2802</v>
      </c>
      <c r="B1406" s="68" t="s">
        <v>2803</v>
      </c>
      <c r="C1406" s="99"/>
      <c r="D1406" s="96"/>
      <c r="E1406" s="53"/>
      <c r="F1406" s="53"/>
      <c r="G1406" s="96">
        <f t="shared" si="486"/>
        <v>0</v>
      </c>
      <c r="H1406" s="96"/>
      <c r="I1406" s="60"/>
      <c r="J1406" s="60"/>
      <c r="K1406" s="60"/>
      <c r="L1406" s="60"/>
      <c r="M1406" s="60"/>
      <c r="N1406" s="60"/>
      <c r="O1406" s="60"/>
      <c r="P1406" s="60"/>
      <c r="Q1406" s="60"/>
      <c r="R1406" s="60"/>
      <c r="S1406" s="60"/>
      <c r="T1406" s="60"/>
      <c r="U1406" s="60"/>
      <c r="V1406" s="60"/>
      <c r="W1406" s="60"/>
      <c r="X1406" s="60"/>
      <c r="Y1406" s="60"/>
      <c r="Z1406" s="60"/>
    </row>
    <row r="1407" spans="1:26" ht="30" hidden="1" customHeight="1">
      <c r="A1407" s="98" t="s">
        <v>2804</v>
      </c>
      <c r="B1407" s="68" t="s">
        <v>2805</v>
      </c>
      <c r="C1407" s="99"/>
      <c r="D1407" s="96"/>
      <c r="E1407" s="53">
        <v>606008736.07000005</v>
      </c>
      <c r="F1407" s="53">
        <v>245838623.30000001</v>
      </c>
      <c r="G1407" s="96">
        <f t="shared" si="486"/>
        <v>360170112.76999998</v>
      </c>
      <c r="H1407" s="96"/>
      <c r="I1407" s="60"/>
      <c r="J1407" s="60"/>
      <c r="K1407" s="60"/>
      <c r="L1407" s="60"/>
      <c r="M1407" s="60"/>
      <c r="N1407" s="60"/>
      <c r="O1407" s="60"/>
      <c r="P1407" s="60"/>
      <c r="Q1407" s="60"/>
      <c r="R1407" s="60"/>
      <c r="S1407" s="60"/>
      <c r="T1407" s="60"/>
      <c r="U1407" s="60"/>
      <c r="V1407" s="60"/>
      <c r="W1407" s="60"/>
      <c r="X1407" s="60"/>
      <c r="Y1407" s="60"/>
      <c r="Z1407" s="60"/>
    </row>
    <row r="1408" spans="1:26" ht="30" hidden="1" customHeight="1">
      <c r="A1408" s="95" t="s">
        <v>2806</v>
      </c>
      <c r="B1408" s="68" t="s">
        <v>2807</v>
      </c>
      <c r="C1408" s="99"/>
      <c r="D1408" s="96"/>
      <c r="E1408" s="53"/>
      <c r="F1408" s="53"/>
      <c r="G1408" s="96">
        <f t="shared" si="486"/>
        <v>0</v>
      </c>
      <c r="H1408" s="96"/>
      <c r="I1408" s="60"/>
      <c r="J1408" s="60"/>
      <c r="K1408" s="60"/>
      <c r="L1408" s="60"/>
      <c r="M1408" s="60"/>
      <c r="N1408" s="60"/>
      <c r="O1408" s="60"/>
      <c r="P1408" s="60"/>
      <c r="Q1408" s="60"/>
      <c r="R1408" s="60"/>
      <c r="S1408" s="60"/>
      <c r="T1408" s="60"/>
      <c r="U1408" s="60"/>
      <c r="V1408" s="60"/>
      <c r="W1408" s="60"/>
      <c r="X1408" s="60"/>
      <c r="Y1408" s="60"/>
      <c r="Z1408" s="60"/>
    </row>
    <row r="1409" spans="1:26" ht="30" hidden="1" customHeight="1">
      <c r="A1409" s="98" t="s">
        <v>2808</v>
      </c>
      <c r="B1409" s="68" t="s">
        <v>2809</v>
      </c>
      <c r="C1409" s="99"/>
      <c r="D1409" s="96"/>
      <c r="E1409" s="53">
        <v>663705766</v>
      </c>
      <c r="F1409" s="53">
        <v>136986730.91999999</v>
      </c>
      <c r="G1409" s="96">
        <f t="shared" si="486"/>
        <v>526719035.07999998</v>
      </c>
      <c r="H1409" s="96"/>
      <c r="I1409" s="60"/>
      <c r="J1409" s="60"/>
      <c r="K1409" s="60"/>
      <c r="L1409" s="60"/>
      <c r="M1409" s="60"/>
      <c r="N1409" s="60"/>
      <c r="O1409" s="60"/>
      <c r="P1409" s="60"/>
      <c r="Q1409" s="60"/>
      <c r="R1409" s="60"/>
      <c r="S1409" s="60"/>
      <c r="T1409" s="60"/>
      <c r="U1409" s="60"/>
      <c r="V1409" s="60"/>
      <c r="W1409" s="60"/>
      <c r="X1409" s="60"/>
      <c r="Y1409" s="60"/>
      <c r="Z1409" s="60"/>
    </row>
    <row r="1410" spans="1:26" ht="30" hidden="1" customHeight="1">
      <c r="A1410" s="95" t="s">
        <v>2810</v>
      </c>
      <c r="B1410" s="68" t="s">
        <v>2811</v>
      </c>
      <c r="C1410" s="99"/>
      <c r="D1410" s="96"/>
      <c r="E1410" s="53"/>
      <c r="F1410" s="53"/>
      <c r="G1410" s="96">
        <f t="shared" si="486"/>
        <v>0</v>
      </c>
      <c r="H1410" s="96"/>
      <c r="I1410" s="60"/>
      <c r="J1410" s="60"/>
      <c r="K1410" s="60"/>
      <c r="L1410" s="60"/>
      <c r="M1410" s="60"/>
      <c r="N1410" s="60"/>
      <c r="O1410" s="60"/>
      <c r="P1410" s="60"/>
      <c r="Q1410" s="60"/>
      <c r="R1410" s="60"/>
      <c r="S1410" s="60"/>
      <c r="T1410" s="60"/>
      <c r="U1410" s="60"/>
      <c r="V1410" s="60"/>
      <c r="W1410" s="60"/>
      <c r="X1410" s="60"/>
      <c r="Y1410" s="60"/>
      <c r="Z1410" s="60"/>
    </row>
    <row r="1411" spans="1:26" ht="30" hidden="1" customHeight="1">
      <c r="A1411" s="98" t="s">
        <v>2812</v>
      </c>
      <c r="B1411" s="68" t="s">
        <v>2813</v>
      </c>
      <c r="C1411" s="99"/>
      <c r="D1411" s="96"/>
      <c r="E1411" s="53">
        <v>1475008779.98</v>
      </c>
      <c r="F1411" s="53">
        <v>901421041.70000005</v>
      </c>
      <c r="G1411" s="96">
        <f t="shared" si="486"/>
        <v>573587738.27999997</v>
      </c>
      <c r="H1411" s="96"/>
      <c r="I1411" s="60"/>
      <c r="J1411" s="60"/>
      <c r="K1411" s="60"/>
      <c r="L1411" s="60"/>
      <c r="M1411" s="60"/>
      <c r="N1411" s="60"/>
      <c r="O1411" s="60"/>
      <c r="P1411" s="60"/>
      <c r="Q1411" s="60"/>
      <c r="R1411" s="60"/>
      <c r="S1411" s="60"/>
      <c r="T1411" s="60"/>
      <c r="U1411" s="60"/>
      <c r="V1411" s="60"/>
      <c r="W1411" s="60"/>
      <c r="X1411" s="60"/>
      <c r="Y1411" s="60"/>
      <c r="Z1411" s="60"/>
    </row>
    <row r="1412" spans="1:26" ht="30" hidden="1" customHeight="1">
      <c r="A1412" s="95" t="s">
        <v>2814</v>
      </c>
      <c r="B1412" s="68" t="s">
        <v>2815</v>
      </c>
      <c r="C1412" s="99"/>
      <c r="D1412" s="96"/>
      <c r="E1412" s="53"/>
      <c r="F1412" s="53"/>
      <c r="G1412" s="96">
        <f t="shared" si="486"/>
        <v>0</v>
      </c>
      <c r="H1412" s="96"/>
      <c r="I1412" s="60"/>
      <c r="J1412" s="60"/>
      <c r="K1412" s="60"/>
      <c r="L1412" s="60"/>
      <c r="M1412" s="60"/>
      <c r="N1412" s="60"/>
      <c r="O1412" s="60"/>
      <c r="P1412" s="60"/>
      <c r="Q1412" s="60"/>
      <c r="R1412" s="60"/>
      <c r="S1412" s="60"/>
      <c r="T1412" s="60"/>
      <c r="U1412" s="60"/>
      <c r="V1412" s="60"/>
      <c r="W1412" s="60"/>
      <c r="X1412" s="60"/>
      <c r="Y1412" s="60"/>
      <c r="Z1412" s="60"/>
    </row>
    <row r="1413" spans="1:26" ht="30" hidden="1" customHeight="1">
      <c r="A1413" s="98" t="s">
        <v>2816</v>
      </c>
      <c r="B1413" s="68" t="s">
        <v>2817</v>
      </c>
      <c r="C1413" s="99"/>
      <c r="D1413" s="96"/>
      <c r="E1413" s="53">
        <v>774226654.23000002</v>
      </c>
      <c r="F1413" s="53">
        <v>530712438.22000003</v>
      </c>
      <c r="G1413" s="96">
        <f t="shared" si="486"/>
        <v>243514216.00999999</v>
      </c>
      <c r="H1413" s="96"/>
      <c r="I1413" s="60"/>
      <c r="J1413" s="60"/>
      <c r="K1413" s="60"/>
      <c r="L1413" s="60"/>
      <c r="M1413" s="60"/>
      <c r="N1413" s="60"/>
      <c r="O1413" s="60"/>
      <c r="P1413" s="60"/>
      <c r="Q1413" s="60"/>
      <c r="R1413" s="60"/>
      <c r="S1413" s="60"/>
      <c r="T1413" s="60"/>
      <c r="U1413" s="60"/>
      <c r="V1413" s="60"/>
      <c r="W1413" s="60"/>
      <c r="X1413" s="60"/>
      <c r="Y1413" s="60"/>
      <c r="Z1413" s="60"/>
    </row>
    <row r="1414" spans="1:26" ht="30" hidden="1" customHeight="1">
      <c r="A1414" s="95" t="s">
        <v>2818</v>
      </c>
      <c r="B1414" s="68" t="s">
        <v>2819</v>
      </c>
      <c r="C1414" s="99"/>
      <c r="D1414" s="96"/>
      <c r="E1414" s="53"/>
      <c r="F1414" s="53"/>
      <c r="G1414" s="96">
        <f t="shared" si="486"/>
        <v>0</v>
      </c>
      <c r="H1414" s="96"/>
      <c r="I1414" s="60"/>
      <c r="J1414" s="60"/>
      <c r="K1414" s="60"/>
      <c r="L1414" s="60"/>
      <c r="M1414" s="60"/>
      <c r="N1414" s="60"/>
      <c r="O1414" s="60"/>
      <c r="P1414" s="60"/>
      <c r="Q1414" s="60"/>
      <c r="R1414" s="60"/>
      <c r="S1414" s="60"/>
      <c r="T1414" s="60"/>
      <c r="U1414" s="60"/>
      <c r="V1414" s="60"/>
      <c r="W1414" s="60"/>
      <c r="X1414" s="60"/>
      <c r="Y1414" s="60"/>
      <c r="Z1414" s="60"/>
    </row>
    <row r="1415" spans="1:26" ht="30" hidden="1" customHeight="1">
      <c r="A1415" s="98" t="s">
        <v>2820</v>
      </c>
      <c r="B1415" s="68" t="s">
        <v>2821</v>
      </c>
      <c r="C1415" s="99"/>
      <c r="D1415" s="96"/>
      <c r="E1415" s="53"/>
      <c r="F1415" s="53"/>
      <c r="G1415" s="96">
        <f t="shared" si="486"/>
        <v>0</v>
      </c>
      <c r="H1415" s="96"/>
      <c r="I1415" s="60"/>
      <c r="J1415" s="60"/>
      <c r="K1415" s="60"/>
      <c r="L1415" s="60"/>
      <c r="M1415" s="60"/>
      <c r="N1415" s="60"/>
      <c r="O1415" s="60"/>
      <c r="P1415" s="60"/>
      <c r="Q1415" s="60"/>
      <c r="R1415" s="60"/>
      <c r="S1415" s="60"/>
      <c r="T1415" s="60"/>
      <c r="U1415" s="60"/>
      <c r="V1415" s="60"/>
      <c r="W1415" s="60"/>
      <c r="X1415" s="60"/>
      <c r="Y1415" s="60"/>
      <c r="Z1415" s="60"/>
    </row>
    <row r="1416" spans="1:26" ht="30" hidden="1" customHeight="1">
      <c r="A1416" s="95" t="s">
        <v>2822</v>
      </c>
      <c r="B1416" s="68" t="s">
        <v>2823</v>
      </c>
      <c r="C1416" s="99"/>
      <c r="D1416" s="96"/>
      <c r="E1416" s="53"/>
      <c r="F1416" s="53"/>
      <c r="G1416" s="96">
        <f t="shared" si="486"/>
        <v>0</v>
      </c>
      <c r="H1416" s="96"/>
      <c r="I1416" s="60"/>
      <c r="J1416" s="60"/>
      <c r="K1416" s="60"/>
      <c r="L1416" s="60"/>
      <c r="M1416" s="60"/>
      <c r="N1416" s="60"/>
      <c r="O1416" s="60"/>
      <c r="P1416" s="60"/>
      <c r="Q1416" s="60"/>
      <c r="R1416" s="60"/>
      <c r="S1416" s="60"/>
      <c r="T1416" s="60"/>
      <c r="U1416" s="60"/>
      <c r="V1416" s="60"/>
      <c r="W1416" s="60"/>
      <c r="X1416" s="60"/>
      <c r="Y1416" s="60"/>
      <c r="Z1416" s="60"/>
    </row>
    <row r="1417" spans="1:26" ht="30" hidden="1" customHeight="1">
      <c r="A1417" s="98" t="s">
        <v>2824</v>
      </c>
      <c r="B1417" s="68" t="s">
        <v>2825</v>
      </c>
      <c r="C1417" s="99"/>
      <c r="D1417" s="96"/>
      <c r="E1417" s="53"/>
      <c r="F1417" s="53"/>
      <c r="G1417" s="96">
        <f t="shared" si="486"/>
        <v>0</v>
      </c>
      <c r="H1417" s="96"/>
      <c r="I1417" s="60"/>
      <c r="J1417" s="60"/>
      <c r="K1417" s="60"/>
      <c r="L1417" s="60"/>
      <c r="M1417" s="60"/>
      <c r="N1417" s="60"/>
      <c r="O1417" s="60"/>
      <c r="P1417" s="60"/>
      <c r="Q1417" s="60"/>
      <c r="R1417" s="60"/>
      <c r="S1417" s="60"/>
      <c r="T1417" s="60"/>
      <c r="U1417" s="60"/>
      <c r="V1417" s="60"/>
      <c r="W1417" s="60"/>
      <c r="X1417" s="60"/>
      <c r="Y1417" s="60"/>
      <c r="Z1417" s="60"/>
    </row>
    <row r="1418" spans="1:26" ht="30" hidden="1" customHeight="1">
      <c r="A1418" s="95" t="s">
        <v>2826</v>
      </c>
      <c r="B1418" s="68" t="s">
        <v>2827</v>
      </c>
      <c r="C1418" s="99"/>
      <c r="D1418" s="96"/>
      <c r="E1418" s="53"/>
      <c r="F1418" s="53"/>
      <c r="G1418" s="96">
        <f t="shared" si="486"/>
        <v>0</v>
      </c>
      <c r="H1418" s="96"/>
      <c r="I1418" s="60"/>
      <c r="J1418" s="60"/>
      <c r="K1418" s="60"/>
      <c r="L1418" s="60"/>
      <c r="M1418" s="60"/>
      <c r="N1418" s="60"/>
      <c r="O1418" s="60"/>
      <c r="P1418" s="60"/>
      <c r="Q1418" s="60"/>
      <c r="R1418" s="60"/>
      <c r="S1418" s="60"/>
      <c r="T1418" s="60"/>
      <c r="U1418" s="60"/>
      <c r="V1418" s="60"/>
      <c r="W1418" s="60"/>
      <c r="X1418" s="60"/>
      <c r="Y1418" s="60"/>
      <c r="Z1418" s="60"/>
    </row>
    <row r="1419" spans="1:26" ht="30" hidden="1" customHeight="1">
      <c r="A1419" s="92" t="s">
        <v>2828</v>
      </c>
      <c r="B1419" s="101" t="s">
        <v>2559</v>
      </c>
      <c r="C1419" s="94"/>
      <c r="D1419" s="94"/>
      <c r="E1419" s="39">
        <f t="shared" ref="E1419:G1419" si="487">SUM(E1420:E1437)</f>
        <v>933929071.77999997</v>
      </c>
      <c r="F1419" s="39">
        <f t="shared" si="487"/>
        <v>587474935.12000012</v>
      </c>
      <c r="G1419" s="39">
        <f t="shared" si="487"/>
        <v>346454136.65999991</v>
      </c>
      <c r="H1419" s="94"/>
      <c r="I1419" s="60"/>
      <c r="J1419" s="60"/>
      <c r="K1419" s="60"/>
      <c r="L1419" s="60"/>
      <c r="M1419" s="60"/>
      <c r="N1419" s="60"/>
      <c r="O1419" s="60"/>
      <c r="P1419" s="60"/>
      <c r="Q1419" s="60"/>
      <c r="R1419" s="60"/>
      <c r="S1419" s="60"/>
      <c r="T1419" s="60"/>
      <c r="U1419" s="60"/>
      <c r="V1419" s="60"/>
      <c r="W1419" s="60"/>
      <c r="X1419" s="60"/>
      <c r="Y1419" s="60"/>
      <c r="Z1419" s="60"/>
    </row>
    <row r="1420" spans="1:26" ht="30" hidden="1" customHeight="1">
      <c r="A1420" s="98" t="s">
        <v>2829</v>
      </c>
      <c r="B1420" s="68" t="s">
        <v>2830</v>
      </c>
      <c r="C1420" s="99"/>
      <c r="D1420" s="96"/>
      <c r="E1420" s="53">
        <v>92975934.069999993</v>
      </c>
      <c r="F1420" s="53">
        <v>62550739.890000001</v>
      </c>
      <c r="G1420" s="96">
        <f t="shared" ref="G1420:G1437" si="488">ROUND(E1420-F1420,2)</f>
        <v>30425194.18</v>
      </c>
      <c r="H1420" s="96"/>
      <c r="I1420" s="60"/>
      <c r="J1420" s="60"/>
      <c r="K1420" s="60"/>
      <c r="L1420" s="60"/>
      <c r="M1420" s="60"/>
      <c r="N1420" s="60"/>
      <c r="O1420" s="60"/>
      <c r="P1420" s="60"/>
      <c r="Q1420" s="60"/>
      <c r="R1420" s="60"/>
      <c r="S1420" s="60"/>
      <c r="T1420" s="60"/>
      <c r="U1420" s="60"/>
      <c r="V1420" s="60"/>
      <c r="W1420" s="60"/>
      <c r="X1420" s="60"/>
      <c r="Y1420" s="60"/>
      <c r="Z1420" s="60"/>
    </row>
    <row r="1421" spans="1:26" ht="30" hidden="1" customHeight="1">
      <c r="A1421" s="95" t="s">
        <v>2831</v>
      </c>
      <c r="B1421" s="68" t="s">
        <v>2832</v>
      </c>
      <c r="C1421" s="99"/>
      <c r="D1421" s="96"/>
      <c r="E1421" s="53"/>
      <c r="F1421" s="53"/>
      <c r="G1421" s="96">
        <f t="shared" si="488"/>
        <v>0</v>
      </c>
      <c r="H1421" s="96"/>
      <c r="I1421" s="60"/>
      <c r="J1421" s="60"/>
      <c r="K1421" s="60"/>
      <c r="L1421" s="60"/>
      <c r="M1421" s="60"/>
      <c r="N1421" s="60"/>
      <c r="O1421" s="60"/>
      <c r="P1421" s="60"/>
      <c r="Q1421" s="60"/>
      <c r="R1421" s="60"/>
      <c r="S1421" s="60"/>
      <c r="T1421" s="60"/>
      <c r="U1421" s="60"/>
      <c r="V1421" s="60"/>
      <c r="W1421" s="60"/>
      <c r="X1421" s="60"/>
      <c r="Y1421" s="60"/>
      <c r="Z1421" s="60"/>
    </row>
    <row r="1422" spans="1:26" ht="30" hidden="1" customHeight="1">
      <c r="A1422" s="98" t="s">
        <v>2833</v>
      </c>
      <c r="B1422" s="68" t="s">
        <v>2834</v>
      </c>
      <c r="C1422" s="99"/>
      <c r="D1422" s="96"/>
      <c r="E1422" s="53">
        <v>22251289.739999998</v>
      </c>
      <c r="F1422" s="53">
        <v>15848565.029999999</v>
      </c>
      <c r="G1422" s="96">
        <f t="shared" si="488"/>
        <v>6402724.71</v>
      </c>
      <c r="H1422" s="96"/>
      <c r="I1422" s="60"/>
      <c r="J1422" s="60"/>
      <c r="K1422" s="60"/>
      <c r="L1422" s="60"/>
      <c r="M1422" s="60"/>
      <c r="N1422" s="60"/>
      <c r="O1422" s="60"/>
      <c r="P1422" s="60"/>
      <c r="Q1422" s="60"/>
      <c r="R1422" s="60"/>
      <c r="S1422" s="60"/>
      <c r="T1422" s="60"/>
      <c r="U1422" s="60"/>
      <c r="V1422" s="60"/>
      <c r="W1422" s="60"/>
      <c r="X1422" s="60"/>
      <c r="Y1422" s="60"/>
      <c r="Z1422" s="60"/>
    </row>
    <row r="1423" spans="1:26" ht="30" hidden="1" customHeight="1">
      <c r="A1423" s="95" t="s">
        <v>2835</v>
      </c>
      <c r="B1423" s="68" t="s">
        <v>2836</v>
      </c>
      <c r="C1423" s="99"/>
      <c r="D1423" s="96"/>
      <c r="E1423" s="53"/>
      <c r="F1423" s="53"/>
      <c r="G1423" s="96">
        <f t="shared" si="488"/>
        <v>0</v>
      </c>
      <c r="H1423" s="96"/>
      <c r="I1423" s="60"/>
      <c r="J1423" s="60"/>
      <c r="K1423" s="60"/>
      <c r="L1423" s="60"/>
      <c r="M1423" s="60"/>
      <c r="N1423" s="60"/>
      <c r="O1423" s="60"/>
      <c r="P1423" s="60"/>
      <c r="Q1423" s="60"/>
      <c r="R1423" s="60"/>
      <c r="S1423" s="60"/>
      <c r="T1423" s="60"/>
      <c r="U1423" s="60"/>
      <c r="V1423" s="60"/>
      <c r="W1423" s="60"/>
      <c r="X1423" s="60"/>
      <c r="Y1423" s="60"/>
      <c r="Z1423" s="60"/>
    </row>
    <row r="1424" spans="1:26" ht="30" hidden="1" customHeight="1">
      <c r="A1424" s="98" t="s">
        <v>2837</v>
      </c>
      <c r="B1424" s="68" t="s">
        <v>2838</v>
      </c>
      <c r="C1424" s="99"/>
      <c r="D1424" s="96"/>
      <c r="E1424" s="53">
        <v>14076982.619999999</v>
      </c>
      <c r="F1424" s="53">
        <v>14009218.619999999</v>
      </c>
      <c r="G1424" s="96">
        <f t="shared" si="488"/>
        <v>67764</v>
      </c>
      <c r="H1424" s="96"/>
      <c r="I1424" s="60"/>
      <c r="J1424" s="60"/>
      <c r="K1424" s="60"/>
      <c r="L1424" s="60"/>
      <c r="M1424" s="60"/>
      <c r="N1424" s="60"/>
      <c r="O1424" s="60"/>
      <c r="P1424" s="60"/>
      <c r="Q1424" s="60"/>
      <c r="R1424" s="60"/>
      <c r="S1424" s="60"/>
      <c r="T1424" s="60"/>
      <c r="U1424" s="60"/>
      <c r="V1424" s="60"/>
      <c r="W1424" s="60"/>
      <c r="X1424" s="60"/>
      <c r="Y1424" s="60"/>
      <c r="Z1424" s="60"/>
    </row>
    <row r="1425" spans="1:26" ht="30" hidden="1" customHeight="1">
      <c r="A1425" s="95" t="s">
        <v>2839</v>
      </c>
      <c r="B1425" s="68" t="s">
        <v>2840</v>
      </c>
      <c r="C1425" s="99"/>
      <c r="D1425" s="96"/>
      <c r="E1425" s="96"/>
      <c r="F1425" s="96"/>
      <c r="G1425" s="96">
        <f t="shared" si="488"/>
        <v>0</v>
      </c>
      <c r="H1425" s="96"/>
      <c r="I1425" s="60"/>
      <c r="J1425" s="60"/>
      <c r="K1425" s="60"/>
      <c r="L1425" s="60"/>
      <c r="M1425" s="60"/>
      <c r="N1425" s="60"/>
      <c r="O1425" s="60"/>
      <c r="P1425" s="60"/>
      <c r="Q1425" s="60"/>
      <c r="R1425" s="60"/>
      <c r="S1425" s="60"/>
      <c r="T1425" s="60"/>
      <c r="U1425" s="60"/>
      <c r="V1425" s="60"/>
      <c r="W1425" s="60"/>
      <c r="X1425" s="60"/>
      <c r="Y1425" s="60"/>
      <c r="Z1425" s="60"/>
    </row>
    <row r="1426" spans="1:26" ht="30" hidden="1" customHeight="1">
      <c r="A1426" s="98" t="s">
        <v>2841</v>
      </c>
      <c r="B1426" s="68" t="s">
        <v>2842</v>
      </c>
      <c r="C1426" s="99"/>
      <c r="D1426" s="96"/>
      <c r="E1426" s="53">
        <v>138099040.19999999</v>
      </c>
      <c r="F1426" s="53">
        <v>82765676.269999996</v>
      </c>
      <c r="G1426" s="96">
        <f t="shared" si="488"/>
        <v>55333363.93</v>
      </c>
      <c r="H1426" s="96"/>
      <c r="I1426" s="60"/>
      <c r="J1426" s="60"/>
      <c r="K1426" s="60"/>
      <c r="L1426" s="60"/>
      <c r="M1426" s="60"/>
      <c r="N1426" s="60"/>
      <c r="O1426" s="60"/>
      <c r="P1426" s="60"/>
      <c r="Q1426" s="60"/>
      <c r="R1426" s="60"/>
      <c r="S1426" s="60"/>
      <c r="T1426" s="60"/>
      <c r="U1426" s="60"/>
      <c r="V1426" s="60"/>
      <c r="W1426" s="60"/>
      <c r="X1426" s="60"/>
      <c r="Y1426" s="60"/>
      <c r="Z1426" s="60"/>
    </row>
    <row r="1427" spans="1:26" ht="30" hidden="1" customHeight="1">
      <c r="A1427" s="95" t="s">
        <v>2843</v>
      </c>
      <c r="B1427" s="68" t="s">
        <v>2844</v>
      </c>
      <c r="C1427" s="99"/>
      <c r="D1427" s="96"/>
      <c r="E1427" s="53"/>
      <c r="F1427" s="53"/>
      <c r="G1427" s="96">
        <f t="shared" si="488"/>
        <v>0</v>
      </c>
      <c r="H1427" s="96"/>
      <c r="I1427" s="60"/>
      <c r="J1427" s="60"/>
      <c r="K1427" s="60"/>
      <c r="L1427" s="60"/>
      <c r="M1427" s="60"/>
      <c r="N1427" s="60"/>
      <c r="O1427" s="60"/>
      <c r="P1427" s="60"/>
      <c r="Q1427" s="60"/>
      <c r="R1427" s="60"/>
      <c r="S1427" s="60"/>
      <c r="T1427" s="60"/>
      <c r="U1427" s="60"/>
      <c r="V1427" s="60"/>
      <c r="W1427" s="60"/>
      <c r="X1427" s="60"/>
      <c r="Y1427" s="60"/>
      <c r="Z1427" s="60"/>
    </row>
    <row r="1428" spans="1:26" ht="30" hidden="1" customHeight="1">
      <c r="A1428" s="98" t="s">
        <v>2845</v>
      </c>
      <c r="B1428" s="68" t="s">
        <v>2846</v>
      </c>
      <c r="C1428" s="99"/>
      <c r="D1428" s="96"/>
      <c r="E1428" s="53">
        <v>70652951.939999998</v>
      </c>
      <c r="F1428" s="53">
        <v>23307057.239999998</v>
      </c>
      <c r="G1428" s="96">
        <f t="shared" si="488"/>
        <v>47345894.700000003</v>
      </c>
      <c r="H1428" s="96"/>
      <c r="I1428" s="60"/>
      <c r="J1428" s="60"/>
      <c r="K1428" s="60"/>
      <c r="L1428" s="60"/>
      <c r="M1428" s="60"/>
      <c r="N1428" s="60"/>
      <c r="O1428" s="60"/>
      <c r="P1428" s="60"/>
      <c r="Q1428" s="60"/>
      <c r="R1428" s="60"/>
      <c r="S1428" s="60"/>
      <c r="T1428" s="60"/>
      <c r="U1428" s="60"/>
      <c r="V1428" s="60"/>
      <c r="W1428" s="60"/>
      <c r="X1428" s="60"/>
      <c r="Y1428" s="60"/>
      <c r="Z1428" s="60"/>
    </row>
    <row r="1429" spans="1:26" ht="30" hidden="1" customHeight="1">
      <c r="A1429" s="95" t="s">
        <v>2847</v>
      </c>
      <c r="B1429" s="68" t="s">
        <v>2848</v>
      </c>
      <c r="C1429" s="99"/>
      <c r="D1429" s="96"/>
      <c r="E1429" s="53"/>
      <c r="F1429" s="53"/>
      <c r="G1429" s="96">
        <f t="shared" si="488"/>
        <v>0</v>
      </c>
      <c r="H1429" s="96"/>
      <c r="I1429" s="60"/>
      <c r="J1429" s="60"/>
      <c r="K1429" s="60"/>
      <c r="L1429" s="60"/>
      <c r="M1429" s="60"/>
      <c r="N1429" s="60"/>
      <c r="O1429" s="60"/>
      <c r="P1429" s="60"/>
      <c r="Q1429" s="60"/>
      <c r="R1429" s="60"/>
      <c r="S1429" s="60"/>
      <c r="T1429" s="60"/>
      <c r="U1429" s="60"/>
      <c r="V1429" s="60"/>
      <c r="W1429" s="60"/>
      <c r="X1429" s="60"/>
      <c r="Y1429" s="60"/>
      <c r="Z1429" s="60"/>
    </row>
    <row r="1430" spans="1:26" ht="30" hidden="1" customHeight="1">
      <c r="A1430" s="98" t="s">
        <v>2849</v>
      </c>
      <c r="B1430" s="68" t="s">
        <v>2850</v>
      </c>
      <c r="C1430" s="99"/>
      <c r="D1430" s="96"/>
      <c r="E1430" s="53">
        <v>442369349.63</v>
      </c>
      <c r="F1430" s="53">
        <v>379192981.62</v>
      </c>
      <c r="G1430" s="96">
        <f t="shared" si="488"/>
        <v>63176368.009999998</v>
      </c>
      <c r="H1430" s="96"/>
      <c r="I1430" s="60"/>
      <c r="J1430" s="60"/>
      <c r="K1430" s="60"/>
      <c r="L1430" s="60"/>
      <c r="M1430" s="60"/>
      <c r="N1430" s="60"/>
      <c r="O1430" s="60"/>
      <c r="P1430" s="60"/>
      <c r="Q1430" s="60"/>
      <c r="R1430" s="60"/>
      <c r="S1430" s="60"/>
      <c r="T1430" s="60"/>
      <c r="U1430" s="60"/>
      <c r="V1430" s="60"/>
      <c r="W1430" s="60"/>
      <c r="X1430" s="60"/>
      <c r="Y1430" s="60"/>
      <c r="Z1430" s="60"/>
    </row>
    <row r="1431" spans="1:26" ht="30" hidden="1" customHeight="1">
      <c r="A1431" s="95" t="s">
        <v>2851</v>
      </c>
      <c r="B1431" s="68" t="s">
        <v>2852</v>
      </c>
      <c r="C1431" s="99"/>
      <c r="D1431" s="96"/>
      <c r="E1431" s="53"/>
      <c r="F1431" s="53"/>
      <c r="G1431" s="96">
        <f t="shared" si="488"/>
        <v>0</v>
      </c>
      <c r="H1431" s="96"/>
      <c r="I1431" s="60"/>
      <c r="J1431" s="60"/>
      <c r="K1431" s="60"/>
      <c r="L1431" s="60"/>
      <c r="M1431" s="60"/>
      <c r="N1431" s="60"/>
      <c r="O1431" s="60"/>
      <c r="P1431" s="60"/>
      <c r="Q1431" s="60"/>
      <c r="R1431" s="60"/>
      <c r="S1431" s="60"/>
      <c r="T1431" s="60"/>
      <c r="U1431" s="60"/>
      <c r="V1431" s="60"/>
      <c r="W1431" s="60"/>
      <c r="X1431" s="60"/>
      <c r="Y1431" s="60"/>
      <c r="Z1431" s="60"/>
    </row>
    <row r="1432" spans="1:26" ht="30" hidden="1" customHeight="1">
      <c r="A1432" s="98" t="s">
        <v>2853</v>
      </c>
      <c r="B1432" s="68" t="s">
        <v>2854</v>
      </c>
      <c r="C1432" s="99"/>
      <c r="D1432" s="96"/>
      <c r="E1432" s="53">
        <v>111464277.3</v>
      </c>
      <c r="F1432" s="53">
        <v>4273244.41</v>
      </c>
      <c r="G1432" s="96">
        <f t="shared" si="488"/>
        <v>107191032.89</v>
      </c>
      <c r="H1432" s="96"/>
      <c r="I1432" s="60"/>
      <c r="J1432" s="60"/>
      <c r="K1432" s="60"/>
      <c r="L1432" s="60"/>
      <c r="M1432" s="60"/>
      <c r="N1432" s="60"/>
      <c r="O1432" s="60"/>
      <c r="P1432" s="60"/>
      <c r="Q1432" s="60"/>
      <c r="R1432" s="60"/>
      <c r="S1432" s="60"/>
      <c r="T1432" s="60"/>
      <c r="U1432" s="60"/>
      <c r="V1432" s="60"/>
      <c r="W1432" s="60"/>
      <c r="X1432" s="60"/>
      <c r="Y1432" s="60"/>
      <c r="Z1432" s="60"/>
    </row>
    <row r="1433" spans="1:26" ht="30" hidden="1" customHeight="1">
      <c r="A1433" s="95" t="s">
        <v>2855</v>
      </c>
      <c r="B1433" s="68" t="s">
        <v>2856</v>
      </c>
      <c r="C1433" s="99"/>
      <c r="D1433" s="96"/>
      <c r="E1433" s="53"/>
      <c r="F1433" s="53"/>
      <c r="G1433" s="96">
        <f t="shared" si="488"/>
        <v>0</v>
      </c>
      <c r="H1433" s="96"/>
      <c r="I1433" s="60"/>
      <c r="J1433" s="60"/>
      <c r="K1433" s="60"/>
      <c r="L1433" s="60"/>
      <c r="M1433" s="60"/>
      <c r="N1433" s="60"/>
      <c r="O1433" s="60"/>
      <c r="P1433" s="60"/>
      <c r="Q1433" s="60"/>
      <c r="R1433" s="60"/>
      <c r="S1433" s="60"/>
      <c r="T1433" s="60"/>
      <c r="U1433" s="60"/>
      <c r="V1433" s="60"/>
      <c r="W1433" s="60"/>
      <c r="X1433" s="60"/>
      <c r="Y1433" s="60"/>
      <c r="Z1433" s="60"/>
    </row>
    <row r="1434" spans="1:26" ht="30" hidden="1" customHeight="1">
      <c r="A1434" s="98" t="s">
        <v>2857</v>
      </c>
      <c r="B1434" s="68" t="s">
        <v>2858</v>
      </c>
      <c r="C1434" s="99"/>
      <c r="D1434" s="96"/>
      <c r="E1434" s="53">
        <v>3760000</v>
      </c>
      <c r="F1434" s="53">
        <v>3759858.22</v>
      </c>
      <c r="G1434" s="96">
        <f t="shared" si="488"/>
        <v>141.78</v>
      </c>
      <c r="H1434" s="96"/>
      <c r="I1434" s="60"/>
      <c r="J1434" s="60"/>
      <c r="K1434" s="60"/>
      <c r="L1434" s="60"/>
      <c r="M1434" s="60"/>
      <c r="N1434" s="60"/>
      <c r="O1434" s="60"/>
      <c r="P1434" s="60"/>
      <c r="Q1434" s="60"/>
      <c r="R1434" s="60"/>
      <c r="S1434" s="60"/>
      <c r="T1434" s="60"/>
      <c r="U1434" s="60"/>
      <c r="V1434" s="60"/>
      <c r="W1434" s="60"/>
      <c r="X1434" s="60"/>
      <c r="Y1434" s="60"/>
      <c r="Z1434" s="60"/>
    </row>
    <row r="1435" spans="1:26" ht="30" hidden="1" customHeight="1">
      <c r="A1435" s="95" t="s">
        <v>2859</v>
      </c>
      <c r="B1435" s="68" t="s">
        <v>2860</v>
      </c>
      <c r="C1435" s="99"/>
      <c r="D1435" s="96"/>
      <c r="E1435" s="53"/>
      <c r="F1435" s="53"/>
      <c r="G1435" s="96">
        <f t="shared" si="488"/>
        <v>0</v>
      </c>
      <c r="H1435" s="96"/>
      <c r="I1435" s="60"/>
      <c r="J1435" s="60"/>
      <c r="K1435" s="60"/>
      <c r="L1435" s="60"/>
      <c r="M1435" s="60"/>
      <c r="N1435" s="60"/>
      <c r="O1435" s="60"/>
      <c r="P1435" s="60"/>
      <c r="Q1435" s="60"/>
      <c r="R1435" s="60"/>
      <c r="S1435" s="60"/>
      <c r="T1435" s="60"/>
      <c r="U1435" s="60"/>
      <c r="V1435" s="60"/>
      <c r="W1435" s="60"/>
      <c r="X1435" s="60"/>
      <c r="Y1435" s="60"/>
      <c r="Z1435" s="60"/>
    </row>
    <row r="1436" spans="1:26" ht="30" hidden="1" customHeight="1">
      <c r="A1436" s="98" t="s">
        <v>2861</v>
      </c>
      <c r="B1436" s="68" t="s">
        <v>2862</v>
      </c>
      <c r="C1436" s="99"/>
      <c r="D1436" s="96"/>
      <c r="E1436" s="53">
        <v>38279246.280000001</v>
      </c>
      <c r="F1436" s="53">
        <v>1767593.82</v>
      </c>
      <c r="G1436" s="96">
        <f t="shared" si="488"/>
        <v>36511652.460000001</v>
      </c>
      <c r="H1436" s="96"/>
      <c r="I1436" s="60"/>
      <c r="J1436" s="60"/>
      <c r="K1436" s="60"/>
      <c r="L1436" s="60"/>
      <c r="M1436" s="60"/>
      <c r="N1436" s="60"/>
      <c r="O1436" s="60"/>
      <c r="P1436" s="60"/>
      <c r="Q1436" s="60"/>
      <c r="R1436" s="60"/>
      <c r="S1436" s="60"/>
      <c r="T1436" s="60"/>
      <c r="U1436" s="60"/>
      <c r="V1436" s="60"/>
      <c r="W1436" s="60"/>
      <c r="X1436" s="60"/>
      <c r="Y1436" s="60"/>
      <c r="Z1436" s="60"/>
    </row>
    <row r="1437" spans="1:26" ht="30" hidden="1" customHeight="1">
      <c r="A1437" s="95" t="s">
        <v>2863</v>
      </c>
      <c r="B1437" s="68" t="s">
        <v>2864</v>
      </c>
      <c r="C1437" s="99"/>
      <c r="D1437" s="96"/>
      <c r="E1437" s="53"/>
      <c r="F1437" s="53"/>
      <c r="G1437" s="96">
        <f t="shared" si="488"/>
        <v>0</v>
      </c>
      <c r="H1437" s="96"/>
      <c r="I1437" s="60"/>
      <c r="J1437" s="60"/>
      <c r="K1437" s="60"/>
      <c r="L1437" s="60"/>
      <c r="M1437" s="60"/>
      <c r="N1437" s="60"/>
      <c r="O1437" s="60"/>
      <c r="P1437" s="60"/>
      <c r="Q1437" s="60"/>
      <c r="R1437" s="60"/>
      <c r="S1437" s="60"/>
      <c r="T1437" s="60"/>
      <c r="U1437" s="60"/>
      <c r="V1437" s="60"/>
      <c r="W1437" s="60"/>
      <c r="X1437" s="60"/>
      <c r="Y1437" s="60"/>
      <c r="Z1437" s="60"/>
    </row>
    <row r="1438" spans="1:26" ht="30" hidden="1" customHeight="1">
      <c r="A1438" s="92" t="s">
        <v>2865</v>
      </c>
      <c r="B1438" s="101" t="s">
        <v>2597</v>
      </c>
      <c r="C1438" s="94"/>
      <c r="D1438" s="94"/>
      <c r="E1438" s="39">
        <f t="shared" ref="E1438:G1438" si="489">SUM(E1439:E1456)</f>
        <v>3733426837.1300001</v>
      </c>
      <c r="F1438" s="39">
        <f t="shared" si="489"/>
        <v>2862509036.1300001</v>
      </c>
      <c r="G1438" s="39">
        <f t="shared" si="489"/>
        <v>870917801</v>
      </c>
      <c r="H1438" s="94"/>
      <c r="I1438" s="60"/>
      <c r="J1438" s="60"/>
      <c r="K1438" s="60"/>
      <c r="L1438" s="60"/>
      <c r="M1438" s="60"/>
      <c r="N1438" s="60"/>
      <c r="O1438" s="60"/>
      <c r="P1438" s="60"/>
      <c r="Q1438" s="60"/>
      <c r="R1438" s="60"/>
      <c r="S1438" s="60"/>
      <c r="T1438" s="60"/>
      <c r="U1438" s="60"/>
      <c r="V1438" s="60"/>
      <c r="W1438" s="60"/>
      <c r="X1438" s="60"/>
      <c r="Y1438" s="60"/>
      <c r="Z1438" s="60"/>
    </row>
    <row r="1439" spans="1:26" ht="30" hidden="1" customHeight="1">
      <c r="A1439" s="98" t="s">
        <v>2866</v>
      </c>
      <c r="B1439" s="68" t="s">
        <v>2867</v>
      </c>
      <c r="C1439" s="99"/>
      <c r="D1439" s="96"/>
      <c r="E1439" s="53">
        <v>342408377.79000002</v>
      </c>
      <c r="F1439" s="53">
        <v>270772614.10000002</v>
      </c>
      <c r="G1439" s="96">
        <f t="shared" ref="G1439:G1456" si="490">ROUND(E1439-F1439,2)</f>
        <v>71635763.689999998</v>
      </c>
      <c r="H1439" s="96"/>
      <c r="I1439" s="60"/>
      <c r="J1439" s="60"/>
      <c r="K1439" s="60"/>
      <c r="L1439" s="60"/>
      <c r="M1439" s="60"/>
      <c r="N1439" s="60"/>
      <c r="O1439" s="60"/>
      <c r="P1439" s="60"/>
      <c r="Q1439" s="60"/>
      <c r="R1439" s="60"/>
      <c r="S1439" s="60"/>
      <c r="T1439" s="60"/>
      <c r="U1439" s="60"/>
      <c r="V1439" s="60"/>
      <c r="W1439" s="60"/>
      <c r="X1439" s="60"/>
      <c r="Y1439" s="60"/>
      <c r="Z1439" s="60"/>
    </row>
    <row r="1440" spans="1:26" ht="30" hidden="1" customHeight="1">
      <c r="A1440" s="95" t="s">
        <v>2868</v>
      </c>
      <c r="B1440" s="68" t="s">
        <v>2869</v>
      </c>
      <c r="C1440" s="99"/>
      <c r="D1440" s="96"/>
      <c r="E1440" s="53"/>
      <c r="F1440" s="53"/>
      <c r="G1440" s="96">
        <f t="shared" si="490"/>
        <v>0</v>
      </c>
      <c r="H1440" s="96"/>
      <c r="I1440" s="60"/>
      <c r="J1440" s="60"/>
      <c r="K1440" s="60"/>
      <c r="L1440" s="60"/>
      <c r="M1440" s="60"/>
      <c r="N1440" s="60"/>
      <c r="O1440" s="60"/>
      <c r="P1440" s="60"/>
      <c r="Q1440" s="60"/>
      <c r="R1440" s="60"/>
      <c r="S1440" s="60"/>
      <c r="T1440" s="60"/>
      <c r="U1440" s="60"/>
      <c r="V1440" s="60"/>
      <c r="W1440" s="60"/>
      <c r="X1440" s="60"/>
      <c r="Y1440" s="60"/>
      <c r="Z1440" s="60"/>
    </row>
    <row r="1441" spans="1:26" ht="30" hidden="1" customHeight="1">
      <c r="A1441" s="98" t="s">
        <v>2870</v>
      </c>
      <c r="B1441" s="68" t="s">
        <v>2871</v>
      </c>
      <c r="C1441" s="99"/>
      <c r="D1441" s="96"/>
      <c r="E1441" s="53">
        <v>237569306.24000001</v>
      </c>
      <c r="F1441" s="53">
        <v>145103939.61000001</v>
      </c>
      <c r="G1441" s="96">
        <f t="shared" si="490"/>
        <v>92465366.629999995</v>
      </c>
      <c r="H1441" s="96"/>
      <c r="I1441" s="60"/>
      <c r="J1441" s="60"/>
      <c r="K1441" s="60"/>
      <c r="L1441" s="60"/>
      <c r="M1441" s="60"/>
      <c r="N1441" s="60"/>
      <c r="O1441" s="60"/>
      <c r="P1441" s="60"/>
      <c r="Q1441" s="60"/>
      <c r="R1441" s="60"/>
      <c r="S1441" s="60"/>
      <c r="T1441" s="60"/>
      <c r="U1441" s="60"/>
      <c r="V1441" s="60"/>
      <c r="W1441" s="60"/>
      <c r="X1441" s="60"/>
      <c r="Y1441" s="60"/>
      <c r="Z1441" s="60"/>
    </row>
    <row r="1442" spans="1:26" ht="30" hidden="1" customHeight="1">
      <c r="A1442" s="95" t="s">
        <v>2872</v>
      </c>
      <c r="B1442" s="68" t="s">
        <v>2873</v>
      </c>
      <c r="C1442" s="99"/>
      <c r="D1442" s="96"/>
      <c r="E1442" s="53"/>
      <c r="F1442" s="53"/>
      <c r="G1442" s="96">
        <f t="shared" si="490"/>
        <v>0</v>
      </c>
      <c r="H1442" s="96"/>
      <c r="I1442" s="60"/>
      <c r="J1442" s="60"/>
      <c r="K1442" s="60"/>
      <c r="L1442" s="60"/>
      <c r="M1442" s="60"/>
      <c r="N1442" s="60"/>
      <c r="O1442" s="60"/>
      <c r="P1442" s="60"/>
      <c r="Q1442" s="60"/>
      <c r="R1442" s="60"/>
      <c r="S1442" s="60"/>
      <c r="T1442" s="60"/>
      <c r="U1442" s="60"/>
      <c r="V1442" s="60"/>
      <c r="W1442" s="60"/>
      <c r="X1442" s="60"/>
      <c r="Y1442" s="60"/>
      <c r="Z1442" s="60"/>
    </row>
    <row r="1443" spans="1:26" ht="30" hidden="1" customHeight="1">
      <c r="A1443" s="98" t="s">
        <v>2874</v>
      </c>
      <c r="B1443" s="68" t="s">
        <v>2875</v>
      </c>
      <c r="C1443" s="99"/>
      <c r="D1443" s="96"/>
      <c r="E1443" s="53">
        <v>117332491.8</v>
      </c>
      <c r="F1443" s="53">
        <v>61050376.670000002</v>
      </c>
      <c r="G1443" s="96">
        <f t="shared" si="490"/>
        <v>56282115.130000003</v>
      </c>
      <c r="H1443" s="96"/>
      <c r="I1443" s="60"/>
      <c r="J1443" s="60"/>
      <c r="K1443" s="60"/>
      <c r="L1443" s="60"/>
      <c r="M1443" s="60"/>
      <c r="N1443" s="60"/>
      <c r="O1443" s="60"/>
      <c r="P1443" s="60"/>
      <c r="Q1443" s="60"/>
      <c r="R1443" s="60"/>
      <c r="S1443" s="60"/>
      <c r="T1443" s="60"/>
      <c r="U1443" s="60"/>
      <c r="V1443" s="60"/>
      <c r="W1443" s="60"/>
      <c r="X1443" s="60"/>
      <c r="Y1443" s="60"/>
      <c r="Z1443" s="60"/>
    </row>
    <row r="1444" spans="1:26" ht="30" hidden="1" customHeight="1">
      <c r="A1444" s="95" t="s">
        <v>2876</v>
      </c>
      <c r="B1444" s="68" t="s">
        <v>2877</v>
      </c>
      <c r="C1444" s="99"/>
      <c r="D1444" s="96"/>
      <c r="E1444" s="53"/>
      <c r="F1444" s="53"/>
      <c r="G1444" s="96">
        <f t="shared" si="490"/>
        <v>0</v>
      </c>
      <c r="H1444" s="96"/>
      <c r="I1444" s="60"/>
      <c r="J1444" s="60"/>
      <c r="K1444" s="60"/>
      <c r="L1444" s="60"/>
      <c r="M1444" s="60"/>
      <c r="N1444" s="60"/>
      <c r="O1444" s="60"/>
      <c r="P1444" s="60"/>
      <c r="Q1444" s="60"/>
      <c r="R1444" s="60"/>
      <c r="S1444" s="60"/>
      <c r="T1444" s="60"/>
      <c r="U1444" s="60"/>
      <c r="V1444" s="60"/>
      <c r="W1444" s="60"/>
      <c r="X1444" s="60"/>
      <c r="Y1444" s="60"/>
      <c r="Z1444" s="60"/>
    </row>
    <row r="1445" spans="1:26" ht="30" hidden="1" customHeight="1">
      <c r="A1445" s="98" t="s">
        <v>2878</v>
      </c>
      <c r="B1445" s="68" t="s">
        <v>2879</v>
      </c>
      <c r="C1445" s="99"/>
      <c r="D1445" s="96"/>
      <c r="E1445" s="53">
        <v>272746479.67000002</v>
      </c>
      <c r="F1445" s="53">
        <v>177910077.88999999</v>
      </c>
      <c r="G1445" s="96">
        <f t="shared" si="490"/>
        <v>94836401.780000001</v>
      </c>
      <c r="H1445" s="96"/>
      <c r="I1445" s="60"/>
      <c r="J1445" s="60"/>
      <c r="K1445" s="60"/>
      <c r="L1445" s="60"/>
      <c r="M1445" s="60"/>
      <c r="N1445" s="60"/>
      <c r="O1445" s="60"/>
      <c r="P1445" s="60"/>
      <c r="Q1445" s="60"/>
      <c r="R1445" s="60"/>
      <c r="S1445" s="60"/>
      <c r="T1445" s="60"/>
      <c r="U1445" s="60"/>
      <c r="V1445" s="60"/>
      <c r="W1445" s="60"/>
      <c r="X1445" s="60"/>
      <c r="Y1445" s="60"/>
      <c r="Z1445" s="60"/>
    </row>
    <row r="1446" spans="1:26" ht="30" hidden="1" customHeight="1">
      <c r="A1446" s="95" t="s">
        <v>2880</v>
      </c>
      <c r="B1446" s="68" t="s">
        <v>2881</v>
      </c>
      <c r="C1446" s="99"/>
      <c r="D1446" s="96"/>
      <c r="E1446" s="53"/>
      <c r="F1446" s="53"/>
      <c r="G1446" s="96">
        <f t="shared" si="490"/>
        <v>0</v>
      </c>
      <c r="H1446" s="96"/>
      <c r="I1446" s="60"/>
      <c r="J1446" s="60"/>
      <c r="K1446" s="60"/>
      <c r="L1446" s="60"/>
      <c r="M1446" s="60"/>
      <c r="N1446" s="60"/>
      <c r="O1446" s="60"/>
      <c r="P1446" s="60"/>
      <c r="Q1446" s="60"/>
      <c r="R1446" s="60"/>
      <c r="S1446" s="60"/>
      <c r="T1446" s="60"/>
      <c r="U1446" s="60"/>
      <c r="V1446" s="60"/>
      <c r="W1446" s="60"/>
      <c r="X1446" s="60"/>
      <c r="Y1446" s="60"/>
      <c r="Z1446" s="60"/>
    </row>
    <row r="1447" spans="1:26" ht="30" hidden="1" customHeight="1">
      <c r="A1447" s="98" t="s">
        <v>2882</v>
      </c>
      <c r="B1447" s="68" t="s">
        <v>2883</v>
      </c>
      <c r="C1447" s="99"/>
      <c r="D1447" s="96"/>
      <c r="E1447" s="53">
        <v>1308775403.5999999</v>
      </c>
      <c r="F1447" s="53">
        <v>995821907.85000002</v>
      </c>
      <c r="G1447" s="96">
        <f t="shared" si="490"/>
        <v>312953495.75</v>
      </c>
      <c r="H1447" s="96"/>
      <c r="I1447" s="60"/>
      <c r="J1447" s="60"/>
      <c r="K1447" s="60"/>
      <c r="L1447" s="60"/>
      <c r="M1447" s="60"/>
      <c r="N1447" s="60"/>
      <c r="O1447" s="60"/>
      <c r="P1447" s="60"/>
      <c r="Q1447" s="60"/>
      <c r="R1447" s="60"/>
      <c r="S1447" s="60"/>
      <c r="T1447" s="60"/>
      <c r="U1447" s="60"/>
      <c r="V1447" s="60"/>
      <c r="W1447" s="60"/>
      <c r="X1447" s="60"/>
      <c r="Y1447" s="60"/>
      <c r="Z1447" s="60"/>
    </row>
    <row r="1448" spans="1:26" ht="30" hidden="1" customHeight="1">
      <c r="A1448" s="95" t="s">
        <v>2884</v>
      </c>
      <c r="B1448" s="68" t="s">
        <v>2885</v>
      </c>
      <c r="C1448" s="99"/>
      <c r="D1448" s="96"/>
      <c r="E1448" s="53"/>
      <c r="F1448" s="53"/>
      <c r="G1448" s="96">
        <f t="shared" si="490"/>
        <v>0</v>
      </c>
      <c r="H1448" s="96"/>
      <c r="I1448" s="60"/>
      <c r="J1448" s="60"/>
      <c r="K1448" s="60"/>
      <c r="L1448" s="60"/>
      <c r="M1448" s="60"/>
      <c r="N1448" s="60"/>
      <c r="O1448" s="60"/>
      <c r="P1448" s="60"/>
      <c r="Q1448" s="60"/>
      <c r="R1448" s="60"/>
      <c r="S1448" s="60"/>
      <c r="T1448" s="60"/>
      <c r="U1448" s="60"/>
      <c r="V1448" s="60"/>
      <c r="W1448" s="60"/>
      <c r="X1448" s="60"/>
      <c r="Y1448" s="60"/>
      <c r="Z1448" s="60"/>
    </row>
    <row r="1449" spans="1:26" ht="30" hidden="1" customHeight="1">
      <c r="A1449" s="98" t="s">
        <v>2886</v>
      </c>
      <c r="B1449" s="68" t="s">
        <v>2887</v>
      </c>
      <c r="C1449" s="99"/>
      <c r="D1449" s="96"/>
      <c r="E1449" s="53">
        <v>67399900</v>
      </c>
      <c r="F1449" s="53">
        <v>38700648.439999998</v>
      </c>
      <c r="G1449" s="96">
        <f t="shared" si="490"/>
        <v>28699251.559999999</v>
      </c>
      <c r="H1449" s="96"/>
      <c r="I1449" s="60"/>
      <c r="J1449" s="60"/>
      <c r="K1449" s="60"/>
      <c r="L1449" s="60"/>
      <c r="M1449" s="60"/>
      <c r="N1449" s="60"/>
      <c r="O1449" s="60"/>
      <c r="P1449" s="60"/>
      <c r="Q1449" s="60"/>
      <c r="R1449" s="60"/>
      <c r="S1449" s="60"/>
      <c r="T1449" s="60"/>
      <c r="U1449" s="60"/>
      <c r="V1449" s="60"/>
      <c r="W1449" s="60"/>
      <c r="X1449" s="60"/>
      <c r="Y1449" s="60"/>
      <c r="Z1449" s="60"/>
    </row>
    <row r="1450" spans="1:26" ht="30" hidden="1" customHeight="1">
      <c r="A1450" s="95" t="s">
        <v>2888</v>
      </c>
      <c r="B1450" s="68" t="s">
        <v>2889</v>
      </c>
      <c r="C1450" s="99"/>
      <c r="D1450" s="96"/>
      <c r="E1450" s="53"/>
      <c r="F1450" s="53"/>
      <c r="G1450" s="96">
        <f t="shared" si="490"/>
        <v>0</v>
      </c>
      <c r="H1450" s="96"/>
      <c r="I1450" s="60"/>
      <c r="J1450" s="60"/>
      <c r="K1450" s="60"/>
      <c r="L1450" s="60"/>
      <c r="M1450" s="60"/>
      <c r="N1450" s="60"/>
      <c r="O1450" s="60"/>
      <c r="P1450" s="60"/>
      <c r="Q1450" s="60"/>
      <c r="R1450" s="60"/>
      <c r="S1450" s="60"/>
      <c r="T1450" s="60"/>
      <c r="U1450" s="60"/>
      <c r="V1450" s="60"/>
      <c r="W1450" s="60"/>
      <c r="X1450" s="60"/>
      <c r="Y1450" s="60"/>
      <c r="Z1450" s="60"/>
    </row>
    <row r="1451" spans="1:26" ht="30" hidden="1" customHeight="1">
      <c r="A1451" s="98" t="s">
        <v>2890</v>
      </c>
      <c r="B1451" s="68" t="s">
        <v>2891</v>
      </c>
      <c r="C1451" s="99"/>
      <c r="D1451" s="96"/>
      <c r="E1451" s="53">
        <v>6868910.2599999998</v>
      </c>
      <c r="F1451" s="53">
        <v>1749733.22</v>
      </c>
      <c r="G1451" s="96">
        <f t="shared" si="490"/>
        <v>5119177.04</v>
      </c>
      <c r="H1451" s="96"/>
      <c r="I1451" s="60"/>
      <c r="J1451" s="60"/>
      <c r="K1451" s="60"/>
      <c r="L1451" s="60"/>
      <c r="M1451" s="60"/>
      <c r="N1451" s="60"/>
      <c r="O1451" s="60"/>
      <c r="P1451" s="60"/>
      <c r="Q1451" s="60"/>
      <c r="R1451" s="60"/>
      <c r="S1451" s="60"/>
      <c r="T1451" s="60"/>
      <c r="U1451" s="60"/>
      <c r="V1451" s="60"/>
      <c r="W1451" s="60"/>
      <c r="X1451" s="60"/>
      <c r="Y1451" s="60"/>
      <c r="Z1451" s="60"/>
    </row>
    <row r="1452" spans="1:26" ht="30" hidden="1" customHeight="1">
      <c r="A1452" s="95" t="s">
        <v>2892</v>
      </c>
      <c r="B1452" s="68" t="s">
        <v>2893</v>
      </c>
      <c r="C1452" s="99"/>
      <c r="D1452" s="96"/>
      <c r="E1452" s="53"/>
      <c r="F1452" s="53"/>
      <c r="G1452" s="96">
        <f t="shared" si="490"/>
        <v>0</v>
      </c>
      <c r="H1452" s="96"/>
      <c r="I1452" s="60"/>
      <c r="J1452" s="60"/>
      <c r="K1452" s="60"/>
      <c r="L1452" s="60"/>
      <c r="M1452" s="60"/>
      <c r="N1452" s="60"/>
      <c r="O1452" s="60"/>
      <c r="P1452" s="60"/>
      <c r="Q1452" s="60"/>
      <c r="R1452" s="60"/>
      <c r="S1452" s="60"/>
      <c r="T1452" s="60"/>
      <c r="U1452" s="60"/>
      <c r="V1452" s="60"/>
      <c r="W1452" s="60"/>
      <c r="X1452" s="60"/>
      <c r="Y1452" s="60"/>
      <c r="Z1452" s="60"/>
    </row>
    <row r="1453" spans="1:26" ht="30" hidden="1" customHeight="1">
      <c r="A1453" s="98" t="s">
        <v>2894</v>
      </c>
      <c r="B1453" s="68" t="s">
        <v>2895</v>
      </c>
      <c r="C1453" s="99"/>
      <c r="D1453" s="96"/>
      <c r="E1453" s="53">
        <v>37414473.969999999</v>
      </c>
      <c r="F1453" s="53">
        <v>15503664.85</v>
      </c>
      <c r="G1453" s="96">
        <f t="shared" si="490"/>
        <v>21910809.120000001</v>
      </c>
      <c r="H1453" s="96"/>
      <c r="I1453" s="60"/>
      <c r="J1453" s="60"/>
      <c r="K1453" s="60"/>
      <c r="L1453" s="60"/>
      <c r="M1453" s="60"/>
      <c r="N1453" s="60"/>
      <c r="O1453" s="60"/>
      <c r="P1453" s="60"/>
      <c r="Q1453" s="60"/>
      <c r="R1453" s="60"/>
      <c r="S1453" s="60"/>
      <c r="T1453" s="60"/>
      <c r="U1453" s="60"/>
      <c r="V1453" s="60"/>
      <c r="W1453" s="60"/>
      <c r="X1453" s="60"/>
      <c r="Y1453" s="60"/>
      <c r="Z1453" s="60"/>
    </row>
    <row r="1454" spans="1:26" ht="30" hidden="1" customHeight="1">
      <c r="A1454" s="95" t="s">
        <v>2896</v>
      </c>
      <c r="B1454" s="68" t="s">
        <v>2897</v>
      </c>
      <c r="C1454" s="99"/>
      <c r="D1454" s="96"/>
      <c r="E1454" s="53"/>
      <c r="F1454" s="53"/>
      <c r="G1454" s="96">
        <f t="shared" si="490"/>
        <v>0</v>
      </c>
      <c r="H1454" s="96"/>
      <c r="I1454" s="60"/>
      <c r="J1454" s="60"/>
      <c r="K1454" s="60"/>
      <c r="L1454" s="60"/>
      <c r="M1454" s="60"/>
      <c r="N1454" s="60"/>
      <c r="O1454" s="60"/>
      <c r="P1454" s="60"/>
      <c r="Q1454" s="60"/>
      <c r="R1454" s="60"/>
      <c r="S1454" s="60"/>
      <c r="T1454" s="60"/>
      <c r="U1454" s="60"/>
      <c r="V1454" s="60"/>
      <c r="W1454" s="60"/>
      <c r="X1454" s="60"/>
      <c r="Y1454" s="60"/>
      <c r="Z1454" s="60"/>
    </row>
    <row r="1455" spans="1:26" ht="30" hidden="1" customHeight="1">
      <c r="A1455" s="98" t="s">
        <v>2898</v>
      </c>
      <c r="B1455" s="68" t="s">
        <v>2899</v>
      </c>
      <c r="C1455" s="99"/>
      <c r="D1455" s="96"/>
      <c r="E1455" s="53">
        <v>1342911493.8</v>
      </c>
      <c r="F1455" s="53">
        <v>1155896073.5</v>
      </c>
      <c r="G1455" s="96">
        <f t="shared" si="490"/>
        <v>187015420.30000001</v>
      </c>
      <c r="H1455" s="96"/>
      <c r="I1455" s="60"/>
      <c r="J1455" s="60"/>
      <c r="K1455" s="60"/>
      <c r="L1455" s="60"/>
      <c r="M1455" s="60"/>
      <c r="N1455" s="60"/>
      <c r="O1455" s="60"/>
      <c r="P1455" s="60"/>
      <c r="Q1455" s="60"/>
      <c r="R1455" s="60"/>
      <c r="S1455" s="60"/>
      <c r="T1455" s="60"/>
      <c r="U1455" s="60"/>
      <c r="V1455" s="60"/>
      <c r="W1455" s="60"/>
      <c r="X1455" s="60"/>
      <c r="Y1455" s="60"/>
      <c r="Z1455" s="60"/>
    </row>
    <row r="1456" spans="1:26" ht="30" hidden="1" customHeight="1">
      <c r="A1456" s="95" t="s">
        <v>2900</v>
      </c>
      <c r="B1456" s="68" t="s">
        <v>2901</v>
      </c>
      <c r="C1456" s="99"/>
      <c r="D1456" s="96"/>
      <c r="E1456" s="53"/>
      <c r="F1456" s="53"/>
      <c r="G1456" s="96">
        <f t="shared" si="490"/>
        <v>0</v>
      </c>
      <c r="H1456" s="96"/>
      <c r="I1456" s="60"/>
      <c r="J1456" s="60"/>
      <c r="K1456" s="60"/>
      <c r="L1456" s="60"/>
      <c r="M1456" s="60"/>
      <c r="N1456" s="60"/>
      <c r="O1456" s="60"/>
      <c r="P1456" s="60"/>
      <c r="Q1456" s="60"/>
      <c r="R1456" s="60"/>
      <c r="S1456" s="60"/>
      <c r="T1456" s="60"/>
      <c r="U1456" s="60"/>
      <c r="V1456" s="60"/>
      <c r="W1456" s="60"/>
      <c r="X1456" s="60"/>
      <c r="Y1456" s="60"/>
      <c r="Z1456" s="60"/>
    </row>
    <row r="1457" spans="1:26" ht="30" hidden="1" customHeight="1">
      <c r="A1457" s="92" t="s">
        <v>2902</v>
      </c>
      <c r="B1457" s="101" t="s">
        <v>2635</v>
      </c>
      <c r="C1457" s="94"/>
      <c r="D1457" s="94"/>
      <c r="E1457" s="39">
        <f t="shared" ref="E1457:G1457" si="491">SUM(E1458:E1475)</f>
        <v>1708448937.55</v>
      </c>
      <c r="F1457" s="39">
        <f t="shared" si="491"/>
        <v>1487756218.8300002</v>
      </c>
      <c r="G1457" s="39">
        <f t="shared" si="491"/>
        <v>220692718.72000003</v>
      </c>
      <c r="H1457" s="94"/>
      <c r="I1457" s="60"/>
      <c r="J1457" s="60"/>
      <c r="K1457" s="60"/>
      <c r="L1457" s="60"/>
      <c r="M1457" s="60"/>
      <c r="N1457" s="60"/>
      <c r="O1457" s="60"/>
      <c r="P1457" s="60"/>
      <c r="Q1457" s="60"/>
      <c r="R1457" s="60"/>
      <c r="S1457" s="60"/>
      <c r="T1457" s="60"/>
      <c r="U1457" s="60"/>
      <c r="V1457" s="60"/>
      <c r="W1457" s="60"/>
      <c r="X1457" s="60"/>
      <c r="Y1457" s="60"/>
      <c r="Z1457" s="60"/>
    </row>
    <row r="1458" spans="1:26" ht="30" hidden="1" customHeight="1">
      <c r="A1458" s="98" t="s">
        <v>2903</v>
      </c>
      <c r="B1458" s="68" t="s">
        <v>2904</v>
      </c>
      <c r="C1458" s="99"/>
      <c r="D1458" s="96"/>
      <c r="E1458" s="53"/>
      <c r="F1458" s="53"/>
      <c r="G1458" s="96">
        <f t="shared" ref="G1458:G1475" si="492">ROUND(E1458-F1458,2)</f>
        <v>0</v>
      </c>
      <c r="H1458" s="96"/>
      <c r="I1458" s="60"/>
      <c r="J1458" s="60"/>
      <c r="K1458" s="60"/>
      <c r="L1458" s="60"/>
      <c r="M1458" s="60"/>
      <c r="N1458" s="60"/>
      <c r="O1458" s="60"/>
      <c r="P1458" s="60"/>
      <c r="Q1458" s="60"/>
      <c r="R1458" s="60"/>
      <c r="S1458" s="60"/>
      <c r="T1458" s="60"/>
      <c r="U1458" s="60"/>
      <c r="V1458" s="60"/>
      <c r="W1458" s="60"/>
      <c r="X1458" s="60"/>
      <c r="Y1458" s="60"/>
      <c r="Z1458" s="60"/>
    </row>
    <row r="1459" spans="1:26" ht="30" hidden="1" customHeight="1">
      <c r="A1459" s="95" t="s">
        <v>2905</v>
      </c>
      <c r="B1459" s="68" t="s">
        <v>2906</v>
      </c>
      <c r="C1459" s="99"/>
      <c r="D1459" s="96"/>
      <c r="E1459" s="53"/>
      <c r="F1459" s="53"/>
      <c r="G1459" s="96">
        <f t="shared" si="492"/>
        <v>0</v>
      </c>
      <c r="H1459" s="96"/>
      <c r="I1459" s="60"/>
      <c r="J1459" s="60"/>
      <c r="K1459" s="60"/>
      <c r="L1459" s="60"/>
      <c r="M1459" s="60"/>
      <c r="N1459" s="60"/>
      <c r="O1459" s="60"/>
      <c r="P1459" s="60"/>
      <c r="Q1459" s="60"/>
      <c r="R1459" s="60"/>
      <c r="S1459" s="60"/>
      <c r="T1459" s="60"/>
      <c r="U1459" s="60"/>
      <c r="V1459" s="60"/>
      <c r="W1459" s="60"/>
      <c r="X1459" s="60"/>
      <c r="Y1459" s="60"/>
      <c r="Z1459" s="60"/>
    </row>
    <row r="1460" spans="1:26" ht="30" hidden="1" customHeight="1">
      <c r="A1460" s="98" t="s">
        <v>2907</v>
      </c>
      <c r="B1460" s="68" t="s">
        <v>2908</v>
      </c>
      <c r="C1460" s="99"/>
      <c r="D1460" s="96"/>
      <c r="E1460" s="53">
        <v>943685000</v>
      </c>
      <c r="F1460" s="53">
        <v>940378549.5</v>
      </c>
      <c r="G1460" s="96">
        <f t="shared" si="492"/>
        <v>3306450.5</v>
      </c>
      <c r="H1460" s="96"/>
      <c r="I1460" s="60"/>
      <c r="J1460" s="60"/>
      <c r="K1460" s="60"/>
      <c r="L1460" s="60"/>
      <c r="M1460" s="60"/>
      <c r="N1460" s="60"/>
      <c r="O1460" s="60"/>
      <c r="P1460" s="60"/>
      <c r="Q1460" s="60"/>
      <c r="R1460" s="60"/>
      <c r="S1460" s="60"/>
      <c r="T1460" s="60"/>
      <c r="U1460" s="60"/>
      <c r="V1460" s="60"/>
      <c r="W1460" s="60"/>
      <c r="X1460" s="60"/>
      <c r="Y1460" s="60"/>
      <c r="Z1460" s="60"/>
    </row>
    <row r="1461" spans="1:26" ht="30" hidden="1" customHeight="1">
      <c r="A1461" s="95" t="s">
        <v>2909</v>
      </c>
      <c r="B1461" s="68" t="s">
        <v>2910</v>
      </c>
      <c r="C1461" s="99"/>
      <c r="D1461" s="96"/>
      <c r="E1461" s="53"/>
      <c r="F1461" s="53"/>
      <c r="G1461" s="96">
        <f t="shared" si="492"/>
        <v>0</v>
      </c>
      <c r="H1461" s="96"/>
      <c r="I1461" s="60"/>
      <c r="J1461" s="60"/>
      <c r="K1461" s="60"/>
      <c r="L1461" s="60"/>
      <c r="M1461" s="60"/>
      <c r="N1461" s="60"/>
      <c r="O1461" s="60"/>
      <c r="P1461" s="60"/>
      <c r="Q1461" s="60"/>
      <c r="R1461" s="60"/>
      <c r="S1461" s="60"/>
      <c r="T1461" s="60"/>
      <c r="U1461" s="60"/>
      <c r="V1461" s="60"/>
      <c r="W1461" s="60"/>
      <c r="X1461" s="60"/>
      <c r="Y1461" s="60"/>
      <c r="Z1461" s="60"/>
    </row>
    <row r="1462" spans="1:26" ht="30" hidden="1" customHeight="1">
      <c r="A1462" s="98" t="s">
        <v>2911</v>
      </c>
      <c r="B1462" s="68" t="s">
        <v>2912</v>
      </c>
      <c r="C1462" s="99"/>
      <c r="D1462" s="96"/>
      <c r="E1462" s="53">
        <v>94096234.629999995</v>
      </c>
      <c r="F1462" s="53">
        <v>62077303.240000002</v>
      </c>
      <c r="G1462" s="96">
        <f t="shared" si="492"/>
        <v>32018931.390000001</v>
      </c>
      <c r="H1462" s="96"/>
      <c r="I1462" s="60"/>
      <c r="J1462" s="60"/>
      <c r="K1462" s="60"/>
      <c r="L1462" s="60"/>
      <c r="M1462" s="60"/>
      <c r="N1462" s="60"/>
      <c r="O1462" s="60"/>
      <c r="P1462" s="60"/>
      <c r="Q1462" s="60"/>
      <c r="R1462" s="60"/>
      <c r="S1462" s="60"/>
      <c r="T1462" s="60"/>
      <c r="U1462" s="60"/>
      <c r="V1462" s="60"/>
      <c r="W1462" s="60"/>
      <c r="X1462" s="60"/>
      <c r="Y1462" s="60"/>
      <c r="Z1462" s="60"/>
    </row>
    <row r="1463" spans="1:26" ht="30" hidden="1" customHeight="1">
      <c r="A1463" s="95" t="s">
        <v>2913</v>
      </c>
      <c r="B1463" s="68" t="s">
        <v>2914</v>
      </c>
      <c r="C1463" s="99"/>
      <c r="D1463" s="96"/>
      <c r="E1463" s="53"/>
      <c r="F1463" s="53"/>
      <c r="G1463" s="96">
        <f t="shared" si="492"/>
        <v>0</v>
      </c>
      <c r="H1463" s="96"/>
      <c r="I1463" s="60"/>
      <c r="J1463" s="60"/>
      <c r="K1463" s="60"/>
      <c r="L1463" s="60"/>
      <c r="M1463" s="60"/>
      <c r="N1463" s="60"/>
      <c r="O1463" s="60"/>
      <c r="P1463" s="60"/>
      <c r="Q1463" s="60"/>
      <c r="R1463" s="60"/>
      <c r="S1463" s="60"/>
      <c r="T1463" s="60"/>
      <c r="U1463" s="60"/>
      <c r="V1463" s="60"/>
      <c r="W1463" s="60"/>
      <c r="X1463" s="60"/>
      <c r="Y1463" s="60"/>
      <c r="Z1463" s="60"/>
    </row>
    <row r="1464" spans="1:26" ht="30" hidden="1" customHeight="1">
      <c r="A1464" s="98" t="s">
        <v>2915</v>
      </c>
      <c r="B1464" s="68" t="s">
        <v>2916</v>
      </c>
      <c r="C1464" s="99"/>
      <c r="D1464" s="96"/>
      <c r="E1464" s="53">
        <v>499548058.75999999</v>
      </c>
      <c r="F1464" s="53">
        <v>354660525.35000002</v>
      </c>
      <c r="G1464" s="96">
        <f t="shared" si="492"/>
        <v>144887533.41</v>
      </c>
      <c r="H1464" s="96"/>
      <c r="I1464" s="60"/>
      <c r="J1464" s="60"/>
      <c r="K1464" s="60"/>
      <c r="L1464" s="60"/>
      <c r="M1464" s="60"/>
      <c r="N1464" s="60"/>
      <c r="O1464" s="60"/>
      <c r="P1464" s="60"/>
      <c r="Q1464" s="60"/>
      <c r="R1464" s="60"/>
      <c r="S1464" s="60"/>
      <c r="T1464" s="60"/>
      <c r="U1464" s="60"/>
      <c r="V1464" s="60"/>
      <c r="W1464" s="60"/>
      <c r="X1464" s="60"/>
      <c r="Y1464" s="60"/>
      <c r="Z1464" s="60"/>
    </row>
    <row r="1465" spans="1:26" ht="30" hidden="1" customHeight="1">
      <c r="A1465" s="95" t="s">
        <v>2917</v>
      </c>
      <c r="B1465" s="68" t="s">
        <v>2918</v>
      </c>
      <c r="C1465" s="99"/>
      <c r="D1465" s="96"/>
      <c r="E1465" s="53"/>
      <c r="F1465" s="53"/>
      <c r="G1465" s="96">
        <f t="shared" si="492"/>
        <v>0</v>
      </c>
      <c r="H1465" s="96"/>
      <c r="I1465" s="60"/>
      <c r="J1465" s="60"/>
      <c r="K1465" s="60"/>
      <c r="L1465" s="60"/>
      <c r="M1465" s="60"/>
      <c r="N1465" s="60"/>
      <c r="O1465" s="60"/>
      <c r="P1465" s="60"/>
      <c r="Q1465" s="60"/>
      <c r="R1465" s="60"/>
      <c r="S1465" s="60"/>
      <c r="T1465" s="60"/>
      <c r="U1465" s="60"/>
      <c r="V1465" s="60"/>
      <c r="W1465" s="60"/>
      <c r="X1465" s="60"/>
      <c r="Y1465" s="60"/>
      <c r="Z1465" s="60"/>
    </row>
    <row r="1466" spans="1:26" ht="30" hidden="1" customHeight="1">
      <c r="A1466" s="98" t="s">
        <v>2919</v>
      </c>
      <c r="B1466" s="68" t="s">
        <v>2920</v>
      </c>
      <c r="C1466" s="99"/>
      <c r="D1466" s="96"/>
      <c r="E1466" s="53"/>
      <c r="F1466" s="53"/>
      <c r="G1466" s="96">
        <f t="shared" si="492"/>
        <v>0</v>
      </c>
      <c r="H1466" s="96"/>
      <c r="I1466" s="60"/>
      <c r="J1466" s="60"/>
      <c r="K1466" s="60"/>
      <c r="L1466" s="60"/>
      <c r="M1466" s="60"/>
      <c r="N1466" s="60"/>
      <c r="O1466" s="60"/>
      <c r="P1466" s="60"/>
      <c r="Q1466" s="60"/>
      <c r="R1466" s="60"/>
      <c r="S1466" s="60"/>
      <c r="T1466" s="60"/>
      <c r="U1466" s="60"/>
      <c r="V1466" s="60"/>
      <c r="W1466" s="60"/>
      <c r="X1466" s="60"/>
      <c r="Y1466" s="60"/>
      <c r="Z1466" s="60"/>
    </row>
    <row r="1467" spans="1:26" ht="30" hidden="1" customHeight="1">
      <c r="A1467" s="95" t="s">
        <v>2921</v>
      </c>
      <c r="B1467" s="68" t="s">
        <v>2922</v>
      </c>
      <c r="C1467" s="99"/>
      <c r="D1467" s="96"/>
      <c r="E1467" s="53"/>
      <c r="F1467" s="53"/>
      <c r="G1467" s="96">
        <f t="shared" si="492"/>
        <v>0</v>
      </c>
      <c r="H1467" s="96"/>
      <c r="I1467" s="60"/>
      <c r="J1467" s="60"/>
      <c r="K1467" s="60"/>
      <c r="L1467" s="60"/>
      <c r="M1467" s="60"/>
      <c r="N1467" s="60"/>
      <c r="O1467" s="60"/>
      <c r="P1467" s="60"/>
      <c r="Q1467" s="60"/>
      <c r="R1467" s="60"/>
      <c r="S1467" s="60"/>
      <c r="T1467" s="60"/>
      <c r="U1467" s="60"/>
      <c r="V1467" s="60"/>
      <c r="W1467" s="60"/>
      <c r="X1467" s="60"/>
      <c r="Y1467" s="60"/>
      <c r="Z1467" s="60"/>
    </row>
    <row r="1468" spans="1:26" ht="30" hidden="1" customHeight="1">
      <c r="A1468" s="98" t="s">
        <v>2923</v>
      </c>
      <c r="B1468" s="68" t="s">
        <v>2924</v>
      </c>
      <c r="C1468" s="99"/>
      <c r="D1468" s="96"/>
      <c r="E1468" s="53">
        <v>170494644.16</v>
      </c>
      <c r="F1468" s="53">
        <v>130639840.73999999</v>
      </c>
      <c r="G1468" s="96">
        <f t="shared" si="492"/>
        <v>39854803.420000002</v>
      </c>
      <c r="H1468" s="96"/>
      <c r="I1468" s="60"/>
      <c r="J1468" s="60"/>
      <c r="K1468" s="60"/>
      <c r="L1468" s="60"/>
      <c r="M1468" s="60"/>
      <c r="N1468" s="60"/>
      <c r="O1468" s="60"/>
      <c r="P1468" s="60"/>
      <c r="Q1468" s="60"/>
      <c r="R1468" s="60"/>
      <c r="S1468" s="60"/>
      <c r="T1468" s="60"/>
      <c r="U1468" s="60"/>
      <c r="V1468" s="60"/>
      <c r="W1468" s="60"/>
      <c r="X1468" s="60"/>
      <c r="Y1468" s="60"/>
      <c r="Z1468" s="60"/>
    </row>
    <row r="1469" spans="1:26" ht="30" hidden="1" customHeight="1">
      <c r="A1469" s="95" t="s">
        <v>2925</v>
      </c>
      <c r="B1469" s="68" t="s">
        <v>2926</v>
      </c>
      <c r="C1469" s="99"/>
      <c r="D1469" s="96"/>
      <c r="E1469" s="53"/>
      <c r="F1469" s="53"/>
      <c r="G1469" s="96">
        <f t="shared" si="492"/>
        <v>0</v>
      </c>
      <c r="H1469" s="96"/>
      <c r="I1469" s="60"/>
      <c r="J1469" s="60"/>
      <c r="K1469" s="60"/>
      <c r="L1469" s="60"/>
      <c r="M1469" s="60"/>
      <c r="N1469" s="60"/>
      <c r="O1469" s="60"/>
      <c r="P1469" s="60"/>
      <c r="Q1469" s="60"/>
      <c r="R1469" s="60"/>
      <c r="S1469" s="60"/>
      <c r="T1469" s="60"/>
      <c r="U1469" s="60"/>
      <c r="V1469" s="60"/>
      <c r="W1469" s="60"/>
      <c r="X1469" s="60"/>
      <c r="Y1469" s="60"/>
      <c r="Z1469" s="60"/>
    </row>
    <row r="1470" spans="1:26" ht="30" hidden="1" customHeight="1">
      <c r="A1470" s="98" t="s">
        <v>2927</v>
      </c>
      <c r="B1470" s="68" t="s">
        <v>2928</v>
      </c>
      <c r="C1470" s="99"/>
      <c r="D1470" s="96"/>
      <c r="E1470" s="53"/>
      <c r="F1470" s="53"/>
      <c r="G1470" s="96">
        <f t="shared" si="492"/>
        <v>0</v>
      </c>
      <c r="H1470" s="96"/>
      <c r="I1470" s="60"/>
      <c r="J1470" s="60"/>
      <c r="K1470" s="60"/>
      <c r="L1470" s="60"/>
      <c r="M1470" s="60"/>
      <c r="N1470" s="60"/>
      <c r="O1470" s="60"/>
      <c r="P1470" s="60"/>
      <c r="Q1470" s="60"/>
      <c r="R1470" s="60"/>
      <c r="S1470" s="60"/>
      <c r="T1470" s="60"/>
      <c r="U1470" s="60"/>
      <c r="V1470" s="60"/>
      <c r="W1470" s="60"/>
      <c r="X1470" s="60"/>
      <c r="Y1470" s="60"/>
      <c r="Z1470" s="60"/>
    </row>
    <row r="1471" spans="1:26" ht="30" hidden="1" customHeight="1">
      <c r="A1471" s="95" t="s">
        <v>2929</v>
      </c>
      <c r="B1471" s="68" t="s">
        <v>2930</v>
      </c>
      <c r="C1471" s="99"/>
      <c r="D1471" s="96"/>
      <c r="E1471" s="53"/>
      <c r="F1471" s="53"/>
      <c r="G1471" s="96">
        <f t="shared" si="492"/>
        <v>0</v>
      </c>
      <c r="H1471" s="96"/>
      <c r="I1471" s="60"/>
      <c r="J1471" s="60"/>
      <c r="K1471" s="60"/>
      <c r="L1471" s="60"/>
      <c r="M1471" s="60"/>
      <c r="N1471" s="60"/>
      <c r="O1471" s="60"/>
      <c r="P1471" s="60"/>
      <c r="Q1471" s="60"/>
      <c r="R1471" s="60"/>
      <c r="S1471" s="60"/>
      <c r="T1471" s="60"/>
      <c r="U1471" s="60"/>
      <c r="V1471" s="60"/>
      <c r="W1471" s="60"/>
      <c r="X1471" s="60"/>
      <c r="Y1471" s="60"/>
      <c r="Z1471" s="60"/>
    </row>
    <row r="1472" spans="1:26" ht="30" hidden="1" customHeight="1">
      <c r="A1472" s="98" t="s">
        <v>2931</v>
      </c>
      <c r="B1472" s="68" t="s">
        <v>2932</v>
      </c>
      <c r="C1472" s="99"/>
      <c r="D1472" s="96"/>
      <c r="E1472" s="53"/>
      <c r="F1472" s="53"/>
      <c r="G1472" s="96">
        <f t="shared" si="492"/>
        <v>0</v>
      </c>
      <c r="H1472" s="96"/>
      <c r="I1472" s="60"/>
      <c r="J1472" s="60"/>
      <c r="K1472" s="60"/>
      <c r="L1472" s="60"/>
      <c r="M1472" s="60"/>
      <c r="N1472" s="60"/>
      <c r="O1472" s="60"/>
      <c r="P1472" s="60"/>
      <c r="Q1472" s="60"/>
      <c r="R1472" s="60"/>
      <c r="S1472" s="60"/>
      <c r="T1472" s="60"/>
      <c r="U1472" s="60"/>
      <c r="V1472" s="60"/>
      <c r="W1472" s="60"/>
      <c r="X1472" s="60"/>
      <c r="Y1472" s="60"/>
      <c r="Z1472" s="60"/>
    </row>
    <row r="1473" spans="1:26" ht="30" hidden="1" customHeight="1">
      <c r="A1473" s="95" t="s">
        <v>2933</v>
      </c>
      <c r="B1473" s="68" t="s">
        <v>2934</v>
      </c>
      <c r="C1473" s="99"/>
      <c r="D1473" s="96"/>
      <c r="E1473" s="53"/>
      <c r="F1473" s="53"/>
      <c r="G1473" s="96">
        <f t="shared" si="492"/>
        <v>0</v>
      </c>
      <c r="H1473" s="96"/>
      <c r="I1473" s="60"/>
      <c r="J1473" s="60"/>
      <c r="K1473" s="60"/>
      <c r="L1473" s="60"/>
      <c r="M1473" s="60"/>
      <c r="N1473" s="60"/>
      <c r="O1473" s="60"/>
      <c r="P1473" s="60"/>
      <c r="Q1473" s="60"/>
      <c r="R1473" s="60"/>
      <c r="S1473" s="60"/>
      <c r="T1473" s="60"/>
      <c r="U1473" s="60"/>
      <c r="V1473" s="60"/>
      <c r="W1473" s="60"/>
      <c r="X1473" s="60"/>
      <c r="Y1473" s="60"/>
      <c r="Z1473" s="60"/>
    </row>
    <row r="1474" spans="1:26" ht="30" hidden="1" customHeight="1">
      <c r="A1474" s="98" t="s">
        <v>2935</v>
      </c>
      <c r="B1474" s="68" t="s">
        <v>2936</v>
      </c>
      <c r="C1474" s="99"/>
      <c r="D1474" s="96"/>
      <c r="E1474" s="53"/>
      <c r="F1474" s="53"/>
      <c r="G1474" s="96">
        <f t="shared" si="492"/>
        <v>0</v>
      </c>
      <c r="H1474" s="96"/>
      <c r="I1474" s="60"/>
      <c r="J1474" s="60"/>
      <c r="K1474" s="60"/>
      <c r="L1474" s="60"/>
      <c r="M1474" s="60"/>
      <c r="N1474" s="60"/>
      <c r="O1474" s="60"/>
      <c r="P1474" s="60"/>
      <c r="Q1474" s="60"/>
      <c r="R1474" s="60"/>
      <c r="S1474" s="60"/>
      <c r="T1474" s="60"/>
      <c r="U1474" s="60"/>
      <c r="V1474" s="60"/>
      <c r="W1474" s="60"/>
      <c r="X1474" s="60"/>
      <c r="Y1474" s="60"/>
      <c r="Z1474" s="60"/>
    </row>
    <row r="1475" spans="1:26" ht="30" hidden="1" customHeight="1">
      <c r="A1475" s="95" t="s">
        <v>2937</v>
      </c>
      <c r="B1475" s="68" t="s">
        <v>2938</v>
      </c>
      <c r="C1475" s="99"/>
      <c r="D1475" s="96"/>
      <c r="E1475" s="53">
        <v>625000</v>
      </c>
      <c r="F1475" s="53"/>
      <c r="G1475" s="96">
        <f t="shared" si="492"/>
        <v>625000</v>
      </c>
      <c r="H1475" s="96"/>
      <c r="I1475" s="60"/>
      <c r="J1475" s="60"/>
      <c r="K1475" s="60"/>
      <c r="L1475" s="60"/>
      <c r="M1475" s="60"/>
      <c r="N1475" s="60"/>
      <c r="O1475" s="60"/>
      <c r="P1475" s="60"/>
      <c r="Q1475" s="60"/>
      <c r="R1475" s="60"/>
      <c r="S1475" s="60"/>
      <c r="T1475" s="60"/>
      <c r="U1475" s="60"/>
      <c r="V1475" s="60"/>
      <c r="W1475" s="60"/>
      <c r="X1475" s="60"/>
      <c r="Y1475" s="60"/>
      <c r="Z1475" s="60"/>
    </row>
    <row r="1476" spans="1:26" ht="30" hidden="1" customHeight="1">
      <c r="A1476" s="92" t="s">
        <v>2939</v>
      </c>
      <c r="B1476" s="101" t="s">
        <v>2940</v>
      </c>
      <c r="C1476" s="94"/>
      <c r="D1476" s="94"/>
      <c r="E1476" s="39">
        <f t="shared" ref="E1476:G1476" si="493">SUM(E1477:E1494)</f>
        <v>705602256.31000006</v>
      </c>
      <c r="F1476" s="39">
        <f t="shared" si="493"/>
        <v>545458794.19000006</v>
      </c>
      <c r="G1476" s="39">
        <f t="shared" si="493"/>
        <v>160143462.11999997</v>
      </c>
      <c r="H1476" s="94"/>
      <c r="I1476" s="60"/>
      <c r="J1476" s="60"/>
      <c r="K1476" s="60"/>
      <c r="L1476" s="60"/>
      <c r="M1476" s="60"/>
      <c r="N1476" s="60"/>
      <c r="O1476" s="60"/>
      <c r="P1476" s="60"/>
      <c r="Q1476" s="60"/>
      <c r="R1476" s="60"/>
      <c r="S1476" s="60"/>
      <c r="T1476" s="60"/>
      <c r="U1476" s="60"/>
      <c r="V1476" s="60"/>
      <c r="W1476" s="60"/>
      <c r="X1476" s="60"/>
      <c r="Y1476" s="60"/>
      <c r="Z1476" s="60"/>
    </row>
    <row r="1477" spans="1:26" ht="30" hidden="1" customHeight="1">
      <c r="A1477" s="98" t="s">
        <v>2941</v>
      </c>
      <c r="B1477" s="68" t="s">
        <v>2942</v>
      </c>
      <c r="C1477" s="99"/>
      <c r="D1477" s="96"/>
      <c r="E1477" s="53">
        <v>77637011.870000005</v>
      </c>
      <c r="F1477" s="53">
        <v>25423898.289999999</v>
      </c>
      <c r="G1477" s="96">
        <f t="shared" ref="G1477:G1494" si="494">ROUND(E1477-F1477,2)</f>
        <v>52213113.579999998</v>
      </c>
      <c r="H1477" s="96"/>
      <c r="I1477" s="60"/>
      <c r="J1477" s="60"/>
      <c r="K1477" s="60"/>
      <c r="L1477" s="60"/>
      <c r="M1477" s="60"/>
      <c r="N1477" s="60"/>
      <c r="O1477" s="60"/>
      <c r="P1477" s="60"/>
      <c r="Q1477" s="60"/>
      <c r="R1477" s="60"/>
      <c r="S1477" s="60"/>
      <c r="T1477" s="60"/>
      <c r="U1477" s="60"/>
      <c r="V1477" s="60"/>
      <c r="W1477" s="60"/>
      <c r="X1477" s="60"/>
      <c r="Y1477" s="60"/>
      <c r="Z1477" s="60"/>
    </row>
    <row r="1478" spans="1:26" ht="30" hidden="1" customHeight="1">
      <c r="A1478" s="95" t="s">
        <v>2943</v>
      </c>
      <c r="B1478" s="68" t="s">
        <v>2944</v>
      </c>
      <c r="C1478" s="99"/>
      <c r="D1478" s="96"/>
      <c r="E1478" s="53"/>
      <c r="F1478" s="53"/>
      <c r="G1478" s="96">
        <f t="shared" si="494"/>
        <v>0</v>
      </c>
      <c r="H1478" s="96"/>
      <c r="I1478" s="60"/>
      <c r="J1478" s="60"/>
      <c r="K1478" s="60"/>
      <c r="L1478" s="60"/>
      <c r="M1478" s="60"/>
      <c r="N1478" s="60"/>
      <c r="O1478" s="60"/>
      <c r="P1478" s="60"/>
      <c r="Q1478" s="60"/>
      <c r="R1478" s="60"/>
      <c r="S1478" s="60"/>
      <c r="T1478" s="60"/>
      <c r="U1478" s="60"/>
      <c r="V1478" s="60"/>
      <c r="W1478" s="60"/>
      <c r="X1478" s="60"/>
      <c r="Y1478" s="60"/>
      <c r="Z1478" s="60"/>
    </row>
    <row r="1479" spans="1:26" ht="30" hidden="1" customHeight="1">
      <c r="A1479" s="98" t="s">
        <v>2945</v>
      </c>
      <c r="B1479" s="68" t="s">
        <v>2946</v>
      </c>
      <c r="C1479" s="99"/>
      <c r="D1479" s="96"/>
      <c r="E1479" s="53">
        <v>6778729.8099999996</v>
      </c>
      <c r="F1479" s="53">
        <v>1148006.0900000001</v>
      </c>
      <c r="G1479" s="96">
        <f t="shared" si="494"/>
        <v>5630723.7199999997</v>
      </c>
      <c r="H1479" s="96"/>
      <c r="I1479" s="60"/>
      <c r="J1479" s="60"/>
      <c r="K1479" s="60"/>
      <c r="L1479" s="60"/>
      <c r="M1479" s="60"/>
      <c r="N1479" s="60"/>
      <c r="O1479" s="60"/>
      <c r="P1479" s="60"/>
      <c r="Q1479" s="60"/>
      <c r="R1479" s="60"/>
      <c r="S1479" s="60"/>
      <c r="T1479" s="60"/>
      <c r="U1479" s="60"/>
      <c r="V1479" s="60"/>
      <c r="W1479" s="60"/>
      <c r="X1479" s="60"/>
      <c r="Y1479" s="60"/>
      <c r="Z1479" s="60"/>
    </row>
    <row r="1480" spans="1:26" ht="30" hidden="1" customHeight="1">
      <c r="A1480" s="95" t="s">
        <v>2947</v>
      </c>
      <c r="B1480" s="68" t="s">
        <v>2948</v>
      </c>
      <c r="C1480" s="99"/>
      <c r="D1480" s="96"/>
      <c r="E1480" s="53"/>
      <c r="F1480" s="53"/>
      <c r="G1480" s="96">
        <f t="shared" si="494"/>
        <v>0</v>
      </c>
      <c r="H1480" s="96"/>
      <c r="I1480" s="60"/>
      <c r="J1480" s="60"/>
      <c r="K1480" s="60"/>
      <c r="L1480" s="60"/>
      <c r="M1480" s="60"/>
      <c r="N1480" s="60"/>
      <c r="O1480" s="60"/>
      <c r="P1480" s="60"/>
      <c r="Q1480" s="60"/>
      <c r="R1480" s="60"/>
      <c r="S1480" s="60"/>
      <c r="T1480" s="60"/>
      <c r="U1480" s="60"/>
      <c r="V1480" s="60"/>
      <c r="W1480" s="60"/>
      <c r="X1480" s="60"/>
      <c r="Y1480" s="60"/>
      <c r="Z1480" s="60"/>
    </row>
    <row r="1481" spans="1:26" ht="30" hidden="1" customHeight="1">
      <c r="A1481" s="98" t="s">
        <v>2949</v>
      </c>
      <c r="B1481" s="68" t="s">
        <v>2950</v>
      </c>
      <c r="C1481" s="99"/>
      <c r="D1481" s="96"/>
      <c r="E1481" s="53">
        <v>44276134.329999998</v>
      </c>
      <c r="F1481" s="53">
        <v>38505087.030000001</v>
      </c>
      <c r="G1481" s="96">
        <f t="shared" si="494"/>
        <v>5771047.2999999998</v>
      </c>
      <c r="H1481" s="96"/>
      <c r="I1481" s="60"/>
      <c r="J1481" s="60"/>
      <c r="K1481" s="60"/>
      <c r="L1481" s="60"/>
      <c r="M1481" s="60"/>
      <c r="N1481" s="60"/>
      <c r="O1481" s="60"/>
      <c r="P1481" s="60"/>
      <c r="Q1481" s="60"/>
      <c r="R1481" s="60"/>
      <c r="S1481" s="60"/>
      <c r="T1481" s="60"/>
      <c r="U1481" s="60"/>
      <c r="V1481" s="60"/>
      <c r="W1481" s="60"/>
      <c r="X1481" s="60"/>
      <c r="Y1481" s="60"/>
      <c r="Z1481" s="60"/>
    </row>
    <row r="1482" spans="1:26" ht="30" hidden="1" customHeight="1">
      <c r="A1482" s="95" t="s">
        <v>2951</v>
      </c>
      <c r="B1482" s="68" t="s">
        <v>2952</v>
      </c>
      <c r="C1482" s="99"/>
      <c r="D1482" s="96"/>
      <c r="E1482" s="53"/>
      <c r="F1482" s="53"/>
      <c r="G1482" s="96">
        <f t="shared" si="494"/>
        <v>0</v>
      </c>
      <c r="H1482" s="96"/>
      <c r="I1482" s="60"/>
      <c r="J1482" s="60"/>
      <c r="K1482" s="60"/>
      <c r="L1482" s="60"/>
      <c r="M1482" s="60"/>
      <c r="N1482" s="60"/>
      <c r="O1482" s="60"/>
      <c r="P1482" s="60"/>
      <c r="Q1482" s="60"/>
      <c r="R1482" s="60"/>
      <c r="S1482" s="60"/>
      <c r="T1482" s="60"/>
      <c r="U1482" s="60"/>
      <c r="V1482" s="60"/>
      <c r="W1482" s="60"/>
      <c r="X1482" s="60"/>
      <c r="Y1482" s="60"/>
      <c r="Z1482" s="60"/>
    </row>
    <row r="1483" spans="1:26" ht="30" hidden="1" customHeight="1">
      <c r="A1483" s="98" t="s">
        <v>2953</v>
      </c>
      <c r="B1483" s="68" t="s">
        <v>2954</v>
      </c>
      <c r="C1483" s="99"/>
      <c r="D1483" s="96"/>
      <c r="E1483" s="53">
        <v>364686921.80000001</v>
      </c>
      <c r="F1483" s="53">
        <v>362243882.23000002</v>
      </c>
      <c r="G1483" s="96">
        <f t="shared" si="494"/>
        <v>2443039.5699999998</v>
      </c>
      <c r="H1483" s="96"/>
      <c r="I1483" s="60"/>
      <c r="J1483" s="60"/>
      <c r="K1483" s="60"/>
      <c r="L1483" s="60"/>
      <c r="M1483" s="60"/>
      <c r="N1483" s="60"/>
      <c r="O1483" s="60"/>
      <c r="P1483" s="60"/>
      <c r="Q1483" s="60"/>
      <c r="R1483" s="60"/>
      <c r="S1483" s="60"/>
      <c r="T1483" s="60"/>
      <c r="U1483" s="60"/>
      <c r="V1483" s="60"/>
      <c r="W1483" s="60"/>
      <c r="X1483" s="60"/>
      <c r="Y1483" s="60"/>
      <c r="Z1483" s="60"/>
    </row>
    <row r="1484" spans="1:26" ht="30" hidden="1" customHeight="1">
      <c r="A1484" s="95" t="s">
        <v>2955</v>
      </c>
      <c r="B1484" s="68" t="s">
        <v>2956</v>
      </c>
      <c r="C1484" s="99"/>
      <c r="D1484" s="96"/>
      <c r="E1484" s="53"/>
      <c r="F1484" s="53"/>
      <c r="G1484" s="96">
        <f t="shared" si="494"/>
        <v>0</v>
      </c>
      <c r="H1484" s="96"/>
      <c r="I1484" s="60"/>
      <c r="J1484" s="60"/>
      <c r="K1484" s="60"/>
      <c r="L1484" s="60"/>
      <c r="M1484" s="60"/>
      <c r="N1484" s="60"/>
      <c r="O1484" s="60"/>
      <c r="P1484" s="60"/>
      <c r="Q1484" s="60"/>
      <c r="R1484" s="60"/>
      <c r="S1484" s="60"/>
      <c r="T1484" s="60"/>
      <c r="U1484" s="60"/>
      <c r="V1484" s="60"/>
      <c r="W1484" s="60"/>
      <c r="X1484" s="60"/>
      <c r="Y1484" s="60"/>
      <c r="Z1484" s="60"/>
    </row>
    <row r="1485" spans="1:26" ht="30" hidden="1" customHeight="1">
      <c r="A1485" s="98" t="s">
        <v>2957</v>
      </c>
      <c r="B1485" s="68" t="s">
        <v>2958</v>
      </c>
      <c r="C1485" s="99"/>
      <c r="D1485" s="96"/>
      <c r="E1485" s="53">
        <v>19750000</v>
      </c>
      <c r="F1485" s="53">
        <v>10507501.130000001</v>
      </c>
      <c r="G1485" s="96">
        <f t="shared" si="494"/>
        <v>9242498.8699999992</v>
      </c>
      <c r="H1485" s="96"/>
      <c r="I1485" s="60"/>
      <c r="J1485" s="60"/>
      <c r="K1485" s="60"/>
      <c r="L1485" s="60"/>
      <c r="M1485" s="60"/>
      <c r="N1485" s="60"/>
      <c r="O1485" s="60"/>
      <c r="P1485" s="60"/>
      <c r="Q1485" s="60"/>
      <c r="R1485" s="60"/>
      <c r="S1485" s="60"/>
      <c r="T1485" s="60"/>
      <c r="U1485" s="60"/>
      <c r="V1485" s="60"/>
      <c r="W1485" s="60"/>
      <c r="X1485" s="60"/>
      <c r="Y1485" s="60"/>
      <c r="Z1485" s="60"/>
    </row>
    <row r="1486" spans="1:26" ht="30" hidden="1" customHeight="1">
      <c r="A1486" s="95" t="s">
        <v>2959</v>
      </c>
      <c r="B1486" s="68" t="s">
        <v>2960</v>
      </c>
      <c r="C1486" s="99"/>
      <c r="D1486" s="96"/>
      <c r="E1486" s="53"/>
      <c r="F1486" s="53"/>
      <c r="G1486" s="96">
        <f t="shared" si="494"/>
        <v>0</v>
      </c>
      <c r="H1486" s="96"/>
      <c r="I1486" s="60"/>
      <c r="J1486" s="60"/>
      <c r="K1486" s="60"/>
      <c r="L1486" s="60"/>
      <c r="M1486" s="60"/>
      <c r="N1486" s="60"/>
      <c r="O1486" s="60"/>
      <c r="P1486" s="60"/>
      <c r="Q1486" s="60"/>
      <c r="R1486" s="60"/>
      <c r="S1486" s="60"/>
      <c r="T1486" s="60"/>
      <c r="U1486" s="60"/>
      <c r="V1486" s="60"/>
      <c r="W1486" s="60"/>
      <c r="X1486" s="60"/>
      <c r="Y1486" s="60"/>
      <c r="Z1486" s="60"/>
    </row>
    <row r="1487" spans="1:26" ht="30" hidden="1" customHeight="1">
      <c r="A1487" s="98" t="s">
        <v>2961</v>
      </c>
      <c r="B1487" s="68" t="s">
        <v>2962</v>
      </c>
      <c r="C1487" s="99"/>
      <c r="D1487" s="96"/>
      <c r="E1487" s="53">
        <v>134227745.66</v>
      </c>
      <c r="F1487" s="53">
        <v>70115534.590000004</v>
      </c>
      <c r="G1487" s="96">
        <f t="shared" si="494"/>
        <v>64112211.07</v>
      </c>
      <c r="H1487" s="96"/>
      <c r="I1487" s="60"/>
      <c r="J1487" s="60"/>
      <c r="K1487" s="60"/>
      <c r="L1487" s="60"/>
      <c r="M1487" s="60"/>
      <c r="N1487" s="60"/>
      <c r="O1487" s="60"/>
      <c r="P1487" s="60"/>
      <c r="Q1487" s="60"/>
      <c r="R1487" s="60"/>
      <c r="S1487" s="60"/>
      <c r="T1487" s="60"/>
      <c r="U1487" s="60"/>
      <c r="V1487" s="60"/>
      <c r="W1487" s="60"/>
      <c r="X1487" s="60"/>
      <c r="Y1487" s="60"/>
      <c r="Z1487" s="60"/>
    </row>
    <row r="1488" spans="1:26" ht="30" hidden="1" customHeight="1">
      <c r="A1488" s="95" t="s">
        <v>2963</v>
      </c>
      <c r="B1488" s="68" t="s">
        <v>2964</v>
      </c>
      <c r="C1488" s="99"/>
      <c r="D1488" s="96"/>
      <c r="E1488" s="53"/>
      <c r="F1488" s="53"/>
      <c r="G1488" s="96">
        <f t="shared" si="494"/>
        <v>0</v>
      </c>
      <c r="H1488" s="96"/>
      <c r="I1488" s="60"/>
      <c r="J1488" s="60"/>
      <c r="K1488" s="60"/>
      <c r="L1488" s="60"/>
      <c r="M1488" s="60"/>
      <c r="N1488" s="60"/>
      <c r="O1488" s="60"/>
      <c r="P1488" s="60"/>
      <c r="Q1488" s="60"/>
      <c r="R1488" s="60"/>
      <c r="S1488" s="60"/>
      <c r="T1488" s="60"/>
      <c r="U1488" s="60"/>
      <c r="V1488" s="60"/>
      <c r="W1488" s="60"/>
      <c r="X1488" s="60"/>
      <c r="Y1488" s="60"/>
      <c r="Z1488" s="60"/>
    </row>
    <row r="1489" spans="1:26" ht="30" hidden="1" customHeight="1">
      <c r="A1489" s="98" t="s">
        <v>2965</v>
      </c>
      <c r="B1489" s="68" t="s">
        <v>2966</v>
      </c>
      <c r="C1489" s="99"/>
      <c r="D1489" s="96"/>
      <c r="E1489" s="53">
        <v>13615562.619999999</v>
      </c>
      <c r="F1489" s="53">
        <v>0</v>
      </c>
      <c r="G1489" s="96">
        <f t="shared" si="494"/>
        <v>13615562.619999999</v>
      </c>
      <c r="H1489" s="96"/>
      <c r="I1489" s="60"/>
      <c r="J1489" s="60"/>
      <c r="K1489" s="60"/>
      <c r="L1489" s="60"/>
      <c r="M1489" s="60"/>
      <c r="N1489" s="60"/>
      <c r="O1489" s="60"/>
      <c r="P1489" s="60"/>
      <c r="Q1489" s="60"/>
      <c r="R1489" s="60"/>
      <c r="S1489" s="60"/>
      <c r="T1489" s="60"/>
      <c r="U1489" s="60"/>
      <c r="V1489" s="60"/>
      <c r="W1489" s="60"/>
      <c r="X1489" s="60"/>
      <c r="Y1489" s="60"/>
      <c r="Z1489" s="60"/>
    </row>
    <row r="1490" spans="1:26" ht="30" hidden="1" customHeight="1">
      <c r="A1490" s="95" t="s">
        <v>2967</v>
      </c>
      <c r="B1490" s="68" t="s">
        <v>2968</v>
      </c>
      <c r="C1490" s="99"/>
      <c r="D1490" s="96"/>
      <c r="E1490" s="53"/>
      <c r="F1490" s="53"/>
      <c r="G1490" s="96">
        <f t="shared" si="494"/>
        <v>0</v>
      </c>
      <c r="H1490" s="96"/>
      <c r="I1490" s="60"/>
      <c r="J1490" s="60"/>
      <c r="K1490" s="60"/>
      <c r="L1490" s="60"/>
      <c r="M1490" s="60"/>
      <c r="N1490" s="60"/>
      <c r="O1490" s="60"/>
      <c r="P1490" s="60"/>
      <c r="Q1490" s="60"/>
      <c r="R1490" s="60"/>
      <c r="S1490" s="60"/>
      <c r="T1490" s="60"/>
      <c r="U1490" s="60"/>
      <c r="V1490" s="60"/>
      <c r="W1490" s="60"/>
      <c r="X1490" s="60"/>
      <c r="Y1490" s="60"/>
      <c r="Z1490" s="60"/>
    </row>
    <row r="1491" spans="1:26" ht="30" hidden="1" customHeight="1">
      <c r="A1491" s="98" t="s">
        <v>2969</v>
      </c>
      <c r="B1491" s="68" t="s">
        <v>2970</v>
      </c>
      <c r="C1491" s="99"/>
      <c r="D1491" s="96"/>
      <c r="E1491" s="53"/>
      <c r="F1491" s="53"/>
      <c r="G1491" s="96">
        <f t="shared" si="494"/>
        <v>0</v>
      </c>
      <c r="H1491" s="96"/>
      <c r="I1491" s="60"/>
      <c r="J1491" s="60"/>
      <c r="K1491" s="60"/>
      <c r="L1491" s="60"/>
      <c r="M1491" s="60"/>
      <c r="N1491" s="60"/>
      <c r="O1491" s="60"/>
      <c r="P1491" s="60"/>
      <c r="Q1491" s="60"/>
      <c r="R1491" s="60"/>
      <c r="S1491" s="60"/>
      <c r="T1491" s="60"/>
      <c r="U1491" s="60"/>
      <c r="V1491" s="60"/>
      <c r="W1491" s="60"/>
      <c r="X1491" s="60"/>
      <c r="Y1491" s="60"/>
      <c r="Z1491" s="60"/>
    </row>
    <row r="1492" spans="1:26" ht="30" hidden="1" customHeight="1">
      <c r="A1492" s="95" t="s">
        <v>2971</v>
      </c>
      <c r="B1492" s="68" t="s">
        <v>2972</v>
      </c>
      <c r="C1492" s="99"/>
      <c r="D1492" s="96"/>
      <c r="E1492" s="53"/>
      <c r="F1492" s="53"/>
      <c r="G1492" s="96">
        <f t="shared" si="494"/>
        <v>0</v>
      </c>
      <c r="H1492" s="96"/>
      <c r="I1492" s="60"/>
      <c r="J1492" s="60"/>
      <c r="K1492" s="60"/>
      <c r="L1492" s="60"/>
      <c r="M1492" s="60"/>
      <c r="N1492" s="60"/>
      <c r="O1492" s="60"/>
      <c r="P1492" s="60"/>
      <c r="Q1492" s="60"/>
      <c r="R1492" s="60"/>
      <c r="S1492" s="60"/>
      <c r="T1492" s="60"/>
      <c r="U1492" s="60"/>
      <c r="V1492" s="60"/>
      <c r="W1492" s="60"/>
      <c r="X1492" s="60"/>
      <c r="Y1492" s="60"/>
      <c r="Z1492" s="60"/>
    </row>
    <row r="1493" spans="1:26" ht="30" hidden="1" customHeight="1">
      <c r="A1493" s="98" t="s">
        <v>2973</v>
      </c>
      <c r="B1493" s="68" t="s">
        <v>2974</v>
      </c>
      <c r="C1493" s="99"/>
      <c r="D1493" s="96"/>
      <c r="E1493" s="53">
        <v>44630150.219999999</v>
      </c>
      <c r="F1493" s="53">
        <v>37514884.829999998</v>
      </c>
      <c r="G1493" s="96">
        <f t="shared" si="494"/>
        <v>7115265.3899999997</v>
      </c>
      <c r="H1493" s="96"/>
      <c r="I1493" s="60"/>
      <c r="J1493" s="60"/>
      <c r="K1493" s="60"/>
      <c r="L1493" s="60"/>
      <c r="M1493" s="60"/>
      <c r="N1493" s="60"/>
      <c r="O1493" s="60"/>
      <c r="P1493" s="60"/>
      <c r="Q1493" s="60"/>
      <c r="R1493" s="60"/>
      <c r="S1493" s="60"/>
      <c r="T1493" s="60"/>
      <c r="U1493" s="60"/>
      <c r="V1493" s="60"/>
      <c r="W1493" s="60"/>
      <c r="X1493" s="60"/>
      <c r="Y1493" s="60"/>
      <c r="Z1493" s="60"/>
    </row>
    <row r="1494" spans="1:26" ht="30" hidden="1" customHeight="1">
      <c r="A1494" s="95" t="s">
        <v>2975</v>
      </c>
      <c r="B1494" s="68" t="s">
        <v>2976</v>
      </c>
      <c r="C1494" s="99"/>
      <c r="D1494" s="96"/>
      <c r="E1494" s="53"/>
      <c r="F1494" s="53"/>
      <c r="G1494" s="96">
        <f t="shared" si="494"/>
        <v>0</v>
      </c>
      <c r="H1494" s="96"/>
      <c r="I1494" s="60"/>
      <c r="J1494" s="60"/>
      <c r="K1494" s="60"/>
      <c r="L1494" s="60"/>
      <c r="M1494" s="60"/>
      <c r="N1494" s="60"/>
      <c r="O1494" s="60"/>
      <c r="P1494" s="60"/>
      <c r="Q1494" s="60"/>
      <c r="R1494" s="60"/>
      <c r="S1494" s="60"/>
      <c r="T1494" s="60"/>
      <c r="U1494" s="60"/>
      <c r="V1494" s="60"/>
      <c r="W1494" s="60"/>
      <c r="X1494" s="60"/>
      <c r="Y1494" s="60"/>
      <c r="Z1494" s="60"/>
    </row>
    <row r="1495" spans="1:26" ht="30" hidden="1" customHeight="1">
      <c r="A1495" s="92" t="s">
        <v>2977</v>
      </c>
      <c r="B1495" s="101" t="s">
        <v>2711</v>
      </c>
      <c r="C1495" s="94"/>
      <c r="D1495" s="94"/>
      <c r="E1495" s="39">
        <f t="shared" ref="E1495:G1495" si="495">SUM(E1496:E1501)</f>
        <v>1505134161.8800001</v>
      </c>
      <c r="F1495" s="39">
        <f t="shared" si="495"/>
        <v>1044751753.78</v>
      </c>
      <c r="G1495" s="39">
        <f t="shared" si="495"/>
        <v>460382408.10000002</v>
      </c>
      <c r="H1495" s="94"/>
      <c r="I1495" s="60"/>
      <c r="J1495" s="60"/>
      <c r="K1495" s="60"/>
      <c r="L1495" s="60"/>
      <c r="M1495" s="60"/>
      <c r="N1495" s="60"/>
      <c r="O1495" s="60"/>
      <c r="P1495" s="60"/>
      <c r="Q1495" s="60"/>
      <c r="R1495" s="60"/>
      <c r="S1495" s="60"/>
      <c r="T1495" s="60"/>
      <c r="U1495" s="60"/>
      <c r="V1495" s="60"/>
      <c r="W1495" s="60"/>
      <c r="X1495" s="60"/>
      <c r="Y1495" s="60"/>
      <c r="Z1495" s="60"/>
    </row>
    <row r="1496" spans="1:26" ht="30" hidden="1" customHeight="1">
      <c r="A1496" s="98" t="s">
        <v>2978</v>
      </c>
      <c r="B1496" s="68" t="s">
        <v>2979</v>
      </c>
      <c r="C1496" s="99"/>
      <c r="D1496" s="96"/>
      <c r="E1496" s="53">
        <v>1505134161.8800001</v>
      </c>
      <c r="F1496" s="53">
        <v>1044751753.78</v>
      </c>
      <c r="G1496" s="96">
        <f t="shared" ref="G1496:G1501" si="496">ROUND(E1496-F1496,2)</f>
        <v>460382408.10000002</v>
      </c>
      <c r="H1496" s="96"/>
      <c r="I1496" s="60"/>
      <c r="J1496" s="60"/>
      <c r="K1496" s="60"/>
      <c r="L1496" s="60"/>
      <c r="M1496" s="60"/>
      <c r="N1496" s="60"/>
      <c r="O1496" s="60"/>
      <c r="P1496" s="60"/>
      <c r="Q1496" s="60"/>
      <c r="R1496" s="60"/>
      <c r="S1496" s="60"/>
      <c r="T1496" s="60"/>
      <c r="U1496" s="60"/>
      <c r="V1496" s="60"/>
      <c r="W1496" s="60"/>
      <c r="X1496" s="60"/>
      <c r="Y1496" s="60"/>
      <c r="Z1496" s="60"/>
    </row>
    <row r="1497" spans="1:26" ht="30" hidden="1" customHeight="1">
      <c r="A1497" s="95" t="s">
        <v>2980</v>
      </c>
      <c r="B1497" s="68" t="s">
        <v>2981</v>
      </c>
      <c r="C1497" s="99"/>
      <c r="D1497" s="96"/>
      <c r="E1497" s="53"/>
      <c r="F1497" s="53"/>
      <c r="G1497" s="96">
        <f t="shared" si="496"/>
        <v>0</v>
      </c>
      <c r="H1497" s="96"/>
      <c r="I1497" s="60"/>
      <c r="J1497" s="60"/>
      <c r="K1497" s="60"/>
      <c r="L1497" s="60"/>
      <c r="M1497" s="60"/>
      <c r="N1497" s="60"/>
      <c r="O1497" s="60"/>
      <c r="P1497" s="60"/>
      <c r="Q1497" s="60"/>
      <c r="R1497" s="60"/>
      <c r="S1497" s="60"/>
      <c r="T1497" s="60"/>
      <c r="U1497" s="60"/>
      <c r="V1497" s="60"/>
      <c r="W1497" s="60"/>
      <c r="X1497" s="60"/>
      <c r="Y1497" s="60"/>
      <c r="Z1497" s="60"/>
    </row>
    <row r="1498" spans="1:26" ht="30" hidden="1" customHeight="1">
      <c r="A1498" s="98" t="s">
        <v>2982</v>
      </c>
      <c r="B1498" s="68" t="s">
        <v>2983</v>
      </c>
      <c r="C1498" s="99"/>
      <c r="D1498" s="96"/>
      <c r="E1498" s="53"/>
      <c r="F1498" s="53"/>
      <c r="G1498" s="96">
        <f t="shared" si="496"/>
        <v>0</v>
      </c>
      <c r="H1498" s="96"/>
      <c r="I1498" s="60"/>
      <c r="J1498" s="60"/>
      <c r="K1498" s="60"/>
      <c r="L1498" s="60"/>
      <c r="M1498" s="60"/>
      <c r="N1498" s="60"/>
      <c r="O1498" s="60"/>
      <c r="P1498" s="60"/>
      <c r="Q1498" s="60"/>
      <c r="R1498" s="60"/>
      <c r="S1498" s="60"/>
      <c r="T1498" s="60"/>
      <c r="U1498" s="60"/>
      <c r="V1498" s="60"/>
      <c r="W1498" s="60"/>
      <c r="X1498" s="60"/>
      <c r="Y1498" s="60"/>
      <c r="Z1498" s="60"/>
    </row>
    <row r="1499" spans="1:26" ht="30" hidden="1" customHeight="1">
      <c r="A1499" s="95" t="s">
        <v>2984</v>
      </c>
      <c r="B1499" s="68" t="s">
        <v>2985</v>
      </c>
      <c r="C1499" s="99"/>
      <c r="D1499" s="96"/>
      <c r="E1499" s="53"/>
      <c r="F1499" s="53"/>
      <c r="G1499" s="96">
        <f t="shared" si="496"/>
        <v>0</v>
      </c>
      <c r="H1499" s="96"/>
      <c r="I1499" s="60"/>
      <c r="J1499" s="60"/>
      <c r="K1499" s="60"/>
      <c r="L1499" s="60"/>
      <c r="M1499" s="60"/>
      <c r="N1499" s="60"/>
      <c r="O1499" s="60"/>
      <c r="P1499" s="60"/>
      <c r="Q1499" s="60"/>
      <c r="R1499" s="60"/>
      <c r="S1499" s="60"/>
      <c r="T1499" s="60"/>
      <c r="U1499" s="60"/>
      <c r="V1499" s="60"/>
      <c r="W1499" s="60"/>
      <c r="X1499" s="60"/>
      <c r="Y1499" s="60"/>
      <c r="Z1499" s="60"/>
    </row>
    <row r="1500" spans="1:26" ht="30" hidden="1" customHeight="1">
      <c r="A1500" s="98" t="s">
        <v>2986</v>
      </c>
      <c r="B1500" s="68" t="s">
        <v>2987</v>
      </c>
      <c r="C1500" s="99"/>
      <c r="D1500" s="96"/>
      <c r="E1500" s="53"/>
      <c r="F1500" s="53"/>
      <c r="G1500" s="96">
        <f t="shared" si="496"/>
        <v>0</v>
      </c>
      <c r="H1500" s="96"/>
      <c r="I1500" s="60"/>
      <c r="J1500" s="60"/>
      <c r="K1500" s="60"/>
      <c r="L1500" s="60"/>
      <c r="M1500" s="60"/>
      <c r="N1500" s="60"/>
      <c r="O1500" s="60"/>
      <c r="P1500" s="60"/>
      <c r="Q1500" s="60"/>
      <c r="R1500" s="60"/>
      <c r="S1500" s="60"/>
      <c r="T1500" s="60"/>
      <c r="U1500" s="60"/>
      <c r="V1500" s="60"/>
      <c r="W1500" s="60"/>
      <c r="X1500" s="60"/>
      <c r="Y1500" s="60"/>
      <c r="Z1500" s="60"/>
    </row>
    <row r="1501" spans="1:26" ht="30" hidden="1" customHeight="1">
      <c r="A1501" s="95" t="s">
        <v>2988</v>
      </c>
      <c r="B1501" s="68" t="s">
        <v>2989</v>
      </c>
      <c r="C1501" s="99"/>
      <c r="D1501" s="96"/>
      <c r="E1501" s="53"/>
      <c r="F1501" s="53"/>
      <c r="G1501" s="96">
        <f t="shared" si="496"/>
        <v>0</v>
      </c>
      <c r="H1501" s="96"/>
      <c r="I1501" s="60"/>
      <c r="J1501" s="60"/>
      <c r="K1501" s="60"/>
      <c r="L1501" s="60"/>
      <c r="M1501" s="60"/>
      <c r="N1501" s="60"/>
      <c r="O1501" s="60"/>
      <c r="P1501" s="60"/>
      <c r="Q1501" s="60"/>
      <c r="R1501" s="60"/>
      <c r="S1501" s="60"/>
      <c r="T1501" s="60"/>
      <c r="U1501" s="60"/>
      <c r="V1501" s="60"/>
      <c r="W1501" s="60"/>
      <c r="X1501" s="60"/>
      <c r="Y1501" s="60"/>
      <c r="Z1501" s="60"/>
    </row>
    <row r="1502" spans="1:26" ht="30" hidden="1" customHeight="1">
      <c r="A1502" s="92" t="s">
        <v>2990</v>
      </c>
      <c r="B1502" s="101" t="s">
        <v>2725</v>
      </c>
      <c r="C1502" s="94"/>
      <c r="D1502" s="94"/>
      <c r="E1502" s="39">
        <f t="shared" ref="E1502:G1502" si="497">SUM(E1503:E1516)</f>
        <v>665205720.50999999</v>
      </c>
      <c r="F1502" s="39">
        <f t="shared" si="497"/>
        <v>665205720.50999999</v>
      </c>
      <c r="G1502" s="39">
        <f t="shared" si="497"/>
        <v>0</v>
      </c>
      <c r="H1502" s="94"/>
      <c r="I1502" s="60"/>
      <c r="J1502" s="60"/>
      <c r="K1502" s="60"/>
      <c r="L1502" s="60"/>
      <c r="M1502" s="60"/>
      <c r="N1502" s="60"/>
      <c r="O1502" s="60"/>
      <c r="P1502" s="60"/>
      <c r="Q1502" s="60"/>
      <c r="R1502" s="60"/>
      <c r="S1502" s="60"/>
      <c r="T1502" s="60"/>
      <c r="U1502" s="60"/>
      <c r="V1502" s="60"/>
      <c r="W1502" s="60"/>
      <c r="X1502" s="60"/>
      <c r="Y1502" s="60"/>
      <c r="Z1502" s="60"/>
    </row>
    <row r="1503" spans="1:26" ht="30" hidden="1" customHeight="1">
      <c r="A1503" s="98" t="s">
        <v>2991</v>
      </c>
      <c r="B1503" s="68" t="s">
        <v>2992</v>
      </c>
      <c r="C1503" s="99"/>
      <c r="D1503" s="96"/>
      <c r="E1503" s="53"/>
      <c r="F1503" s="53"/>
      <c r="G1503" s="96">
        <f t="shared" ref="G1503:G1516" si="498">ROUND(E1503-F1503,2)</f>
        <v>0</v>
      </c>
      <c r="H1503" s="96"/>
      <c r="I1503" s="60"/>
      <c r="J1503" s="60"/>
      <c r="K1503" s="60"/>
      <c r="L1503" s="60"/>
      <c r="M1503" s="60"/>
      <c r="N1503" s="60"/>
      <c r="O1503" s="60"/>
      <c r="P1503" s="60"/>
      <c r="Q1503" s="60"/>
      <c r="R1503" s="60"/>
      <c r="S1503" s="60"/>
      <c r="T1503" s="60"/>
      <c r="U1503" s="60"/>
      <c r="V1503" s="60"/>
      <c r="W1503" s="60"/>
      <c r="X1503" s="60"/>
      <c r="Y1503" s="60"/>
      <c r="Z1503" s="60"/>
    </row>
    <row r="1504" spans="1:26" ht="30" hidden="1" customHeight="1">
      <c r="A1504" s="95" t="s">
        <v>2993</v>
      </c>
      <c r="B1504" s="68" t="s">
        <v>2994</v>
      </c>
      <c r="C1504" s="99"/>
      <c r="D1504" s="96"/>
      <c r="E1504" s="53"/>
      <c r="F1504" s="53"/>
      <c r="G1504" s="96">
        <f t="shared" si="498"/>
        <v>0</v>
      </c>
      <c r="H1504" s="96"/>
      <c r="I1504" s="60"/>
      <c r="J1504" s="60"/>
      <c r="K1504" s="60"/>
      <c r="L1504" s="60"/>
      <c r="M1504" s="60"/>
      <c r="N1504" s="60"/>
      <c r="O1504" s="60"/>
      <c r="P1504" s="60"/>
      <c r="Q1504" s="60"/>
      <c r="R1504" s="60"/>
      <c r="S1504" s="60"/>
      <c r="T1504" s="60"/>
      <c r="U1504" s="60"/>
      <c r="V1504" s="60"/>
      <c r="W1504" s="60"/>
      <c r="X1504" s="60"/>
      <c r="Y1504" s="60"/>
      <c r="Z1504" s="60"/>
    </row>
    <row r="1505" spans="1:26" ht="30" hidden="1" customHeight="1">
      <c r="A1505" s="98" t="s">
        <v>2995</v>
      </c>
      <c r="B1505" s="68" t="s">
        <v>2996</v>
      </c>
      <c r="C1505" s="99"/>
      <c r="D1505" s="96"/>
      <c r="E1505" s="53"/>
      <c r="F1505" s="53"/>
      <c r="G1505" s="96">
        <f t="shared" si="498"/>
        <v>0</v>
      </c>
      <c r="H1505" s="96"/>
      <c r="I1505" s="60"/>
      <c r="J1505" s="60"/>
      <c r="K1505" s="60"/>
      <c r="L1505" s="60"/>
      <c r="M1505" s="60"/>
      <c r="N1505" s="60"/>
      <c r="O1505" s="60"/>
      <c r="P1505" s="60"/>
      <c r="Q1505" s="60"/>
      <c r="R1505" s="60"/>
      <c r="S1505" s="60"/>
      <c r="T1505" s="60"/>
      <c r="U1505" s="60"/>
      <c r="V1505" s="60"/>
      <c r="W1505" s="60"/>
      <c r="X1505" s="60"/>
      <c r="Y1505" s="60"/>
      <c r="Z1505" s="60"/>
    </row>
    <row r="1506" spans="1:26" ht="30" hidden="1" customHeight="1">
      <c r="A1506" s="95" t="s">
        <v>2997</v>
      </c>
      <c r="B1506" s="68" t="s">
        <v>2998</v>
      </c>
      <c r="C1506" s="99"/>
      <c r="D1506" s="96"/>
      <c r="E1506" s="53"/>
      <c r="F1506" s="53"/>
      <c r="G1506" s="96">
        <f t="shared" si="498"/>
        <v>0</v>
      </c>
      <c r="H1506" s="96"/>
      <c r="I1506" s="60"/>
      <c r="J1506" s="60"/>
      <c r="K1506" s="60"/>
      <c r="L1506" s="60"/>
      <c r="M1506" s="60"/>
      <c r="N1506" s="60"/>
      <c r="O1506" s="60"/>
      <c r="P1506" s="60"/>
      <c r="Q1506" s="60"/>
      <c r="R1506" s="60"/>
      <c r="S1506" s="60"/>
      <c r="T1506" s="60"/>
      <c r="U1506" s="60"/>
      <c r="V1506" s="60"/>
      <c r="W1506" s="60"/>
      <c r="X1506" s="60"/>
      <c r="Y1506" s="60"/>
      <c r="Z1506" s="60"/>
    </row>
    <row r="1507" spans="1:26" ht="30" hidden="1" customHeight="1">
      <c r="A1507" s="98" t="s">
        <v>2999</v>
      </c>
      <c r="B1507" s="68" t="s">
        <v>3000</v>
      </c>
      <c r="C1507" s="99"/>
      <c r="D1507" s="96"/>
      <c r="E1507" s="53"/>
      <c r="F1507" s="53"/>
      <c r="G1507" s="96">
        <f t="shared" si="498"/>
        <v>0</v>
      </c>
      <c r="H1507" s="96"/>
      <c r="I1507" s="60"/>
      <c r="J1507" s="60"/>
      <c r="K1507" s="60"/>
      <c r="L1507" s="60"/>
      <c r="M1507" s="60"/>
      <c r="N1507" s="60"/>
      <c r="O1507" s="60"/>
      <c r="P1507" s="60"/>
      <c r="Q1507" s="60"/>
      <c r="R1507" s="60"/>
      <c r="S1507" s="60"/>
      <c r="T1507" s="60"/>
      <c r="U1507" s="60"/>
      <c r="V1507" s="60"/>
      <c r="W1507" s="60"/>
      <c r="X1507" s="60"/>
      <c r="Y1507" s="60"/>
      <c r="Z1507" s="60"/>
    </row>
    <row r="1508" spans="1:26" ht="30" hidden="1" customHeight="1">
      <c r="A1508" s="95" t="s">
        <v>3001</v>
      </c>
      <c r="B1508" s="68" t="s">
        <v>3002</v>
      </c>
      <c r="C1508" s="99"/>
      <c r="D1508" s="96"/>
      <c r="E1508" s="53"/>
      <c r="F1508" s="53"/>
      <c r="G1508" s="96">
        <f t="shared" si="498"/>
        <v>0</v>
      </c>
      <c r="H1508" s="96"/>
      <c r="I1508" s="60"/>
      <c r="J1508" s="60"/>
      <c r="K1508" s="60"/>
      <c r="L1508" s="60"/>
      <c r="M1508" s="60"/>
      <c r="N1508" s="60"/>
      <c r="O1508" s="60"/>
      <c r="P1508" s="60"/>
      <c r="Q1508" s="60"/>
      <c r="R1508" s="60"/>
      <c r="S1508" s="60"/>
      <c r="T1508" s="60"/>
      <c r="U1508" s="60"/>
      <c r="V1508" s="60"/>
      <c r="W1508" s="60"/>
      <c r="X1508" s="60"/>
      <c r="Y1508" s="60"/>
      <c r="Z1508" s="60"/>
    </row>
    <row r="1509" spans="1:26" ht="30" hidden="1" customHeight="1">
      <c r="A1509" s="98" t="s">
        <v>3003</v>
      </c>
      <c r="B1509" s="68" t="s">
        <v>3004</v>
      </c>
      <c r="C1509" s="99"/>
      <c r="D1509" s="96"/>
      <c r="E1509" s="53"/>
      <c r="F1509" s="53"/>
      <c r="G1509" s="96">
        <f t="shared" si="498"/>
        <v>0</v>
      </c>
      <c r="H1509" s="96"/>
      <c r="I1509" s="60"/>
      <c r="J1509" s="60"/>
      <c r="K1509" s="60"/>
      <c r="L1509" s="60"/>
      <c r="M1509" s="60"/>
      <c r="N1509" s="60"/>
      <c r="O1509" s="60"/>
      <c r="P1509" s="60"/>
      <c r="Q1509" s="60"/>
      <c r="R1509" s="60"/>
      <c r="S1509" s="60"/>
      <c r="T1509" s="60"/>
      <c r="U1509" s="60"/>
      <c r="V1509" s="60"/>
      <c r="W1509" s="60"/>
      <c r="X1509" s="60"/>
      <c r="Y1509" s="60"/>
      <c r="Z1509" s="60"/>
    </row>
    <row r="1510" spans="1:26" ht="30" hidden="1" customHeight="1">
      <c r="A1510" s="95" t="s">
        <v>3005</v>
      </c>
      <c r="B1510" s="68" t="s">
        <v>3006</v>
      </c>
      <c r="C1510" s="99"/>
      <c r="D1510" s="96"/>
      <c r="E1510" s="53"/>
      <c r="F1510" s="53"/>
      <c r="G1510" s="96">
        <f t="shared" si="498"/>
        <v>0</v>
      </c>
      <c r="H1510" s="96"/>
      <c r="I1510" s="60"/>
      <c r="J1510" s="60"/>
      <c r="K1510" s="60"/>
      <c r="L1510" s="60"/>
      <c r="M1510" s="60"/>
      <c r="N1510" s="60"/>
      <c r="O1510" s="60"/>
      <c r="P1510" s="60"/>
      <c r="Q1510" s="60"/>
      <c r="R1510" s="60"/>
      <c r="S1510" s="60"/>
      <c r="T1510" s="60"/>
      <c r="U1510" s="60"/>
      <c r="V1510" s="60"/>
      <c r="W1510" s="60"/>
      <c r="X1510" s="60"/>
      <c r="Y1510" s="60"/>
      <c r="Z1510" s="60"/>
    </row>
    <row r="1511" spans="1:26" ht="30" hidden="1" customHeight="1">
      <c r="A1511" s="98" t="s">
        <v>3007</v>
      </c>
      <c r="B1511" s="68" t="s">
        <v>3008</v>
      </c>
      <c r="C1511" s="99"/>
      <c r="D1511" s="96"/>
      <c r="E1511" s="53"/>
      <c r="F1511" s="53"/>
      <c r="G1511" s="96">
        <f t="shared" si="498"/>
        <v>0</v>
      </c>
      <c r="H1511" s="96"/>
      <c r="I1511" s="60"/>
      <c r="J1511" s="60"/>
      <c r="K1511" s="60"/>
      <c r="L1511" s="60"/>
      <c r="M1511" s="60"/>
      <c r="N1511" s="60"/>
      <c r="O1511" s="60"/>
      <c r="P1511" s="60"/>
      <c r="Q1511" s="60"/>
      <c r="R1511" s="60"/>
      <c r="S1511" s="60"/>
      <c r="T1511" s="60"/>
      <c r="U1511" s="60"/>
      <c r="V1511" s="60"/>
      <c r="W1511" s="60"/>
      <c r="X1511" s="60"/>
      <c r="Y1511" s="60"/>
      <c r="Z1511" s="60"/>
    </row>
    <row r="1512" spans="1:26" ht="30" hidden="1" customHeight="1">
      <c r="A1512" s="95" t="s">
        <v>3009</v>
      </c>
      <c r="B1512" s="68" t="s">
        <v>3010</v>
      </c>
      <c r="C1512" s="99"/>
      <c r="D1512" s="96"/>
      <c r="E1512" s="53"/>
      <c r="F1512" s="53"/>
      <c r="G1512" s="96">
        <f t="shared" si="498"/>
        <v>0</v>
      </c>
      <c r="H1512" s="96"/>
      <c r="I1512" s="60"/>
      <c r="J1512" s="60"/>
      <c r="K1512" s="60"/>
      <c r="L1512" s="60"/>
      <c r="M1512" s="60"/>
      <c r="N1512" s="60"/>
      <c r="O1512" s="60"/>
      <c r="P1512" s="60"/>
      <c r="Q1512" s="60"/>
      <c r="R1512" s="60"/>
      <c r="S1512" s="60"/>
      <c r="T1512" s="60"/>
      <c r="U1512" s="60"/>
      <c r="V1512" s="60"/>
      <c r="W1512" s="60"/>
      <c r="X1512" s="60"/>
      <c r="Y1512" s="60"/>
      <c r="Z1512" s="60"/>
    </row>
    <row r="1513" spans="1:26" ht="30" hidden="1" customHeight="1">
      <c r="A1513" s="98" t="s">
        <v>3011</v>
      </c>
      <c r="B1513" s="68" t="s">
        <v>3012</v>
      </c>
      <c r="C1513" s="99"/>
      <c r="D1513" s="96"/>
      <c r="E1513" s="53"/>
      <c r="F1513" s="53"/>
      <c r="G1513" s="96">
        <f t="shared" si="498"/>
        <v>0</v>
      </c>
      <c r="H1513" s="96"/>
      <c r="I1513" s="60"/>
      <c r="J1513" s="60"/>
      <c r="K1513" s="60"/>
      <c r="L1513" s="60"/>
      <c r="M1513" s="60"/>
      <c r="N1513" s="60"/>
      <c r="O1513" s="60"/>
      <c r="P1513" s="60"/>
      <c r="Q1513" s="60"/>
      <c r="R1513" s="60"/>
      <c r="S1513" s="60"/>
      <c r="T1513" s="60"/>
      <c r="U1513" s="60"/>
      <c r="V1513" s="60"/>
      <c r="W1513" s="60"/>
      <c r="X1513" s="60"/>
      <c r="Y1513" s="60"/>
      <c r="Z1513" s="60"/>
    </row>
    <row r="1514" spans="1:26" ht="30" hidden="1" customHeight="1">
      <c r="A1514" s="95" t="s">
        <v>3013</v>
      </c>
      <c r="B1514" s="68" t="s">
        <v>3014</v>
      </c>
      <c r="C1514" s="99"/>
      <c r="D1514" s="96"/>
      <c r="E1514" s="53"/>
      <c r="F1514" s="53"/>
      <c r="G1514" s="96">
        <f t="shared" si="498"/>
        <v>0</v>
      </c>
      <c r="H1514" s="96"/>
      <c r="I1514" s="60"/>
      <c r="J1514" s="60"/>
      <c r="K1514" s="60"/>
      <c r="L1514" s="60"/>
      <c r="M1514" s="60"/>
      <c r="N1514" s="60"/>
      <c r="O1514" s="60"/>
      <c r="P1514" s="60"/>
      <c r="Q1514" s="60"/>
      <c r="R1514" s="60"/>
      <c r="S1514" s="60"/>
      <c r="T1514" s="60"/>
      <c r="U1514" s="60"/>
      <c r="V1514" s="60"/>
      <c r="W1514" s="60"/>
      <c r="X1514" s="60"/>
      <c r="Y1514" s="60"/>
      <c r="Z1514" s="60"/>
    </row>
    <row r="1515" spans="1:26" ht="30" hidden="1" customHeight="1">
      <c r="A1515" s="98" t="s">
        <v>3015</v>
      </c>
      <c r="B1515" s="68" t="s">
        <v>3016</v>
      </c>
      <c r="C1515" s="99"/>
      <c r="D1515" s="96"/>
      <c r="E1515" s="53">
        <v>665205720.50999999</v>
      </c>
      <c r="F1515" s="53">
        <v>665205720.50999999</v>
      </c>
      <c r="G1515" s="96">
        <f t="shared" si="498"/>
        <v>0</v>
      </c>
      <c r="H1515" s="96"/>
      <c r="I1515" s="60"/>
      <c r="J1515" s="60"/>
      <c r="K1515" s="60"/>
      <c r="L1515" s="60"/>
      <c r="M1515" s="60"/>
      <c r="N1515" s="60"/>
      <c r="O1515" s="60"/>
      <c r="P1515" s="60"/>
      <c r="Q1515" s="60"/>
      <c r="R1515" s="60"/>
      <c r="S1515" s="60"/>
      <c r="T1515" s="60"/>
      <c r="U1515" s="60"/>
      <c r="V1515" s="60"/>
      <c r="W1515" s="60"/>
      <c r="X1515" s="60"/>
      <c r="Y1515" s="60"/>
      <c r="Z1515" s="60"/>
    </row>
    <row r="1516" spans="1:26" ht="30" hidden="1" customHeight="1">
      <c r="A1516" s="95" t="s">
        <v>3017</v>
      </c>
      <c r="B1516" s="68" t="s">
        <v>3018</v>
      </c>
      <c r="C1516" s="99"/>
      <c r="D1516" s="96"/>
      <c r="E1516" s="53"/>
      <c r="F1516" s="53"/>
      <c r="G1516" s="96">
        <f t="shared" si="498"/>
        <v>0</v>
      </c>
      <c r="H1516" s="96"/>
      <c r="I1516" s="60"/>
      <c r="J1516" s="60"/>
      <c r="K1516" s="60"/>
      <c r="L1516" s="60"/>
      <c r="M1516" s="60"/>
      <c r="N1516" s="60"/>
      <c r="O1516" s="60"/>
      <c r="P1516" s="60"/>
      <c r="Q1516" s="60"/>
      <c r="R1516" s="60"/>
      <c r="S1516" s="60"/>
      <c r="T1516" s="60"/>
      <c r="U1516" s="60"/>
      <c r="V1516" s="60"/>
      <c r="W1516" s="60"/>
      <c r="X1516" s="60"/>
      <c r="Y1516" s="60"/>
      <c r="Z1516" s="60"/>
    </row>
    <row r="1517" spans="1:26" ht="30" hidden="1" customHeight="1">
      <c r="A1517" s="92" t="s">
        <v>3019</v>
      </c>
      <c r="B1517" s="102" t="s">
        <v>2755</v>
      </c>
      <c r="C1517" s="94"/>
      <c r="D1517" s="94"/>
      <c r="E1517" s="39">
        <f t="shared" ref="E1517:G1517" si="499">SUM(E1518:E1523)</f>
        <v>0</v>
      </c>
      <c r="F1517" s="39">
        <f t="shared" si="499"/>
        <v>0</v>
      </c>
      <c r="G1517" s="39">
        <f t="shared" si="499"/>
        <v>0</v>
      </c>
      <c r="H1517" s="94"/>
      <c r="I1517" s="60"/>
      <c r="J1517" s="60"/>
      <c r="K1517" s="60"/>
      <c r="L1517" s="60"/>
      <c r="M1517" s="60"/>
      <c r="N1517" s="60"/>
      <c r="O1517" s="60"/>
      <c r="P1517" s="60"/>
      <c r="Q1517" s="60"/>
      <c r="R1517" s="60"/>
      <c r="S1517" s="60"/>
      <c r="T1517" s="60"/>
      <c r="U1517" s="60"/>
      <c r="V1517" s="60"/>
      <c r="W1517" s="60"/>
      <c r="X1517" s="60"/>
      <c r="Y1517" s="60"/>
      <c r="Z1517" s="60"/>
    </row>
    <row r="1518" spans="1:26" ht="30" hidden="1" customHeight="1">
      <c r="A1518" s="95" t="s">
        <v>3020</v>
      </c>
      <c r="B1518" s="55" t="s">
        <v>3021</v>
      </c>
      <c r="C1518" s="96"/>
      <c r="D1518" s="96"/>
      <c r="E1518" s="96"/>
      <c r="F1518" s="96"/>
      <c r="G1518" s="96">
        <f t="shared" ref="G1518:G1523" si="500">ROUND(E1518-F1518,2)</f>
        <v>0</v>
      </c>
      <c r="H1518" s="96"/>
      <c r="I1518" s="60"/>
      <c r="J1518" s="60"/>
      <c r="K1518" s="60"/>
      <c r="L1518" s="60"/>
      <c r="M1518" s="60"/>
      <c r="N1518" s="60"/>
      <c r="O1518" s="60"/>
      <c r="P1518" s="60"/>
      <c r="Q1518" s="60"/>
      <c r="R1518" s="60"/>
      <c r="S1518" s="60"/>
      <c r="T1518" s="60"/>
      <c r="U1518" s="60"/>
      <c r="V1518" s="60"/>
      <c r="W1518" s="60"/>
      <c r="X1518" s="60"/>
      <c r="Y1518" s="60"/>
      <c r="Z1518" s="60"/>
    </row>
    <row r="1519" spans="1:26" ht="30" hidden="1" customHeight="1">
      <c r="A1519" s="95" t="s">
        <v>3022</v>
      </c>
      <c r="B1519" s="55" t="s">
        <v>3023</v>
      </c>
      <c r="C1519" s="96"/>
      <c r="D1519" s="96"/>
      <c r="E1519" s="96"/>
      <c r="F1519" s="96"/>
      <c r="G1519" s="96">
        <f t="shared" si="500"/>
        <v>0</v>
      </c>
      <c r="H1519" s="96"/>
      <c r="I1519" s="60"/>
      <c r="J1519" s="60"/>
      <c r="K1519" s="60"/>
      <c r="L1519" s="60"/>
      <c r="M1519" s="60"/>
      <c r="N1519" s="60"/>
      <c r="O1519" s="60"/>
      <c r="P1519" s="60"/>
      <c r="Q1519" s="60"/>
      <c r="R1519" s="60"/>
      <c r="S1519" s="60"/>
      <c r="T1519" s="60"/>
      <c r="U1519" s="60"/>
      <c r="V1519" s="60"/>
      <c r="W1519" s="60"/>
      <c r="X1519" s="60"/>
      <c r="Y1519" s="60"/>
      <c r="Z1519" s="60"/>
    </row>
    <row r="1520" spans="1:26" ht="30" hidden="1" customHeight="1">
      <c r="A1520" s="95" t="s">
        <v>3024</v>
      </c>
      <c r="B1520" s="55" t="s">
        <v>3025</v>
      </c>
      <c r="C1520" s="96"/>
      <c r="D1520" s="96"/>
      <c r="E1520" s="96"/>
      <c r="F1520" s="96"/>
      <c r="G1520" s="96">
        <f t="shared" si="500"/>
        <v>0</v>
      </c>
      <c r="H1520" s="96"/>
      <c r="I1520" s="60"/>
      <c r="J1520" s="60"/>
      <c r="K1520" s="60"/>
      <c r="L1520" s="60"/>
      <c r="M1520" s="60"/>
      <c r="N1520" s="60"/>
      <c r="O1520" s="60"/>
      <c r="P1520" s="60"/>
      <c r="Q1520" s="60"/>
      <c r="R1520" s="60"/>
      <c r="S1520" s="60"/>
      <c r="T1520" s="60"/>
      <c r="U1520" s="60"/>
      <c r="V1520" s="60"/>
      <c r="W1520" s="60"/>
      <c r="X1520" s="60"/>
      <c r="Y1520" s="60"/>
      <c r="Z1520" s="60"/>
    </row>
    <row r="1521" spans="1:26" ht="30" hidden="1" customHeight="1">
      <c r="A1521" s="95" t="s">
        <v>3026</v>
      </c>
      <c r="B1521" s="55" t="s">
        <v>3027</v>
      </c>
      <c r="C1521" s="96"/>
      <c r="D1521" s="96"/>
      <c r="E1521" s="96"/>
      <c r="F1521" s="96"/>
      <c r="G1521" s="96">
        <f t="shared" si="500"/>
        <v>0</v>
      </c>
      <c r="H1521" s="96"/>
      <c r="I1521" s="60"/>
      <c r="J1521" s="60"/>
      <c r="K1521" s="60"/>
      <c r="L1521" s="60"/>
      <c r="M1521" s="60"/>
      <c r="N1521" s="60"/>
      <c r="O1521" s="60"/>
      <c r="P1521" s="60"/>
      <c r="Q1521" s="60"/>
      <c r="R1521" s="60"/>
      <c r="S1521" s="60"/>
      <c r="T1521" s="60"/>
      <c r="U1521" s="60"/>
      <c r="V1521" s="60"/>
      <c r="W1521" s="60"/>
      <c r="X1521" s="60"/>
      <c r="Y1521" s="60"/>
      <c r="Z1521" s="60"/>
    </row>
    <row r="1522" spans="1:26" ht="30" hidden="1" customHeight="1">
      <c r="A1522" s="95" t="s">
        <v>3028</v>
      </c>
      <c r="B1522" s="55" t="s">
        <v>3029</v>
      </c>
      <c r="C1522" s="96"/>
      <c r="D1522" s="96"/>
      <c r="E1522" s="53"/>
      <c r="F1522" s="53"/>
      <c r="G1522" s="96">
        <f t="shared" si="500"/>
        <v>0</v>
      </c>
      <c r="H1522" s="96"/>
      <c r="I1522" s="60"/>
      <c r="J1522" s="60"/>
      <c r="K1522" s="60"/>
      <c r="L1522" s="60"/>
      <c r="M1522" s="60"/>
      <c r="N1522" s="60"/>
      <c r="O1522" s="60"/>
      <c r="P1522" s="60"/>
      <c r="Q1522" s="60"/>
      <c r="R1522" s="60"/>
      <c r="S1522" s="60"/>
      <c r="T1522" s="60"/>
      <c r="U1522" s="60"/>
      <c r="V1522" s="60"/>
      <c r="W1522" s="60"/>
      <c r="X1522" s="60"/>
      <c r="Y1522" s="60"/>
      <c r="Z1522" s="60"/>
    </row>
    <row r="1523" spans="1:26" ht="30" hidden="1" customHeight="1">
      <c r="A1523" s="95" t="s">
        <v>3030</v>
      </c>
      <c r="B1523" s="55" t="s">
        <v>3031</v>
      </c>
      <c r="C1523" s="96"/>
      <c r="D1523" s="96"/>
      <c r="E1523" s="53"/>
      <c r="F1523" s="53"/>
      <c r="G1523" s="96">
        <f t="shared" si="500"/>
        <v>0</v>
      </c>
      <c r="H1523" s="96"/>
      <c r="I1523" s="60"/>
      <c r="J1523" s="60"/>
      <c r="K1523" s="60"/>
      <c r="L1523" s="60"/>
      <c r="M1523" s="60"/>
      <c r="N1523" s="60"/>
      <c r="O1523" s="60"/>
      <c r="P1523" s="60"/>
      <c r="Q1523" s="60"/>
      <c r="R1523" s="60"/>
      <c r="S1523" s="60"/>
      <c r="T1523" s="60"/>
      <c r="U1523" s="60"/>
      <c r="V1523" s="60"/>
      <c r="W1523" s="60"/>
      <c r="X1523" s="60"/>
      <c r="Y1523" s="60"/>
      <c r="Z1523" s="60"/>
    </row>
    <row r="1524" spans="1:26" ht="30" hidden="1" customHeight="1">
      <c r="A1524" s="44" t="s">
        <v>3032</v>
      </c>
      <c r="B1524" s="100" t="s">
        <v>2769</v>
      </c>
      <c r="C1524" s="39"/>
      <c r="D1524" s="39"/>
      <c r="E1524" s="39">
        <f t="shared" ref="E1524:G1524" si="501">SUM(E1525:E1538)</f>
        <v>561967484.03999996</v>
      </c>
      <c r="F1524" s="39">
        <f t="shared" si="501"/>
        <v>268348122.37</v>
      </c>
      <c r="G1524" s="39">
        <f t="shared" si="501"/>
        <v>293619361.67000002</v>
      </c>
      <c r="H1524" s="94"/>
      <c r="I1524" s="60"/>
      <c r="J1524" s="60"/>
      <c r="K1524" s="60"/>
      <c r="L1524" s="60"/>
      <c r="M1524" s="60"/>
      <c r="N1524" s="60"/>
      <c r="O1524" s="60"/>
      <c r="P1524" s="60"/>
      <c r="Q1524" s="60"/>
      <c r="R1524" s="60"/>
      <c r="S1524" s="60"/>
      <c r="T1524" s="60"/>
      <c r="U1524" s="60"/>
      <c r="V1524" s="60"/>
      <c r="W1524" s="60"/>
      <c r="X1524" s="60"/>
      <c r="Y1524" s="60"/>
      <c r="Z1524" s="60"/>
    </row>
    <row r="1525" spans="1:26" ht="30" hidden="1" customHeight="1">
      <c r="A1525" s="57" t="s">
        <v>3033</v>
      </c>
      <c r="B1525" s="51" t="s">
        <v>3034</v>
      </c>
      <c r="C1525" s="58"/>
      <c r="D1525" s="52"/>
      <c r="E1525" s="53">
        <v>414059568.02999997</v>
      </c>
      <c r="F1525" s="53">
        <v>198205039.28999999</v>
      </c>
      <c r="G1525" s="96">
        <f t="shared" ref="G1525:G1538" si="502">ROUND(E1525-F1525,2)</f>
        <v>215854528.74000001</v>
      </c>
      <c r="H1525" s="96"/>
      <c r="I1525" s="60"/>
      <c r="J1525" s="60"/>
      <c r="K1525" s="60"/>
      <c r="L1525" s="60"/>
      <c r="M1525" s="60"/>
      <c r="N1525" s="60"/>
      <c r="O1525" s="60"/>
      <c r="P1525" s="60"/>
      <c r="Q1525" s="60"/>
      <c r="R1525" s="60"/>
      <c r="S1525" s="60"/>
      <c r="T1525" s="60"/>
      <c r="U1525" s="60"/>
      <c r="V1525" s="60"/>
      <c r="W1525" s="60"/>
      <c r="X1525" s="60"/>
      <c r="Y1525" s="60"/>
      <c r="Z1525" s="60"/>
    </row>
    <row r="1526" spans="1:26" ht="30" hidden="1" customHeight="1">
      <c r="A1526" s="50" t="s">
        <v>3035</v>
      </c>
      <c r="B1526" s="51" t="s">
        <v>3036</v>
      </c>
      <c r="C1526" s="58"/>
      <c r="D1526" s="52"/>
      <c r="E1526" s="53"/>
      <c r="F1526" s="53"/>
      <c r="G1526" s="96">
        <f t="shared" si="502"/>
        <v>0</v>
      </c>
      <c r="H1526" s="96"/>
      <c r="I1526" s="60"/>
      <c r="J1526" s="60"/>
      <c r="K1526" s="60"/>
      <c r="L1526" s="60"/>
      <c r="M1526" s="60"/>
      <c r="N1526" s="60"/>
      <c r="O1526" s="60"/>
      <c r="P1526" s="60"/>
      <c r="Q1526" s="60"/>
      <c r="R1526" s="60"/>
      <c r="S1526" s="60"/>
      <c r="T1526" s="60"/>
      <c r="U1526" s="60"/>
      <c r="V1526" s="60"/>
      <c r="W1526" s="60"/>
      <c r="X1526" s="60"/>
      <c r="Y1526" s="60"/>
      <c r="Z1526" s="60"/>
    </row>
    <row r="1527" spans="1:26" ht="30" hidden="1" customHeight="1">
      <c r="A1527" s="57" t="s">
        <v>3037</v>
      </c>
      <c r="B1527" s="51" t="s">
        <v>3038</v>
      </c>
      <c r="C1527" s="58"/>
      <c r="D1527" s="52"/>
      <c r="E1527" s="53">
        <v>141493916.00999999</v>
      </c>
      <c r="F1527" s="53">
        <v>65261066.200000003</v>
      </c>
      <c r="G1527" s="96">
        <f t="shared" si="502"/>
        <v>76232849.810000002</v>
      </c>
      <c r="H1527" s="96"/>
      <c r="I1527" s="60"/>
      <c r="J1527" s="60"/>
      <c r="K1527" s="60"/>
      <c r="L1527" s="60"/>
      <c r="M1527" s="60"/>
      <c r="N1527" s="60"/>
      <c r="O1527" s="60"/>
      <c r="P1527" s="60"/>
      <c r="Q1527" s="60"/>
      <c r="R1527" s="60"/>
      <c r="S1527" s="60"/>
      <c r="T1527" s="60"/>
      <c r="U1527" s="60"/>
      <c r="V1527" s="60"/>
      <c r="W1527" s="60"/>
      <c r="X1527" s="60"/>
      <c r="Y1527" s="60"/>
      <c r="Z1527" s="60"/>
    </row>
    <row r="1528" spans="1:26" ht="30" hidden="1" customHeight="1">
      <c r="A1528" s="50" t="s">
        <v>3039</v>
      </c>
      <c r="B1528" s="51" t="s">
        <v>3040</v>
      </c>
      <c r="C1528" s="58"/>
      <c r="D1528" s="52"/>
      <c r="E1528" s="53"/>
      <c r="F1528" s="53"/>
      <c r="G1528" s="96">
        <f t="shared" si="502"/>
        <v>0</v>
      </c>
      <c r="H1528" s="96"/>
      <c r="I1528" s="60"/>
      <c r="J1528" s="60"/>
      <c r="K1528" s="60"/>
      <c r="L1528" s="60"/>
      <c r="M1528" s="60"/>
      <c r="N1528" s="60"/>
      <c r="O1528" s="60"/>
      <c r="P1528" s="60"/>
      <c r="Q1528" s="60"/>
      <c r="R1528" s="60"/>
      <c r="S1528" s="60"/>
      <c r="T1528" s="60"/>
      <c r="U1528" s="60"/>
      <c r="V1528" s="60"/>
      <c r="W1528" s="60"/>
      <c r="X1528" s="60"/>
      <c r="Y1528" s="60"/>
      <c r="Z1528" s="60"/>
    </row>
    <row r="1529" spans="1:26" ht="30" hidden="1" customHeight="1">
      <c r="A1529" s="57" t="s">
        <v>3041</v>
      </c>
      <c r="B1529" s="51" t="s">
        <v>3042</v>
      </c>
      <c r="C1529" s="58"/>
      <c r="D1529" s="52"/>
      <c r="E1529" s="53"/>
      <c r="F1529" s="53"/>
      <c r="G1529" s="96">
        <f t="shared" si="502"/>
        <v>0</v>
      </c>
      <c r="H1529" s="96"/>
      <c r="I1529" s="60"/>
      <c r="J1529" s="60"/>
      <c r="K1529" s="60"/>
      <c r="L1529" s="60"/>
      <c r="M1529" s="60"/>
      <c r="N1529" s="60"/>
      <c r="O1529" s="60"/>
      <c r="P1529" s="60"/>
      <c r="Q1529" s="60"/>
      <c r="R1529" s="60"/>
      <c r="S1529" s="60"/>
      <c r="T1529" s="60"/>
      <c r="U1529" s="60"/>
      <c r="V1529" s="60"/>
      <c r="W1529" s="60"/>
      <c r="X1529" s="60"/>
      <c r="Y1529" s="60"/>
      <c r="Z1529" s="60"/>
    </row>
    <row r="1530" spans="1:26" ht="30" hidden="1" customHeight="1">
      <c r="A1530" s="50" t="s">
        <v>3043</v>
      </c>
      <c r="B1530" s="51" t="s">
        <v>3044</v>
      </c>
      <c r="C1530" s="58"/>
      <c r="D1530" s="52"/>
      <c r="E1530" s="53"/>
      <c r="F1530" s="53"/>
      <c r="G1530" s="96">
        <f t="shared" si="502"/>
        <v>0</v>
      </c>
      <c r="H1530" s="96"/>
      <c r="I1530" s="60"/>
      <c r="J1530" s="60"/>
      <c r="K1530" s="60"/>
      <c r="L1530" s="60"/>
      <c r="M1530" s="60"/>
      <c r="N1530" s="60"/>
      <c r="O1530" s="60"/>
      <c r="P1530" s="60"/>
      <c r="Q1530" s="60"/>
      <c r="R1530" s="60"/>
      <c r="S1530" s="60"/>
      <c r="T1530" s="60"/>
      <c r="U1530" s="60"/>
      <c r="V1530" s="60"/>
      <c r="W1530" s="60"/>
      <c r="X1530" s="60"/>
      <c r="Y1530" s="60"/>
      <c r="Z1530" s="60"/>
    </row>
    <row r="1531" spans="1:26" ht="30" hidden="1" customHeight="1">
      <c r="A1531" s="57" t="s">
        <v>3045</v>
      </c>
      <c r="B1531" s="51" t="s">
        <v>3046</v>
      </c>
      <c r="C1531" s="58"/>
      <c r="D1531" s="52"/>
      <c r="E1531" s="53">
        <v>6414000</v>
      </c>
      <c r="F1531" s="53">
        <v>4882016.88</v>
      </c>
      <c r="G1531" s="96">
        <f t="shared" si="502"/>
        <v>1531983.12</v>
      </c>
      <c r="H1531" s="96"/>
      <c r="I1531" s="60"/>
      <c r="J1531" s="60"/>
      <c r="K1531" s="60"/>
      <c r="L1531" s="60"/>
      <c r="M1531" s="60"/>
      <c r="N1531" s="60"/>
      <c r="O1531" s="60"/>
      <c r="P1531" s="60"/>
      <c r="Q1531" s="60"/>
      <c r="R1531" s="60"/>
      <c r="S1531" s="60"/>
      <c r="T1531" s="60"/>
      <c r="U1531" s="60"/>
      <c r="V1531" s="60"/>
      <c r="W1531" s="60"/>
      <c r="X1531" s="60"/>
      <c r="Y1531" s="60"/>
      <c r="Z1531" s="60"/>
    </row>
    <row r="1532" spans="1:26" ht="30" hidden="1" customHeight="1">
      <c r="A1532" s="50" t="s">
        <v>3047</v>
      </c>
      <c r="B1532" s="51" t="s">
        <v>3048</v>
      </c>
      <c r="C1532" s="58"/>
      <c r="D1532" s="52"/>
      <c r="E1532" s="53"/>
      <c r="F1532" s="53"/>
      <c r="G1532" s="96">
        <f t="shared" si="502"/>
        <v>0</v>
      </c>
      <c r="H1532" s="96"/>
      <c r="I1532" s="60"/>
      <c r="J1532" s="60"/>
      <c r="K1532" s="60"/>
      <c r="L1532" s="60"/>
      <c r="M1532" s="60"/>
      <c r="N1532" s="60"/>
      <c r="O1532" s="60"/>
      <c r="P1532" s="60"/>
      <c r="Q1532" s="60"/>
      <c r="R1532" s="60"/>
      <c r="S1532" s="60"/>
      <c r="T1532" s="60"/>
      <c r="U1532" s="60"/>
      <c r="V1532" s="60"/>
      <c r="W1532" s="60"/>
      <c r="X1532" s="60"/>
      <c r="Y1532" s="60"/>
      <c r="Z1532" s="60"/>
    </row>
    <row r="1533" spans="1:26" ht="30" hidden="1" customHeight="1">
      <c r="A1533" s="57" t="s">
        <v>3049</v>
      </c>
      <c r="B1533" s="51" t="s">
        <v>3050</v>
      </c>
      <c r="C1533" s="58"/>
      <c r="D1533" s="52"/>
      <c r="E1533" s="53"/>
      <c r="F1533" s="53"/>
      <c r="G1533" s="96">
        <f t="shared" si="502"/>
        <v>0</v>
      </c>
      <c r="H1533" s="96"/>
      <c r="I1533" s="60"/>
      <c r="J1533" s="60"/>
      <c r="K1533" s="60"/>
      <c r="L1533" s="60"/>
      <c r="M1533" s="60"/>
      <c r="N1533" s="60"/>
      <c r="O1533" s="60"/>
      <c r="P1533" s="60"/>
      <c r="Q1533" s="60"/>
      <c r="R1533" s="60"/>
      <c r="S1533" s="60"/>
      <c r="T1533" s="60"/>
      <c r="U1533" s="60"/>
      <c r="V1533" s="60"/>
      <c r="W1533" s="60"/>
      <c r="X1533" s="60"/>
      <c r="Y1533" s="60"/>
      <c r="Z1533" s="60"/>
    </row>
    <row r="1534" spans="1:26" ht="30" hidden="1" customHeight="1">
      <c r="A1534" s="50" t="s">
        <v>3051</v>
      </c>
      <c r="B1534" s="51" t="s">
        <v>3052</v>
      </c>
      <c r="C1534" s="58"/>
      <c r="D1534" s="52"/>
      <c r="E1534" s="53"/>
      <c r="F1534" s="53"/>
      <c r="G1534" s="96">
        <f t="shared" si="502"/>
        <v>0</v>
      </c>
      <c r="H1534" s="96"/>
      <c r="I1534" s="60"/>
      <c r="J1534" s="60"/>
      <c r="K1534" s="60"/>
      <c r="L1534" s="60"/>
      <c r="M1534" s="60"/>
      <c r="N1534" s="60"/>
      <c r="O1534" s="60"/>
      <c r="P1534" s="60"/>
      <c r="Q1534" s="60"/>
      <c r="R1534" s="60"/>
      <c r="S1534" s="60"/>
      <c r="T1534" s="60"/>
      <c r="U1534" s="60"/>
      <c r="V1534" s="60"/>
      <c r="W1534" s="60"/>
      <c r="X1534" s="60"/>
      <c r="Y1534" s="60"/>
      <c r="Z1534" s="60"/>
    </row>
    <row r="1535" spans="1:26" ht="30" hidden="1" customHeight="1">
      <c r="A1535" s="57" t="s">
        <v>3053</v>
      </c>
      <c r="B1535" s="51" t="s">
        <v>3054</v>
      </c>
      <c r="C1535" s="58"/>
      <c r="D1535" s="52"/>
      <c r="E1535" s="53"/>
      <c r="F1535" s="53"/>
      <c r="G1535" s="96">
        <f t="shared" si="502"/>
        <v>0</v>
      </c>
      <c r="H1535" s="96"/>
      <c r="I1535" s="60"/>
      <c r="J1535" s="60"/>
      <c r="K1535" s="60"/>
      <c r="L1535" s="60"/>
      <c r="M1535" s="60"/>
      <c r="N1535" s="60"/>
      <c r="O1535" s="60"/>
      <c r="P1535" s="60"/>
      <c r="Q1535" s="60"/>
      <c r="R1535" s="60"/>
      <c r="S1535" s="60"/>
      <c r="T1535" s="60"/>
      <c r="U1535" s="60"/>
      <c r="V1535" s="60"/>
      <c r="W1535" s="60"/>
      <c r="X1535" s="60"/>
      <c r="Y1535" s="60"/>
      <c r="Z1535" s="60"/>
    </row>
    <row r="1536" spans="1:26" ht="30" hidden="1" customHeight="1">
      <c r="A1536" s="50" t="s">
        <v>3055</v>
      </c>
      <c r="B1536" s="51" t="s">
        <v>3056</v>
      </c>
      <c r="C1536" s="58"/>
      <c r="D1536" s="52"/>
      <c r="E1536" s="53"/>
      <c r="F1536" s="53"/>
      <c r="G1536" s="96">
        <f t="shared" si="502"/>
        <v>0</v>
      </c>
      <c r="H1536" s="96"/>
      <c r="I1536" s="60"/>
      <c r="J1536" s="60"/>
      <c r="K1536" s="60"/>
      <c r="L1536" s="60"/>
      <c r="M1536" s="60"/>
      <c r="N1536" s="60"/>
      <c r="O1536" s="60"/>
      <c r="P1536" s="60"/>
      <c r="Q1536" s="60"/>
      <c r="R1536" s="60"/>
      <c r="S1536" s="60"/>
      <c r="T1536" s="60"/>
      <c r="U1536" s="60"/>
      <c r="V1536" s="60"/>
      <c r="W1536" s="60"/>
      <c r="X1536" s="60"/>
      <c r="Y1536" s="60"/>
      <c r="Z1536" s="60"/>
    </row>
    <row r="1537" spans="1:26" ht="30" hidden="1" customHeight="1">
      <c r="A1537" s="57" t="s">
        <v>3057</v>
      </c>
      <c r="B1537" s="51" t="s">
        <v>3058</v>
      </c>
      <c r="C1537" s="58"/>
      <c r="D1537" s="52"/>
      <c r="E1537" s="53"/>
      <c r="F1537" s="53"/>
      <c r="G1537" s="96">
        <f t="shared" si="502"/>
        <v>0</v>
      </c>
      <c r="H1537" s="96"/>
      <c r="I1537" s="60"/>
      <c r="J1537" s="60"/>
      <c r="K1537" s="60"/>
      <c r="L1537" s="60"/>
      <c r="M1537" s="60"/>
      <c r="N1537" s="60"/>
      <c r="O1537" s="60"/>
      <c r="P1537" s="60"/>
      <c r="Q1537" s="60"/>
      <c r="R1537" s="60"/>
      <c r="S1537" s="60"/>
      <c r="T1537" s="60"/>
      <c r="U1537" s="60"/>
      <c r="V1537" s="60"/>
      <c r="W1537" s="60"/>
      <c r="X1537" s="60"/>
      <c r="Y1537" s="60"/>
      <c r="Z1537" s="60"/>
    </row>
    <row r="1538" spans="1:26" ht="30" hidden="1" customHeight="1">
      <c r="A1538" s="50" t="s">
        <v>3059</v>
      </c>
      <c r="B1538" s="51" t="s">
        <v>3060</v>
      </c>
      <c r="C1538" s="58"/>
      <c r="D1538" s="52"/>
      <c r="E1538" s="53"/>
      <c r="F1538" s="53"/>
      <c r="G1538" s="96">
        <f t="shared" si="502"/>
        <v>0</v>
      </c>
      <c r="H1538" s="96"/>
      <c r="I1538" s="60"/>
      <c r="J1538" s="60"/>
      <c r="K1538" s="60"/>
      <c r="L1538" s="60"/>
      <c r="M1538" s="60"/>
      <c r="N1538" s="60"/>
      <c r="O1538" s="60"/>
      <c r="P1538" s="60"/>
      <c r="Q1538" s="60"/>
      <c r="R1538" s="60"/>
      <c r="S1538" s="60"/>
      <c r="T1538" s="60"/>
      <c r="U1538" s="60"/>
      <c r="V1538" s="60"/>
      <c r="W1538" s="60"/>
      <c r="X1538" s="60"/>
      <c r="Y1538" s="60"/>
      <c r="Z1538" s="60"/>
    </row>
    <row r="1539" spans="1:26" ht="30" hidden="1" customHeight="1">
      <c r="A1539" s="73">
        <v>82300</v>
      </c>
      <c r="B1539" s="91" t="s">
        <v>3061</v>
      </c>
      <c r="C1539" s="80"/>
      <c r="D1539" s="34"/>
      <c r="E1539" s="34">
        <f t="shared" ref="E1539:F1539" si="503">E1540+E1555+E1574+E1593+E1612+E1631+E1638+E1653+E1660</f>
        <v>3962251848.3100004</v>
      </c>
      <c r="F1539" s="34">
        <f t="shared" si="503"/>
        <v>4013836198.5</v>
      </c>
      <c r="G1539" s="35"/>
      <c r="H1539" s="35">
        <f>F1539-E1539</f>
        <v>51584350.18999958</v>
      </c>
      <c r="I1539" s="60"/>
      <c r="J1539" s="60"/>
      <c r="K1539" s="60"/>
      <c r="L1539" s="60"/>
      <c r="M1539" s="60"/>
      <c r="N1539" s="60"/>
      <c r="O1539" s="60"/>
      <c r="P1539" s="60"/>
      <c r="Q1539" s="60"/>
      <c r="R1539" s="60"/>
      <c r="S1539" s="60"/>
      <c r="T1539" s="60"/>
      <c r="U1539" s="60"/>
      <c r="V1539" s="60"/>
      <c r="W1539" s="60"/>
      <c r="X1539" s="60"/>
      <c r="Y1539" s="60"/>
      <c r="Z1539" s="60"/>
    </row>
    <row r="1540" spans="1:26" ht="30" hidden="1" customHeight="1">
      <c r="A1540" s="92" t="s">
        <v>3062</v>
      </c>
      <c r="B1540" s="100" t="s">
        <v>2529</v>
      </c>
      <c r="C1540" s="94"/>
      <c r="D1540" s="94"/>
      <c r="E1540" s="39">
        <f t="shared" ref="E1540:F1540" si="504">SUM(E1541:E1554)</f>
        <v>977262759.24000001</v>
      </c>
      <c r="F1540" s="39">
        <f t="shared" si="504"/>
        <v>1013201859.24</v>
      </c>
      <c r="G1540" s="40"/>
      <c r="H1540" s="39">
        <f>SUM(H1541:H1554)</f>
        <v>35939100</v>
      </c>
      <c r="I1540" s="60"/>
      <c r="J1540" s="60"/>
      <c r="K1540" s="60"/>
      <c r="L1540" s="60"/>
      <c r="M1540" s="60"/>
      <c r="N1540" s="60"/>
      <c r="O1540" s="60"/>
      <c r="P1540" s="60"/>
      <c r="Q1540" s="60"/>
      <c r="R1540" s="60"/>
      <c r="S1540" s="60"/>
      <c r="T1540" s="60"/>
      <c r="U1540" s="60"/>
      <c r="V1540" s="60"/>
      <c r="W1540" s="60"/>
      <c r="X1540" s="60"/>
      <c r="Y1540" s="60"/>
      <c r="Z1540" s="60"/>
    </row>
    <row r="1541" spans="1:26" ht="30" hidden="1" customHeight="1">
      <c r="A1541" s="98" t="s">
        <v>3063</v>
      </c>
      <c r="B1541" s="68" t="s">
        <v>3064</v>
      </c>
      <c r="C1541" s="99"/>
      <c r="D1541" s="96"/>
      <c r="E1541" s="53">
        <v>231893387.15000001</v>
      </c>
      <c r="F1541" s="53">
        <v>231893387.15000001</v>
      </c>
      <c r="G1541" s="96"/>
      <c r="H1541" s="96">
        <f t="shared" ref="H1541:H1554" si="505">ROUND(F1541-E1541,2)</f>
        <v>0</v>
      </c>
      <c r="I1541" s="60"/>
      <c r="J1541" s="60"/>
      <c r="K1541" s="60"/>
      <c r="L1541" s="60"/>
      <c r="M1541" s="60"/>
      <c r="N1541" s="60"/>
      <c r="O1541" s="60"/>
      <c r="P1541" s="60"/>
      <c r="Q1541" s="60"/>
      <c r="R1541" s="60"/>
      <c r="S1541" s="60"/>
      <c r="T1541" s="60"/>
      <c r="U1541" s="60"/>
      <c r="V1541" s="60"/>
      <c r="W1541" s="60"/>
      <c r="X1541" s="60"/>
      <c r="Y1541" s="60"/>
      <c r="Z1541" s="60"/>
    </row>
    <row r="1542" spans="1:26" ht="30" hidden="1" customHeight="1">
      <c r="A1542" s="95" t="s">
        <v>3065</v>
      </c>
      <c r="B1542" s="68" t="s">
        <v>3066</v>
      </c>
      <c r="C1542" s="99"/>
      <c r="D1542" s="96"/>
      <c r="E1542" s="53"/>
      <c r="F1542" s="53"/>
      <c r="G1542" s="96"/>
      <c r="H1542" s="96">
        <f t="shared" si="505"/>
        <v>0</v>
      </c>
      <c r="I1542" s="60"/>
      <c r="J1542" s="60"/>
      <c r="K1542" s="60"/>
      <c r="L1542" s="60"/>
      <c r="M1542" s="60"/>
      <c r="N1542" s="60"/>
      <c r="O1542" s="60"/>
      <c r="P1542" s="60"/>
      <c r="Q1542" s="60"/>
      <c r="R1542" s="60"/>
      <c r="S1542" s="60"/>
      <c r="T1542" s="60"/>
      <c r="U1542" s="60"/>
      <c r="V1542" s="60"/>
      <c r="W1542" s="60"/>
      <c r="X1542" s="60"/>
      <c r="Y1542" s="60"/>
      <c r="Z1542" s="60"/>
    </row>
    <row r="1543" spans="1:26" ht="30" hidden="1" customHeight="1">
      <c r="A1543" s="98" t="s">
        <v>3067</v>
      </c>
      <c r="B1543" s="68" t="s">
        <v>3068</v>
      </c>
      <c r="C1543" s="99"/>
      <c r="D1543" s="96"/>
      <c r="E1543" s="53">
        <v>75141160.75</v>
      </c>
      <c r="F1543" s="53">
        <v>75141160.75</v>
      </c>
      <c r="G1543" s="96"/>
      <c r="H1543" s="96">
        <f t="shared" si="505"/>
        <v>0</v>
      </c>
      <c r="I1543" s="60"/>
      <c r="J1543" s="60"/>
      <c r="K1543" s="60"/>
      <c r="L1543" s="60"/>
      <c r="M1543" s="60"/>
      <c r="N1543" s="60"/>
      <c r="O1543" s="60"/>
      <c r="P1543" s="60"/>
      <c r="Q1543" s="60"/>
      <c r="R1543" s="60"/>
      <c r="S1543" s="60"/>
      <c r="T1543" s="60"/>
      <c r="U1543" s="60"/>
      <c r="V1543" s="60"/>
      <c r="W1543" s="60"/>
      <c r="X1543" s="60"/>
      <c r="Y1543" s="60"/>
      <c r="Z1543" s="60"/>
    </row>
    <row r="1544" spans="1:26" ht="30" hidden="1" customHeight="1">
      <c r="A1544" s="95" t="s">
        <v>3069</v>
      </c>
      <c r="B1544" s="68" t="s">
        <v>3070</v>
      </c>
      <c r="C1544" s="99"/>
      <c r="D1544" s="96"/>
      <c r="E1544" s="53"/>
      <c r="F1544" s="53"/>
      <c r="G1544" s="96"/>
      <c r="H1544" s="96">
        <f t="shared" si="505"/>
        <v>0</v>
      </c>
      <c r="I1544" s="60"/>
      <c r="J1544" s="60"/>
      <c r="K1544" s="60"/>
      <c r="L1544" s="60"/>
      <c r="M1544" s="60"/>
      <c r="N1544" s="60"/>
      <c r="O1544" s="60"/>
      <c r="P1544" s="60"/>
      <c r="Q1544" s="60"/>
      <c r="R1544" s="60"/>
      <c r="S1544" s="60"/>
      <c r="T1544" s="60"/>
      <c r="U1544" s="60"/>
      <c r="V1544" s="60"/>
      <c r="W1544" s="60"/>
      <c r="X1544" s="60"/>
      <c r="Y1544" s="60"/>
      <c r="Z1544" s="60"/>
    </row>
    <row r="1545" spans="1:26" ht="30" hidden="1" customHeight="1">
      <c r="A1545" s="98" t="s">
        <v>3071</v>
      </c>
      <c r="B1545" s="68" t="s">
        <v>3072</v>
      </c>
      <c r="C1545" s="99"/>
      <c r="D1545" s="96"/>
      <c r="E1545" s="53">
        <v>41769646.479999997</v>
      </c>
      <c r="F1545" s="53">
        <v>41769646.479999997</v>
      </c>
      <c r="G1545" s="96"/>
      <c r="H1545" s="96">
        <f t="shared" si="505"/>
        <v>0</v>
      </c>
      <c r="I1545" s="60"/>
      <c r="J1545" s="60"/>
      <c r="K1545" s="60"/>
      <c r="L1545" s="60"/>
      <c r="M1545" s="60"/>
      <c r="N1545" s="60"/>
      <c r="O1545" s="60"/>
      <c r="P1545" s="60"/>
      <c r="Q1545" s="60"/>
      <c r="R1545" s="60"/>
      <c r="S1545" s="60"/>
      <c r="T1545" s="60"/>
      <c r="U1545" s="60"/>
      <c r="V1545" s="60"/>
      <c r="W1545" s="60"/>
      <c r="X1545" s="60"/>
      <c r="Y1545" s="60"/>
      <c r="Z1545" s="60"/>
    </row>
    <row r="1546" spans="1:26" ht="30" hidden="1" customHeight="1">
      <c r="A1546" s="95" t="s">
        <v>3073</v>
      </c>
      <c r="B1546" s="68" t="s">
        <v>3074</v>
      </c>
      <c r="C1546" s="99"/>
      <c r="D1546" s="96"/>
      <c r="E1546" s="53"/>
      <c r="F1546" s="53"/>
      <c r="G1546" s="96"/>
      <c r="H1546" s="96">
        <f t="shared" si="505"/>
        <v>0</v>
      </c>
      <c r="I1546" s="60"/>
      <c r="J1546" s="60"/>
      <c r="K1546" s="60"/>
      <c r="L1546" s="60"/>
      <c r="M1546" s="60"/>
      <c r="N1546" s="60"/>
      <c r="O1546" s="60"/>
      <c r="P1546" s="60"/>
      <c r="Q1546" s="60"/>
      <c r="R1546" s="60"/>
      <c r="S1546" s="60"/>
      <c r="T1546" s="60"/>
      <c r="U1546" s="60"/>
      <c r="V1546" s="60"/>
      <c r="W1546" s="60"/>
      <c r="X1546" s="60"/>
      <c r="Y1546" s="60"/>
      <c r="Z1546" s="60"/>
    </row>
    <row r="1547" spans="1:26" ht="30" hidden="1" customHeight="1">
      <c r="A1547" s="98" t="s">
        <v>3075</v>
      </c>
      <c r="B1547" s="68" t="s">
        <v>3076</v>
      </c>
      <c r="C1547" s="99"/>
      <c r="D1547" s="96"/>
      <c r="E1547" s="53">
        <v>434598013.16000003</v>
      </c>
      <c r="F1547" s="53">
        <v>448935698.42000002</v>
      </c>
      <c r="G1547" s="96"/>
      <c r="H1547" s="96">
        <f t="shared" si="505"/>
        <v>14337685.26</v>
      </c>
      <c r="I1547" s="60"/>
      <c r="J1547" s="60"/>
      <c r="K1547" s="60"/>
      <c r="L1547" s="60"/>
      <c r="M1547" s="60"/>
      <c r="N1547" s="60"/>
      <c r="O1547" s="60"/>
      <c r="P1547" s="60"/>
      <c r="Q1547" s="60"/>
      <c r="R1547" s="60"/>
      <c r="S1547" s="60"/>
      <c r="T1547" s="60"/>
      <c r="U1547" s="60"/>
      <c r="V1547" s="60"/>
      <c r="W1547" s="60"/>
      <c r="X1547" s="60"/>
      <c r="Y1547" s="60"/>
      <c r="Z1547" s="60"/>
    </row>
    <row r="1548" spans="1:26" ht="30" hidden="1" customHeight="1">
      <c r="A1548" s="95" t="s">
        <v>3077</v>
      </c>
      <c r="B1548" s="68" t="s">
        <v>3078</v>
      </c>
      <c r="C1548" s="99"/>
      <c r="D1548" s="96"/>
      <c r="E1548" s="53"/>
      <c r="F1548" s="53"/>
      <c r="G1548" s="96"/>
      <c r="H1548" s="96">
        <f t="shared" si="505"/>
        <v>0</v>
      </c>
      <c r="I1548" s="60"/>
      <c r="J1548" s="60"/>
      <c r="K1548" s="60"/>
      <c r="L1548" s="60"/>
      <c r="M1548" s="60"/>
      <c r="N1548" s="60"/>
      <c r="O1548" s="60"/>
      <c r="P1548" s="60"/>
      <c r="Q1548" s="60"/>
      <c r="R1548" s="60"/>
      <c r="S1548" s="60"/>
      <c r="T1548" s="60"/>
      <c r="U1548" s="60"/>
      <c r="V1548" s="60"/>
      <c r="W1548" s="60"/>
      <c r="X1548" s="60"/>
      <c r="Y1548" s="60"/>
      <c r="Z1548" s="60"/>
    </row>
    <row r="1549" spans="1:26" ht="30" hidden="1" customHeight="1">
      <c r="A1549" s="98" t="s">
        <v>3079</v>
      </c>
      <c r="B1549" s="68" t="s">
        <v>3080</v>
      </c>
      <c r="C1549" s="99"/>
      <c r="D1549" s="96"/>
      <c r="E1549" s="53">
        <v>193860551.69999999</v>
      </c>
      <c r="F1549" s="53">
        <v>215461966.44</v>
      </c>
      <c r="G1549" s="96"/>
      <c r="H1549" s="96">
        <f t="shared" si="505"/>
        <v>21601414.739999998</v>
      </c>
      <c r="I1549" s="60"/>
      <c r="J1549" s="60"/>
      <c r="K1549" s="60"/>
      <c r="L1549" s="60"/>
      <c r="M1549" s="60"/>
      <c r="N1549" s="60"/>
      <c r="O1549" s="60"/>
      <c r="P1549" s="60"/>
      <c r="Q1549" s="60"/>
      <c r="R1549" s="60"/>
      <c r="S1549" s="60"/>
      <c r="T1549" s="60"/>
      <c r="U1549" s="60"/>
      <c r="V1549" s="60"/>
      <c r="W1549" s="60"/>
      <c r="X1549" s="60"/>
      <c r="Y1549" s="60"/>
      <c r="Z1549" s="60"/>
    </row>
    <row r="1550" spans="1:26" ht="30" hidden="1" customHeight="1">
      <c r="A1550" s="95" t="s">
        <v>3081</v>
      </c>
      <c r="B1550" s="68" t="s">
        <v>3082</v>
      </c>
      <c r="C1550" s="99"/>
      <c r="D1550" s="96"/>
      <c r="E1550" s="53"/>
      <c r="F1550" s="53"/>
      <c r="G1550" s="96"/>
      <c r="H1550" s="96">
        <f t="shared" si="505"/>
        <v>0</v>
      </c>
      <c r="I1550" s="60"/>
      <c r="J1550" s="60"/>
      <c r="K1550" s="60"/>
      <c r="L1550" s="60"/>
      <c r="M1550" s="60"/>
      <c r="N1550" s="60"/>
      <c r="O1550" s="60"/>
      <c r="P1550" s="60"/>
      <c r="Q1550" s="60"/>
      <c r="R1550" s="60"/>
      <c r="S1550" s="60"/>
      <c r="T1550" s="60"/>
      <c r="U1550" s="60"/>
      <c r="V1550" s="60"/>
      <c r="W1550" s="60"/>
      <c r="X1550" s="60"/>
      <c r="Y1550" s="60"/>
      <c r="Z1550" s="60"/>
    </row>
    <row r="1551" spans="1:26" ht="30" hidden="1" customHeight="1">
      <c r="A1551" s="98" t="s">
        <v>3083</v>
      </c>
      <c r="B1551" s="68" t="s">
        <v>3084</v>
      </c>
      <c r="C1551" s="99"/>
      <c r="D1551" s="96"/>
      <c r="E1551" s="53"/>
      <c r="F1551" s="53"/>
      <c r="G1551" s="96"/>
      <c r="H1551" s="96">
        <f t="shared" si="505"/>
        <v>0</v>
      </c>
      <c r="I1551" s="60"/>
      <c r="J1551" s="60"/>
      <c r="K1551" s="60"/>
      <c r="L1551" s="60"/>
      <c r="M1551" s="60"/>
      <c r="N1551" s="60"/>
      <c r="O1551" s="60"/>
      <c r="P1551" s="60"/>
      <c r="Q1551" s="60"/>
      <c r="R1551" s="60"/>
      <c r="S1551" s="60"/>
      <c r="T1551" s="60"/>
      <c r="U1551" s="60"/>
      <c r="V1551" s="60"/>
      <c r="W1551" s="60"/>
      <c r="X1551" s="60"/>
      <c r="Y1551" s="60"/>
      <c r="Z1551" s="60"/>
    </row>
    <row r="1552" spans="1:26" ht="30" hidden="1" customHeight="1">
      <c r="A1552" s="95" t="s">
        <v>3085</v>
      </c>
      <c r="B1552" s="68" t="s">
        <v>3086</v>
      </c>
      <c r="C1552" s="99"/>
      <c r="D1552" s="96"/>
      <c r="E1552" s="53"/>
      <c r="F1552" s="53"/>
      <c r="G1552" s="96"/>
      <c r="H1552" s="96">
        <f t="shared" si="505"/>
        <v>0</v>
      </c>
      <c r="I1552" s="60"/>
      <c r="J1552" s="60"/>
      <c r="K1552" s="60"/>
      <c r="L1552" s="60"/>
      <c r="M1552" s="60"/>
      <c r="N1552" s="60"/>
      <c r="O1552" s="60"/>
      <c r="P1552" s="60"/>
      <c r="Q1552" s="60"/>
      <c r="R1552" s="60"/>
      <c r="S1552" s="60"/>
      <c r="T1552" s="60"/>
      <c r="U1552" s="60"/>
      <c r="V1552" s="60"/>
      <c r="W1552" s="60"/>
      <c r="X1552" s="60"/>
      <c r="Y1552" s="60"/>
      <c r="Z1552" s="60"/>
    </row>
    <row r="1553" spans="1:26" ht="30" hidden="1" customHeight="1">
      <c r="A1553" s="98" t="s">
        <v>3087</v>
      </c>
      <c r="B1553" s="68" t="s">
        <v>3088</v>
      </c>
      <c r="C1553" s="99"/>
      <c r="D1553" s="96"/>
      <c r="E1553" s="53"/>
      <c r="F1553" s="53"/>
      <c r="G1553" s="96"/>
      <c r="H1553" s="96">
        <f t="shared" si="505"/>
        <v>0</v>
      </c>
      <c r="I1553" s="60"/>
      <c r="J1553" s="60"/>
      <c r="K1553" s="60"/>
      <c r="L1553" s="60"/>
      <c r="M1553" s="60"/>
      <c r="N1553" s="60"/>
      <c r="O1553" s="60"/>
      <c r="P1553" s="60"/>
      <c r="Q1553" s="60"/>
      <c r="R1553" s="60"/>
      <c r="S1553" s="60"/>
      <c r="T1553" s="60"/>
      <c r="U1553" s="60"/>
      <c r="V1553" s="60"/>
      <c r="W1553" s="60"/>
      <c r="X1553" s="60"/>
      <c r="Y1553" s="60"/>
      <c r="Z1553" s="60"/>
    </row>
    <row r="1554" spans="1:26" ht="30" hidden="1" customHeight="1">
      <c r="A1554" s="95" t="s">
        <v>3089</v>
      </c>
      <c r="B1554" s="68" t="s">
        <v>3090</v>
      </c>
      <c r="C1554" s="99"/>
      <c r="D1554" s="96"/>
      <c r="E1554" s="53"/>
      <c r="F1554" s="53"/>
      <c r="G1554" s="96"/>
      <c r="H1554" s="96">
        <f t="shared" si="505"/>
        <v>0</v>
      </c>
      <c r="I1554" s="60"/>
      <c r="J1554" s="60"/>
      <c r="K1554" s="60"/>
      <c r="L1554" s="60"/>
      <c r="M1554" s="60"/>
      <c r="N1554" s="60"/>
      <c r="O1554" s="60"/>
      <c r="P1554" s="60"/>
      <c r="Q1554" s="60"/>
      <c r="R1554" s="60"/>
      <c r="S1554" s="60"/>
      <c r="T1554" s="60"/>
      <c r="U1554" s="60"/>
      <c r="V1554" s="60"/>
      <c r="W1554" s="60"/>
      <c r="X1554" s="60"/>
      <c r="Y1554" s="60"/>
      <c r="Z1554" s="60"/>
    </row>
    <row r="1555" spans="1:26" ht="30" hidden="1" customHeight="1">
      <c r="A1555" s="92" t="s">
        <v>3091</v>
      </c>
      <c r="B1555" s="101" t="s">
        <v>2559</v>
      </c>
      <c r="C1555" s="94"/>
      <c r="D1555" s="94"/>
      <c r="E1555" s="39">
        <f t="shared" ref="E1555:F1555" si="506">SUM(E1556:E1573)</f>
        <v>198893770.10999998</v>
      </c>
      <c r="F1555" s="39">
        <f t="shared" si="506"/>
        <v>178975295.44</v>
      </c>
      <c r="G1555" s="40"/>
      <c r="H1555" s="39">
        <f>SUM(H1556:H1573)</f>
        <v>-19918474.669999998</v>
      </c>
      <c r="I1555" s="60"/>
      <c r="J1555" s="60"/>
      <c r="K1555" s="60"/>
      <c r="L1555" s="60"/>
      <c r="M1555" s="60"/>
      <c r="N1555" s="60"/>
      <c r="O1555" s="60"/>
      <c r="P1555" s="60"/>
      <c r="Q1555" s="60"/>
      <c r="R1555" s="60"/>
      <c r="S1555" s="60"/>
      <c r="T1555" s="60"/>
      <c r="U1555" s="60"/>
      <c r="V1555" s="60"/>
      <c r="W1555" s="60"/>
      <c r="X1555" s="60"/>
      <c r="Y1555" s="60"/>
      <c r="Z1555" s="60"/>
    </row>
    <row r="1556" spans="1:26" ht="30" hidden="1" customHeight="1">
      <c r="A1556" s="98" t="s">
        <v>3092</v>
      </c>
      <c r="B1556" s="68" t="s">
        <v>3093</v>
      </c>
      <c r="C1556" s="99"/>
      <c r="D1556" s="96"/>
      <c r="E1556" s="53">
        <v>1827283.85</v>
      </c>
      <c r="F1556" s="53">
        <v>569244.48</v>
      </c>
      <c r="G1556" s="96"/>
      <c r="H1556" s="96">
        <f t="shared" ref="H1556:H1573" si="507">ROUND(F1556-E1556,2)</f>
        <v>-1258039.3700000001</v>
      </c>
      <c r="I1556" s="60"/>
      <c r="J1556" s="60"/>
      <c r="K1556" s="60"/>
      <c r="L1556" s="60"/>
      <c r="M1556" s="60"/>
      <c r="N1556" s="60"/>
      <c r="O1556" s="60"/>
      <c r="P1556" s="60"/>
      <c r="Q1556" s="60"/>
      <c r="R1556" s="60"/>
      <c r="S1556" s="60"/>
      <c r="T1556" s="60"/>
      <c r="U1556" s="60"/>
      <c r="V1556" s="60"/>
      <c r="W1556" s="60"/>
      <c r="X1556" s="60"/>
      <c r="Y1556" s="60"/>
      <c r="Z1556" s="60"/>
    </row>
    <row r="1557" spans="1:26" ht="30" hidden="1" customHeight="1">
      <c r="A1557" s="95" t="s">
        <v>3094</v>
      </c>
      <c r="B1557" s="68" t="s">
        <v>3095</v>
      </c>
      <c r="C1557" s="99"/>
      <c r="D1557" s="96"/>
      <c r="E1557" s="53"/>
      <c r="F1557" s="53"/>
      <c r="G1557" s="96"/>
      <c r="H1557" s="96">
        <f t="shared" si="507"/>
        <v>0</v>
      </c>
      <c r="I1557" s="60"/>
      <c r="J1557" s="60"/>
      <c r="K1557" s="60"/>
      <c r="L1557" s="60"/>
      <c r="M1557" s="60"/>
      <c r="N1557" s="60"/>
      <c r="O1557" s="60"/>
      <c r="P1557" s="60"/>
      <c r="Q1557" s="60"/>
      <c r="R1557" s="60"/>
      <c r="S1557" s="60"/>
      <c r="T1557" s="60"/>
      <c r="U1557" s="60"/>
      <c r="V1557" s="60"/>
      <c r="W1557" s="60"/>
      <c r="X1557" s="60"/>
      <c r="Y1557" s="60"/>
      <c r="Z1557" s="60"/>
    </row>
    <row r="1558" spans="1:26" ht="30" hidden="1" customHeight="1">
      <c r="A1558" s="98" t="s">
        <v>3096</v>
      </c>
      <c r="B1558" s="68" t="s">
        <v>3097</v>
      </c>
      <c r="C1558" s="99"/>
      <c r="D1558" s="96"/>
      <c r="E1558" s="53">
        <v>1947757.37</v>
      </c>
      <c r="F1558" s="53">
        <v>654893.34</v>
      </c>
      <c r="G1558" s="96"/>
      <c r="H1558" s="96">
        <f t="shared" si="507"/>
        <v>-1292864.03</v>
      </c>
      <c r="I1558" s="60"/>
      <c r="J1558" s="60"/>
      <c r="K1558" s="60"/>
      <c r="L1558" s="60"/>
      <c r="M1558" s="60"/>
      <c r="N1558" s="60"/>
      <c r="O1558" s="60"/>
      <c r="P1558" s="60"/>
      <c r="Q1558" s="60"/>
      <c r="R1558" s="60"/>
      <c r="S1558" s="60"/>
      <c r="T1558" s="60"/>
      <c r="U1558" s="60"/>
      <c r="V1558" s="60"/>
      <c r="W1558" s="60"/>
      <c r="X1558" s="60"/>
      <c r="Y1558" s="60"/>
      <c r="Z1558" s="60"/>
    </row>
    <row r="1559" spans="1:26" ht="30" hidden="1" customHeight="1">
      <c r="A1559" s="95" t="s">
        <v>3098</v>
      </c>
      <c r="B1559" s="68" t="s">
        <v>3099</v>
      </c>
      <c r="C1559" s="99"/>
      <c r="D1559" s="96"/>
      <c r="E1559" s="53"/>
      <c r="F1559" s="53"/>
      <c r="G1559" s="96"/>
      <c r="H1559" s="96">
        <f t="shared" si="507"/>
        <v>0</v>
      </c>
      <c r="I1559" s="60"/>
      <c r="J1559" s="60"/>
      <c r="K1559" s="60"/>
      <c r="L1559" s="60"/>
      <c r="M1559" s="60"/>
      <c r="N1559" s="60"/>
      <c r="O1559" s="60"/>
      <c r="P1559" s="60"/>
      <c r="Q1559" s="60"/>
      <c r="R1559" s="60"/>
      <c r="S1559" s="60"/>
      <c r="T1559" s="60"/>
      <c r="U1559" s="60"/>
      <c r="V1559" s="60"/>
      <c r="W1559" s="60"/>
      <c r="X1559" s="60"/>
      <c r="Y1559" s="60"/>
      <c r="Z1559" s="60"/>
    </row>
    <row r="1560" spans="1:26" ht="30" hidden="1" customHeight="1">
      <c r="A1560" s="98" t="s">
        <v>3100</v>
      </c>
      <c r="B1560" s="68" t="s">
        <v>3101</v>
      </c>
      <c r="C1560" s="99"/>
      <c r="D1560" s="96"/>
      <c r="E1560" s="53">
        <v>13624218.609999999</v>
      </c>
      <c r="F1560" s="53">
        <v>11166982.619999999</v>
      </c>
      <c r="G1560" s="96"/>
      <c r="H1560" s="96">
        <f t="shared" si="507"/>
        <v>-2457235.9900000002</v>
      </c>
      <c r="I1560" s="60"/>
      <c r="J1560" s="60"/>
      <c r="K1560" s="60"/>
      <c r="L1560" s="60"/>
      <c r="M1560" s="60"/>
      <c r="N1560" s="60"/>
      <c r="O1560" s="60"/>
      <c r="P1560" s="60"/>
      <c r="Q1560" s="60"/>
      <c r="R1560" s="60"/>
      <c r="S1560" s="60"/>
      <c r="T1560" s="60"/>
      <c r="U1560" s="60"/>
      <c r="V1560" s="60"/>
      <c r="W1560" s="60"/>
      <c r="X1560" s="60"/>
      <c r="Y1560" s="60"/>
      <c r="Z1560" s="60"/>
    </row>
    <row r="1561" spans="1:26" ht="30" hidden="1" customHeight="1">
      <c r="A1561" s="95" t="s">
        <v>3102</v>
      </c>
      <c r="B1561" s="68" t="s">
        <v>3103</v>
      </c>
      <c r="C1561" s="99"/>
      <c r="D1561" s="96"/>
      <c r="E1561" s="96"/>
      <c r="F1561" s="96"/>
      <c r="G1561" s="96"/>
      <c r="H1561" s="96">
        <f t="shared" si="507"/>
        <v>0</v>
      </c>
      <c r="I1561" s="60"/>
      <c r="J1561" s="60"/>
      <c r="K1561" s="60"/>
      <c r="L1561" s="60"/>
      <c r="M1561" s="60"/>
      <c r="N1561" s="60"/>
      <c r="O1561" s="60"/>
      <c r="P1561" s="60"/>
      <c r="Q1561" s="60"/>
      <c r="R1561" s="60"/>
      <c r="S1561" s="60"/>
      <c r="T1561" s="60"/>
      <c r="U1561" s="60"/>
      <c r="V1561" s="60"/>
      <c r="W1561" s="60"/>
      <c r="X1561" s="60"/>
      <c r="Y1561" s="60"/>
      <c r="Z1561" s="60"/>
    </row>
    <row r="1562" spans="1:26" ht="30" hidden="1" customHeight="1">
      <c r="A1562" s="98" t="s">
        <v>3104</v>
      </c>
      <c r="B1562" s="68" t="s">
        <v>3105</v>
      </c>
      <c r="C1562" s="99"/>
      <c r="D1562" s="96"/>
      <c r="E1562" s="53">
        <v>13081851.029999999</v>
      </c>
      <c r="F1562" s="53">
        <v>24007699.129999999</v>
      </c>
      <c r="G1562" s="96"/>
      <c r="H1562" s="96">
        <f t="shared" si="507"/>
        <v>10925848.1</v>
      </c>
      <c r="I1562" s="60"/>
      <c r="J1562" s="60"/>
      <c r="K1562" s="60"/>
      <c r="L1562" s="60"/>
      <c r="M1562" s="60"/>
      <c r="N1562" s="60"/>
      <c r="O1562" s="60"/>
      <c r="P1562" s="60"/>
      <c r="Q1562" s="60"/>
      <c r="R1562" s="60"/>
      <c r="S1562" s="60"/>
      <c r="T1562" s="60"/>
      <c r="U1562" s="60"/>
      <c r="V1562" s="60"/>
      <c r="W1562" s="60"/>
      <c r="X1562" s="60"/>
      <c r="Y1562" s="60"/>
      <c r="Z1562" s="60"/>
    </row>
    <row r="1563" spans="1:26" ht="30" hidden="1" customHeight="1">
      <c r="A1563" s="95" t="s">
        <v>3106</v>
      </c>
      <c r="B1563" s="68" t="s">
        <v>3107</v>
      </c>
      <c r="C1563" s="99"/>
      <c r="D1563" s="96"/>
      <c r="E1563" s="53"/>
      <c r="F1563" s="53"/>
      <c r="G1563" s="96"/>
      <c r="H1563" s="96">
        <f t="shared" si="507"/>
        <v>0</v>
      </c>
      <c r="I1563" s="60"/>
      <c r="J1563" s="60"/>
      <c r="K1563" s="60"/>
      <c r="L1563" s="60"/>
      <c r="M1563" s="60"/>
      <c r="N1563" s="60"/>
      <c r="O1563" s="60"/>
      <c r="P1563" s="60"/>
      <c r="Q1563" s="60"/>
      <c r="R1563" s="60"/>
      <c r="S1563" s="60"/>
      <c r="T1563" s="60"/>
      <c r="U1563" s="60"/>
      <c r="V1563" s="60"/>
      <c r="W1563" s="60"/>
      <c r="X1563" s="60"/>
      <c r="Y1563" s="60"/>
      <c r="Z1563" s="60"/>
    </row>
    <row r="1564" spans="1:26" ht="30" hidden="1" customHeight="1">
      <c r="A1564" s="98" t="s">
        <v>3108</v>
      </c>
      <c r="B1564" s="68" t="s">
        <v>3109</v>
      </c>
      <c r="C1564" s="99"/>
      <c r="D1564" s="96"/>
      <c r="E1564" s="53">
        <v>3198598.65</v>
      </c>
      <c r="F1564" s="53">
        <v>976299.94</v>
      </c>
      <c r="G1564" s="96"/>
      <c r="H1564" s="96">
        <f t="shared" si="507"/>
        <v>-2222298.71</v>
      </c>
      <c r="I1564" s="60"/>
      <c r="J1564" s="60"/>
      <c r="K1564" s="60"/>
      <c r="L1564" s="60"/>
      <c r="M1564" s="60"/>
      <c r="N1564" s="60"/>
      <c r="O1564" s="60"/>
      <c r="P1564" s="60"/>
      <c r="Q1564" s="60"/>
      <c r="R1564" s="60"/>
      <c r="S1564" s="60"/>
      <c r="T1564" s="60"/>
      <c r="U1564" s="60"/>
      <c r="V1564" s="60"/>
      <c r="W1564" s="60"/>
      <c r="X1564" s="60"/>
      <c r="Y1564" s="60"/>
      <c r="Z1564" s="60"/>
    </row>
    <row r="1565" spans="1:26" ht="30" hidden="1" customHeight="1">
      <c r="A1565" s="95" t="s">
        <v>3110</v>
      </c>
      <c r="B1565" s="68" t="s">
        <v>3111</v>
      </c>
      <c r="C1565" s="99"/>
      <c r="D1565" s="96"/>
      <c r="E1565" s="53"/>
      <c r="F1565" s="53"/>
      <c r="G1565" s="96"/>
      <c r="H1565" s="96">
        <f t="shared" si="507"/>
        <v>0</v>
      </c>
      <c r="I1565" s="60"/>
      <c r="J1565" s="60"/>
      <c r="K1565" s="60"/>
      <c r="L1565" s="60"/>
      <c r="M1565" s="60"/>
      <c r="N1565" s="60"/>
      <c r="O1565" s="60"/>
      <c r="P1565" s="60"/>
      <c r="Q1565" s="60"/>
      <c r="R1565" s="60"/>
      <c r="S1565" s="60"/>
      <c r="T1565" s="60"/>
      <c r="U1565" s="60"/>
      <c r="V1565" s="60"/>
      <c r="W1565" s="60"/>
      <c r="X1565" s="60"/>
      <c r="Y1565" s="60"/>
      <c r="Z1565" s="60"/>
    </row>
    <row r="1566" spans="1:26" ht="30" hidden="1" customHeight="1">
      <c r="A1566" s="98" t="s">
        <v>3112</v>
      </c>
      <c r="B1566" s="68" t="s">
        <v>3113</v>
      </c>
      <c r="C1566" s="99"/>
      <c r="D1566" s="96"/>
      <c r="E1566" s="53">
        <v>161071056</v>
      </c>
      <c r="F1566" s="53">
        <v>120099999.34999999</v>
      </c>
      <c r="G1566" s="96"/>
      <c r="H1566" s="96">
        <f t="shared" si="507"/>
        <v>-40971056.649999999</v>
      </c>
      <c r="I1566" s="60"/>
      <c r="J1566" s="60"/>
      <c r="K1566" s="60"/>
      <c r="L1566" s="60"/>
      <c r="M1566" s="60"/>
      <c r="N1566" s="60"/>
      <c r="O1566" s="60"/>
      <c r="P1566" s="60"/>
      <c r="Q1566" s="60"/>
      <c r="R1566" s="60"/>
      <c r="S1566" s="60"/>
      <c r="T1566" s="60"/>
      <c r="U1566" s="60"/>
      <c r="V1566" s="60"/>
      <c r="W1566" s="60"/>
      <c r="X1566" s="60"/>
      <c r="Y1566" s="60"/>
      <c r="Z1566" s="60"/>
    </row>
    <row r="1567" spans="1:26" ht="30" hidden="1" customHeight="1">
      <c r="A1567" s="95" t="s">
        <v>3114</v>
      </c>
      <c r="B1567" s="68" t="s">
        <v>3115</v>
      </c>
      <c r="C1567" s="99"/>
      <c r="D1567" s="96"/>
      <c r="E1567" s="53"/>
      <c r="F1567" s="53"/>
      <c r="G1567" s="96"/>
      <c r="H1567" s="96">
        <f t="shared" si="507"/>
        <v>0</v>
      </c>
      <c r="I1567" s="60"/>
      <c r="J1567" s="60"/>
      <c r="K1567" s="60"/>
      <c r="L1567" s="60"/>
      <c r="M1567" s="60"/>
      <c r="N1567" s="60"/>
      <c r="O1567" s="60"/>
      <c r="P1567" s="60"/>
      <c r="Q1567" s="60"/>
      <c r="R1567" s="60"/>
      <c r="S1567" s="60"/>
      <c r="T1567" s="60"/>
      <c r="U1567" s="60"/>
      <c r="V1567" s="60"/>
      <c r="W1567" s="60"/>
      <c r="X1567" s="60"/>
      <c r="Y1567" s="60"/>
      <c r="Z1567" s="60"/>
    </row>
    <row r="1568" spans="1:26" ht="30" hidden="1" customHeight="1">
      <c r="A1568" s="98" t="s">
        <v>3116</v>
      </c>
      <c r="B1568" s="68" t="s">
        <v>3117</v>
      </c>
      <c r="C1568" s="99"/>
      <c r="D1568" s="96"/>
      <c r="E1568" s="53">
        <v>2615435.5299999998</v>
      </c>
      <c r="F1568" s="53">
        <v>17650210.300000001</v>
      </c>
      <c r="G1568" s="96"/>
      <c r="H1568" s="96">
        <f t="shared" si="507"/>
        <v>15034774.77</v>
      </c>
      <c r="I1568" s="60"/>
      <c r="J1568" s="60"/>
      <c r="K1568" s="60"/>
      <c r="L1568" s="60"/>
      <c r="M1568" s="60"/>
      <c r="N1568" s="60"/>
      <c r="O1568" s="60"/>
      <c r="P1568" s="60"/>
      <c r="Q1568" s="60"/>
      <c r="R1568" s="60"/>
      <c r="S1568" s="60"/>
      <c r="T1568" s="60"/>
      <c r="U1568" s="60"/>
      <c r="V1568" s="60"/>
      <c r="W1568" s="60"/>
      <c r="X1568" s="60"/>
      <c r="Y1568" s="60"/>
      <c r="Z1568" s="60"/>
    </row>
    <row r="1569" spans="1:26" ht="30" hidden="1" customHeight="1">
      <c r="A1569" s="95" t="s">
        <v>3118</v>
      </c>
      <c r="B1569" s="68" t="s">
        <v>3119</v>
      </c>
      <c r="C1569" s="99"/>
      <c r="D1569" s="96"/>
      <c r="E1569" s="53"/>
      <c r="F1569" s="53"/>
      <c r="G1569" s="96"/>
      <c r="H1569" s="96">
        <f t="shared" si="507"/>
        <v>0</v>
      </c>
      <c r="I1569" s="60"/>
      <c r="J1569" s="60"/>
      <c r="K1569" s="60"/>
      <c r="L1569" s="60"/>
      <c r="M1569" s="60"/>
      <c r="N1569" s="60"/>
      <c r="O1569" s="60"/>
      <c r="P1569" s="60"/>
      <c r="Q1569" s="60"/>
      <c r="R1569" s="60"/>
      <c r="S1569" s="60"/>
      <c r="T1569" s="60"/>
      <c r="U1569" s="60"/>
      <c r="V1569" s="60"/>
      <c r="W1569" s="60"/>
      <c r="X1569" s="60"/>
      <c r="Y1569" s="60"/>
      <c r="Z1569" s="60"/>
    </row>
    <row r="1570" spans="1:26" ht="30" hidden="1" customHeight="1">
      <c r="A1570" s="98" t="s">
        <v>3120</v>
      </c>
      <c r="B1570" s="68" t="s">
        <v>3121</v>
      </c>
      <c r="C1570" s="99"/>
      <c r="D1570" s="96"/>
      <c r="E1570" s="53">
        <v>0</v>
      </c>
      <c r="F1570" s="53">
        <v>2410000</v>
      </c>
      <c r="G1570" s="96"/>
      <c r="H1570" s="96">
        <f t="shared" si="507"/>
        <v>2410000</v>
      </c>
      <c r="I1570" s="60"/>
      <c r="J1570" s="60"/>
      <c r="K1570" s="60"/>
      <c r="L1570" s="60"/>
      <c r="M1570" s="60"/>
      <c r="N1570" s="60"/>
      <c r="O1570" s="60"/>
      <c r="P1570" s="60"/>
      <c r="Q1570" s="60"/>
      <c r="R1570" s="60"/>
      <c r="S1570" s="60"/>
      <c r="T1570" s="60"/>
      <c r="U1570" s="60"/>
      <c r="V1570" s="60"/>
      <c r="W1570" s="60"/>
      <c r="X1570" s="60"/>
      <c r="Y1570" s="60"/>
      <c r="Z1570" s="60"/>
    </row>
    <row r="1571" spans="1:26" ht="30" hidden="1" customHeight="1">
      <c r="A1571" s="95" t="s">
        <v>3122</v>
      </c>
      <c r="B1571" s="68" t="s">
        <v>3123</v>
      </c>
      <c r="C1571" s="99"/>
      <c r="D1571" s="96"/>
      <c r="E1571" s="53"/>
      <c r="F1571" s="53"/>
      <c r="G1571" s="96"/>
      <c r="H1571" s="96">
        <f t="shared" si="507"/>
        <v>0</v>
      </c>
      <c r="I1571" s="60"/>
      <c r="J1571" s="60"/>
      <c r="K1571" s="60"/>
      <c r="L1571" s="60"/>
      <c r="M1571" s="60"/>
      <c r="N1571" s="60"/>
      <c r="O1571" s="60"/>
      <c r="P1571" s="60"/>
      <c r="Q1571" s="60"/>
      <c r="R1571" s="60"/>
      <c r="S1571" s="60"/>
      <c r="T1571" s="60"/>
      <c r="U1571" s="60"/>
      <c r="V1571" s="60"/>
      <c r="W1571" s="60"/>
      <c r="X1571" s="60"/>
      <c r="Y1571" s="60"/>
      <c r="Z1571" s="60"/>
    </row>
    <row r="1572" spans="1:26" ht="30" hidden="1" customHeight="1">
      <c r="A1572" s="98" t="s">
        <v>3124</v>
      </c>
      <c r="B1572" s="68" t="s">
        <v>3125</v>
      </c>
      <c r="C1572" s="99"/>
      <c r="D1572" s="96"/>
      <c r="E1572" s="53">
        <v>1527569.07</v>
      </c>
      <c r="F1572" s="53">
        <v>1439966.28</v>
      </c>
      <c r="G1572" s="96"/>
      <c r="H1572" s="96">
        <f t="shared" si="507"/>
        <v>-87602.79</v>
      </c>
      <c r="I1572" s="60"/>
      <c r="J1572" s="60"/>
      <c r="K1572" s="60"/>
      <c r="L1572" s="60"/>
      <c r="M1572" s="60"/>
      <c r="N1572" s="60"/>
      <c r="O1572" s="60"/>
      <c r="P1572" s="60"/>
      <c r="Q1572" s="60"/>
      <c r="R1572" s="60"/>
      <c r="S1572" s="60"/>
      <c r="T1572" s="60"/>
      <c r="U1572" s="60"/>
      <c r="V1572" s="60"/>
      <c r="W1572" s="60"/>
      <c r="X1572" s="60"/>
      <c r="Y1572" s="60"/>
      <c r="Z1572" s="60"/>
    </row>
    <row r="1573" spans="1:26" ht="30" hidden="1" customHeight="1">
      <c r="A1573" s="95" t="s">
        <v>3126</v>
      </c>
      <c r="B1573" s="68" t="s">
        <v>3127</v>
      </c>
      <c r="C1573" s="99"/>
      <c r="D1573" s="96"/>
      <c r="E1573" s="53"/>
      <c r="F1573" s="53"/>
      <c r="G1573" s="96"/>
      <c r="H1573" s="96">
        <f t="shared" si="507"/>
        <v>0</v>
      </c>
      <c r="I1573" s="60"/>
      <c r="J1573" s="60"/>
      <c r="K1573" s="60"/>
      <c r="L1573" s="60"/>
      <c r="M1573" s="60"/>
      <c r="N1573" s="60"/>
      <c r="O1573" s="60"/>
      <c r="P1573" s="60"/>
      <c r="Q1573" s="60"/>
      <c r="R1573" s="60"/>
      <c r="S1573" s="60"/>
      <c r="T1573" s="60"/>
      <c r="U1573" s="60"/>
      <c r="V1573" s="60"/>
      <c r="W1573" s="60"/>
      <c r="X1573" s="60"/>
      <c r="Y1573" s="60"/>
      <c r="Z1573" s="60"/>
    </row>
    <row r="1574" spans="1:26" ht="30" hidden="1" customHeight="1">
      <c r="A1574" s="92" t="s">
        <v>3128</v>
      </c>
      <c r="B1574" s="101" t="s">
        <v>2597</v>
      </c>
      <c r="C1574" s="94"/>
      <c r="D1574" s="94"/>
      <c r="E1574" s="39">
        <f t="shared" ref="E1574:F1574" si="508">SUM(E1575:E1592)</f>
        <v>1204183851.8199999</v>
      </c>
      <c r="F1574" s="39">
        <f t="shared" si="508"/>
        <v>835530986.91000009</v>
      </c>
      <c r="G1574" s="40"/>
      <c r="H1574" s="39">
        <f>SUM(H1575:H1592)</f>
        <v>-368652864.91000003</v>
      </c>
      <c r="I1574" s="60"/>
      <c r="J1574" s="60"/>
      <c r="K1574" s="60"/>
      <c r="L1574" s="60"/>
      <c r="M1574" s="60"/>
      <c r="N1574" s="60"/>
      <c r="O1574" s="60"/>
      <c r="P1574" s="60"/>
      <c r="Q1574" s="60"/>
      <c r="R1574" s="60"/>
      <c r="S1574" s="60"/>
      <c r="T1574" s="60"/>
      <c r="U1574" s="60"/>
      <c r="V1574" s="60"/>
      <c r="W1574" s="60"/>
      <c r="X1574" s="60"/>
      <c r="Y1574" s="60"/>
      <c r="Z1574" s="60"/>
    </row>
    <row r="1575" spans="1:26" ht="30" hidden="1" customHeight="1">
      <c r="A1575" s="98" t="s">
        <v>3129</v>
      </c>
      <c r="B1575" s="68" t="s">
        <v>3130</v>
      </c>
      <c r="C1575" s="99"/>
      <c r="D1575" s="96"/>
      <c r="E1575" s="53">
        <v>65270938.009999998</v>
      </c>
      <c r="F1575" s="53">
        <v>64908520.43</v>
      </c>
      <c r="G1575" s="96"/>
      <c r="H1575" s="96">
        <f t="shared" ref="H1575:H1592" si="509">ROUND(F1575-E1575,2)</f>
        <v>-362417.58</v>
      </c>
      <c r="I1575" s="60"/>
      <c r="J1575" s="60"/>
      <c r="K1575" s="60"/>
      <c r="L1575" s="60"/>
      <c r="M1575" s="60"/>
      <c r="N1575" s="60"/>
      <c r="O1575" s="60"/>
      <c r="P1575" s="60"/>
      <c r="Q1575" s="60"/>
      <c r="R1575" s="60"/>
      <c r="S1575" s="60"/>
      <c r="T1575" s="60"/>
      <c r="U1575" s="60"/>
      <c r="V1575" s="60"/>
      <c r="W1575" s="60"/>
      <c r="X1575" s="60"/>
      <c r="Y1575" s="60"/>
      <c r="Z1575" s="60"/>
    </row>
    <row r="1576" spans="1:26" ht="30" hidden="1" customHeight="1">
      <c r="A1576" s="95" t="s">
        <v>3131</v>
      </c>
      <c r="B1576" s="68" t="s">
        <v>3132</v>
      </c>
      <c r="C1576" s="99"/>
      <c r="D1576" s="96"/>
      <c r="E1576" s="53"/>
      <c r="F1576" s="53"/>
      <c r="G1576" s="96"/>
      <c r="H1576" s="96">
        <f t="shared" si="509"/>
        <v>0</v>
      </c>
      <c r="I1576" s="60"/>
      <c r="J1576" s="60"/>
      <c r="K1576" s="60"/>
      <c r="L1576" s="60"/>
      <c r="M1576" s="60"/>
      <c r="N1576" s="60"/>
      <c r="O1576" s="60"/>
      <c r="P1576" s="60"/>
      <c r="Q1576" s="60"/>
      <c r="R1576" s="60"/>
      <c r="S1576" s="60"/>
      <c r="T1576" s="60"/>
      <c r="U1576" s="60"/>
      <c r="V1576" s="60"/>
      <c r="W1576" s="60"/>
      <c r="X1576" s="60"/>
      <c r="Y1576" s="60"/>
      <c r="Z1576" s="60"/>
    </row>
    <row r="1577" spans="1:26" ht="30" hidden="1" customHeight="1">
      <c r="A1577" s="98" t="s">
        <v>3133</v>
      </c>
      <c r="B1577" s="68" t="s">
        <v>3134</v>
      </c>
      <c r="C1577" s="99"/>
      <c r="D1577" s="96"/>
      <c r="E1577" s="53">
        <v>85296848.530000001</v>
      </c>
      <c r="F1577" s="53">
        <v>374955.84</v>
      </c>
      <c r="G1577" s="96"/>
      <c r="H1577" s="96">
        <f t="shared" si="509"/>
        <v>-84921892.689999998</v>
      </c>
      <c r="I1577" s="60"/>
      <c r="J1577" s="60"/>
      <c r="K1577" s="60"/>
      <c r="L1577" s="60"/>
      <c r="M1577" s="60"/>
      <c r="N1577" s="60"/>
      <c r="O1577" s="60"/>
      <c r="P1577" s="60"/>
      <c r="Q1577" s="60"/>
      <c r="R1577" s="60"/>
      <c r="S1577" s="60"/>
      <c r="T1577" s="60"/>
      <c r="U1577" s="60"/>
      <c r="V1577" s="60"/>
      <c r="W1577" s="60"/>
      <c r="X1577" s="60"/>
      <c r="Y1577" s="60"/>
      <c r="Z1577" s="60"/>
    </row>
    <row r="1578" spans="1:26" ht="30" hidden="1" customHeight="1">
      <c r="A1578" s="95" t="s">
        <v>3135</v>
      </c>
      <c r="B1578" s="68" t="s">
        <v>3136</v>
      </c>
      <c r="C1578" s="99"/>
      <c r="D1578" s="96"/>
      <c r="E1578" s="53"/>
      <c r="F1578" s="53"/>
      <c r="G1578" s="96"/>
      <c r="H1578" s="96">
        <f t="shared" si="509"/>
        <v>0</v>
      </c>
      <c r="I1578" s="60"/>
      <c r="J1578" s="60"/>
      <c r="K1578" s="60"/>
      <c r="L1578" s="60"/>
      <c r="M1578" s="60"/>
      <c r="N1578" s="60"/>
      <c r="O1578" s="60"/>
      <c r="P1578" s="60"/>
      <c r="Q1578" s="60"/>
      <c r="R1578" s="60"/>
      <c r="S1578" s="60"/>
      <c r="T1578" s="60"/>
      <c r="U1578" s="60"/>
      <c r="V1578" s="60"/>
      <c r="W1578" s="60"/>
      <c r="X1578" s="60"/>
      <c r="Y1578" s="60"/>
      <c r="Z1578" s="60"/>
    </row>
    <row r="1579" spans="1:26" ht="30" hidden="1" customHeight="1">
      <c r="A1579" s="98" t="s">
        <v>3137</v>
      </c>
      <c r="B1579" s="68" t="s">
        <v>3138</v>
      </c>
      <c r="C1579" s="99"/>
      <c r="D1579" s="96"/>
      <c r="E1579" s="53">
        <v>23268882.539999999</v>
      </c>
      <c r="F1579" s="53">
        <v>23844775.75</v>
      </c>
      <c r="G1579" s="96"/>
      <c r="H1579" s="96">
        <f t="shared" si="509"/>
        <v>575893.21</v>
      </c>
      <c r="I1579" s="60"/>
      <c r="J1579" s="60"/>
      <c r="K1579" s="60"/>
      <c r="L1579" s="60"/>
      <c r="M1579" s="60"/>
      <c r="N1579" s="60"/>
      <c r="O1579" s="60"/>
      <c r="P1579" s="60"/>
      <c r="Q1579" s="60"/>
      <c r="R1579" s="60"/>
      <c r="S1579" s="60"/>
      <c r="T1579" s="60"/>
      <c r="U1579" s="60"/>
      <c r="V1579" s="60"/>
      <c r="W1579" s="60"/>
      <c r="X1579" s="60"/>
      <c r="Y1579" s="60"/>
      <c r="Z1579" s="60"/>
    </row>
    <row r="1580" spans="1:26" ht="30" hidden="1" customHeight="1">
      <c r="A1580" s="95" t="s">
        <v>3139</v>
      </c>
      <c r="B1580" s="68" t="s">
        <v>3140</v>
      </c>
      <c r="C1580" s="99"/>
      <c r="D1580" s="96"/>
      <c r="E1580" s="53"/>
      <c r="F1580" s="53"/>
      <c r="G1580" s="96"/>
      <c r="H1580" s="96">
        <f t="shared" si="509"/>
        <v>0</v>
      </c>
      <c r="I1580" s="60"/>
      <c r="J1580" s="60"/>
      <c r="K1580" s="60"/>
      <c r="L1580" s="60"/>
      <c r="M1580" s="60"/>
      <c r="N1580" s="60"/>
      <c r="O1580" s="60"/>
      <c r="P1580" s="60"/>
      <c r="Q1580" s="60"/>
      <c r="R1580" s="60"/>
      <c r="S1580" s="60"/>
      <c r="T1580" s="60"/>
      <c r="U1580" s="60"/>
      <c r="V1580" s="60"/>
      <c r="W1580" s="60"/>
      <c r="X1580" s="60"/>
      <c r="Y1580" s="60"/>
      <c r="Z1580" s="60"/>
    </row>
    <row r="1581" spans="1:26" ht="30" hidden="1" customHeight="1">
      <c r="A1581" s="98" t="s">
        <v>3141</v>
      </c>
      <c r="B1581" s="68" t="s">
        <v>3142</v>
      </c>
      <c r="C1581" s="99"/>
      <c r="D1581" s="96"/>
      <c r="E1581" s="53">
        <v>13168958.74</v>
      </c>
      <c r="F1581" s="53">
        <v>37918814.670000002</v>
      </c>
      <c r="G1581" s="96"/>
      <c r="H1581" s="96">
        <f t="shared" si="509"/>
        <v>24749855.93</v>
      </c>
      <c r="I1581" s="60"/>
      <c r="J1581" s="60"/>
      <c r="K1581" s="60"/>
      <c r="L1581" s="60"/>
      <c r="M1581" s="60"/>
      <c r="N1581" s="60"/>
      <c r="O1581" s="60"/>
      <c r="P1581" s="60"/>
      <c r="Q1581" s="60"/>
      <c r="R1581" s="60"/>
      <c r="S1581" s="60"/>
      <c r="T1581" s="60"/>
      <c r="U1581" s="60"/>
      <c r="V1581" s="60"/>
      <c r="W1581" s="60"/>
      <c r="X1581" s="60"/>
      <c r="Y1581" s="60"/>
      <c r="Z1581" s="60"/>
    </row>
    <row r="1582" spans="1:26" ht="30" hidden="1" customHeight="1">
      <c r="A1582" s="95" t="s">
        <v>3143</v>
      </c>
      <c r="B1582" s="68" t="s">
        <v>3144</v>
      </c>
      <c r="C1582" s="99"/>
      <c r="D1582" s="96"/>
      <c r="E1582" s="53"/>
      <c r="F1582" s="53"/>
      <c r="G1582" s="96"/>
      <c r="H1582" s="96">
        <f t="shared" si="509"/>
        <v>0</v>
      </c>
      <c r="I1582" s="60"/>
      <c r="J1582" s="60"/>
      <c r="K1582" s="60"/>
      <c r="L1582" s="60"/>
      <c r="M1582" s="60"/>
      <c r="N1582" s="60"/>
      <c r="O1582" s="60"/>
      <c r="P1582" s="60"/>
      <c r="Q1582" s="60"/>
      <c r="R1582" s="60"/>
      <c r="S1582" s="60"/>
      <c r="T1582" s="60"/>
      <c r="U1582" s="60"/>
      <c r="V1582" s="60"/>
      <c r="W1582" s="60"/>
      <c r="X1582" s="60"/>
      <c r="Y1582" s="60"/>
      <c r="Z1582" s="60"/>
    </row>
    <row r="1583" spans="1:26" ht="30" hidden="1" customHeight="1">
      <c r="A1583" s="98" t="s">
        <v>3145</v>
      </c>
      <c r="B1583" s="68" t="s">
        <v>3146</v>
      </c>
      <c r="C1583" s="99"/>
      <c r="D1583" s="96"/>
      <c r="E1583" s="53">
        <v>328669332.17000002</v>
      </c>
      <c r="F1583" s="53">
        <v>85997993.040000007</v>
      </c>
      <c r="G1583" s="96"/>
      <c r="H1583" s="96">
        <f t="shared" si="509"/>
        <v>-242671339.13</v>
      </c>
      <c r="I1583" s="60"/>
      <c r="J1583" s="60"/>
      <c r="K1583" s="60"/>
      <c r="L1583" s="60"/>
      <c r="M1583" s="60"/>
      <c r="N1583" s="60"/>
      <c r="O1583" s="60"/>
      <c r="P1583" s="60"/>
      <c r="Q1583" s="60"/>
      <c r="R1583" s="60"/>
      <c r="S1583" s="60"/>
      <c r="T1583" s="60"/>
      <c r="U1583" s="60"/>
      <c r="V1583" s="60"/>
      <c r="W1583" s="60"/>
      <c r="X1583" s="60"/>
      <c r="Y1583" s="60"/>
      <c r="Z1583" s="60"/>
    </row>
    <row r="1584" spans="1:26" ht="30" hidden="1" customHeight="1">
      <c r="A1584" s="95" t="s">
        <v>3147</v>
      </c>
      <c r="B1584" s="68" t="s">
        <v>3148</v>
      </c>
      <c r="C1584" s="99"/>
      <c r="D1584" s="96"/>
      <c r="E1584" s="53"/>
      <c r="F1584" s="53"/>
      <c r="G1584" s="96"/>
      <c r="H1584" s="96">
        <f t="shared" si="509"/>
        <v>0</v>
      </c>
      <c r="I1584" s="60"/>
      <c r="J1584" s="60"/>
      <c r="K1584" s="60"/>
      <c r="L1584" s="60"/>
      <c r="M1584" s="60"/>
      <c r="N1584" s="60"/>
      <c r="O1584" s="60"/>
      <c r="P1584" s="60"/>
      <c r="Q1584" s="60"/>
      <c r="R1584" s="60"/>
      <c r="S1584" s="60"/>
      <c r="T1584" s="60"/>
      <c r="U1584" s="60"/>
      <c r="V1584" s="60"/>
      <c r="W1584" s="60"/>
      <c r="X1584" s="60"/>
      <c r="Y1584" s="60"/>
      <c r="Z1584" s="60"/>
    </row>
    <row r="1585" spans="1:26" ht="30" hidden="1" customHeight="1">
      <c r="A1585" s="98" t="s">
        <v>3149</v>
      </c>
      <c r="B1585" s="68" t="s">
        <v>3150</v>
      </c>
      <c r="C1585" s="99"/>
      <c r="D1585" s="96"/>
      <c r="E1585" s="53">
        <v>4754090.75</v>
      </c>
      <c r="F1585" s="53">
        <v>1696900</v>
      </c>
      <c r="G1585" s="96"/>
      <c r="H1585" s="96">
        <f t="shared" si="509"/>
        <v>-3057190.75</v>
      </c>
      <c r="I1585" s="60"/>
      <c r="J1585" s="60"/>
      <c r="K1585" s="60"/>
      <c r="L1585" s="60"/>
      <c r="M1585" s="60"/>
      <c r="N1585" s="60"/>
      <c r="O1585" s="60"/>
      <c r="P1585" s="60"/>
      <c r="Q1585" s="60"/>
      <c r="R1585" s="60"/>
      <c r="S1585" s="60"/>
      <c r="T1585" s="60"/>
      <c r="U1585" s="60"/>
      <c r="V1585" s="60"/>
      <c r="W1585" s="60"/>
      <c r="X1585" s="60"/>
      <c r="Y1585" s="60"/>
      <c r="Z1585" s="60"/>
    </row>
    <row r="1586" spans="1:26" ht="30" hidden="1" customHeight="1">
      <c r="A1586" s="95" t="s">
        <v>3151</v>
      </c>
      <c r="B1586" s="68" t="s">
        <v>3152</v>
      </c>
      <c r="C1586" s="99"/>
      <c r="D1586" s="96"/>
      <c r="E1586" s="53"/>
      <c r="F1586" s="53"/>
      <c r="G1586" s="96"/>
      <c r="H1586" s="96">
        <f t="shared" si="509"/>
        <v>0</v>
      </c>
      <c r="I1586" s="60"/>
      <c r="J1586" s="60"/>
      <c r="K1586" s="60"/>
      <c r="L1586" s="60"/>
      <c r="M1586" s="60"/>
      <c r="N1586" s="60"/>
      <c r="O1586" s="60"/>
      <c r="P1586" s="60"/>
      <c r="Q1586" s="60"/>
      <c r="R1586" s="60"/>
      <c r="S1586" s="60"/>
      <c r="T1586" s="60"/>
      <c r="U1586" s="60"/>
      <c r="V1586" s="60"/>
      <c r="W1586" s="60"/>
      <c r="X1586" s="60"/>
      <c r="Y1586" s="60"/>
      <c r="Z1586" s="60"/>
    </row>
    <row r="1587" spans="1:26" ht="30" hidden="1" customHeight="1">
      <c r="A1587" s="98" t="s">
        <v>3153</v>
      </c>
      <c r="B1587" s="68" t="s">
        <v>3154</v>
      </c>
      <c r="C1587" s="99"/>
      <c r="D1587" s="96"/>
      <c r="E1587" s="53">
        <v>868673.2</v>
      </c>
      <c r="F1587" s="53">
        <v>400291.1</v>
      </c>
      <c r="G1587" s="96"/>
      <c r="H1587" s="96">
        <f t="shared" si="509"/>
        <v>-468382.1</v>
      </c>
      <c r="I1587" s="60"/>
      <c r="J1587" s="60"/>
      <c r="K1587" s="60"/>
      <c r="L1587" s="60"/>
      <c r="M1587" s="60"/>
      <c r="N1587" s="60"/>
      <c r="O1587" s="60"/>
      <c r="P1587" s="60"/>
      <c r="Q1587" s="60"/>
      <c r="R1587" s="60"/>
      <c r="S1587" s="60"/>
      <c r="T1587" s="60"/>
      <c r="U1587" s="60"/>
      <c r="V1587" s="60"/>
      <c r="W1587" s="60"/>
      <c r="X1587" s="60"/>
      <c r="Y1587" s="60"/>
      <c r="Z1587" s="60"/>
    </row>
    <row r="1588" spans="1:26" ht="30" hidden="1" customHeight="1">
      <c r="A1588" s="95" t="s">
        <v>3155</v>
      </c>
      <c r="B1588" s="68" t="s">
        <v>3156</v>
      </c>
      <c r="C1588" s="99"/>
      <c r="D1588" s="96"/>
      <c r="E1588" s="53"/>
      <c r="F1588" s="53"/>
      <c r="G1588" s="96"/>
      <c r="H1588" s="96">
        <f t="shared" si="509"/>
        <v>0</v>
      </c>
      <c r="I1588" s="60"/>
      <c r="J1588" s="60"/>
      <c r="K1588" s="60"/>
      <c r="L1588" s="60"/>
      <c r="M1588" s="60"/>
      <c r="N1588" s="60"/>
      <c r="O1588" s="60"/>
      <c r="P1588" s="60"/>
      <c r="Q1588" s="60"/>
      <c r="R1588" s="60"/>
      <c r="S1588" s="60"/>
      <c r="T1588" s="60"/>
      <c r="U1588" s="60"/>
      <c r="V1588" s="60"/>
      <c r="W1588" s="60"/>
      <c r="X1588" s="60"/>
      <c r="Y1588" s="60"/>
      <c r="Z1588" s="60"/>
    </row>
    <row r="1589" spans="1:26" ht="30" hidden="1" customHeight="1">
      <c r="A1589" s="98" t="s">
        <v>3157</v>
      </c>
      <c r="B1589" s="68" t="s">
        <v>3158</v>
      </c>
      <c r="C1589" s="99"/>
      <c r="D1589" s="96"/>
      <c r="E1589" s="53">
        <v>3165831.08</v>
      </c>
      <c r="F1589" s="53">
        <v>3676806.26</v>
      </c>
      <c r="G1589" s="96"/>
      <c r="H1589" s="96">
        <f t="shared" si="509"/>
        <v>510975.18</v>
      </c>
      <c r="I1589" s="60"/>
      <c r="J1589" s="60"/>
      <c r="K1589" s="60"/>
      <c r="L1589" s="60"/>
      <c r="M1589" s="60"/>
      <c r="N1589" s="60"/>
      <c r="O1589" s="60"/>
      <c r="P1589" s="60"/>
      <c r="Q1589" s="60"/>
      <c r="R1589" s="60"/>
      <c r="S1589" s="60"/>
      <c r="T1589" s="60"/>
      <c r="U1589" s="60"/>
      <c r="V1589" s="60"/>
      <c r="W1589" s="60"/>
      <c r="X1589" s="60"/>
      <c r="Y1589" s="60"/>
      <c r="Z1589" s="60"/>
    </row>
    <row r="1590" spans="1:26" ht="30" hidden="1" customHeight="1">
      <c r="A1590" s="95" t="s">
        <v>3159</v>
      </c>
      <c r="B1590" s="68" t="s">
        <v>3160</v>
      </c>
      <c r="C1590" s="99"/>
      <c r="D1590" s="96"/>
      <c r="E1590" s="53"/>
      <c r="F1590" s="53"/>
      <c r="G1590" s="96"/>
      <c r="H1590" s="96">
        <f t="shared" si="509"/>
        <v>0</v>
      </c>
      <c r="I1590" s="60"/>
      <c r="J1590" s="60"/>
      <c r="K1590" s="60"/>
      <c r="L1590" s="60"/>
      <c r="M1590" s="60"/>
      <c r="N1590" s="60"/>
      <c r="O1590" s="60"/>
      <c r="P1590" s="60"/>
      <c r="Q1590" s="60"/>
      <c r="R1590" s="60"/>
      <c r="S1590" s="60"/>
      <c r="T1590" s="60"/>
      <c r="U1590" s="60"/>
      <c r="V1590" s="60"/>
      <c r="W1590" s="60"/>
      <c r="X1590" s="60"/>
      <c r="Y1590" s="60"/>
      <c r="Z1590" s="60"/>
    </row>
    <row r="1591" spans="1:26" ht="30" hidden="1" customHeight="1">
      <c r="A1591" s="98" t="s">
        <v>3161</v>
      </c>
      <c r="B1591" s="68" t="s">
        <v>3162</v>
      </c>
      <c r="C1591" s="99"/>
      <c r="D1591" s="96"/>
      <c r="E1591" s="53">
        <v>679720296.79999995</v>
      </c>
      <c r="F1591" s="53">
        <v>616711929.82000005</v>
      </c>
      <c r="G1591" s="96"/>
      <c r="H1591" s="96">
        <f t="shared" si="509"/>
        <v>-63008366.979999997</v>
      </c>
      <c r="I1591" s="60"/>
      <c r="J1591" s="60"/>
      <c r="K1591" s="60"/>
      <c r="L1591" s="60"/>
      <c r="M1591" s="60"/>
      <c r="N1591" s="60"/>
      <c r="O1591" s="60"/>
      <c r="P1591" s="60"/>
      <c r="Q1591" s="60"/>
      <c r="R1591" s="60"/>
      <c r="S1591" s="60"/>
      <c r="T1591" s="60"/>
      <c r="U1591" s="60"/>
      <c r="V1591" s="60"/>
      <c r="W1591" s="60"/>
      <c r="X1591" s="60"/>
      <c r="Y1591" s="60"/>
      <c r="Z1591" s="60"/>
    </row>
    <row r="1592" spans="1:26" ht="30" hidden="1" customHeight="1">
      <c r="A1592" s="95" t="s">
        <v>3163</v>
      </c>
      <c r="B1592" s="68" t="s">
        <v>3164</v>
      </c>
      <c r="C1592" s="99"/>
      <c r="D1592" s="96"/>
      <c r="E1592" s="53"/>
      <c r="F1592" s="53"/>
      <c r="G1592" s="96"/>
      <c r="H1592" s="96">
        <f t="shared" si="509"/>
        <v>0</v>
      </c>
      <c r="I1592" s="60"/>
      <c r="J1592" s="60"/>
      <c r="K1592" s="60"/>
      <c r="L1592" s="60"/>
      <c r="M1592" s="60"/>
      <c r="N1592" s="60"/>
      <c r="O1592" s="60"/>
      <c r="P1592" s="60"/>
      <c r="Q1592" s="60"/>
      <c r="R1592" s="60"/>
      <c r="S1592" s="60"/>
      <c r="T1592" s="60"/>
      <c r="U1592" s="60"/>
      <c r="V1592" s="60"/>
      <c r="W1592" s="60"/>
      <c r="X1592" s="60"/>
      <c r="Y1592" s="60"/>
      <c r="Z1592" s="60"/>
    </row>
    <row r="1593" spans="1:26" ht="30" hidden="1" customHeight="1">
      <c r="A1593" s="92" t="s">
        <v>3165</v>
      </c>
      <c r="B1593" s="101" t="s">
        <v>2635</v>
      </c>
      <c r="C1593" s="94"/>
      <c r="D1593" s="94"/>
      <c r="E1593" s="39">
        <f t="shared" ref="E1593:F1593" si="510">SUM(E1594:E1611)</f>
        <v>230113372.64000002</v>
      </c>
      <c r="F1593" s="39">
        <f t="shared" si="510"/>
        <v>237535446.65000001</v>
      </c>
      <c r="G1593" s="40"/>
      <c r="H1593" s="39">
        <f>SUM(H1594:H1611)</f>
        <v>7422074.0099999998</v>
      </c>
      <c r="I1593" s="60"/>
      <c r="J1593" s="60"/>
      <c r="K1593" s="60"/>
      <c r="L1593" s="60"/>
      <c r="M1593" s="60"/>
      <c r="N1593" s="60"/>
      <c r="O1593" s="60"/>
      <c r="P1593" s="60"/>
      <c r="Q1593" s="60"/>
      <c r="R1593" s="60"/>
      <c r="S1593" s="60"/>
      <c r="T1593" s="60"/>
      <c r="U1593" s="60"/>
      <c r="V1593" s="60"/>
      <c r="W1593" s="60"/>
      <c r="X1593" s="60"/>
      <c r="Y1593" s="60"/>
      <c r="Z1593" s="60"/>
    </row>
    <row r="1594" spans="1:26" ht="30" hidden="1" customHeight="1">
      <c r="A1594" s="98" t="s">
        <v>3166</v>
      </c>
      <c r="B1594" s="68" t="s">
        <v>3167</v>
      </c>
      <c r="C1594" s="99"/>
      <c r="D1594" s="96"/>
      <c r="E1594" s="53"/>
      <c r="F1594" s="53"/>
      <c r="G1594" s="96"/>
      <c r="H1594" s="96">
        <f t="shared" ref="H1594:H1611" si="511">ROUND(F1594-E1594,2)</f>
        <v>0</v>
      </c>
      <c r="I1594" s="60"/>
      <c r="J1594" s="60"/>
      <c r="K1594" s="60"/>
      <c r="L1594" s="60"/>
      <c r="M1594" s="60"/>
      <c r="N1594" s="60"/>
      <c r="O1594" s="60"/>
      <c r="P1594" s="60"/>
      <c r="Q1594" s="60"/>
      <c r="R1594" s="60"/>
      <c r="S1594" s="60"/>
      <c r="T1594" s="60"/>
      <c r="U1594" s="60"/>
      <c r="V1594" s="60"/>
      <c r="W1594" s="60"/>
      <c r="X1594" s="60"/>
      <c r="Y1594" s="60"/>
      <c r="Z1594" s="60"/>
    </row>
    <row r="1595" spans="1:26" ht="30" hidden="1" customHeight="1">
      <c r="A1595" s="95" t="s">
        <v>3168</v>
      </c>
      <c r="B1595" s="68" t="s">
        <v>3169</v>
      </c>
      <c r="C1595" s="99"/>
      <c r="D1595" s="96"/>
      <c r="E1595" s="53"/>
      <c r="F1595" s="53"/>
      <c r="G1595" s="96"/>
      <c r="H1595" s="96">
        <f t="shared" si="511"/>
        <v>0</v>
      </c>
      <c r="I1595" s="60"/>
      <c r="J1595" s="60"/>
      <c r="K1595" s="60"/>
      <c r="L1595" s="60"/>
      <c r="M1595" s="60"/>
      <c r="N1595" s="60"/>
      <c r="O1595" s="60"/>
      <c r="P1595" s="60"/>
      <c r="Q1595" s="60"/>
      <c r="R1595" s="60"/>
      <c r="S1595" s="60"/>
      <c r="T1595" s="60"/>
      <c r="U1595" s="60"/>
      <c r="V1595" s="60"/>
      <c r="W1595" s="60"/>
      <c r="X1595" s="60"/>
      <c r="Y1595" s="60"/>
      <c r="Z1595" s="60"/>
    </row>
    <row r="1596" spans="1:26" ht="30" hidden="1" customHeight="1">
      <c r="A1596" s="98" t="s">
        <v>3170</v>
      </c>
      <c r="B1596" s="68" t="s">
        <v>3171</v>
      </c>
      <c r="C1596" s="99"/>
      <c r="D1596" s="96"/>
      <c r="E1596" s="53">
        <v>0</v>
      </c>
      <c r="F1596" s="53">
        <v>19000000</v>
      </c>
      <c r="G1596" s="96"/>
      <c r="H1596" s="96">
        <f t="shared" si="511"/>
        <v>19000000</v>
      </c>
      <c r="I1596" s="60"/>
      <c r="J1596" s="60"/>
      <c r="K1596" s="60"/>
      <c r="L1596" s="60"/>
      <c r="M1596" s="60"/>
      <c r="N1596" s="60"/>
      <c r="O1596" s="60"/>
      <c r="P1596" s="60"/>
      <c r="Q1596" s="60"/>
      <c r="R1596" s="60"/>
      <c r="S1596" s="60"/>
      <c r="T1596" s="60"/>
      <c r="U1596" s="60"/>
      <c r="V1596" s="60"/>
      <c r="W1596" s="60"/>
      <c r="X1596" s="60"/>
      <c r="Y1596" s="60"/>
      <c r="Z1596" s="60"/>
    </row>
    <row r="1597" spans="1:26" ht="30" hidden="1" customHeight="1">
      <c r="A1597" s="95" t="s">
        <v>3172</v>
      </c>
      <c r="B1597" s="68" t="s">
        <v>3173</v>
      </c>
      <c r="C1597" s="99"/>
      <c r="D1597" s="96"/>
      <c r="E1597" s="53"/>
      <c r="F1597" s="53"/>
      <c r="G1597" s="96"/>
      <c r="H1597" s="96">
        <f t="shared" si="511"/>
        <v>0</v>
      </c>
      <c r="I1597" s="60"/>
      <c r="J1597" s="60"/>
      <c r="K1597" s="60"/>
      <c r="L1597" s="60"/>
      <c r="M1597" s="60"/>
      <c r="N1597" s="60"/>
      <c r="O1597" s="60"/>
      <c r="P1597" s="60"/>
      <c r="Q1597" s="60"/>
      <c r="R1597" s="60"/>
      <c r="S1597" s="60"/>
      <c r="T1597" s="60"/>
      <c r="U1597" s="60"/>
      <c r="V1597" s="60"/>
      <c r="W1597" s="60"/>
      <c r="X1597" s="60"/>
      <c r="Y1597" s="60"/>
      <c r="Z1597" s="60"/>
    </row>
    <row r="1598" spans="1:26" ht="30" hidden="1" customHeight="1">
      <c r="A1598" s="98" t="s">
        <v>3174</v>
      </c>
      <c r="B1598" s="68" t="s">
        <v>3175</v>
      </c>
      <c r="C1598" s="99"/>
      <c r="D1598" s="96"/>
      <c r="E1598" s="53">
        <v>20107303.239999998</v>
      </c>
      <c r="F1598" s="53">
        <v>8823234.6300000008</v>
      </c>
      <c r="G1598" s="96"/>
      <c r="H1598" s="96">
        <f t="shared" si="511"/>
        <v>-11284068.609999999</v>
      </c>
      <c r="I1598" s="60"/>
      <c r="J1598" s="60"/>
      <c r="K1598" s="60"/>
      <c r="L1598" s="60"/>
      <c r="M1598" s="60"/>
      <c r="N1598" s="60"/>
      <c r="O1598" s="60"/>
      <c r="P1598" s="60"/>
      <c r="Q1598" s="60"/>
      <c r="R1598" s="60"/>
      <c r="S1598" s="60"/>
      <c r="T1598" s="60"/>
      <c r="U1598" s="60"/>
      <c r="V1598" s="60"/>
      <c r="W1598" s="60"/>
      <c r="X1598" s="60"/>
      <c r="Y1598" s="60"/>
      <c r="Z1598" s="60"/>
    </row>
    <row r="1599" spans="1:26" ht="30" hidden="1" customHeight="1">
      <c r="A1599" s="95" t="s">
        <v>3176</v>
      </c>
      <c r="B1599" s="68" t="s">
        <v>3177</v>
      </c>
      <c r="C1599" s="99"/>
      <c r="D1599" s="96"/>
      <c r="E1599" s="53"/>
      <c r="F1599" s="53"/>
      <c r="G1599" s="96"/>
      <c r="H1599" s="96">
        <f t="shared" si="511"/>
        <v>0</v>
      </c>
      <c r="I1599" s="60"/>
      <c r="J1599" s="60"/>
      <c r="K1599" s="60"/>
      <c r="L1599" s="60"/>
      <c r="M1599" s="60"/>
      <c r="N1599" s="60"/>
      <c r="O1599" s="60"/>
      <c r="P1599" s="60"/>
      <c r="Q1599" s="60"/>
      <c r="R1599" s="60"/>
      <c r="S1599" s="60"/>
      <c r="T1599" s="60"/>
      <c r="U1599" s="60"/>
      <c r="V1599" s="60"/>
      <c r="W1599" s="60"/>
      <c r="X1599" s="60"/>
      <c r="Y1599" s="60"/>
      <c r="Z1599" s="60"/>
    </row>
    <row r="1600" spans="1:26" ht="30" hidden="1" customHeight="1">
      <c r="A1600" s="98" t="s">
        <v>3178</v>
      </c>
      <c r="B1600" s="68" t="s">
        <v>3179</v>
      </c>
      <c r="C1600" s="99"/>
      <c r="D1600" s="96"/>
      <c r="E1600" s="53">
        <v>201471675.24000001</v>
      </c>
      <c r="F1600" s="53">
        <v>185556567.86000001</v>
      </c>
      <c r="G1600" s="96"/>
      <c r="H1600" s="96">
        <f t="shared" si="511"/>
        <v>-15915107.380000001</v>
      </c>
      <c r="I1600" s="60"/>
      <c r="J1600" s="60"/>
      <c r="K1600" s="60"/>
      <c r="L1600" s="60"/>
      <c r="M1600" s="60"/>
      <c r="N1600" s="60"/>
      <c r="O1600" s="60"/>
      <c r="P1600" s="60"/>
      <c r="Q1600" s="60"/>
      <c r="R1600" s="60"/>
      <c r="S1600" s="60"/>
      <c r="T1600" s="60"/>
      <c r="U1600" s="60"/>
      <c r="V1600" s="60"/>
      <c r="W1600" s="60"/>
      <c r="X1600" s="60"/>
      <c r="Y1600" s="60"/>
      <c r="Z1600" s="60"/>
    </row>
    <row r="1601" spans="1:26" ht="30" hidden="1" customHeight="1">
      <c r="A1601" s="95" t="s">
        <v>3180</v>
      </c>
      <c r="B1601" s="68" t="s">
        <v>3181</v>
      </c>
      <c r="C1601" s="99"/>
      <c r="D1601" s="96"/>
      <c r="E1601" s="53"/>
      <c r="F1601" s="53"/>
      <c r="G1601" s="96"/>
      <c r="H1601" s="96">
        <f t="shared" si="511"/>
        <v>0</v>
      </c>
      <c r="I1601" s="60"/>
      <c r="J1601" s="60"/>
      <c r="K1601" s="60"/>
      <c r="L1601" s="60"/>
      <c r="M1601" s="60"/>
      <c r="N1601" s="60"/>
      <c r="O1601" s="60"/>
      <c r="P1601" s="60"/>
      <c r="Q1601" s="60"/>
      <c r="R1601" s="60"/>
      <c r="S1601" s="60"/>
      <c r="T1601" s="60"/>
      <c r="U1601" s="60"/>
      <c r="V1601" s="60"/>
      <c r="W1601" s="60"/>
      <c r="X1601" s="60"/>
      <c r="Y1601" s="60"/>
      <c r="Z1601" s="60"/>
    </row>
    <row r="1602" spans="1:26" ht="30" hidden="1" customHeight="1">
      <c r="A1602" s="98" t="s">
        <v>3182</v>
      </c>
      <c r="B1602" s="68" t="s">
        <v>3183</v>
      </c>
      <c r="C1602" s="99"/>
      <c r="D1602" s="96"/>
      <c r="E1602" s="53"/>
      <c r="F1602" s="53"/>
      <c r="G1602" s="96"/>
      <c r="H1602" s="96">
        <f t="shared" si="511"/>
        <v>0</v>
      </c>
      <c r="I1602" s="60"/>
      <c r="J1602" s="60"/>
      <c r="K1602" s="60"/>
      <c r="L1602" s="60"/>
      <c r="M1602" s="60"/>
      <c r="N1602" s="60"/>
      <c r="O1602" s="60"/>
      <c r="P1602" s="60"/>
      <c r="Q1602" s="60"/>
      <c r="R1602" s="60"/>
      <c r="S1602" s="60"/>
      <c r="T1602" s="60"/>
      <c r="U1602" s="60"/>
      <c r="V1602" s="60"/>
      <c r="W1602" s="60"/>
      <c r="X1602" s="60"/>
      <c r="Y1602" s="60"/>
      <c r="Z1602" s="60"/>
    </row>
    <row r="1603" spans="1:26" ht="30" hidden="1" customHeight="1">
      <c r="A1603" s="95" t="s">
        <v>3184</v>
      </c>
      <c r="B1603" s="68" t="s">
        <v>3185</v>
      </c>
      <c r="C1603" s="99"/>
      <c r="D1603" s="96"/>
      <c r="E1603" s="53"/>
      <c r="F1603" s="53"/>
      <c r="G1603" s="96"/>
      <c r="H1603" s="96">
        <f t="shared" si="511"/>
        <v>0</v>
      </c>
      <c r="I1603" s="60"/>
      <c r="J1603" s="60"/>
      <c r="K1603" s="60"/>
      <c r="L1603" s="60"/>
      <c r="M1603" s="60"/>
      <c r="N1603" s="60"/>
      <c r="O1603" s="60"/>
      <c r="P1603" s="60"/>
      <c r="Q1603" s="60"/>
      <c r="R1603" s="60"/>
      <c r="S1603" s="60"/>
      <c r="T1603" s="60"/>
      <c r="U1603" s="60"/>
      <c r="V1603" s="60"/>
      <c r="W1603" s="60"/>
      <c r="X1603" s="60"/>
      <c r="Y1603" s="60"/>
      <c r="Z1603" s="60"/>
    </row>
    <row r="1604" spans="1:26" ht="30" hidden="1" customHeight="1">
      <c r="A1604" s="98" t="s">
        <v>3186</v>
      </c>
      <c r="B1604" s="68" t="s">
        <v>3187</v>
      </c>
      <c r="C1604" s="99"/>
      <c r="D1604" s="96"/>
      <c r="E1604" s="53">
        <v>8534394.1600000001</v>
      </c>
      <c r="F1604" s="53">
        <v>23530644.16</v>
      </c>
      <c r="G1604" s="96"/>
      <c r="H1604" s="96">
        <f t="shared" si="511"/>
        <v>14996250</v>
      </c>
      <c r="I1604" s="60"/>
      <c r="J1604" s="60"/>
      <c r="K1604" s="60"/>
      <c r="L1604" s="60"/>
      <c r="M1604" s="60"/>
      <c r="N1604" s="60"/>
      <c r="O1604" s="60"/>
      <c r="P1604" s="60"/>
      <c r="Q1604" s="60"/>
      <c r="R1604" s="60"/>
      <c r="S1604" s="60"/>
      <c r="T1604" s="60"/>
      <c r="U1604" s="60"/>
      <c r="V1604" s="60"/>
      <c r="W1604" s="60"/>
      <c r="X1604" s="60"/>
      <c r="Y1604" s="60"/>
      <c r="Z1604" s="60"/>
    </row>
    <row r="1605" spans="1:26" ht="30" hidden="1" customHeight="1">
      <c r="A1605" s="95" t="s">
        <v>3188</v>
      </c>
      <c r="B1605" s="68" t="s">
        <v>3189</v>
      </c>
      <c r="C1605" s="99"/>
      <c r="D1605" s="96"/>
      <c r="E1605" s="53"/>
      <c r="F1605" s="53"/>
      <c r="G1605" s="96"/>
      <c r="H1605" s="96">
        <f t="shared" si="511"/>
        <v>0</v>
      </c>
      <c r="I1605" s="60"/>
      <c r="J1605" s="60"/>
      <c r="K1605" s="60"/>
      <c r="L1605" s="60"/>
      <c r="M1605" s="60"/>
      <c r="N1605" s="60"/>
      <c r="O1605" s="60"/>
      <c r="P1605" s="60"/>
      <c r="Q1605" s="60"/>
      <c r="R1605" s="60"/>
      <c r="S1605" s="60"/>
      <c r="T1605" s="60"/>
      <c r="U1605" s="60"/>
      <c r="V1605" s="60"/>
      <c r="W1605" s="60"/>
      <c r="X1605" s="60"/>
      <c r="Y1605" s="60"/>
      <c r="Z1605" s="60"/>
    </row>
    <row r="1606" spans="1:26" ht="30" hidden="1" customHeight="1">
      <c r="A1606" s="98" t="s">
        <v>3190</v>
      </c>
      <c r="B1606" s="68" t="s">
        <v>3191</v>
      </c>
      <c r="C1606" s="99"/>
      <c r="D1606" s="96"/>
      <c r="E1606" s="53"/>
      <c r="F1606" s="53"/>
      <c r="G1606" s="96"/>
      <c r="H1606" s="96">
        <f t="shared" si="511"/>
        <v>0</v>
      </c>
      <c r="I1606" s="60"/>
      <c r="J1606" s="60"/>
      <c r="K1606" s="60"/>
      <c r="L1606" s="60"/>
      <c r="M1606" s="60"/>
      <c r="N1606" s="60"/>
      <c r="O1606" s="60"/>
      <c r="P1606" s="60"/>
      <c r="Q1606" s="60"/>
      <c r="R1606" s="60"/>
      <c r="S1606" s="60"/>
      <c r="T1606" s="60"/>
      <c r="U1606" s="60"/>
      <c r="V1606" s="60"/>
      <c r="W1606" s="60"/>
      <c r="X1606" s="60"/>
      <c r="Y1606" s="60"/>
      <c r="Z1606" s="60"/>
    </row>
    <row r="1607" spans="1:26" ht="30" hidden="1" customHeight="1">
      <c r="A1607" s="95" t="s">
        <v>3192</v>
      </c>
      <c r="B1607" s="68" t="s">
        <v>3193</v>
      </c>
      <c r="C1607" s="99"/>
      <c r="D1607" s="96"/>
      <c r="E1607" s="53"/>
      <c r="F1607" s="53"/>
      <c r="G1607" s="96"/>
      <c r="H1607" s="96">
        <f t="shared" si="511"/>
        <v>0</v>
      </c>
      <c r="I1607" s="60"/>
      <c r="J1607" s="60"/>
      <c r="K1607" s="60"/>
      <c r="L1607" s="60"/>
      <c r="M1607" s="60"/>
      <c r="N1607" s="60"/>
      <c r="O1607" s="60"/>
      <c r="P1607" s="60"/>
      <c r="Q1607" s="60"/>
      <c r="R1607" s="60"/>
      <c r="S1607" s="60"/>
      <c r="T1607" s="60"/>
      <c r="U1607" s="60"/>
      <c r="V1607" s="60"/>
      <c r="W1607" s="60"/>
      <c r="X1607" s="60"/>
      <c r="Y1607" s="60"/>
      <c r="Z1607" s="60"/>
    </row>
    <row r="1608" spans="1:26" ht="30" hidden="1" customHeight="1">
      <c r="A1608" s="98" t="s">
        <v>3194</v>
      </c>
      <c r="B1608" s="68" t="s">
        <v>3195</v>
      </c>
      <c r="C1608" s="99"/>
      <c r="D1608" s="96"/>
      <c r="E1608" s="53"/>
      <c r="F1608" s="53"/>
      <c r="G1608" s="96"/>
      <c r="H1608" s="96">
        <f t="shared" si="511"/>
        <v>0</v>
      </c>
      <c r="I1608" s="60"/>
      <c r="J1608" s="60"/>
      <c r="K1608" s="60"/>
      <c r="L1608" s="60"/>
      <c r="M1608" s="60"/>
      <c r="N1608" s="60"/>
      <c r="O1608" s="60"/>
      <c r="P1608" s="60"/>
      <c r="Q1608" s="60"/>
      <c r="R1608" s="60"/>
      <c r="S1608" s="60"/>
      <c r="T1608" s="60"/>
      <c r="U1608" s="60"/>
      <c r="V1608" s="60"/>
      <c r="W1608" s="60"/>
      <c r="X1608" s="60"/>
      <c r="Y1608" s="60"/>
      <c r="Z1608" s="60"/>
    </row>
    <row r="1609" spans="1:26" ht="30" hidden="1" customHeight="1">
      <c r="A1609" s="95" t="s">
        <v>3196</v>
      </c>
      <c r="B1609" s="68" t="s">
        <v>3197</v>
      </c>
      <c r="C1609" s="99"/>
      <c r="D1609" s="96"/>
      <c r="E1609" s="53"/>
      <c r="F1609" s="53"/>
      <c r="G1609" s="96"/>
      <c r="H1609" s="96">
        <f t="shared" si="511"/>
        <v>0</v>
      </c>
      <c r="I1609" s="60"/>
      <c r="J1609" s="60"/>
      <c r="K1609" s="60"/>
      <c r="L1609" s="60"/>
      <c r="M1609" s="60"/>
      <c r="N1609" s="60"/>
      <c r="O1609" s="60"/>
      <c r="P1609" s="60"/>
      <c r="Q1609" s="60"/>
      <c r="R1609" s="60"/>
      <c r="S1609" s="60"/>
      <c r="T1609" s="60"/>
      <c r="U1609" s="60"/>
      <c r="V1609" s="60"/>
      <c r="W1609" s="60"/>
      <c r="X1609" s="60"/>
      <c r="Y1609" s="60"/>
      <c r="Z1609" s="60"/>
    </row>
    <row r="1610" spans="1:26" ht="30" hidden="1" customHeight="1">
      <c r="A1610" s="98" t="s">
        <v>3198</v>
      </c>
      <c r="B1610" s="68" t="s">
        <v>3199</v>
      </c>
      <c r="C1610" s="99"/>
      <c r="D1610" s="96"/>
      <c r="E1610" s="53"/>
      <c r="F1610" s="53">
        <v>625000</v>
      </c>
      <c r="G1610" s="96"/>
      <c r="H1610" s="96">
        <f t="shared" si="511"/>
        <v>625000</v>
      </c>
      <c r="I1610" s="60"/>
      <c r="J1610" s="60"/>
      <c r="K1610" s="60"/>
      <c r="L1610" s="60"/>
      <c r="M1610" s="60"/>
      <c r="N1610" s="60"/>
      <c r="O1610" s="60"/>
      <c r="P1610" s="60"/>
      <c r="Q1610" s="60"/>
      <c r="R1610" s="60"/>
      <c r="S1610" s="60"/>
      <c r="T1610" s="60"/>
      <c r="U1610" s="60"/>
      <c r="V1610" s="60"/>
      <c r="W1610" s="60"/>
      <c r="X1610" s="60"/>
      <c r="Y1610" s="60"/>
      <c r="Z1610" s="60"/>
    </row>
    <row r="1611" spans="1:26" ht="30" hidden="1" customHeight="1">
      <c r="A1611" s="95" t="s">
        <v>3200</v>
      </c>
      <c r="B1611" s="68" t="s">
        <v>3201</v>
      </c>
      <c r="C1611" s="99"/>
      <c r="D1611" s="96"/>
      <c r="E1611" s="53"/>
      <c r="F1611" s="53"/>
      <c r="G1611" s="96"/>
      <c r="H1611" s="96">
        <f t="shared" si="511"/>
        <v>0</v>
      </c>
      <c r="I1611" s="60"/>
      <c r="J1611" s="60"/>
      <c r="K1611" s="60"/>
      <c r="L1611" s="60"/>
      <c r="M1611" s="60"/>
      <c r="N1611" s="60"/>
      <c r="O1611" s="60"/>
      <c r="P1611" s="60"/>
      <c r="Q1611" s="60"/>
      <c r="R1611" s="60"/>
      <c r="S1611" s="60"/>
      <c r="T1611" s="60"/>
      <c r="U1611" s="60"/>
      <c r="V1611" s="60"/>
      <c r="W1611" s="60"/>
      <c r="X1611" s="60"/>
      <c r="Y1611" s="60"/>
      <c r="Z1611" s="60"/>
    </row>
    <row r="1612" spans="1:26" ht="30" hidden="1" customHeight="1">
      <c r="A1612" s="92" t="s">
        <v>3202</v>
      </c>
      <c r="B1612" s="101" t="s">
        <v>2673</v>
      </c>
      <c r="C1612" s="94"/>
      <c r="D1612" s="94"/>
      <c r="E1612" s="39">
        <f t="shared" ref="E1612:F1612" si="512">SUM(E1613:E1630)</f>
        <v>109885194.10999998</v>
      </c>
      <c r="F1612" s="39">
        <f t="shared" si="512"/>
        <v>466312114.74999994</v>
      </c>
      <c r="G1612" s="40"/>
      <c r="H1612" s="39">
        <f>SUM(H1613:H1630)</f>
        <v>356426920.63999999</v>
      </c>
      <c r="I1612" s="60"/>
      <c r="J1612" s="60"/>
      <c r="K1612" s="60"/>
      <c r="L1612" s="60"/>
      <c r="M1612" s="60"/>
      <c r="N1612" s="60"/>
      <c r="O1612" s="60"/>
      <c r="P1612" s="60"/>
      <c r="Q1612" s="60"/>
      <c r="R1612" s="60"/>
      <c r="S1612" s="60"/>
      <c r="T1612" s="60"/>
      <c r="U1612" s="60"/>
      <c r="V1612" s="60"/>
      <c r="W1612" s="60"/>
      <c r="X1612" s="60"/>
      <c r="Y1612" s="60"/>
      <c r="Z1612" s="60"/>
    </row>
    <row r="1613" spans="1:26" ht="30" hidden="1" customHeight="1">
      <c r="A1613" s="98" t="s">
        <v>3203</v>
      </c>
      <c r="B1613" s="68" t="s">
        <v>3204</v>
      </c>
      <c r="C1613" s="99"/>
      <c r="D1613" s="96"/>
      <c r="E1613" s="53">
        <v>21716397.550000001</v>
      </c>
      <c r="F1613" s="53">
        <v>45404533.200000003</v>
      </c>
      <c r="G1613" s="96"/>
      <c r="H1613" s="96">
        <f t="shared" ref="H1613:H1630" si="513">ROUND(F1613-E1613,2)</f>
        <v>23688135.649999999</v>
      </c>
      <c r="I1613" s="60"/>
      <c r="J1613" s="60"/>
      <c r="K1613" s="60"/>
      <c r="L1613" s="60"/>
      <c r="M1613" s="60"/>
      <c r="N1613" s="60"/>
      <c r="O1613" s="60"/>
      <c r="P1613" s="60"/>
      <c r="Q1613" s="60"/>
      <c r="R1613" s="60"/>
      <c r="S1613" s="60"/>
      <c r="T1613" s="60"/>
      <c r="U1613" s="60"/>
      <c r="V1613" s="60"/>
      <c r="W1613" s="60"/>
      <c r="X1613" s="60"/>
      <c r="Y1613" s="60"/>
      <c r="Z1613" s="60"/>
    </row>
    <row r="1614" spans="1:26" ht="30" hidden="1" customHeight="1">
      <c r="A1614" s="95" t="s">
        <v>3205</v>
      </c>
      <c r="B1614" s="68" t="s">
        <v>3206</v>
      </c>
      <c r="C1614" s="99"/>
      <c r="D1614" s="96"/>
      <c r="E1614" s="53"/>
      <c r="F1614" s="53"/>
      <c r="G1614" s="96"/>
      <c r="H1614" s="96">
        <f t="shared" si="513"/>
        <v>0</v>
      </c>
      <c r="I1614" s="60"/>
      <c r="J1614" s="60"/>
      <c r="K1614" s="60"/>
      <c r="L1614" s="60"/>
      <c r="M1614" s="60"/>
      <c r="N1614" s="60"/>
      <c r="O1614" s="60"/>
      <c r="P1614" s="60"/>
      <c r="Q1614" s="60"/>
      <c r="R1614" s="60"/>
      <c r="S1614" s="60"/>
      <c r="T1614" s="60"/>
      <c r="U1614" s="60"/>
      <c r="V1614" s="60"/>
      <c r="W1614" s="60"/>
      <c r="X1614" s="60"/>
      <c r="Y1614" s="60"/>
      <c r="Z1614" s="60"/>
    </row>
    <row r="1615" spans="1:26" ht="30" hidden="1" customHeight="1">
      <c r="A1615" s="98" t="s">
        <v>3207</v>
      </c>
      <c r="B1615" s="68" t="s">
        <v>3208</v>
      </c>
      <c r="C1615" s="99"/>
      <c r="D1615" s="96"/>
      <c r="E1615" s="53">
        <v>1117988.45</v>
      </c>
      <c r="F1615" s="53">
        <v>943729.81</v>
      </c>
      <c r="G1615" s="96"/>
      <c r="H1615" s="96">
        <f t="shared" si="513"/>
        <v>-174258.64</v>
      </c>
      <c r="I1615" s="60"/>
      <c r="J1615" s="60"/>
      <c r="K1615" s="60"/>
      <c r="L1615" s="60"/>
      <c r="M1615" s="60"/>
      <c r="N1615" s="60"/>
      <c r="O1615" s="60"/>
      <c r="P1615" s="60"/>
      <c r="Q1615" s="60"/>
      <c r="R1615" s="60"/>
      <c r="S1615" s="60"/>
      <c r="T1615" s="60"/>
      <c r="U1615" s="60"/>
      <c r="V1615" s="60"/>
      <c r="W1615" s="60"/>
      <c r="X1615" s="60"/>
      <c r="Y1615" s="60"/>
      <c r="Z1615" s="60"/>
    </row>
    <row r="1616" spans="1:26" ht="30" hidden="1" customHeight="1">
      <c r="A1616" s="95" t="s">
        <v>3209</v>
      </c>
      <c r="B1616" s="68" t="s">
        <v>3210</v>
      </c>
      <c r="C1616" s="99"/>
      <c r="D1616" s="96"/>
      <c r="E1616" s="53"/>
      <c r="F1616" s="53"/>
      <c r="G1616" s="96"/>
      <c r="H1616" s="96">
        <f t="shared" si="513"/>
        <v>0</v>
      </c>
      <c r="I1616" s="60"/>
      <c r="J1616" s="60"/>
      <c r="K1616" s="60"/>
      <c r="L1616" s="60"/>
      <c r="M1616" s="60"/>
      <c r="N1616" s="60"/>
      <c r="O1616" s="60"/>
      <c r="P1616" s="60"/>
      <c r="Q1616" s="60"/>
      <c r="R1616" s="60"/>
      <c r="S1616" s="60"/>
      <c r="T1616" s="60"/>
      <c r="U1616" s="60"/>
      <c r="V1616" s="60"/>
      <c r="W1616" s="60"/>
      <c r="X1616" s="60"/>
      <c r="Y1616" s="60"/>
      <c r="Z1616" s="60"/>
    </row>
    <row r="1617" spans="1:26" ht="30" hidden="1" customHeight="1">
      <c r="A1617" s="98" t="s">
        <v>3211</v>
      </c>
      <c r="B1617" s="68" t="s">
        <v>3212</v>
      </c>
      <c r="C1617" s="99"/>
      <c r="D1617" s="96"/>
      <c r="E1617" s="53">
        <v>252000</v>
      </c>
      <c r="F1617" s="53">
        <v>28768834.329999998</v>
      </c>
      <c r="G1617" s="96"/>
      <c r="H1617" s="96">
        <f t="shared" si="513"/>
        <v>28516834.329999998</v>
      </c>
      <c r="I1617" s="60"/>
      <c r="J1617" s="60"/>
      <c r="K1617" s="60"/>
      <c r="L1617" s="60"/>
      <c r="M1617" s="60"/>
      <c r="N1617" s="60"/>
      <c r="O1617" s="60"/>
      <c r="P1617" s="60"/>
      <c r="Q1617" s="60"/>
      <c r="R1617" s="60"/>
      <c r="S1617" s="60"/>
      <c r="T1617" s="60"/>
      <c r="U1617" s="60"/>
      <c r="V1617" s="60"/>
      <c r="W1617" s="60"/>
      <c r="X1617" s="60"/>
      <c r="Y1617" s="60"/>
      <c r="Z1617" s="60"/>
    </row>
    <row r="1618" spans="1:26" ht="30" hidden="1" customHeight="1">
      <c r="A1618" s="95" t="s">
        <v>3213</v>
      </c>
      <c r="B1618" s="68" t="s">
        <v>3214</v>
      </c>
      <c r="C1618" s="99"/>
      <c r="D1618" s="96"/>
      <c r="E1618" s="53"/>
      <c r="F1618" s="53"/>
      <c r="G1618" s="96"/>
      <c r="H1618" s="96">
        <f t="shared" si="513"/>
        <v>0</v>
      </c>
      <c r="I1618" s="60"/>
      <c r="J1618" s="60"/>
      <c r="K1618" s="60"/>
      <c r="L1618" s="60"/>
      <c r="M1618" s="60"/>
      <c r="N1618" s="60"/>
      <c r="O1618" s="60"/>
      <c r="P1618" s="60"/>
      <c r="Q1618" s="60"/>
      <c r="R1618" s="60"/>
      <c r="S1618" s="60"/>
      <c r="T1618" s="60"/>
      <c r="U1618" s="60"/>
      <c r="V1618" s="60"/>
      <c r="W1618" s="60"/>
      <c r="X1618" s="60"/>
      <c r="Y1618" s="60"/>
      <c r="Z1618" s="60"/>
    </row>
    <row r="1619" spans="1:26" ht="30" hidden="1" customHeight="1">
      <c r="A1619" s="98" t="s">
        <v>3215</v>
      </c>
      <c r="B1619" s="68" t="s">
        <v>3216</v>
      </c>
      <c r="C1619" s="99"/>
      <c r="D1619" s="96"/>
      <c r="E1619" s="53">
        <v>59442624.009999998</v>
      </c>
      <c r="F1619" s="53">
        <v>307143337.81</v>
      </c>
      <c r="G1619" s="96"/>
      <c r="H1619" s="96">
        <f t="shared" si="513"/>
        <v>247700713.80000001</v>
      </c>
      <c r="I1619" s="60"/>
      <c r="J1619" s="60"/>
      <c r="K1619" s="60"/>
      <c r="L1619" s="60"/>
      <c r="M1619" s="60"/>
      <c r="N1619" s="60"/>
      <c r="O1619" s="60"/>
      <c r="P1619" s="60"/>
      <c r="Q1619" s="60"/>
      <c r="R1619" s="60"/>
      <c r="S1619" s="60"/>
      <c r="T1619" s="60"/>
      <c r="U1619" s="60"/>
      <c r="V1619" s="60"/>
      <c r="W1619" s="60"/>
      <c r="X1619" s="60"/>
      <c r="Y1619" s="60"/>
      <c r="Z1619" s="60"/>
    </row>
    <row r="1620" spans="1:26" ht="30" hidden="1" customHeight="1">
      <c r="A1620" s="95" t="s">
        <v>3217</v>
      </c>
      <c r="B1620" s="68" t="s">
        <v>3218</v>
      </c>
      <c r="C1620" s="99"/>
      <c r="D1620" s="96"/>
      <c r="E1620" s="53"/>
      <c r="F1620" s="53"/>
      <c r="G1620" s="96"/>
      <c r="H1620" s="96">
        <f t="shared" si="513"/>
        <v>0</v>
      </c>
      <c r="I1620" s="60"/>
      <c r="J1620" s="60"/>
      <c r="K1620" s="60"/>
      <c r="L1620" s="60"/>
      <c r="M1620" s="60"/>
      <c r="N1620" s="60"/>
      <c r="O1620" s="60"/>
      <c r="P1620" s="60"/>
      <c r="Q1620" s="60"/>
      <c r="R1620" s="60"/>
      <c r="S1620" s="60"/>
      <c r="T1620" s="60"/>
      <c r="U1620" s="60"/>
      <c r="V1620" s="60"/>
      <c r="W1620" s="60"/>
      <c r="X1620" s="60"/>
      <c r="Y1620" s="60"/>
      <c r="Z1620" s="60"/>
    </row>
    <row r="1621" spans="1:26" ht="30" hidden="1" customHeight="1">
      <c r="A1621" s="98" t="s">
        <v>3219</v>
      </c>
      <c r="B1621" s="68" t="s">
        <v>3220</v>
      </c>
      <c r="C1621" s="99"/>
      <c r="D1621" s="96"/>
      <c r="E1621" s="53"/>
      <c r="F1621" s="53"/>
      <c r="G1621" s="96"/>
      <c r="H1621" s="96">
        <f t="shared" si="513"/>
        <v>0</v>
      </c>
      <c r="I1621" s="60"/>
      <c r="J1621" s="60"/>
      <c r="K1621" s="60"/>
      <c r="L1621" s="60"/>
      <c r="M1621" s="60"/>
      <c r="N1621" s="60"/>
      <c r="O1621" s="60"/>
      <c r="P1621" s="60"/>
      <c r="Q1621" s="60"/>
      <c r="R1621" s="60"/>
      <c r="S1621" s="60"/>
      <c r="T1621" s="60"/>
      <c r="U1621" s="60"/>
      <c r="V1621" s="60"/>
      <c r="W1621" s="60"/>
      <c r="X1621" s="60"/>
      <c r="Y1621" s="60"/>
      <c r="Z1621" s="60"/>
    </row>
    <row r="1622" spans="1:26" ht="30" hidden="1" customHeight="1">
      <c r="A1622" s="95" t="s">
        <v>3221</v>
      </c>
      <c r="B1622" s="68" t="s">
        <v>3222</v>
      </c>
      <c r="C1622" s="99"/>
      <c r="D1622" s="96"/>
      <c r="E1622" s="53"/>
      <c r="F1622" s="53"/>
      <c r="G1622" s="96"/>
      <c r="H1622" s="96">
        <f t="shared" si="513"/>
        <v>0</v>
      </c>
      <c r="I1622" s="60"/>
      <c r="J1622" s="60"/>
      <c r="K1622" s="60"/>
      <c r="L1622" s="60"/>
      <c r="M1622" s="60"/>
      <c r="N1622" s="60"/>
      <c r="O1622" s="60"/>
      <c r="P1622" s="60"/>
      <c r="Q1622" s="60"/>
      <c r="R1622" s="60"/>
      <c r="S1622" s="60"/>
      <c r="T1622" s="60"/>
      <c r="U1622" s="60"/>
      <c r="V1622" s="60"/>
      <c r="W1622" s="60"/>
      <c r="X1622" s="60"/>
      <c r="Y1622" s="60"/>
      <c r="Z1622" s="60"/>
    </row>
    <row r="1623" spans="1:26" ht="30" hidden="1" customHeight="1">
      <c r="A1623" s="98" t="s">
        <v>3223</v>
      </c>
      <c r="B1623" s="68" t="s">
        <v>3224</v>
      </c>
      <c r="C1623" s="99"/>
      <c r="D1623" s="96"/>
      <c r="E1623" s="53">
        <v>24336384.100000001</v>
      </c>
      <c r="F1623" s="53">
        <v>58154950.659999996</v>
      </c>
      <c r="G1623" s="96"/>
      <c r="H1623" s="96">
        <f t="shared" si="513"/>
        <v>33818566.560000002</v>
      </c>
      <c r="I1623" s="60"/>
      <c r="J1623" s="60"/>
      <c r="K1623" s="60"/>
      <c r="L1623" s="60"/>
      <c r="M1623" s="60"/>
      <c r="N1623" s="60"/>
      <c r="O1623" s="60"/>
      <c r="P1623" s="60"/>
      <c r="Q1623" s="60"/>
      <c r="R1623" s="60"/>
      <c r="S1623" s="60"/>
      <c r="T1623" s="60"/>
      <c r="U1623" s="60"/>
      <c r="V1623" s="60"/>
      <c r="W1623" s="60"/>
      <c r="X1623" s="60"/>
      <c r="Y1623" s="60"/>
      <c r="Z1623" s="60"/>
    </row>
    <row r="1624" spans="1:26" ht="30" hidden="1" customHeight="1">
      <c r="A1624" s="95" t="s">
        <v>3225</v>
      </c>
      <c r="B1624" s="68" t="s">
        <v>3226</v>
      </c>
      <c r="C1624" s="99"/>
      <c r="D1624" s="96"/>
      <c r="E1624" s="53"/>
      <c r="F1624" s="53"/>
      <c r="G1624" s="96"/>
      <c r="H1624" s="96">
        <f t="shared" si="513"/>
        <v>0</v>
      </c>
      <c r="I1624" s="60"/>
      <c r="J1624" s="60"/>
      <c r="K1624" s="60"/>
      <c r="L1624" s="60"/>
      <c r="M1624" s="60"/>
      <c r="N1624" s="60"/>
      <c r="O1624" s="60"/>
      <c r="P1624" s="60"/>
      <c r="Q1624" s="60"/>
      <c r="R1624" s="60"/>
      <c r="S1624" s="60"/>
      <c r="T1624" s="60"/>
      <c r="U1624" s="60"/>
      <c r="V1624" s="60"/>
      <c r="W1624" s="60"/>
      <c r="X1624" s="60"/>
      <c r="Y1624" s="60"/>
      <c r="Z1624" s="60"/>
    </row>
    <row r="1625" spans="1:26" ht="30" hidden="1" customHeight="1">
      <c r="A1625" s="98" t="s">
        <v>3227</v>
      </c>
      <c r="B1625" s="68" t="s">
        <v>3228</v>
      </c>
      <c r="C1625" s="99"/>
      <c r="D1625" s="96"/>
      <c r="E1625" s="53">
        <v>0</v>
      </c>
      <c r="F1625" s="53">
        <v>13615562.619999999</v>
      </c>
      <c r="G1625" s="96"/>
      <c r="H1625" s="96">
        <f t="shared" si="513"/>
        <v>13615562.619999999</v>
      </c>
      <c r="I1625" s="60"/>
      <c r="J1625" s="60"/>
      <c r="K1625" s="60"/>
      <c r="L1625" s="60"/>
      <c r="M1625" s="60"/>
      <c r="N1625" s="60"/>
      <c r="O1625" s="60"/>
      <c r="P1625" s="60"/>
      <c r="Q1625" s="60"/>
      <c r="R1625" s="60"/>
      <c r="S1625" s="60"/>
      <c r="T1625" s="60"/>
      <c r="U1625" s="60"/>
      <c r="V1625" s="60"/>
      <c r="W1625" s="60"/>
      <c r="X1625" s="60"/>
      <c r="Y1625" s="60"/>
      <c r="Z1625" s="60"/>
    </row>
    <row r="1626" spans="1:26" ht="30" hidden="1" customHeight="1">
      <c r="A1626" s="95" t="s">
        <v>3229</v>
      </c>
      <c r="B1626" s="68" t="s">
        <v>3230</v>
      </c>
      <c r="C1626" s="99"/>
      <c r="D1626" s="96"/>
      <c r="E1626" s="53"/>
      <c r="F1626" s="53"/>
      <c r="G1626" s="96"/>
      <c r="H1626" s="96">
        <f t="shared" si="513"/>
        <v>0</v>
      </c>
      <c r="I1626" s="60"/>
      <c r="J1626" s="60"/>
      <c r="K1626" s="60"/>
      <c r="L1626" s="60"/>
      <c r="M1626" s="60"/>
      <c r="N1626" s="60"/>
      <c r="O1626" s="60"/>
      <c r="P1626" s="60"/>
      <c r="Q1626" s="60"/>
      <c r="R1626" s="60"/>
      <c r="S1626" s="60"/>
      <c r="T1626" s="60"/>
      <c r="U1626" s="60"/>
      <c r="V1626" s="60"/>
      <c r="W1626" s="60"/>
      <c r="X1626" s="60"/>
      <c r="Y1626" s="60"/>
      <c r="Z1626" s="60"/>
    </row>
    <row r="1627" spans="1:26" ht="30" hidden="1" customHeight="1">
      <c r="A1627" s="98" t="s">
        <v>3231</v>
      </c>
      <c r="B1627" s="68" t="s">
        <v>3232</v>
      </c>
      <c r="C1627" s="99"/>
      <c r="D1627" s="96"/>
      <c r="E1627" s="53"/>
      <c r="F1627" s="53"/>
      <c r="G1627" s="96"/>
      <c r="H1627" s="96">
        <f t="shared" si="513"/>
        <v>0</v>
      </c>
      <c r="I1627" s="60"/>
      <c r="J1627" s="60"/>
      <c r="K1627" s="60"/>
      <c r="L1627" s="60"/>
      <c r="M1627" s="60"/>
      <c r="N1627" s="60"/>
      <c r="O1627" s="60"/>
      <c r="P1627" s="60"/>
      <c r="Q1627" s="60"/>
      <c r="R1627" s="60"/>
      <c r="S1627" s="60"/>
      <c r="T1627" s="60"/>
      <c r="U1627" s="60"/>
      <c r="V1627" s="60"/>
      <c r="W1627" s="60"/>
      <c r="X1627" s="60"/>
      <c r="Y1627" s="60"/>
      <c r="Z1627" s="60"/>
    </row>
    <row r="1628" spans="1:26" ht="30" hidden="1" customHeight="1">
      <c r="A1628" s="95" t="s">
        <v>3233</v>
      </c>
      <c r="B1628" s="68" t="s">
        <v>3234</v>
      </c>
      <c r="C1628" s="99"/>
      <c r="D1628" s="96"/>
      <c r="E1628" s="53"/>
      <c r="F1628" s="53"/>
      <c r="G1628" s="96"/>
      <c r="H1628" s="96">
        <f t="shared" si="513"/>
        <v>0</v>
      </c>
      <c r="I1628" s="60"/>
      <c r="J1628" s="60"/>
      <c r="K1628" s="60"/>
      <c r="L1628" s="60"/>
      <c r="M1628" s="60"/>
      <c r="N1628" s="60"/>
      <c r="O1628" s="60"/>
      <c r="P1628" s="60"/>
      <c r="Q1628" s="60"/>
      <c r="R1628" s="60"/>
      <c r="S1628" s="60"/>
      <c r="T1628" s="60"/>
      <c r="U1628" s="60"/>
      <c r="V1628" s="60"/>
      <c r="W1628" s="60"/>
      <c r="X1628" s="60"/>
      <c r="Y1628" s="60"/>
      <c r="Z1628" s="60"/>
    </row>
    <row r="1629" spans="1:26" ht="30" hidden="1" customHeight="1">
      <c r="A1629" s="98" t="s">
        <v>3235</v>
      </c>
      <c r="B1629" s="68" t="s">
        <v>3236</v>
      </c>
      <c r="C1629" s="99"/>
      <c r="D1629" s="96"/>
      <c r="E1629" s="53"/>
      <c r="F1629" s="53"/>
      <c r="G1629" s="96"/>
      <c r="H1629" s="96">
        <f t="shared" si="513"/>
        <v>0</v>
      </c>
      <c r="I1629" s="60"/>
      <c r="J1629" s="60"/>
      <c r="K1629" s="60"/>
      <c r="L1629" s="60"/>
      <c r="M1629" s="60"/>
      <c r="N1629" s="60"/>
      <c r="O1629" s="60"/>
      <c r="P1629" s="60"/>
      <c r="Q1629" s="60"/>
      <c r="R1629" s="60"/>
      <c r="S1629" s="60"/>
      <c r="T1629" s="60"/>
      <c r="U1629" s="60"/>
      <c r="V1629" s="60"/>
      <c r="W1629" s="60"/>
      <c r="X1629" s="60"/>
      <c r="Y1629" s="60"/>
      <c r="Z1629" s="60"/>
    </row>
    <row r="1630" spans="1:26" ht="30" hidden="1" customHeight="1">
      <c r="A1630" s="95" t="s">
        <v>3237</v>
      </c>
      <c r="B1630" s="68" t="s">
        <v>3238</v>
      </c>
      <c r="C1630" s="99"/>
      <c r="D1630" s="96"/>
      <c r="E1630" s="53">
        <v>3019800</v>
      </c>
      <c r="F1630" s="53">
        <v>12281166.32</v>
      </c>
      <c r="G1630" s="96"/>
      <c r="H1630" s="96">
        <f t="shared" si="513"/>
        <v>9261366.3200000003</v>
      </c>
      <c r="I1630" s="60"/>
      <c r="J1630" s="60"/>
      <c r="K1630" s="60"/>
      <c r="L1630" s="60"/>
      <c r="M1630" s="60"/>
      <c r="N1630" s="60"/>
      <c r="O1630" s="60"/>
      <c r="P1630" s="60"/>
      <c r="Q1630" s="60"/>
      <c r="R1630" s="60"/>
      <c r="S1630" s="60"/>
      <c r="T1630" s="60"/>
      <c r="U1630" s="60"/>
      <c r="V1630" s="60"/>
      <c r="W1630" s="60"/>
      <c r="X1630" s="60"/>
      <c r="Y1630" s="60"/>
      <c r="Z1630" s="60"/>
    </row>
    <row r="1631" spans="1:26" ht="30" hidden="1" customHeight="1">
      <c r="A1631" s="92" t="s">
        <v>3239</v>
      </c>
      <c r="B1631" s="101" t="s">
        <v>2711</v>
      </c>
      <c r="C1631" s="94"/>
      <c r="D1631" s="94"/>
      <c r="E1631" s="39">
        <f t="shared" ref="E1631:F1631" si="514">SUM(E1632:E1637)</f>
        <v>573500179.88</v>
      </c>
      <c r="F1631" s="39">
        <f t="shared" si="514"/>
        <v>877252401.88</v>
      </c>
      <c r="G1631" s="40"/>
      <c r="H1631" s="39">
        <f>SUM(H1632:H1637)</f>
        <v>303752222</v>
      </c>
      <c r="I1631" s="60"/>
      <c r="J1631" s="60"/>
      <c r="K1631" s="60"/>
      <c r="L1631" s="60"/>
      <c r="M1631" s="60"/>
      <c r="N1631" s="60"/>
      <c r="O1631" s="60"/>
      <c r="P1631" s="60"/>
      <c r="Q1631" s="60"/>
      <c r="R1631" s="60"/>
      <c r="S1631" s="60"/>
      <c r="T1631" s="60"/>
      <c r="U1631" s="60"/>
      <c r="V1631" s="60"/>
      <c r="W1631" s="60"/>
      <c r="X1631" s="60"/>
      <c r="Y1631" s="60"/>
      <c r="Z1631" s="60"/>
    </row>
    <row r="1632" spans="1:26" ht="30" hidden="1" customHeight="1">
      <c r="A1632" s="98" t="s">
        <v>3240</v>
      </c>
      <c r="B1632" s="68" t="s">
        <v>3241</v>
      </c>
      <c r="C1632" s="99"/>
      <c r="D1632" s="96"/>
      <c r="E1632" s="53">
        <v>573500179.88</v>
      </c>
      <c r="F1632" s="53">
        <v>877252401.88</v>
      </c>
      <c r="G1632" s="96"/>
      <c r="H1632" s="96">
        <f t="shared" ref="H1632:H1637" si="515">ROUND(F1632-E1632,2)</f>
        <v>303752222</v>
      </c>
      <c r="I1632" s="60"/>
      <c r="J1632" s="60"/>
      <c r="K1632" s="60"/>
      <c r="L1632" s="60"/>
      <c r="M1632" s="60"/>
      <c r="N1632" s="60"/>
      <c r="O1632" s="60"/>
      <c r="P1632" s="60"/>
      <c r="Q1632" s="60"/>
      <c r="R1632" s="60"/>
      <c r="S1632" s="60"/>
      <c r="T1632" s="60"/>
      <c r="U1632" s="60"/>
      <c r="V1632" s="60"/>
      <c r="W1632" s="60"/>
      <c r="X1632" s="60"/>
      <c r="Y1632" s="60"/>
      <c r="Z1632" s="60"/>
    </row>
    <row r="1633" spans="1:26" ht="30" hidden="1" customHeight="1">
      <c r="A1633" s="95" t="s">
        <v>3242</v>
      </c>
      <c r="B1633" s="68" t="s">
        <v>3243</v>
      </c>
      <c r="C1633" s="99"/>
      <c r="D1633" s="96"/>
      <c r="E1633" s="53"/>
      <c r="F1633" s="53"/>
      <c r="G1633" s="96"/>
      <c r="H1633" s="96">
        <f t="shared" si="515"/>
        <v>0</v>
      </c>
      <c r="I1633" s="60"/>
      <c r="J1633" s="60"/>
      <c r="K1633" s="60"/>
      <c r="L1633" s="60"/>
      <c r="M1633" s="60"/>
      <c r="N1633" s="60"/>
      <c r="O1633" s="60"/>
      <c r="P1633" s="60"/>
      <c r="Q1633" s="60"/>
      <c r="R1633" s="60"/>
      <c r="S1633" s="60"/>
      <c r="T1633" s="60"/>
      <c r="U1633" s="60"/>
      <c r="V1633" s="60"/>
      <c r="W1633" s="60"/>
      <c r="X1633" s="60"/>
      <c r="Y1633" s="60"/>
      <c r="Z1633" s="60"/>
    </row>
    <row r="1634" spans="1:26" ht="30" hidden="1" customHeight="1">
      <c r="A1634" s="98" t="s">
        <v>3244</v>
      </c>
      <c r="B1634" s="68" t="s">
        <v>3245</v>
      </c>
      <c r="C1634" s="99"/>
      <c r="D1634" s="96"/>
      <c r="E1634" s="53"/>
      <c r="F1634" s="53"/>
      <c r="G1634" s="96"/>
      <c r="H1634" s="96">
        <f t="shared" si="515"/>
        <v>0</v>
      </c>
      <c r="I1634" s="60"/>
      <c r="J1634" s="60"/>
      <c r="K1634" s="60"/>
      <c r="L1634" s="60"/>
      <c r="M1634" s="60"/>
      <c r="N1634" s="60"/>
      <c r="O1634" s="60"/>
      <c r="P1634" s="60"/>
      <c r="Q1634" s="60"/>
      <c r="R1634" s="60"/>
      <c r="S1634" s="60"/>
      <c r="T1634" s="60"/>
      <c r="U1634" s="60"/>
      <c r="V1634" s="60"/>
      <c r="W1634" s="60"/>
      <c r="X1634" s="60"/>
      <c r="Y1634" s="60"/>
      <c r="Z1634" s="60"/>
    </row>
    <row r="1635" spans="1:26" ht="30" hidden="1" customHeight="1">
      <c r="A1635" s="95" t="s">
        <v>3246</v>
      </c>
      <c r="B1635" s="68" t="s">
        <v>3247</v>
      </c>
      <c r="C1635" s="99"/>
      <c r="D1635" s="96"/>
      <c r="E1635" s="53"/>
      <c r="F1635" s="53"/>
      <c r="G1635" s="96"/>
      <c r="H1635" s="96">
        <f t="shared" si="515"/>
        <v>0</v>
      </c>
      <c r="I1635" s="60"/>
      <c r="J1635" s="60"/>
      <c r="K1635" s="60"/>
      <c r="L1635" s="60"/>
      <c r="M1635" s="60"/>
      <c r="N1635" s="60"/>
      <c r="O1635" s="60"/>
      <c r="P1635" s="60"/>
      <c r="Q1635" s="60"/>
      <c r="R1635" s="60"/>
      <c r="S1635" s="60"/>
      <c r="T1635" s="60"/>
      <c r="U1635" s="60"/>
      <c r="V1635" s="60"/>
      <c r="W1635" s="60"/>
      <c r="X1635" s="60"/>
      <c r="Y1635" s="60"/>
      <c r="Z1635" s="60"/>
    </row>
    <row r="1636" spans="1:26" ht="30" hidden="1" customHeight="1">
      <c r="A1636" s="98" t="s">
        <v>3248</v>
      </c>
      <c r="B1636" s="68" t="s">
        <v>3249</v>
      </c>
      <c r="C1636" s="99"/>
      <c r="D1636" s="96"/>
      <c r="E1636" s="53"/>
      <c r="F1636" s="53"/>
      <c r="G1636" s="96"/>
      <c r="H1636" s="96">
        <f t="shared" si="515"/>
        <v>0</v>
      </c>
      <c r="I1636" s="60"/>
      <c r="J1636" s="60"/>
      <c r="K1636" s="60"/>
      <c r="L1636" s="60"/>
      <c r="M1636" s="60"/>
      <c r="N1636" s="60"/>
      <c r="O1636" s="60"/>
      <c r="P1636" s="60"/>
      <c r="Q1636" s="60"/>
      <c r="R1636" s="60"/>
      <c r="S1636" s="60"/>
      <c r="T1636" s="60"/>
      <c r="U1636" s="60"/>
      <c r="V1636" s="60"/>
      <c r="W1636" s="60"/>
      <c r="X1636" s="60"/>
      <c r="Y1636" s="60"/>
      <c r="Z1636" s="60"/>
    </row>
    <row r="1637" spans="1:26" ht="30" hidden="1" customHeight="1">
      <c r="A1637" s="95" t="s">
        <v>3250</v>
      </c>
      <c r="B1637" s="68" t="s">
        <v>3251</v>
      </c>
      <c r="C1637" s="99"/>
      <c r="D1637" s="96"/>
      <c r="E1637" s="53"/>
      <c r="F1637" s="53"/>
      <c r="G1637" s="96"/>
      <c r="H1637" s="96">
        <f t="shared" si="515"/>
        <v>0</v>
      </c>
      <c r="I1637" s="60"/>
      <c r="J1637" s="60"/>
      <c r="K1637" s="60"/>
      <c r="L1637" s="60"/>
      <c r="M1637" s="60"/>
      <c r="N1637" s="60"/>
      <c r="O1637" s="60"/>
      <c r="P1637" s="60"/>
      <c r="Q1637" s="60"/>
      <c r="R1637" s="60"/>
      <c r="S1637" s="60"/>
      <c r="T1637" s="60"/>
      <c r="U1637" s="60"/>
      <c r="V1637" s="60"/>
      <c r="W1637" s="60"/>
      <c r="X1637" s="60"/>
      <c r="Y1637" s="60"/>
      <c r="Z1637" s="60"/>
    </row>
    <row r="1638" spans="1:26" ht="30" hidden="1" customHeight="1">
      <c r="A1638" s="92" t="s">
        <v>3252</v>
      </c>
      <c r="B1638" s="101" t="s">
        <v>2725</v>
      </c>
      <c r="C1638" s="94"/>
      <c r="D1638" s="94"/>
      <c r="E1638" s="39">
        <f t="shared" ref="E1638:F1638" si="516">SUM(E1639:E1652)</f>
        <v>665205720.50999999</v>
      </c>
      <c r="F1638" s="39">
        <f t="shared" si="516"/>
        <v>83605582.680000007</v>
      </c>
      <c r="G1638" s="40"/>
      <c r="H1638" s="39">
        <f>SUM(H1639:H1652)</f>
        <v>-581600137.83000004</v>
      </c>
      <c r="I1638" s="60"/>
      <c r="J1638" s="60"/>
      <c r="K1638" s="60"/>
      <c r="L1638" s="60"/>
      <c r="M1638" s="60"/>
      <c r="N1638" s="60"/>
      <c r="O1638" s="60"/>
      <c r="P1638" s="60"/>
      <c r="Q1638" s="60"/>
      <c r="R1638" s="60"/>
      <c r="S1638" s="60"/>
      <c r="T1638" s="60"/>
      <c r="U1638" s="60"/>
      <c r="V1638" s="60"/>
      <c r="W1638" s="60"/>
      <c r="X1638" s="60"/>
      <c r="Y1638" s="60"/>
      <c r="Z1638" s="60"/>
    </row>
    <row r="1639" spans="1:26" ht="30" hidden="1" customHeight="1">
      <c r="A1639" s="98" t="s">
        <v>3253</v>
      </c>
      <c r="B1639" s="68" t="s">
        <v>3254</v>
      </c>
      <c r="C1639" s="99"/>
      <c r="D1639" s="96"/>
      <c r="E1639" s="53"/>
      <c r="F1639" s="53"/>
      <c r="G1639" s="96"/>
      <c r="H1639" s="96">
        <f t="shared" ref="H1639:H1652" si="517">ROUND(F1639-E1639,2)</f>
        <v>0</v>
      </c>
      <c r="I1639" s="60"/>
      <c r="J1639" s="60"/>
      <c r="K1639" s="60"/>
      <c r="L1639" s="60"/>
      <c r="M1639" s="60"/>
      <c r="N1639" s="60"/>
      <c r="O1639" s="60"/>
      <c r="P1639" s="60"/>
      <c r="Q1639" s="60"/>
      <c r="R1639" s="60"/>
      <c r="S1639" s="60"/>
      <c r="T1639" s="60"/>
      <c r="U1639" s="60"/>
      <c r="V1639" s="60"/>
      <c r="W1639" s="60"/>
      <c r="X1639" s="60"/>
      <c r="Y1639" s="60"/>
      <c r="Z1639" s="60"/>
    </row>
    <row r="1640" spans="1:26" ht="30" hidden="1" customHeight="1">
      <c r="A1640" s="95" t="s">
        <v>3255</v>
      </c>
      <c r="B1640" s="68" t="s">
        <v>3256</v>
      </c>
      <c r="C1640" s="99"/>
      <c r="D1640" s="96"/>
      <c r="E1640" s="53"/>
      <c r="F1640" s="53"/>
      <c r="G1640" s="96"/>
      <c r="H1640" s="96">
        <f t="shared" si="517"/>
        <v>0</v>
      </c>
      <c r="I1640" s="60"/>
      <c r="J1640" s="60"/>
      <c r="K1640" s="60"/>
      <c r="L1640" s="60"/>
      <c r="M1640" s="60"/>
      <c r="N1640" s="60"/>
      <c r="O1640" s="60"/>
      <c r="P1640" s="60"/>
      <c r="Q1640" s="60"/>
      <c r="R1640" s="60"/>
      <c r="S1640" s="60"/>
      <c r="T1640" s="60"/>
      <c r="U1640" s="60"/>
      <c r="V1640" s="60"/>
      <c r="W1640" s="60"/>
      <c r="X1640" s="60"/>
      <c r="Y1640" s="60"/>
      <c r="Z1640" s="60"/>
    </row>
    <row r="1641" spans="1:26" ht="30" hidden="1" customHeight="1">
      <c r="A1641" s="98" t="s">
        <v>3257</v>
      </c>
      <c r="B1641" s="68" t="s">
        <v>3258</v>
      </c>
      <c r="C1641" s="99"/>
      <c r="D1641" s="96"/>
      <c r="E1641" s="53"/>
      <c r="F1641" s="53"/>
      <c r="G1641" s="96"/>
      <c r="H1641" s="96">
        <f t="shared" si="517"/>
        <v>0</v>
      </c>
      <c r="I1641" s="60"/>
      <c r="J1641" s="60"/>
      <c r="K1641" s="60"/>
      <c r="L1641" s="60"/>
      <c r="M1641" s="60"/>
      <c r="N1641" s="60"/>
      <c r="O1641" s="60"/>
      <c r="P1641" s="60"/>
      <c r="Q1641" s="60"/>
      <c r="R1641" s="60"/>
      <c r="S1641" s="60"/>
      <c r="T1641" s="60"/>
      <c r="U1641" s="60"/>
      <c r="V1641" s="60"/>
      <c r="W1641" s="60"/>
      <c r="X1641" s="60"/>
      <c r="Y1641" s="60"/>
      <c r="Z1641" s="60"/>
    </row>
    <row r="1642" spans="1:26" ht="30" hidden="1" customHeight="1">
      <c r="A1642" s="95" t="s">
        <v>3259</v>
      </c>
      <c r="B1642" s="68" t="s">
        <v>3260</v>
      </c>
      <c r="C1642" s="99"/>
      <c r="D1642" s="96"/>
      <c r="E1642" s="53"/>
      <c r="F1642" s="53"/>
      <c r="G1642" s="96"/>
      <c r="H1642" s="96">
        <f t="shared" si="517"/>
        <v>0</v>
      </c>
      <c r="I1642" s="60"/>
      <c r="J1642" s="60"/>
      <c r="K1642" s="60"/>
      <c r="L1642" s="60"/>
      <c r="M1642" s="60"/>
      <c r="N1642" s="60"/>
      <c r="O1642" s="60"/>
      <c r="P1642" s="60"/>
      <c r="Q1642" s="60"/>
      <c r="R1642" s="60"/>
      <c r="S1642" s="60"/>
      <c r="T1642" s="60"/>
      <c r="U1642" s="60"/>
      <c r="V1642" s="60"/>
      <c r="W1642" s="60"/>
      <c r="X1642" s="60"/>
      <c r="Y1642" s="60"/>
      <c r="Z1642" s="60"/>
    </row>
    <row r="1643" spans="1:26" ht="30" hidden="1" customHeight="1">
      <c r="A1643" s="98" t="s">
        <v>3261</v>
      </c>
      <c r="B1643" s="68" t="s">
        <v>3262</v>
      </c>
      <c r="C1643" s="99"/>
      <c r="D1643" s="96"/>
      <c r="E1643" s="53"/>
      <c r="F1643" s="53"/>
      <c r="G1643" s="96"/>
      <c r="H1643" s="96">
        <f t="shared" si="517"/>
        <v>0</v>
      </c>
      <c r="I1643" s="60"/>
      <c r="J1643" s="60"/>
      <c r="K1643" s="60"/>
      <c r="L1643" s="60"/>
      <c r="M1643" s="60"/>
      <c r="N1643" s="60"/>
      <c r="O1643" s="60"/>
      <c r="P1643" s="60"/>
      <c r="Q1643" s="60"/>
      <c r="R1643" s="60"/>
      <c r="S1643" s="60"/>
      <c r="T1643" s="60"/>
      <c r="U1643" s="60"/>
      <c r="V1643" s="60"/>
      <c r="W1643" s="60"/>
      <c r="X1643" s="60"/>
      <c r="Y1643" s="60"/>
      <c r="Z1643" s="60"/>
    </row>
    <row r="1644" spans="1:26" ht="30" hidden="1" customHeight="1">
      <c r="A1644" s="95" t="s">
        <v>3263</v>
      </c>
      <c r="B1644" s="68" t="s">
        <v>3264</v>
      </c>
      <c r="C1644" s="99"/>
      <c r="D1644" s="96"/>
      <c r="E1644" s="53"/>
      <c r="F1644" s="53"/>
      <c r="G1644" s="96"/>
      <c r="H1644" s="96">
        <f t="shared" si="517"/>
        <v>0</v>
      </c>
      <c r="I1644" s="60"/>
      <c r="J1644" s="60"/>
      <c r="K1644" s="60"/>
      <c r="L1644" s="60"/>
      <c r="M1644" s="60"/>
      <c r="N1644" s="60"/>
      <c r="O1644" s="60"/>
      <c r="P1644" s="60"/>
      <c r="Q1644" s="60"/>
      <c r="R1644" s="60"/>
      <c r="S1644" s="60"/>
      <c r="T1644" s="60"/>
      <c r="U1644" s="60"/>
      <c r="V1644" s="60"/>
      <c r="W1644" s="60"/>
      <c r="X1644" s="60"/>
      <c r="Y1644" s="60"/>
      <c r="Z1644" s="60"/>
    </row>
    <row r="1645" spans="1:26" ht="30" hidden="1" customHeight="1">
      <c r="A1645" s="98" t="s">
        <v>3265</v>
      </c>
      <c r="B1645" s="68" t="s">
        <v>3266</v>
      </c>
      <c r="C1645" s="99"/>
      <c r="D1645" s="96"/>
      <c r="E1645" s="53"/>
      <c r="F1645" s="53"/>
      <c r="G1645" s="96"/>
      <c r="H1645" s="96">
        <f t="shared" si="517"/>
        <v>0</v>
      </c>
      <c r="I1645" s="60"/>
      <c r="J1645" s="60"/>
      <c r="K1645" s="60"/>
      <c r="L1645" s="60"/>
      <c r="M1645" s="60"/>
      <c r="N1645" s="60"/>
      <c r="O1645" s="60"/>
      <c r="P1645" s="60"/>
      <c r="Q1645" s="60"/>
      <c r="R1645" s="60"/>
      <c r="S1645" s="60"/>
      <c r="T1645" s="60"/>
      <c r="U1645" s="60"/>
      <c r="V1645" s="60"/>
      <c r="W1645" s="60"/>
      <c r="X1645" s="60"/>
      <c r="Y1645" s="60"/>
      <c r="Z1645" s="60"/>
    </row>
    <row r="1646" spans="1:26" ht="30" hidden="1" customHeight="1">
      <c r="A1646" s="95" t="s">
        <v>3267</v>
      </c>
      <c r="B1646" s="68" t="s">
        <v>3268</v>
      </c>
      <c r="C1646" s="99"/>
      <c r="D1646" s="96"/>
      <c r="E1646" s="53"/>
      <c r="F1646" s="53"/>
      <c r="G1646" s="96"/>
      <c r="H1646" s="96">
        <f t="shared" si="517"/>
        <v>0</v>
      </c>
      <c r="I1646" s="60"/>
      <c r="J1646" s="60"/>
      <c r="K1646" s="60"/>
      <c r="L1646" s="60"/>
      <c r="M1646" s="60"/>
      <c r="N1646" s="60"/>
      <c r="O1646" s="60"/>
      <c r="P1646" s="60"/>
      <c r="Q1646" s="60"/>
      <c r="R1646" s="60"/>
      <c r="S1646" s="60"/>
      <c r="T1646" s="60"/>
      <c r="U1646" s="60"/>
      <c r="V1646" s="60"/>
      <c r="W1646" s="60"/>
      <c r="X1646" s="60"/>
      <c r="Y1646" s="60"/>
      <c r="Z1646" s="60"/>
    </row>
    <row r="1647" spans="1:26" ht="30" hidden="1" customHeight="1">
      <c r="A1647" s="98" t="s">
        <v>3269</v>
      </c>
      <c r="B1647" s="68" t="s">
        <v>3270</v>
      </c>
      <c r="C1647" s="99"/>
      <c r="D1647" s="96"/>
      <c r="E1647" s="53"/>
      <c r="F1647" s="53"/>
      <c r="G1647" s="96"/>
      <c r="H1647" s="96">
        <f t="shared" si="517"/>
        <v>0</v>
      </c>
      <c r="I1647" s="60"/>
      <c r="J1647" s="60"/>
      <c r="K1647" s="60"/>
      <c r="L1647" s="60"/>
      <c r="M1647" s="60"/>
      <c r="N1647" s="60"/>
      <c r="O1647" s="60"/>
      <c r="P1647" s="60"/>
      <c r="Q1647" s="60"/>
      <c r="R1647" s="60"/>
      <c r="S1647" s="60"/>
      <c r="T1647" s="60"/>
      <c r="U1647" s="60"/>
      <c r="V1647" s="60"/>
      <c r="W1647" s="60"/>
      <c r="X1647" s="60"/>
      <c r="Y1647" s="60"/>
      <c r="Z1647" s="60"/>
    </row>
    <row r="1648" spans="1:26" ht="30" hidden="1" customHeight="1">
      <c r="A1648" s="95" t="s">
        <v>3271</v>
      </c>
      <c r="B1648" s="68" t="s">
        <v>3272</v>
      </c>
      <c r="C1648" s="99"/>
      <c r="D1648" s="96"/>
      <c r="E1648" s="53"/>
      <c r="F1648" s="53"/>
      <c r="G1648" s="96"/>
      <c r="H1648" s="96">
        <f t="shared" si="517"/>
        <v>0</v>
      </c>
      <c r="I1648" s="60"/>
      <c r="J1648" s="60"/>
      <c r="K1648" s="60"/>
      <c r="L1648" s="60"/>
      <c r="M1648" s="60"/>
      <c r="N1648" s="60"/>
      <c r="O1648" s="60"/>
      <c r="P1648" s="60"/>
      <c r="Q1648" s="60"/>
      <c r="R1648" s="60"/>
      <c r="S1648" s="60"/>
      <c r="T1648" s="60"/>
      <c r="U1648" s="60"/>
      <c r="V1648" s="60"/>
      <c r="W1648" s="60"/>
      <c r="X1648" s="60"/>
      <c r="Y1648" s="60"/>
      <c r="Z1648" s="60"/>
    </row>
    <row r="1649" spans="1:26" ht="30" hidden="1" customHeight="1">
      <c r="A1649" s="98" t="s">
        <v>3273</v>
      </c>
      <c r="B1649" s="68" t="s">
        <v>3274</v>
      </c>
      <c r="C1649" s="99"/>
      <c r="D1649" s="96"/>
      <c r="E1649" s="53"/>
      <c r="F1649" s="53"/>
      <c r="G1649" s="96"/>
      <c r="H1649" s="96">
        <f t="shared" si="517"/>
        <v>0</v>
      </c>
      <c r="I1649" s="60"/>
      <c r="J1649" s="60"/>
      <c r="K1649" s="60"/>
      <c r="L1649" s="60"/>
      <c r="M1649" s="60"/>
      <c r="N1649" s="60"/>
      <c r="O1649" s="60"/>
      <c r="P1649" s="60"/>
      <c r="Q1649" s="60"/>
      <c r="R1649" s="60"/>
      <c r="S1649" s="60"/>
      <c r="T1649" s="60"/>
      <c r="U1649" s="60"/>
      <c r="V1649" s="60"/>
      <c r="W1649" s="60"/>
      <c r="X1649" s="60"/>
      <c r="Y1649" s="60"/>
      <c r="Z1649" s="60"/>
    </row>
    <row r="1650" spans="1:26" ht="30" hidden="1" customHeight="1">
      <c r="A1650" s="95" t="s">
        <v>3275</v>
      </c>
      <c r="B1650" s="68" t="s">
        <v>3276</v>
      </c>
      <c r="C1650" s="99"/>
      <c r="D1650" s="96"/>
      <c r="E1650" s="53"/>
      <c r="F1650" s="53"/>
      <c r="G1650" s="96"/>
      <c r="H1650" s="96">
        <f t="shared" si="517"/>
        <v>0</v>
      </c>
      <c r="I1650" s="60"/>
      <c r="J1650" s="60"/>
      <c r="K1650" s="60"/>
      <c r="L1650" s="60"/>
      <c r="M1650" s="60"/>
      <c r="N1650" s="60"/>
      <c r="O1650" s="60"/>
      <c r="P1650" s="60"/>
      <c r="Q1650" s="60"/>
      <c r="R1650" s="60"/>
      <c r="S1650" s="60"/>
      <c r="T1650" s="60"/>
      <c r="U1650" s="60"/>
      <c r="V1650" s="60"/>
      <c r="W1650" s="60"/>
      <c r="X1650" s="60"/>
      <c r="Y1650" s="60"/>
      <c r="Z1650" s="60"/>
    </row>
    <row r="1651" spans="1:26" ht="30" hidden="1" customHeight="1">
      <c r="A1651" s="98" t="s">
        <v>3277</v>
      </c>
      <c r="B1651" s="68" t="s">
        <v>3278</v>
      </c>
      <c r="C1651" s="99"/>
      <c r="D1651" s="96"/>
      <c r="E1651" s="53">
        <v>665205720.50999999</v>
      </c>
      <c r="F1651" s="53">
        <v>83605582.680000007</v>
      </c>
      <c r="G1651" s="96"/>
      <c r="H1651" s="96">
        <f t="shared" si="517"/>
        <v>-581600137.83000004</v>
      </c>
      <c r="I1651" s="60"/>
      <c r="J1651" s="60"/>
      <c r="K1651" s="60"/>
      <c r="L1651" s="60"/>
      <c r="M1651" s="60"/>
      <c r="N1651" s="60"/>
      <c r="O1651" s="60"/>
      <c r="P1651" s="60"/>
      <c r="Q1651" s="60"/>
      <c r="R1651" s="60"/>
      <c r="S1651" s="60"/>
      <c r="T1651" s="60"/>
      <c r="U1651" s="60"/>
      <c r="V1651" s="60"/>
      <c r="W1651" s="60"/>
      <c r="X1651" s="60"/>
      <c r="Y1651" s="60"/>
      <c r="Z1651" s="60"/>
    </row>
    <row r="1652" spans="1:26" ht="30" hidden="1" customHeight="1">
      <c r="A1652" s="95" t="s">
        <v>3279</v>
      </c>
      <c r="B1652" s="68" t="s">
        <v>3280</v>
      </c>
      <c r="C1652" s="99"/>
      <c r="D1652" s="96"/>
      <c r="E1652" s="53"/>
      <c r="F1652" s="53"/>
      <c r="G1652" s="96"/>
      <c r="H1652" s="96">
        <f t="shared" si="517"/>
        <v>0</v>
      </c>
      <c r="I1652" s="60"/>
      <c r="J1652" s="60"/>
      <c r="K1652" s="60"/>
      <c r="L1652" s="60"/>
      <c r="M1652" s="60"/>
      <c r="N1652" s="60"/>
      <c r="O1652" s="60"/>
      <c r="P1652" s="60"/>
      <c r="Q1652" s="60"/>
      <c r="R1652" s="60"/>
      <c r="S1652" s="60"/>
      <c r="T1652" s="60"/>
      <c r="U1652" s="60"/>
      <c r="V1652" s="60"/>
      <c r="W1652" s="60"/>
      <c r="X1652" s="60"/>
      <c r="Y1652" s="60"/>
      <c r="Z1652" s="60"/>
    </row>
    <row r="1653" spans="1:26" ht="30" hidden="1" customHeight="1">
      <c r="A1653" s="92" t="s">
        <v>3281</v>
      </c>
      <c r="B1653" s="102" t="s">
        <v>2755</v>
      </c>
      <c r="C1653" s="94"/>
      <c r="D1653" s="94"/>
      <c r="E1653" s="39">
        <f t="shared" ref="E1653:F1653" si="518">SUM(E1654:E1659)</f>
        <v>0</v>
      </c>
      <c r="F1653" s="39">
        <f t="shared" si="518"/>
        <v>0</v>
      </c>
      <c r="G1653" s="40"/>
      <c r="H1653" s="39">
        <f>SUM(H1654:H1659)</f>
        <v>0</v>
      </c>
      <c r="I1653" s="60"/>
      <c r="J1653" s="60"/>
      <c r="K1653" s="60"/>
      <c r="L1653" s="60"/>
      <c r="M1653" s="60"/>
      <c r="N1653" s="60"/>
      <c r="O1653" s="60"/>
      <c r="P1653" s="60"/>
      <c r="Q1653" s="60"/>
      <c r="R1653" s="60"/>
      <c r="S1653" s="60"/>
      <c r="T1653" s="60"/>
      <c r="U1653" s="60"/>
      <c r="V1653" s="60"/>
      <c r="W1653" s="60"/>
      <c r="X1653" s="60"/>
      <c r="Y1653" s="60"/>
      <c r="Z1653" s="60"/>
    </row>
    <row r="1654" spans="1:26" ht="30" hidden="1" customHeight="1">
      <c r="A1654" s="95" t="s">
        <v>3282</v>
      </c>
      <c r="B1654" s="55" t="s">
        <v>3283</v>
      </c>
      <c r="C1654" s="96"/>
      <c r="D1654" s="96"/>
      <c r="E1654" s="96"/>
      <c r="F1654" s="96"/>
      <c r="G1654" s="96"/>
      <c r="H1654" s="96">
        <f t="shared" ref="H1654:H1659" si="519">ROUND(F1654-E1654,2)</f>
        <v>0</v>
      </c>
      <c r="I1654" s="60"/>
      <c r="J1654" s="60"/>
      <c r="K1654" s="60"/>
      <c r="L1654" s="60"/>
      <c r="M1654" s="60"/>
      <c r="N1654" s="60"/>
      <c r="O1654" s="60"/>
      <c r="P1654" s="60"/>
      <c r="Q1654" s="60"/>
      <c r="R1654" s="60"/>
      <c r="S1654" s="60"/>
      <c r="T1654" s="60"/>
      <c r="U1654" s="60"/>
      <c r="V1654" s="60"/>
      <c r="W1654" s="60"/>
      <c r="X1654" s="60"/>
      <c r="Y1654" s="60"/>
      <c r="Z1654" s="60"/>
    </row>
    <row r="1655" spans="1:26" ht="30" hidden="1" customHeight="1">
      <c r="A1655" s="95" t="s">
        <v>3284</v>
      </c>
      <c r="B1655" s="55" t="s">
        <v>3285</v>
      </c>
      <c r="C1655" s="96"/>
      <c r="D1655" s="96"/>
      <c r="E1655" s="96"/>
      <c r="F1655" s="96"/>
      <c r="G1655" s="96"/>
      <c r="H1655" s="96">
        <f t="shared" si="519"/>
        <v>0</v>
      </c>
      <c r="I1655" s="60"/>
      <c r="J1655" s="60"/>
      <c r="K1655" s="60"/>
      <c r="L1655" s="60"/>
      <c r="M1655" s="60"/>
      <c r="N1655" s="60"/>
      <c r="O1655" s="60"/>
      <c r="P1655" s="60"/>
      <c r="Q1655" s="60"/>
      <c r="R1655" s="60"/>
      <c r="S1655" s="60"/>
      <c r="T1655" s="60"/>
      <c r="U1655" s="60"/>
      <c r="V1655" s="60"/>
      <c r="W1655" s="60"/>
      <c r="X1655" s="60"/>
      <c r="Y1655" s="60"/>
      <c r="Z1655" s="60"/>
    </row>
    <row r="1656" spans="1:26" ht="30" hidden="1" customHeight="1">
      <c r="A1656" s="95" t="s">
        <v>3286</v>
      </c>
      <c r="B1656" s="55" t="s">
        <v>3287</v>
      </c>
      <c r="C1656" s="96"/>
      <c r="D1656" s="96"/>
      <c r="E1656" s="96"/>
      <c r="F1656" s="96"/>
      <c r="G1656" s="96"/>
      <c r="H1656" s="96">
        <f t="shared" si="519"/>
        <v>0</v>
      </c>
      <c r="I1656" s="60"/>
      <c r="J1656" s="60"/>
      <c r="K1656" s="60"/>
      <c r="L1656" s="60"/>
      <c r="M1656" s="60"/>
      <c r="N1656" s="60"/>
      <c r="O1656" s="60"/>
      <c r="P1656" s="60"/>
      <c r="Q1656" s="60"/>
      <c r="R1656" s="60"/>
      <c r="S1656" s="60"/>
      <c r="T1656" s="60"/>
      <c r="U1656" s="60"/>
      <c r="V1656" s="60"/>
      <c r="W1656" s="60"/>
      <c r="X1656" s="60"/>
      <c r="Y1656" s="60"/>
      <c r="Z1656" s="60"/>
    </row>
    <row r="1657" spans="1:26" ht="30" hidden="1" customHeight="1">
      <c r="A1657" s="95" t="s">
        <v>3288</v>
      </c>
      <c r="B1657" s="55" t="s">
        <v>3289</v>
      </c>
      <c r="C1657" s="96"/>
      <c r="D1657" s="96"/>
      <c r="E1657" s="96"/>
      <c r="F1657" s="96"/>
      <c r="G1657" s="96"/>
      <c r="H1657" s="96">
        <f t="shared" si="519"/>
        <v>0</v>
      </c>
      <c r="I1657" s="60"/>
      <c r="J1657" s="60"/>
      <c r="K1657" s="60"/>
      <c r="L1657" s="60"/>
      <c r="M1657" s="60"/>
      <c r="N1657" s="60"/>
      <c r="O1657" s="60"/>
      <c r="P1657" s="60"/>
      <c r="Q1657" s="60"/>
      <c r="R1657" s="60"/>
      <c r="S1657" s="60"/>
      <c r="T1657" s="60"/>
      <c r="U1657" s="60"/>
      <c r="V1657" s="60"/>
      <c r="W1657" s="60"/>
      <c r="X1657" s="60"/>
      <c r="Y1657" s="60"/>
      <c r="Z1657" s="60"/>
    </row>
    <row r="1658" spans="1:26" ht="30" hidden="1" customHeight="1">
      <c r="A1658" s="95" t="s">
        <v>3290</v>
      </c>
      <c r="B1658" s="55" t="s">
        <v>3291</v>
      </c>
      <c r="C1658" s="96"/>
      <c r="D1658" s="96"/>
      <c r="E1658" s="53"/>
      <c r="F1658" s="53"/>
      <c r="G1658" s="96"/>
      <c r="H1658" s="96">
        <f t="shared" si="519"/>
        <v>0</v>
      </c>
      <c r="I1658" s="60"/>
      <c r="J1658" s="60"/>
      <c r="K1658" s="60"/>
      <c r="L1658" s="60"/>
      <c r="M1658" s="60"/>
      <c r="N1658" s="60"/>
      <c r="O1658" s="60"/>
      <c r="P1658" s="60"/>
      <c r="Q1658" s="60"/>
      <c r="R1658" s="60"/>
      <c r="S1658" s="60"/>
      <c r="T1658" s="60"/>
      <c r="U1658" s="60"/>
      <c r="V1658" s="60"/>
      <c r="W1658" s="60"/>
      <c r="X1658" s="60"/>
      <c r="Y1658" s="60"/>
      <c r="Z1658" s="60"/>
    </row>
    <row r="1659" spans="1:26" ht="30" hidden="1" customHeight="1">
      <c r="A1659" s="95" t="s">
        <v>3292</v>
      </c>
      <c r="B1659" s="55" t="s">
        <v>3293</v>
      </c>
      <c r="C1659" s="96"/>
      <c r="D1659" s="96"/>
      <c r="E1659" s="53"/>
      <c r="F1659" s="53"/>
      <c r="G1659" s="96"/>
      <c r="H1659" s="96">
        <f t="shared" si="519"/>
        <v>0</v>
      </c>
      <c r="I1659" s="60"/>
      <c r="J1659" s="60"/>
      <c r="K1659" s="60"/>
      <c r="L1659" s="60"/>
      <c r="M1659" s="60"/>
      <c r="N1659" s="60"/>
      <c r="O1659" s="60"/>
      <c r="P1659" s="60"/>
      <c r="Q1659" s="60"/>
      <c r="R1659" s="60"/>
      <c r="S1659" s="60"/>
      <c r="T1659" s="60"/>
      <c r="U1659" s="60"/>
      <c r="V1659" s="60"/>
      <c r="W1659" s="60"/>
      <c r="X1659" s="60"/>
      <c r="Y1659" s="60"/>
      <c r="Z1659" s="60"/>
    </row>
    <row r="1660" spans="1:26" ht="30" hidden="1" customHeight="1">
      <c r="A1660" s="44" t="s">
        <v>3294</v>
      </c>
      <c r="B1660" s="100" t="s">
        <v>2769</v>
      </c>
      <c r="C1660" s="39"/>
      <c r="D1660" s="39"/>
      <c r="E1660" s="39">
        <f t="shared" ref="E1660:F1660" si="520">SUM(E1661:E1674)</f>
        <v>3207000</v>
      </c>
      <c r="F1660" s="39">
        <f t="shared" si="520"/>
        <v>321422510.94999999</v>
      </c>
      <c r="G1660" s="40"/>
      <c r="H1660" s="39">
        <f>SUM(H1661:H1674)</f>
        <v>318215510.94999999</v>
      </c>
      <c r="I1660" s="60"/>
      <c r="J1660" s="60"/>
      <c r="K1660" s="60"/>
      <c r="L1660" s="60"/>
      <c r="M1660" s="60"/>
      <c r="N1660" s="60"/>
      <c r="O1660" s="60"/>
      <c r="P1660" s="60"/>
      <c r="Q1660" s="60"/>
      <c r="R1660" s="60"/>
      <c r="S1660" s="60"/>
      <c r="T1660" s="60"/>
      <c r="U1660" s="60"/>
      <c r="V1660" s="60"/>
      <c r="W1660" s="60"/>
      <c r="X1660" s="60"/>
      <c r="Y1660" s="60"/>
      <c r="Z1660" s="60"/>
    </row>
    <row r="1661" spans="1:26" ht="30" hidden="1" customHeight="1">
      <c r="A1661" s="57" t="s">
        <v>3295</v>
      </c>
      <c r="B1661" s="51" t="s">
        <v>3296</v>
      </c>
      <c r="C1661" s="58"/>
      <c r="D1661" s="52"/>
      <c r="E1661" s="53"/>
      <c r="F1661" s="53">
        <v>300000000</v>
      </c>
      <c r="G1661" s="96"/>
      <c r="H1661" s="96">
        <f t="shared" ref="H1661:H1674" si="521">ROUND(F1661-E1661,2)</f>
        <v>300000000</v>
      </c>
      <c r="I1661" s="60"/>
      <c r="J1661" s="60"/>
      <c r="K1661" s="60"/>
      <c r="L1661" s="60"/>
      <c r="M1661" s="60"/>
      <c r="N1661" s="60"/>
      <c r="O1661" s="60"/>
      <c r="P1661" s="60"/>
      <c r="Q1661" s="60"/>
      <c r="R1661" s="60"/>
      <c r="S1661" s="60"/>
      <c r="T1661" s="60"/>
      <c r="U1661" s="60"/>
      <c r="V1661" s="60"/>
      <c r="W1661" s="60"/>
      <c r="X1661" s="60"/>
      <c r="Y1661" s="60"/>
      <c r="Z1661" s="60"/>
    </row>
    <row r="1662" spans="1:26" ht="30" hidden="1" customHeight="1">
      <c r="A1662" s="50" t="s">
        <v>3297</v>
      </c>
      <c r="B1662" s="51" t="s">
        <v>3298</v>
      </c>
      <c r="C1662" s="58"/>
      <c r="D1662" s="52"/>
      <c r="E1662" s="53"/>
      <c r="F1662" s="53"/>
      <c r="G1662" s="96"/>
      <c r="H1662" s="96">
        <f t="shared" si="521"/>
        <v>0</v>
      </c>
      <c r="I1662" s="60"/>
      <c r="J1662" s="60"/>
      <c r="K1662" s="60"/>
      <c r="L1662" s="60"/>
      <c r="M1662" s="60"/>
      <c r="N1662" s="60"/>
      <c r="O1662" s="60"/>
      <c r="P1662" s="60"/>
      <c r="Q1662" s="60"/>
      <c r="R1662" s="60"/>
      <c r="S1662" s="60"/>
      <c r="T1662" s="60"/>
      <c r="U1662" s="60"/>
      <c r="V1662" s="60"/>
      <c r="W1662" s="60"/>
      <c r="X1662" s="60"/>
      <c r="Y1662" s="60"/>
      <c r="Z1662" s="60"/>
    </row>
    <row r="1663" spans="1:26" ht="30" hidden="1" customHeight="1">
      <c r="A1663" s="57" t="s">
        <v>3299</v>
      </c>
      <c r="B1663" s="51" t="s">
        <v>3300</v>
      </c>
      <c r="C1663" s="58"/>
      <c r="D1663" s="52"/>
      <c r="E1663" s="53">
        <v>0</v>
      </c>
      <c r="F1663" s="53">
        <v>18215510.949999999</v>
      </c>
      <c r="G1663" s="96"/>
      <c r="H1663" s="96">
        <f t="shared" si="521"/>
        <v>18215510.949999999</v>
      </c>
      <c r="I1663" s="60"/>
      <c r="J1663" s="60"/>
      <c r="K1663" s="60"/>
      <c r="L1663" s="60"/>
      <c r="M1663" s="60"/>
      <c r="N1663" s="60"/>
      <c r="O1663" s="60"/>
      <c r="P1663" s="60"/>
      <c r="Q1663" s="60"/>
      <c r="R1663" s="60"/>
      <c r="S1663" s="60"/>
      <c r="T1663" s="60"/>
      <c r="U1663" s="60"/>
      <c r="V1663" s="60"/>
      <c r="W1663" s="60"/>
      <c r="X1663" s="60"/>
      <c r="Y1663" s="60"/>
      <c r="Z1663" s="60"/>
    </row>
    <row r="1664" spans="1:26" ht="30" hidden="1" customHeight="1">
      <c r="A1664" s="50" t="s">
        <v>3301</v>
      </c>
      <c r="B1664" s="51" t="s">
        <v>3302</v>
      </c>
      <c r="C1664" s="58"/>
      <c r="D1664" s="52"/>
      <c r="E1664" s="53"/>
      <c r="F1664" s="53"/>
      <c r="G1664" s="96"/>
      <c r="H1664" s="96">
        <f t="shared" si="521"/>
        <v>0</v>
      </c>
      <c r="I1664" s="60"/>
      <c r="J1664" s="60"/>
      <c r="K1664" s="60"/>
      <c r="L1664" s="60"/>
      <c r="M1664" s="60"/>
      <c r="N1664" s="60"/>
      <c r="O1664" s="60"/>
      <c r="P1664" s="60"/>
      <c r="Q1664" s="60"/>
      <c r="R1664" s="60"/>
      <c r="S1664" s="60"/>
      <c r="T1664" s="60"/>
      <c r="U1664" s="60"/>
      <c r="V1664" s="60"/>
      <c r="W1664" s="60"/>
      <c r="X1664" s="60"/>
      <c r="Y1664" s="60"/>
      <c r="Z1664" s="60"/>
    </row>
    <row r="1665" spans="1:26" ht="30" hidden="1" customHeight="1">
      <c r="A1665" s="57" t="s">
        <v>3303</v>
      </c>
      <c r="B1665" s="51" t="s">
        <v>3304</v>
      </c>
      <c r="C1665" s="58"/>
      <c r="D1665" s="52"/>
      <c r="E1665" s="53"/>
      <c r="F1665" s="53"/>
      <c r="G1665" s="96"/>
      <c r="H1665" s="96">
        <f t="shared" si="521"/>
        <v>0</v>
      </c>
      <c r="I1665" s="60"/>
      <c r="J1665" s="60"/>
      <c r="K1665" s="60"/>
      <c r="L1665" s="60"/>
      <c r="M1665" s="60"/>
      <c r="N1665" s="60"/>
      <c r="O1665" s="60"/>
      <c r="P1665" s="60"/>
      <c r="Q1665" s="60"/>
      <c r="R1665" s="60"/>
      <c r="S1665" s="60"/>
      <c r="T1665" s="60"/>
      <c r="U1665" s="60"/>
      <c r="V1665" s="60"/>
      <c r="W1665" s="60"/>
      <c r="X1665" s="60"/>
      <c r="Y1665" s="60"/>
      <c r="Z1665" s="60"/>
    </row>
    <row r="1666" spans="1:26" ht="30" hidden="1" customHeight="1">
      <c r="A1666" s="50" t="s">
        <v>3305</v>
      </c>
      <c r="B1666" s="51" t="s">
        <v>3306</v>
      </c>
      <c r="C1666" s="58"/>
      <c r="D1666" s="52"/>
      <c r="E1666" s="53"/>
      <c r="F1666" s="53"/>
      <c r="G1666" s="96"/>
      <c r="H1666" s="96">
        <f t="shared" si="521"/>
        <v>0</v>
      </c>
      <c r="I1666" s="60"/>
      <c r="J1666" s="60"/>
      <c r="K1666" s="60"/>
      <c r="L1666" s="60"/>
      <c r="M1666" s="60"/>
      <c r="N1666" s="60"/>
      <c r="O1666" s="60"/>
      <c r="P1666" s="60"/>
      <c r="Q1666" s="60"/>
      <c r="R1666" s="60"/>
      <c r="S1666" s="60"/>
      <c r="T1666" s="60"/>
      <c r="U1666" s="60"/>
      <c r="V1666" s="60"/>
      <c r="W1666" s="60"/>
      <c r="X1666" s="60"/>
      <c r="Y1666" s="60"/>
      <c r="Z1666" s="60"/>
    </row>
    <row r="1667" spans="1:26" ht="30" hidden="1" customHeight="1">
      <c r="A1667" s="57" t="s">
        <v>3307</v>
      </c>
      <c r="B1667" s="51" t="s">
        <v>3308</v>
      </c>
      <c r="C1667" s="58"/>
      <c r="D1667" s="52"/>
      <c r="E1667" s="53">
        <v>3207000</v>
      </c>
      <c r="F1667" s="53">
        <v>3207000</v>
      </c>
      <c r="G1667" s="96"/>
      <c r="H1667" s="96">
        <f t="shared" si="521"/>
        <v>0</v>
      </c>
      <c r="I1667" s="60"/>
      <c r="J1667" s="60"/>
      <c r="K1667" s="60"/>
      <c r="L1667" s="60"/>
      <c r="M1667" s="60"/>
      <c r="N1667" s="60"/>
      <c r="O1667" s="60"/>
      <c r="P1667" s="60"/>
      <c r="Q1667" s="60"/>
      <c r="R1667" s="60"/>
      <c r="S1667" s="60"/>
      <c r="T1667" s="60"/>
      <c r="U1667" s="60"/>
      <c r="V1667" s="60"/>
      <c r="W1667" s="60"/>
      <c r="X1667" s="60"/>
      <c r="Y1667" s="60"/>
      <c r="Z1667" s="60"/>
    </row>
    <row r="1668" spans="1:26" ht="30" hidden="1" customHeight="1">
      <c r="A1668" s="50" t="s">
        <v>3309</v>
      </c>
      <c r="B1668" s="51" t="s">
        <v>3310</v>
      </c>
      <c r="C1668" s="58"/>
      <c r="D1668" s="52"/>
      <c r="E1668" s="53"/>
      <c r="F1668" s="53"/>
      <c r="G1668" s="96"/>
      <c r="H1668" s="96">
        <f t="shared" si="521"/>
        <v>0</v>
      </c>
      <c r="I1668" s="60"/>
      <c r="J1668" s="60"/>
      <c r="K1668" s="60"/>
      <c r="L1668" s="60"/>
      <c r="M1668" s="60"/>
      <c r="N1668" s="60"/>
      <c r="O1668" s="60"/>
      <c r="P1668" s="60"/>
      <c r="Q1668" s="60"/>
      <c r="R1668" s="60"/>
      <c r="S1668" s="60"/>
      <c r="T1668" s="60"/>
      <c r="U1668" s="60"/>
      <c r="V1668" s="60"/>
      <c r="W1668" s="60"/>
      <c r="X1668" s="60"/>
      <c r="Y1668" s="60"/>
      <c r="Z1668" s="60"/>
    </row>
    <row r="1669" spans="1:26" ht="30" hidden="1" customHeight="1">
      <c r="A1669" s="57" t="s">
        <v>3311</v>
      </c>
      <c r="B1669" s="51" t="s">
        <v>3312</v>
      </c>
      <c r="C1669" s="58"/>
      <c r="D1669" s="52"/>
      <c r="E1669" s="53"/>
      <c r="F1669" s="53"/>
      <c r="G1669" s="96"/>
      <c r="H1669" s="96">
        <f t="shared" si="521"/>
        <v>0</v>
      </c>
      <c r="I1669" s="60"/>
      <c r="J1669" s="60"/>
      <c r="K1669" s="60"/>
      <c r="L1669" s="60"/>
      <c r="M1669" s="60"/>
      <c r="N1669" s="60"/>
      <c r="O1669" s="60"/>
      <c r="P1669" s="60"/>
      <c r="Q1669" s="60"/>
      <c r="R1669" s="60"/>
      <c r="S1669" s="60"/>
      <c r="T1669" s="60"/>
      <c r="U1669" s="60"/>
      <c r="V1669" s="60"/>
      <c r="W1669" s="60"/>
      <c r="X1669" s="60"/>
      <c r="Y1669" s="60"/>
      <c r="Z1669" s="60"/>
    </row>
    <row r="1670" spans="1:26" ht="30" hidden="1" customHeight="1">
      <c r="A1670" s="50" t="s">
        <v>3313</v>
      </c>
      <c r="B1670" s="51" t="s">
        <v>3314</v>
      </c>
      <c r="C1670" s="58"/>
      <c r="D1670" s="52"/>
      <c r="E1670" s="53"/>
      <c r="F1670" s="53"/>
      <c r="G1670" s="96"/>
      <c r="H1670" s="96">
        <f t="shared" si="521"/>
        <v>0</v>
      </c>
      <c r="I1670" s="60"/>
      <c r="J1670" s="60"/>
      <c r="K1670" s="60"/>
      <c r="L1670" s="60"/>
      <c r="M1670" s="60"/>
      <c r="N1670" s="60"/>
      <c r="O1670" s="60"/>
      <c r="P1670" s="60"/>
      <c r="Q1670" s="60"/>
      <c r="R1670" s="60"/>
      <c r="S1670" s="60"/>
      <c r="T1670" s="60"/>
      <c r="U1670" s="60"/>
      <c r="V1670" s="60"/>
      <c r="W1670" s="60"/>
      <c r="X1670" s="60"/>
      <c r="Y1670" s="60"/>
      <c r="Z1670" s="60"/>
    </row>
    <row r="1671" spans="1:26" ht="30" hidden="1" customHeight="1">
      <c r="A1671" s="57" t="s">
        <v>3315</v>
      </c>
      <c r="B1671" s="51" t="s">
        <v>3316</v>
      </c>
      <c r="C1671" s="58"/>
      <c r="D1671" s="52"/>
      <c r="E1671" s="53"/>
      <c r="F1671" s="53"/>
      <c r="G1671" s="96"/>
      <c r="H1671" s="96">
        <f t="shared" si="521"/>
        <v>0</v>
      </c>
      <c r="I1671" s="60"/>
      <c r="J1671" s="60"/>
      <c r="K1671" s="60"/>
      <c r="L1671" s="60"/>
      <c r="M1671" s="60"/>
      <c r="N1671" s="60"/>
      <c r="O1671" s="60"/>
      <c r="P1671" s="60"/>
      <c r="Q1671" s="60"/>
      <c r="R1671" s="60"/>
      <c r="S1671" s="60"/>
      <c r="T1671" s="60"/>
      <c r="U1671" s="60"/>
      <c r="V1671" s="60"/>
      <c r="W1671" s="60"/>
      <c r="X1671" s="60"/>
      <c r="Y1671" s="60"/>
      <c r="Z1671" s="60"/>
    </row>
    <row r="1672" spans="1:26" ht="30" hidden="1" customHeight="1">
      <c r="A1672" s="50" t="s">
        <v>3317</v>
      </c>
      <c r="B1672" s="51" t="s">
        <v>3318</v>
      </c>
      <c r="C1672" s="58"/>
      <c r="D1672" s="52"/>
      <c r="E1672" s="53"/>
      <c r="F1672" s="53"/>
      <c r="G1672" s="96"/>
      <c r="H1672" s="96">
        <f t="shared" si="521"/>
        <v>0</v>
      </c>
      <c r="I1672" s="60"/>
      <c r="J1672" s="60"/>
      <c r="K1672" s="60"/>
      <c r="L1672" s="60"/>
      <c r="M1672" s="60"/>
      <c r="N1672" s="60"/>
      <c r="O1672" s="60"/>
      <c r="P1672" s="60"/>
      <c r="Q1672" s="60"/>
      <c r="R1672" s="60"/>
      <c r="S1672" s="60"/>
      <c r="T1672" s="60"/>
      <c r="U1672" s="60"/>
      <c r="V1672" s="60"/>
      <c r="W1672" s="60"/>
      <c r="X1672" s="60"/>
      <c r="Y1672" s="60"/>
      <c r="Z1672" s="60"/>
    </row>
    <row r="1673" spans="1:26" ht="30" hidden="1" customHeight="1">
      <c r="A1673" s="57" t="s">
        <v>3319</v>
      </c>
      <c r="B1673" s="51" t="s">
        <v>3320</v>
      </c>
      <c r="C1673" s="58"/>
      <c r="D1673" s="52"/>
      <c r="E1673" s="53"/>
      <c r="F1673" s="53"/>
      <c r="G1673" s="96"/>
      <c r="H1673" s="96">
        <f t="shared" si="521"/>
        <v>0</v>
      </c>
      <c r="I1673" s="60"/>
      <c r="J1673" s="60"/>
      <c r="K1673" s="60"/>
      <c r="L1673" s="60"/>
      <c r="M1673" s="60"/>
      <c r="N1673" s="60"/>
      <c r="O1673" s="60"/>
      <c r="P1673" s="60"/>
      <c r="Q1673" s="60"/>
      <c r="R1673" s="60"/>
      <c r="S1673" s="60"/>
      <c r="T1673" s="60"/>
      <c r="U1673" s="60"/>
      <c r="V1673" s="60"/>
      <c r="W1673" s="60"/>
      <c r="X1673" s="60"/>
      <c r="Y1673" s="60"/>
      <c r="Z1673" s="60"/>
    </row>
    <row r="1674" spans="1:26" ht="30" hidden="1" customHeight="1">
      <c r="A1674" s="50" t="s">
        <v>3321</v>
      </c>
      <c r="B1674" s="51" t="s">
        <v>3322</v>
      </c>
      <c r="C1674" s="58"/>
      <c r="D1674" s="52"/>
      <c r="E1674" s="53"/>
      <c r="F1674" s="53"/>
      <c r="G1674" s="96"/>
      <c r="H1674" s="96">
        <f t="shared" si="521"/>
        <v>0</v>
      </c>
      <c r="I1674" s="60"/>
      <c r="J1674" s="60"/>
      <c r="K1674" s="60"/>
      <c r="L1674" s="60"/>
      <c r="M1674" s="60"/>
      <c r="N1674" s="60"/>
      <c r="O1674" s="60"/>
      <c r="P1674" s="60"/>
      <c r="Q1674" s="60"/>
      <c r="R1674" s="60"/>
      <c r="S1674" s="60"/>
      <c r="T1674" s="60"/>
      <c r="U1674" s="60"/>
      <c r="V1674" s="60"/>
      <c r="W1674" s="60"/>
      <c r="X1674" s="60"/>
      <c r="Y1674" s="60"/>
      <c r="Z1674" s="60"/>
    </row>
    <row r="1675" spans="1:26" ht="30" hidden="1" customHeight="1">
      <c r="A1675" s="73">
        <v>82400</v>
      </c>
      <c r="B1675" s="91" t="s">
        <v>3323</v>
      </c>
      <c r="C1675" s="80"/>
      <c r="D1675" s="34"/>
      <c r="E1675" s="34">
        <f t="shared" ref="E1675:F1675" si="522">E1676+E1691+E1710+E1729+E1748+E1767+E1774+E1789+E1796</f>
        <v>6860380492.0299997</v>
      </c>
      <c r="F1675" s="34">
        <f t="shared" si="522"/>
        <v>4353771957.4399996</v>
      </c>
      <c r="G1675" s="35">
        <f>E1675-F1675</f>
        <v>2506608534.5900002</v>
      </c>
      <c r="H1675" s="35"/>
      <c r="I1675" s="60"/>
      <c r="J1675" s="60"/>
      <c r="K1675" s="60"/>
      <c r="L1675" s="60"/>
      <c r="M1675" s="60"/>
      <c r="N1675" s="60"/>
      <c r="O1675" s="60"/>
      <c r="P1675" s="60"/>
      <c r="Q1675" s="60"/>
      <c r="R1675" s="60"/>
      <c r="S1675" s="60"/>
      <c r="T1675" s="60"/>
      <c r="U1675" s="60"/>
      <c r="V1675" s="60"/>
      <c r="W1675" s="60"/>
      <c r="X1675" s="60"/>
      <c r="Y1675" s="60"/>
      <c r="Z1675" s="60"/>
    </row>
    <row r="1676" spans="1:26" ht="30" hidden="1" customHeight="1">
      <c r="A1676" s="92" t="s">
        <v>3324</v>
      </c>
      <c r="B1676" s="100" t="s">
        <v>2529</v>
      </c>
      <c r="C1676" s="94"/>
      <c r="D1676" s="94"/>
      <c r="E1676" s="39">
        <f t="shared" ref="E1676:G1676" si="523">SUM(E1677:E1690)</f>
        <v>2387624858.3899999</v>
      </c>
      <c r="F1676" s="39">
        <f t="shared" si="523"/>
        <v>2255249455.52</v>
      </c>
      <c r="G1676" s="39">
        <f t="shared" si="523"/>
        <v>132375402.87</v>
      </c>
      <c r="H1676" s="94"/>
      <c r="I1676" s="60"/>
      <c r="J1676" s="60"/>
      <c r="K1676" s="60"/>
      <c r="L1676" s="60"/>
      <c r="M1676" s="60"/>
      <c r="N1676" s="60"/>
      <c r="O1676" s="60"/>
      <c r="P1676" s="60"/>
      <c r="Q1676" s="60"/>
      <c r="R1676" s="60"/>
      <c r="S1676" s="60"/>
      <c r="T1676" s="60"/>
      <c r="U1676" s="60"/>
      <c r="V1676" s="60"/>
      <c r="W1676" s="60"/>
      <c r="X1676" s="60"/>
      <c r="Y1676" s="60"/>
      <c r="Z1676" s="60"/>
    </row>
    <row r="1677" spans="1:26" ht="30" hidden="1" customHeight="1">
      <c r="A1677" s="98" t="s">
        <v>3325</v>
      </c>
      <c r="B1677" s="68" t="s">
        <v>3326</v>
      </c>
      <c r="C1677" s="99"/>
      <c r="D1677" s="96"/>
      <c r="E1677" s="53">
        <v>1318035396.3399999</v>
      </c>
      <c r="F1677" s="53">
        <v>1316857737.0699999</v>
      </c>
      <c r="G1677" s="96">
        <f t="shared" ref="G1677:G1690" si="524">ROUND(E1677-F1677,2)</f>
        <v>1177659.27</v>
      </c>
      <c r="H1677" s="96"/>
      <c r="I1677" s="60"/>
      <c r="J1677" s="60"/>
      <c r="K1677" s="60"/>
      <c r="L1677" s="60"/>
      <c r="M1677" s="60"/>
      <c r="N1677" s="60"/>
      <c r="O1677" s="60"/>
      <c r="P1677" s="60"/>
      <c r="Q1677" s="60"/>
      <c r="R1677" s="60"/>
      <c r="S1677" s="60"/>
      <c r="T1677" s="60"/>
      <c r="U1677" s="60"/>
      <c r="V1677" s="60"/>
      <c r="W1677" s="60"/>
      <c r="X1677" s="60"/>
      <c r="Y1677" s="60"/>
      <c r="Z1677" s="60"/>
    </row>
    <row r="1678" spans="1:26" ht="30" hidden="1" customHeight="1">
      <c r="A1678" s="95" t="s">
        <v>3327</v>
      </c>
      <c r="B1678" s="68" t="s">
        <v>3328</v>
      </c>
      <c r="C1678" s="99"/>
      <c r="D1678" s="96"/>
      <c r="E1678" s="53"/>
      <c r="F1678" s="53"/>
      <c r="G1678" s="96">
        <f t="shared" si="524"/>
        <v>0</v>
      </c>
      <c r="H1678" s="96"/>
      <c r="I1678" s="60"/>
      <c r="J1678" s="60"/>
      <c r="K1678" s="60"/>
      <c r="L1678" s="60"/>
      <c r="M1678" s="60"/>
      <c r="N1678" s="60"/>
      <c r="O1678" s="60"/>
      <c r="P1678" s="60"/>
      <c r="Q1678" s="60"/>
      <c r="R1678" s="60"/>
      <c r="S1678" s="60"/>
      <c r="T1678" s="60"/>
      <c r="U1678" s="60"/>
      <c r="V1678" s="60"/>
      <c r="W1678" s="60"/>
      <c r="X1678" s="60"/>
      <c r="Y1678" s="60"/>
      <c r="Z1678" s="60"/>
    </row>
    <row r="1679" spans="1:26" ht="30" hidden="1" customHeight="1">
      <c r="A1679" s="98" t="s">
        <v>3329</v>
      </c>
      <c r="B1679" s="68" t="s">
        <v>3330</v>
      </c>
      <c r="C1679" s="99"/>
      <c r="D1679" s="96"/>
      <c r="E1679" s="53">
        <v>170697462.55000001</v>
      </c>
      <c r="F1679" s="53">
        <v>170697462.55000001</v>
      </c>
      <c r="G1679" s="96">
        <f t="shared" si="524"/>
        <v>0</v>
      </c>
      <c r="H1679" s="96"/>
      <c r="I1679" s="60"/>
      <c r="J1679" s="60"/>
      <c r="K1679" s="60"/>
      <c r="L1679" s="60"/>
      <c r="M1679" s="60"/>
      <c r="N1679" s="60"/>
      <c r="O1679" s="60"/>
      <c r="P1679" s="60"/>
      <c r="Q1679" s="60"/>
      <c r="R1679" s="60"/>
      <c r="S1679" s="60"/>
      <c r="T1679" s="60"/>
      <c r="U1679" s="60"/>
      <c r="V1679" s="60"/>
      <c r="W1679" s="60"/>
      <c r="X1679" s="60"/>
      <c r="Y1679" s="60"/>
      <c r="Z1679" s="60"/>
    </row>
    <row r="1680" spans="1:26" ht="30" hidden="1" customHeight="1">
      <c r="A1680" s="95" t="s">
        <v>3331</v>
      </c>
      <c r="B1680" s="68" t="s">
        <v>3332</v>
      </c>
      <c r="C1680" s="99"/>
      <c r="D1680" s="96"/>
      <c r="E1680" s="53"/>
      <c r="F1680" s="53"/>
      <c r="G1680" s="96">
        <f t="shared" si="524"/>
        <v>0</v>
      </c>
      <c r="H1680" s="96"/>
      <c r="I1680" s="60"/>
      <c r="J1680" s="60"/>
      <c r="K1680" s="60"/>
      <c r="L1680" s="60"/>
      <c r="M1680" s="60"/>
      <c r="N1680" s="60"/>
      <c r="O1680" s="60"/>
      <c r="P1680" s="60"/>
      <c r="Q1680" s="60"/>
      <c r="R1680" s="60"/>
      <c r="S1680" s="60"/>
      <c r="T1680" s="60"/>
      <c r="U1680" s="60"/>
      <c r="V1680" s="60"/>
      <c r="W1680" s="60"/>
      <c r="X1680" s="60"/>
      <c r="Y1680" s="60"/>
      <c r="Z1680" s="60"/>
    </row>
    <row r="1681" spans="1:26" ht="30" hidden="1" customHeight="1">
      <c r="A1681" s="98" t="s">
        <v>3333</v>
      </c>
      <c r="B1681" s="68" t="s">
        <v>3334</v>
      </c>
      <c r="C1681" s="99"/>
      <c r="D1681" s="96"/>
      <c r="E1681" s="53">
        <v>95217084.439999998</v>
      </c>
      <c r="F1681" s="53">
        <v>94863388.640000001</v>
      </c>
      <c r="G1681" s="96">
        <f t="shared" si="524"/>
        <v>353695.8</v>
      </c>
      <c r="H1681" s="96"/>
      <c r="I1681" s="60"/>
      <c r="J1681" s="60"/>
      <c r="K1681" s="60"/>
      <c r="L1681" s="60"/>
      <c r="M1681" s="60"/>
      <c r="N1681" s="60"/>
      <c r="O1681" s="60"/>
      <c r="P1681" s="60"/>
      <c r="Q1681" s="60"/>
      <c r="R1681" s="60"/>
      <c r="S1681" s="60"/>
      <c r="T1681" s="60"/>
      <c r="U1681" s="60"/>
      <c r="V1681" s="60"/>
      <c r="W1681" s="60"/>
      <c r="X1681" s="60"/>
      <c r="Y1681" s="60"/>
      <c r="Z1681" s="60"/>
    </row>
    <row r="1682" spans="1:26" ht="30" hidden="1" customHeight="1">
      <c r="A1682" s="95" t="s">
        <v>3335</v>
      </c>
      <c r="B1682" s="68" t="s">
        <v>3336</v>
      </c>
      <c r="C1682" s="99"/>
      <c r="D1682" s="96"/>
      <c r="E1682" s="53"/>
      <c r="F1682" s="53"/>
      <c r="G1682" s="96">
        <f t="shared" si="524"/>
        <v>0</v>
      </c>
      <c r="H1682" s="96"/>
      <c r="I1682" s="60"/>
      <c r="J1682" s="60"/>
      <c r="K1682" s="60"/>
      <c r="L1682" s="60"/>
      <c r="M1682" s="60"/>
      <c r="N1682" s="60"/>
      <c r="O1682" s="60"/>
      <c r="P1682" s="60"/>
      <c r="Q1682" s="60"/>
      <c r="R1682" s="60"/>
      <c r="S1682" s="60"/>
      <c r="T1682" s="60"/>
      <c r="U1682" s="60"/>
      <c r="V1682" s="60"/>
      <c r="W1682" s="60"/>
      <c r="X1682" s="60"/>
      <c r="Y1682" s="60"/>
      <c r="Z1682" s="60"/>
    </row>
    <row r="1683" spans="1:26" ht="30" hidden="1" customHeight="1">
      <c r="A1683" s="98" t="s">
        <v>3337</v>
      </c>
      <c r="B1683" s="68" t="s">
        <v>3338</v>
      </c>
      <c r="C1683" s="99"/>
      <c r="D1683" s="96"/>
      <c r="E1683" s="53">
        <v>466823028.54000002</v>
      </c>
      <c r="F1683" s="53">
        <v>439151401.88</v>
      </c>
      <c r="G1683" s="96">
        <f t="shared" si="524"/>
        <v>27671626.66</v>
      </c>
      <c r="H1683" s="96"/>
      <c r="I1683" s="60"/>
      <c r="J1683" s="60"/>
      <c r="K1683" s="60"/>
      <c r="L1683" s="60"/>
      <c r="M1683" s="60"/>
      <c r="N1683" s="60"/>
      <c r="O1683" s="60"/>
      <c r="P1683" s="60"/>
      <c r="Q1683" s="60"/>
      <c r="R1683" s="60"/>
      <c r="S1683" s="60"/>
      <c r="T1683" s="60"/>
      <c r="U1683" s="60"/>
      <c r="V1683" s="60"/>
      <c r="W1683" s="60"/>
      <c r="X1683" s="60"/>
      <c r="Y1683" s="60"/>
      <c r="Z1683" s="60"/>
    </row>
    <row r="1684" spans="1:26" ht="30" hidden="1" customHeight="1">
      <c r="A1684" s="95" t="s">
        <v>3339</v>
      </c>
      <c r="B1684" s="68" t="s">
        <v>3340</v>
      </c>
      <c r="C1684" s="99"/>
      <c r="D1684" s="96"/>
      <c r="E1684" s="53"/>
      <c r="F1684" s="53"/>
      <c r="G1684" s="96">
        <f t="shared" si="524"/>
        <v>0</v>
      </c>
      <c r="H1684" s="96"/>
      <c r="I1684" s="60"/>
      <c r="J1684" s="60"/>
      <c r="K1684" s="60"/>
      <c r="L1684" s="60"/>
      <c r="M1684" s="60"/>
      <c r="N1684" s="60"/>
      <c r="O1684" s="60"/>
      <c r="P1684" s="60"/>
      <c r="Q1684" s="60"/>
      <c r="R1684" s="60"/>
      <c r="S1684" s="60"/>
      <c r="T1684" s="60"/>
      <c r="U1684" s="60"/>
      <c r="V1684" s="60"/>
      <c r="W1684" s="60"/>
      <c r="X1684" s="60"/>
      <c r="Y1684" s="60"/>
      <c r="Z1684" s="60"/>
    </row>
    <row r="1685" spans="1:26" ht="30" hidden="1" customHeight="1">
      <c r="A1685" s="98" t="s">
        <v>3341</v>
      </c>
      <c r="B1685" s="68" t="s">
        <v>3342</v>
      </c>
      <c r="C1685" s="99"/>
      <c r="D1685" s="96"/>
      <c r="E1685" s="53">
        <v>336851886.51999998</v>
      </c>
      <c r="F1685" s="53">
        <v>233679465.38</v>
      </c>
      <c r="G1685" s="96">
        <f t="shared" si="524"/>
        <v>103172421.14</v>
      </c>
      <c r="H1685" s="96"/>
      <c r="I1685" s="60"/>
      <c r="J1685" s="60"/>
      <c r="K1685" s="60"/>
      <c r="L1685" s="60"/>
      <c r="M1685" s="60"/>
      <c r="N1685" s="60"/>
      <c r="O1685" s="60"/>
      <c r="P1685" s="60"/>
      <c r="Q1685" s="60"/>
      <c r="R1685" s="60"/>
      <c r="S1685" s="60"/>
      <c r="T1685" s="60"/>
      <c r="U1685" s="60"/>
      <c r="V1685" s="60"/>
      <c r="W1685" s="60"/>
      <c r="X1685" s="60"/>
      <c r="Y1685" s="60"/>
      <c r="Z1685" s="60"/>
    </row>
    <row r="1686" spans="1:26" ht="30" hidden="1" customHeight="1">
      <c r="A1686" s="95" t="s">
        <v>3343</v>
      </c>
      <c r="B1686" s="68" t="s">
        <v>3344</v>
      </c>
      <c r="C1686" s="99"/>
      <c r="D1686" s="96"/>
      <c r="E1686" s="53"/>
      <c r="F1686" s="53"/>
      <c r="G1686" s="96">
        <f t="shared" si="524"/>
        <v>0</v>
      </c>
      <c r="H1686" s="96"/>
      <c r="I1686" s="60"/>
      <c r="J1686" s="60"/>
      <c r="K1686" s="60"/>
      <c r="L1686" s="60"/>
      <c r="M1686" s="60"/>
      <c r="N1686" s="60"/>
      <c r="O1686" s="60"/>
      <c r="P1686" s="60"/>
      <c r="Q1686" s="60"/>
      <c r="R1686" s="60"/>
      <c r="S1686" s="60"/>
      <c r="T1686" s="60"/>
      <c r="U1686" s="60"/>
      <c r="V1686" s="60"/>
      <c r="W1686" s="60"/>
      <c r="X1686" s="60"/>
      <c r="Y1686" s="60"/>
      <c r="Z1686" s="60"/>
    </row>
    <row r="1687" spans="1:26" ht="30" hidden="1" customHeight="1">
      <c r="A1687" s="98" t="s">
        <v>3345</v>
      </c>
      <c r="B1687" s="68" t="s">
        <v>3346</v>
      </c>
      <c r="C1687" s="99"/>
      <c r="D1687" s="96"/>
      <c r="E1687" s="53"/>
      <c r="F1687" s="53"/>
      <c r="G1687" s="96">
        <f t="shared" si="524"/>
        <v>0</v>
      </c>
      <c r="H1687" s="96"/>
      <c r="I1687" s="60"/>
      <c r="J1687" s="60"/>
      <c r="K1687" s="60"/>
      <c r="L1687" s="60"/>
      <c r="M1687" s="60"/>
      <c r="N1687" s="60"/>
      <c r="O1687" s="60"/>
      <c r="P1687" s="60"/>
      <c r="Q1687" s="60"/>
      <c r="R1687" s="60"/>
      <c r="S1687" s="60"/>
      <c r="T1687" s="60"/>
      <c r="U1687" s="60"/>
      <c r="V1687" s="60"/>
      <c r="W1687" s="60"/>
      <c r="X1687" s="60"/>
      <c r="Y1687" s="60"/>
      <c r="Z1687" s="60"/>
    </row>
    <row r="1688" spans="1:26" ht="30" hidden="1" customHeight="1">
      <c r="A1688" s="95" t="s">
        <v>3347</v>
      </c>
      <c r="B1688" s="68" t="s">
        <v>3348</v>
      </c>
      <c r="C1688" s="99"/>
      <c r="D1688" s="96"/>
      <c r="E1688" s="53"/>
      <c r="F1688" s="53"/>
      <c r="G1688" s="96">
        <f t="shared" si="524"/>
        <v>0</v>
      </c>
      <c r="H1688" s="96"/>
      <c r="I1688" s="60"/>
      <c r="J1688" s="60"/>
      <c r="K1688" s="60"/>
      <c r="L1688" s="60"/>
      <c r="M1688" s="60"/>
      <c r="N1688" s="60"/>
      <c r="O1688" s="60"/>
      <c r="P1688" s="60"/>
      <c r="Q1688" s="60"/>
      <c r="R1688" s="60"/>
      <c r="S1688" s="60"/>
      <c r="T1688" s="60"/>
      <c r="U1688" s="60"/>
      <c r="V1688" s="60"/>
      <c r="W1688" s="60"/>
      <c r="X1688" s="60"/>
      <c r="Y1688" s="60"/>
      <c r="Z1688" s="60"/>
    </row>
    <row r="1689" spans="1:26" ht="30" hidden="1" customHeight="1">
      <c r="A1689" s="98" t="s">
        <v>3349</v>
      </c>
      <c r="B1689" s="68" t="s">
        <v>3350</v>
      </c>
      <c r="C1689" s="99"/>
      <c r="D1689" s="96"/>
      <c r="E1689" s="53"/>
      <c r="F1689" s="53"/>
      <c r="G1689" s="96">
        <f t="shared" si="524"/>
        <v>0</v>
      </c>
      <c r="H1689" s="96"/>
      <c r="I1689" s="60"/>
      <c r="J1689" s="60"/>
      <c r="K1689" s="60"/>
      <c r="L1689" s="60"/>
      <c r="M1689" s="60"/>
      <c r="N1689" s="60"/>
      <c r="O1689" s="60"/>
      <c r="P1689" s="60"/>
      <c r="Q1689" s="60"/>
      <c r="R1689" s="60"/>
      <c r="S1689" s="60"/>
      <c r="T1689" s="60"/>
      <c r="U1689" s="60"/>
      <c r="V1689" s="60"/>
      <c r="W1689" s="60"/>
      <c r="X1689" s="60"/>
      <c r="Y1689" s="60"/>
      <c r="Z1689" s="60"/>
    </row>
    <row r="1690" spans="1:26" ht="30" hidden="1" customHeight="1">
      <c r="A1690" s="95" t="s">
        <v>3351</v>
      </c>
      <c r="B1690" s="68" t="s">
        <v>3352</v>
      </c>
      <c r="C1690" s="99"/>
      <c r="D1690" s="96"/>
      <c r="E1690" s="53"/>
      <c r="F1690" s="53"/>
      <c r="G1690" s="96">
        <f t="shared" si="524"/>
        <v>0</v>
      </c>
      <c r="H1690" s="96"/>
      <c r="I1690" s="60"/>
      <c r="J1690" s="60"/>
      <c r="K1690" s="60"/>
      <c r="L1690" s="60"/>
      <c r="M1690" s="60"/>
      <c r="N1690" s="60"/>
      <c r="O1690" s="60"/>
      <c r="P1690" s="60"/>
      <c r="Q1690" s="60"/>
      <c r="R1690" s="60"/>
      <c r="S1690" s="60"/>
      <c r="T1690" s="60"/>
      <c r="U1690" s="60"/>
      <c r="V1690" s="60"/>
      <c r="W1690" s="60"/>
      <c r="X1690" s="60"/>
      <c r="Y1690" s="60"/>
      <c r="Z1690" s="60"/>
    </row>
    <row r="1691" spans="1:26" ht="30" hidden="1" customHeight="1">
      <c r="A1691" s="92" t="s">
        <v>3353</v>
      </c>
      <c r="B1691" s="101" t="s">
        <v>2559</v>
      </c>
      <c r="C1691" s="94"/>
      <c r="D1691" s="94"/>
      <c r="E1691" s="39">
        <f t="shared" ref="E1691:G1691" si="525">SUM(E1692:E1709)</f>
        <v>384821306.78999996</v>
      </c>
      <c r="F1691" s="39">
        <f t="shared" si="525"/>
        <v>120408152.56</v>
      </c>
      <c r="G1691" s="39">
        <f t="shared" si="525"/>
        <v>264413154.22999999</v>
      </c>
      <c r="H1691" s="94"/>
      <c r="I1691" s="60"/>
      <c r="J1691" s="60"/>
      <c r="K1691" s="60"/>
      <c r="L1691" s="60"/>
      <c r="M1691" s="60"/>
      <c r="N1691" s="60"/>
      <c r="O1691" s="60"/>
      <c r="P1691" s="60"/>
      <c r="Q1691" s="60"/>
      <c r="R1691" s="60"/>
      <c r="S1691" s="60"/>
      <c r="T1691" s="60"/>
      <c r="U1691" s="60"/>
      <c r="V1691" s="60"/>
      <c r="W1691" s="60"/>
      <c r="X1691" s="60"/>
      <c r="Y1691" s="60"/>
      <c r="Z1691" s="60"/>
    </row>
    <row r="1692" spans="1:26" ht="30" hidden="1" customHeight="1">
      <c r="A1692" s="98" t="s">
        <v>3354</v>
      </c>
      <c r="B1692" s="68" t="s">
        <v>3355</v>
      </c>
      <c r="C1692" s="99"/>
      <c r="D1692" s="96"/>
      <c r="E1692" s="53">
        <v>60723456.039999999</v>
      </c>
      <c r="F1692" s="53">
        <v>1301320.5</v>
      </c>
      <c r="G1692" s="96">
        <f t="shared" ref="G1692:G1709" si="526">ROUND(E1692-F1692,2)</f>
        <v>59422135.539999999</v>
      </c>
      <c r="H1692" s="96"/>
      <c r="I1692" s="60"/>
      <c r="J1692" s="60"/>
      <c r="K1692" s="60"/>
      <c r="L1692" s="60"/>
      <c r="M1692" s="60"/>
      <c r="N1692" s="60"/>
      <c r="O1692" s="60"/>
      <c r="P1692" s="60"/>
      <c r="Q1692" s="60"/>
      <c r="R1692" s="60"/>
      <c r="S1692" s="60"/>
      <c r="T1692" s="60"/>
      <c r="U1692" s="60"/>
      <c r="V1692" s="60"/>
      <c r="W1692" s="60"/>
      <c r="X1692" s="60"/>
      <c r="Y1692" s="60"/>
      <c r="Z1692" s="60"/>
    </row>
    <row r="1693" spans="1:26" ht="30" hidden="1" customHeight="1">
      <c r="A1693" s="95" t="s">
        <v>3356</v>
      </c>
      <c r="B1693" s="68" t="s">
        <v>3357</v>
      </c>
      <c r="C1693" s="99"/>
      <c r="D1693" s="96"/>
      <c r="E1693" s="53"/>
      <c r="F1693" s="53"/>
      <c r="G1693" s="96">
        <f t="shared" si="526"/>
        <v>0</v>
      </c>
      <c r="H1693" s="96"/>
      <c r="I1693" s="60"/>
      <c r="J1693" s="60"/>
      <c r="K1693" s="60"/>
      <c r="L1693" s="60"/>
      <c r="M1693" s="60"/>
      <c r="N1693" s="60"/>
      <c r="O1693" s="60"/>
      <c r="P1693" s="60"/>
      <c r="Q1693" s="60"/>
      <c r="R1693" s="60"/>
      <c r="S1693" s="60"/>
      <c r="T1693" s="60"/>
      <c r="U1693" s="60"/>
      <c r="V1693" s="60"/>
      <c r="W1693" s="60"/>
      <c r="X1693" s="60"/>
      <c r="Y1693" s="60"/>
      <c r="Z1693" s="60"/>
    </row>
    <row r="1694" spans="1:26" ht="30" hidden="1" customHeight="1">
      <c r="A1694" s="98" t="s">
        <v>3358</v>
      </c>
      <c r="B1694" s="68" t="s">
        <v>3359</v>
      </c>
      <c r="C1694" s="99"/>
      <c r="D1694" s="96"/>
      <c r="E1694" s="53">
        <v>13900807.66</v>
      </c>
      <c r="F1694" s="53">
        <v>3823039.63</v>
      </c>
      <c r="G1694" s="96">
        <f t="shared" si="526"/>
        <v>10077768.029999999</v>
      </c>
      <c r="H1694" s="96"/>
      <c r="I1694" s="60"/>
      <c r="J1694" s="60"/>
      <c r="K1694" s="60"/>
      <c r="L1694" s="60"/>
      <c r="M1694" s="60"/>
      <c r="N1694" s="60"/>
      <c r="O1694" s="60"/>
      <c r="P1694" s="60"/>
      <c r="Q1694" s="60"/>
      <c r="R1694" s="60"/>
      <c r="S1694" s="60"/>
      <c r="T1694" s="60"/>
      <c r="U1694" s="60"/>
      <c r="V1694" s="60"/>
      <c r="W1694" s="60"/>
      <c r="X1694" s="60"/>
      <c r="Y1694" s="60"/>
      <c r="Z1694" s="60"/>
    </row>
    <row r="1695" spans="1:26" ht="30" hidden="1" customHeight="1">
      <c r="A1695" s="95" t="s">
        <v>3360</v>
      </c>
      <c r="B1695" s="68" t="s">
        <v>3361</v>
      </c>
      <c r="C1695" s="99"/>
      <c r="D1695" s="96"/>
      <c r="E1695" s="53"/>
      <c r="F1695" s="53"/>
      <c r="G1695" s="96">
        <f t="shared" si="526"/>
        <v>0</v>
      </c>
      <c r="H1695" s="96"/>
      <c r="I1695" s="60"/>
      <c r="J1695" s="60"/>
      <c r="K1695" s="60"/>
      <c r="L1695" s="60"/>
      <c r="M1695" s="60"/>
      <c r="N1695" s="60"/>
      <c r="O1695" s="60"/>
      <c r="P1695" s="60"/>
      <c r="Q1695" s="60"/>
      <c r="R1695" s="60"/>
      <c r="S1695" s="60"/>
      <c r="T1695" s="60"/>
      <c r="U1695" s="60"/>
      <c r="V1695" s="60"/>
      <c r="W1695" s="60"/>
      <c r="X1695" s="60"/>
      <c r="Y1695" s="60"/>
      <c r="Z1695" s="60"/>
    </row>
    <row r="1696" spans="1:26" ht="30" hidden="1" customHeight="1">
      <c r="A1696" s="98" t="s">
        <v>3362</v>
      </c>
      <c r="B1696" s="68" t="s">
        <v>3363</v>
      </c>
      <c r="C1696" s="99"/>
      <c r="D1696" s="96"/>
      <c r="E1696" s="53">
        <v>385000.01</v>
      </c>
      <c r="F1696" s="53">
        <v>51364.01</v>
      </c>
      <c r="G1696" s="96">
        <f t="shared" si="526"/>
        <v>333636</v>
      </c>
      <c r="H1696" s="96"/>
      <c r="I1696" s="60"/>
      <c r="J1696" s="60"/>
      <c r="K1696" s="60"/>
      <c r="L1696" s="60"/>
      <c r="M1696" s="60"/>
      <c r="N1696" s="60"/>
      <c r="O1696" s="60"/>
      <c r="P1696" s="60"/>
      <c r="Q1696" s="60"/>
      <c r="R1696" s="60"/>
      <c r="S1696" s="60"/>
      <c r="T1696" s="60"/>
      <c r="U1696" s="60"/>
      <c r="V1696" s="60"/>
      <c r="W1696" s="60"/>
      <c r="X1696" s="60"/>
      <c r="Y1696" s="60"/>
      <c r="Z1696" s="60"/>
    </row>
    <row r="1697" spans="1:26" ht="30" hidden="1" customHeight="1">
      <c r="A1697" s="95" t="s">
        <v>3364</v>
      </c>
      <c r="B1697" s="68" t="s">
        <v>3365</v>
      </c>
      <c r="C1697" s="99"/>
      <c r="D1697" s="96"/>
      <c r="E1697" s="96"/>
      <c r="F1697" s="96"/>
      <c r="G1697" s="96">
        <f t="shared" si="526"/>
        <v>0</v>
      </c>
      <c r="H1697" s="96"/>
      <c r="I1697" s="60"/>
      <c r="J1697" s="60"/>
      <c r="K1697" s="60"/>
      <c r="L1697" s="60"/>
      <c r="M1697" s="60"/>
      <c r="N1697" s="60"/>
      <c r="O1697" s="60"/>
      <c r="P1697" s="60"/>
      <c r="Q1697" s="60"/>
      <c r="R1697" s="60"/>
      <c r="S1697" s="60"/>
      <c r="T1697" s="60"/>
      <c r="U1697" s="60"/>
      <c r="V1697" s="60"/>
      <c r="W1697" s="60"/>
      <c r="X1697" s="60"/>
      <c r="Y1697" s="60"/>
      <c r="Z1697" s="60"/>
    </row>
    <row r="1698" spans="1:26" ht="30" hidden="1" customHeight="1">
      <c r="A1698" s="98" t="s">
        <v>3366</v>
      </c>
      <c r="B1698" s="68" t="s">
        <v>3367</v>
      </c>
      <c r="C1698" s="99"/>
      <c r="D1698" s="96"/>
      <c r="E1698" s="53">
        <v>69683825.239999995</v>
      </c>
      <c r="F1698" s="53">
        <v>276468.64</v>
      </c>
      <c r="G1698" s="96">
        <f t="shared" si="526"/>
        <v>69407356.599999994</v>
      </c>
      <c r="H1698" s="96"/>
      <c r="I1698" s="60"/>
      <c r="J1698" s="60"/>
      <c r="K1698" s="60"/>
      <c r="L1698" s="60"/>
      <c r="M1698" s="60"/>
      <c r="N1698" s="60"/>
      <c r="O1698" s="60"/>
      <c r="P1698" s="60"/>
      <c r="Q1698" s="60"/>
      <c r="R1698" s="60"/>
      <c r="S1698" s="60"/>
      <c r="T1698" s="60"/>
      <c r="U1698" s="60"/>
      <c r="V1698" s="60"/>
      <c r="W1698" s="60"/>
      <c r="X1698" s="60"/>
      <c r="Y1698" s="60"/>
      <c r="Z1698" s="60"/>
    </row>
    <row r="1699" spans="1:26" ht="30" hidden="1" customHeight="1">
      <c r="A1699" s="95" t="s">
        <v>3368</v>
      </c>
      <c r="B1699" s="68" t="s">
        <v>3369</v>
      </c>
      <c r="C1699" s="99"/>
      <c r="D1699" s="96"/>
      <c r="E1699" s="53"/>
      <c r="F1699" s="53"/>
      <c r="G1699" s="96">
        <f t="shared" si="526"/>
        <v>0</v>
      </c>
      <c r="H1699" s="96"/>
      <c r="I1699" s="60"/>
      <c r="J1699" s="60"/>
      <c r="K1699" s="60"/>
      <c r="L1699" s="60"/>
      <c r="M1699" s="60"/>
      <c r="N1699" s="60"/>
      <c r="O1699" s="60"/>
      <c r="P1699" s="60"/>
      <c r="Q1699" s="60"/>
      <c r="R1699" s="60"/>
      <c r="S1699" s="60"/>
      <c r="T1699" s="60"/>
      <c r="U1699" s="60"/>
      <c r="V1699" s="60"/>
      <c r="W1699" s="60"/>
      <c r="X1699" s="60"/>
      <c r="Y1699" s="60"/>
      <c r="Z1699" s="60"/>
    </row>
    <row r="1700" spans="1:26" ht="30" hidden="1" customHeight="1">
      <c r="A1700" s="98" t="s">
        <v>3370</v>
      </c>
      <c r="B1700" s="68" t="s">
        <v>3371</v>
      </c>
      <c r="C1700" s="99"/>
      <c r="D1700" s="96"/>
      <c r="E1700" s="53">
        <v>20108458.59</v>
      </c>
      <c r="F1700" s="53">
        <v>3994440.76</v>
      </c>
      <c r="G1700" s="96">
        <f t="shared" si="526"/>
        <v>16114017.83</v>
      </c>
      <c r="H1700" s="96"/>
      <c r="I1700" s="60"/>
      <c r="J1700" s="60"/>
      <c r="K1700" s="60"/>
      <c r="L1700" s="60"/>
      <c r="M1700" s="60"/>
      <c r="N1700" s="60"/>
      <c r="O1700" s="60"/>
      <c r="P1700" s="60"/>
      <c r="Q1700" s="60"/>
      <c r="R1700" s="60"/>
      <c r="S1700" s="60"/>
      <c r="T1700" s="60"/>
      <c r="U1700" s="60"/>
      <c r="V1700" s="60"/>
      <c r="W1700" s="60"/>
      <c r="X1700" s="60"/>
      <c r="Y1700" s="60"/>
      <c r="Z1700" s="60"/>
    </row>
    <row r="1701" spans="1:26" ht="30" hidden="1" customHeight="1">
      <c r="A1701" s="95" t="s">
        <v>3372</v>
      </c>
      <c r="B1701" s="68" t="s">
        <v>3373</v>
      </c>
      <c r="C1701" s="99"/>
      <c r="D1701" s="96"/>
      <c r="E1701" s="53"/>
      <c r="F1701" s="53"/>
      <c r="G1701" s="96">
        <f t="shared" si="526"/>
        <v>0</v>
      </c>
      <c r="H1701" s="96"/>
      <c r="I1701" s="60"/>
      <c r="J1701" s="60"/>
      <c r="K1701" s="60"/>
      <c r="L1701" s="60"/>
      <c r="M1701" s="60"/>
      <c r="N1701" s="60"/>
      <c r="O1701" s="60"/>
      <c r="P1701" s="60"/>
      <c r="Q1701" s="60"/>
      <c r="R1701" s="60"/>
      <c r="S1701" s="60"/>
      <c r="T1701" s="60"/>
      <c r="U1701" s="60"/>
      <c r="V1701" s="60"/>
      <c r="W1701" s="60"/>
      <c r="X1701" s="60"/>
      <c r="Y1701" s="60"/>
      <c r="Z1701" s="60"/>
    </row>
    <row r="1702" spans="1:26" ht="30" hidden="1" customHeight="1">
      <c r="A1702" s="98" t="s">
        <v>3374</v>
      </c>
      <c r="B1702" s="68" t="s">
        <v>3375</v>
      </c>
      <c r="C1702" s="99"/>
      <c r="D1702" s="96"/>
      <c r="E1702" s="53">
        <v>218121925.62</v>
      </c>
      <c r="F1702" s="53">
        <v>110665344.98999999</v>
      </c>
      <c r="G1702" s="96">
        <f t="shared" si="526"/>
        <v>107456580.63</v>
      </c>
      <c r="H1702" s="96"/>
      <c r="I1702" s="60"/>
      <c r="J1702" s="60"/>
      <c r="K1702" s="60"/>
      <c r="L1702" s="60"/>
      <c r="M1702" s="60"/>
      <c r="N1702" s="60"/>
      <c r="O1702" s="60"/>
      <c r="P1702" s="60"/>
      <c r="Q1702" s="60"/>
      <c r="R1702" s="60"/>
      <c r="S1702" s="60"/>
      <c r="T1702" s="60"/>
      <c r="U1702" s="60"/>
      <c r="V1702" s="60"/>
      <c r="W1702" s="60"/>
      <c r="X1702" s="60"/>
      <c r="Y1702" s="60"/>
      <c r="Z1702" s="60"/>
    </row>
    <row r="1703" spans="1:26" ht="30" hidden="1" customHeight="1">
      <c r="A1703" s="95" t="s">
        <v>3376</v>
      </c>
      <c r="B1703" s="68" t="s">
        <v>3377</v>
      </c>
      <c r="C1703" s="99"/>
      <c r="D1703" s="96"/>
      <c r="E1703" s="53"/>
      <c r="F1703" s="53"/>
      <c r="G1703" s="96">
        <f t="shared" si="526"/>
        <v>0</v>
      </c>
      <c r="H1703" s="96"/>
      <c r="I1703" s="60"/>
      <c r="J1703" s="60"/>
      <c r="K1703" s="60"/>
      <c r="L1703" s="60"/>
      <c r="M1703" s="60"/>
      <c r="N1703" s="60"/>
      <c r="O1703" s="60"/>
      <c r="P1703" s="60"/>
      <c r="Q1703" s="60"/>
      <c r="R1703" s="60"/>
      <c r="S1703" s="60"/>
      <c r="T1703" s="60"/>
      <c r="U1703" s="60"/>
      <c r="V1703" s="60"/>
      <c r="W1703" s="60"/>
      <c r="X1703" s="60"/>
      <c r="Y1703" s="60"/>
      <c r="Z1703" s="60"/>
    </row>
    <row r="1704" spans="1:26" ht="30" hidden="1" customHeight="1">
      <c r="A1704" s="98" t="s">
        <v>3378</v>
      </c>
      <c r="B1704" s="68" t="s">
        <v>3379</v>
      </c>
      <c r="C1704" s="99"/>
      <c r="D1704" s="96"/>
      <c r="E1704" s="53">
        <v>1657808.88</v>
      </c>
      <c r="F1704" s="53">
        <v>138217.18</v>
      </c>
      <c r="G1704" s="96">
        <f t="shared" si="526"/>
        <v>1519591.7</v>
      </c>
      <c r="H1704" s="96"/>
      <c r="I1704" s="60"/>
      <c r="J1704" s="60"/>
      <c r="K1704" s="60"/>
      <c r="L1704" s="60"/>
      <c r="M1704" s="60"/>
      <c r="N1704" s="60"/>
      <c r="O1704" s="60"/>
      <c r="P1704" s="60"/>
      <c r="Q1704" s="60"/>
      <c r="R1704" s="60"/>
      <c r="S1704" s="60"/>
      <c r="T1704" s="60"/>
      <c r="U1704" s="60"/>
      <c r="V1704" s="60"/>
      <c r="W1704" s="60"/>
      <c r="X1704" s="60"/>
      <c r="Y1704" s="60"/>
      <c r="Z1704" s="60"/>
    </row>
    <row r="1705" spans="1:26" ht="30" hidden="1" customHeight="1">
      <c r="A1705" s="95" t="s">
        <v>3380</v>
      </c>
      <c r="B1705" s="68" t="s">
        <v>3381</v>
      </c>
      <c r="C1705" s="99"/>
      <c r="D1705" s="96"/>
      <c r="E1705" s="53"/>
      <c r="F1705" s="53"/>
      <c r="G1705" s="96">
        <f t="shared" si="526"/>
        <v>0</v>
      </c>
      <c r="H1705" s="96"/>
      <c r="I1705" s="60"/>
      <c r="J1705" s="60"/>
      <c r="K1705" s="60"/>
      <c r="L1705" s="60"/>
      <c r="M1705" s="60"/>
      <c r="N1705" s="60"/>
      <c r="O1705" s="60"/>
      <c r="P1705" s="60"/>
      <c r="Q1705" s="60"/>
      <c r="R1705" s="60"/>
      <c r="S1705" s="60"/>
      <c r="T1705" s="60"/>
      <c r="U1705" s="60"/>
      <c r="V1705" s="60"/>
      <c r="W1705" s="60"/>
      <c r="X1705" s="60"/>
      <c r="Y1705" s="60"/>
      <c r="Z1705" s="60"/>
    </row>
    <row r="1706" spans="1:26" ht="30" hidden="1" customHeight="1">
      <c r="A1706" s="98" t="s">
        <v>3382</v>
      </c>
      <c r="B1706" s="68" t="s">
        <v>3383</v>
      </c>
      <c r="C1706" s="99"/>
      <c r="D1706" s="96"/>
      <c r="E1706" s="53"/>
      <c r="F1706" s="53"/>
      <c r="G1706" s="96">
        <f t="shared" si="526"/>
        <v>0</v>
      </c>
      <c r="H1706" s="96"/>
      <c r="I1706" s="60"/>
      <c r="J1706" s="60"/>
      <c r="K1706" s="60"/>
      <c r="L1706" s="60"/>
      <c r="M1706" s="60"/>
      <c r="N1706" s="60"/>
      <c r="O1706" s="60"/>
      <c r="P1706" s="60"/>
      <c r="Q1706" s="60"/>
      <c r="R1706" s="60"/>
      <c r="S1706" s="60"/>
      <c r="T1706" s="60"/>
      <c r="U1706" s="60"/>
      <c r="V1706" s="60"/>
      <c r="W1706" s="60"/>
      <c r="X1706" s="60"/>
      <c r="Y1706" s="60"/>
      <c r="Z1706" s="60"/>
    </row>
    <row r="1707" spans="1:26" ht="30" hidden="1" customHeight="1">
      <c r="A1707" s="95" t="s">
        <v>3384</v>
      </c>
      <c r="B1707" s="68" t="s">
        <v>3385</v>
      </c>
      <c r="C1707" s="99"/>
      <c r="D1707" s="96"/>
      <c r="E1707" s="53"/>
      <c r="F1707" s="53"/>
      <c r="G1707" s="96">
        <f t="shared" si="526"/>
        <v>0</v>
      </c>
      <c r="H1707" s="96"/>
      <c r="I1707" s="60"/>
      <c r="J1707" s="60"/>
      <c r="K1707" s="60"/>
      <c r="L1707" s="60"/>
      <c r="M1707" s="60"/>
      <c r="N1707" s="60"/>
      <c r="O1707" s="60"/>
      <c r="P1707" s="60"/>
      <c r="Q1707" s="60"/>
      <c r="R1707" s="60"/>
      <c r="S1707" s="60"/>
      <c r="T1707" s="60"/>
      <c r="U1707" s="60"/>
      <c r="V1707" s="60"/>
      <c r="W1707" s="60"/>
      <c r="X1707" s="60"/>
      <c r="Y1707" s="60"/>
      <c r="Z1707" s="60"/>
    </row>
    <row r="1708" spans="1:26" ht="30" hidden="1" customHeight="1">
      <c r="A1708" s="98" t="s">
        <v>3386</v>
      </c>
      <c r="B1708" s="68" t="s">
        <v>3387</v>
      </c>
      <c r="C1708" s="99"/>
      <c r="D1708" s="96"/>
      <c r="E1708" s="53">
        <v>240024.75</v>
      </c>
      <c r="F1708" s="53">
        <v>157956.85</v>
      </c>
      <c r="G1708" s="96">
        <f t="shared" si="526"/>
        <v>82067.899999999994</v>
      </c>
      <c r="H1708" s="96"/>
      <c r="I1708" s="60"/>
      <c r="J1708" s="60"/>
      <c r="K1708" s="60"/>
      <c r="L1708" s="60"/>
      <c r="M1708" s="60"/>
      <c r="N1708" s="60"/>
      <c r="O1708" s="60"/>
      <c r="P1708" s="60"/>
      <c r="Q1708" s="60"/>
      <c r="R1708" s="60"/>
      <c r="S1708" s="60"/>
      <c r="T1708" s="60"/>
      <c r="U1708" s="60"/>
      <c r="V1708" s="60"/>
      <c r="W1708" s="60"/>
      <c r="X1708" s="60"/>
      <c r="Y1708" s="60"/>
      <c r="Z1708" s="60"/>
    </row>
    <row r="1709" spans="1:26" ht="30" hidden="1" customHeight="1">
      <c r="A1709" s="95" t="s">
        <v>3388</v>
      </c>
      <c r="B1709" s="68" t="s">
        <v>3389</v>
      </c>
      <c r="C1709" s="99"/>
      <c r="D1709" s="96"/>
      <c r="E1709" s="53"/>
      <c r="F1709" s="53"/>
      <c r="G1709" s="96">
        <f t="shared" si="526"/>
        <v>0</v>
      </c>
      <c r="H1709" s="96"/>
      <c r="I1709" s="60"/>
      <c r="J1709" s="60"/>
      <c r="K1709" s="60"/>
      <c r="L1709" s="60"/>
      <c r="M1709" s="60"/>
      <c r="N1709" s="60"/>
      <c r="O1709" s="60"/>
      <c r="P1709" s="60"/>
      <c r="Q1709" s="60"/>
      <c r="R1709" s="60"/>
      <c r="S1709" s="60"/>
      <c r="T1709" s="60"/>
      <c r="U1709" s="60"/>
      <c r="V1709" s="60"/>
      <c r="W1709" s="60"/>
      <c r="X1709" s="60"/>
      <c r="Y1709" s="60"/>
      <c r="Z1709" s="60"/>
    </row>
    <row r="1710" spans="1:26" ht="30" hidden="1" customHeight="1">
      <c r="A1710" s="92" t="s">
        <v>3390</v>
      </c>
      <c r="B1710" s="101" t="s">
        <v>2597</v>
      </c>
      <c r="C1710" s="94"/>
      <c r="D1710" s="94"/>
      <c r="E1710" s="39">
        <f t="shared" ref="E1710:G1710" si="527">SUM(E1711:E1728)</f>
        <v>1658325184.3100002</v>
      </c>
      <c r="F1710" s="39">
        <f t="shared" si="527"/>
        <v>749596990.45000005</v>
      </c>
      <c r="G1710" s="39">
        <f t="shared" si="527"/>
        <v>908728193.8599999</v>
      </c>
      <c r="H1710" s="94"/>
      <c r="I1710" s="60"/>
      <c r="J1710" s="60"/>
      <c r="K1710" s="60"/>
      <c r="L1710" s="60"/>
      <c r="M1710" s="60"/>
      <c r="N1710" s="60"/>
      <c r="O1710" s="60"/>
      <c r="P1710" s="60"/>
      <c r="Q1710" s="60"/>
      <c r="R1710" s="60"/>
      <c r="S1710" s="60"/>
      <c r="T1710" s="60"/>
      <c r="U1710" s="60"/>
      <c r="V1710" s="60"/>
      <c r="W1710" s="60"/>
      <c r="X1710" s="60"/>
      <c r="Y1710" s="60"/>
      <c r="Z1710" s="60"/>
    </row>
    <row r="1711" spans="1:26" ht="30" hidden="1" customHeight="1">
      <c r="A1711" s="98" t="s">
        <v>3391</v>
      </c>
      <c r="B1711" s="68" t="s">
        <v>3392</v>
      </c>
      <c r="C1711" s="99"/>
      <c r="D1711" s="96"/>
      <c r="E1711" s="53">
        <v>205501676.09</v>
      </c>
      <c r="F1711" s="53">
        <v>111944061.62</v>
      </c>
      <c r="G1711" s="96">
        <f t="shared" ref="G1711:G1728" si="528">ROUND(E1711-F1711,2)</f>
        <v>93557614.469999999</v>
      </c>
      <c r="H1711" s="96"/>
      <c r="I1711" s="60"/>
      <c r="J1711" s="60"/>
      <c r="K1711" s="60"/>
      <c r="L1711" s="60"/>
      <c r="M1711" s="60"/>
      <c r="N1711" s="60"/>
      <c r="O1711" s="60"/>
      <c r="P1711" s="60"/>
      <c r="Q1711" s="60"/>
      <c r="R1711" s="60"/>
      <c r="S1711" s="60"/>
      <c r="T1711" s="60"/>
      <c r="U1711" s="60"/>
      <c r="V1711" s="60"/>
      <c r="W1711" s="60"/>
      <c r="X1711" s="60"/>
      <c r="Y1711" s="60"/>
      <c r="Z1711" s="60"/>
    </row>
    <row r="1712" spans="1:26" ht="30" hidden="1" customHeight="1">
      <c r="A1712" s="95" t="s">
        <v>3393</v>
      </c>
      <c r="B1712" s="68" t="s">
        <v>3394</v>
      </c>
      <c r="C1712" s="99"/>
      <c r="D1712" s="96"/>
      <c r="E1712" s="53"/>
      <c r="F1712" s="53"/>
      <c r="G1712" s="96">
        <f t="shared" si="528"/>
        <v>0</v>
      </c>
      <c r="H1712" s="96"/>
      <c r="I1712" s="60"/>
      <c r="J1712" s="60"/>
      <c r="K1712" s="60"/>
      <c r="L1712" s="60"/>
      <c r="M1712" s="60"/>
      <c r="N1712" s="60"/>
      <c r="O1712" s="60"/>
      <c r="P1712" s="60"/>
      <c r="Q1712" s="60"/>
      <c r="R1712" s="60"/>
      <c r="S1712" s="60"/>
      <c r="T1712" s="60"/>
      <c r="U1712" s="60"/>
      <c r="V1712" s="60"/>
      <c r="W1712" s="60"/>
      <c r="X1712" s="60"/>
      <c r="Y1712" s="60"/>
      <c r="Z1712" s="60"/>
    </row>
    <row r="1713" spans="1:26" ht="30" hidden="1" customHeight="1">
      <c r="A1713" s="98" t="s">
        <v>3395</v>
      </c>
      <c r="B1713" s="68" t="s">
        <v>3396</v>
      </c>
      <c r="C1713" s="99"/>
      <c r="D1713" s="96"/>
      <c r="E1713" s="53">
        <v>59807091.079999998</v>
      </c>
      <c r="F1713" s="53">
        <v>14287917.039999999</v>
      </c>
      <c r="G1713" s="96">
        <f t="shared" si="528"/>
        <v>45519174.039999999</v>
      </c>
      <c r="H1713" s="96"/>
      <c r="I1713" s="60"/>
      <c r="J1713" s="60"/>
      <c r="K1713" s="60"/>
      <c r="L1713" s="60"/>
      <c r="M1713" s="60"/>
      <c r="N1713" s="60"/>
      <c r="O1713" s="60"/>
      <c r="P1713" s="60"/>
      <c r="Q1713" s="60"/>
      <c r="R1713" s="60"/>
      <c r="S1713" s="60"/>
      <c r="T1713" s="60"/>
      <c r="U1713" s="60"/>
      <c r="V1713" s="60"/>
      <c r="W1713" s="60"/>
      <c r="X1713" s="60"/>
      <c r="Y1713" s="60"/>
      <c r="Z1713" s="60"/>
    </row>
    <row r="1714" spans="1:26" ht="30" hidden="1" customHeight="1">
      <c r="A1714" s="95" t="s">
        <v>3397</v>
      </c>
      <c r="B1714" s="68" t="s">
        <v>3398</v>
      </c>
      <c r="C1714" s="99"/>
      <c r="D1714" s="96"/>
      <c r="E1714" s="53"/>
      <c r="F1714" s="53"/>
      <c r="G1714" s="96">
        <f t="shared" si="528"/>
        <v>0</v>
      </c>
      <c r="H1714" s="96"/>
      <c r="I1714" s="60"/>
      <c r="J1714" s="60"/>
      <c r="K1714" s="60"/>
      <c r="L1714" s="60"/>
      <c r="M1714" s="60"/>
      <c r="N1714" s="60"/>
      <c r="O1714" s="60"/>
      <c r="P1714" s="60"/>
      <c r="Q1714" s="60"/>
      <c r="R1714" s="60"/>
      <c r="S1714" s="60"/>
      <c r="T1714" s="60"/>
      <c r="U1714" s="60"/>
      <c r="V1714" s="60"/>
      <c r="W1714" s="60"/>
      <c r="X1714" s="60"/>
      <c r="Y1714" s="60"/>
      <c r="Z1714" s="60"/>
    </row>
    <row r="1715" spans="1:26" ht="30" hidden="1" customHeight="1">
      <c r="A1715" s="98" t="s">
        <v>3399</v>
      </c>
      <c r="B1715" s="68" t="s">
        <v>3400</v>
      </c>
      <c r="C1715" s="99"/>
      <c r="D1715" s="96"/>
      <c r="E1715" s="53">
        <v>37781494.130000003</v>
      </c>
      <c r="F1715" s="53">
        <v>3486874.03</v>
      </c>
      <c r="G1715" s="96">
        <f t="shared" si="528"/>
        <v>34294620.100000001</v>
      </c>
      <c r="H1715" s="96"/>
      <c r="I1715" s="60"/>
      <c r="J1715" s="60"/>
      <c r="K1715" s="60"/>
      <c r="L1715" s="60"/>
      <c r="M1715" s="60"/>
      <c r="N1715" s="60"/>
      <c r="O1715" s="60"/>
      <c r="P1715" s="60"/>
      <c r="Q1715" s="60"/>
      <c r="R1715" s="60"/>
      <c r="S1715" s="60"/>
      <c r="T1715" s="60"/>
      <c r="U1715" s="60"/>
      <c r="V1715" s="60"/>
      <c r="W1715" s="60"/>
      <c r="X1715" s="60"/>
      <c r="Y1715" s="60"/>
      <c r="Z1715" s="60"/>
    </row>
    <row r="1716" spans="1:26" ht="30" hidden="1" customHeight="1">
      <c r="A1716" s="95" t="s">
        <v>3401</v>
      </c>
      <c r="B1716" s="68" t="s">
        <v>3402</v>
      </c>
      <c r="C1716" s="99"/>
      <c r="D1716" s="96"/>
      <c r="E1716" s="53"/>
      <c r="F1716" s="53"/>
      <c r="G1716" s="96">
        <f t="shared" si="528"/>
        <v>0</v>
      </c>
      <c r="H1716" s="96"/>
      <c r="I1716" s="60"/>
      <c r="J1716" s="60"/>
      <c r="K1716" s="60"/>
      <c r="L1716" s="60"/>
      <c r="M1716" s="60"/>
      <c r="N1716" s="60"/>
      <c r="O1716" s="60"/>
      <c r="P1716" s="60"/>
      <c r="Q1716" s="60"/>
      <c r="R1716" s="60"/>
      <c r="S1716" s="60"/>
      <c r="T1716" s="60"/>
      <c r="U1716" s="60"/>
      <c r="V1716" s="60"/>
      <c r="W1716" s="60"/>
      <c r="X1716" s="60"/>
      <c r="Y1716" s="60"/>
      <c r="Z1716" s="60"/>
    </row>
    <row r="1717" spans="1:26" ht="30" hidden="1" customHeight="1">
      <c r="A1717" s="98" t="s">
        <v>3403</v>
      </c>
      <c r="B1717" s="68" t="s">
        <v>3404</v>
      </c>
      <c r="C1717" s="99"/>
      <c r="D1717" s="96"/>
      <c r="E1717" s="53">
        <v>164741119.15000001</v>
      </c>
      <c r="F1717" s="53">
        <v>140738369.41</v>
      </c>
      <c r="G1717" s="96">
        <f t="shared" si="528"/>
        <v>24002749.739999998</v>
      </c>
      <c r="H1717" s="96"/>
      <c r="I1717" s="60"/>
      <c r="J1717" s="60"/>
      <c r="K1717" s="60"/>
      <c r="L1717" s="60"/>
      <c r="M1717" s="60"/>
      <c r="N1717" s="60"/>
      <c r="O1717" s="60"/>
      <c r="P1717" s="60"/>
      <c r="Q1717" s="60"/>
      <c r="R1717" s="60"/>
      <c r="S1717" s="60"/>
      <c r="T1717" s="60"/>
      <c r="U1717" s="60"/>
      <c r="V1717" s="60"/>
      <c r="W1717" s="60"/>
      <c r="X1717" s="60"/>
      <c r="Y1717" s="60"/>
      <c r="Z1717" s="60"/>
    </row>
    <row r="1718" spans="1:26" ht="30" hidden="1" customHeight="1">
      <c r="A1718" s="95" t="s">
        <v>3405</v>
      </c>
      <c r="B1718" s="68" t="s">
        <v>3406</v>
      </c>
      <c r="C1718" s="99"/>
      <c r="D1718" s="96"/>
      <c r="E1718" s="53"/>
      <c r="F1718" s="53"/>
      <c r="G1718" s="96">
        <f t="shared" si="528"/>
        <v>0</v>
      </c>
      <c r="H1718" s="96"/>
      <c r="I1718" s="60"/>
      <c r="J1718" s="60"/>
      <c r="K1718" s="60"/>
      <c r="L1718" s="60"/>
      <c r="M1718" s="60"/>
      <c r="N1718" s="60"/>
      <c r="O1718" s="60"/>
      <c r="P1718" s="60"/>
      <c r="Q1718" s="60"/>
      <c r="R1718" s="60"/>
      <c r="S1718" s="60"/>
      <c r="T1718" s="60"/>
      <c r="U1718" s="60"/>
      <c r="V1718" s="60"/>
      <c r="W1718" s="60"/>
      <c r="X1718" s="60"/>
      <c r="Y1718" s="60"/>
      <c r="Z1718" s="60"/>
    </row>
    <row r="1719" spans="1:26" ht="30" hidden="1" customHeight="1">
      <c r="A1719" s="98" t="s">
        <v>3407</v>
      </c>
      <c r="B1719" s="68" t="s">
        <v>3408</v>
      </c>
      <c r="C1719" s="99"/>
      <c r="D1719" s="96"/>
      <c r="E1719" s="53">
        <v>667152575.67999995</v>
      </c>
      <c r="F1719" s="53">
        <v>188299936.61000001</v>
      </c>
      <c r="G1719" s="96">
        <f t="shared" si="528"/>
        <v>478852639.06999999</v>
      </c>
      <c r="H1719" s="96"/>
      <c r="I1719" s="60"/>
      <c r="J1719" s="60"/>
      <c r="K1719" s="60"/>
      <c r="L1719" s="60"/>
      <c r="M1719" s="60"/>
      <c r="N1719" s="60"/>
      <c r="O1719" s="60"/>
      <c r="P1719" s="60"/>
      <c r="Q1719" s="60"/>
      <c r="R1719" s="60"/>
      <c r="S1719" s="60"/>
      <c r="T1719" s="60"/>
      <c r="U1719" s="60"/>
      <c r="V1719" s="60"/>
      <c r="W1719" s="60"/>
      <c r="X1719" s="60"/>
      <c r="Y1719" s="60"/>
      <c r="Z1719" s="60"/>
    </row>
    <row r="1720" spans="1:26" ht="30" hidden="1" customHeight="1">
      <c r="A1720" s="95" t="s">
        <v>3409</v>
      </c>
      <c r="B1720" s="68" t="s">
        <v>3410</v>
      </c>
      <c r="C1720" s="99"/>
      <c r="D1720" s="96"/>
      <c r="E1720" s="53"/>
      <c r="F1720" s="53"/>
      <c r="G1720" s="96">
        <f t="shared" si="528"/>
        <v>0</v>
      </c>
      <c r="H1720" s="96"/>
      <c r="I1720" s="60"/>
      <c r="J1720" s="60"/>
      <c r="K1720" s="60"/>
      <c r="L1720" s="60"/>
      <c r="M1720" s="60"/>
      <c r="N1720" s="60"/>
      <c r="O1720" s="60"/>
      <c r="P1720" s="60"/>
      <c r="Q1720" s="60"/>
      <c r="R1720" s="60"/>
      <c r="S1720" s="60"/>
      <c r="T1720" s="60"/>
      <c r="U1720" s="60"/>
      <c r="V1720" s="60"/>
      <c r="W1720" s="60"/>
      <c r="X1720" s="60"/>
      <c r="Y1720" s="60"/>
      <c r="Z1720" s="60"/>
    </row>
    <row r="1721" spans="1:26" ht="30" hidden="1" customHeight="1">
      <c r="A1721" s="98" t="s">
        <v>3411</v>
      </c>
      <c r="B1721" s="68" t="s">
        <v>3412</v>
      </c>
      <c r="C1721" s="99"/>
      <c r="D1721" s="96"/>
      <c r="E1721" s="53">
        <v>33946557.689999998</v>
      </c>
      <c r="F1721" s="53">
        <v>11830922.710000001</v>
      </c>
      <c r="G1721" s="96">
        <f t="shared" si="528"/>
        <v>22115634.98</v>
      </c>
      <c r="H1721" s="96"/>
      <c r="I1721" s="60"/>
      <c r="J1721" s="60"/>
      <c r="K1721" s="60"/>
      <c r="L1721" s="60"/>
      <c r="M1721" s="60"/>
      <c r="N1721" s="60"/>
      <c r="O1721" s="60"/>
      <c r="P1721" s="60"/>
      <c r="Q1721" s="60"/>
      <c r="R1721" s="60"/>
      <c r="S1721" s="60"/>
      <c r="T1721" s="60"/>
      <c r="U1721" s="60"/>
      <c r="V1721" s="60"/>
      <c r="W1721" s="60"/>
      <c r="X1721" s="60"/>
      <c r="Y1721" s="60"/>
      <c r="Z1721" s="60"/>
    </row>
    <row r="1722" spans="1:26" ht="30" hidden="1" customHeight="1">
      <c r="A1722" s="95" t="s">
        <v>3413</v>
      </c>
      <c r="B1722" s="68" t="s">
        <v>3414</v>
      </c>
      <c r="C1722" s="99"/>
      <c r="D1722" s="96"/>
      <c r="E1722" s="53"/>
      <c r="F1722" s="53"/>
      <c r="G1722" s="96">
        <f t="shared" si="528"/>
        <v>0</v>
      </c>
      <c r="H1722" s="96"/>
      <c r="I1722" s="60"/>
      <c r="J1722" s="60"/>
      <c r="K1722" s="60"/>
      <c r="L1722" s="60"/>
      <c r="M1722" s="60"/>
      <c r="N1722" s="60"/>
      <c r="O1722" s="60"/>
      <c r="P1722" s="60"/>
      <c r="Q1722" s="60"/>
      <c r="R1722" s="60"/>
      <c r="S1722" s="60"/>
      <c r="T1722" s="60"/>
      <c r="U1722" s="60"/>
      <c r="V1722" s="60"/>
      <c r="W1722" s="60"/>
      <c r="X1722" s="60"/>
      <c r="Y1722" s="60"/>
      <c r="Z1722" s="60"/>
    </row>
    <row r="1723" spans="1:26" ht="30" hidden="1" customHeight="1">
      <c r="A1723" s="98" t="s">
        <v>3415</v>
      </c>
      <c r="B1723" s="68" t="s">
        <v>3416</v>
      </c>
      <c r="C1723" s="99"/>
      <c r="D1723" s="96"/>
      <c r="E1723" s="53">
        <v>881060.02</v>
      </c>
      <c r="F1723" s="53">
        <v>188315.23</v>
      </c>
      <c r="G1723" s="96">
        <f t="shared" si="528"/>
        <v>692744.79</v>
      </c>
      <c r="H1723" s="96"/>
      <c r="I1723" s="60"/>
      <c r="J1723" s="60"/>
      <c r="K1723" s="60"/>
      <c r="L1723" s="60"/>
      <c r="M1723" s="60"/>
      <c r="N1723" s="60"/>
      <c r="O1723" s="60"/>
      <c r="P1723" s="60"/>
      <c r="Q1723" s="60"/>
      <c r="R1723" s="60"/>
      <c r="S1723" s="60"/>
      <c r="T1723" s="60"/>
      <c r="U1723" s="60"/>
      <c r="V1723" s="60"/>
      <c r="W1723" s="60"/>
      <c r="X1723" s="60"/>
      <c r="Y1723" s="60"/>
      <c r="Z1723" s="60"/>
    </row>
    <row r="1724" spans="1:26" ht="30" hidden="1" customHeight="1">
      <c r="A1724" s="95" t="s">
        <v>3417</v>
      </c>
      <c r="B1724" s="68" t="s">
        <v>3418</v>
      </c>
      <c r="C1724" s="99"/>
      <c r="D1724" s="96"/>
      <c r="E1724" s="53"/>
      <c r="F1724" s="53"/>
      <c r="G1724" s="96">
        <f t="shared" si="528"/>
        <v>0</v>
      </c>
      <c r="H1724" s="96"/>
      <c r="I1724" s="60"/>
      <c r="J1724" s="60"/>
      <c r="K1724" s="60"/>
      <c r="L1724" s="60"/>
      <c r="M1724" s="60"/>
      <c r="N1724" s="60"/>
      <c r="O1724" s="60"/>
      <c r="P1724" s="60"/>
      <c r="Q1724" s="60"/>
      <c r="R1724" s="60"/>
      <c r="S1724" s="60"/>
      <c r="T1724" s="60"/>
      <c r="U1724" s="60"/>
      <c r="V1724" s="60"/>
      <c r="W1724" s="60"/>
      <c r="X1724" s="60"/>
      <c r="Y1724" s="60"/>
      <c r="Z1724" s="60"/>
    </row>
    <row r="1725" spans="1:26" ht="30" hidden="1" customHeight="1">
      <c r="A1725" s="98" t="s">
        <v>3419</v>
      </c>
      <c r="B1725" s="68" t="s">
        <v>3420</v>
      </c>
      <c r="C1725" s="99"/>
      <c r="D1725" s="96"/>
      <c r="E1725" s="53">
        <v>12337833.77</v>
      </c>
      <c r="F1725" s="53">
        <v>5402975.3899999997</v>
      </c>
      <c r="G1725" s="96">
        <f t="shared" si="528"/>
        <v>6934858.3799999999</v>
      </c>
      <c r="H1725" s="96"/>
      <c r="I1725" s="60"/>
      <c r="J1725" s="60"/>
      <c r="K1725" s="60"/>
      <c r="L1725" s="60"/>
      <c r="M1725" s="60"/>
      <c r="N1725" s="60"/>
      <c r="O1725" s="60"/>
      <c r="P1725" s="60"/>
      <c r="Q1725" s="60"/>
      <c r="R1725" s="60"/>
      <c r="S1725" s="60"/>
      <c r="T1725" s="60"/>
      <c r="U1725" s="60"/>
      <c r="V1725" s="60"/>
      <c r="W1725" s="60"/>
      <c r="X1725" s="60"/>
      <c r="Y1725" s="60"/>
      <c r="Z1725" s="60"/>
    </row>
    <row r="1726" spans="1:26" ht="30" hidden="1" customHeight="1">
      <c r="A1726" s="95" t="s">
        <v>3421</v>
      </c>
      <c r="B1726" s="68" t="s">
        <v>3422</v>
      </c>
      <c r="C1726" s="99"/>
      <c r="D1726" s="96"/>
      <c r="E1726" s="53"/>
      <c r="F1726" s="53"/>
      <c r="G1726" s="96">
        <f t="shared" si="528"/>
        <v>0</v>
      </c>
      <c r="H1726" s="96"/>
      <c r="I1726" s="60"/>
      <c r="J1726" s="60"/>
      <c r="K1726" s="60"/>
      <c r="L1726" s="60"/>
      <c r="M1726" s="60"/>
      <c r="N1726" s="60"/>
      <c r="O1726" s="60"/>
      <c r="P1726" s="60"/>
      <c r="Q1726" s="60"/>
      <c r="R1726" s="60"/>
      <c r="S1726" s="60"/>
      <c r="T1726" s="60"/>
      <c r="U1726" s="60"/>
      <c r="V1726" s="60"/>
      <c r="W1726" s="60"/>
      <c r="X1726" s="60"/>
      <c r="Y1726" s="60"/>
      <c r="Z1726" s="60"/>
    </row>
    <row r="1727" spans="1:26" ht="30" hidden="1" customHeight="1">
      <c r="A1727" s="98" t="s">
        <v>3423</v>
      </c>
      <c r="B1727" s="68" t="s">
        <v>3424</v>
      </c>
      <c r="C1727" s="99"/>
      <c r="D1727" s="96"/>
      <c r="E1727" s="53">
        <v>476175776.69999999</v>
      </c>
      <c r="F1727" s="53">
        <v>273417618.41000003</v>
      </c>
      <c r="G1727" s="96">
        <f t="shared" si="528"/>
        <v>202758158.28999999</v>
      </c>
      <c r="H1727" s="96"/>
      <c r="I1727" s="60"/>
      <c r="J1727" s="60"/>
      <c r="K1727" s="60"/>
      <c r="L1727" s="60"/>
      <c r="M1727" s="60"/>
      <c r="N1727" s="60"/>
      <c r="O1727" s="60"/>
      <c r="P1727" s="60"/>
      <c r="Q1727" s="60"/>
      <c r="R1727" s="60"/>
      <c r="S1727" s="60"/>
      <c r="T1727" s="60"/>
      <c r="U1727" s="60"/>
      <c r="V1727" s="60"/>
      <c r="W1727" s="60"/>
      <c r="X1727" s="60"/>
      <c r="Y1727" s="60"/>
      <c r="Z1727" s="60"/>
    </row>
    <row r="1728" spans="1:26" ht="30" hidden="1" customHeight="1">
      <c r="A1728" s="95" t="s">
        <v>3425</v>
      </c>
      <c r="B1728" s="68" t="s">
        <v>3426</v>
      </c>
      <c r="C1728" s="99"/>
      <c r="D1728" s="96"/>
      <c r="E1728" s="53"/>
      <c r="F1728" s="53"/>
      <c r="G1728" s="96">
        <f t="shared" si="528"/>
        <v>0</v>
      </c>
      <c r="H1728" s="96"/>
      <c r="I1728" s="60"/>
      <c r="J1728" s="60"/>
      <c r="K1728" s="60"/>
      <c r="L1728" s="60"/>
      <c r="M1728" s="60"/>
      <c r="N1728" s="60"/>
      <c r="O1728" s="60"/>
      <c r="P1728" s="60"/>
      <c r="Q1728" s="60"/>
      <c r="R1728" s="60"/>
      <c r="S1728" s="60"/>
      <c r="T1728" s="60"/>
      <c r="U1728" s="60"/>
      <c r="V1728" s="60"/>
      <c r="W1728" s="60"/>
      <c r="X1728" s="60"/>
      <c r="Y1728" s="60"/>
      <c r="Z1728" s="60"/>
    </row>
    <row r="1729" spans="1:26" ht="30" hidden="1" customHeight="1">
      <c r="A1729" s="92" t="s">
        <v>3427</v>
      </c>
      <c r="B1729" s="101" t="s">
        <v>2635</v>
      </c>
      <c r="C1729" s="94"/>
      <c r="D1729" s="94"/>
      <c r="E1729" s="39">
        <f t="shared" ref="E1729:G1729" si="529">SUM(E1730:E1747)</f>
        <v>1257642846.1900001</v>
      </c>
      <c r="F1729" s="39">
        <f t="shared" si="529"/>
        <v>659923616.42000008</v>
      </c>
      <c r="G1729" s="39">
        <f t="shared" si="529"/>
        <v>597719229.76999998</v>
      </c>
      <c r="H1729" s="94"/>
      <c r="I1729" s="60"/>
      <c r="J1729" s="60"/>
      <c r="K1729" s="60"/>
      <c r="L1729" s="60"/>
      <c r="M1729" s="60"/>
      <c r="N1729" s="60"/>
      <c r="O1729" s="60"/>
      <c r="P1729" s="60"/>
      <c r="Q1729" s="60"/>
      <c r="R1729" s="60"/>
      <c r="S1729" s="60"/>
      <c r="T1729" s="60"/>
      <c r="U1729" s="60"/>
      <c r="V1729" s="60"/>
      <c r="W1729" s="60"/>
      <c r="X1729" s="60"/>
      <c r="Y1729" s="60"/>
      <c r="Z1729" s="60"/>
    </row>
    <row r="1730" spans="1:26" ht="30" hidden="1" customHeight="1">
      <c r="A1730" s="98" t="s">
        <v>3428</v>
      </c>
      <c r="B1730" s="68" t="s">
        <v>3429</v>
      </c>
      <c r="C1730" s="99"/>
      <c r="D1730" s="96"/>
      <c r="E1730" s="53"/>
      <c r="F1730" s="53"/>
      <c r="G1730" s="96">
        <f t="shared" ref="G1730:G1747" si="530">ROUND(E1730-F1730,2)</f>
        <v>0</v>
      </c>
      <c r="H1730" s="96"/>
      <c r="I1730" s="60"/>
      <c r="J1730" s="60"/>
      <c r="K1730" s="60"/>
      <c r="L1730" s="60"/>
      <c r="M1730" s="60"/>
      <c r="N1730" s="60"/>
      <c r="O1730" s="60"/>
      <c r="P1730" s="60"/>
      <c r="Q1730" s="60"/>
      <c r="R1730" s="60"/>
      <c r="S1730" s="60"/>
      <c r="T1730" s="60"/>
      <c r="U1730" s="60"/>
      <c r="V1730" s="60"/>
      <c r="W1730" s="60"/>
      <c r="X1730" s="60"/>
      <c r="Y1730" s="60"/>
      <c r="Z1730" s="60"/>
    </row>
    <row r="1731" spans="1:26" ht="30" hidden="1" customHeight="1">
      <c r="A1731" s="95" t="s">
        <v>3430</v>
      </c>
      <c r="B1731" s="68" t="s">
        <v>3431</v>
      </c>
      <c r="C1731" s="99"/>
      <c r="D1731" s="96"/>
      <c r="E1731" s="53"/>
      <c r="F1731" s="53"/>
      <c r="G1731" s="96">
        <f t="shared" si="530"/>
        <v>0</v>
      </c>
      <c r="H1731" s="96"/>
      <c r="I1731" s="60"/>
      <c r="J1731" s="60"/>
      <c r="K1731" s="60"/>
      <c r="L1731" s="60"/>
      <c r="M1731" s="60"/>
      <c r="N1731" s="60"/>
      <c r="O1731" s="60"/>
      <c r="P1731" s="60"/>
      <c r="Q1731" s="60"/>
      <c r="R1731" s="60"/>
      <c r="S1731" s="60"/>
      <c r="T1731" s="60"/>
      <c r="U1731" s="60"/>
      <c r="V1731" s="60"/>
      <c r="W1731" s="60"/>
      <c r="X1731" s="60"/>
      <c r="Y1731" s="60"/>
      <c r="Z1731" s="60"/>
    </row>
    <row r="1732" spans="1:26" ht="30" hidden="1" customHeight="1">
      <c r="A1732" s="98" t="s">
        <v>3432</v>
      </c>
      <c r="B1732" s="68" t="s">
        <v>3433</v>
      </c>
      <c r="C1732" s="99"/>
      <c r="D1732" s="96"/>
      <c r="E1732" s="53">
        <v>940378549.5</v>
      </c>
      <c r="F1732" s="53">
        <v>460311701.51999998</v>
      </c>
      <c r="G1732" s="96">
        <f t="shared" si="530"/>
        <v>480066847.98000002</v>
      </c>
      <c r="H1732" s="96"/>
      <c r="I1732" s="60"/>
      <c r="J1732" s="60"/>
      <c r="K1732" s="60"/>
      <c r="L1732" s="60"/>
      <c r="M1732" s="60"/>
      <c r="N1732" s="60"/>
      <c r="O1732" s="60"/>
      <c r="P1732" s="60"/>
      <c r="Q1732" s="60"/>
      <c r="R1732" s="60"/>
      <c r="S1732" s="60"/>
      <c r="T1732" s="60"/>
      <c r="U1732" s="60"/>
      <c r="V1732" s="60"/>
      <c r="W1732" s="60"/>
      <c r="X1732" s="60"/>
      <c r="Y1732" s="60"/>
      <c r="Z1732" s="60"/>
    </row>
    <row r="1733" spans="1:26" ht="30" hidden="1" customHeight="1">
      <c r="A1733" s="95" t="s">
        <v>3434</v>
      </c>
      <c r="B1733" s="68" t="s">
        <v>3435</v>
      </c>
      <c r="C1733" s="99"/>
      <c r="D1733" s="96"/>
      <c r="E1733" s="53"/>
      <c r="F1733" s="53"/>
      <c r="G1733" s="96">
        <f t="shared" si="530"/>
        <v>0</v>
      </c>
      <c r="H1733" s="96"/>
      <c r="I1733" s="60"/>
      <c r="J1733" s="60"/>
      <c r="K1733" s="60"/>
      <c r="L1733" s="60"/>
      <c r="M1733" s="60"/>
      <c r="N1733" s="60"/>
      <c r="O1733" s="60"/>
      <c r="P1733" s="60"/>
      <c r="Q1733" s="60"/>
      <c r="R1733" s="60"/>
      <c r="S1733" s="60"/>
      <c r="T1733" s="60"/>
      <c r="U1733" s="60"/>
      <c r="V1733" s="60"/>
      <c r="W1733" s="60"/>
      <c r="X1733" s="60"/>
      <c r="Y1733" s="60"/>
      <c r="Z1733" s="60"/>
    </row>
    <row r="1734" spans="1:26" ht="30" hidden="1" customHeight="1">
      <c r="A1734" s="98" t="s">
        <v>3436</v>
      </c>
      <c r="B1734" s="68" t="s">
        <v>3437</v>
      </c>
      <c r="C1734" s="99"/>
      <c r="D1734" s="96"/>
      <c r="E1734" s="53">
        <v>41970000</v>
      </c>
      <c r="F1734" s="53">
        <v>41970000</v>
      </c>
      <c r="G1734" s="96">
        <f t="shared" si="530"/>
        <v>0</v>
      </c>
      <c r="H1734" s="96"/>
      <c r="I1734" s="60"/>
      <c r="J1734" s="60"/>
      <c r="K1734" s="60"/>
      <c r="L1734" s="60"/>
      <c r="M1734" s="60"/>
      <c r="N1734" s="60"/>
      <c r="O1734" s="60"/>
      <c r="P1734" s="60"/>
      <c r="Q1734" s="60"/>
      <c r="R1734" s="60"/>
      <c r="S1734" s="60"/>
      <c r="T1734" s="60"/>
      <c r="U1734" s="60"/>
      <c r="V1734" s="60"/>
      <c r="W1734" s="60"/>
      <c r="X1734" s="60"/>
      <c r="Y1734" s="60"/>
      <c r="Z1734" s="60"/>
    </row>
    <row r="1735" spans="1:26" ht="30" hidden="1" customHeight="1">
      <c r="A1735" s="95" t="s">
        <v>3438</v>
      </c>
      <c r="B1735" s="68" t="s">
        <v>3439</v>
      </c>
      <c r="C1735" s="99"/>
      <c r="D1735" s="96"/>
      <c r="E1735" s="53"/>
      <c r="F1735" s="53"/>
      <c r="G1735" s="96">
        <f t="shared" si="530"/>
        <v>0</v>
      </c>
      <c r="H1735" s="96"/>
      <c r="I1735" s="60"/>
      <c r="J1735" s="60"/>
      <c r="K1735" s="60"/>
      <c r="L1735" s="60"/>
      <c r="M1735" s="60"/>
      <c r="N1735" s="60"/>
      <c r="O1735" s="60"/>
      <c r="P1735" s="60"/>
      <c r="Q1735" s="60"/>
      <c r="R1735" s="60"/>
      <c r="S1735" s="60"/>
      <c r="T1735" s="60"/>
      <c r="U1735" s="60"/>
      <c r="V1735" s="60"/>
      <c r="W1735" s="60"/>
      <c r="X1735" s="60"/>
      <c r="Y1735" s="60"/>
      <c r="Z1735" s="60"/>
    </row>
    <row r="1736" spans="1:26" ht="30" hidden="1" customHeight="1">
      <c r="A1736" s="98" t="s">
        <v>3440</v>
      </c>
      <c r="B1736" s="68" t="s">
        <v>3441</v>
      </c>
      <c r="C1736" s="99"/>
      <c r="D1736" s="96"/>
      <c r="E1736" s="53">
        <v>153188850.11000001</v>
      </c>
      <c r="F1736" s="53">
        <v>36856468.32</v>
      </c>
      <c r="G1736" s="96">
        <f t="shared" si="530"/>
        <v>116332381.79000001</v>
      </c>
      <c r="H1736" s="96"/>
      <c r="I1736" s="60"/>
      <c r="J1736" s="60"/>
      <c r="K1736" s="60"/>
      <c r="L1736" s="60"/>
      <c r="M1736" s="60"/>
      <c r="N1736" s="60"/>
      <c r="O1736" s="60"/>
      <c r="P1736" s="60"/>
      <c r="Q1736" s="60"/>
      <c r="R1736" s="60"/>
      <c r="S1736" s="60"/>
      <c r="T1736" s="60"/>
      <c r="U1736" s="60"/>
      <c r="V1736" s="60"/>
      <c r="W1736" s="60"/>
      <c r="X1736" s="60"/>
      <c r="Y1736" s="60"/>
      <c r="Z1736" s="60"/>
    </row>
    <row r="1737" spans="1:26" ht="30" hidden="1" customHeight="1">
      <c r="A1737" s="95" t="s">
        <v>3442</v>
      </c>
      <c r="B1737" s="68" t="s">
        <v>3443</v>
      </c>
      <c r="C1737" s="99"/>
      <c r="D1737" s="96"/>
      <c r="E1737" s="53"/>
      <c r="F1737" s="53"/>
      <c r="G1737" s="96">
        <f t="shared" si="530"/>
        <v>0</v>
      </c>
      <c r="H1737" s="96"/>
      <c r="I1737" s="60"/>
      <c r="J1737" s="60"/>
      <c r="K1737" s="60"/>
      <c r="L1737" s="60"/>
      <c r="M1737" s="60"/>
      <c r="N1737" s="60"/>
      <c r="O1737" s="60"/>
      <c r="P1737" s="60"/>
      <c r="Q1737" s="60"/>
      <c r="R1737" s="60"/>
      <c r="S1737" s="60"/>
      <c r="T1737" s="60"/>
      <c r="U1737" s="60"/>
      <c r="V1737" s="60"/>
      <c r="W1737" s="60"/>
      <c r="X1737" s="60"/>
      <c r="Y1737" s="60"/>
      <c r="Z1737" s="60"/>
    </row>
    <row r="1738" spans="1:26" ht="30" hidden="1" customHeight="1">
      <c r="A1738" s="98" t="s">
        <v>3444</v>
      </c>
      <c r="B1738" s="68" t="s">
        <v>3445</v>
      </c>
      <c r="C1738" s="99"/>
      <c r="D1738" s="96"/>
      <c r="E1738" s="53"/>
      <c r="F1738" s="53"/>
      <c r="G1738" s="96">
        <f t="shared" si="530"/>
        <v>0</v>
      </c>
      <c r="H1738" s="96"/>
      <c r="I1738" s="60"/>
      <c r="J1738" s="60"/>
      <c r="K1738" s="60"/>
      <c r="L1738" s="60"/>
      <c r="M1738" s="60"/>
      <c r="N1738" s="60"/>
      <c r="O1738" s="60"/>
      <c r="P1738" s="60"/>
      <c r="Q1738" s="60"/>
      <c r="R1738" s="60"/>
      <c r="S1738" s="60"/>
      <c r="T1738" s="60"/>
      <c r="U1738" s="60"/>
      <c r="V1738" s="60"/>
      <c r="W1738" s="60"/>
      <c r="X1738" s="60"/>
      <c r="Y1738" s="60"/>
      <c r="Z1738" s="60"/>
    </row>
    <row r="1739" spans="1:26" ht="30" hidden="1" customHeight="1">
      <c r="A1739" s="95" t="s">
        <v>3446</v>
      </c>
      <c r="B1739" s="68" t="s">
        <v>3447</v>
      </c>
      <c r="C1739" s="99"/>
      <c r="D1739" s="96"/>
      <c r="E1739" s="53"/>
      <c r="F1739" s="53"/>
      <c r="G1739" s="96">
        <f t="shared" si="530"/>
        <v>0</v>
      </c>
      <c r="H1739" s="96"/>
      <c r="I1739" s="60"/>
      <c r="J1739" s="60"/>
      <c r="K1739" s="60"/>
      <c r="L1739" s="60"/>
      <c r="M1739" s="60"/>
      <c r="N1739" s="60"/>
      <c r="O1739" s="60"/>
      <c r="P1739" s="60"/>
      <c r="Q1739" s="60"/>
      <c r="R1739" s="60"/>
      <c r="S1739" s="60"/>
      <c r="T1739" s="60"/>
      <c r="U1739" s="60"/>
      <c r="V1739" s="60"/>
      <c r="W1739" s="60"/>
      <c r="X1739" s="60"/>
      <c r="Y1739" s="60"/>
      <c r="Z1739" s="60"/>
    </row>
    <row r="1740" spans="1:26" ht="30" hidden="1" customHeight="1">
      <c r="A1740" s="98" t="s">
        <v>3448</v>
      </c>
      <c r="B1740" s="68" t="s">
        <v>3449</v>
      </c>
      <c r="C1740" s="99"/>
      <c r="D1740" s="96"/>
      <c r="E1740" s="53">
        <v>122105446.58</v>
      </c>
      <c r="F1740" s="53">
        <v>120785446.58</v>
      </c>
      <c r="G1740" s="96">
        <f t="shared" si="530"/>
        <v>1320000</v>
      </c>
      <c r="H1740" s="96"/>
      <c r="I1740" s="60"/>
      <c r="J1740" s="60"/>
      <c r="K1740" s="60"/>
      <c r="L1740" s="60"/>
      <c r="M1740" s="60"/>
      <c r="N1740" s="60"/>
      <c r="O1740" s="60"/>
      <c r="P1740" s="60"/>
      <c r="Q1740" s="60"/>
      <c r="R1740" s="60"/>
      <c r="S1740" s="60"/>
      <c r="T1740" s="60"/>
      <c r="U1740" s="60"/>
      <c r="V1740" s="60"/>
      <c r="W1740" s="60"/>
      <c r="X1740" s="60"/>
      <c r="Y1740" s="60"/>
      <c r="Z1740" s="60"/>
    </row>
    <row r="1741" spans="1:26" ht="30" hidden="1" customHeight="1">
      <c r="A1741" s="95" t="s">
        <v>3450</v>
      </c>
      <c r="B1741" s="68" t="s">
        <v>3451</v>
      </c>
      <c r="C1741" s="99"/>
      <c r="D1741" s="96"/>
      <c r="E1741" s="53"/>
      <c r="F1741" s="53"/>
      <c r="G1741" s="96">
        <f t="shared" si="530"/>
        <v>0</v>
      </c>
      <c r="H1741" s="96"/>
      <c r="I1741" s="60"/>
      <c r="J1741" s="60"/>
      <c r="K1741" s="60"/>
      <c r="L1741" s="60"/>
      <c r="M1741" s="60"/>
      <c r="N1741" s="60"/>
      <c r="O1741" s="60"/>
      <c r="P1741" s="60"/>
      <c r="Q1741" s="60"/>
      <c r="R1741" s="60"/>
      <c r="S1741" s="60"/>
      <c r="T1741" s="60"/>
      <c r="U1741" s="60"/>
      <c r="V1741" s="60"/>
      <c r="W1741" s="60"/>
      <c r="X1741" s="60"/>
      <c r="Y1741" s="60"/>
      <c r="Z1741" s="60"/>
    </row>
    <row r="1742" spans="1:26" ht="30" hidden="1" customHeight="1">
      <c r="A1742" s="98" t="s">
        <v>3452</v>
      </c>
      <c r="B1742" s="68" t="s">
        <v>3453</v>
      </c>
      <c r="C1742" s="99"/>
      <c r="D1742" s="96"/>
      <c r="E1742" s="53"/>
      <c r="F1742" s="53"/>
      <c r="G1742" s="96">
        <f t="shared" si="530"/>
        <v>0</v>
      </c>
      <c r="H1742" s="96"/>
      <c r="I1742" s="60"/>
      <c r="J1742" s="60"/>
      <c r="K1742" s="60"/>
      <c r="L1742" s="60"/>
      <c r="M1742" s="60"/>
      <c r="N1742" s="60"/>
      <c r="O1742" s="60"/>
      <c r="P1742" s="60"/>
      <c r="Q1742" s="60"/>
      <c r="R1742" s="60"/>
      <c r="S1742" s="60"/>
      <c r="T1742" s="60"/>
      <c r="U1742" s="60"/>
      <c r="V1742" s="60"/>
      <c r="W1742" s="60"/>
      <c r="X1742" s="60"/>
      <c r="Y1742" s="60"/>
      <c r="Z1742" s="60"/>
    </row>
    <row r="1743" spans="1:26" ht="30" hidden="1" customHeight="1">
      <c r="A1743" s="95" t="s">
        <v>3454</v>
      </c>
      <c r="B1743" s="68" t="s">
        <v>3455</v>
      </c>
      <c r="C1743" s="99"/>
      <c r="D1743" s="96"/>
      <c r="E1743" s="53"/>
      <c r="F1743" s="53"/>
      <c r="G1743" s="96">
        <f t="shared" si="530"/>
        <v>0</v>
      </c>
      <c r="H1743" s="96"/>
      <c r="I1743" s="60"/>
      <c r="J1743" s="60"/>
      <c r="K1743" s="60"/>
      <c r="L1743" s="60"/>
      <c r="M1743" s="60"/>
      <c r="N1743" s="60"/>
      <c r="O1743" s="60"/>
      <c r="P1743" s="60"/>
      <c r="Q1743" s="60"/>
      <c r="R1743" s="60"/>
      <c r="S1743" s="60"/>
      <c r="T1743" s="60"/>
      <c r="U1743" s="60"/>
      <c r="V1743" s="60"/>
      <c r="W1743" s="60"/>
      <c r="X1743" s="60"/>
      <c r="Y1743" s="60"/>
      <c r="Z1743" s="60"/>
    </row>
    <row r="1744" spans="1:26" ht="30" hidden="1" customHeight="1">
      <c r="A1744" s="98" t="s">
        <v>3456</v>
      </c>
      <c r="B1744" s="68" t="s">
        <v>3457</v>
      </c>
      <c r="C1744" s="99"/>
      <c r="D1744" s="96"/>
      <c r="E1744" s="53"/>
      <c r="F1744" s="53"/>
      <c r="G1744" s="96">
        <f t="shared" si="530"/>
        <v>0</v>
      </c>
      <c r="H1744" s="96"/>
      <c r="I1744" s="60"/>
      <c r="J1744" s="60"/>
      <c r="K1744" s="60"/>
      <c r="L1744" s="60"/>
      <c r="M1744" s="60"/>
      <c r="N1744" s="60"/>
      <c r="O1744" s="60"/>
      <c r="P1744" s="60"/>
      <c r="Q1744" s="60"/>
      <c r="R1744" s="60"/>
      <c r="S1744" s="60"/>
      <c r="T1744" s="60"/>
      <c r="U1744" s="60"/>
      <c r="V1744" s="60"/>
      <c r="W1744" s="60"/>
      <c r="X1744" s="60"/>
      <c r="Y1744" s="60"/>
      <c r="Z1744" s="60"/>
    </row>
    <row r="1745" spans="1:26" ht="30" hidden="1" customHeight="1">
      <c r="A1745" s="95" t="s">
        <v>3458</v>
      </c>
      <c r="B1745" s="68" t="s">
        <v>3459</v>
      </c>
      <c r="C1745" s="99"/>
      <c r="D1745" s="96"/>
      <c r="E1745" s="53"/>
      <c r="F1745" s="53"/>
      <c r="G1745" s="96">
        <f t="shared" si="530"/>
        <v>0</v>
      </c>
      <c r="H1745" s="96"/>
      <c r="I1745" s="60"/>
      <c r="J1745" s="60"/>
      <c r="K1745" s="60"/>
      <c r="L1745" s="60"/>
      <c r="M1745" s="60"/>
      <c r="N1745" s="60"/>
      <c r="O1745" s="60"/>
      <c r="P1745" s="60"/>
      <c r="Q1745" s="60"/>
      <c r="R1745" s="60"/>
      <c r="S1745" s="60"/>
      <c r="T1745" s="60"/>
      <c r="U1745" s="60"/>
      <c r="V1745" s="60"/>
      <c r="W1745" s="60"/>
      <c r="X1745" s="60"/>
      <c r="Y1745" s="60"/>
      <c r="Z1745" s="60"/>
    </row>
    <row r="1746" spans="1:26" ht="30" hidden="1" customHeight="1">
      <c r="A1746" s="98" t="s">
        <v>3460</v>
      </c>
      <c r="B1746" s="68" t="s">
        <v>3461</v>
      </c>
      <c r="C1746" s="99"/>
      <c r="D1746" s="96"/>
      <c r="E1746" s="53"/>
      <c r="F1746" s="53"/>
      <c r="G1746" s="96">
        <f t="shared" si="530"/>
        <v>0</v>
      </c>
      <c r="H1746" s="96"/>
      <c r="I1746" s="60"/>
      <c r="J1746" s="60"/>
      <c r="K1746" s="60"/>
      <c r="L1746" s="60"/>
      <c r="M1746" s="60"/>
      <c r="N1746" s="60"/>
      <c r="O1746" s="60"/>
      <c r="P1746" s="60"/>
      <c r="Q1746" s="60"/>
      <c r="R1746" s="60"/>
      <c r="S1746" s="60"/>
      <c r="T1746" s="60"/>
      <c r="U1746" s="60"/>
      <c r="V1746" s="60"/>
      <c r="W1746" s="60"/>
      <c r="X1746" s="60"/>
      <c r="Y1746" s="60"/>
      <c r="Z1746" s="60"/>
    </row>
    <row r="1747" spans="1:26" ht="30" hidden="1" customHeight="1">
      <c r="A1747" s="95" t="s">
        <v>3462</v>
      </c>
      <c r="B1747" s="68" t="s">
        <v>3463</v>
      </c>
      <c r="C1747" s="99"/>
      <c r="D1747" s="96"/>
      <c r="E1747" s="53"/>
      <c r="F1747" s="53"/>
      <c r="G1747" s="96">
        <f t="shared" si="530"/>
        <v>0</v>
      </c>
      <c r="H1747" s="96"/>
      <c r="I1747" s="60"/>
      <c r="J1747" s="60"/>
      <c r="K1747" s="60"/>
      <c r="L1747" s="60"/>
      <c r="M1747" s="60"/>
      <c r="N1747" s="60"/>
      <c r="O1747" s="60"/>
      <c r="P1747" s="60"/>
      <c r="Q1747" s="60"/>
      <c r="R1747" s="60"/>
      <c r="S1747" s="60"/>
      <c r="T1747" s="60"/>
      <c r="U1747" s="60"/>
      <c r="V1747" s="60"/>
      <c r="W1747" s="60"/>
      <c r="X1747" s="60"/>
      <c r="Y1747" s="60"/>
      <c r="Z1747" s="60"/>
    </row>
    <row r="1748" spans="1:26" ht="30" hidden="1" customHeight="1">
      <c r="A1748" s="92" t="s">
        <v>3464</v>
      </c>
      <c r="B1748" s="101" t="s">
        <v>2673</v>
      </c>
      <c r="C1748" s="94"/>
      <c r="D1748" s="94"/>
      <c r="E1748" s="39">
        <f t="shared" ref="E1748:G1748" si="531">SUM(E1749:E1766)</f>
        <v>435573600.08000004</v>
      </c>
      <c r="F1748" s="39">
        <f t="shared" si="531"/>
        <v>86480925.650000006</v>
      </c>
      <c r="G1748" s="39">
        <f t="shared" si="531"/>
        <v>349092674.42999995</v>
      </c>
      <c r="H1748" s="94"/>
      <c r="I1748" s="60"/>
      <c r="J1748" s="60"/>
      <c r="K1748" s="60"/>
      <c r="L1748" s="60"/>
      <c r="M1748" s="60"/>
      <c r="N1748" s="60"/>
      <c r="O1748" s="60"/>
      <c r="P1748" s="60"/>
      <c r="Q1748" s="60"/>
      <c r="R1748" s="60"/>
      <c r="S1748" s="60"/>
      <c r="T1748" s="60"/>
      <c r="U1748" s="60"/>
      <c r="V1748" s="60"/>
      <c r="W1748" s="60"/>
      <c r="X1748" s="60"/>
      <c r="Y1748" s="60"/>
      <c r="Z1748" s="60"/>
    </row>
    <row r="1749" spans="1:26" ht="30" hidden="1" customHeight="1">
      <c r="A1749" s="98" t="s">
        <v>3465</v>
      </c>
      <c r="B1749" s="68" t="s">
        <v>3466</v>
      </c>
      <c r="C1749" s="99"/>
      <c r="D1749" s="96"/>
      <c r="E1749" s="53">
        <v>3707500.74</v>
      </c>
      <c r="F1749" s="53">
        <v>30232.95</v>
      </c>
      <c r="G1749" s="96">
        <f t="shared" ref="G1749:G1766" si="532">ROUND(E1749-F1749,2)</f>
        <v>3677267.79</v>
      </c>
      <c r="H1749" s="96"/>
      <c r="I1749" s="60"/>
      <c r="J1749" s="60"/>
      <c r="K1749" s="60"/>
      <c r="L1749" s="60"/>
      <c r="M1749" s="60"/>
      <c r="N1749" s="60"/>
      <c r="O1749" s="60"/>
      <c r="P1749" s="60"/>
      <c r="Q1749" s="60"/>
      <c r="R1749" s="60"/>
      <c r="S1749" s="60"/>
      <c r="T1749" s="60"/>
      <c r="U1749" s="60"/>
      <c r="V1749" s="60"/>
      <c r="W1749" s="60"/>
      <c r="X1749" s="60"/>
      <c r="Y1749" s="60"/>
      <c r="Z1749" s="60"/>
    </row>
    <row r="1750" spans="1:26" ht="30" hidden="1" customHeight="1">
      <c r="A1750" s="95" t="s">
        <v>3467</v>
      </c>
      <c r="B1750" s="68" t="s">
        <v>3468</v>
      </c>
      <c r="C1750" s="99"/>
      <c r="D1750" s="96"/>
      <c r="E1750" s="53"/>
      <c r="F1750" s="53"/>
      <c r="G1750" s="96">
        <f t="shared" si="532"/>
        <v>0</v>
      </c>
      <c r="H1750" s="96"/>
      <c r="I1750" s="60"/>
      <c r="J1750" s="60"/>
      <c r="K1750" s="60"/>
      <c r="L1750" s="60"/>
      <c r="M1750" s="60"/>
      <c r="N1750" s="60"/>
      <c r="O1750" s="60"/>
      <c r="P1750" s="60"/>
      <c r="Q1750" s="60"/>
      <c r="R1750" s="60"/>
      <c r="S1750" s="60"/>
      <c r="T1750" s="60"/>
      <c r="U1750" s="60"/>
      <c r="V1750" s="60"/>
      <c r="W1750" s="60"/>
      <c r="X1750" s="60"/>
      <c r="Y1750" s="60"/>
      <c r="Z1750" s="60"/>
    </row>
    <row r="1751" spans="1:26" ht="30" hidden="1" customHeight="1">
      <c r="A1751" s="98" t="s">
        <v>3469</v>
      </c>
      <c r="B1751" s="68" t="s">
        <v>3470</v>
      </c>
      <c r="C1751" s="99"/>
      <c r="D1751" s="96"/>
      <c r="E1751" s="53">
        <v>30017.64</v>
      </c>
      <c r="F1751" s="53">
        <v>4842.42</v>
      </c>
      <c r="G1751" s="96">
        <f t="shared" si="532"/>
        <v>25175.22</v>
      </c>
      <c r="H1751" s="96"/>
      <c r="I1751" s="60"/>
      <c r="J1751" s="60"/>
      <c r="K1751" s="60"/>
      <c r="L1751" s="60"/>
      <c r="M1751" s="60"/>
      <c r="N1751" s="60"/>
      <c r="O1751" s="60"/>
      <c r="P1751" s="60"/>
      <c r="Q1751" s="60"/>
      <c r="R1751" s="60"/>
      <c r="S1751" s="60"/>
      <c r="T1751" s="60"/>
      <c r="U1751" s="60"/>
      <c r="V1751" s="60"/>
      <c r="W1751" s="60"/>
      <c r="X1751" s="60"/>
      <c r="Y1751" s="60"/>
      <c r="Z1751" s="60"/>
    </row>
    <row r="1752" spans="1:26" ht="30" hidden="1" customHeight="1">
      <c r="A1752" s="95" t="s">
        <v>3471</v>
      </c>
      <c r="B1752" s="68" t="s">
        <v>3472</v>
      </c>
      <c r="C1752" s="99"/>
      <c r="D1752" s="96"/>
      <c r="E1752" s="53"/>
      <c r="F1752" s="53"/>
      <c r="G1752" s="96">
        <f t="shared" si="532"/>
        <v>0</v>
      </c>
      <c r="H1752" s="96"/>
      <c r="I1752" s="60"/>
      <c r="J1752" s="60"/>
      <c r="K1752" s="60"/>
      <c r="L1752" s="60"/>
      <c r="M1752" s="60"/>
      <c r="N1752" s="60"/>
      <c r="O1752" s="60"/>
      <c r="P1752" s="60"/>
      <c r="Q1752" s="60"/>
      <c r="R1752" s="60"/>
      <c r="S1752" s="60"/>
      <c r="T1752" s="60"/>
      <c r="U1752" s="60"/>
      <c r="V1752" s="60"/>
      <c r="W1752" s="60"/>
      <c r="X1752" s="60"/>
      <c r="Y1752" s="60"/>
      <c r="Z1752" s="60"/>
    </row>
    <row r="1753" spans="1:26" ht="30" hidden="1" customHeight="1">
      <c r="A1753" s="98" t="s">
        <v>3473</v>
      </c>
      <c r="B1753" s="68" t="s">
        <v>3474</v>
      </c>
      <c r="C1753" s="99"/>
      <c r="D1753" s="96"/>
      <c r="E1753" s="53">
        <v>38253087.030000001</v>
      </c>
      <c r="F1753" s="53">
        <v>0</v>
      </c>
      <c r="G1753" s="96">
        <f t="shared" si="532"/>
        <v>38253087.030000001</v>
      </c>
      <c r="H1753" s="96"/>
      <c r="I1753" s="60"/>
      <c r="J1753" s="60"/>
      <c r="K1753" s="60"/>
      <c r="L1753" s="60"/>
      <c r="M1753" s="60"/>
      <c r="N1753" s="60"/>
      <c r="O1753" s="60"/>
      <c r="P1753" s="60"/>
      <c r="Q1753" s="60"/>
      <c r="R1753" s="60"/>
      <c r="S1753" s="60"/>
      <c r="T1753" s="60"/>
      <c r="U1753" s="60"/>
      <c r="V1753" s="60"/>
      <c r="W1753" s="60"/>
      <c r="X1753" s="60"/>
      <c r="Y1753" s="60"/>
      <c r="Z1753" s="60"/>
    </row>
    <row r="1754" spans="1:26" ht="30" hidden="1" customHeight="1">
      <c r="A1754" s="95" t="s">
        <v>3475</v>
      </c>
      <c r="B1754" s="68" t="s">
        <v>3476</v>
      </c>
      <c r="C1754" s="99"/>
      <c r="D1754" s="96"/>
      <c r="E1754" s="53"/>
      <c r="F1754" s="53"/>
      <c r="G1754" s="96">
        <f t="shared" si="532"/>
        <v>0</v>
      </c>
      <c r="H1754" s="96"/>
      <c r="I1754" s="60"/>
      <c r="J1754" s="60"/>
      <c r="K1754" s="60"/>
      <c r="L1754" s="60"/>
      <c r="M1754" s="60"/>
      <c r="N1754" s="60"/>
      <c r="O1754" s="60"/>
      <c r="P1754" s="60"/>
      <c r="Q1754" s="60"/>
      <c r="R1754" s="60"/>
      <c r="S1754" s="60"/>
      <c r="T1754" s="60"/>
      <c r="U1754" s="60"/>
      <c r="V1754" s="60"/>
      <c r="W1754" s="60"/>
      <c r="X1754" s="60"/>
      <c r="Y1754" s="60"/>
      <c r="Z1754" s="60"/>
    </row>
    <row r="1755" spans="1:26" ht="30" hidden="1" customHeight="1">
      <c r="A1755" s="98" t="s">
        <v>3477</v>
      </c>
      <c r="B1755" s="68" t="s">
        <v>3478</v>
      </c>
      <c r="C1755" s="99"/>
      <c r="D1755" s="96"/>
      <c r="E1755" s="53">
        <v>302801258.22000003</v>
      </c>
      <c r="F1755" s="53">
        <v>44665439.490000002</v>
      </c>
      <c r="G1755" s="96">
        <f t="shared" si="532"/>
        <v>258135818.72999999</v>
      </c>
      <c r="H1755" s="96"/>
      <c r="I1755" s="60"/>
      <c r="J1755" s="60"/>
      <c r="K1755" s="60"/>
      <c r="L1755" s="60"/>
      <c r="M1755" s="60"/>
      <c r="N1755" s="60"/>
      <c r="O1755" s="60"/>
      <c r="P1755" s="60"/>
      <c r="Q1755" s="60"/>
      <c r="R1755" s="60"/>
      <c r="S1755" s="60"/>
      <c r="T1755" s="60"/>
      <c r="U1755" s="60"/>
      <c r="V1755" s="60"/>
      <c r="W1755" s="60"/>
      <c r="X1755" s="60"/>
      <c r="Y1755" s="60"/>
      <c r="Z1755" s="60"/>
    </row>
    <row r="1756" spans="1:26" ht="30" hidden="1" customHeight="1">
      <c r="A1756" s="95" t="s">
        <v>3479</v>
      </c>
      <c r="B1756" s="68" t="s">
        <v>3480</v>
      </c>
      <c r="C1756" s="99"/>
      <c r="D1756" s="96"/>
      <c r="E1756" s="53"/>
      <c r="F1756" s="53"/>
      <c r="G1756" s="96">
        <f t="shared" si="532"/>
        <v>0</v>
      </c>
      <c r="H1756" s="96"/>
      <c r="I1756" s="60"/>
      <c r="J1756" s="60"/>
      <c r="K1756" s="60"/>
      <c r="L1756" s="60"/>
      <c r="M1756" s="60"/>
      <c r="N1756" s="60"/>
      <c r="O1756" s="60"/>
      <c r="P1756" s="60"/>
      <c r="Q1756" s="60"/>
      <c r="R1756" s="60"/>
      <c r="S1756" s="60"/>
      <c r="T1756" s="60"/>
      <c r="U1756" s="60"/>
      <c r="V1756" s="60"/>
      <c r="W1756" s="60"/>
      <c r="X1756" s="60"/>
      <c r="Y1756" s="60"/>
      <c r="Z1756" s="60"/>
    </row>
    <row r="1757" spans="1:26" ht="30" hidden="1" customHeight="1">
      <c r="A1757" s="98" t="s">
        <v>3481</v>
      </c>
      <c r="B1757" s="68" t="s">
        <v>3482</v>
      </c>
      <c r="C1757" s="99"/>
      <c r="D1757" s="96"/>
      <c r="E1757" s="53">
        <v>10507501.130000001</v>
      </c>
      <c r="F1757" s="53">
        <v>10507501.130000001</v>
      </c>
      <c r="G1757" s="96">
        <f t="shared" si="532"/>
        <v>0</v>
      </c>
      <c r="H1757" s="96"/>
      <c r="I1757" s="60"/>
      <c r="J1757" s="60"/>
      <c r="K1757" s="60"/>
      <c r="L1757" s="60"/>
      <c r="M1757" s="60"/>
      <c r="N1757" s="60"/>
      <c r="O1757" s="60"/>
      <c r="P1757" s="60"/>
      <c r="Q1757" s="60"/>
      <c r="R1757" s="60"/>
      <c r="S1757" s="60"/>
      <c r="T1757" s="60"/>
      <c r="U1757" s="60"/>
      <c r="V1757" s="60"/>
      <c r="W1757" s="60"/>
      <c r="X1757" s="60"/>
      <c r="Y1757" s="60"/>
      <c r="Z1757" s="60"/>
    </row>
    <row r="1758" spans="1:26" ht="30" hidden="1" customHeight="1">
      <c r="A1758" s="95" t="s">
        <v>3483</v>
      </c>
      <c r="B1758" s="68" t="s">
        <v>3484</v>
      </c>
      <c r="C1758" s="99"/>
      <c r="D1758" s="96"/>
      <c r="E1758" s="53"/>
      <c r="F1758" s="53"/>
      <c r="G1758" s="96">
        <f t="shared" si="532"/>
        <v>0</v>
      </c>
      <c r="H1758" s="96"/>
      <c r="I1758" s="60"/>
      <c r="J1758" s="60"/>
      <c r="K1758" s="60"/>
      <c r="L1758" s="60"/>
      <c r="M1758" s="60"/>
      <c r="N1758" s="60"/>
      <c r="O1758" s="60"/>
      <c r="P1758" s="60"/>
      <c r="Q1758" s="60"/>
      <c r="R1758" s="60"/>
      <c r="S1758" s="60"/>
      <c r="T1758" s="60"/>
      <c r="U1758" s="60"/>
      <c r="V1758" s="60"/>
      <c r="W1758" s="60"/>
      <c r="X1758" s="60"/>
      <c r="Y1758" s="60"/>
      <c r="Z1758" s="60"/>
    </row>
    <row r="1759" spans="1:26" ht="30" hidden="1" customHeight="1">
      <c r="A1759" s="98" t="s">
        <v>3485</v>
      </c>
      <c r="B1759" s="68" t="s">
        <v>3486</v>
      </c>
      <c r="C1759" s="99"/>
      <c r="D1759" s="96"/>
      <c r="E1759" s="53">
        <v>45779150.490000002</v>
      </c>
      <c r="F1759" s="53">
        <v>19002419.48</v>
      </c>
      <c r="G1759" s="96">
        <f t="shared" si="532"/>
        <v>26776731.010000002</v>
      </c>
      <c r="H1759" s="96"/>
      <c r="I1759" s="60"/>
      <c r="J1759" s="60"/>
      <c r="K1759" s="60"/>
      <c r="L1759" s="60"/>
      <c r="M1759" s="60"/>
      <c r="N1759" s="60"/>
      <c r="O1759" s="60"/>
      <c r="P1759" s="60"/>
      <c r="Q1759" s="60"/>
      <c r="R1759" s="60"/>
      <c r="S1759" s="60"/>
      <c r="T1759" s="60"/>
      <c r="U1759" s="60"/>
      <c r="V1759" s="60"/>
      <c r="W1759" s="60"/>
      <c r="X1759" s="60"/>
      <c r="Y1759" s="60"/>
      <c r="Z1759" s="60"/>
    </row>
    <row r="1760" spans="1:26" ht="30" hidden="1" customHeight="1">
      <c r="A1760" s="95" t="s">
        <v>3487</v>
      </c>
      <c r="B1760" s="68" t="s">
        <v>3488</v>
      </c>
      <c r="C1760" s="99"/>
      <c r="D1760" s="96"/>
      <c r="E1760" s="53"/>
      <c r="F1760" s="53"/>
      <c r="G1760" s="96">
        <f t="shared" si="532"/>
        <v>0</v>
      </c>
      <c r="H1760" s="96"/>
      <c r="I1760" s="60"/>
      <c r="J1760" s="60"/>
      <c r="K1760" s="60"/>
      <c r="L1760" s="60"/>
      <c r="M1760" s="60"/>
      <c r="N1760" s="60"/>
      <c r="O1760" s="60"/>
      <c r="P1760" s="60"/>
      <c r="Q1760" s="60"/>
      <c r="R1760" s="60"/>
      <c r="S1760" s="60"/>
      <c r="T1760" s="60"/>
      <c r="U1760" s="60"/>
      <c r="V1760" s="60"/>
      <c r="W1760" s="60"/>
      <c r="X1760" s="60"/>
      <c r="Y1760" s="60"/>
      <c r="Z1760" s="60"/>
    </row>
    <row r="1761" spans="1:26" ht="30" hidden="1" customHeight="1">
      <c r="A1761" s="98" t="s">
        <v>3489</v>
      </c>
      <c r="B1761" s="68" t="s">
        <v>3490</v>
      </c>
      <c r="C1761" s="99"/>
      <c r="D1761" s="96"/>
      <c r="E1761" s="53"/>
      <c r="F1761" s="53"/>
      <c r="G1761" s="96">
        <f t="shared" si="532"/>
        <v>0</v>
      </c>
      <c r="H1761" s="96"/>
      <c r="I1761" s="60"/>
      <c r="J1761" s="60"/>
      <c r="K1761" s="60"/>
      <c r="L1761" s="60"/>
      <c r="M1761" s="60"/>
      <c r="N1761" s="60"/>
      <c r="O1761" s="60"/>
      <c r="P1761" s="60"/>
      <c r="Q1761" s="60"/>
      <c r="R1761" s="60"/>
      <c r="S1761" s="60"/>
      <c r="T1761" s="60"/>
      <c r="U1761" s="60"/>
      <c r="V1761" s="60"/>
      <c r="W1761" s="60"/>
      <c r="X1761" s="60"/>
      <c r="Y1761" s="60"/>
      <c r="Z1761" s="60"/>
    </row>
    <row r="1762" spans="1:26" ht="30" hidden="1" customHeight="1">
      <c r="A1762" s="95" t="s">
        <v>3491</v>
      </c>
      <c r="B1762" s="68" t="s">
        <v>3492</v>
      </c>
      <c r="C1762" s="99"/>
      <c r="D1762" s="96"/>
      <c r="E1762" s="53"/>
      <c r="F1762" s="53"/>
      <c r="G1762" s="96">
        <f t="shared" si="532"/>
        <v>0</v>
      </c>
      <c r="H1762" s="96"/>
      <c r="I1762" s="60"/>
      <c r="J1762" s="60"/>
      <c r="K1762" s="60"/>
      <c r="L1762" s="60"/>
      <c r="M1762" s="60"/>
      <c r="N1762" s="60"/>
      <c r="O1762" s="60"/>
      <c r="P1762" s="60"/>
      <c r="Q1762" s="60"/>
      <c r="R1762" s="60"/>
      <c r="S1762" s="60"/>
      <c r="T1762" s="60"/>
      <c r="U1762" s="60"/>
      <c r="V1762" s="60"/>
      <c r="W1762" s="60"/>
      <c r="X1762" s="60"/>
      <c r="Y1762" s="60"/>
      <c r="Z1762" s="60"/>
    </row>
    <row r="1763" spans="1:26" ht="30" hidden="1" customHeight="1">
      <c r="A1763" s="98" t="s">
        <v>3493</v>
      </c>
      <c r="B1763" s="68" t="s">
        <v>3494</v>
      </c>
      <c r="C1763" s="99"/>
      <c r="D1763" s="96"/>
      <c r="E1763" s="53"/>
      <c r="F1763" s="53"/>
      <c r="G1763" s="96">
        <f t="shared" si="532"/>
        <v>0</v>
      </c>
      <c r="H1763" s="96"/>
      <c r="I1763" s="60"/>
      <c r="J1763" s="60"/>
      <c r="K1763" s="60"/>
      <c r="L1763" s="60"/>
      <c r="M1763" s="60"/>
      <c r="N1763" s="60"/>
      <c r="O1763" s="60"/>
      <c r="P1763" s="60"/>
      <c r="Q1763" s="60"/>
      <c r="R1763" s="60"/>
      <c r="S1763" s="60"/>
      <c r="T1763" s="60"/>
      <c r="U1763" s="60"/>
      <c r="V1763" s="60"/>
      <c r="W1763" s="60"/>
      <c r="X1763" s="60"/>
      <c r="Y1763" s="60"/>
      <c r="Z1763" s="60"/>
    </row>
    <row r="1764" spans="1:26" ht="30" hidden="1" customHeight="1">
      <c r="A1764" s="95" t="s">
        <v>3495</v>
      </c>
      <c r="B1764" s="68" t="s">
        <v>3496</v>
      </c>
      <c r="C1764" s="99"/>
      <c r="D1764" s="96"/>
      <c r="E1764" s="53"/>
      <c r="F1764" s="53"/>
      <c r="G1764" s="96">
        <f t="shared" si="532"/>
        <v>0</v>
      </c>
      <c r="H1764" s="96"/>
      <c r="I1764" s="60"/>
      <c r="J1764" s="60"/>
      <c r="K1764" s="60"/>
      <c r="L1764" s="60"/>
      <c r="M1764" s="60"/>
      <c r="N1764" s="60"/>
      <c r="O1764" s="60"/>
      <c r="P1764" s="60"/>
      <c r="Q1764" s="60"/>
      <c r="R1764" s="60"/>
      <c r="S1764" s="60"/>
      <c r="T1764" s="60"/>
      <c r="U1764" s="60"/>
      <c r="V1764" s="60"/>
      <c r="W1764" s="60"/>
      <c r="X1764" s="60"/>
      <c r="Y1764" s="60"/>
      <c r="Z1764" s="60"/>
    </row>
    <row r="1765" spans="1:26" ht="30" hidden="1" customHeight="1">
      <c r="A1765" s="98" t="s">
        <v>3497</v>
      </c>
      <c r="B1765" s="68" t="s">
        <v>3498</v>
      </c>
      <c r="C1765" s="99"/>
      <c r="D1765" s="96"/>
      <c r="E1765" s="53">
        <v>34495084.829999998</v>
      </c>
      <c r="F1765" s="53">
        <v>12270490.18</v>
      </c>
      <c r="G1765" s="96">
        <f t="shared" si="532"/>
        <v>22224594.649999999</v>
      </c>
      <c r="H1765" s="96"/>
      <c r="I1765" s="60"/>
      <c r="J1765" s="60"/>
      <c r="K1765" s="60"/>
      <c r="L1765" s="60"/>
      <c r="M1765" s="60"/>
      <c r="N1765" s="60"/>
      <c r="O1765" s="60"/>
      <c r="P1765" s="60"/>
      <c r="Q1765" s="60"/>
      <c r="R1765" s="60"/>
      <c r="S1765" s="60"/>
      <c r="T1765" s="60"/>
      <c r="U1765" s="60"/>
      <c r="V1765" s="60"/>
      <c r="W1765" s="60"/>
      <c r="X1765" s="60"/>
      <c r="Y1765" s="60"/>
      <c r="Z1765" s="60"/>
    </row>
    <row r="1766" spans="1:26" ht="30" hidden="1" customHeight="1">
      <c r="A1766" s="95" t="s">
        <v>3499</v>
      </c>
      <c r="B1766" s="68" t="s">
        <v>3500</v>
      </c>
      <c r="C1766" s="99"/>
      <c r="D1766" s="96"/>
      <c r="E1766" s="53"/>
      <c r="F1766" s="53"/>
      <c r="G1766" s="96">
        <f t="shared" si="532"/>
        <v>0</v>
      </c>
      <c r="H1766" s="96"/>
      <c r="I1766" s="60"/>
      <c r="J1766" s="60"/>
      <c r="K1766" s="60"/>
      <c r="L1766" s="60"/>
      <c r="M1766" s="60"/>
      <c r="N1766" s="60"/>
      <c r="O1766" s="60"/>
      <c r="P1766" s="60"/>
      <c r="Q1766" s="60"/>
      <c r="R1766" s="60"/>
      <c r="S1766" s="60"/>
      <c r="T1766" s="60"/>
      <c r="U1766" s="60"/>
      <c r="V1766" s="60"/>
      <c r="W1766" s="60"/>
      <c r="X1766" s="60"/>
      <c r="Y1766" s="60"/>
      <c r="Z1766" s="60"/>
    </row>
    <row r="1767" spans="1:26" ht="30" hidden="1" customHeight="1">
      <c r="A1767" s="92" t="s">
        <v>3501</v>
      </c>
      <c r="B1767" s="101" t="s">
        <v>2711</v>
      </c>
      <c r="C1767" s="94"/>
      <c r="D1767" s="94"/>
      <c r="E1767" s="39">
        <f t="shared" ref="E1767:G1767" si="533">SUM(E1768:E1773)</f>
        <v>471251573.89999998</v>
      </c>
      <c r="F1767" s="39">
        <f t="shared" si="533"/>
        <v>218230294.47</v>
      </c>
      <c r="G1767" s="39">
        <f t="shared" si="533"/>
        <v>253021279.43000001</v>
      </c>
      <c r="H1767" s="94"/>
      <c r="I1767" s="60"/>
      <c r="J1767" s="60"/>
      <c r="K1767" s="60"/>
      <c r="L1767" s="60"/>
      <c r="M1767" s="60"/>
      <c r="N1767" s="60"/>
      <c r="O1767" s="60"/>
      <c r="P1767" s="60"/>
      <c r="Q1767" s="60"/>
      <c r="R1767" s="60"/>
      <c r="S1767" s="60"/>
      <c r="T1767" s="60"/>
      <c r="U1767" s="60"/>
      <c r="V1767" s="60"/>
      <c r="W1767" s="60"/>
      <c r="X1767" s="60"/>
      <c r="Y1767" s="60"/>
      <c r="Z1767" s="60"/>
    </row>
    <row r="1768" spans="1:26" ht="30" hidden="1" customHeight="1">
      <c r="A1768" s="98" t="s">
        <v>3502</v>
      </c>
      <c r="B1768" s="68" t="s">
        <v>3503</v>
      </c>
      <c r="C1768" s="99"/>
      <c r="D1768" s="96"/>
      <c r="E1768" s="53">
        <v>471251573.89999998</v>
      </c>
      <c r="F1768" s="53">
        <v>218230294.47</v>
      </c>
      <c r="G1768" s="96">
        <f t="shared" ref="G1768:G1773" si="534">ROUND(E1768-F1768,2)</f>
        <v>253021279.43000001</v>
      </c>
      <c r="H1768" s="96"/>
      <c r="I1768" s="60"/>
      <c r="J1768" s="60"/>
      <c r="K1768" s="60"/>
      <c r="L1768" s="60"/>
      <c r="M1768" s="60"/>
      <c r="N1768" s="60"/>
      <c r="O1768" s="60"/>
      <c r="P1768" s="60"/>
      <c r="Q1768" s="60"/>
      <c r="R1768" s="60"/>
      <c r="S1768" s="60"/>
      <c r="T1768" s="60"/>
      <c r="U1768" s="60"/>
      <c r="V1768" s="60"/>
      <c r="W1768" s="60"/>
      <c r="X1768" s="60"/>
      <c r="Y1768" s="60"/>
      <c r="Z1768" s="60"/>
    </row>
    <row r="1769" spans="1:26" ht="30" hidden="1" customHeight="1">
      <c r="A1769" s="95" t="s">
        <v>3504</v>
      </c>
      <c r="B1769" s="68" t="s">
        <v>3505</v>
      </c>
      <c r="C1769" s="99"/>
      <c r="D1769" s="96"/>
      <c r="E1769" s="53"/>
      <c r="F1769" s="53"/>
      <c r="G1769" s="96">
        <f t="shared" si="534"/>
        <v>0</v>
      </c>
      <c r="H1769" s="96"/>
      <c r="I1769" s="60"/>
      <c r="J1769" s="60"/>
      <c r="K1769" s="60"/>
      <c r="L1769" s="60"/>
      <c r="M1769" s="60"/>
      <c r="N1769" s="60"/>
      <c r="O1769" s="60"/>
      <c r="P1769" s="60"/>
      <c r="Q1769" s="60"/>
      <c r="R1769" s="60"/>
      <c r="S1769" s="60"/>
      <c r="T1769" s="60"/>
      <c r="U1769" s="60"/>
      <c r="V1769" s="60"/>
      <c r="W1769" s="60"/>
      <c r="X1769" s="60"/>
      <c r="Y1769" s="60"/>
      <c r="Z1769" s="60"/>
    </row>
    <row r="1770" spans="1:26" ht="30" hidden="1" customHeight="1">
      <c r="A1770" s="98" t="s">
        <v>3506</v>
      </c>
      <c r="B1770" s="68" t="s">
        <v>3507</v>
      </c>
      <c r="C1770" s="99"/>
      <c r="D1770" s="96"/>
      <c r="E1770" s="53"/>
      <c r="F1770" s="53"/>
      <c r="G1770" s="96">
        <f t="shared" si="534"/>
        <v>0</v>
      </c>
      <c r="H1770" s="96"/>
      <c r="I1770" s="60"/>
      <c r="J1770" s="60"/>
      <c r="K1770" s="60"/>
      <c r="L1770" s="60"/>
      <c r="M1770" s="60"/>
      <c r="N1770" s="60"/>
      <c r="O1770" s="60"/>
      <c r="P1770" s="60"/>
      <c r="Q1770" s="60"/>
      <c r="R1770" s="60"/>
      <c r="S1770" s="60"/>
      <c r="T1770" s="60"/>
      <c r="U1770" s="60"/>
      <c r="V1770" s="60"/>
      <c r="W1770" s="60"/>
      <c r="X1770" s="60"/>
      <c r="Y1770" s="60"/>
      <c r="Z1770" s="60"/>
    </row>
    <row r="1771" spans="1:26" ht="30" hidden="1" customHeight="1">
      <c r="A1771" s="95" t="s">
        <v>3508</v>
      </c>
      <c r="B1771" s="68" t="s">
        <v>3509</v>
      </c>
      <c r="C1771" s="99"/>
      <c r="D1771" s="96"/>
      <c r="E1771" s="53"/>
      <c r="F1771" s="53"/>
      <c r="G1771" s="96">
        <f t="shared" si="534"/>
        <v>0</v>
      </c>
      <c r="H1771" s="96"/>
      <c r="I1771" s="60"/>
      <c r="J1771" s="60"/>
      <c r="K1771" s="60"/>
      <c r="L1771" s="60"/>
      <c r="M1771" s="60"/>
      <c r="N1771" s="60"/>
      <c r="O1771" s="60"/>
      <c r="P1771" s="60"/>
      <c r="Q1771" s="60"/>
      <c r="R1771" s="60"/>
      <c r="S1771" s="60"/>
      <c r="T1771" s="60"/>
      <c r="U1771" s="60"/>
      <c r="V1771" s="60"/>
      <c r="W1771" s="60"/>
      <c r="X1771" s="60"/>
      <c r="Y1771" s="60"/>
      <c r="Z1771" s="60"/>
    </row>
    <row r="1772" spans="1:26" ht="30" hidden="1" customHeight="1">
      <c r="A1772" s="98" t="s">
        <v>3510</v>
      </c>
      <c r="B1772" s="68" t="s">
        <v>3511</v>
      </c>
      <c r="C1772" s="99"/>
      <c r="D1772" s="96"/>
      <c r="E1772" s="53"/>
      <c r="F1772" s="53"/>
      <c r="G1772" s="96">
        <f t="shared" si="534"/>
        <v>0</v>
      </c>
      <c r="H1772" s="96"/>
      <c r="I1772" s="60"/>
      <c r="J1772" s="60"/>
      <c r="K1772" s="60"/>
      <c r="L1772" s="60"/>
      <c r="M1772" s="60"/>
      <c r="N1772" s="60"/>
      <c r="O1772" s="60"/>
      <c r="P1772" s="60"/>
      <c r="Q1772" s="60"/>
      <c r="R1772" s="60"/>
      <c r="S1772" s="60"/>
      <c r="T1772" s="60"/>
      <c r="U1772" s="60"/>
      <c r="V1772" s="60"/>
      <c r="W1772" s="60"/>
      <c r="X1772" s="60"/>
      <c r="Y1772" s="60"/>
      <c r="Z1772" s="60"/>
    </row>
    <row r="1773" spans="1:26" ht="30" hidden="1" customHeight="1">
      <c r="A1773" s="95" t="s">
        <v>3512</v>
      </c>
      <c r="B1773" s="68" t="s">
        <v>3513</v>
      </c>
      <c r="C1773" s="99"/>
      <c r="D1773" s="96"/>
      <c r="E1773" s="53"/>
      <c r="F1773" s="53"/>
      <c r="G1773" s="96">
        <f t="shared" si="534"/>
        <v>0</v>
      </c>
      <c r="H1773" s="96"/>
      <c r="I1773" s="60"/>
      <c r="J1773" s="60"/>
      <c r="K1773" s="60"/>
      <c r="L1773" s="60"/>
      <c r="M1773" s="60"/>
      <c r="N1773" s="60"/>
      <c r="O1773" s="60"/>
      <c r="P1773" s="60"/>
      <c r="Q1773" s="60"/>
      <c r="R1773" s="60"/>
      <c r="S1773" s="60"/>
      <c r="T1773" s="60"/>
      <c r="U1773" s="60"/>
      <c r="V1773" s="60"/>
      <c r="W1773" s="60"/>
      <c r="X1773" s="60"/>
      <c r="Y1773" s="60"/>
      <c r="Z1773" s="60"/>
    </row>
    <row r="1774" spans="1:26" ht="30" hidden="1" customHeight="1">
      <c r="A1774" s="92" t="s">
        <v>3514</v>
      </c>
      <c r="B1774" s="101" t="s">
        <v>2725</v>
      </c>
      <c r="C1774" s="94"/>
      <c r="D1774" s="94"/>
      <c r="E1774" s="39">
        <f t="shared" ref="E1774:G1774" si="535">SUM(E1775:E1788)</f>
        <v>0</v>
      </c>
      <c r="F1774" s="39">
        <f t="shared" si="535"/>
        <v>0</v>
      </c>
      <c r="G1774" s="39">
        <f t="shared" si="535"/>
        <v>0</v>
      </c>
      <c r="H1774" s="94"/>
      <c r="I1774" s="60"/>
      <c r="J1774" s="60"/>
      <c r="K1774" s="60"/>
      <c r="L1774" s="60"/>
      <c r="M1774" s="60"/>
      <c r="N1774" s="60"/>
      <c r="O1774" s="60"/>
      <c r="P1774" s="60"/>
      <c r="Q1774" s="60"/>
      <c r="R1774" s="60"/>
      <c r="S1774" s="60"/>
      <c r="T1774" s="60"/>
      <c r="U1774" s="60"/>
      <c r="V1774" s="60"/>
      <c r="W1774" s="60"/>
      <c r="X1774" s="60"/>
      <c r="Y1774" s="60"/>
      <c r="Z1774" s="60"/>
    </row>
    <row r="1775" spans="1:26" ht="30" hidden="1" customHeight="1">
      <c r="A1775" s="98" t="s">
        <v>3515</v>
      </c>
      <c r="B1775" s="68" t="s">
        <v>3516</v>
      </c>
      <c r="C1775" s="99"/>
      <c r="D1775" s="96"/>
      <c r="E1775" s="53"/>
      <c r="F1775" s="53"/>
      <c r="G1775" s="96">
        <f t="shared" ref="G1775:G1788" si="536">ROUND(E1775-F1775,2)</f>
        <v>0</v>
      </c>
      <c r="H1775" s="96"/>
      <c r="I1775" s="60"/>
      <c r="J1775" s="60"/>
      <c r="K1775" s="60"/>
      <c r="L1775" s="60"/>
      <c r="M1775" s="60"/>
      <c r="N1775" s="60"/>
      <c r="O1775" s="60"/>
      <c r="P1775" s="60"/>
      <c r="Q1775" s="60"/>
      <c r="R1775" s="60"/>
      <c r="S1775" s="60"/>
      <c r="T1775" s="60"/>
      <c r="U1775" s="60"/>
      <c r="V1775" s="60"/>
      <c r="W1775" s="60"/>
      <c r="X1775" s="60"/>
      <c r="Y1775" s="60"/>
      <c r="Z1775" s="60"/>
    </row>
    <row r="1776" spans="1:26" ht="30" hidden="1" customHeight="1">
      <c r="A1776" s="95" t="s">
        <v>3517</v>
      </c>
      <c r="B1776" s="68" t="s">
        <v>3518</v>
      </c>
      <c r="C1776" s="99"/>
      <c r="D1776" s="96"/>
      <c r="E1776" s="53"/>
      <c r="F1776" s="53"/>
      <c r="G1776" s="96">
        <f t="shared" si="536"/>
        <v>0</v>
      </c>
      <c r="H1776" s="96"/>
      <c r="I1776" s="60"/>
      <c r="J1776" s="60"/>
      <c r="K1776" s="60"/>
      <c r="L1776" s="60"/>
      <c r="M1776" s="60"/>
      <c r="N1776" s="60"/>
      <c r="O1776" s="60"/>
      <c r="P1776" s="60"/>
      <c r="Q1776" s="60"/>
      <c r="R1776" s="60"/>
      <c r="S1776" s="60"/>
      <c r="T1776" s="60"/>
      <c r="U1776" s="60"/>
      <c r="V1776" s="60"/>
      <c r="W1776" s="60"/>
      <c r="X1776" s="60"/>
      <c r="Y1776" s="60"/>
      <c r="Z1776" s="60"/>
    </row>
    <row r="1777" spans="1:26" ht="30" hidden="1" customHeight="1">
      <c r="A1777" s="98" t="s">
        <v>3519</v>
      </c>
      <c r="B1777" s="68" t="s">
        <v>3520</v>
      </c>
      <c r="C1777" s="99"/>
      <c r="D1777" s="96"/>
      <c r="E1777" s="53"/>
      <c r="F1777" s="53"/>
      <c r="G1777" s="96">
        <f t="shared" si="536"/>
        <v>0</v>
      </c>
      <c r="H1777" s="96"/>
      <c r="I1777" s="60"/>
      <c r="J1777" s="60"/>
      <c r="K1777" s="60"/>
      <c r="L1777" s="60"/>
      <c r="M1777" s="60"/>
      <c r="N1777" s="60"/>
      <c r="O1777" s="60"/>
      <c r="P1777" s="60"/>
      <c r="Q1777" s="60"/>
      <c r="R1777" s="60"/>
      <c r="S1777" s="60"/>
      <c r="T1777" s="60"/>
      <c r="U1777" s="60"/>
      <c r="V1777" s="60"/>
      <c r="W1777" s="60"/>
      <c r="X1777" s="60"/>
      <c r="Y1777" s="60"/>
      <c r="Z1777" s="60"/>
    </row>
    <row r="1778" spans="1:26" ht="30" hidden="1" customHeight="1">
      <c r="A1778" s="95" t="s">
        <v>3521</v>
      </c>
      <c r="B1778" s="68" t="s">
        <v>3522</v>
      </c>
      <c r="C1778" s="99"/>
      <c r="D1778" s="96"/>
      <c r="E1778" s="53"/>
      <c r="F1778" s="53"/>
      <c r="G1778" s="96">
        <f t="shared" si="536"/>
        <v>0</v>
      </c>
      <c r="H1778" s="96"/>
      <c r="I1778" s="60"/>
      <c r="J1778" s="60"/>
      <c r="K1778" s="60"/>
      <c r="L1778" s="60"/>
      <c r="M1778" s="60"/>
      <c r="N1778" s="60"/>
      <c r="O1778" s="60"/>
      <c r="P1778" s="60"/>
      <c r="Q1778" s="60"/>
      <c r="R1778" s="60"/>
      <c r="S1778" s="60"/>
      <c r="T1778" s="60"/>
      <c r="U1778" s="60"/>
      <c r="V1778" s="60"/>
      <c r="W1778" s="60"/>
      <c r="X1778" s="60"/>
      <c r="Y1778" s="60"/>
      <c r="Z1778" s="60"/>
    </row>
    <row r="1779" spans="1:26" ht="30" hidden="1" customHeight="1">
      <c r="A1779" s="98" t="s">
        <v>3523</v>
      </c>
      <c r="B1779" s="68" t="s">
        <v>3524</v>
      </c>
      <c r="C1779" s="99"/>
      <c r="D1779" s="96"/>
      <c r="E1779" s="53"/>
      <c r="F1779" s="53"/>
      <c r="G1779" s="96">
        <f t="shared" si="536"/>
        <v>0</v>
      </c>
      <c r="H1779" s="96"/>
      <c r="I1779" s="60"/>
      <c r="J1779" s="60"/>
      <c r="K1779" s="60"/>
      <c r="L1779" s="60"/>
      <c r="M1779" s="60"/>
      <c r="N1779" s="60"/>
      <c r="O1779" s="60"/>
      <c r="P1779" s="60"/>
      <c r="Q1779" s="60"/>
      <c r="R1779" s="60"/>
      <c r="S1779" s="60"/>
      <c r="T1779" s="60"/>
      <c r="U1779" s="60"/>
      <c r="V1779" s="60"/>
      <c r="W1779" s="60"/>
      <c r="X1779" s="60"/>
      <c r="Y1779" s="60"/>
      <c r="Z1779" s="60"/>
    </row>
    <row r="1780" spans="1:26" ht="30" hidden="1" customHeight="1">
      <c r="A1780" s="95" t="s">
        <v>3525</v>
      </c>
      <c r="B1780" s="68" t="s">
        <v>3526</v>
      </c>
      <c r="C1780" s="99"/>
      <c r="D1780" s="96"/>
      <c r="E1780" s="53"/>
      <c r="F1780" s="53"/>
      <c r="G1780" s="96">
        <f t="shared" si="536"/>
        <v>0</v>
      </c>
      <c r="H1780" s="96"/>
      <c r="I1780" s="60"/>
      <c r="J1780" s="60"/>
      <c r="K1780" s="60"/>
      <c r="L1780" s="60"/>
      <c r="M1780" s="60"/>
      <c r="N1780" s="60"/>
      <c r="O1780" s="60"/>
      <c r="P1780" s="60"/>
      <c r="Q1780" s="60"/>
      <c r="R1780" s="60"/>
      <c r="S1780" s="60"/>
      <c r="T1780" s="60"/>
      <c r="U1780" s="60"/>
      <c r="V1780" s="60"/>
      <c r="W1780" s="60"/>
      <c r="X1780" s="60"/>
      <c r="Y1780" s="60"/>
      <c r="Z1780" s="60"/>
    </row>
    <row r="1781" spans="1:26" ht="30" hidden="1" customHeight="1">
      <c r="A1781" s="98" t="s">
        <v>3527</v>
      </c>
      <c r="B1781" s="68" t="s">
        <v>3528</v>
      </c>
      <c r="C1781" s="99"/>
      <c r="D1781" s="96"/>
      <c r="E1781" s="53"/>
      <c r="F1781" s="53"/>
      <c r="G1781" s="96">
        <f t="shared" si="536"/>
        <v>0</v>
      </c>
      <c r="H1781" s="96"/>
      <c r="I1781" s="60"/>
      <c r="J1781" s="60"/>
      <c r="K1781" s="60"/>
      <c r="L1781" s="60"/>
      <c r="M1781" s="60"/>
      <c r="N1781" s="60"/>
      <c r="O1781" s="60"/>
      <c r="P1781" s="60"/>
      <c r="Q1781" s="60"/>
      <c r="R1781" s="60"/>
      <c r="S1781" s="60"/>
      <c r="T1781" s="60"/>
      <c r="U1781" s="60"/>
      <c r="V1781" s="60"/>
      <c r="W1781" s="60"/>
      <c r="X1781" s="60"/>
      <c r="Y1781" s="60"/>
      <c r="Z1781" s="60"/>
    </row>
    <row r="1782" spans="1:26" ht="30" hidden="1" customHeight="1">
      <c r="A1782" s="95" t="s">
        <v>3529</v>
      </c>
      <c r="B1782" s="68" t="s">
        <v>3530</v>
      </c>
      <c r="C1782" s="99"/>
      <c r="D1782" s="96"/>
      <c r="E1782" s="53"/>
      <c r="F1782" s="53"/>
      <c r="G1782" s="96">
        <f t="shared" si="536"/>
        <v>0</v>
      </c>
      <c r="H1782" s="96"/>
      <c r="I1782" s="60"/>
      <c r="J1782" s="60"/>
      <c r="K1782" s="60"/>
      <c r="L1782" s="60"/>
      <c r="M1782" s="60"/>
      <c r="N1782" s="60"/>
      <c r="O1782" s="60"/>
      <c r="P1782" s="60"/>
      <c r="Q1782" s="60"/>
      <c r="R1782" s="60"/>
      <c r="S1782" s="60"/>
      <c r="T1782" s="60"/>
      <c r="U1782" s="60"/>
      <c r="V1782" s="60"/>
      <c r="W1782" s="60"/>
      <c r="X1782" s="60"/>
      <c r="Y1782" s="60"/>
      <c r="Z1782" s="60"/>
    </row>
    <row r="1783" spans="1:26" ht="30" hidden="1" customHeight="1">
      <c r="A1783" s="98" t="s">
        <v>3531</v>
      </c>
      <c r="B1783" s="68" t="s">
        <v>3532</v>
      </c>
      <c r="C1783" s="99"/>
      <c r="D1783" s="96"/>
      <c r="E1783" s="53"/>
      <c r="F1783" s="53"/>
      <c r="G1783" s="96">
        <f t="shared" si="536"/>
        <v>0</v>
      </c>
      <c r="H1783" s="96"/>
      <c r="I1783" s="60"/>
      <c r="J1783" s="60"/>
      <c r="K1783" s="60"/>
      <c r="L1783" s="60"/>
      <c r="M1783" s="60"/>
      <c r="N1783" s="60"/>
      <c r="O1783" s="60"/>
      <c r="P1783" s="60"/>
      <c r="Q1783" s="60"/>
      <c r="R1783" s="60"/>
      <c r="S1783" s="60"/>
      <c r="T1783" s="60"/>
      <c r="U1783" s="60"/>
      <c r="V1783" s="60"/>
      <c r="W1783" s="60"/>
      <c r="X1783" s="60"/>
      <c r="Y1783" s="60"/>
      <c r="Z1783" s="60"/>
    </row>
    <row r="1784" spans="1:26" ht="30" hidden="1" customHeight="1">
      <c r="A1784" s="95" t="s">
        <v>3533</v>
      </c>
      <c r="B1784" s="68" t="s">
        <v>3534</v>
      </c>
      <c r="C1784" s="99"/>
      <c r="D1784" s="96"/>
      <c r="E1784" s="53"/>
      <c r="F1784" s="53"/>
      <c r="G1784" s="96">
        <f t="shared" si="536"/>
        <v>0</v>
      </c>
      <c r="H1784" s="96"/>
      <c r="I1784" s="60"/>
      <c r="J1784" s="60"/>
      <c r="K1784" s="60"/>
      <c r="L1784" s="60"/>
      <c r="M1784" s="60"/>
      <c r="N1784" s="60"/>
      <c r="O1784" s="60"/>
      <c r="P1784" s="60"/>
      <c r="Q1784" s="60"/>
      <c r="R1784" s="60"/>
      <c r="S1784" s="60"/>
      <c r="T1784" s="60"/>
      <c r="U1784" s="60"/>
      <c r="V1784" s="60"/>
      <c r="W1784" s="60"/>
      <c r="X1784" s="60"/>
      <c r="Y1784" s="60"/>
      <c r="Z1784" s="60"/>
    </row>
    <row r="1785" spans="1:26" ht="30" hidden="1" customHeight="1">
      <c r="A1785" s="98" t="s">
        <v>3535</v>
      </c>
      <c r="B1785" s="68" t="s">
        <v>3536</v>
      </c>
      <c r="C1785" s="99"/>
      <c r="D1785" s="96"/>
      <c r="E1785" s="53"/>
      <c r="F1785" s="53"/>
      <c r="G1785" s="96">
        <f t="shared" si="536"/>
        <v>0</v>
      </c>
      <c r="H1785" s="96"/>
      <c r="I1785" s="60"/>
      <c r="J1785" s="60"/>
      <c r="K1785" s="60"/>
      <c r="L1785" s="60"/>
      <c r="M1785" s="60"/>
      <c r="N1785" s="60"/>
      <c r="O1785" s="60"/>
      <c r="P1785" s="60"/>
      <c r="Q1785" s="60"/>
      <c r="R1785" s="60"/>
      <c r="S1785" s="60"/>
      <c r="T1785" s="60"/>
      <c r="U1785" s="60"/>
      <c r="V1785" s="60"/>
      <c r="W1785" s="60"/>
      <c r="X1785" s="60"/>
      <c r="Y1785" s="60"/>
      <c r="Z1785" s="60"/>
    </row>
    <row r="1786" spans="1:26" ht="30" hidden="1" customHeight="1">
      <c r="A1786" s="95" t="s">
        <v>3537</v>
      </c>
      <c r="B1786" s="68" t="s">
        <v>3538</v>
      </c>
      <c r="C1786" s="99"/>
      <c r="D1786" s="96"/>
      <c r="E1786" s="53"/>
      <c r="F1786" s="53"/>
      <c r="G1786" s="96">
        <f t="shared" si="536"/>
        <v>0</v>
      </c>
      <c r="H1786" s="96"/>
      <c r="I1786" s="60"/>
      <c r="J1786" s="60"/>
      <c r="K1786" s="60"/>
      <c r="L1786" s="60"/>
      <c r="M1786" s="60"/>
      <c r="N1786" s="60"/>
      <c r="O1786" s="60"/>
      <c r="P1786" s="60"/>
      <c r="Q1786" s="60"/>
      <c r="R1786" s="60"/>
      <c r="S1786" s="60"/>
      <c r="T1786" s="60"/>
      <c r="U1786" s="60"/>
      <c r="V1786" s="60"/>
      <c r="W1786" s="60"/>
      <c r="X1786" s="60"/>
      <c r="Y1786" s="60"/>
      <c r="Z1786" s="60"/>
    </row>
    <row r="1787" spans="1:26" ht="30" hidden="1" customHeight="1">
      <c r="A1787" s="98" t="s">
        <v>3539</v>
      </c>
      <c r="B1787" s="68" t="s">
        <v>3540</v>
      </c>
      <c r="C1787" s="99"/>
      <c r="D1787" s="96"/>
      <c r="E1787" s="53"/>
      <c r="F1787" s="53"/>
      <c r="G1787" s="96">
        <f t="shared" si="536"/>
        <v>0</v>
      </c>
      <c r="H1787" s="96"/>
      <c r="I1787" s="60"/>
      <c r="J1787" s="60"/>
      <c r="K1787" s="60"/>
      <c r="L1787" s="60"/>
      <c r="M1787" s="60"/>
      <c r="N1787" s="60"/>
      <c r="O1787" s="60"/>
      <c r="P1787" s="60"/>
      <c r="Q1787" s="60"/>
      <c r="R1787" s="60"/>
      <c r="S1787" s="60"/>
      <c r="T1787" s="60"/>
      <c r="U1787" s="60"/>
      <c r="V1787" s="60"/>
      <c r="W1787" s="60"/>
      <c r="X1787" s="60"/>
      <c r="Y1787" s="60"/>
      <c r="Z1787" s="60"/>
    </row>
    <row r="1788" spans="1:26" ht="30" hidden="1" customHeight="1">
      <c r="A1788" s="95" t="s">
        <v>3541</v>
      </c>
      <c r="B1788" s="68" t="s">
        <v>3542</v>
      </c>
      <c r="C1788" s="99"/>
      <c r="D1788" s="96"/>
      <c r="E1788" s="53"/>
      <c r="F1788" s="53"/>
      <c r="G1788" s="96">
        <f t="shared" si="536"/>
        <v>0</v>
      </c>
      <c r="H1788" s="96"/>
      <c r="I1788" s="60"/>
      <c r="J1788" s="60"/>
      <c r="K1788" s="60"/>
      <c r="L1788" s="60"/>
      <c r="M1788" s="60"/>
      <c r="N1788" s="60"/>
      <c r="O1788" s="60"/>
      <c r="P1788" s="60"/>
      <c r="Q1788" s="60"/>
      <c r="R1788" s="60"/>
      <c r="S1788" s="60"/>
      <c r="T1788" s="60"/>
      <c r="U1788" s="60"/>
      <c r="V1788" s="60"/>
      <c r="W1788" s="60"/>
      <c r="X1788" s="60"/>
      <c r="Y1788" s="60"/>
      <c r="Z1788" s="60"/>
    </row>
    <row r="1789" spans="1:26" ht="30" hidden="1" customHeight="1">
      <c r="A1789" s="92" t="s">
        <v>3543</v>
      </c>
      <c r="B1789" s="102" t="s">
        <v>3544</v>
      </c>
      <c r="C1789" s="94"/>
      <c r="D1789" s="94"/>
      <c r="E1789" s="39">
        <f t="shared" ref="E1789:G1789" si="537">SUM(E1790:E1795)</f>
        <v>0</v>
      </c>
      <c r="F1789" s="39">
        <f t="shared" si="537"/>
        <v>0</v>
      </c>
      <c r="G1789" s="39">
        <f t="shared" si="537"/>
        <v>0</v>
      </c>
      <c r="H1789" s="94"/>
      <c r="I1789" s="60"/>
      <c r="J1789" s="60"/>
      <c r="K1789" s="60"/>
      <c r="L1789" s="60"/>
      <c r="M1789" s="60"/>
      <c r="N1789" s="60"/>
      <c r="O1789" s="60"/>
      <c r="P1789" s="60"/>
      <c r="Q1789" s="60"/>
      <c r="R1789" s="60"/>
      <c r="S1789" s="60"/>
      <c r="T1789" s="60"/>
      <c r="U1789" s="60"/>
      <c r="V1789" s="60"/>
      <c r="W1789" s="60"/>
      <c r="X1789" s="60"/>
      <c r="Y1789" s="60"/>
      <c r="Z1789" s="60"/>
    </row>
    <row r="1790" spans="1:26" ht="30" hidden="1" customHeight="1">
      <c r="A1790" s="95" t="s">
        <v>3545</v>
      </c>
      <c r="B1790" s="55" t="s">
        <v>3546</v>
      </c>
      <c r="C1790" s="96"/>
      <c r="D1790" s="96"/>
      <c r="E1790" s="96"/>
      <c r="F1790" s="96"/>
      <c r="G1790" s="96">
        <f t="shared" ref="G1790:G1795" si="538">ROUND(E1790-F1790,2)</f>
        <v>0</v>
      </c>
      <c r="H1790" s="96"/>
      <c r="I1790" s="60"/>
      <c r="J1790" s="60"/>
      <c r="K1790" s="60"/>
      <c r="L1790" s="60"/>
      <c r="M1790" s="60"/>
      <c r="N1790" s="60"/>
      <c r="O1790" s="60"/>
      <c r="P1790" s="60"/>
      <c r="Q1790" s="60"/>
      <c r="R1790" s="60"/>
      <c r="S1790" s="60"/>
      <c r="T1790" s="60"/>
      <c r="U1790" s="60"/>
      <c r="V1790" s="60"/>
      <c r="W1790" s="60"/>
      <c r="X1790" s="60"/>
      <c r="Y1790" s="60"/>
      <c r="Z1790" s="60"/>
    </row>
    <row r="1791" spans="1:26" ht="30" hidden="1" customHeight="1">
      <c r="A1791" s="95" t="s">
        <v>3547</v>
      </c>
      <c r="B1791" s="55" t="s">
        <v>3548</v>
      </c>
      <c r="C1791" s="96"/>
      <c r="D1791" s="96"/>
      <c r="E1791" s="96"/>
      <c r="F1791" s="96"/>
      <c r="G1791" s="96">
        <f t="shared" si="538"/>
        <v>0</v>
      </c>
      <c r="H1791" s="96"/>
      <c r="I1791" s="60"/>
      <c r="J1791" s="60"/>
      <c r="K1791" s="60"/>
      <c r="L1791" s="60"/>
      <c r="M1791" s="60"/>
      <c r="N1791" s="60"/>
      <c r="O1791" s="60"/>
      <c r="P1791" s="60"/>
      <c r="Q1791" s="60"/>
      <c r="R1791" s="60"/>
      <c r="S1791" s="60"/>
      <c r="T1791" s="60"/>
      <c r="U1791" s="60"/>
      <c r="V1791" s="60"/>
      <c r="W1791" s="60"/>
      <c r="X1791" s="60"/>
      <c r="Y1791" s="60"/>
      <c r="Z1791" s="60"/>
    </row>
    <row r="1792" spans="1:26" ht="30" hidden="1" customHeight="1">
      <c r="A1792" s="95" t="s">
        <v>3549</v>
      </c>
      <c r="B1792" s="55" t="s">
        <v>3550</v>
      </c>
      <c r="C1792" s="96"/>
      <c r="D1792" s="96"/>
      <c r="E1792" s="96"/>
      <c r="F1792" s="96"/>
      <c r="G1792" s="96">
        <f t="shared" si="538"/>
        <v>0</v>
      </c>
      <c r="H1792" s="96"/>
      <c r="I1792" s="60"/>
      <c r="J1792" s="60"/>
      <c r="K1792" s="60"/>
      <c r="L1792" s="60"/>
      <c r="M1792" s="60"/>
      <c r="N1792" s="60"/>
      <c r="O1792" s="60"/>
      <c r="P1792" s="60"/>
      <c r="Q1792" s="60"/>
      <c r="R1792" s="60"/>
      <c r="S1792" s="60"/>
      <c r="T1792" s="60"/>
      <c r="U1792" s="60"/>
      <c r="V1792" s="60"/>
      <c r="W1792" s="60"/>
      <c r="X1792" s="60"/>
      <c r="Y1792" s="60"/>
      <c r="Z1792" s="60"/>
    </row>
    <row r="1793" spans="1:26" ht="30" hidden="1" customHeight="1">
      <c r="A1793" s="95" t="s">
        <v>3551</v>
      </c>
      <c r="B1793" s="55" t="s">
        <v>3552</v>
      </c>
      <c r="C1793" s="96"/>
      <c r="D1793" s="96"/>
      <c r="E1793" s="96"/>
      <c r="F1793" s="96"/>
      <c r="G1793" s="96">
        <f t="shared" si="538"/>
        <v>0</v>
      </c>
      <c r="H1793" s="96"/>
      <c r="I1793" s="60"/>
      <c r="J1793" s="60"/>
      <c r="K1793" s="60"/>
      <c r="L1793" s="60"/>
      <c r="M1793" s="60"/>
      <c r="N1793" s="60"/>
      <c r="O1793" s="60"/>
      <c r="P1793" s="60"/>
      <c r="Q1793" s="60"/>
      <c r="R1793" s="60"/>
      <c r="S1793" s="60"/>
      <c r="T1793" s="60"/>
      <c r="U1793" s="60"/>
      <c r="V1793" s="60"/>
      <c r="W1793" s="60"/>
      <c r="X1793" s="60"/>
      <c r="Y1793" s="60"/>
      <c r="Z1793" s="60"/>
    </row>
    <row r="1794" spans="1:26" ht="30" hidden="1" customHeight="1">
      <c r="A1794" s="95" t="s">
        <v>3553</v>
      </c>
      <c r="B1794" s="55" t="s">
        <v>3554</v>
      </c>
      <c r="C1794" s="96"/>
      <c r="D1794" s="96"/>
      <c r="E1794" s="53"/>
      <c r="F1794" s="53"/>
      <c r="G1794" s="96">
        <f t="shared" si="538"/>
        <v>0</v>
      </c>
      <c r="H1794" s="96"/>
      <c r="I1794" s="60"/>
      <c r="J1794" s="60"/>
      <c r="K1794" s="60"/>
      <c r="L1794" s="60"/>
      <c r="M1794" s="60"/>
      <c r="N1794" s="60"/>
      <c r="O1794" s="60"/>
      <c r="P1794" s="60"/>
      <c r="Q1794" s="60"/>
      <c r="R1794" s="60"/>
      <c r="S1794" s="60"/>
      <c r="T1794" s="60"/>
      <c r="U1794" s="60"/>
      <c r="V1794" s="60"/>
      <c r="W1794" s="60"/>
      <c r="X1794" s="60"/>
      <c r="Y1794" s="60"/>
      <c r="Z1794" s="60"/>
    </row>
    <row r="1795" spans="1:26" ht="30" hidden="1" customHeight="1">
      <c r="A1795" s="95" t="s">
        <v>3555</v>
      </c>
      <c r="B1795" s="55" t="s">
        <v>3556</v>
      </c>
      <c r="C1795" s="96"/>
      <c r="D1795" s="96"/>
      <c r="E1795" s="53"/>
      <c r="F1795" s="53"/>
      <c r="G1795" s="96">
        <f t="shared" si="538"/>
        <v>0</v>
      </c>
      <c r="H1795" s="96"/>
      <c r="I1795" s="60"/>
      <c r="J1795" s="60"/>
      <c r="K1795" s="60"/>
      <c r="L1795" s="60"/>
      <c r="M1795" s="60"/>
      <c r="N1795" s="60"/>
      <c r="O1795" s="60"/>
      <c r="P1795" s="60"/>
      <c r="Q1795" s="60"/>
      <c r="R1795" s="60"/>
      <c r="S1795" s="60"/>
      <c r="T1795" s="60"/>
      <c r="U1795" s="60"/>
      <c r="V1795" s="60"/>
      <c r="W1795" s="60"/>
      <c r="X1795" s="60"/>
      <c r="Y1795" s="60"/>
      <c r="Z1795" s="60"/>
    </row>
    <row r="1796" spans="1:26" ht="30" hidden="1" customHeight="1">
      <c r="A1796" s="44" t="s">
        <v>3557</v>
      </c>
      <c r="B1796" s="100" t="s">
        <v>2769</v>
      </c>
      <c r="C1796" s="39"/>
      <c r="D1796" s="39"/>
      <c r="E1796" s="39">
        <f t="shared" ref="E1796:G1796" si="539">SUM(E1797:E1810)</f>
        <v>265141122.37</v>
      </c>
      <c r="F1796" s="39">
        <f t="shared" si="539"/>
        <v>263882522.37</v>
      </c>
      <c r="G1796" s="39">
        <f t="shared" si="539"/>
        <v>1258600</v>
      </c>
      <c r="H1796" s="94"/>
      <c r="I1796" s="60"/>
      <c r="J1796" s="60"/>
      <c r="K1796" s="60"/>
      <c r="L1796" s="60"/>
      <c r="M1796" s="60"/>
      <c r="N1796" s="60"/>
      <c r="O1796" s="60"/>
      <c r="P1796" s="60"/>
      <c r="Q1796" s="60"/>
      <c r="R1796" s="60"/>
      <c r="S1796" s="60"/>
      <c r="T1796" s="60"/>
      <c r="U1796" s="60"/>
      <c r="V1796" s="60"/>
      <c r="W1796" s="60"/>
      <c r="X1796" s="60"/>
      <c r="Y1796" s="60"/>
      <c r="Z1796" s="60"/>
    </row>
    <row r="1797" spans="1:26" ht="30" hidden="1" customHeight="1">
      <c r="A1797" s="57" t="s">
        <v>3558</v>
      </c>
      <c r="B1797" s="51" t="s">
        <v>3559</v>
      </c>
      <c r="C1797" s="58"/>
      <c r="D1797" s="52"/>
      <c r="E1797" s="53">
        <v>198205039.28999999</v>
      </c>
      <c r="F1797" s="53">
        <v>198205039.28999999</v>
      </c>
      <c r="G1797" s="96">
        <f t="shared" ref="G1797:G1810" si="540">ROUND(E1797-F1797,2)</f>
        <v>0</v>
      </c>
      <c r="H1797" s="96"/>
      <c r="I1797" s="60"/>
      <c r="J1797" s="60"/>
      <c r="K1797" s="60"/>
      <c r="L1797" s="60"/>
      <c r="M1797" s="60"/>
      <c r="N1797" s="60"/>
      <c r="O1797" s="60"/>
      <c r="P1797" s="60"/>
      <c r="Q1797" s="60"/>
      <c r="R1797" s="60"/>
      <c r="S1797" s="60"/>
      <c r="T1797" s="60"/>
      <c r="U1797" s="60"/>
      <c r="V1797" s="60"/>
      <c r="W1797" s="60"/>
      <c r="X1797" s="60"/>
      <c r="Y1797" s="60"/>
      <c r="Z1797" s="60"/>
    </row>
    <row r="1798" spans="1:26" ht="30" hidden="1" customHeight="1">
      <c r="A1798" s="50" t="s">
        <v>3560</v>
      </c>
      <c r="B1798" s="51" t="s">
        <v>3561</v>
      </c>
      <c r="C1798" s="58"/>
      <c r="D1798" s="52"/>
      <c r="E1798" s="53"/>
      <c r="F1798" s="53"/>
      <c r="G1798" s="96">
        <f t="shared" si="540"/>
        <v>0</v>
      </c>
      <c r="H1798" s="96"/>
      <c r="I1798" s="60"/>
      <c r="J1798" s="60"/>
      <c r="K1798" s="60"/>
      <c r="L1798" s="60"/>
      <c r="M1798" s="60"/>
      <c r="N1798" s="60"/>
      <c r="O1798" s="60"/>
      <c r="P1798" s="60"/>
      <c r="Q1798" s="60"/>
      <c r="R1798" s="60"/>
      <c r="S1798" s="60"/>
      <c r="T1798" s="60"/>
      <c r="U1798" s="60"/>
      <c r="V1798" s="60"/>
      <c r="W1798" s="60"/>
      <c r="X1798" s="60"/>
      <c r="Y1798" s="60"/>
      <c r="Z1798" s="60"/>
    </row>
    <row r="1799" spans="1:26" ht="30" hidden="1" customHeight="1">
      <c r="A1799" s="57" t="s">
        <v>3562</v>
      </c>
      <c r="B1799" s="51" t="s">
        <v>3563</v>
      </c>
      <c r="C1799" s="58"/>
      <c r="D1799" s="52"/>
      <c r="E1799" s="53">
        <v>65261066.200000003</v>
      </c>
      <c r="F1799" s="53">
        <v>65261066.200000003</v>
      </c>
      <c r="G1799" s="96">
        <f t="shared" si="540"/>
        <v>0</v>
      </c>
      <c r="H1799" s="96"/>
      <c r="I1799" s="60"/>
      <c r="J1799" s="60"/>
      <c r="K1799" s="60"/>
      <c r="L1799" s="60"/>
      <c r="M1799" s="60"/>
      <c r="N1799" s="60"/>
      <c r="O1799" s="60"/>
      <c r="P1799" s="60"/>
      <c r="Q1799" s="60"/>
      <c r="R1799" s="60"/>
      <c r="S1799" s="60"/>
      <c r="T1799" s="60"/>
      <c r="U1799" s="60"/>
      <c r="V1799" s="60"/>
      <c r="W1799" s="60"/>
      <c r="X1799" s="60"/>
      <c r="Y1799" s="60"/>
      <c r="Z1799" s="60"/>
    </row>
    <row r="1800" spans="1:26" ht="30" hidden="1" customHeight="1">
      <c r="A1800" s="50" t="s">
        <v>3564</v>
      </c>
      <c r="B1800" s="51" t="s">
        <v>3565</v>
      </c>
      <c r="C1800" s="58"/>
      <c r="D1800" s="52"/>
      <c r="E1800" s="53"/>
      <c r="F1800" s="53"/>
      <c r="G1800" s="96">
        <f t="shared" si="540"/>
        <v>0</v>
      </c>
      <c r="H1800" s="96"/>
      <c r="I1800" s="60"/>
      <c r="J1800" s="60"/>
      <c r="K1800" s="60"/>
      <c r="L1800" s="60"/>
      <c r="M1800" s="60"/>
      <c r="N1800" s="60"/>
      <c r="O1800" s="60"/>
      <c r="P1800" s="60"/>
      <c r="Q1800" s="60"/>
      <c r="R1800" s="60"/>
      <c r="S1800" s="60"/>
      <c r="T1800" s="60"/>
      <c r="U1800" s="60"/>
      <c r="V1800" s="60"/>
      <c r="W1800" s="60"/>
      <c r="X1800" s="60"/>
      <c r="Y1800" s="60"/>
      <c r="Z1800" s="60"/>
    </row>
    <row r="1801" spans="1:26" ht="30" hidden="1" customHeight="1">
      <c r="A1801" s="57" t="s">
        <v>3566</v>
      </c>
      <c r="B1801" s="51" t="s">
        <v>3567</v>
      </c>
      <c r="C1801" s="58"/>
      <c r="D1801" s="52"/>
      <c r="E1801" s="53"/>
      <c r="F1801" s="53"/>
      <c r="G1801" s="96">
        <f t="shared" si="540"/>
        <v>0</v>
      </c>
      <c r="H1801" s="96"/>
      <c r="I1801" s="60"/>
      <c r="J1801" s="60"/>
      <c r="K1801" s="60"/>
      <c r="L1801" s="60"/>
      <c r="M1801" s="60"/>
      <c r="N1801" s="60"/>
      <c r="O1801" s="60"/>
      <c r="P1801" s="60"/>
      <c r="Q1801" s="60"/>
      <c r="R1801" s="60"/>
      <c r="S1801" s="60"/>
      <c r="T1801" s="60"/>
      <c r="U1801" s="60"/>
      <c r="V1801" s="60"/>
      <c r="W1801" s="60"/>
      <c r="X1801" s="60"/>
      <c r="Y1801" s="60"/>
      <c r="Z1801" s="60"/>
    </row>
    <row r="1802" spans="1:26" ht="30" hidden="1" customHeight="1">
      <c r="A1802" s="50" t="s">
        <v>3568</v>
      </c>
      <c r="B1802" s="51" t="s">
        <v>3569</v>
      </c>
      <c r="C1802" s="58"/>
      <c r="D1802" s="52"/>
      <c r="E1802" s="53"/>
      <c r="F1802" s="53"/>
      <c r="G1802" s="96">
        <f t="shared" si="540"/>
        <v>0</v>
      </c>
      <c r="H1802" s="96"/>
      <c r="I1802" s="60"/>
      <c r="J1802" s="60"/>
      <c r="K1802" s="60"/>
      <c r="L1802" s="60"/>
      <c r="M1802" s="60"/>
      <c r="N1802" s="60"/>
      <c r="O1802" s="60"/>
      <c r="P1802" s="60"/>
      <c r="Q1802" s="60"/>
      <c r="R1802" s="60"/>
      <c r="S1802" s="60"/>
      <c r="T1802" s="60"/>
      <c r="U1802" s="60"/>
      <c r="V1802" s="60"/>
      <c r="W1802" s="60"/>
      <c r="X1802" s="60"/>
      <c r="Y1802" s="60"/>
      <c r="Z1802" s="60"/>
    </row>
    <row r="1803" spans="1:26" ht="30" hidden="1" customHeight="1">
      <c r="A1803" s="57" t="s">
        <v>3570</v>
      </c>
      <c r="B1803" s="51" t="s">
        <v>3571</v>
      </c>
      <c r="C1803" s="58"/>
      <c r="D1803" s="52"/>
      <c r="E1803" s="53">
        <v>1675016.88</v>
      </c>
      <c r="F1803" s="53">
        <v>416416.88</v>
      </c>
      <c r="G1803" s="96">
        <f t="shared" si="540"/>
        <v>1258600</v>
      </c>
      <c r="H1803" s="96"/>
      <c r="I1803" s="60"/>
      <c r="J1803" s="60"/>
      <c r="K1803" s="60"/>
      <c r="L1803" s="60"/>
      <c r="M1803" s="60"/>
      <c r="N1803" s="60"/>
      <c r="O1803" s="60"/>
      <c r="P1803" s="60"/>
      <c r="Q1803" s="60"/>
      <c r="R1803" s="60"/>
      <c r="S1803" s="60"/>
      <c r="T1803" s="60"/>
      <c r="U1803" s="60"/>
      <c r="V1803" s="60"/>
      <c r="W1803" s="60"/>
      <c r="X1803" s="60"/>
      <c r="Y1803" s="60"/>
      <c r="Z1803" s="60"/>
    </row>
    <row r="1804" spans="1:26" ht="30" hidden="1" customHeight="1">
      <c r="A1804" s="50" t="s">
        <v>3572</v>
      </c>
      <c r="B1804" s="51" t="s">
        <v>3573</v>
      </c>
      <c r="C1804" s="58"/>
      <c r="D1804" s="52"/>
      <c r="E1804" s="53"/>
      <c r="F1804" s="53"/>
      <c r="G1804" s="96">
        <f t="shared" si="540"/>
        <v>0</v>
      </c>
      <c r="H1804" s="96"/>
      <c r="I1804" s="60"/>
      <c r="J1804" s="60"/>
      <c r="K1804" s="60"/>
      <c r="L1804" s="60"/>
      <c r="M1804" s="60"/>
      <c r="N1804" s="60"/>
      <c r="O1804" s="60"/>
      <c r="P1804" s="60"/>
      <c r="Q1804" s="60"/>
      <c r="R1804" s="60"/>
      <c r="S1804" s="60"/>
      <c r="T1804" s="60"/>
      <c r="U1804" s="60"/>
      <c r="V1804" s="60"/>
      <c r="W1804" s="60"/>
      <c r="X1804" s="60"/>
      <c r="Y1804" s="60"/>
      <c r="Z1804" s="60"/>
    </row>
    <row r="1805" spans="1:26" ht="30" hidden="1" customHeight="1">
      <c r="A1805" s="57" t="s">
        <v>3574</v>
      </c>
      <c r="B1805" s="51" t="s">
        <v>3575</v>
      </c>
      <c r="C1805" s="58"/>
      <c r="D1805" s="52"/>
      <c r="E1805" s="53"/>
      <c r="F1805" s="53"/>
      <c r="G1805" s="96">
        <f t="shared" si="540"/>
        <v>0</v>
      </c>
      <c r="H1805" s="96"/>
      <c r="I1805" s="60"/>
      <c r="J1805" s="60"/>
      <c r="K1805" s="60"/>
      <c r="L1805" s="60"/>
      <c r="M1805" s="60"/>
      <c r="N1805" s="60"/>
      <c r="O1805" s="60"/>
      <c r="P1805" s="60"/>
      <c r="Q1805" s="60"/>
      <c r="R1805" s="60"/>
      <c r="S1805" s="60"/>
      <c r="T1805" s="60"/>
      <c r="U1805" s="60"/>
      <c r="V1805" s="60"/>
      <c r="W1805" s="60"/>
      <c r="X1805" s="60"/>
      <c r="Y1805" s="60"/>
      <c r="Z1805" s="60"/>
    </row>
    <row r="1806" spans="1:26" ht="30" hidden="1" customHeight="1">
      <c r="A1806" s="50" t="s">
        <v>3576</v>
      </c>
      <c r="B1806" s="51" t="s">
        <v>3577</v>
      </c>
      <c r="C1806" s="58"/>
      <c r="D1806" s="52"/>
      <c r="E1806" s="53"/>
      <c r="F1806" s="53"/>
      <c r="G1806" s="96">
        <f t="shared" si="540"/>
        <v>0</v>
      </c>
      <c r="H1806" s="96"/>
      <c r="I1806" s="60"/>
      <c r="J1806" s="60"/>
      <c r="K1806" s="60"/>
      <c r="L1806" s="60"/>
      <c r="M1806" s="60"/>
      <c r="N1806" s="60"/>
      <c r="O1806" s="60"/>
      <c r="P1806" s="60"/>
      <c r="Q1806" s="60"/>
      <c r="R1806" s="60"/>
      <c r="S1806" s="60"/>
      <c r="T1806" s="60"/>
      <c r="U1806" s="60"/>
      <c r="V1806" s="60"/>
      <c r="W1806" s="60"/>
      <c r="X1806" s="60"/>
      <c r="Y1806" s="60"/>
      <c r="Z1806" s="60"/>
    </row>
    <row r="1807" spans="1:26" ht="30" hidden="1" customHeight="1">
      <c r="A1807" s="57" t="s">
        <v>3578</v>
      </c>
      <c r="B1807" s="51" t="s">
        <v>3579</v>
      </c>
      <c r="C1807" s="58"/>
      <c r="D1807" s="52"/>
      <c r="E1807" s="53"/>
      <c r="F1807" s="53"/>
      <c r="G1807" s="96">
        <f t="shared" si="540"/>
        <v>0</v>
      </c>
      <c r="H1807" s="96"/>
      <c r="I1807" s="60"/>
      <c r="J1807" s="60"/>
      <c r="K1807" s="60"/>
      <c r="L1807" s="60"/>
      <c r="M1807" s="60"/>
      <c r="N1807" s="60"/>
      <c r="O1807" s="60"/>
      <c r="P1807" s="60"/>
      <c r="Q1807" s="60"/>
      <c r="R1807" s="60"/>
      <c r="S1807" s="60"/>
      <c r="T1807" s="60"/>
      <c r="U1807" s="60"/>
      <c r="V1807" s="60"/>
      <c r="W1807" s="60"/>
      <c r="X1807" s="60"/>
      <c r="Y1807" s="60"/>
      <c r="Z1807" s="60"/>
    </row>
    <row r="1808" spans="1:26" ht="30" hidden="1" customHeight="1">
      <c r="A1808" s="50" t="s">
        <v>3580</v>
      </c>
      <c r="B1808" s="51" t="s">
        <v>3581</v>
      </c>
      <c r="C1808" s="58"/>
      <c r="D1808" s="52"/>
      <c r="E1808" s="53"/>
      <c r="F1808" s="53"/>
      <c r="G1808" s="96">
        <f t="shared" si="540"/>
        <v>0</v>
      </c>
      <c r="H1808" s="96"/>
      <c r="I1808" s="60"/>
      <c r="J1808" s="60"/>
      <c r="K1808" s="60"/>
      <c r="L1808" s="60"/>
      <c r="M1808" s="60"/>
      <c r="N1808" s="60"/>
      <c r="O1808" s="60"/>
      <c r="P1808" s="60"/>
      <c r="Q1808" s="60"/>
      <c r="R1808" s="60"/>
      <c r="S1808" s="60"/>
      <c r="T1808" s="60"/>
      <c r="U1808" s="60"/>
      <c r="V1808" s="60"/>
      <c r="W1808" s="60"/>
      <c r="X1808" s="60"/>
      <c r="Y1808" s="60"/>
      <c r="Z1808" s="60"/>
    </row>
    <row r="1809" spans="1:26" ht="30" hidden="1" customHeight="1">
      <c r="A1809" s="57" t="s">
        <v>3582</v>
      </c>
      <c r="B1809" s="51" t="s">
        <v>3583</v>
      </c>
      <c r="C1809" s="58"/>
      <c r="D1809" s="52"/>
      <c r="E1809" s="53"/>
      <c r="F1809" s="53"/>
      <c r="G1809" s="96">
        <f t="shared" si="540"/>
        <v>0</v>
      </c>
      <c r="H1809" s="96"/>
      <c r="I1809" s="60"/>
      <c r="J1809" s="60"/>
      <c r="K1809" s="60"/>
      <c r="L1809" s="60"/>
      <c r="M1809" s="60"/>
      <c r="N1809" s="60"/>
      <c r="O1809" s="60"/>
      <c r="P1809" s="60"/>
      <c r="Q1809" s="60"/>
      <c r="R1809" s="60"/>
      <c r="S1809" s="60"/>
      <c r="T1809" s="60"/>
      <c r="U1809" s="60"/>
      <c r="V1809" s="60"/>
      <c r="W1809" s="60"/>
      <c r="X1809" s="60"/>
      <c r="Y1809" s="60"/>
      <c r="Z1809" s="60"/>
    </row>
    <row r="1810" spans="1:26" ht="30" hidden="1" customHeight="1">
      <c r="A1810" s="50" t="s">
        <v>3584</v>
      </c>
      <c r="B1810" s="51" t="s">
        <v>3585</v>
      </c>
      <c r="C1810" s="58"/>
      <c r="D1810" s="52"/>
      <c r="E1810" s="53"/>
      <c r="F1810" s="53"/>
      <c r="G1810" s="96">
        <f t="shared" si="540"/>
        <v>0</v>
      </c>
      <c r="H1810" s="96"/>
      <c r="I1810" s="60"/>
      <c r="J1810" s="60"/>
      <c r="K1810" s="60"/>
      <c r="L1810" s="60"/>
      <c r="M1810" s="60"/>
      <c r="N1810" s="60"/>
      <c r="O1810" s="60"/>
      <c r="P1810" s="60"/>
      <c r="Q1810" s="60"/>
      <c r="R1810" s="60"/>
      <c r="S1810" s="60"/>
      <c r="T1810" s="60"/>
      <c r="U1810" s="60"/>
      <c r="V1810" s="60"/>
      <c r="W1810" s="60"/>
      <c r="X1810" s="60"/>
      <c r="Y1810" s="60"/>
      <c r="Z1810" s="60"/>
    </row>
    <row r="1811" spans="1:26" ht="30" hidden="1" customHeight="1">
      <c r="A1811" s="73">
        <v>82500</v>
      </c>
      <c r="B1811" s="91" t="s">
        <v>3586</v>
      </c>
      <c r="C1811" s="80"/>
      <c r="D1811" s="34"/>
      <c r="E1811" s="34">
        <f t="shared" ref="E1811:F1811" si="541">E1812+E1827+E1846+E1865+E1884+E1903+E1910+E1925+E1932</f>
        <v>4357531815.6599998</v>
      </c>
      <c r="F1811" s="34">
        <f t="shared" si="541"/>
        <v>4357531815.6599998</v>
      </c>
      <c r="G1811" s="35">
        <f>E1811-F1811</f>
        <v>0</v>
      </c>
      <c r="H1811" s="35"/>
      <c r="I1811" s="60"/>
      <c r="J1811" s="60"/>
      <c r="K1811" s="60"/>
      <c r="L1811" s="60"/>
      <c r="M1811" s="60"/>
      <c r="N1811" s="60"/>
      <c r="O1811" s="60"/>
      <c r="P1811" s="60"/>
      <c r="Q1811" s="60"/>
      <c r="R1811" s="60"/>
      <c r="S1811" s="60"/>
      <c r="T1811" s="60"/>
      <c r="U1811" s="60"/>
      <c r="V1811" s="60"/>
      <c r="W1811" s="60"/>
      <c r="X1811" s="60"/>
      <c r="Y1811" s="60"/>
      <c r="Z1811" s="60"/>
    </row>
    <row r="1812" spans="1:26" ht="30" hidden="1" customHeight="1">
      <c r="A1812" s="92" t="s">
        <v>3587</v>
      </c>
      <c r="B1812" s="100" t="s">
        <v>2529</v>
      </c>
      <c r="C1812" s="94"/>
      <c r="D1812" s="94"/>
      <c r="E1812" s="39">
        <f t="shared" ref="E1812:G1812" si="542">SUM(E1813:E1826)</f>
        <v>2255249455.52</v>
      </c>
      <c r="F1812" s="39">
        <f t="shared" si="542"/>
        <v>2255249455.52</v>
      </c>
      <c r="G1812" s="39">
        <f t="shared" si="542"/>
        <v>0</v>
      </c>
      <c r="H1812" s="94"/>
      <c r="I1812" s="60"/>
      <c r="J1812" s="60"/>
      <c r="K1812" s="60"/>
      <c r="L1812" s="60"/>
      <c r="M1812" s="60"/>
      <c r="N1812" s="60"/>
      <c r="O1812" s="60"/>
      <c r="P1812" s="60"/>
      <c r="Q1812" s="60"/>
      <c r="R1812" s="60"/>
      <c r="S1812" s="60"/>
      <c r="T1812" s="60"/>
      <c r="U1812" s="60"/>
      <c r="V1812" s="60"/>
      <c r="W1812" s="60"/>
      <c r="X1812" s="60"/>
      <c r="Y1812" s="60"/>
      <c r="Z1812" s="60"/>
    </row>
    <row r="1813" spans="1:26" ht="30" hidden="1" customHeight="1">
      <c r="A1813" s="98" t="s">
        <v>3588</v>
      </c>
      <c r="B1813" s="68" t="s">
        <v>3589</v>
      </c>
      <c r="C1813" s="99"/>
      <c r="D1813" s="96"/>
      <c r="E1813" s="53">
        <v>1316857737.0699999</v>
      </c>
      <c r="F1813" s="53">
        <v>1316857737.0699999</v>
      </c>
      <c r="G1813" s="96">
        <f t="shared" ref="G1813:G1826" si="543">ROUND(E1813-F1813,2)</f>
        <v>0</v>
      </c>
      <c r="H1813" s="96"/>
      <c r="I1813" s="60"/>
      <c r="J1813" s="60"/>
      <c r="K1813" s="60"/>
      <c r="L1813" s="60"/>
      <c r="M1813" s="60"/>
      <c r="N1813" s="60"/>
      <c r="O1813" s="60"/>
      <c r="P1813" s="60"/>
      <c r="Q1813" s="60"/>
      <c r="R1813" s="60"/>
      <c r="S1813" s="60"/>
      <c r="T1813" s="60"/>
      <c r="U1813" s="60"/>
      <c r="V1813" s="60"/>
      <c r="W1813" s="60"/>
      <c r="X1813" s="60"/>
      <c r="Y1813" s="60"/>
      <c r="Z1813" s="60"/>
    </row>
    <row r="1814" spans="1:26" ht="30" hidden="1" customHeight="1">
      <c r="A1814" s="95" t="s">
        <v>3590</v>
      </c>
      <c r="B1814" s="68" t="s">
        <v>3591</v>
      </c>
      <c r="C1814" s="99"/>
      <c r="D1814" s="96"/>
      <c r="E1814" s="53"/>
      <c r="F1814" s="53"/>
      <c r="G1814" s="96">
        <f t="shared" si="543"/>
        <v>0</v>
      </c>
      <c r="H1814" s="96"/>
      <c r="I1814" s="60"/>
      <c r="J1814" s="60"/>
      <c r="K1814" s="60"/>
      <c r="L1814" s="60"/>
      <c r="M1814" s="60"/>
      <c r="N1814" s="60"/>
      <c r="O1814" s="60"/>
      <c r="P1814" s="60"/>
      <c r="Q1814" s="60"/>
      <c r="R1814" s="60"/>
      <c r="S1814" s="60"/>
      <c r="T1814" s="60"/>
      <c r="U1814" s="60"/>
      <c r="V1814" s="60"/>
      <c r="W1814" s="60"/>
      <c r="X1814" s="60"/>
      <c r="Y1814" s="60"/>
      <c r="Z1814" s="60"/>
    </row>
    <row r="1815" spans="1:26" ht="30" hidden="1" customHeight="1">
      <c r="A1815" s="98" t="s">
        <v>3592</v>
      </c>
      <c r="B1815" s="68" t="s">
        <v>3593</v>
      </c>
      <c r="C1815" s="99"/>
      <c r="D1815" s="96"/>
      <c r="E1815" s="53">
        <v>170697462.55000001</v>
      </c>
      <c r="F1815" s="53">
        <v>170697462.55000001</v>
      </c>
      <c r="G1815" s="96">
        <f t="shared" si="543"/>
        <v>0</v>
      </c>
      <c r="H1815" s="96"/>
      <c r="I1815" s="60"/>
      <c r="J1815" s="60"/>
      <c r="K1815" s="60"/>
      <c r="L1815" s="60"/>
      <c r="M1815" s="60"/>
      <c r="N1815" s="60"/>
      <c r="O1815" s="60"/>
      <c r="P1815" s="60"/>
      <c r="Q1815" s="60"/>
      <c r="R1815" s="60"/>
      <c r="S1815" s="60"/>
      <c r="T1815" s="60"/>
      <c r="U1815" s="60"/>
      <c r="V1815" s="60"/>
      <c r="W1815" s="60"/>
      <c r="X1815" s="60"/>
      <c r="Y1815" s="60"/>
      <c r="Z1815" s="60"/>
    </row>
    <row r="1816" spans="1:26" ht="30" hidden="1" customHeight="1">
      <c r="A1816" s="95" t="s">
        <v>3594</v>
      </c>
      <c r="B1816" s="68" t="s">
        <v>3595</v>
      </c>
      <c r="C1816" s="99"/>
      <c r="D1816" s="96"/>
      <c r="E1816" s="53"/>
      <c r="F1816" s="53"/>
      <c r="G1816" s="96">
        <f t="shared" si="543"/>
        <v>0</v>
      </c>
      <c r="H1816" s="96"/>
      <c r="I1816" s="60"/>
      <c r="J1816" s="60"/>
      <c r="K1816" s="60"/>
      <c r="L1816" s="60"/>
      <c r="M1816" s="60"/>
      <c r="N1816" s="60"/>
      <c r="O1816" s="60"/>
      <c r="P1816" s="60"/>
      <c r="Q1816" s="60"/>
      <c r="R1816" s="60"/>
      <c r="S1816" s="60"/>
      <c r="T1816" s="60"/>
      <c r="U1816" s="60"/>
      <c r="V1816" s="60"/>
      <c r="W1816" s="60"/>
      <c r="X1816" s="60"/>
      <c r="Y1816" s="60"/>
      <c r="Z1816" s="60"/>
    </row>
    <row r="1817" spans="1:26" ht="30" hidden="1" customHeight="1">
      <c r="A1817" s="98" t="s">
        <v>3596</v>
      </c>
      <c r="B1817" s="68" t="s">
        <v>3597</v>
      </c>
      <c r="C1817" s="99"/>
      <c r="D1817" s="96"/>
      <c r="E1817" s="53">
        <v>94863388.640000001</v>
      </c>
      <c r="F1817" s="53">
        <v>94863388.640000001</v>
      </c>
      <c r="G1817" s="96">
        <f t="shared" si="543"/>
        <v>0</v>
      </c>
      <c r="H1817" s="96"/>
      <c r="I1817" s="60"/>
      <c r="J1817" s="60"/>
      <c r="K1817" s="60"/>
      <c r="L1817" s="60"/>
      <c r="M1817" s="60"/>
      <c r="N1817" s="60"/>
      <c r="O1817" s="60"/>
      <c r="P1817" s="60"/>
      <c r="Q1817" s="60"/>
      <c r="R1817" s="60"/>
      <c r="S1817" s="60"/>
      <c r="T1817" s="60"/>
      <c r="U1817" s="60"/>
      <c r="V1817" s="60"/>
      <c r="W1817" s="60"/>
      <c r="X1817" s="60"/>
      <c r="Y1817" s="60"/>
      <c r="Z1817" s="60"/>
    </row>
    <row r="1818" spans="1:26" ht="30" hidden="1" customHeight="1">
      <c r="A1818" s="95" t="s">
        <v>3598</v>
      </c>
      <c r="B1818" s="68" t="s">
        <v>3599</v>
      </c>
      <c r="C1818" s="99"/>
      <c r="D1818" s="96"/>
      <c r="E1818" s="53"/>
      <c r="F1818" s="53"/>
      <c r="G1818" s="96">
        <f t="shared" si="543"/>
        <v>0</v>
      </c>
      <c r="H1818" s="96"/>
      <c r="I1818" s="60"/>
      <c r="J1818" s="60"/>
      <c r="K1818" s="60"/>
      <c r="L1818" s="60"/>
      <c r="M1818" s="60"/>
      <c r="N1818" s="60"/>
      <c r="O1818" s="60"/>
      <c r="P1818" s="60"/>
      <c r="Q1818" s="60"/>
      <c r="R1818" s="60"/>
      <c r="S1818" s="60"/>
      <c r="T1818" s="60"/>
      <c r="U1818" s="60"/>
      <c r="V1818" s="60"/>
      <c r="W1818" s="60"/>
      <c r="X1818" s="60"/>
      <c r="Y1818" s="60"/>
      <c r="Z1818" s="60"/>
    </row>
    <row r="1819" spans="1:26" ht="30" hidden="1" customHeight="1">
      <c r="A1819" s="98" t="s">
        <v>3600</v>
      </c>
      <c r="B1819" s="68" t="s">
        <v>3601</v>
      </c>
      <c r="C1819" s="99"/>
      <c r="D1819" s="96"/>
      <c r="E1819" s="53">
        <v>439151401.88</v>
      </c>
      <c r="F1819" s="53">
        <v>439151401.88</v>
      </c>
      <c r="G1819" s="96">
        <f t="shared" si="543"/>
        <v>0</v>
      </c>
      <c r="H1819" s="96"/>
      <c r="I1819" s="60"/>
      <c r="J1819" s="60"/>
      <c r="K1819" s="60"/>
      <c r="L1819" s="60"/>
      <c r="M1819" s="60"/>
      <c r="N1819" s="60"/>
      <c r="O1819" s="60"/>
      <c r="P1819" s="60"/>
      <c r="Q1819" s="60"/>
      <c r="R1819" s="60"/>
      <c r="S1819" s="60"/>
      <c r="T1819" s="60"/>
      <c r="U1819" s="60"/>
      <c r="V1819" s="60"/>
      <c r="W1819" s="60"/>
      <c r="X1819" s="60"/>
      <c r="Y1819" s="60"/>
      <c r="Z1819" s="60"/>
    </row>
    <row r="1820" spans="1:26" ht="30" hidden="1" customHeight="1">
      <c r="A1820" s="95" t="s">
        <v>3602</v>
      </c>
      <c r="B1820" s="68" t="s">
        <v>3603</v>
      </c>
      <c r="C1820" s="99"/>
      <c r="D1820" s="96"/>
      <c r="E1820" s="53"/>
      <c r="F1820" s="53"/>
      <c r="G1820" s="96">
        <f t="shared" si="543"/>
        <v>0</v>
      </c>
      <c r="H1820" s="96"/>
      <c r="I1820" s="60"/>
      <c r="J1820" s="60"/>
      <c r="K1820" s="60"/>
      <c r="L1820" s="60"/>
      <c r="M1820" s="60"/>
      <c r="N1820" s="60"/>
      <c r="O1820" s="60"/>
      <c r="P1820" s="60"/>
      <c r="Q1820" s="60"/>
      <c r="R1820" s="60"/>
      <c r="S1820" s="60"/>
      <c r="T1820" s="60"/>
      <c r="U1820" s="60"/>
      <c r="V1820" s="60"/>
      <c r="W1820" s="60"/>
      <c r="X1820" s="60"/>
      <c r="Y1820" s="60"/>
      <c r="Z1820" s="60"/>
    </row>
    <row r="1821" spans="1:26" ht="30" hidden="1" customHeight="1">
      <c r="A1821" s="98" t="s">
        <v>3604</v>
      </c>
      <c r="B1821" s="68" t="s">
        <v>3605</v>
      </c>
      <c r="C1821" s="99"/>
      <c r="D1821" s="96"/>
      <c r="E1821" s="53">
        <v>233679465.38</v>
      </c>
      <c r="F1821" s="53">
        <v>233679465.38</v>
      </c>
      <c r="G1821" s="96">
        <f t="shared" si="543"/>
        <v>0</v>
      </c>
      <c r="H1821" s="96"/>
      <c r="I1821" s="60"/>
      <c r="J1821" s="60"/>
      <c r="K1821" s="60"/>
      <c r="L1821" s="60"/>
      <c r="M1821" s="60"/>
      <c r="N1821" s="60"/>
      <c r="O1821" s="60"/>
      <c r="P1821" s="60"/>
      <c r="Q1821" s="60"/>
      <c r="R1821" s="60"/>
      <c r="S1821" s="60"/>
      <c r="T1821" s="60"/>
      <c r="U1821" s="60"/>
      <c r="V1821" s="60"/>
      <c r="W1821" s="60"/>
      <c r="X1821" s="60"/>
      <c r="Y1821" s="60"/>
      <c r="Z1821" s="60"/>
    </row>
    <row r="1822" spans="1:26" ht="30" hidden="1" customHeight="1">
      <c r="A1822" s="95" t="s">
        <v>3606</v>
      </c>
      <c r="B1822" s="68" t="s">
        <v>3607</v>
      </c>
      <c r="C1822" s="99"/>
      <c r="D1822" s="96"/>
      <c r="E1822" s="53"/>
      <c r="F1822" s="53"/>
      <c r="G1822" s="96">
        <f t="shared" si="543"/>
        <v>0</v>
      </c>
      <c r="H1822" s="96"/>
      <c r="I1822" s="60"/>
      <c r="J1822" s="60"/>
      <c r="K1822" s="60"/>
      <c r="L1822" s="60"/>
      <c r="M1822" s="60"/>
      <c r="N1822" s="60"/>
      <c r="O1822" s="60"/>
      <c r="P1822" s="60"/>
      <c r="Q1822" s="60"/>
      <c r="R1822" s="60"/>
      <c r="S1822" s="60"/>
      <c r="T1822" s="60"/>
      <c r="U1822" s="60"/>
      <c r="V1822" s="60"/>
      <c r="W1822" s="60"/>
      <c r="X1822" s="60"/>
      <c r="Y1822" s="60"/>
      <c r="Z1822" s="60"/>
    </row>
    <row r="1823" spans="1:26" ht="30" hidden="1" customHeight="1">
      <c r="A1823" s="98" t="s">
        <v>3608</v>
      </c>
      <c r="B1823" s="68" t="s">
        <v>3609</v>
      </c>
      <c r="C1823" s="99"/>
      <c r="D1823" s="96"/>
      <c r="E1823" s="53"/>
      <c r="F1823" s="53"/>
      <c r="G1823" s="96">
        <f t="shared" si="543"/>
        <v>0</v>
      </c>
      <c r="H1823" s="96"/>
      <c r="I1823" s="60"/>
      <c r="J1823" s="60"/>
      <c r="K1823" s="60"/>
      <c r="L1823" s="60"/>
      <c r="M1823" s="60"/>
      <c r="N1823" s="60"/>
      <c r="O1823" s="60"/>
      <c r="P1823" s="60"/>
      <c r="Q1823" s="60"/>
      <c r="R1823" s="60"/>
      <c r="S1823" s="60"/>
      <c r="T1823" s="60"/>
      <c r="U1823" s="60"/>
      <c r="V1823" s="60"/>
      <c r="W1823" s="60"/>
      <c r="X1823" s="60"/>
      <c r="Y1823" s="60"/>
      <c r="Z1823" s="60"/>
    </row>
    <row r="1824" spans="1:26" ht="30" hidden="1" customHeight="1">
      <c r="A1824" s="95" t="s">
        <v>3610</v>
      </c>
      <c r="B1824" s="68" t="s">
        <v>3611</v>
      </c>
      <c r="C1824" s="99"/>
      <c r="D1824" s="96"/>
      <c r="E1824" s="53"/>
      <c r="F1824" s="53"/>
      <c r="G1824" s="96">
        <f t="shared" si="543"/>
        <v>0</v>
      </c>
      <c r="H1824" s="96"/>
      <c r="I1824" s="60"/>
      <c r="J1824" s="60"/>
      <c r="K1824" s="60"/>
      <c r="L1824" s="60"/>
      <c r="M1824" s="60"/>
      <c r="N1824" s="60"/>
      <c r="O1824" s="60"/>
      <c r="P1824" s="60"/>
      <c r="Q1824" s="60"/>
      <c r="R1824" s="60"/>
      <c r="S1824" s="60"/>
      <c r="T1824" s="60"/>
      <c r="U1824" s="60"/>
      <c r="V1824" s="60"/>
      <c r="W1824" s="60"/>
      <c r="X1824" s="60"/>
      <c r="Y1824" s="60"/>
      <c r="Z1824" s="60"/>
    </row>
    <row r="1825" spans="1:26" ht="30" hidden="1" customHeight="1">
      <c r="A1825" s="98" t="s">
        <v>3612</v>
      </c>
      <c r="B1825" s="68" t="s">
        <v>3613</v>
      </c>
      <c r="C1825" s="99"/>
      <c r="D1825" s="96"/>
      <c r="E1825" s="53"/>
      <c r="F1825" s="53"/>
      <c r="G1825" s="96">
        <f t="shared" si="543"/>
        <v>0</v>
      </c>
      <c r="H1825" s="96"/>
      <c r="I1825" s="60"/>
      <c r="J1825" s="60"/>
      <c r="K1825" s="60"/>
      <c r="L1825" s="60"/>
      <c r="M1825" s="60"/>
      <c r="N1825" s="60"/>
      <c r="O1825" s="60"/>
      <c r="P1825" s="60"/>
      <c r="Q1825" s="60"/>
      <c r="R1825" s="60"/>
      <c r="S1825" s="60"/>
      <c r="T1825" s="60"/>
      <c r="U1825" s="60"/>
      <c r="V1825" s="60"/>
      <c r="W1825" s="60"/>
      <c r="X1825" s="60"/>
      <c r="Y1825" s="60"/>
      <c r="Z1825" s="60"/>
    </row>
    <row r="1826" spans="1:26" ht="30" hidden="1" customHeight="1">
      <c r="A1826" s="95" t="s">
        <v>3614</v>
      </c>
      <c r="B1826" s="68" t="s">
        <v>3615</v>
      </c>
      <c r="C1826" s="99"/>
      <c r="D1826" s="96"/>
      <c r="E1826" s="53"/>
      <c r="F1826" s="53"/>
      <c r="G1826" s="96">
        <f t="shared" si="543"/>
        <v>0</v>
      </c>
      <c r="H1826" s="96"/>
      <c r="I1826" s="60"/>
      <c r="J1826" s="60"/>
      <c r="K1826" s="60"/>
      <c r="L1826" s="60"/>
      <c r="M1826" s="60"/>
      <c r="N1826" s="60"/>
      <c r="O1826" s="60"/>
      <c r="P1826" s="60"/>
      <c r="Q1826" s="60"/>
      <c r="R1826" s="60"/>
      <c r="S1826" s="60"/>
      <c r="T1826" s="60"/>
      <c r="U1826" s="60"/>
      <c r="V1826" s="60"/>
      <c r="W1826" s="60"/>
      <c r="X1826" s="60"/>
      <c r="Y1826" s="60"/>
      <c r="Z1826" s="60"/>
    </row>
    <row r="1827" spans="1:26" ht="30" hidden="1" customHeight="1">
      <c r="A1827" s="92" t="s">
        <v>3616</v>
      </c>
      <c r="B1827" s="101" t="s">
        <v>2559</v>
      </c>
      <c r="C1827" s="94"/>
      <c r="D1827" s="94"/>
      <c r="E1827" s="39">
        <f t="shared" ref="E1827:G1827" si="544">SUM(E1828:E1845)</f>
        <v>124168010.78</v>
      </c>
      <c r="F1827" s="39">
        <f t="shared" si="544"/>
        <v>124168010.78</v>
      </c>
      <c r="G1827" s="39">
        <f t="shared" si="544"/>
        <v>0</v>
      </c>
      <c r="H1827" s="94"/>
      <c r="I1827" s="60"/>
      <c r="J1827" s="60"/>
      <c r="K1827" s="60"/>
      <c r="L1827" s="60"/>
      <c r="M1827" s="60"/>
      <c r="N1827" s="60"/>
      <c r="O1827" s="60"/>
      <c r="P1827" s="60"/>
      <c r="Q1827" s="60"/>
      <c r="R1827" s="60"/>
      <c r="S1827" s="60"/>
      <c r="T1827" s="60"/>
      <c r="U1827" s="60"/>
      <c r="V1827" s="60"/>
      <c r="W1827" s="60"/>
      <c r="X1827" s="60"/>
      <c r="Y1827" s="60"/>
      <c r="Z1827" s="60"/>
    </row>
    <row r="1828" spans="1:26" ht="30" hidden="1" customHeight="1">
      <c r="A1828" s="98" t="s">
        <v>3617</v>
      </c>
      <c r="B1828" s="68" t="s">
        <v>3618</v>
      </c>
      <c r="C1828" s="99"/>
      <c r="D1828" s="96"/>
      <c r="E1828" s="53">
        <v>1301320.5</v>
      </c>
      <c r="F1828" s="53">
        <v>1301320.5</v>
      </c>
      <c r="G1828" s="96">
        <f t="shared" ref="G1828:G1845" si="545">ROUND(E1828-F1828,2)</f>
        <v>0</v>
      </c>
      <c r="H1828" s="96"/>
      <c r="I1828" s="60"/>
      <c r="J1828" s="60"/>
      <c r="K1828" s="60"/>
      <c r="L1828" s="60"/>
      <c r="M1828" s="60"/>
      <c r="N1828" s="60"/>
      <c r="O1828" s="60"/>
      <c r="P1828" s="60"/>
      <c r="Q1828" s="60"/>
      <c r="R1828" s="60"/>
      <c r="S1828" s="60"/>
      <c r="T1828" s="60"/>
      <c r="U1828" s="60"/>
      <c r="V1828" s="60"/>
      <c r="W1828" s="60"/>
      <c r="X1828" s="60"/>
      <c r="Y1828" s="60"/>
      <c r="Z1828" s="60"/>
    </row>
    <row r="1829" spans="1:26" ht="30" hidden="1" customHeight="1">
      <c r="A1829" s="95" t="s">
        <v>3619</v>
      </c>
      <c r="B1829" s="68" t="s">
        <v>3620</v>
      </c>
      <c r="C1829" s="99"/>
      <c r="D1829" s="96"/>
      <c r="E1829" s="53"/>
      <c r="F1829" s="53"/>
      <c r="G1829" s="96">
        <f t="shared" si="545"/>
        <v>0</v>
      </c>
      <c r="H1829" s="96"/>
      <c r="I1829" s="60"/>
      <c r="J1829" s="60"/>
      <c r="K1829" s="60"/>
      <c r="L1829" s="60"/>
      <c r="M1829" s="60"/>
      <c r="N1829" s="60"/>
      <c r="O1829" s="60"/>
      <c r="P1829" s="60"/>
      <c r="Q1829" s="60"/>
      <c r="R1829" s="60"/>
      <c r="S1829" s="60"/>
      <c r="T1829" s="60"/>
      <c r="U1829" s="60"/>
      <c r="V1829" s="60"/>
      <c r="W1829" s="60"/>
      <c r="X1829" s="60"/>
      <c r="Y1829" s="60"/>
      <c r="Z1829" s="60"/>
    </row>
    <row r="1830" spans="1:26" ht="30" hidden="1" customHeight="1">
      <c r="A1830" s="98" t="s">
        <v>3621</v>
      </c>
      <c r="B1830" s="68" t="s">
        <v>3622</v>
      </c>
      <c r="C1830" s="99"/>
      <c r="D1830" s="96"/>
      <c r="E1830" s="53">
        <v>3823039.63</v>
      </c>
      <c r="F1830" s="53">
        <v>3823039.63</v>
      </c>
      <c r="G1830" s="96">
        <f t="shared" si="545"/>
        <v>0</v>
      </c>
      <c r="H1830" s="96"/>
      <c r="I1830" s="60"/>
      <c r="J1830" s="60"/>
      <c r="K1830" s="60"/>
      <c r="L1830" s="60"/>
      <c r="M1830" s="60"/>
      <c r="N1830" s="60"/>
      <c r="O1830" s="60"/>
      <c r="P1830" s="60"/>
      <c r="Q1830" s="60"/>
      <c r="R1830" s="60"/>
      <c r="S1830" s="60"/>
      <c r="T1830" s="60"/>
      <c r="U1830" s="60"/>
      <c r="V1830" s="60"/>
      <c r="W1830" s="60"/>
      <c r="X1830" s="60"/>
      <c r="Y1830" s="60"/>
      <c r="Z1830" s="60"/>
    </row>
    <row r="1831" spans="1:26" ht="30" hidden="1" customHeight="1">
      <c r="A1831" s="95" t="s">
        <v>3623</v>
      </c>
      <c r="B1831" s="68" t="s">
        <v>3624</v>
      </c>
      <c r="C1831" s="99"/>
      <c r="D1831" s="96"/>
      <c r="E1831" s="53"/>
      <c r="F1831" s="53"/>
      <c r="G1831" s="96">
        <f t="shared" si="545"/>
        <v>0</v>
      </c>
      <c r="H1831" s="96"/>
      <c r="I1831" s="60"/>
      <c r="J1831" s="60"/>
      <c r="K1831" s="60"/>
      <c r="L1831" s="60"/>
      <c r="M1831" s="60"/>
      <c r="N1831" s="60"/>
      <c r="O1831" s="60"/>
      <c r="P1831" s="60"/>
      <c r="Q1831" s="60"/>
      <c r="R1831" s="60"/>
      <c r="S1831" s="60"/>
      <c r="T1831" s="60"/>
      <c r="U1831" s="60"/>
      <c r="V1831" s="60"/>
      <c r="W1831" s="60"/>
      <c r="X1831" s="60"/>
      <c r="Y1831" s="60"/>
      <c r="Z1831" s="60"/>
    </row>
    <row r="1832" spans="1:26" ht="30" hidden="1" customHeight="1">
      <c r="A1832" s="98" t="s">
        <v>3625</v>
      </c>
      <c r="B1832" s="68" t="s">
        <v>3626</v>
      </c>
      <c r="C1832" s="99"/>
      <c r="D1832" s="96"/>
      <c r="E1832" s="53">
        <v>51364.01</v>
      </c>
      <c r="F1832" s="53">
        <v>51364.01</v>
      </c>
      <c r="G1832" s="96">
        <f t="shared" si="545"/>
        <v>0</v>
      </c>
      <c r="H1832" s="96"/>
      <c r="I1832" s="60"/>
      <c r="J1832" s="60"/>
      <c r="K1832" s="60"/>
      <c r="L1832" s="60"/>
      <c r="M1832" s="60"/>
      <c r="N1832" s="60"/>
      <c r="O1832" s="60"/>
      <c r="P1832" s="60"/>
      <c r="Q1832" s="60"/>
      <c r="R1832" s="60"/>
      <c r="S1832" s="60"/>
      <c r="T1832" s="60"/>
      <c r="U1832" s="60"/>
      <c r="V1832" s="60"/>
      <c r="W1832" s="60"/>
      <c r="X1832" s="60"/>
      <c r="Y1832" s="60"/>
      <c r="Z1832" s="60"/>
    </row>
    <row r="1833" spans="1:26" ht="30" hidden="1" customHeight="1">
      <c r="A1833" s="95" t="s">
        <v>3627</v>
      </c>
      <c r="B1833" s="68" t="s">
        <v>3628</v>
      </c>
      <c r="C1833" s="99"/>
      <c r="D1833" s="96"/>
      <c r="E1833" s="96"/>
      <c r="F1833" s="96"/>
      <c r="G1833" s="96">
        <f t="shared" si="545"/>
        <v>0</v>
      </c>
      <c r="H1833" s="96"/>
      <c r="I1833" s="60"/>
      <c r="J1833" s="60"/>
      <c r="K1833" s="60"/>
      <c r="L1833" s="60"/>
      <c r="M1833" s="60"/>
      <c r="N1833" s="60"/>
      <c r="O1833" s="60"/>
      <c r="P1833" s="60"/>
      <c r="Q1833" s="60"/>
      <c r="R1833" s="60"/>
      <c r="S1833" s="60"/>
      <c r="T1833" s="60"/>
      <c r="U1833" s="60"/>
      <c r="V1833" s="60"/>
      <c r="W1833" s="60"/>
      <c r="X1833" s="60"/>
      <c r="Y1833" s="60"/>
      <c r="Z1833" s="60"/>
    </row>
    <row r="1834" spans="1:26" ht="30" hidden="1" customHeight="1">
      <c r="A1834" s="98" t="s">
        <v>3629</v>
      </c>
      <c r="B1834" s="68" t="s">
        <v>3630</v>
      </c>
      <c r="C1834" s="99"/>
      <c r="D1834" s="96"/>
      <c r="E1834" s="53">
        <v>276468.64</v>
      </c>
      <c r="F1834" s="53">
        <v>276468.64</v>
      </c>
      <c r="G1834" s="96">
        <f t="shared" si="545"/>
        <v>0</v>
      </c>
      <c r="H1834" s="96"/>
      <c r="I1834" s="60"/>
      <c r="J1834" s="60"/>
      <c r="K1834" s="60"/>
      <c r="L1834" s="60"/>
      <c r="M1834" s="60"/>
      <c r="N1834" s="60"/>
      <c r="O1834" s="60"/>
      <c r="P1834" s="60"/>
      <c r="Q1834" s="60"/>
      <c r="R1834" s="60"/>
      <c r="S1834" s="60"/>
      <c r="T1834" s="60"/>
      <c r="U1834" s="60"/>
      <c r="V1834" s="60"/>
      <c r="W1834" s="60"/>
      <c r="X1834" s="60"/>
      <c r="Y1834" s="60"/>
      <c r="Z1834" s="60"/>
    </row>
    <row r="1835" spans="1:26" ht="30" hidden="1" customHeight="1">
      <c r="A1835" s="95" t="s">
        <v>3631</v>
      </c>
      <c r="B1835" s="68" t="s">
        <v>3632</v>
      </c>
      <c r="C1835" s="99"/>
      <c r="D1835" s="96"/>
      <c r="E1835" s="53"/>
      <c r="F1835" s="53"/>
      <c r="G1835" s="96">
        <f t="shared" si="545"/>
        <v>0</v>
      </c>
      <c r="H1835" s="96"/>
      <c r="I1835" s="60"/>
      <c r="J1835" s="60"/>
      <c r="K1835" s="60"/>
      <c r="L1835" s="60"/>
      <c r="M1835" s="60"/>
      <c r="N1835" s="60"/>
      <c r="O1835" s="60"/>
      <c r="P1835" s="60"/>
      <c r="Q1835" s="60"/>
      <c r="R1835" s="60"/>
      <c r="S1835" s="60"/>
      <c r="T1835" s="60"/>
      <c r="U1835" s="60"/>
      <c r="V1835" s="60"/>
      <c r="W1835" s="60"/>
      <c r="X1835" s="60"/>
      <c r="Y1835" s="60"/>
      <c r="Z1835" s="60"/>
    </row>
    <row r="1836" spans="1:26" ht="30" hidden="1" customHeight="1">
      <c r="A1836" s="98" t="s">
        <v>3633</v>
      </c>
      <c r="B1836" s="68" t="s">
        <v>3634</v>
      </c>
      <c r="C1836" s="99"/>
      <c r="D1836" s="96"/>
      <c r="E1836" s="53">
        <v>3994440.76</v>
      </c>
      <c r="F1836" s="53">
        <v>3994440.76</v>
      </c>
      <c r="G1836" s="96">
        <f t="shared" si="545"/>
        <v>0</v>
      </c>
      <c r="H1836" s="96"/>
      <c r="I1836" s="60"/>
      <c r="J1836" s="60"/>
      <c r="K1836" s="60"/>
      <c r="L1836" s="60"/>
      <c r="M1836" s="60"/>
      <c r="N1836" s="60"/>
      <c r="O1836" s="60"/>
      <c r="P1836" s="60"/>
      <c r="Q1836" s="60"/>
      <c r="R1836" s="60"/>
      <c r="S1836" s="60"/>
      <c r="T1836" s="60"/>
      <c r="U1836" s="60"/>
      <c r="V1836" s="60"/>
      <c r="W1836" s="60"/>
      <c r="X1836" s="60"/>
      <c r="Y1836" s="60"/>
      <c r="Z1836" s="60"/>
    </row>
    <row r="1837" spans="1:26" ht="30" hidden="1" customHeight="1">
      <c r="A1837" s="95" t="s">
        <v>3635</v>
      </c>
      <c r="B1837" s="68" t="s">
        <v>3636</v>
      </c>
      <c r="C1837" s="99"/>
      <c r="D1837" s="96"/>
      <c r="E1837" s="53"/>
      <c r="F1837" s="53"/>
      <c r="G1837" s="96">
        <f t="shared" si="545"/>
        <v>0</v>
      </c>
      <c r="H1837" s="96"/>
      <c r="I1837" s="60"/>
      <c r="J1837" s="60"/>
      <c r="K1837" s="60"/>
      <c r="L1837" s="60"/>
      <c r="M1837" s="60"/>
      <c r="N1837" s="60"/>
      <c r="O1837" s="60"/>
      <c r="P1837" s="60"/>
      <c r="Q1837" s="60"/>
      <c r="R1837" s="60"/>
      <c r="S1837" s="60"/>
      <c r="T1837" s="60"/>
      <c r="U1837" s="60"/>
      <c r="V1837" s="60"/>
      <c r="W1837" s="60"/>
      <c r="X1837" s="60"/>
      <c r="Y1837" s="60"/>
      <c r="Z1837" s="60"/>
    </row>
    <row r="1838" spans="1:26" ht="30" hidden="1" customHeight="1">
      <c r="A1838" s="98" t="s">
        <v>3637</v>
      </c>
      <c r="B1838" s="68" t="s">
        <v>3638</v>
      </c>
      <c r="C1838" s="99"/>
      <c r="D1838" s="96"/>
      <c r="E1838" s="53">
        <v>110665344.98999999</v>
      </c>
      <c r="F1838" s="53">
        <v>110665344.98999999</v>
      </c>
      <c r="G1838" s="96">
        <f t="shared" si="545"/>
        <v>0</v>
      </c>
      <c r="H1838" s="96"/>
      <c r="I1838" s="60"/>
      <c r="J1838" s="60"/>
      <c r="K1838" s="60"/>
      <c r="L1838" s="60"/>
      <c r="M1838" s="60"/>
      <c r="N1838" s="60"/>
      <c r="O1838" s="60"/>
      <c r="P1838" s="60"/>
      <c r="Q1838" s="60"/>
      <c r="R1838" s="60"/>
      <c r="S1838" s="60"/>
      <c r="T1838" s="60"/>
      <c r="U1838" s="60"/>
      <c r="V1838" s="60"/>
      <c r="W1838" s="60"/>
      <c r="X1838" s="60"/>
      <c r="Y1838" s="60"/>
      <c r="Z1838" s="60"/>
    </row>
    <row r="1839" spans="1:26" ht="30" hidden="1" customHeight="1">
      <c r="A1839" s="95" t="s">
        <v>3639</v>
      </c>
      <c r="B1839" s="68" t="s">
        <v>3640</v>
      </c>
      <c r="C1839" s="99"/>
      <c r="D1839" s="96"/>
      <c r="E1839" s="53"/>
      <c r="F1839" s="53"/>
      <c r="G1839" s="96">
        <f t="shared" si="545"/>
        <v>0</v>
      </c>
      <c r="H1839" s="96"/>
      <c r="I1839" s="60"/>
      <c r="J1839" s="60"/>
      <c r="K1839" s="60"/>
      <c r="L1839" s="60"/>
      <c r="M1839" s="60"/>
      <c r="N1839" s="60"/>
      <c r="O1839" s="60"/>
      <c r="P1839" s="60"/>
      <c r="Q1839" s="60"/>
      <c r="R1839" s="60"/>
      <c r="S1839" s="60"/>
      <c r="T1839" s="60"/>
      <c r="U1839" s="60"/>
      <c r="V1839" s="60"/>
      <c r="W1839" s="60"/>
      <c r="X1839" s="60"/>
      <c r="Y1839" s="60"/>
      <c r="Z1839" s="60"/>
    </row>
    <row r="1840" spans="1:26" ht="30" hidden="1" customHeight="1">
      <c r="A1840" s="98" t="s">
        <v>3641</v>
      </c>
      <c r="B1840" s="68" t="s">
        <v>3642</v>
      </c>
      <c r="C1840" s="99"/>
      <c r="D1840" s="96"/>
      <c r="E1840" s="53">
        <v>138217.18</v>
      </c>
      <c r="F1840" s="53">
        <v>138217.18</v>
      </c>
      <c r="G1840" s="96">
        <f t="shared" si="545"/>
        <v>0</v>
      </c>
      <c r="H1840" s="96"/>
      <c r="I1840" s="60"/>
      <c r="J1840" s="60"/>
      <c r="K1840" s="60"/>
      <c r="L1840" s="60"/>
      <c r="M1840" s="60"/>
      <c r="N1840" s="60"/>
      <c r="O1840" s="60"/>
      <c r="P1840" s="60"/>
      <c r="Q1840" s="60"/>
      <c r="R1840" s="60"/>
      <c r="S1840" s="60"/>
      <c r="T1840" s="60"/>
      <c r="U1840" s="60"/>
      <c r="V1840" s="60"/>
      <c r="W1840" s="60"/>
      <c r="X1840" s="60"/>
      <c r="Y1840" s="60"/>
      <c r="Z1840" s="60"/>
    </row>
    <row r="1841" spans="1:26" ht="30" hidden="1" customHeight="1">
      <c r="A1841" s="95" t="s">
        <v>3643</v>
      </c>
      <c r="B1841" s="68" t="s">
        <v>3644</v>
      </c>
      <c r="C1841" s="99"/>
      <c r="D1841" s="96"/>
      <c r="E1841" s="53"/>
      <c r="F1841" s="53"/>
      <c r="G1841" s="96">
        <f t="shared" si="545"/>
        <v>0</v>
      </c>
      <c r="H1841" s="96"/>
      <c r="I1841" s="60"/>
      <c r="J1841" s="60"/>
      <c r="K1841" s="60"/>
      <c r="L1841" s="60"/>
      <c r="M1841" s="60"/>
      <c r="N1841" s="60"/>
      <c r="O1841" s="60"/>
      <c r="P1841" s="60"/>
      <c r="Q1841" s="60"/>
      <c r="R1841" s="60"/>
      <c r="S1841" s="60"/>
      <c r="T1841" s="60"/>
      <c r="U1841" s="60"/>
      <c r="V1841" s="60"/>
      <c r="W1841" s="60"/>
      <c r="X1841" s="60"/>
      <c r="Y1841" s="60"/>
      <c r="Z1841" s="60"/>
    </row>
    <row r="1842" spans="1:26" ht="30" hidden="1" customHeight="1">
      <c r="A1842" s="98" t="s">
        <v>3645</v>
      </c>
      <c r="B1842" s="68" t="s">
        <v>3646</v>
      </c>
      <c r="C1842" s="99"/>
      <c r="D1842" s="96"/>
      <c r="E1842" s="53">
        <v>3759858.22</v>
      </c>
      <c r="F1842" s="53">
        <v>3759858.22</v>
      </c>
      <c r="G1842" s="96">
        <f t="shared" si="545"/>
        <v>0</v>
      </c>
      <c r="H1842" s="96"/>
      <c r="I1842" s="60"/>
      <c r="J1842" s="60"/>
      <c r="K1842" s="60"/>
      <c r="L1842" s="60"/>
      <c r="M1842" s="60"/>
      <c r="N1842" s="60"/>
      <c r="O1842" s="60"/>
      <c r="P1842" s="60"/>
      <c r="Q1842" s="60"/>
      <c r="R1842" s="60"/>
      <c r="S1842" s="60"/>
      <c r="T1842" s="60"/>
      <c r="U1842" s="60"/>
      <c r="V1842" s="60"/>
      <c r="W1842" s="60"/>
      <c r="X1842" s="60"/>
      <c r="Y1842" s="60"/>
      <c r="Z1842" s="60"/>
    </row>
    <row r="1843" spans="1:26" ht="30" hidden="1" customHeight="1">
      <c r="A1843" s="95" t="s">
        <v>3647</v>
      </c>
      <c r="B1843" s="68" t="s">
        <v>3648</v>
      </c>
      <c r="C1843" s="99"/>
      <c r="D1843" s="96"/>
      <c r="E1843" s="53"/>
      <c r="F1843" s="53"/>
      <c r="G1843" s="96">
        <f t="shared" si="545"/>
        <v>0</v>
      </c>
      <c r="H1843" s="96"/>
      <c r="I1843" s="60"/>
      <c r="J1843" s="60"/>
      <c r="K1843" s="60"/>
      <c r="L1843" s="60"/>
      <c r="M1843" s="60"/>
      <c r="N1843" s="60"/>
      <c r="O1843" s="60"/>
      <c r="P1843" s="60"/>
      <c r="Q1843" s="60"/>
      <c r="R1843" s="60"/>
      <c r="S1843" s="60"/>
      <c r="T1843" s="60"/>
      <c r="U1843" s="60"/>
      <c r="V1843" s="60"/>
      <c r="W1843" s="60"/>
      <c r="X1843" s="60"/>
      <c r="Y1843" s="60"/>
      <c r="Z1843" s="60"/>
    </row>
    <row r="1844" spans="1:26" ht="30" hidden="1" customHeight="1">
      <c r="A1844" s="98" t="s">
        <v>3649</v>
      </c>
      <c r="B1844" s="68" t="s">
        <v>3650</v>
      </c>
      <c r="C1844" s="99"/>
      <c r="D1844" s="96"/>
      <c r="E1844" s="53">
        <v>157956.85</v>
      </c>
      <c r="F1844" s="53">
        <v>157956.85</v>
      </c>
      <c r="G1844" s="96">
        <f t="shared" si="545"/>
        <v>0</v>
      </c>
      <c r="H1844" s="96"/>
      <c r="I1844" s="60"/>
      <c r="J1844" s="60"/>
      <c r="K1844" s="60"/>
      <c r="L1844" s="60"/>
      <c r="M1844" s="60"/>
      <c r="N1844" s="60"/>
      <c r="O1844" s="60"/>
      <c r="P1844" s="60"/>
      <c r="Q1844" s="60"/>
      <c r="R1844" s="60"/>
      <c r="S1844" s="60"/>
      <c r="T1844" s="60"/>
      <c r="U1844" s="60"/>
      <c r="V1844" s="60"/>
      <c r="W1844" s="60"/>
      <c r="X1844" s="60"/>
      <c r="Y1844" s="60"/>
      <c r="Z1844" s="60"/>
    </row>
    <row r="1845" spans="1:26" ht="30" hidden="1" customHeight="1">
      <c r="A1845" s="95" t="s">
        <v>3651</v>
      </c>
      <c r="B1845" s="68" t="s">
        <v>3652</v>
      </c>
      <c r="C1845" s="99"/>
      <c r="D1845" s="96"/>
      <c r="E1845" s="53"/>
      <c r="F1845" s="53"/>
      <c r="G1845" s="96">
        <f t="shared" si="545"/>
        <v>0</v>
      </c>
      <c r="H1845" s="96"/>
      <c r="I1845" s="60"/>
      <c r="J1845" s="60"/>
      <c r="K1845" s="60"/>
      <c r="L1845" s="60"/>
      <c r="M1845" s="60"/>
      <c r="N1845" s="60"/>
      <c r="O1845" s="60"/>
      <c r="P1845" s="60"/>
      <c r="Q1845" s="60"/>
      <c r="R1845" s="60"/>
      <c r="S1845" s="60"/>
      <c r="T1845" s="60"/>
      <c r="U1845" s="60"/>
      <c r="V1845" s="60"/>
      <c r="W1845" s="60"/>
      <c r="X1845" s="60"/>
      <c r="Y1845" s="60"/>
      <c r="Z1845" s="60"/>
    </row>
    <row r="1846" spans="1:26" ht="30" hidden="1" customHeight="1">
      <c r="A1846" s="92" t="s">
        <v>3653</v>
      </c>
      <c r="B1846" s="101" t="s">
        <v>2597</v>
      </c>
      <c r="C1846" s="94"/>
      <c r="D1846" s="94"/>
      <c r="E1846" s="39">
        <f t="shared" ref="E1846:G1846" si="546">SUM(E1847:E1864)</f>
        <v>749596990.45000005</v>
      </c>
      <c r="F1846" s="39">
        <f t="shared" si="546"/>
        <v>749596990.45000005</v>
      </c>
      <c r="G1846" s="39">
        <f t="shared" si="546"/>
        <v>0</v>
      </c>
      <c r="H1846" s="94"/>
      <c r="I1846" s="60"/>
      <c r="J1846" s="60"/>
      <c r="K1846" s="60"/>
      <c r="L1846" s="60"/>
      <c r="M1846" s="60"/>
      <c r="N1846" s="60"/>
      <c r="O1846" s="60"/>
      <c r="P1846" s="60"/>
      <c r="Q1846" s="60"/>
      <c r="R1846" s="60"/>
      <c r="S1846" s="60"/>
      <c r="T1846" s="60"/>
      <c r="U1846" s="60"/>
      <c r="V1846" s="60"/>
      <c r="W1846" s="60"/>
      <c r="X1846" s="60"/>
      <c r="Y1846" s="60"/>
      <c r="Z1846" s="60"/>
    </row>
    <row r="1847" spans="1:26" ht="30" hidden="1" customHeight="1">
      <c r="A1847" s="98" t="s">
        <v>3654</v>
      </c>
      <c r="B1847" s="68" t="s">
        <v>3655</v>
      </c>
      <c r="C1847" s="99"/>
      <c r="D1847" s="96"/>
      <c r="E1847" s="53">
        <v>111944061.62</v>
      </c>
      <c r="F1847" s="53">
        <v>111944061.62</v>
      </c>
      <c r="G1847" s="96">
        <f t="shared" ref="G1847:G1864" si="547">ROUND(E1847-F1847,2)</f>
        <v>0</v>
      </c>
      <c r="H1847" s="96"/>
      <c r="I1847" s="60"/>
      <c r="J1847" s="60"/>
      <c r="K1847" s="60"/>
      <c r="L1847" s="60"/>
      <c r="M1847" s="60"/>
      <c r="N1847" s="60"/>
      <c r="O1847" s="60"/>
      <c r="P1847" s="60"/>
      <c r="Q1847" s="60"/>
      <c r="R1847" s="60"/>
      <c r="S1847" s="60"/>
      <c r="T1847" s="60"/>
      <c r="U1847" s="60"/>
      <c r="V1847" s="60"/>
      <c r="W1847" s="60"/>
      <c r="X1847" s="60"/>
      <c r="Y1847" s="60"/>
      <c r="Z1847" s="60"/>
    </row>
    <row r="1848" spans="1:26" ht="30" hidden="1" customHeight="1">
      <c r="A1848" s="95" t="s">
        <v>3656</v>
      </c>
      <c r="B1848" s="68" t="s">
        <v>3657</v>
      </c>
      <c r="C1848" s="99"/>
      <c r="D1848" s="96"/>
      <c r="E1848" s="53"/>
      <c r="F1848" s="53"/>
      <c r="G1848" s="96">
        <f t="shared" si="547"/>
        <v>0</v>
      </c>
      <c r="H1848" s="96"/>
      <c r="I1848" s="60"/>
      <c r="J1848" s="60"/>
      <c r="K1848" s="60"/>
      <c r="L1848" s="60"/>
      <c r="M1848" s="60"/>
      <c r="N1848" s="60"/>
      <c r="O1848" s="60"/>
      <c r="P1848" s="60"/>
      <c r="Q1848" s="60"/>
      <c r="R1848" s="60"/>
      <c r="S1848" s="60"/>
      <c r="T1848" s="60"/>
      <c r="U1848" s="60"/>
      <c r="V1848" s="60"/>
      <c r="W1848" s="60"/>
      <c r="X1848" s="60"/>
      <c r="Y1848" s="60"/>
      <c r="Z1848" s="60"/>
    </row>
    <row r="1849" spans="1:26" ht="30" hidden="1" customHeight="1">
      <c r="A1849" s="98" t="s">
        <v>3658</v>
      </c>
      <c r="B1849" s="68" t="s">
        <v>3659</v>
      </c>
      <c r="C1849" s="99"/>
      <c r="D1849" s="96"/>
      <c r="E1849" s="53">
        <v>14287917.039999999</v>
      </c>
      <c r="F1849" s="53">
        <v>14287917.039999999</v>
      </c>
      <c r="G1849" s="96">
        <f t="shared" si="547"/>
        <v>0</v>
      </c>
      <c r="H1849" s="96"/>
      <c r="I1849" s="60"/>
      <c r="J1849" s="60"/>
      <c r="K1849" s="60"/>
      <c r="L1849" s="60"/>
      <c r="M1849" s="60"/>
      <c r="N1849" s="60"/>
      <c r="O1849" s="60"/>
      <c r="P1849" s="60"/>
      <c r="Q1849" s="60"/>
      <c r="R1849" s="60"/>
      <c r="S1849" s="60"/>
      <c r="T1849" s="60"/>
      <c r="U1849" s="60"/>
      <c r="V1849" s="60"/>
      <c r="W1849" s="60"/>
      <c r="X1849" s="60"/>
      <c r="Y1849" s="60"/>
      <c r="Z1849" s="60"/>
    </row>
    <row r="1850" spans="1:26" ht="30" hidden="1" customHeight="1">
      <c r="A1850" s="95" t="s">
        <v>3660</v>
      </c>
      <c r="B1850" s="68" t="s">
        <v>3661</v>
      </c>
      <c r="C1850" s="99"/>
      <c r="D1850" s="96"/>
      <c r="E1850" s="53"/>
      <c r="F1850" s="53"/>
      <c r="G1850" s="96">
        <f t="shared" si="547"/>
        <v>0</v>
      </c>
      <c r="H1850" s="96"/>
      <c r="I1850" s="60"/>
      <c r="J1850" s="60"/>
      <c r="K1850" s="60"/>
      <c r="L1850" s="60"/>
      <c r="M1850" s="60"/>
      <c r="N1850" s="60"/>
      <c r="O1850" s="60"/>
      <c r="P1850" s="60"/>
      <c r="Q1850" s="60"/>
      <c r="R1850" s="60"/>
      <c r="S1850" s="60"/>
      <c r="T1850" s="60"/>
      <c r="U1850" s="60"/>
      <c r="V1850" s="60"/>
      <c r="W1850" s="60"/>
      <c r="X1850" s="60"/>
      <c r="Y1850" s="60"/>
      <c r="Z1850" s="60"/>
    </row>
    <row r="1851" spans="1:26" ht="30" hidden="1" customHeight="1">
      <c r="A1851" s="98" t="s">
        <v>3662</v>
      </c>
      <c r="B1851" s="68" t="s">
        <v>3663</v>
      </c>
      <c r="C1851" s="99"/>
      <c r="D1851" s="96"/>
      <c r="E1851" s="53">
        <v>3486874.03</v>
      </c>
      <c r="F1851" s="53">
        <v>3486874.03</v>
      </c>
      <c r="G1851" s="96">
        <f t="shared" si="547"/>
        <v>0</v>
      </c>
      <c r="H1851" s="96"/>
      <c r="I1851" s="60"/>
      <c r="J1851" s="60"/>
      <c r="K1851" s="60"/>
      <c r="L1851" s="60"/>
      <c r="M1851" s="60"/>
      <c r="N1851" s="60"/>
      <c r="O1851" s="60"/>
      <c r="P1851" s="60"/>
      <c r="Q1851" s="60"/>
      <c r="R1851" s="60"/>
      <c r="S1851" s="60"/>
      <c r="T1851" s="60"/>
      <c r="U1851" s="60"/>
      <c r="V1851" s="60"/>
      <c r="W1851" s="60"/>
      <c r="X1851" s="60"/>
      <c r="Y1851" s="60"/>
      <c r="Z1851" s="60"/>
    </row>
    <row r="1852" spans="1:26" ht="30" hidden="1" customHeight="1">
      <c r="A1852" s="95" t="s">
        <v>3664</v>
      </c>
      <c r="B1852" s="68" t="s">
        <v>3665</v>
      </c>
      <c r="C1852" s="99"/>
      <c r="D1852" s="96"/>
      <c r="E1852" s="53"/>
      <c r="F1852" s="53"/>
      <c r="G1852" s="96">
        <f t="shared" si="547"/>
        <v>0</v>
      </c>
      <c r="H1852" s="96"/>
      <c r="I1852" s="60"/>
      <c r="J1852" s="60"/>
      <c r="K1852" s="60"/>
      <c r="L1852" s="60"/>
      <c r="M1852" s="60"/>
      <c r="N1852" s="60"/>
      <c r="O1852" s="60"/>
      <c r="P1852" s="60"/>
      <c r="Q1852" s="60"/>
      <c r="R1852" s="60"/>
      <c r="S1852" s="60"/>
      <c r="T1852" s="60"/>
      <c r="U1852" s="60"/>
      <c r="V1852" s="60"/>
      <c r="W1852" s="60"/>
      <c r="X1852" s="60"/>
      <c r="Y1852" s="60"/>
      <c r="Z1852" s="60"/>
    </row>
    <row r="1853" spans="1:26" ht="30" hidden="1" customHeight="1">
      <c r="A1853" s="98" t="s">
        <v>3666</v>
      </c>
      <c r="B1853" s="68" t="s">
        <v>3667</v>
      </c>
      <c r="C1853" s="99"/>
      <c r="D1853" s="96"/>
      <c r="E1853" s="53">
        <v>140738369.41</v>
      </c>
      <c r="F1853" s="53">
        <v>140738369.41</v>
      </c>
      <c r="G1853" s="96">
        <f t="shared" si="547"/>
        <v>0</v>
      </c>
      <c r="H1853" s="96"/>
      <c r="I1853" s="60"/>
      <c r="J1853" s="60"/>
      <c r="K1853" s="60"/>
      <c r="L1853" s="60"/>
      <c r="M1853" s="60"/>
      <c r="N1853" s="60"/>
      <c r="O1853" s="60"/>
      <c r="P1853" s="60"/>
      <c r="Q1853" s="60"/>
      <c r="R1853" s="60"/>
      <c r="S1853" s="60"/>
      <c r="T1853" s="60"/>
      <c r="U1853" s="60"/>
      <c r="V1853" s="60"/>
      <c r="W1853" s="60"/>
      <c r="X1853" s="60"/>
      <c r="Y1853" s="60"/>
      <c r="Z1853" s="60"/>
    </row>
    <row r="1854" spans="1:26" ht="30" hidden="1" customHeight="1">
      <c r="A1854" s="95" t="s">
        <v>3668</v>
      </c>
      <c r="B1854" s="68" t="s">
        <v>3669</v>
      </c>
      <c r="C1854" s="99"/>
      <c r="D1854" s="96"/>
      <c r="E1854" s="53"/>
      <c r="F1854" s="53"/>
      <c r="G1854" s="96">
        <f t="shared" si="547"/>
        <v>0</v>
      </c>
      <c r="H1854" s="96"/>
      <c r="I1854" s="60"/>
      <c r="J1854" s="60"/>
      <c r="K1854" s="60"/>
      <c r="L1854" s="60"/>
      <c r="M1854" s="60"/>
      <c r="N1854" s="60"/>
      <c r="O1854" s="60"/>
      <c r="P1854" s="60"/>
      <c r="Q1854" s="60"/>
      <c r="R1854" s="60"/>
      <c r="S1854" s="60"/>
      <c r="T1854" s="60"/>
      <c r="U1854" s="60"/>
      <c r="V1854" s="60"/>
      <c r="W1854" s="60"/>
      <c r="X1854" s="60"/>
      <c r="Y1854" s="60"/>
      <c r="Z1854" s="60"/>
    </row>
    <row r="1855" spans="1:26" ht="30" hidden="1" customHeight="1">
      <c r="A1855" s="98" t="s">
        <v>3670</v>
      </c>
      <c r="B1855" s="68" t="s">
        <v>3671</v>
      </c>
      <c r="C1855" s="99"/>
      <c r="D1855" s="96"/>
      <c r="E1855" s="53">
        <v>188299936.61000001</v>
      </c>
      <c r="F1855" s="53">
        <v>188299936.61000001</v>
      </c>
      <c r="G1855" s="96">
        <f t="shared" si="547"/>
        <v>0</v>
      </c>
      <c r="H1855" s="96"/>
      <c r="I1855" s="60"/>
      <c r="J1855" s="60"/>
      <c r="K1855" s="60"/>
      <c r="L1855" s="60"/>
      <c r="M1855" s="60"/>
      <c r="N1855" s="60"/>
      <c r="O1855" s="60"/>
      <c r="P1855" s="60"/>
      <c r="Q1855" s="60"/>
      <c r="R1855" s="60"/>
      <c r="S1855" s="60"/>
      <c r="T1855" s="60"/>
      <c r="U1855" s="60"/>
      <c r="V1855" s="60"/>
      <c r="W1855" s="60"/>
      <c r="X1855" s="60"/>
      <c r="Y1855" s="60"/>
      <c r="Z1855" s="60"/>
    </row>
    <row r="1856" spans="1:26" ht="30" hidden="1" customHeight="1">
      <c r="A1856" s="95" t="s">
        <v>3672</v>
      </c>
      <c r="B1856" s="68" t="s">
        <v>3673</v>
      </c>
      <c r="C1856" s="99"/>
      <c r="D1856" s="96"/>
      <c r="E1856" s="53"/>
      <c r="F1856" s="53"/>
      <c r="G1856" s="96">
        <f t="shared" si="547"/>
        <v>0</v>
      </c>
      <c r="H1856" s="96"/>
      <c r="I1856" s="60"/>
      <c r="J1856" s="60"/>
      <c r="K1856" s="60"/>
      <c r="L1856" s="60"/>
      <c r="M1856" s="60"/>
      <c r="N1856" s="60"/>
      <c r="O1856" s="60"/>
      <c r="P1856" s="60"/>
      <c r="Q1856" s="60"/>
      <c r="R1856" s="60"/>
      <c r="S1856" s="60"/>
      <c r="T1856" s="60"/>
      <c r="U1856" s="60"/>
      <c r="V1856" s="60"/>
      <c r="W1856" s="60"/>
      <c r="X1856" s="60"/>
      <c r="Y1856" s="60"/>
      <c r="Z1856" s="60"/>
    </row>
    <row r="1857" spans="1:26" ht="30" hidden="1" customHeight="1">
      <c r="A1857" s="98" t="s">
        <v>3674</v>
      </c>
      <c r="B1857" s="68" t="s">
        <v>3675</v>
      </c>
      <c r="C1857" s="99"/>
      <c r="D1857" s="96"/>
      <c r="E1857" s="53">
        <v>11830922.710000001</v>
      </c>
      <c r="F1857" s="53">
        <v>11830922.710000001</v>
      </c>
      <c r="G1857" s="96">
        <f t="shared" si="547"/>
        <v>0</v>
      </c>
      <c r="H1857" s="96"/>
      <c r="I1857" s="60"/>
      <c r="J1857" s="60"/>
      <c r="K1857" s="60"/>
      <c r="L1857" s="60"/>
      <c r="M1857" s="60"/>
      <c r="N1857" s="60"/>
      <c r="O1857" s="60"/>
      <c r="P1857" s="60"/>
      <c r="Q1857" s="60"/>
      <c r="R1857" s="60"/>
      <c r="S1857" s="60"/>
      <c r="T1857" s="60"/>
      <c r="U1857" s="60"/>
      <c r="V1857" s="60"/>
      <c r="W1857" s="60"/>
      <c r="X1857" s="60"/>
      <c r="Y1857" s="60"/>
      <c r="Z1857" s="60"/>
    </row>
    <row r="1858" spans="1:26" ht="30" hidden="1" customHeight="1">
      <c r="A1858" s="95" t="s">
        <v>3676</v>
      </c>
      <c r="B1858" s="68" t="s">
        <v>3677</v>
      </c>
      <c r="C1858" s="99"/>
      <c r="D1858" s="96"/>
      <c r="E1858" s="53"/>
      <c r="F1858" s="53"/>
      <c r="G1858" s="96">
        <f t="shared" si="547"/>
        <v>0</v>
      </c>
      <c r="H1858" s="96"/>
      <c r="I1858" s="60"/>
      <c r="J1858" s="60"/>
      <c r="K1858" s="60"/>
      <c r="L1858" s="60"/>
      <c r="M1858" s="60"/>
      <c r="N1858" s="60"/>
      <c r="O1858" s="60"/>
      <c r="P1858" s="60"/>
      <c r="Q1858" s="60"/>
      <c r="R1858" s="60"/>
      <c r="S1858" s="60"/>
      <c r="T1858" s="60"/>
      <c r="U1858" s="60"/>
      <c r="V1858" s="60"/>
      <c r="W1858" s="60"/>
      <c r="X1858" s="60"/>
      <c r="Y1858" s="60"/>
      <c r="Z1858" s="60"/>
    </row>
    <row r="1859" spans="1:26" ht="30" hidden="1" customHeight="1">
      <c r="A1859" s="98" t="s">
        <v>3678</v>
      </c>
      <c r="B1859" s="68" t="s">
        <v>3679</v>
      </c>
      <c r="C1859" s="99"/>
      <c r="D1859" s="96"/>
      <c r="E1859" s="53">
        <v>188315.23</v>
      </c>
      <c r="F1859" s="53">
        <v>188315.23</v>
      </c>
      <c r="G1859" s="96">
        <f t="shared" si="547"/>
        <v>0</v>
      </c>
      <c r="H1859" s="96"/>
      <c r="I1859" s="60"/>
      <c r="J1859" s="60"/>
      <c r="K1859" s="60"/>
      <c r="L1859" s="60"/>
      <c r="M1859" s="60"/>
      <c r="N1859" s="60"/>
      <c r="O1859" s="60"/>
      <c r="P1859" s="60"/>
      <c r="Q1859" s="60"/>
      <c r="R1859" s="60"/>
      <c r="S1859" s="60"/>
      <c r="T1859" s="60"/>
      <c r="U1859" s="60"/>
      <c r="V1859" s="60"/>
      <c r="W1859" s="60"/>
      <c r="X1859" s="60"/>
      <c r="Y1859" s="60"/>
      <c r="Z1859" s="60"/>
    </row>
    <row r="1860" spans="1:26" ht="30" hidden="1" customHeight="1">
      <c r="A1860" s="95" t="s">
        <v>3680</v>
      </c>
      <c r="B1860" s="68" t="s">
        <v>3681</v>
      </c>
      <c r="C1860" s="99"/>
      <c r="D1860" s="96"/>
      <c r="E1860" s="53"/>
      <c r="F1860" s="53"/>
      <c r="G1860" s="96">
        <f t="shared" si="547"/>
        <v>0</v>
      </c>
      <c r="H1860" s="96"/>
      <c r="I1860" s="60"/>
      <c r="J1860" s="60"/>
      <c r="K1860" s="60"/>
      <c r="L1860" s="60"/>
      <c r="M1860" s="60"/>
      <c r="N1860" s="60"/>
      <c r="O1860" s="60"/>
      <c r="P1860" s="60"/>
      <c r="Q1860" s="60"/>
      <c r="R1860" s="60"/>
      <c r="S1860" s="60"/>
      <c r="T1860" s="60"/>
      <c r="U1860" s="60"/>
      <c r="V1860" s="60"/>
      <c r="W1860" s="60"/>
      <c r="X1860" s="60"/>
      <c r="Y1860" s="60"/>
      <c r="Z1860" s="60"/>
    </row>
    <row r="1861" spans="1:26" ht="30" hidden="1" customHeight="1">
      <c r="A1861" s="98" t="s">
        <v>3682</v>
      </c>
      <c r="B1861" s="68" t="s">
        <v>3683</v>
      </c>
      <c r="C1861" s="99"/>
      <c r="D1861" s="96"/>
      <c r="E1861" s="53">
        <v>5402975.3899999997</v>
      </c>
      <c r="F1861" s="53">
        <v>5402975.3899999997</v>
      </c>
      <c r="G1861" s="96">
        <f t="shared" si="547"/>
        <v>0</v>
      </c>
      <c r="H1861" s="96"/>
      <c r="I1861" s="60"/>
      <c r="J1861" s="60"/>
      <c r="K1861" s="60"/>
      <c r="L1861" s="60"/>
      <c r="M1861" s="60"/>
      <c r="N1861" s="60"/>
      <c r="O1861" s="60"/>
      <c r="P1861" s="60"/>
      <c r="Q1861" s="60"/>
      <c r="R1861" s="60"/>
      <c r="S1861" s="60"/>
      <c r="T1861" s="60"/>
      <c r="U1861" s="60"/>
      <c r="V1861" s="60"/>
      <c r="W1861" s="60"/>
      <c r="X1861" s="60"/>
      <c r="Y1861" s="60"/>
      <c r="Z1861" s="60"/>
    </row>
    <row r="1862" spans="1:26" ht="30" hidden="1" customHeight="1">
      <c r="A1862" s="95" t="s">
        <v>3684</v>
      </c>
      <c r="B1862" s="68" t="s">
        <v>3685</v>
      </c>
      <c r="C1862" s="99"/>
      <c r="D1862" s="96"/>
      <c r="E1862" s="53"/>
      <c r="F1862" s="53"/>
      <c r="G1862" s="96">
        <f t="shared" si="547"/>
        <v>0</v>
      </c>
      <c r="H1862" s="96"/>
      <c r="I1862" s="60"/>
      <c r="J1862" s="60"/>
      <c r="K1862" s="60"/>
      <c r="L1862" s="60"/>
      <c r="M1862" s="60"/>
      <c r="N1862" s="60"/>
      <c r="O1862" s="60"/>
      <c r="P1862" s="60"/>
      <c r="Q1862" s="60"/>
      <c r="R1862" s="60"/>
      <c r="S1862" s="60"/>
      <c r="T1862" s="60"/>
      <c r="U1862" s="60"/>
      <c r="V1862" s="60"/>
      <c r="W1862" s="60"/>
      <c r="X1862" s="60"/>
      <c r="Y1862" s="60"/>
      <c r="Z1862" s="60"/>
    </row>
    <row r="1863" spans="1:26" ht="30" hidden="1" customHeight="1">
      <c r="A1863" s="98" t="s">
        <v>3686</v>
      </c>
      <c r="B1863" s="68" t="s">
        <v>3687</v>
      </c>
      <c r="C1863" s="99"/>
      <c r="D1863" s="96"/>
      <c r="E1863" s="53">
        <v>273417618.41000003</v>
      </c>
      <c r="F1863" s="53">
        <v>273417618.41000003</v>
      </c>
      <c r="G1863" s="96">
        <f t="shared" si="547"/>
        <v>0</v>
      </c>
      <c r="H1863" s="96"/>
      <c r="I1863" s="60"/>
      <c r="J1863" s="60"/>
      <c r="K1863" s="60"/>
      <c r="L1863" s="60"/>
      <c r="M1863" s="60"/>
      <c r="N1863" s="60"/>
      <c r="O1863" s="60"/>
      <c r="P1863" s="60"/>
      <c r="Q1863" s="60"/>
      <c r="R1863" s="60"/>
      <c r="S1863" s="60"/>
      <c r="T1863" s="60"/>
      <c r="U1863" s="60"/>
      <c r="V1863" s="60"/>
      <c r="W1863" s="60"/>
      <c r="X1863" s="60"/>
      <c r="Y1863" s="60"/>
      <c r="Z1863" s="60"/>
    </row>
    <row r="1864" spans="1:26" ht="30" hidden="1" customHeight="1">
      <c r="A1864" s="95" t="s">
        <v>3688</v>
      </c>
      <c r="B1864" s="68" t="s">
        <v>3689</v>
      </c>
      <c r="C1864" s="99"/>
      <c r="D1864" s="96"/>
      <c r="E1864" s="53"/>
      <c r="F1864" s="53"/>
      <c r="G1864" s="96">
        <f t="shared" si="547"/>
        <v>0</v>
      </c>
      <c r="H1864" s="96"/>
      <c r="I1864" s="60"/>
      <c r="J1864" s="60"/>
      <c r="K1864" s="60"/>
      <c r="L1864" s="60"/>
      <c r="M1864" s="60"/>
      <c r="N1864" s="60"/>
      <c r="O1864" s="60"/>
      <c r="P1864" s="60"/>
      <c r="Q1864" s="60"/>
      <c r="R1864" s="60"/>
      <c r="S1864" s="60"/>
      <c r="T1864" s="60"/>
      <c r="U1864" s="60"/>
      <c r="V1864" s="60"/>
      <c r="W1864" s="60"/>
      <c r="X1864" s="60"/>
      <c r="Y1864" s="60"/>
      <c r="Z1864" s="60"/>
    </row>
    <row r="1865" spans="1:26" ht="30" hidden="1" customHeight="1">
      <c r="A1865" s="92" t="s">
        <v>3690</v>
      </c>
      <c r="B1865" s="101" t="s">
        <v>2635</v>
      </c>
      <c r="C1865" s="94"/>
      <c r="D1865" s="94"/>
      <c r="E1865" s="39">
        <f t="shared" ref="E1865:G1865" si="548">SUM(E1866:E1883)</f>
        <v>659923616.42000008</v>
      </c>
      <c r="F1865" s="39">
        <f t="shared" si="548"/>
        <v>659923616.42000008</v>
      </c>
      <c r="G1865" s="39">
        <f t="shared" si="548"/>
        <v>0</v>
      </c>
      <c r="H1865" s="94"/>
      <c r="I1865" s="60"/>
      <c r="J1865" s="60"/>
      <c r="K1865" s="60"/>
      <c r="L1865" s="60"/>
      <c r="M1865" s="60"/>
      <c r="N1865" s="60"/>
      <c r="O1865" s="60"/>
      <c r="P1865" s="60"/>
      <c r="Q1865" s="60"/>
      <c r="R1865" s="60"/>
      <c r="S1865" s="60"/>
      <c r="T1865" s="60"/>
      <c r="U1865" s="60"/>
      <c r="V1865" s="60"/>
      <c r="W1865" s="60"/>
      <c r="X1865" s="60"/>
      <c r="Y1865" s="60"/>
      <c r="Z1865" s="60"/>
    </row>
    <row r="1866" spans="1:26" ht="30" hidden="1" customHeight="1">
      <c r="A1866" s="98" t="s">
        <v>3691</v>
      </c>
      <c r="B1866" s="68" t="s">
        <v>3692</v>
      </c>
      <c r="C1866" s="99"/>
      <c r="D1866" s="96"/>
      <c r="E1866" s="53"/>
      <c r="F1866" s="53"/>
      <c r="G1866" s="96">
        <f t="shared" ref="G1866:G1883" si="549">ROUND(E1866-F1866,2)</f>
        <v>0</v>
      </c>
      <c r="H1866" s="96"/>
      <c r="I1866" s="60"/>
      <c r="J1866" s="60"/>
      <c r="K1866" s="60"/>
      <c r="L1866" s="60"/>
      <c r="M1866" s="60"/>
      <c r="N1866" s="60"/>
      <c r="O1866" s="60"/>
      <c r="P1866" s="60"/>
      <c r="Q1866" s="60"/>
      <c r="R1866" s="60"/>
      <c r="S1866" s="60"/>
      <c r="T1866" s="60"/>
      <c r="U1866" s="60"/>
      <c r="V1866" s="60"/>
      <c r="W1866" s="60"/>
      <c r="X1866" s="60"/>
      <c r="Y1866" s="60"/>
      <c r="Z1866" s="60"/>
    </row>
    <row r="1867" spans="1:26" ht="30" hidden="1" customHeight="1">
      <c r="A1867" s="95" t="s">
        <v>3693</v>
      </c>
      <c r="B1867" s="68" t="s">
        <v>3694</v>
      </c>
      <c r="C1867" s="99"/>
      <c r="D1867" s="96"/>
      <c r="E1867" s="53"/>
      <c r="F1867" s="53"/>
      <c r="G1867" s="96">
        <f t="shared" si="549"/>
        <v>0</v>
      </c>
      <c r="H1867" s="96"/>
      <c r="I1867" s="60"/>
      <c r="J1867" s="60"/>
      <c r="K1867" s="60"/>
      <c r="L1867" s="60"/>
      <c r="M1867" s="60"/>
      <c r="N1867" s="60"/>
      <c r="O1867" s="60"/>
      <c r="P1867" s="60"/>
      <c r="Q1867" s="60"/>
      <c r="R1867" s="60"/>
      <c r="S1867" s="60"/>
      <c r="T1867" s="60"/>
      <c r="U1867" s="60"/>
      <c r="V1867" s="60"/>
      <c r="W1867" s="60"/>
      <c r="X1867" s="60"/>
      <c r="Y1867" s="60"/>
      <c r="Z1867" s="60"/>
    </row>
    <row r="1868" spans="1:26" ht="30" hidden="1" customHeight="1">
      <c r="A1868" s="98" t="s">
        <v>3695</v>
      </c>
      <c r="B1868" s="68" t="s">
        <v>3696</v>
      </c>
      <c r="C1868" s="99"/>
      <c r="D1868" s="96"/>
      <c r="E1868" s="53">
        <v>460311701.51999998</v>
      </c>
      <c r="F1868" s="53">
        <v>460311701.51999998</v>
      </c>
      <c r="G1868" s="96">
        <f t="shared" si="549"/>
        <v>0</v>
      </c>
      <c r="H1868" s="96"/>
      <c r="I1868" s="60"/>
      <c r="J1868" s="60"/>
      <c r="K1868" s="60"/>
      <c r="L1868" s="60"/>
      <c r="M1868" s="60"/>
      <c r="N1868" s="60"/>
      <c r="O1868" s="60"/>
      <c r="P1868" s="60"/>
      <c r="Q1868" s="60"/>
      <c r="R1868" s="60"/>
      <c r="S1868" s="60"/>
      <c r="T1868" s="60"/>
      <c r="U1868" s="60"/>
      <c r="V1868" s="60"/>
      <c r="W1868" s="60"/>
      <c r="X1868" s="60"/>
      <c r="Y1868" s="60"/>
      <c r="Z1868" s="60"/>
    </row>
    <row r="1869" spans="1:26" ht="30" hidden="1" customHeight="1">
      <c r="A1869" s="95" t="s">
        <v>3697</v>
      </c>
      <c r="B1869" s="68" t="s">
        <v>3698</v>
      </c>
      <c r="C1869" s="99"/>
      <c r="D1869" s="96"/>
      <c r="E1869" s="53"/>
      <c r="F1869" s="53"/>
      <c r="G1869" s="96">
        <f t="shared" si="549"/>
        <v>0</v>
      </c>
      <c r="H1869" s="96"/>
      <c r="I1869" s="60"/>
      <c r="J1869" s="60"/>
      <c r="K1869" s="60"/>
      <c r="L1869" s="60"/>
      <c r="M1869" s="60"/>
      <c r="N1869" s="60"/>
      <c r="O1869" s="60"/>
      <c r="P1869" s="60"/>
      <c r="Q1869" s="60"/>
      <c r="R1869" s="60"/>
      <c r="S1869" s="60"/>
      <c r="T1869" s="60"/>
      <c r="U1869" s="60"/>
      <c r="V1869" s="60"/>
      <c r="W1869" s="60"/>
      <c r="X1869" s="60"/>
      <c r="Y1869" s="60"/>
      <c r="Z1869" s="60"/>
    </row>
    <row r="1870" spans="1:26" ht="30" hidden="1" customHeight="1">
      <c r="A1870" s="98" t="s">
        <v>3699</v>
      </c>
      <c r="B1870" s="68" t="s">
        <v>3700</v>
      </c>
      <c r="C1870" s="99"/>
      <c r="D1870" s="96"/>
      <c r="E1870" s="53">
        <v>41970000</v>
      </c>
      <c r="F1870" s="53">
        <v>41970000</v>
      </c>
      <c r="G1870" s="96">
        <f t="shared" si="549"/>
        <v>0</v>
      </c>
      <c r="H1870" s="96"/>
      <c r="I1870" s="60"/>
      <c r="J1870" s="60"/>
      <c r="K1870" s="60"/>
      <c r="L1870" s="60"/>
      <c r="M1870" s="60"/>
      <c r="N1870" s="60"/>
      <c r="O1870" s="60"/>
      <c r="P1870" s="60"/>
      <c r="Q1870" s="60"/>
      <c r="R1870" s="60"/>
      <c r="S1870" s="60"/>
      <c r="T1870" s="60"/>
      <c r="U1870" s="60"/>
      <c r="V1870" s="60"/>
      <c r="W1870" s="60"/>
      <c r="X1870" s="60"/>
      <c r="Y1870" s="60"/>
      <c r="Z1870" s="60"/>
    </row>
    <row r="1871" spans="1:26" ht="30" hidden="1" customHeight="1">
      <c r="A1871" s="95" t="s">
        <v>3701</v>
      </c>
      <c r="B1871" s="68" t="s">
        <v>3702</v>
      </c>
      <c r="C1871" s="99"/>
      <c r="D1871" s="96"/>
      <c r="E1871" s="53"/>
      <c r="F1871" s="53"/>
      <c r="G1871" s="96">
        <f t="shared" si="549"/>
        <v>0</v>
      </c>
      <c r="H1871" s="96"/>
      <c r="I1871" s="60"/>
      <c r="J1871" s="60"/>
      <c r="K1871" s="60"/>
      <c r="L1871" s="60"/>
      <c r="M1871" s="60"/>
      <c r="N1871" s="60"/>
      <c r="O1871" s="60"/>
      <c r="P1871" s="60"/>
      <c r="Q1871" s="60"/>
      <c r="R1871" s="60"/>
      <c r="S1871" s="60"/>
      <c r="T1871" s="60"/>
      <c r="U1871" s="60"/>
      <c r="V1871" s="60"/>
      <c r="W1871" s="60"/>
      <c r="X1871" s="60"/>
      <c r="Y1871" s="60"/>
      <c r="Z1871" s="60"/>
    </row>
    <row r="1872" spans="1:26" ht="30" hidden="1" customHeight="1">
      <c r="A1872" s="98" t="s">
        <v>3703</v>
      </c>
      <c r="B1872" s="68" t="s">
        <v>3704</v>
      </c>
      <c r="C1872" s="99"/>
      <c r="D1872" s="96"/>
      <c r="E1872" s="53">
        <v>36856468.32</v>
      </c>
      <c r="F1872" s="53">
        <v>36856468.32</v>
      </c>
      <c r="G1872" s="96">
        <f t="shared" si="549"/>
        <v>0</v>
      </c>
      <c r="H1872" s="96"/>
      <c r="I1872" s="60"/>
      <c r="J1872" s="60"/>
      <c r="K1872" s="60"/>
      <c r="L1872" s="60"/>
      <c r="M1872" s="60"/>
      <c r="N1872" s="60"/>
      <c r="O1872" s="60"/>
      <c r="P1872" s="60"/>
      <c r="Q1872" s="60"/>
      <c r="R1872" s="60"/>
      <c r="S1872" s="60"/>
      <c r="T1872" s="60"/>
      <c r="U1872" s="60"/>
      <c r="V1872" s="60"/>
      <c r="W1872" s="60"/>
      <c r="X1872" s="60"/>
      <c r="Y1872" s="60"/>
      <c r="Z1872" s="60"/>
    </row>
    <row r="1873" spans="1:26" ht="30" hidden="1" customHeight="1">
      <c r="A1873" s="95" t="s">
        <v>3705</v>
      </c>
      <c r="B1873" s="68" t="s">
        <v>3706</v>
      </c>
      <c r="C1873" s="99"/>
      <c r="D1873" s="96"/>
      <c r="E1873" s="53"/>
      <c r="F1873" s="53"/>
      <c r="G1873" s="96">
        <f t="shared" si="549"/>
        <v>0</v>
      </c>
      <c r="H1873" s="96"/>
      <c r="I1873" s="60"/>
      <c r="J1873" s="60"/>
      <c r="K1873" s="60"/>
      <c r="L1873" s="60"/>
      <c r="M1873" s="60"/>
      <c r="N1873" s="60"/>
      <c r="O1873" s="60"/>
      <c r="P1873" s="60"/>
      <c r="Q1873" s="60"/>
      <c r="R1873" s="60"/>
      <c r="S1873" s="60"/>
      <c r="T1873" s="60"/>
      <c r="U1873" s="60"/>
      <c r="V1873" s="60"/>
      <c r="W1873" s="60"/>
      <c r="X1873" s="60"/>
      <c r="Y1873" s="60"/>
      <c r="Z1873" s="60"/>
    </row>
    <row r="1874" spans="1:26" ht="30" hidden="1" customHeight="1">
      <c r="A1874" s="98" t="s">
        <v>3707</v>
      </c>
      <c r="B1874" s="68" t="s">
        <v>3708</v>
      </c>
      <c r="C1874" s="99"/>
      <c r="D1874" s="96"/>
      <c r="E1874" s="53"/>
      <c r="F1874" s="53"/>
      <c r="G1874" s="96">
        <f t="shared" si="549"/>
        <v>0</v>
      </c>
      <c r="H1874" s="96"/>
      <c r="I1874" s="60"/>
      <c r="J1874" s="60"/>
      <c r="K1874" s="60"/>
      <c r="L1874" s="60"/>
      <c r="M1874" s="60"/>
      <c r="N1874" s="60"/>
      <c r="O1874" s="60"/>
      <c r="P1874" s="60"/>
      <c r="Q1874" s="60"/>
      <c r="R1874" s="60"/>
      <c r="S1874" s="60"/>
      <c r="T1874" s="60"/>
      <c r="U1874" s="60"/>
      <c r="V1874" s="60"/>
      <c r="W1874" s="60"/>
      <c r="X1874" s="60"/>
      <c r="Y1874" s="60"/>
      <c r="Z1874" s="60"/>
    </row>
    <row r="1875" spans="1:26" ht="30" hidden="1" customHeight="1">
      <c r="A1875" s="95" t="s">
        <v>3709</v>
      </c>
      <c r="B1875" s="68" t="s">
        <v>3710</v>
      </c>
      <c r="C1875" s="99"/>
      <c r="D1875" s="96"/>
      <c r="E1875" s="53"/>
      <c r="F1875" s="53"/>
      <c r="G1875" s="96">
        <f t="shared" si="549"/>
        <v>0</v>
      </c>
      <c r="H1875" s="96"/>
      <c r="I1875" s="60"/>
      <c r="J1875" s="60"/>
      <c r="K1875" s="60"/>
      <c r="L1875" s="60"/>
      <c r="M1875" s="60"/>
      <c r="N1875" s="60"/>
      <c r="O1875" s="60"/>
      <c r="P1875" s="60"/>
      <c r="Q1875" s="60"/>
      <c r="R1875" s="60"/>
      <c r="S1875" s="60"/>
      <c r="T1875" s="60"/>
      <c r="U1875" s="60"/>
      <c r="V1875" s="60"/>
      <c r="W1875" s="60"/>
      <c r="X1875" s="60"/>
      <c r="Y1875" s="60"/>
      <c r="Z1875" s="60"/>
    </row>
    <row r="1876" spans="1:26" ht="30" hidden="1" customHeight="1">
      <c r="A1876" s="98" t="s">
        <v>3711</v>
      </c>
      <c r="B1876" s="68" t="s">
        <v>3712</v>
      </c>
      <c r="C1876" s="99"/>
      <c r="D1876" s="96"/>
      <c r="E1876" s="53">
        <v>120785446.58</v>
      </c>
      <c r="F1876" s="53">
        <v>120785446.58</v>
      </c>
      <c r="G1876" s="96">
        <f t="shared" si="549"/>
        <v>0</v>
      </c>
      <c r="H1876" s="96"/>
      <c r="I1876" s="60"/>
      <c r="J1876" s="60"/>
      <c r="K1876" s="60"/>
      <c r="L1876" s="60"/>
      <c r="M1876" s="60"/>
      <c r="N1876" s="60"/>
      <c r="O1876" s="60"/>
      <c r="P1876" s="60"/>
      <c r="Q1876" s="60"/>
      <c r="R1876" s="60"/>
      <c r="S1876" s="60"/>
      <c r="T1876" s="60"/>
      <c r="U1876" s="60"/>
      <c r="V1876" s="60"/>
      <c r="W1876" s="60"/>
      <c r="X1876" s="60"/>
      <c r="Y1876" s="60"/>
      <c r="Z1876" s="60"/>
    </row>
    <row r="1877" spans="1:26" ht="30" hidden="1" customHeight="1">
      <c r="A1877" s="95" t="s">
        <v>3713</v>
      </c>
      <c r="B1877" s="68" t="s">
        <v>3714</v>
      </c>
      <c r="C1877" s="99"/>
      <c r="D1877" s="96"/>
      <c r="E1877" s="53"/>
      <c r="F1877" s="53"/>
      <c r="G1877" s="96">
        <f t="shared" si="549"/>
        <v>0</v>
      </c>
      <c r="H1877" s="96"/>
      <c r="I1877" s="60"/>
      <c r="J1877" s="60"/>
      <c r="K1877" s="60"/>
      <c r="L1877" s="60"/>
      <c r="M1877" s="60"/>
      <c r="N1877" s="60"/>
      <c r="O1877" s="60"/>
      <c r="P1877" s="60"/>
      <c r="Q1877" s="60"/>
      <c r="R1877" s="60"/>
      <c r="S1877" s="60"/>
      <c r="T1877" s="60"/>
      <c r="U1877" s="60"/>
      <c r="V1877" s="60"/>
      <c r="W1877" s="60"/>
      <c r="X1877" s="60"/>
      <c r="Y1877" s="60"/>
      <c r="Z1877" s="60"/>
    </row>
    <row r="1878" spans="1:26" ht="30" hidden="1" customHeight="1">
      <c r="A1878" s="98" t="s">
        <v>3715</v>
      </c>
      <c r="B1878" s="68" t="s">
        <v>3716</v>
      </c>
      <c r="C1878" s="99"/>
      <c r="D1878" s="96"/>
      <c r="E1878" s="53"/>
      <c r="F1878" s="53"/>
      <c r="G1878" s="96">
        <f t="shared" si="549"/>
        <v>0</v>
      </c>
      <c r="H1878" s="96"/>
      <c r="I1878" s="60"/>
      <c r="J1878" s="60"/>
      <c r="K1878" s="60"/>
      <c r="L1878" s="60"/>
      <c r="M1878" s="60"/>
      <c r="N1878" s="60"/>
      <c r="O1878" s="60"/>
      <c r="P1878" s="60"/>
      <c r="Q1878" s="60"/>
      <c r="R1878" s="60"/>
      <c r="S1878" s="60"/>
      <c r="T1878" s="60"/>
      <c r="U1878" s="60"/>
      <c r="V1878" s="60"/>
      <c r="W1878" s="60"/>
      <c r="X1878" s="60"/>
      <c r="Y1878" s="60"/>
      <c r="Z1878" s="60"/>
    </row>
    <row r="1879" spans="1:26" ht="30" hidden="1" customHeight="1">
      <c r="A1879" s="95" t="s">
        <v>3717</v>
      </c>
      <c r="B1879" s="68" t="s">
        <v>3718</v>
      </c>
      <c r="C1879" s="99"/>
      <c r="D1879" s="96"/>
      <c r="E1879" s="53"/>
      <c r="F1879" s="53"/>
      <c r="G1879" s="96">
        <f t="shared" si="549"/>
        <v>0</v>
      </c>
      <c r="H1879" s="96"/>
      <c r="I1879" s="60"/>
      <c r="J1879" s="60"/>
      <c r="K1879" s="60"/>
      <c r="L1879" s="60"/>
      <c r="M1879" s="60"/>
      <c r="N1879" s="60"/>
      <c r="O1879" s="60"/>
      <c r="P1879" s="60"/>
      <c r="Q1879" s="60"/>
      <c r="R1879" s="60"/>
      <c r="S1879" s="60"/>
      <c r="T1879" s="60"/>
      <c r="U1879" s="60"/>
      <c r="V1879" s="60"/>
      <c r="W1879" s="60"/>
      <c r="X1879" s="60"/>
      <c r="Y1879" s="60"/>
      <c r="Z1879" s="60"/>
    </row>
    <row r="1880" spans="1:26" ht="30" hidden="1" customHeight="1">
      <c r="A1880" s="98" t="s">
        <v>3719</v>
      </c>
      <c r="B1880" s="68" t="s">
        <v>3720</v>
      </c>
      <c r="C1880" s="99"/>
      <c r="D1880" s="96"/>
      <c r="E1880" s="53"/>
      <c r="F1880" s="53"/>
      <c r="G1880" s="96">
        <f t="shared" si="549"/>
        <v>0</v>
      </c>
      <c r="H1880" s="96"/>
      <c r="I1880" s="60"/>
      <c r="J1880" s="60"/>
      <c r="K1880" s="60"/>
      <c r="L1880" s="60"/>
      <c r="M1880" s="60"/>
      <c r="N1880" s="60"/>
      <c r="O1880" s="60"/>
      <c r="P1880" s="60"/>
      <c r="Q1880" s="60"/>
      <c r="R1880" s="60"/>
      <c r="S1880" s="60"/>
      <c r="T1880" s="60"/>
      <c r="U1880" s="60"/>
      <c r="V1880" s="60"/>
      <c r="W1880" s="60"/>
      <c r="X1880" s="60"/>
      <c r="Y1880" s="60"/>
      <c r="Z1880" s="60"/>
    </row>
    <row r="1881" spans="1:26" ht="30" hidden="1" customHeight="1">
      <c r="A1881" s="95" t="s">
        <v>3721</v>
      </c>
      <c r="B1881" s="68" t="s">
        <v>3722</v>
      </c>
      <c r="C1881" s="99"/>
      <c r="D1881" s="96"/>
      <c r="E1881" s="53"/>
      <c r="F1881" s="53"/>
      <c r="G1881" s="96">
        <f t="shared" si="549"/>
        <v>0</v>
      </c>
      <c r="H1881" s="96"/>
      <c r="I1881" s="60"/>
      <c r="J1881" s="60"/>
      <c r="K1881" s="60"/>
      <c r="L1881" s="60"/>
      <c r="M1881" s="60"/>
      <c r="N1881" s="60"/>
      <c r="O1881" s="60"/>
      <c r="P1881" s="60"/>
      <c r="Q1881" s="60"/>
      <c r="R1881" s="60"/>
      <c r="S1881" s="60"/>
      <c r="T1881" s="60"/>
      <c r="U1881" s="60"/>
      <c r="V1881" s="60"/>
      <c r="W1881" s="60"/>
      <c r="X1881" s="60"/>
      <c r="Y1881" s="60"/>
      <c r="Z1881" s="60"/>
    </row>
    <row r="1882" spans="1:26" ht="30" hidden="1" customHeight="1">
      <c r="A1882" s="98" t="s">
        <v>3723</v>
      </c>
      <c r="B1882" s="68" t="s">
        <v>3724</v>
      </c>
      <c r="C1882" s="99"/>
      <c r="D1882" s="96"/>
      <c r="E1882" s="53"/>
      <c r="F1882" s="53"/>
      <c r="G1882" s="96">
        <f t="shared" si="549"/>
        <v>0</v>
      </c>
      <c r="H1882" s="96"/>
      <c r="I1882" s="60"/>
      <c r="J1882" s="60"/>
      <c r="K1882" s="60"/>
      <c r="L1882" s="60"/>
      <c r="M1882" s="60"/>
      <c r="N1882" s="60"/>
      <c r="O1882" s="60"/>
      <c r="P1882" s="60"/>
      <c r="Q1882" s="60"/>
      <c r="R1882" s="60"/>
      <c r="S1882" s="60"/>
      <c r="T1882" s="60"/>
      <c r="U1882" s="60"/>
      <c r="V1882" s="60"/>
      <c r="W1882" s="60"/>
      <c r="X1882" s="60"/>
      <c r="Y1882" s="60"/>
      <c r="Z1882" s="60"/>
    </row>
    <row r="1883" spans="1:26" ht="30" hidden="1" customHeight="1">
      <c r="A1883" s="95" t="s">
        <v>3725</v>
      </c>
      <c r="B1883" s="68" t="s">
        <v>3726</v>
      </c>
      <c r="C1883" s="99"/>
      <c r="D1883" s="96"/>
      <c r="E1883" s="53"/>
      <c r="F1883" s="53"/>
      <c r="G1883" s="96">
        <f t="shared" si="549"/>
        <v>0</v>
      </c>
      <c r="H1883" s="96"/>
      <c r="I1883" s="60"/>
      <c r="J1883" s="60"/>
      <c r="K1883" s="60"/>
      <c r="L1883" s="60"/>
      <c r="M1883" s="60"/>
      <c r="N1883" s="60"/>
      <c r="O1883" s="60"/>
      <c r="P1883" s="60"/>
      <c r="Q1883" s="60"/>
      <c r="R1883" s="60"/>
      <c r="S1883" s="60"/>
      <c r="T1883" s="60"/>
      <c r="U1883" s="60"/>
      <c r="V1883" s="60"/>
      <c r="W1883" s="60"/>
      <c r="X1883" s="60"/>
      <c r="Y1883" s="60"/>
      <c r="Z1883" s="60"/>
    </row>
    <row r="1884" spans="1:26" ht="30" hidden="1" customHeight="1">
      <c r="A1884" s="92" t="s">
        <v>3727</v>
      </c>
      <c r="B1884" s="101" t="s">
        <v>2673</v>
      </c>
      <c r="C1884" s="94"/>
      <c r="D1884" s="94"/>
      <c r="E1884" s="39">
        <f t="shared" ref="E1884:G1884" si="550">SUM(E1885:E1902)</f>
        <v>86480925.650000006</v>
      </c>
      <c r="F1884" s="39">
        <f t="shared" si="550"/>
        <v>86480925.650000006</v>
      </c>
      <c r="G1884" s="39">
        <f t="shared" si="550"/>
        <v>0</v>
      </c>
      <c r="H1884" s="94"/>
      <c r="I1884" s="60"/>
      <c r="J1884" s="60"/>
      <c r="K1884" s="60"/>
      <c r="L1884" s="60"/>
      <c r="M1884" s="60"/>
      <c r="N1884" s="60"/>
      <c r="O1884" s="60"/>
      <c r="P1884" s="60"/>
      <c r="Q1884" s="60"/>
      <c r="R1884" s="60"/>
      <c r="S1884" s="60"/>
      <c r="T1884" s="60"/>
      <c r="U1884" s="60"/>
      <c r="V1884" s="60"/>
      <c r="W1884" s="60"/>
      <c r="X1884" s="60"/>
      <c r="Y1884" s="60"/>
      <c r="Z1884" s="60"/>
    </row>
    <row r="1885" spans="1:26" ht="30" hidden="1" customHeight="1">
      <c r="A1885" s="98" t="s">
        <v>3728</v>
      </c>
      <c r="B1885" s="68" t="s">
        <v>3729</v>
      </c>
      <c r="C1885" s="99"/>
      <c r="D1885" s="96"/>
      <c r="E1885" s="53">
        <v>30232.95</v>
      </c>
      <c r="F1885" s="53">
        <v>30232.95</v>
      </c>
      <c r="G1885" s="96">
        <f t="shared" ref="G1885:G1902" si="551">ROUND(E1885-F1885,2)</f>
        <v>0</v>
      </c>
      <c r="H1885" s="96"/>
      <c r="I1885" s="60"/>
      <c r="J1885" s="60"/>
      <c r="K1885" s="60"/>
      <c r="L1885" s="60"/>
      <c r="M1885" s="60"/>
      <c r="N1885" s="60"/>
      <c r="O1885" s="60"/>
      <c r="P1885" s="60"/>
      <c r="Q1885" s="60"/>
      <c r="R1885" s="60"/>
      <c r="S1885" s="60"/>
      <c r="T1885" s="60"/>
      <c r="U1885" s="60"/>
      <c r="V1885" s="60"/>
      <c r="W1885" s="60"/>
      <c r="X1885" s="60"/>
      <c r="Y1885" s="60"/>
      <c r="Z1885" s="60"/>
    </row>
    <row r="1886" spans="1:26" ht="30" hidden="1" customHeight="1">
      <c r="A1886" s="95" t="s">
        <v>3730</v>
      </c>
      <c r="B1886" s="68" t="s">
        <v>3731</v>
      </c>
      <c r="C1886" s="99"/>
      <c r="D1886" s="96"/>
      <c r="E1886" s="53"/>
      <c r="F1886" s="53"/>
      <c r="G1886" s="96">
        <f t="shared" si="551"/>
        <v>0</v>
      </c>
      <c r="H1886" s="96"/>
      <c r="I1886" s="60"/>
      <c r="J1886" s="60"/>
      <c r="K1886" s="60"/>
      <c r="L1886" s="60"/>
      <c r="M1886" s="60"/>
      <c r="N1886" s="60"/>
      <c r="O1886" s="60"/>
      <c r="P1886" s="60"/>
      <c r="Q1886" s="60"/>
      <c r="R1886" s="60"/>
      <c r="S1886" s="60"/>
      <c r="T1886" s="60"/>
      <c r="U1886" s="60"/>
      <c r="V1886" s="60"/>
      <c r="W1886" s="60"/>
      <c r="X1886" s="60"/>
      <c r="Y1886" s="60"/>
      <c r="Z1886" s="60"/>
    </row>
    <row r="1887" spans="1:26" ht="30" hidden="1" customHeight="1">
      <c r="A1887" s="98" t="s">
        <v>3732</v>
      </c>
      <c r="B1887" s="68" t="s">
        <v>3733</v>
      </c>
      <c r="C1887" s="99"/>
      <c r="D1887" s="96"/>
      <c r="E1887" s="53">
        <v>4842.42</v>
      </c>
      <c r="F1887" s="53">
        <v>4842.42</v>
      </c>
      <c r="G1887" s="96">
        <f t="shared" si="551"/>
        <v>0</v>
      </c>
      <c r="H1887" s="96"/>
      <c r="I1887" s="60"/>
      <c r="J1887" s="60"/>
      <c r="K1887" s="60"/>
      <c r="L1887" s="60"/>
      <c r="M1887" s="60"/>
      <c r="N1887" s="60"/>
      <c r="O1887" s="60"/>
      <c r="P1887" s="60"/>
      <c r="Q1887" s="60"/>
      <c r="R1887" s="60"/>
      <c r="S1887" s="60"/>
      <c r="T1887" s="60"/>
      <c r="U1887" s="60"/>
      <c r="V1887" s="60"/>
      <c r="W1887" s="60"/>
      <c r="X1887" s="60"/>
      <c r="Y1887" s="60"/>
      <c r="Z1887" s="60"/>
    </row>
    <row r="1888" spans="1:26" ht="30" hidden="1" customHeight="1">
      <c r="A1888" s="95" t="s">
        <v>3734</v>
      </c>
      <c r="B1888" s="68" t="s">
        <v>3735</v>
      </c>
      <c r="C1888" s="99"/>
      <c r="D1888" s="96"/>
      <c r="E1888" s="53"/>
      <c r="F1888" s="53"/>
      <c r="G1888" s="96">
        <f t="shared" si="551"/>
        <v>0</v>
      </c>
      <c r="H1888" s="96"/>
      <c r="I1888" s="60"/>
      <c r="J1888" s="60"/>
      <c r="K1888" s="60"/>
      <c r="L1888" s="60"/>
      <c r="M1888" s="60"/>
      <c r="N1888" s="60"/>
      <c r="O1888" s="60"/>
      <c r="P1888" s="60"/>
      <c r="Q1888" s="60"/>
      <c r="R1888" s="60"/>
      <c r="S1888" s="60"/>
      <c r="T1888" s="60"/>
      <c r="U1888" s="60"/>
      <c r="V1888" s="60"/>
      <c r="W1888" s="60"/>
      <c r="X1888" s="60"/>
      <c r="Y1888" s="60"/>
      <c r="Z1888" s="60"/>
    </row>
    <row r="1889" spans="1:26" ht="30" hidden="1" customHeight="1">
      <c r="A1889" s="98" t="s">
        <v>3736</v>
      </c>
      <c r="B1889" s="68" t="s">
        <v>3737</v>
      </c>
      <c r="C1889" s="99"/>
      <c r="D1889" s="96"/>
      <c r="E1889" s="53"/>
      <c r="F1889" s="53"/>
      <c r="G1889" s="96">
        <f t="shared" si="551"/>
        <v>0</v>
      </c>
      <c r="H1889" s="96"/>
      <c r="I1889" s="60"/>
      <c r="J1889" s="60"/>
      <c r="K1889" s="60"/>
      <c r="L1889" s="60"/>
      <c r="M1889" s="60"/>
      <c r="N1889" s="60"/>
      <c r="O1889" s="60"/>
      <c r="P1889" s="60"/>
      <c r="Q1889" s="60"/>
      <c r="R1889" s="60"/>
      <c r="S1889" s="60"/>
      <c r="T1889" s="60"/>
      <c r="U1889" s="60"/>
      <c r="V1889" s="60"/>
      <c r="W1889" s="60"/>
      <c r="X1889" s="60"/>
      <c r="Y1889" s="60"/>
      <c r="Z1889" s="60"/>
    </row>
    <row r="1890" spans="1:26" ht="30" hidden="1" customHeight="1">
      <c r="A1890" s="95" t="s">
        <v>3738</v>
      </c>
      <c r="B1890" s="68" t="s">
        <v>3739</v>
      </c>
      <c r="C1890" s="99"/>
      <c r="D1890" s="96"/>
      <c r="E1890" s="53"/>
      <c r="F1890" s="53"/>
      <c r="G1890" s="96">
        <f t="shared" si="551"/>
        <v>0</v>
      </c>
      <c r="H1890" s="96"/>
      <c r="I1890" s="60"/>
      <c r="J1890" s="60"/>
      <c r="K1890" s="60"/>
      <c r="L1890" s="60"/>
      <c r="M1890" s="60"/>
      <c r="N1890" s="60"/>
      <c r="O1890" s="60"/>
      <c r="P1890" s="60"/>
      <c r="Q1890" s="60"/>
      <c r="R1890" s="60"/>
      <c r="S1890" s="60"/>
      <c r="T1890" s="60"/>
      <c r="U1890" s="60"/>
      <c r="V1890" s="60"/>
      <c r="W1890" s="60"/>
      <c r="X1890" s="60"/>
      <c r="Y1890" s="60"/>
      <c r="Z1890" s="60"/>
    </row>
    <row r="1891" spans="1:26" ht="30" hidden="1" customHeight="1">
      <c r="A1891" s="98" t="s">
        <v>3740</v>
      </c>
      <c r="B1891" s="68" t="s">
        <v>3741</v>
      </c>
      <c r="C1891" s="99"/>
      <c r="D1891" s="96"/>
      <c r="E1891" s="53">
        <v>44665439.490000002</v>
      </c>
      <c r="F1891" s="53">
        <v>44665439.490000002</v>
      </c>
      <c r="G1891" s="96">
        <f t="shared" si="551"/>
        <v>0</v>
      </c>
      <c r="H1891" s="96"/>
      <c r="I1891" s="60"/>
      <c r="J1891" s="60"/>
      <c r="K1891" s="60"/>
      <c r="L1891" s="60"/>
      <c r="M1891" s="60"/>
      <c r="N1891" s="60"/>
      <c r="O1891" s="60"/>
      <c r="P1891" s="60"/>
      <c r="Q1891" s="60"/>
      <c r="R1891" s="60"/>
      <c r="S1891" s="60"/>
      <c r="T1891" s="60"/>
      <c r="U1891" s="60"/>
      <c r="V1891" s="60"/>
      <c r="W1891" s="60"/>
      <c r="X1891" s="60"/>
      <c r="Y1891" s="60"/>
      <c r="Z1891" s="60"/>
    </row>
    <row r="1892" spans="1:26" ht="30" hidden="1" customHeight="1">
      <c r="A1892" s="95" t="s">
        <v>3742</v>
      </c>
      <c r="B1892" s="68" t="s">
        <v>3743</v>
      </c>
      <c r="C1892" s="99"/>
      <c r="D1892" s="96"/>
      <c r="E1892" s="53"/>
      <c r="F1892" s="53"/>
      <c r="G1892" s="96">
        <f t="shared" si="551"/>
        <v>0</v>
      </c>
      <c r="H1892" s="96"/>
      <c r="I1892" s="60"/>
      <c r="J1892" s="60"/>
      <c r="K1892" s="60"/>
      <c r="L1892" s="60"/>
      <c r="M1892" s="60"/>
      <c r="N1892" s="60"/>
      <c r="O1892" s="60"/>
      <c r="P1892" s="60"/>
      <c r="Q1892" s="60"/>
      <c r="R1892" s="60"/>
      <c r="S1892" s="60"/>
      <c r="T1892" s="60"/>
      <c r="U1892" s="60"/>
      <c r="V1892" s="60"/>
      <c r="W1892" s="60"/>
      <c r="X1892" s="60"/>
      <c r="Y1892" s="60"/>
      <c r="Z1892" s="60"/>
    </row>
    <row r="1893" spans="1:26" ht="30" hidden="1" customHeight="1">
      <c r="A1893" s="98" t="s">
        <v>3744</v>
      </c>
      <c r="B1893" s="68" t="s">
        <v>3745</v>
      </c>
      <c r="C1893" s="99"/>
      <c r="D1893" s="96"/>
      <c r="E1893" s="53">
        <v>10507501.130000001</v>
      </c>
      <c r="F1893" s="53">
        <v>10507501.130000001</v>
      </c>
      <c r="G1893" s="96">
        <f t="shared" si="551"/>
        <v>0</v>
      </c>
      <c r="H1893" s="96"/>
      <c r="I1893" s="60"/>
      <c r="J1893" s="60"/>
      <c r="K1893" s="60"/>
      <c r="L1893" s="60"/>
      <c r="M1893" s="60"/>
      <c r="N1893" s="60"/>
      <c r="O1893" s="60"/>
      <c r="P1893" s="60"/>
      <c r="Q1893" s="60"/>
      <c r="R1893" s="60"/>
      <c r="S1893" s="60"/>
      <c r="T1893" s="60"/>
      <c r="U1893" s="60"/>
      <c r="V1893" s="60"/>
      <c r="W1893" s="60"/>
      <c r="X1893" s="60"/>
      <c r="Y1893" s="60"/>
      <c r="Z1893" s="60"/>
    </row>
    <row r="1894" spans="1:26" ht="30" hidden="1" customHeight="1">
      <c r="A1894" s="95" t="s">
        <v>3746</v>
      </c>
      <c r="B1894" s="68" t="s">
        <v>3747</v>
      </c>
      <c r="C1894" s="99"/>
      <c r="D1894" s="96"/>
      <c r="E1894" s="53"/>
      <c r="F1894" s="53"/>
      <c r="G1894" s="96">
        <f t="shared" si="551"/>
        <v>0</v>
      </c>
      <c r="H1894" s="96"/>
      <c r="I1894" s="60"/>
      <c r="J1894" s="60"/>
      <c r="K1894" s="60"/>
      <c r="L1894" s="60"/>
      <c r="M1894" s="60"/>
      <c r="N1894" s="60"/>
      <c r="O1894" s="60"/>
      <c r="P1894" s="60"/>
      <c r="Q1894" s="60"/>
      <c r="R1894" s="60"/>
      <c r="S1894" s="60"/>
      <c r="T1894" s="60"/>
      <c r="U1894" s="60"/>
      <c r="V1894" s="60"/>
      <c r="W1894" s="60"/>
      <c r="X1894" s="60"/>
      <c r="Y1894" s="60"/>
      <c r="Z1894" s="60"/>
    </row>
    <row r="1895" spans="1:26" ht="30" hidden="1" customHeight="1">
      <c r="A1895" s="98" t="s">
        <v>3748</v>
      </c>
      <c r="B1895" s="68" t="s">
        <v>3749</v>
      </c>
      <c r="C1895" s="99"/>
      <c r="D1895" s="96"/>
      <c r="E1895" s="53">
        <v>19002419.48</v>
      </c>
      <c r="F1895" s="53">
        <v>19002419.48</v>
      </c>
      <c r="G1895" s="96">
        <f t="shared" si="551"/>
        <v>0</v>
      </c>
      <c r="H1895" s="96"/>
      <c r="I1895" s="60"/>
      <c r="J1895" s="60"/>
      <c r="K1895" s="60"/>
      <c r="L1895" s="60"/>
      <c r="M1895" s="60"/>
      <c r="N1895" s="60"/>
      <c r="O1895" s="60"/>
      <c r="P1895" s="60"/>
      <c r="Q1895" s="60"/>
      <c r="R1895" s="60"/>
      <c r="S1895" s="60"/>
      <c r="T1895" s="60"/>
      <c r="U1895" s="60"/>
      <c r="V1895" s="60"/>
      <c r="W1895" s="60"/>
      <c r="X1895" s="60"/>
      <c r="Y1895" s="60"/>
      <c r="Z1895" s="60"/>
    </row>
    <row r="1896" spans="1:26" ht="30" hidden="1" customHeight="1">
      <c r="A1896" s="95" t="s">
        <v>3750</v>
      </c>
      <c r="B1896" s="68" t="s">
        <v>3751</v>
      </c>
      <c r="C1896" s="99"/>
      <c r="D1896" s="96"/>
      <c r="E1896" s="53"/>
      <c r="F1896" s="53"/>
      <c r="G1896" s="96">
        <f t="shared" si="551"/>
        <v>0</v>
      </c>
      <c r="H1896" s="96"/>
      <c r="I1896" s="60"/>
      <c r="J1896" s="60"/>
      <c r="K1896" s="60"/>
      <c r="L1896" s="60"/>
      <c r="M1896" s="60"/>
      <c r="N1896" s="60"/>
      <c r="O1896" s="60"/>
      <c r="P1896" s="60"/>
      <c r="Q1896" s="60"/>
      <c r="R1896" s="60"/>
      <c r="S1896" s="60"/>
      <c r="T1896" s="60"/>
      <c r="U1896" s="60"/>
      <c r="V1896" s="60"/>
      <c r="W1896" s="60"/>
      <c r="X1896" s="60"/>
      <c r="Y1896" s="60"/>
      <c r="Z1896" s="60"/>
    </row>
    <row r="1897" spans="1:26" ht="30" hidden="1" customHeight="1">
      <c r="A1897" s="98" t="s">
        <v>3752</v>
      </c>
      <c r="B1897" s="68" t="s">
        <v>3753</v>
      </c>
      <c r="C1897" s="99"/>
      <c r="D1897" s="96"/>
      <c r="E1897" s="53"/>
      <c r="F1897" s="53"/>
      <c r="G1897" s="96">
        <f t="shared" si="551"/>
        <v>0</v>
      </c>
      <c r="H1897" s="96"/>
      <c r="I1897" s="60"/>
      <c r="J1897" s="60"/>
      <c r="K1897" s="60"/>
      <c r="L1897" s="60"/>
      <c r="M1897" s="60"/>
      <c r="N1897" s="60"/>
      <c r="O1897" s="60"/>
      <c r="P1897" s="60"/>
      <c r="Q1897" s="60"/>
      <c r="R1897" s="60"/>
      <c r="S1897" s="60"/>
      <c r="T1897" s="60"/>
      <c r="U1897" s="60"/>
      <c r="V1897" s="60"/>
      <c r="W1897" s="60"/>
      <c r="X1897" s="60"/>
      <c r="Y1897" s="60"/>
      <c r="Z1897" s="60"/>
    </row>
    <row r="1898" spans="1:26" ht="30" hidden="1" customHeight="1">
      <c r="A1898" s="95" t="s">
        <v>3754</v>
      </c>
      <c r="B1898" s="68" t="s">
        <v>3755</v>
      </c>
      <c r="C1898" s="99"/>
      <c r="D1898" s="96"/>
      <c r="E1898" s="53"/>
      <c r="F1898" s="53"/>
      <c r="G1898" s="96">
        <f t="shared" si="551"/>
        <v>0</v>
      </c>
      <c r="H1898" s="96"/>
      <c r="I1898" s="60"/>
      <c r="J1898" s="60"/>
      <c r="K1898" s="60"/>
      <c r="L1898" s="60"/>
      <c r="M1898" s="60"/>
      <c r="N1898" s="60"/>
      <c r="O1898" s="60"/>
      <c r="P1898" s="60"/>
      <c r="Q1898" s="60"/>
      <c r="R1898" s="60"/>
      <c r="S1898" s="60"/>
      <c r="T1898" s="60"/>
      <c r="U1898" s="60"/>
      <c r="V1898" s="60"/>
      <c r="W1898" s="60"/>
      <c r="X1898" s="60"/>
      <c r="Y1898" s="60"/>
      <c r="Z1898" s="60"/>
    </row>
    <row r="1899" spans="1:26" ht="30" hidden="1" customHeight="1">
      <c r="A1899" s="98" t="s">
        <v>3756</v>
      </c>
      <c r="B1899" s="68" t="s">
        <v>3757</v>
      </c>
      <c r="C1899" s="99"/>
      <c r="D1899" s="96"/>
      <c r="E1899" s="53"/>
      <c r="F1899" s="53"/>
      <c r="G1899" s="96">
        <f t="shared" si="551"/>
        <v>0</v>
      </c>
      <c r="H1899" s="96"/>
      <c r="I1899" s="60"/>
      <c r="J1899" s="60"/>
      <c r="K1899" s="60"/>
      <c r="L1899" s="60"/>
      <c r="M1899" s="60"/>
      <c r="N1899" s="60"/>
      <c r="O1899" s="60"/>
      <c r="P1899" s="60"/>
      <c r="Q1899" s="60"/>
      <c r="R1899" s="60"/>
      <c r="S1899" s="60"/>
      <c r="T1899" s="60"/>
      <c r="U1899" s="60"/>
      <c r="V1899" s="60"/>
      <c r="W1899" s="60"/>
      <c r="X1899" s="60"/>
      <c r="Y1899" s="60"/>
      <c r="Z1899" s="60"/>
    </row>
    <row r="1900" spans="1:26" ht="30" hidden="1" customHeight="1">
      <c r="A1900" s="95" t="s">
        <v>3758</v>
      </c>
      <c r="B1900" s="68" t="s">
        <v>3759</v>
      </c>
      <c r="C1900" s="99"/>
      <c r="D1900" s="96"/>
      <c r="E1900" s="53"/>
      <c r="F1900" s="53"/>
      <c r="G1900" s="96">
        <f t="shared" si="551"/>
        <v>0</v>
      </c>
      <c r="H1900" s="96"/>
      <c r="I1900" s="60"/>
      <c r="J1900" s="60"/>
      <c r="K1900" s="60"/>
      <c r="L1900" s="60"/>
      <c r="M1900" s="60"/>
      <c r="N1900" s="60"/>
      <c r="O1900" s="60"/>
      <c r="P1900" s="60"/>
      <c r="Q1900" s="60"/>
      <c r="R1900" s="60"/>
      <c r="S1900" s="60"/>
      <c r="T1900" s="60"/>
      <c r="U1900" s="60"/>
      <c r="V1900" s="60"/>
      <c r="W1900" s="60"/>
      <c r="X1900" s="60"/>
      <c r="Y1900" s="60"/>
      <c r="Z1900" s="60"/>
    </row>
    <row r="1901" spans="1:26" ht="30" hidden="1" customHeight="1">
      <c r="A1901" s="98" t="s">
        <v>3760</v>
      </c>
      <c r="B1901" s="68" t="s">
        <v>3761</v>
      </c>
      <c r="C1901" s="99"/>
      <c r="D1901" s="96"/>
      <c r="E1901" s="53"/>
      <c r="F1901" s="53"/>
      <c r="G1901" s="96">
        <f t="shared" si="551"/>
        <v>0</v>
      </c>
      <c r="H1901" s="96"/>
      <c r="I1901" s="60"/>
      <c r="J1901" s="60"/>
      <c r="K1901" s="60"/>
      <c r="L1901" s="60"/>
      <c r="M1901" s="60"/>
      <c r="N1901" s="60"/>
      <c r="O1901" s="60"/>
      <c r="P1901" s="60"/>
      <c r="Q1901" s="60"/>
      <c r="R1901" s="60"/>
      <c r="S1901" s="60"/>
      <c r="T1901" s="60"/>
      <c r="U1901" s="60"/>
      <c r="V1901" s="60"/>
      <c r="W1901" s="60"/>
      <c r="X1901" s="60"/>
      <c r="Y1901" s="60"/>
      <c r="Z1901" s="60"/>
    </row>
    <row r="1902" spans="1:26" ht="30" hidden="1" customHeight="1">
      <c r="A1902" s="95" t="s">
        <v>3762</v>
      </c>
      <c r="B1902" s="68" t="s">
        <v>3763</v>
      </c>
      <c r="C1902" s="99"/>
      <c r="D1902" s="96"/>
      <c r="E1902" s="53">
        <v>12270490.18</v>
      </c>
      <c r="F1902" s="53">
        <v>12270490.18</v>
      </c>
      <c r="G1902" s="96">
        <f t="shared" si="551"/>
        <v>0</v>
      </c>
      <c r="H1902" s="96"/>
      <c r="I1902" s="60"/>
      <c r="J1902" s="60"/>
      <c r="K1902" s="60"/>
      <c r="L1902" s="60"/>
      <c r="M1902" s="60"/>
      <c r="N1902" s="60"/>
      <c r="O1902" s="60"/>
      <c r="P1902" s="60"/>
      <c r="Q1902" s="60"/>
      <c r="R1902" s="60"/>
      <c r="S1902" s="60"/>
      <c r="T1902" s="60"/>
      <c r="U1902" s="60"/>
      <c r="V1902" s="60"/>
      <c r="W1902" s="60"/>
      <c r="X1902" s="60"/>
      <c r="Y1902" s="60"/>
      <c r="Z1902" s="60"/>
    </row>
    <row r="1903" spans="1:26" ht="30" hidden="1" customHeight="1">
      <c r="A1903" s="92" t="s">
        <v>3764</v>
      </c>
      <c r="B1903" s="101" t="s">
        <v>2711</v>
      </c>
      <c r="C1903" s="94"/>
      <c r="D1903" s="94"/>
      <c r="E1903" s="39">
        <f t="shared" ref="E1903:G1903" si="552">SUM(E1904:E1909)</f>
        <v>218230294.47</v>
      </c>
      <c r="F1903" s="39">
        <f t="shared" si="552"/>
        <v>218230294.47</v>
      </c>
      <c r="G1903" s="39">
        <f t="shared" si="552"/>
        <v>0</v>
      </c>
      <c r="H1903" s="94"/>
      <c r="I1903" s="60"/>
      <c r="J1903" s="60"/>
      <c r="K1903" s="60"/>
      <c r="L1903" s="60"/>
      <c r="M1903" s="60"/>
      <c r="N1903" s="60"/>
      <c r="O1903" s="60"/>
      <c r="P1903" s="60"/>
      <c r="Q1903" s="60"/>
      <c r="R1903" s="60"/>
      <c r="S1903" s="60"/>
      <c r="T1903" s="60"/>
      <c r="U1903" s="60"/>
      <c r="V1903" s="60"/>
      <c r="W1903" s="60"/>
      <c r="X1903" s="60"/>
      <c r="Y1903" s="60"/>
      <c r="Z1903" s="60"/>
    </row>
    <row r="1904" spans="1:26" ht="30" hidden="1" customHeight="1">
      <c r="A1904" s="98" t="s">
        <v>3765</v>
      </c>
      <c r="B1904" s="68" t="s">
        <v>3766</v>
      </c>
      <c r="C1904" s="99"/>
      <c r="D1904" s="96"/>
      <c r="E1904" s="53">
        <v>218230294.47</v>
      </c>
      <c r="F1904" s="53">
        <v>218230294.47</v>
      </c>
      <c r="G1904" s="96">
        <f t="shared" ref="G1904:G1909" si="553">ROUND(E1904-F1904,2)</f>
        <v>0</v>
      </c>
      <c r="H1904" s="96"/>
      <c r="I1904" s="60"/>
      <c r="J1904" s="60"/>
      <c r="K1904" s="60"/>
      <c r="L1904" s="60"/>
      <c r="M1904" s="60"/>
      <c r="N1904" s="60"/>
      <c r="O1904" s="60"/>
      <c r="P1904" s="60"/>
      <c r="Q1904" s="60"/>
      <c r="R1904" s="60"/>
      <c r="S1904" s="60"/>
      <c r="T1904" s="60"/>
      <c r="U1904" s="60"/>
      <c r="V1904" s="60"/>
      <c r="W1904" s="60"/>
      <c r="X1904" s="60"/>
      <c r="Y1904" s="60"/>
      <c r="Z1904" s="60"/>
    </row>
    <row r="1905" spans="1:26" ht="30" hidden="1" customHeight="1">
      <c r="A1905" s="95" t="s">
        <v>3767</v>
      </c>
      <c r="B1905" s="68" t="s">
        <v>3768</v>
      </c>
      <c r="C1905" s="99"/>
      <c r="D1905" s="96"/>
      <c r="E1905" s="53"/>
      <c r="F1905" s="53"/>
      <c r="G1905" s="96">
        <f t="shared" si="553"/>
        <v>0</v>
      </c>
      <c r="H1905" s="96"/>
      <c r="I1905" s="60"/>
      <c r="J1905" s="60"/>
      <c r="K1905" s="60"/>
      <c r="L1905" s="60"/>
      <c r="M1905" s="60"/>
      <c r="N1905" s="60"/>
      <c r="O1905" s="60"/>
      <c r="P1905" s="60"/>
      <c r="Q1905" s="60"/>
      <c r="R1905" s="60"/>
      <c r="S1905" s="60"/>
      <c r="T1905" s="60"/>
      <c r="U1905" s="60"/>
      <c r="V1905" s="60"/>
      <c r="W1905" s="60"/>
      <c r="X1905" s="60"/>
      <c r="Y1905" s="60"/>
      <c r="Z1905" s="60"/>
    </row>
    <row r="1906" spans="1:26" ht="30" hidden="1" customHeight="1">
      <c r="A1906" s="98" t="s">
        <v>3769</v>
      </c>
      <c r="B1906" s="68" t="s">
        <v>3770</v>
      </c>
      <c r="C1906" s="99"/>
      <c r="D1906" s="96"/>
      <c r="E1906" s="53"/>
      <c r="F1906" s="53"/>
      <c r="G1906" s="96">
        <f t="shared" si="553"/>
        <v>0</v>
      </c>
      <c r="H1906" s="96"/>
      <c r="I1906" s="60"/>
      <c r="J1906" s="60"/>
      <c r="K1906" s="60"/>
      <c r="L1906" s="60"/>
      <c r="M1906" s="60"/>
      <c r="N1906" s="60"/>
      <c r="O1906" s="60"/>
      <c r="P1906" s="60"/>
      <c r="Q1906" s="60"/>
      <c r="R1906" s="60"/>
      <c r="S1906" s="60"/>
      <c r="T1906" s="60"/>
      <c r="U1906" s="60"/>
      <c r="V1906" s="60"/>
      <c r="W1906" s="60"/>
      <c r="X1906" s="60"/>
      <c r="Y1906" s="60"/>
      <c r="Z1906" s="60"/>
    </row>
    <row r="1907" spans="1:26" ht="30" hidden="1" customHeight="1">
      <c r="A1907" s="95" t="s">
        <v>3771</v>
      </c>
      <c r="B1907" s="68" t="s">
        <v>3772</v>
      </c>
      <c r="C1907" s="99"/>
      <c r="D1907" s="96"/>
      <c r="E1907" s="53"/>
      <c r="F1907" s="53"/>
      <c r="G1907" s="96">
        <f t="shared" si="553"/>
        <v>0</v>
      </c>
      <c r="H1907" s="96"/>
      <c r="I1907" s="60"/>
      <c r="J1907" s="60"/>
      <c r="K1907" s="60"/>
      <c r="L1907" s="60"/>
      <c r="M1907" s="60"/>
      <c r="N1907" s="60"/>
      <c r="O1907" s="60"/>
      <c r="P1907" s="60"/>
      <c r="Q1907" s="60"/>
      <c r="R1907" s="60"/>
      <c r="S1907" s="60"/>
      <c r="T1907" s="60"/>
      <c r="U1907" s="60"/>
      <c r="V1907" s="60"/>
      <c r="W1907" s="60"/>
      <c r="X1907" s="60"/>
      <c r="Y1907" s="60"/>
      <c r="Z1907" s="60"/>
    </row>
    <row r="1908" spans="1:26" ht="30" hidden="1" customHeight="1">
      <c r="A1908" s="98" t="s">
        <v>3773</v>
      </c>
      <c r="B1908" s="68" t="s">
        <v>3774</v>
      </c>
      <c r="C1908" s="99"/>
      <c r="D1908" s="96"/>
      <c r="E1908" s="53"/>
      <c r="F1908" s="53"/>
      <c r="G1908" s="96">
        <f t="shared" si="553"/>
        <v>0</v>
      </c>
      <c r="H1908" s="96"/>
      <c r="I1908" s="60"/>
      <c r="J1908" s="60"/>
      <c r="K1908" s="60"/>
      <c r="L1908" s="60"/>
      <c r="M1908" s="60"/>
      <c r="N1908" s="60"/>
      <c r="O1908" s="60"/>
      <c r="P1908" s="60"/>
      <c r="Q1908" s="60"/>
      <c r="R1908" s="60"/>
      <c r="S1908" s="60"/>
      <c r="T1908" s="60"/>
      <c r="U1908" s="60"/>
      <c r="V1908" s="60"/>
      <c r="W1908" s="60"/>
      <c r="X1908" s="60"/>
      <c r="Y1908" s="60"/>
      <c r="Z1908" s="60"/>
    </row>
    <row r="1909" spans="1:26" ht="30" hidden="1" customHeight="1">
      <c r="A1909" s="95" t="s">
        <v>3775</v>
      </c>
      <c r="B1909" s="68" t="s">
        <v>3776</v>
      </c>
      <c r="C1909" s="99"/>
      <c r="D1909" s="96"/>
      <c r="E1909" s="53"/>
      <c r="F1909" s="53"/>
      <c r="G1909" s="96">
        <f t="shared" si="553"/>
        <v>0</v>
      </c>
      <c r="H1909" s="96"/>
      <c r="I1909" s="60"/>
      <c r="J1909" s="60"/>
      <c r="K1909" s="60"/>
      <c r="L1909" s="60"/>
      <c r="M1909" s="60"/>
      <c r="N1909" s="60"/>
      <c r="O1909" s="60"/>
      <c r="P1909" s="60"/>
      <c r="Q1909" s="60"/>
      <c r="R1909" s="60"/>
      <c r="S1909" s="60"/>
      <c r="T1909" s="60"/>
      <c r="U1909" s="60"/>
      <c r="V1909" s="60"/>
      <c r="W1909" s="60"/>
      <c r="X1909" s="60"/>
      <c r="Y1909" s="60"/>
      <c r="Z1909" s="60"/>
    </row>
    <row r="1910" spans="1:26" ht="30" hidden="1" customHeight="1">
      <c r="A1910" s="92" t="s">
        <v>3777</v>
      </c>
      <c r="B1910" s="101" t="s">
        <v>2725</v>
      </c>
      <c r="C1910" s="94"/>
      <c r="D1910" s="94"/>
      <c r="E1910" s="39">
        <f t="shared" ref="E1910:G1910" si="554">SUM(E1911:E1924)</f>
        <v>0</v>
      </c>
      <c r="F1910" s="39">
        <f t="shared" si="554"/>
        <v>0</v>
      </c>
      <c r="G1910" s="39">
        <f t="shared" si="554"/>
        <v>0</v>
      </c>
      <c r="H1910" s="94"/>
      <c r="I1910" s="60"/>
      <c r="J1910" s="60"/>
      <c r="K1910" s="60"/>
      <c r="L1910" s="60"/>
      <c r="M1910" s="60"/>
      <c r="N1910" s="60"/>
      <c r="O1910" s="60"/>
      <c r="P1910" s="60"/>
      <c r="Q1910" s="60"/>
      <c r="R1910" s="60"/>
      <c r="S1910" s="60"/>
      <c r="T1910" s="60"/>
      <c r="U1910" s="60"/>
      <c r="V1910" s="60"/>
      <c r="W1910" s="60"/>
      <c r="X1910" s="60"/>
      <c r="Y1910" s="60"/>
      <c r="Z1910" s="60"/>
    </row>
    <row r="1911" spans="1:26" ht="30" hidden="1" customHeight="1">
      <c r="A1911" s="98" t="s">
        <v>3778</v>
      </c>
      <c r="B1911" s="68" t="s">
        <v>3779</v>
      </c>
      <c r="C1911" s="99"/>
      <c r="D1911" s="96"/>
      <c r="E1911" s="53"/>
      <c r="F1911" s="53"/>
      <c r="G1911" s="96">
        <f t="shared" ref="G1911:G1924" si="555">ROUND(E1911-F1911,2)</f>
        <v>0</v>
      </c>
      <c r="H1911" s="96"/>
      <c r="I1911" s="60"/>
      <c r="J1911" s="60"/>
      <c r="K1911" s="60"/>
      <c r="L1911" s="60"/>
      <c r="M1911" s="60"/>
      <c r="N1911" s="60"/>
      <c r="O1911" s="60"/>
      <c r="P1911" s="60"/>
      <c r="Q1911" s="60"/>
      <c r="R1911" s="60"/>
      <c r="S1911" s="60"/>
      <c r="T1911" s="60"/>
      <c r="U1911" s="60"/>
      <c r="V1911" s="60"/>
      <c r="W1911" s="60"/>
      <c r="X1911" s="60"/>
      <c r="Y1911" s="60"/>
      <c r="Z1911" s="60"/>
    </row>
    <row r="1912" spans="1:26" ht="30" hidden="1" customHeight="1">
      <c r="A1912" s="95" t="s">
        <v>3780</v>
      </c>
      <c r="B1912" s="68" t="s">
        <v>3781</v>
      </c>
      <c r="C1912" s="99"/>
      <c r="D1912" s="96"/>
      <c r="E1912" s="53"/>
      <c r="F1912" s="53"/>
      <c r="G1912" s="96">
        <f t="shared" si="555"/>
        <v>0</v>
      </c>
      <c r="H1912" s="96"/>
      <c r="I1912" s="60"/>
      <c r="J1912" s="60"/>
      <c r="K1912" s="60"/>
      <c r="L1912" s="60"/>
      <c r="M1912" s="60"/>
      <c r="N1912" s="60"/>
      <c r="O1912" s="60"/>
      <c r="P1912" s="60"/>
      <c r="Q1912" s="60"/>
      <c r="R1912" s="60"/>
      <c r="S1912" s="60"/>
      <c r="T1912" s="60"/>
      <c r="U1912" s="60"/>
      <c r="V1912" s="60"/>
      <c r="W1912" s="60"/>
      <c r="X1912" s="60"/>
      <c r="Y1912" s="60"/>
      <c r="Z1912" s="60"/>
    </row>
    <row r="1913" spans="1:26" ht="30" hidden="1" customHeight="1">
      <c r="A1913" s="98" t="s">
        <v>3782</v>
      </c>
      <c r="B1913" s="68" t="s">
        <v>3783</v>
      </c>
      <c r="C1913" s="99"/>
      <c r="D1913" s="96"/>
      <c r="E1913" s="53"/>
      <c r="F1913" s="53"/>
      <c r="G1913" s="96">
        <f t="shared" si="555"/>
        <v>0</v>
      </c>
      <c r="H1913" s="96"/>
      <c r="I1913" s="60"/>
      <c r="J1913" s="60"/>
      <c r="K1913" s="60"/>
      <c r="L1913" s="60"/>
      <c r="M1913" s="60"/>
      <c r="N1913" s="60"/>
      <c r="O1913" s="60"/>
      <c r="P1913" s="60"/>
      <c r="Q1913" s="60"/>
      <c r="R1913" s="60"/>
      <c r="S1913" s="60"/>
      <c r="T1913" s="60"/>
      <c r="U1913" s="60"/>
      <c r="V1913" s="60"/>
      <c r="W1913" s="60"/>
      <c r="X1913" s="60"/>
      <c r="Y1913" s="60"/>
      <c r="Z1913" s="60"/>
    </row>
    <row r="1914" spans="1:26" ht="30" hidden="1" customHeight="1">
      <c r="A1914" s="95" t="s">
        <v>3784</v>
      </c>
      <c r="B1914" s="68" t="s">
        <v>3785</v>
      </c>
      <c r="C1914" s="99"/>
      <c r="D1914" s="96"/>
      <c r="E1914" s="53"/>
      <c r="F1914" s="53"/>
      <c r="G1914" s="96">
        <f t="shared" si="555"/>
        <v>0</v>
      </c>
      <c r="H1914" s="96"/>
      <c r="I1914" s="60"/>
      <c r="J1914" s="60"/>
      <c r="K1914" s="60"/>
      <c r="L1914" s="60"/>
      <c r="M1914" s="60"/>
      <c r="N1914" s="60"/>
      <c r="O1914" s="60"/>
      <c r="P1914" s="60"/>
      <c r="Q1914" s="60"/>
      <c r="R1914" s="60"/>
      <c r="S1914" s="60"/>
      <c r="T1914" s="60"/>
      <c r="U1914" s="60"/>
      <c r="V1914" s="60"/>
      <c r="W1914" s="60"/>
      <c r="X1914" s="60"/>
      <c r="Y1914" s="60"/>
      <c r="Z1914" s="60"/>
    </row>
    <row r="1915" spans="1:26" ht="30" hidden="1" customHeight="1">
      <c r="A1915" s="98" t="s">
        <v>3786</v>
      </c>
      <c r="B1915" s="68" t="s">
        <v>3787</v>
      </c>
      <c r="C1915" s="99"/>
      <c r="D1915" s="96"/>
      <c r="E1915" s="53"/>
      <c r="F1915" s="53"/>
      <c r="G1915" s="96">
        <f t="shared" si="555"/>
        <v>0</v>
      </c>
      <c r="H1915" s="96"/>
      <c r="I1915" s="60"/>
      <c r="J1915" s="60"/>
      <c r="K1915" s="60"/>
      <c r="L1915" s="60"/>
      <c r="M1915" s="60"/>
      <c r="N1915" s="60"/>
      <c r="O1915" s="60"/>
      <c r="P1915" s="60"/>
      <c r="Q1915" s="60"/>
      <c r="R1915" s="60"/>
      <c r="S1915" s="60"/>
      <c r="T1915" s="60"/>
      <c r="U1915" s="60"/>
      <c r="V1915" s="60"/>
      <c r="W1915" s="60"/>
      <c r="X1915" s="60"/>
      <c r="Y1915" s="60"/>
      <c r="Z1915" s="60"/>
    </row>
    <row r="1916" spans="1:26" ht="30" hidden="1" customHeight="1">
      <c r="A1916" s="95" t="s">
        <v>3788</v>
      </c>
      <c r="B1916" s="68" t="s">
        <v>3789</v>
      </c>
      <c r="C1916" s="99"/>
      <c r="D1916" s="96"/>
      <c r="E1916" s="53"/>
      <c r="F1916" s="53"/>
      <c r="G1916" s="96">
        <f t="shared" si="555"/>
        <v>0</v>
      </c>
      <c r="H1916" s="96"/>
      <c r="I1916" s="60"/>
      <c r="J1916" s="60"/>
      <c r="K1916" s="60"/>
      <c r="L1916" s="60"/>
      <c r="M1916" s="60"/>
      <c r="N1916" s="60"/>
      <c r="O1916" s="60"/>
      <c r="P1916" s="60"/>
      <c r="Q1916" s="60"/>
      <c r="R1916" s="60"/>
      <c r="S1916" s="60"/>
      <c r="T1916" s="60"/>
      <c r="U1916" s="60"/>
      <c r="V1916" s="60"/>
      <c r="W1916" s="60"/>
      <c r="X1916" s="60"/>
      <c r="Y1916" s="60"/>
      <c r="Z1916" s="60"/>
    </row>
    <row r="1917" spans="1:26" ht="30" hidden="1" customHeight="1">
      <c r="A1917" s="98" t="s">
        <v>3790</v>
      </c>
      <c r="B1917" s="68" t="s">
        <v>3791</v>
      </c>
      <c r="C1917" s="99"/>
      <c r="D1917" s="96"/>
      <c r="E1917" s="53"/>
      <c r="F1917" s="53"/>
      <c r="G1917" s="96">
        <f t="shared" si="555"/>
        <v>0</v>
      </c>
      <c r="H1917" s="96"/>
      <c r="I1917" s="60"/>
      <c r="J1917" s="60"/>
      <c r="K1917" s="60"/>
      <c r="L1917" s="60"/>
      <c r="M1917" s="60"/>
      <c r="N1917" s="60"/>
      <c r="O1917" s="60"/>
      <c r="P1917" s="60"/>
      <c r="Q1917" s="60"/>
      <c r="R1917" s="60"/>
      <c r="S1917" s="60"/>
      <c r="T1917" s="60"/>
      <c r="U1917" s="60"/>
      <c r="V1917" s="60"/>
      <c r="W1917" s="60"/>
      <c r="X1917" s="60"/>
      <c r="Y1917" s="60"/>
      <c r="Z1917" s="60"/>
    </row>
    <row r="1918" spans="1:26" ht="30" hidden="1" customHeight="1">
      <c r="A1918" s="95" t="s">
        <v>3792</v>
      </c>
      <c r="B1918" s="68" t="s">
        <v>3793</v>
      </c>
      <c r="C1918" s="99"/>
      <c r="D1918" s="96"/>
      <c r="E1918" s="53"/>
      <c r="F1918" s="53"/>
      <c r="G1918" s="96">
        <f t="shared" si="555"/>
        <v>0</v>
      </c>
      <c r="H1918" s="96"/>
      <c r="I1918" s="60"/>
      <c r="J1918" s="60"/>
      <c r="K1918" s="60"/>
      <c r="L1918" s="60"/>
      <c r="M1918" s="60"/>
      <c r="N1918" s="60"/>
      <c r="O1918" s="60"/>
      <c r="P1918" s="60"/>
      <c r="Q1918" s="60"/>
      <c r="R1918" s="60"/>
      <c r="S1918" s="60"/>
      <c r="T1918" s="60"/>
      <c r="U1918" s="60"/>
      <c r="V1918" s="60"/>
      <c r="W1918" s="60"/>
      <c r="X1918" s="60"/>
      <c r="Y1918" s="60"/>
      <c r="Z1918" s="60"/>
    </row>
    <row r="1919" spans="1:26" ht="30" hidden="1" customHeight="1">
      <c r="A1919" s="98" t="s">
        <v>3794</v>
      </c>
      <c r="B1919" s="68" t="s">
        <v>3795</v>
      </c>
      <c r="C1919" s="99"/>
      <c r="D1919" s="96"/>
      <c r="E1919" s="53"/>
      <c r="F1919" s="53"/>
      <c r="G1919" s="96">
        <f t="shared" si="555"/>
        <v>0</v>
      </c>
      <c r="H1919" s="96"/>
      <c r="I1919" s="60"/>
      <c r="J1919" s="60"/>
      <c r="K1919" s="60"/>
      <c r="L1919" s="60"/>
      <c r="M1919" s="60"/>
      <c r="N1919" s="60"/>
      <c r="O1919" s="60"/>
      <c r="P1919" s="60"/>
      <c r="Q1919" s="60"/>
      <c r="R1919" s="60"/>
      <c r="S1919" s="60"/>
      <c r="T1919" s="60"/>
      <c r="U1919" s="60"/>
      <c r="V1919" s="60"/>
      <c r="W1919" s="60"/>
      <c r="X1919" s="60"/>
      <c r="Y1919" s="60"/>
      <c r="Z1919" s="60"/>
    </row>
    <row r="1920" spans="1:26" ht="30" hidden="1" customHeight="1">
      <c r="A1920" s="95" t="s">
        <v>3796</v>
      </c>
      <c r="B1920" s="68" t="s">
        <v>3797</v>
      </c>
      <c r="C1920" s="99"/>
      <c r="D1920" s="96"/>
      <c r="E1920" s="53"/>
      <c r="F1920" s="53"/>
      <c r="G1920" s="96">
        <f t="shared" si="555"/>
        <v>0</v>
      </c>
      <c r="H1920" s="96"/>
      <c r="I1920" s="60"/>
      <c r="J1920" s="60"/>
      <c r="K1920" s="60"/>
      <c r="L1920" s="60"/>
      <c r="M1920" s="60"/>
      <c r="N1920" s="60"/>
      <c r="O1920" s="60"/>
      <c r="P1920" s="60"/>
      <c r="Q1920" s="60"/>
      <c r="R1920" s="60"/>
      <c r="S1920" s="60"/>
      <c r="T1920" s="60"/>
      <c r="U1920" s="60"/>
      <c r="V1920" s="60"/>
      <c r="W1920" s="60"/>
      <c r="X1920" s="60"/>
      <c r="Y1920" s="60"/>
      <c r="Z1920" s="60"/>
    </row>
    <row r="1921" spans="1:26" ht="30" hidden="1" customHeight="1">
      <c r="A1921" s="98" t="s">
        <v>3798</v>
      </c>
      <c r="B1921" s="68" t="s">
        <v>3799</v>
      </c>
      <c r="C1921" s="99"/>
      <c r="D1921" s="96"/>
      <c r="E1921" s="53"/>
      <c r="F1921" s="53"/>
      <c r="G1921" s="96">
        <f t="shared" si="555"/>
        <v>0</v>
      </c>
      <c r="H1921" s="96"/>
      <c r="I1921" s="60"/>
      <c r="J1921" s="60"/>
      <c r="K1921" s="60"/>
      <c r="L1921" s="60"/>
      <c r="M1921" s="60"/>
      <c r="N1921" s="60"/>
      <c r="O1921" s="60"/>
      <c r="P1921" s="60"/>
      <c r="Q1921" s="60"/>
      <c r="R1921" s="60"/>
      <c r="S1921" s="60"/>
      <c r="T1921" s="60"/>
      <c r="U1921" s="60"/>
      <c r="V1921" s="60"/>
      <c r="W1921" s="60"/>
      <c r="X1921" s="60"/>
      <c r="Y1921" s="60"/>
      <c r="Z1921" s="60"/>
    </row>
    <row r="1922" spans="1:26" ht="30" hidden="1" customHeight="1">
      <c r="A1922" s="95" t="s">
        <v>3800</v>
      </c>
      <c r="B1922" s="68" t="s">
        <v>3801</v>
      </c>
      <c r="C1922" s="99"/>
      <c r="D1922" s="96"/>
      <c r="E1922" s="53"/>
      <c r="F1922" s="53"/>
      <c r="G1922" s="96">
        <f t="shared" si="555"/>
        <v>0</v>
      </c>
      <c r="H1922" s="96"/>
      <c r="I1922" s="60"/>
      <c r="J1922" s="60"/>
      <c r="K1922" s="60"/>
      <c r="L1922" s="60"/>
      <c r="M1922" s="60"/>
      <c r="N1922" s="60"/>
      <c r="O1922" s="60"/>
      <c r="P1922" s="60"/>
      <c r="Q1922" s="60"/>
      <c r="R1922" s="60"/>
      <c r="S1922" s="60"/>
      <c r="T1922" s="60"/>
      <c r="U1922" s="60"/>
      <c r="V1922" s="60"/>
      <c r="W1922" s="60"/>
      <c r="X1922" s="60"/>
      <c r="Y1922" s="60"/>
      <c r="Z1922" s="60"/>
    </row>
    <row r="1923" spans="1:26" ht="30" hidden="1" customHeight="1">
      <c r="A1923" s="98" t="s">
        <v>3802</v>
      </c>
      <c r="B1923" s="68" t="s">
        <v>3803</v>
      </c>
      <c r="C1923" s="99"/>
      <c r="D1923" s="96"/>
      <c r="E1923" s="53"/>
      <c r="F1923" s="53"/>
      <c r="G1923" s="96">
        <f t="shared" si="555"/>
        <v>0</v>
      </c>
      <c r="H1923" s="96"/>
      <c r="I1923" s="60"/>
      <c r="J1923" s="60"/>
      <c r="K1923" s="60"/>
      <c r="L1923" s="60"/>
      <c r="M1923" s="60"/>
      <c r="N1923" s="60"/>
      <c r="O1923" s="60"/>
      <c r="P1923" s="60"/>
      <c r="Q1923" s="60"/>
      <c r="R1923" s="60"/>
      <c r="S1923" s="60"/>
      <c r="T1923" s="60"/>
      <c r="U1923" s="60"/>
      <c r="V1923" s="60"/>
      <c r="W1923" s="60"/>
      <c r="X1923" s="60"/>
      <c r="Y1923" s="60"/>
      <c r="Z1923" s="60"/>
    </row>
    <row r="1924" spans="1:26" ht="30" hidden="1" customHeight="1">
      <c r="A1924" s="95" t="s">
        <v>3804</v>
      </c>
      <c r="B1924" s="68" t="s">
        <v>3805</v>
      </c>
      <c r="C1924" s="99"/>
      <c r="D1924" s="96"/>
      <c r="E1924" s="53"/>
      <c r="F1924" s="53"/>
      <c r="G1924" s="96">
        <f t="shared" si="555"/>
        <v>0</v>
      </c>
      <c r="H1924" s="96"/>
      <c r="I1924" s="60"/>
      <c r="J1924" s="60"/>
      <c r="K1924" s="60"/>
      <c r="L1924" s="60"/>
      <c r="M1924" s="60"/>
      <c r="N1924" s="60"/>
      <c r="O1924" s="60"/>
      <c r="P1924" s="60"/>
      <c r="Q1924" s="60"/>
      <c r="R1924" s="60"/>
      <c r="S1924" s="60"/>
      <c r="T1924" s="60"/>
      <c r="U1924" s="60"/>
      <c r="V1924" s="60"/>
      <c r="W1924" s="60"/>
      <c r="X1924" s="60"/>
      <c r="Y1924" s="60"/>
      <c r="Z1924" s="60"/>
    </row>
    <row r="1925" spans="1:26" ht="30" hidden="1" customHeight="1">
      <c r="A1925" s="92" t="s">
        <v>3806</v>
      </c>
      <c r="B1925" s="102" t="s">
        <v>2755</v>
      </c>
      <c r="C1925" s="94"/>
      <c r="D1925" s="94"/>
      <c r="E1925" s="39">
        <f t="shared" ref="E1925:G1925" si="556">SUM(E1926:E1931)</f>
        <v>0</v>
      </c>
      <c r="F1925" s="39">
        <f t="shared" si="556"/>
        <v>0</v>
      </c>
      <c r="G1925" s="39">
        <f t="shared" si="556"/>
        <v>0</v>
      </c>
      <c r="H1925" s="94"/>
      <c r="I1925" s="60"/>
      <c r="J1925" s="60"/>
      <c r="K1925" s="60"/>
      <c r="L1925" s="60"/>
      <c r="M1925" s="60"/>
      <c r="N1925" s="60"/>
      <c r="O1925" s="60"/>
      <c r="P1925" s="60"/>
      <c r="Q1925" s="60"/>
      <c r="R1925" s="60"/>
      <c r="S1925" s="60"/>
      <c r="T1925" s="60"/>
      <c r="U1925" s="60"/>
      <c r="V1925" s="60"/>
      <c r="W1925" s="60"/>
      <c r="X1925" s="60"/>
      <c r="Y1925" s="60"/>
      <c r="Z1925" s="60"/>
    </row>
    <row r="1926" spans="1:26" ht="30" hidden="1" customHeight="1">
      <c r="A1926" s="95" t="s">
        <v>3807</v>
      </c>
      <c r="B1926" s="55" t="s">
        <v>3808</v>
      </c>
      <c r="C1926" s="96"/>
      <c r="D1926" s="96"/>
      <c r="E1926" s="96"/>
      <c r="F1926" s="96"/>
      <c r="G1926" s="96">
        <f t="shared" ref="G1926:G1931" si="557">ROUND(E1926-F1926,2)</f>
        <v>0</v>
      </c>
      <c r="H1926" s="96"/>
      <c r="I1926" s="60"/>
      <c r="J1926" s="60"/>
      <c r="K1926" s="60"/>
      <c r="L1926" s="60"/>
      <c r="M1926" s="60"/>
      <c r="N1926" s="60"/>
      <c r="O1926" s="60"/>
      <c r="P1926" s="60"/>
      <c r="Q1926" s="60"/>
      <c r="R1926" s="60"/>
      <c r="S1926" s="60"/>
      <c r="T1926" s="60"/>
      <c r="U1926" s="60"/>
      <c r="V1926" s="60"/>
      <c r="W1926" s="60"/>
      <c r="X1926" s="60"/>
      <c r="Y1926" s="60"/>
      <c r="Z1926" s="60"/>
    </row>
    <row r="1927" spans="1:26" ht="30" hidden="1" customHeight="1">
      <c r="A1927" s="95" t="s">
        <v>3809</v>
      </c>
      <c r="B1927" s="55" t="s">
        <v>3810</v>
      </c>
      <c r="C1927" s="96"/>
      <c r="D1927" s="96"/>
      <c r="E1927" s="96"/>
      <c r="F1927" s="96"/>
      <c r="G1927" s="96">
        <f t="shared" si="557"/>
        <v>0</v>
      </c>
      <c r="H1927" s="96"/>
      <c r="I1927" s="60"/>
      <c r="J1927" s="60"/>
      <c r="K1927" s="60"/>
      <c r="L1927" s="60"/>
      <c r="M1927" s="60"/>
      <c r="N1927" s="60"/>
      <c r="O1927" s="60"/>
      <c r="P1927" s="60"/>
      <c r="Q1927" s="60"/>
      <c r="R1927" s="60"/>
      <c r="S1927" s="60"/>
      <c r="T1927" s="60"/>
      <c r="U1927" s="60"/>
      <c r="V1927" s="60"/>
      <c r="W1927" s="60"/>
      <c r="X1927" s="60"/>
      <c r="Y1927" s="60"/>
      <c r="Z1927" s="60"/>
    </row>
    <row r="1928" spans="1:26" ht="30" hidden="1" customHeight="1">
      <c r="A1928" s="95" t="s">
        <v>3811</v>
      </c>
      <c r="B1928" s="55" t="s">
        <v>3812</v>
      </c>
      <c r="C1928" s="96"/>
      <c r="D1928" s="96"/>
      <c r="E1928" s="96"/>
      <c r="F1928" s="96"/>
      <c r="G1928" s="96">
        <f t="shared" si="557"/>
        <v>0</v>
      </c>
      <c r="H1928" s="96"/>
      <c r="I1928" s="60"/>
      <c r="J1928" s="60"/>
      <c r="K1928" s="60"/>
      <c r="L1928" s="60"/>
      <c r="M1928" s="60"/>
      <c r="N1928" s="60"/>
      <c r="O1928" s="60"/>
      <c r="P1928" s="60"/>
      <c r="Q1928" s="60"/>
      <c r="R1928" s="60"/>
      <c r="S1928" s="60"/>
      <c r="T1928" s="60"/>
      <c r="U1928" s="60"/>
      <c r="V1928" s="60"/>
      <c r="W1928" s="60"/>
      <c r="X1928" s="60"/>
      <c r="Y1928" s="60"/>
      <c r="Z1928" s="60"/>
    </row>
    <row r="1929" spans="1:26" ht="30" hidden="1" customHeight="1">
      <c r="A1929" s="95" t="s">
        <v>3813</v>
      </c>
      <c r="B1929" s="55" t="s">
        <v>3814</v>
      </c>
      <c r="C1929" s="96"/>
      <c r="D1929" s="96"/>
      <c r="E1929" s="96"/>
      <c r="F1929" s="96"/>
      <c r="G1929" s="96">
        <f t="shared" si="557"/>
        <v>0</v>
      </c>
      <c r="H1929" s="96"/>
      <c r="I1929" s="60"/>
      <c r="J1929" s="60"/>
      <c r="K1929" s="60"/>
      <c r="L1929" s="60"/>
      <c r="M1929" s="60"/>
      <c r="N1929" s="60"/>
      <c r="O1929" s="60"/>
      <c r="P1929" s="60"/>
      <c r="Q1929" s="60"/>
      <c r="R1929" s="60"/>
      <c r="S1929" s="60"/>
      <c r="T1929" s="60"/>
      <c r="U1929" s="60"/>
      <c r="V1929" s="60"/>
      <c r="W1929" s="60"/>
      <c r="X1929" s="60"/>
      <c r="Y1929" s="60"/>
      <c r="Z1929" s="60"/>
    </row>
    <row r="1930" spans="1:26" ht="30" hidden="1" customHeight="1">
      <c r="A1930" s="95" t="s">
        <v>3815</v>
      </c>
      <c r="B1930" s="55" t="s">
        <v>3816</v>
      </c>
      <c r="C1930" s="96"/>
      <c r="D1930" s="96"/>
      <c r="E1930" s="53"/>
      <c r="F1930" s="53"/>
      <c r="G1930" s="96">
        <f t="shared" si="557"/>
        <v>0</v>
      </c>
      <c r="H1930" s="96"/>
      <c r="I1930" s="60"/>
      <c r="J1930" s="60"/>
      <c r="K1930" s="60"/>
      <c r="L1930" s="60"/>
      <c r="M1930" s="60"/>
      <c r="N1930" s="60"/>
      <c r="O1930" s="60"/>
      <c r="P1930" s="60"/>
      <c r="Q1930" s="60"/>
      <c r="R1930" s="60"/>
      <c r="S1930" s="60"/>
      <c r="T1930" s="60"/>
      <c r="U1930" s="60"/>
      <c r="V1930" s="60"/>
      <c r="W1930" s="60"/>
      <c r="X1930" s="60"/>
      <c r="Y1930" s="60"/>
      <c r="Z1930" s="60"/>
    </row>
    <row r="1931" spans="1:26" ht="30" hidden="1" customHeight="1">
      <c r="A1931" s="95" t="s">
        <v>3817</v>
      </c>
      <c r="B1931" s="55" t="s">
        <v>3818</v>
      </c>
      <c r="C1931" s="96"/>
      <c r="D1931" s="96"/>
      <c r="E1931" s="53"/>
      <c r="F1931" s="53"/>
      <c r="G1931" s="96">
        <f t="shared" si="557"/>
        <v>0</v>
      </c>
      <c r="H1931" s="96"/>
      <c r="I1931" s="60"/>
      <c r="J1931" s="60"/>
      <c r="K1931" s="60"/>
      <c r="L1931" s="60"/>
      <c r="M1931" s="60"/>
      <c r="N1931" s="60"/>
      <c r="O1931" s="60"/>
      <c r="P1931" s="60"/>
      <c r="Q1931" s="60"/>
      <c r="R1931" s="60"/>
      <c r="S1931" s="60"/>
      <c r="T1931" s="60"/>
      <c r="U1931" s="60"/>
      <c r="V1931" s="60"/>
      <c r="W1931" s="60"/>
      <c r="X1931" s="60"/>
      <c r="Y1931" s="60"/>
      <c r="Z1931" s="60"/>
    </row>
    <row r="1932" spans="1:26" ht="30" hidden="1" customHeight="1">
      <c r="A1932" s="44" t="s">
        <v>3819</v>
      </c>
      <c r="B1932" s="100" t="s">
        <v>2769</v>
      </c>
      <c r="C1932" s="39"/>
      <c r="D1932" s="39"/>
      <c r="E1932" s="39">
        <f t="shared" ref="E1932:G1932" si="558">SUM(E1933:E1946)</f>
        <v>263882522.37</v>
      </c>
      <c r="F1932" s="39">
        <f t="shared" si="558"/>
        <v>263882522.37</v>
      </c>
      <c r="G1932" s="39">
        <f t="shared" si="558"/>
        <v>0</v>
      </c>
      <c r="H1932" s="94"/>
      <c r="I1932" s="60"/>
      <c r="J1932" s="60"/>
      <c r="K1932" s="60"/>
      <c r="L1932" s="60"/>
      <c r="M1932" s="60"/>
      <c r="N1932" s="60"/>
      <c r="O1932" s="60"/>
      <c r="P1932" s="60"/>
      <c r="Q1932" s="60"/>
      <c r="R1932" s="60"/>
      <c r="S1932" s="60"/>
      <c r="T1932" s="60"/>
      <c r="U1932" s="60"/>
      <c r="V1932" s="60"/>
      <c r="W1932" s="60"/>
      <c r="X1932" s="60"/>
      <c r="Y1932" s="60"/>
      <c r="Z1932" s="60"/>
    </row>
    <row r="1933" spans="1:26" ht="30" hidden="1" customHeight="1">
      <c r="A1933" s="57" t="s">
        <v>3820</v>
      </c>
      <c r="B1933" s="51" t="s">
        <v>3821</v>
      </c>
      <c r="C1933" s="58"/>
      <c r="D1933" s="52"/>
      <c r="E1933" s="53">
        <v>198205039.28999999</v>
      </c>
      <c r="F1933" s="53">
        <v>198205039.28999999</v>
      </c>
      <c r="G1933" s="96">
        <f t="shared" ref="G1933:G1946" si="559">ROUND(E1933-F1933,2)</f>
        <v>0</v>
      </c>
      <c r="H1933" s="96"/>
      <c r="I1933" s="60"/>
      <c r="J1933" s="60"/>
      <c r="K1933" s="60"/>
      <c r="L1933" s="60"/>
      <c r="M1933" s="60"/>
      <c r="N1933" s="60"/>
      <c r="O1933" s="60"/>
      <c r="P1933" s="60"/>
      <c r="Q1933" s="60"/>
      <c r="R1933" s="60"/>
      <c r="S1933" s="60"/>
      <c r="T1933" s="60"/>
      <c r="U1933" s="60"/>
      <c r="V1933" s="60"/>
      <c r="W1933" s="60"/>
      <c r="X1933" s="60"/>
      <c r="Y1933" s="60"/>
      <c r="Z1933" s="60"/>
    </row>
    <row r="1934" spans="1:26" ht="30" hidden="1" customHeight="1">
      <c r="A1934" s="50" t="s">
        <v>3822</v>
      </c>
      <c r="B1934" s="51" t="s">
        <v>3823</v>
      </c>
      <c r="C1934" s="58"/>
      <c r="D1934" s="52"/>
      <c r="E1934" s="53"/>
      <c r="F1934" s="53"/>
      <c r="G1934" s="96">
        <f t="shared" si="559"/>
        <v>0</v>
      </c>
      <c r="H1934" s="96"/>
      <c r="I1934" s="60"/>
      <c r="J1934" s="60"/>
      <c r="K1934" s="60"/>
      <c r="L1934" s="60"/>
      <c r="M1934" s="60"/>
      <c r="N1934" s="60"/>
      <c r="O1934" s="60"/>
      <c r="P1934" s="60"/>
      <c r="Q1934" s="60"/>
      <c r="R1934" s="60"/>
      <c r="S1934" s="60"/>
      <c r="T1934" s="60"/>
      <c r="U1934" s="60"/>
      <c r="V1934" s="60"/>
      <c r="W1934" s="60"/>
      <c r="X1934" s="60"/>
      <c r="Y1934" s="60"/>
      <c r="Z1934" s="60"/>
    </row>
    <row r="1935" spans="1:26" ht="30" hidden="1" customHeight="1">
      <c r="A1935" s="57" t="s">
        <v>3824</v>
      </c>
      <c r="B1935" s="51" t="s">
        <v>3825</v>
      </c>
      <c r="C1935" s="58"/>
      <c r="D1935" s="52"/>
      <c r="E1935" s="53">
        <v>65261066.200000003</v>
      </c>
      <c r="F1935" s="53">
        <v>65261066.200000003</v>
      </c>
      <c r="G1935" s="96">
        <f t="shared" si="559"/>
        <v>0</v>
      </c>
      <c r="H1935" s="96"/>
      <c r="I1935" s="60"/>
      <c r="J1935" s="60"/>
      <c r="K1935" s="60"/>
      <c r="L1935" s="60"/>
      <c r="M1935" s="60"/>
      <c r="N1935" s="60"/>
      <c r="O1935" s="60"/>
      <c r="P1935" s="60"/>
      <c r="Q1935" s="60"/>
      <c r="R1935" s="60"/>
      <c r="S1935" s="60"/>
      <c r="T1935" s="60"/>
      <c r="U1935" s="60"/>
      <c r="V1935" s="60"/>
      <c r="W1935" s="60"/>
      <c r="X1935" s="60"/>
      <c r="Y1935" s="60"/>
      <c r="Z1935" s="60"/>
    </row>
    <row r="1936" spans="1:26" ht="30" hidden="1" customHeight="1">
      <c r="A1936" s="50" t="s">
        <v>3826</v>
      </c>
      <c r="B1936" s="51" t="s">
        <v>3827</v>
      </c>
      <c r="C1936" s="58"/>
      <c r="D1936" s="52"/>
      <c r="E1936" s="53"/>
      <c r="F1936" s="53"/>
      <c r="G1936" s="96">
        <f t="shared" si="559"/>
        <v>0</v>
      </c>
      <c r="H1936" s="96"/>
      <c r="I1936" s="60"/>
      <c r="J1936" s="60"/>
      <c r="K1936" s="60"/>
      <c r="L1936" s="60"/>
      <c r="M1936" s="60"/>
      <c r="N1936" s="60"/>
      <c r="O1936" s="60"/>
      <c r="P1936" s="60"/>
      <c r="Q1936" s="60"/>
      <c r="R1936" s="60"/>
      <c r="S1936" s="60"/>
      <c r="T1936" s="60"/>
      <c r="U1936" s="60"/>
      <c r="V1936" s="60"/>
      <c r="W1936" s="60"/>
      <c r="X1936" s="60"/>
      <c r="Y1936" s="60"/>
      <c r="Z1936" s="60"/>
    </row>
    <row r="1937" spans="1:26" ht="30" hidden="1" customHeight="1">
      <c r="A1937" s="57" t="s">
        <v>3828</v>
      </c>
      <c r="B1937" s="51" t="s">
        <v>3829</v>
      </c>
      <c r="C1937" s="58"/>
      <c r="D1937" s="52"/>
      <c r="E1937" s="53"/>
      <c r="F1937" s="53"/>
      <c r="G1937" s="96">
        <f t="shared" si="559"/>
        <v>0</v>
      </c>
      <c r="H1937" s="96"/>
      <c r="I1937" s="60"/>
      <c r="J1937" s="60"/>
      <c r="K1937" s="60"/>
      <c r="L1937" s="60"/>
      <c r="M1937" s="60"/>
      <c r="N1937" s="60"/>
      <c r="O1937" s="60"/>
      <c r="P1937" s="60"/>
      <c r="Q1937" s="60"/>
      <c r="R1937" s="60"/>
      <c r="S1937" s="60"/>
      <c r="T1937" s="60"/>
      <c r="U1937" s="60"/>
      <c r="V1937" s="60"/>
      <c r="W1937" s="60"/>
      <c r="X1937" s="60"/>
      <c r="Y1937" s="60"/>
      <c r="Z1937" s="60"/>
    </row>
    <row r="1938" spans="1:26" ht="30" hidden="1" customHeight="1">
      <c r="A1938" s="50" t="s">
        <v>3830</v>
      </c>
      <c r="B1938" s="51" t="s">
        <v>3831</v>
      </c>
      <c r="C1938" s="58"/>
      <c r="D1938" s="52"/>
      <c r="E1938" s="53"/>
      <c r="F1938" s="53"/>
      <c r="G1938" s="96">
        <f t="shared" si="559"/>
        <v>0</v>
      </c>
      <c r="H1938" s="96"/>
      <c r="I1938" s="60"/>
      <c r="J1938" s="60"/>
      <c r="K1938" s="60"/>
      <c r="L1938" s="60"/>
      <c r="M1938" s="60"/>
      <c r="N1938" s="60"/>
      <c r="O1938" s="60"/>
      <c r="P1938" s="60"/>
      <c r="Q1938" s="60"/>
      <c r="R1938" s="60"/>
      <c r="S1938" s="60"/>
      <c r="T1938" s="60"/>
      <c r="U1938" s="60"/>
      <c r="V1938" s="60"/>
      <c r="W1938" s="60"/>
      <c r="X1938" s="60"/>
      <c r="Y1938" s="60"/>
      <c r="Z1938" s="60"/>
    </row>
    <row r="1939" spans="1:26" ht="30" hidden="1" customHeight="1">
      <c r="A1939" s="57" t="s">
        <v>3832</v>
      </c>
      <c r="B1939" s="51" t="s">
        <v>3833</v>
      </c>
      <c r="C1939" s="58"/>
      <c r="D1939" s="52"/>
      <c r="E1939" s="53">
        <v>416416.88</v>
      </c>
      <c r="F1939" s="53">
        <v>416416.88</v>
      </c>
      <c r="G1939" s="96">
        <f t="shared" si="559"/>
        <v>0</v>
      </c>
      <c r="H1939" s="96"/>
      <c r="I1939" s="60"/>
      <c r="J1939" s="60"/>
      <c r="K1939" s="60"/>
      <c r="L1939" s="60"/>
      <c r="M1939" s="60"/>
      <c r="N1939" s="60"/>
      <c r="O1939" s="60"/>
      <c r="P1939" s="60"/>
      <c r="Q1939" s="60"/>
      <c r="R1939" s="60"/>
      <c r="S1939" s="60"/>
      <c r="T1939" s="60"/>
      <c r="U1939" s="60"/>
      <c r="V1939" s="60"/>
      <c r="W1939" s="60"/>
      <c r="X1939" s="60"/>
      <c r="Y1939" s="60"/>
      <c r="Z1939" s="60"/>
    </row>
    <row r="1940" spans="1:26" ht="30" hidden="1" customHeight="1">
      <c r="A1940" s="50" t="s">
        <v>3834</v>
      </c>
      <c r="B1940" s="51" t="s">
        <v>3835</v>
      </c>
      <c r="C1940" s="58"/>
      <c r="D1940" s="52"/>
      <c r="E1940" s="53"/>
      <c r="F1940" s="53"/>
      <c r="G1940" s="96">
        <f t="shared" si="559"/>
        <v>0</v>
      </c>
      <c r="H1940" s="96"/>
      <c r="I1940" s="60"/>
      <c r="J1940" s="60"/>
      <c r="K1940" s="60"/>
      <c r="L1940" s="60"/>
      <c r="M1940" s="60"/>
      <c r="N1940" s="60"/>
      <c r="O1940" s="60"/>
      <c r="P1940" s="60"/>
      <c r="Q1940" s="60"/>
      <c r="R1940" s="60"/>
      <c r="S1940" s="60"/>
      <c r="T1940" s="60"/>
      <c r="U1940" s="60"/>
      <c r="V1940" s="60"/>
      <c r="W1940" s="60"/>
      <c r="X1940" s="60"/>
      <c r="Y1940" s="60"/>
      <c r="Z1940" s="60"/>
    </row>
    <row r="1941" spans="1:26" ht="30" hidden="1" customHeight="1">
      <c r="A1941" s="57" t="s">
        <v>3836</v>
      </c>
      <c r="B1941" s="51" t="s">
        <v>3837</v>
      </c>
      <c r="C1941" s="58"/>
      <c r="D1941" s="52"/>
      <c r="E1941" s="53"/>
      <c r="F1941" s="53"/>
      <c r="G1941" s="96">
        <f t="shared" si="559"/>
        <v>0</v>
      </c>
      <c r="H1941" s="96"/>
      <c r="I1941" s="60"/>
      <c r="J1941" s="60"/>
      <c r="K1941" s="60"/>
      <c r="L1941" s="60"/>
      <c r="M1941" s="60"/>
      <c r="N1941" s="60"/>
      <c r="O1941" s="60"/>
      <c r="P1941" s="60"/>
      <c r="Q1941" s="60"/>
      <c r="R1941" s="60"/>
      <c r="S1941" s="60"/>
      <c r="T1941" s="60"/>
      <c r="U1941" s="60"/>
      <c r="V1941" s="60"/>
      <c r="W1941" s="60"/>
      <c r="X1941" s="60"/>
      <c r="Y1941" s="60"/>
      <c r="Z1941" s="60"/>
    </row>
    <row r="1942" spans="1:26" ht="30" hidden="1" customHeight="1">
      <c r="A1942" s="50" t="s">
        <v>3838</v>
      </c>
      <c r="B1942" s="51" t="s">
        <v>3839</v>
      </c>
      <c r="C1942" s="58"/>
      <c r="D1942" s="52"/>
      <c r="E1942" s="53"/>
      <c r="F1942" s="53"/>
      <c r="G1942" s="96">
        <f t="shared" si="559"/>
        <v>0</v>
      </c>
      <c r="H1942" s="96"/>
      <c r="I1942" s="60"/>
      <c r="J1942" s="60"/>
      <c r="K1942" s="60"/>
      <c r="L1942" s="60"/>
      <c r="M1942" s="60"/>
      <c r="N1942" s="60"/>
      <c r="O1942" s="60"/>
      <c r="P1942" s="60"/>
      <c r="Q1942" s="60"/>
      <c r="R1942" s="60"/>
      <c r="S1942" s="60"/>
      <c r="T1942" s="60"/>
      <c r="U1942" s="60"/>
      <c r="V1942" s="60"/>
      <c r="W1942" s="60"/>
      <c r="X1942" s="60"/>
      <c r="Y1942" s="60"/>
      <c r="Z1942" s="60"/>
    </row>
    <row r="1943" spans="1:26" ht="30" hidden="1" customHeight="1">
      <c r="A1943" s="57" t="s">
        <v>3840</v>
      </c>
      <c r="B1943" s="51" t="s">
        <v>3841</v>
      </c>
      <c r="C1943" s="58"/>
      <c r="D1943" s="52"/>
      <c r="E1943" s="53"/>
      <c r="F1943" s="53"/>
      <c r="G1943" s="96">
        <f t="shared" si="559"/>
        <v>0</v>
      </c>
      <c r="H1943" s="96"/>
      <c r="I1943" s="60"/>
      <c r="J1943" s="60"/>
      <c r="K1943" s="60"/>
      <c r="L1943" s="60"/>
      <c r="M1943" s="60"/>
      <c r="N1943" s="60"/>
      <c r="O1943" s="60"/>
      <c r="P1943" s="60"/>
      <c r="Q1943" s="60"/>
      <c r="R1943" s="60"/>
      <c r="S1943" s="60"/>
      <c r="T1943" s="60"/>
      <c r="U1943" s="60"/>
      <c r="V1943" s="60"/>
      <c r="W1943" s="60"/>
      <c r="X1943" s="60"/>
      <c r="Y1943" s="60"/>
      <c r="Z1943" s="60"/>
    </row>
    <row r="1944" spans="1:26" ht="30" hidden="1" customHeight="1">
      <c r="A1944" s="50" t="s">
        <v>3842</v>
      </c>
      <c r="B1944" s="51" t="s">
        <v>3843</v>
      </c>
      <c r="C1944" s="58"/>
      <c r="D1944" s="52"/>
      <c r="E1944" s="53"/>
      <c r="F1944" s="53"/>
      <c r="G1944" s="96">
        <f t="shared" si="559"/>
        <v>0</v>
      </c>
      <c r="H1944" s="96"/>
      <c r="I1944" s="60"/>
      <c r="J1944" s="60"/>
      <c r="K1944" s="60"/>
      <c r="L1944" s="60"/>
      <c r="M1944" s="60"/>
      <c r="N1944" s="60"/>
      <c r="O1944" s="60"/>
      <c r="P1944" s="60"/>
      <c r="Q1944" s="60"/>
      <c r="R1944" s="60"/>
      <c r="S1944" s="60"/>
      <c r="T1944" s="60"/>
      <c r="U1944" s="60"/>
      <c r="V1944" s="60"/>
      <c r="W1944" s="60"/>
      <c r="X1944" s="60"/>
      <c r="Y1944" s="60"/>
      <c r="Z1944" s="60"/>
    </row>
    <row r="1945" spans="1:26" ht="30" hidden="1" customHeight="1">
      <c r="A1945" s="57" t="s">
        <v>3844</v>
      </c>
      <c r="B1945" s="51" t="s">
        <v>3845</v>
      </c>
      <c r="C1945" s="58"/>
      <c r="D1945" s="52"/>
      <c r="E1945" s="53"/>
      <c r="F1945" s="53"/>
      <c r="G1945" s="96">
        <f t="shared" si="559"/>
        <v>0</v>
      </c>
      <c r="H1945" s="96"/>
      <c r="I1945" s="60"/>
      <c r="J1945" s="60"/>
      <c r="K1945" s="60"/>
      <c r="L1945" s="60"/>
      <c r="M1945" s="60"/>
      <c r="N1945" s="60"/>
      <c r="O1945" s="60"/>
      <c r="P1945" s="60"/>
      <c r="Q1945" s="60"/>
      <c r="R1945" s="60"/>
      <c r="S1945" s="60"/>
      <c r="T1945" s="60"/>
      <c r="U1945" s="60"/>
      <c r="V1945" s="60"/>
      <c r="W1945" s="60"/>
      <c r="X1945" s="60"/>
      <c r="Y1945" s="60"/>
      <c r="Z1945" s="60"/>
    </row>
    <row r="1946" spans="1:26" ht="30" hidden="1" customHeight="1">
      <c r="A1946" s="50" t="s">
        <v>3846</v>
      </c>
      <c r="B1946" s="51" t="s">
        <v>3847</v>
      </c>
      <c r="C1946" s="58"/>
      <c r="D1946" s="52"/>
      <c r="E1946" s="53"/>
      <c r="F1946" s="53"/>
      <c r="G1946" s="96">
        <f t="shared" si="559"/>
        <v>0</v>
      </c>
      <c r="H1946" s="96"/>
      <c r="I1946" s="60"/>
      <c r="J1946" s="60"/>
      <c r="K1946" s="60"/>
      <c r="L1946" s="60"/>
      <c r="M1946" s="60"/>
      <c r="N1946" s="60"/>
      <c r="O1946" s="60"/>
      <c r="P1946" s="60"/>
      <c r="Q1946" s="60"/>
      <c r="R1946" s="60"/>
      <c r="S1946" s="60"/>
      <c r="T1946" s="60"/>
      <c r="U1946" s="60"/>
      <c r="V1946" s="60"/>
      <c r="W1946" s="60"/>
      <c r="X1946" s="60"/>
      <c r="Y1946" s="60"/>
      <c r="Z1946" s="60"/>
    </row>
    <row r="1947" spans="1:26" ht="30" hidden="1" customHeight="1">
      <c r="A1947" s="73">
        <v>82600</v>
      </c>
      <c r="B1947" s="91" t="s">
        <v>3848</v>
      </c>
      <c r="C1947" s="80"/>
      <c r="D1947" s="34"/>
      <c r="E1947" s="34">
        <f t="shared" ref="E1947:F1947" si="560">E1948+E1963+E1982+E2001+E2020+E2039+E2046+E2061+E2068</f>
        <v>4353771957.4399996</v>
      </c>
      <c r="F1947" s="34">
        <f t="shared" si="560"/>
        <v>4349188606.4200001</v>
      </c>
      <c r="G1947" s="35">
        <f>E1947-F1947</f>
        <v>4583351.0199995041</v>
      </c>
      <c r="H1947" s="35"/>
      <c r="I1947" s="60"/>
      <c r="J1947" s="60"/>
      <c r="K1947" s="60"/>
      <c r="L1947" s="60"/>
      <c r="M1947" s="60"/>
      <c r="N1947" s="60"/>
      <c r="O1947" s="60"/>
      <c r="P1947" s="60"/>
      <c r="Q1947" s="60"/>
      <c r="R1947" s="60"/>
      <c r="S1947" s="60"/>
      <c r="T1947" s="60"/>
      <c r="U1947" s="60"/>
      <c r="V1947" s="60"/>
      <c r="W1947" s="60"/>
      <c r="X1947" s="60"/>
      <c r="Y1947" s="60"/>
      <c r="Z1947" s="60"/>
    </row>
    <row r="1948" spans="1:26" ht="30" hidden="1" customHeight="1">
      <c r="A1948" s="92" t="s">
        <v>3849</v>
      </c>
      <c r="B1948" s="100" t="s">
        <v>2529</v>
      </c>
      <c r="C1948" s="94"/>
      <c r="D1948" s="94"/>
      <c r="E1948" s="39">
        <f t="shared" ref="E1948:G1948" si="561">SUM(E1949:E1962)</f>
        <v>2255249455.52</v>
      </c>
      <c r="F1948" s="39">
        <f t="shared" si="561"/>
        <v>2255249455.52</v>
      </c>
      <c r="G1948" s="39">
        <f t="shared" si="561"/>
        <v>0</v>
      </c>
      <c r="H1948" s="94"/>
      <c r="I1948" s="60"/>
      <c r="J1948" s="60"/>
      <c r="K1948" s="60"/>
      <c r="L1948" s="60"/>
      <c r="M1948" s="60"/>
      <c r="N1948" s="60"/>
      <c r="O1948" s="60"/>
      <c r="P1948" s="60"/>
      <c r="Q1948" s="60"/>
      <c r="R1948" s="60"/>
      <c r="S1948" s="60"/>
      <c r="T1948" s="60"/>
      <c r="U1948" s="60"/>
      <c r="V1948" s="60"/>
      <c r="W1948" s="60"/>
      <c r="X1948" s="60"/>
      <c r="Y1948" s="60"/>
      <c r="Z1948" s="60"/>
    </row>
    <row r="1949" spans="1:26" ht="30" hidden="1" customHeight="1">
      <c r="A1949" s="98" t="s">
        <v>3850</v>
      </c>
      <c r="B1949" s="68" t="s">
        <v>3851</v>
      </c>
      <c r="C1949" s="99"/>
      <c r="D1949" s="96"/>
      <c r="E1949" s="53">
        <v>1316857737.0699999</v>
      </c>
      <c r="F1949" s="53">
        <v>1316857737.0699999</v>
      </c>
      <c r="G1949" s="96">
        <f t="shared" ref="G1949:G1962" si="562">ROUND(E1949-F1949,2)</f>
        <v>0</v>
      </c>
      <c r="H1949" s="96"/>
      <c r="I1949" s="60"/>
      <c r="J1949" s="60"/>
      <c r="K1949" s="60"/>
      <c r="L1949" s="60"/>
      <c r="M1949" s="60"/>
      <c r="N1949" s="60"/>
      <c r="O1949" s="60"/>
      <c r="P1949" s="60"/>
      <c r="Q1949" s="60"/>
      <c r="R1949" s="60"/>
      <c r="S1949" s="60"/>
      <c r="T1949" s="60"/>
      <c r="U1949" s="60"/>
      <c r="V1949" s="60"/>
      <c r="W1949" s="60"/>
      <c r="X1949" s="60"/>
      <c r="Y1949" s="60"/>
      <c r="Z1949" s="60"/>
    </row>
    <row r="1950" spans="1:26" ht="30" hidden="1" customHeight="1">
      <c r="A1950" s="95" t="s">
        <v>3852</v>
      </c>
      <c r="B1950" s="68" t="s">
        <v>3853</v>
      </c>
      <c r="C1950" s="99"/>
      <c r="D1950" s="96"/>
      <c r="E1950" s="53"/>
      <c r="F1950" s="53"/>
      <c r="G1950" s="96">
        <f t="shared" si="562"/>
        <v>0</v>
      </c>
      <c r="H1950" s="96"/>
      <c r="I1950" s="60"/>
      <c r="J1950" s="60"/>
      <c r="K1950" s="60"/>
      <c r="L1950" s="60"/>
      <c r="M1950" s="60"/>
      <c r="N1950" s="60"/>
      <c r="O1950" s="60"/>
      <c r="P1950" s="60"/>
      <c r="Q1950" s="60"/>
      <c r="R1950" s="60"/>
      <c r="S1950" s="60"/>
      <c r="T1950" s="60"/>
      <c r="U1950" s="60"/>
      <c r="V1950" s="60"/>
      <c r="W1950" s="60"/>
      <c r="X1950" s="60"/>
      <c r="Y1950" s="60"/>
      <c r="Z1950" s="60"/>
    </row>
    <row r="1951" spans="1:26" ht="30" hidden="1" customHeight="1">
      <c r="A1951" s="98" t="s">
        <v>3854</v>
      </c>
      <c r="B1951" s="68" t="s">
        <v>3855</v>
      </c>
      <c r="C1951" s="99"/>
      <c r="D1951" s="96"/>
      <c r="E1951" s="53">
        <v>170697462.55000001</v>
      </c>
      <c r="F1951" s="53">
        <v>170697462.55000001</v>
      </c>
      <c r="G1951" s="96">
        <f t="shared" si="562"/>
        <v>0</v>
      </c>
      <c r="H1951" s="96"/>
      <c r="I1951" s="60"/>
      <c r="J1951" s="60"/>
      <c r="K1951" s="60"/>
      <c r="L1951" s="60"/>
      <c r="M1951" s="60"/>
      <c r="N1951" s="60"/>
      <c r="O1951" s="60"/>
      <c r="P1951" s="60"/>
      <c r="Q1951" s="60"/>
      <c r="R1951" s="60"/>
      <c r="S1951" s="60"/>
      <c r="T1951" s="60"/>
      <c r="U1951" s="60"/>
      <c r="V1951" s="60"/>
      <c r="W1951" s="60"/>
      <c r="X1951" s="60"/>
      <c r="Y1951" s="60"/>
      <c r="Z1951" s="60"/>
    </row>
    <row r="1952" spans="1:26" ht="30" hidden="1" customHeight="1">
      <c r="A1952" s="95" t="s">
        <v>3856</v>
      </c>
      <c r="B1952" s="68" t="s">
        <v>3857</v>
      </c>
      <c r="C1952" s="99"/>
      <c r="D1952" s="96"/>
      <c r="E1952" s="53"/>
      <c r="F1952" s="53"/>
      <c r="G1952" s="96">
        <f t="shared" si="562"/>
        <v>0</v>
      </c>
      <c r="H1952" s="96"/>
      <c r="I1952" s="60"/>
      <c r="J1952" s="60"/>
      <c r="K1952" s="60"/>
      <c r="L1952" s="60"/>
      <c r="M1952" s="60"/>
      <c r="N1952" s="60"/>
      <c r="O1952" s="60"/>
      <c r="P1952" s="60"/>
      <c r="Q1952" s="60"/>
      <c r="R1952" s="60"/>
      <c r="S1952" s="60"/>
      <c r="T1952" s="60"/>
      <c r="U1952" s="60"/>
      <c r="V1952" s="60"/>
      <c r="W1952" s="60"/>
      <c r="X1952" s="60"/>
      <c r="Y1952" s="60"/>
      <c r="Z1952" s="60"/>
    </row>
    <row r="1953" spans="1:26" ht="30" hidden="1" customHeight="1">
      <c r="A1953" s="98" t="s">
        <v>3858</v>
      </c>
      <c r="B1953" s="68" t="s">
        <v>3859</v>
      </c>
      <c r="C1953" s="99"/>
      <c r="D1953" s="96"/>
      <c r="E1953" s="53">
        <v>94863388.640000001</v>
      </c>
      <c r="F1953" s="53">
        <v>94863388.640000001</v>
      </c>
      <c r="G1953" s="96">
        <f t="shared" si="562"/>
        <v>0</v>
      </c>
      <c r="H1953" s="96"/>
      <c r="I1953" s="60"/>
      <c r="J1953" s="60"/>
      <c r="K1953" s="60"/>
      <c r="L1953" s="60"/>
      <c r="M1953" s="60"/>
      <c r="N1953" s="60"/>
      <c r="O1953" s="60"/>
      <c r="P1953" s="60"/>
      <c r="Q1953" s="60"/>
      <c r="R1953" s="60"/>
      <c r="S1953" s="60"/>
      <c r="T1953" s="60"/>
      <c r="U1953" s="60"/>
      <c r="V1953" s="60"/>
      <c r="W1953" s="60"/>
      <c r="X1953" s="60"/>
      <c r="Y1953" s="60"/>
      <c r="Z1953" s="60"/>
    </row>
    <row r="1954" spans="1:26" ht="30" hidden="1" customHeight="1">
      <c r="A1954" s="95" t="s">
        <v>3860</v>
      </c>
      <c r="B1954" s="68" t="s">
        <v>3861</v>
      </c>
      <c r="C1954" s="99"/>
      <c r="D1954" s="96"/>
      <c r="E1954" s="53"/>
      <c r="F1954" s="53"/>
      <c r="G1954" s="96">
        <f t="shared" si="562"/>
        <v>0</v>
      </c>
      <c r="H1954" s="96"/>
      <c r="I1954" s="60"/>
      <c r="J1954" s="60"/>
      <c r="K1954" s="60"/>
      <c r="L1954" s="60"/>
      <c r="M1954" s="60"/>
      <c r="N1954" s="60"/>
      <c r="O1954" s="60"/>
      <c r="P1954" s="60"/>
      <c r="Q1954" s="60"/>
      <c r="R1954" s="60"/>
      <c r="S1954" s="60"/>
      <c r="T1954" s="60"/>
      <c r="U1954" s="60"/>
      <c r="V1954" s="60"/>
      <c r="W1954" s="60"/>
      <c r="X1954" s="60"/>
      <c r="Y1954" s="60"/>
      <c r="Z1954" s="60"/>
    </row>
    <row r="1955" spans="1:26" ht="30" hidden="1" customHeight="1">
      <c r="A1955" s="98" t="s">
        <v>3862</v>
      </c>
      <c r="B1955" s="68" t="s">
        <v>3863</v>
      </c>
      <c r="C1955" s="99"/>
      <c r="D1955" s="96"/>
      <c r="E1955" s="53">
        <v>439151401.88</v>
      </c>
      <c r="F1955" s="53">
        <v>439151401.88</v>
      </c>
      <c r="G1955" s="96">
        <f t="shared" si="562"/>
        <v>0</v>
      </c>
      <c r="H1955" s="96"/>
      <c r="I1955" s="60"/>
      <c r="J1955" s="60"/>
      <c r="K1955" s="60"/>
      <c r="L1955" s="60"/>
      <c r="M1955" s="60"/>
      <c r="N1955" s="60"/>
      <c r="O1955" s="60"/>
      <c r="P1955" s="60"/>
      <c r="Q1955" s="60"/>
      <c r="R1955" s="60"/>
      <c r="S1955" s="60"/>
      <c r="T1955" s="60"/>
      <c r="U1955" s="60"/>
      <c r="V1955" s="60"/>
      <c r="W1955" s="60"/>
      <c r="X1955" s="60"/>
      <c r="Y1955" s="60"/>
      <c r="Z1955" s="60"/>
    </row>
    <row r="1956" spans="1:26" ht="30" hidden="1" customHeight="1">
      <c r="A1956" s="95" t="s">
        <v>3864</v>
      </c>
      <c r="B1956" s="68" t="s">
        <v>3865</v>
      </c>
      <c r="C1956" s="99"/>
      <c r="D1956" s="96"/>
      <c r="E1956" s="53"/>
      <c r="F1956" s="53"/>
      <c r="G1956" s="96">
        <f t="shared" si="562"/>
        <v>0</v>
      </c>
      <c r="H1956" s="96"/>
      <c r="I1956" s="60"/>
      <c r="J1956" s="60"/>
      <c r="K1956" s="60"/>
      <c r="L1956" s="60"/>
      <c r="M1956" s="60"/>
      <c r="N1956" s="60"/>
      <c r="O1956" s="60"/>
      <c r="P1956" s="60"/>
      <c r="Q1956" s="60"/>
      <c r="R1956" s="60"/>
      <c r="S1956" s="60"/>
      <c r="T1956" s="60"/>
      <c r="U1956" s="60"/>
      <c r="V1956" s="60"/>
      <c r="W1956" s="60"/>
      <c r="X1956" s="60"/>
      <c r="Y1956" s="60"/>
      <c r="Z1956" s="60"/>
    </row>
    <row r="1957" spans="1:26" ht="30" hidden="1" customHeight="1">
      <c r="A1957" s="98" t="s">
        <v>3866</v>
      </c>
      <c r="B1957" s="68" t="s">
        <v>3867</v>
      </c>
      <c r="C1957" s="99"/>
      <c r="D1957" s="96"/>
      <c r="E1957" s="53">
        <v>233679465.38</v>
      </c>
      <c r="F1957" s="53">
        <v>233679465.38</v>
      </c>
      <c r="G1957" s="96">
        <f t="shared" si="562"/>
        <v>0</v>
      </c>
      <c r="H1957" s="96"/>
      <c r="I1957" s="60"/>
      <c r="J1957" s="60"/>
      <c r="K1957" s="60"/>
      <c r="L1957" s="60"/>
      <c r="M1957" s="60"/>
      <c r="N1957" s="60"/>
      <c r="O1957" s="60"/>
      <c r="P1957" s="60"/>
      <c r="Q1957" s="60"/>
      <c r="R1957" s="60"/>
      <c r="S1957" s="60"/>
      <c r="T1957" s="60"/>
      <c r="U1957" s="60"/>
      <c r="V1957" s="60"/>
      <c r="W1957" s="60"/>
      <c r="X1957" s="60"/>
      <c r="Y1957" s="60"/>
      <c r="Z1957" s="60"/>
    </row>
    <row r="1958" spans="1:26" ht="30" hidden="1" customHeight="1">
      <c r="A1958" s="95" t="s">
        <v>3868</v>
      </c>
      <c r="B1958" s="68" t="s">
        <v>3869</v>
      </c>
      <c r="C1958" s="99"/>
      <c r="D1958" s="96"/>
      <c r="E1958" s="53"/>
      <c r="F1958" s="53"/>
      <c r="G1958" s="96">
        <f t="shared" si="562"/>
        <v>0</v>
      </c>
      <c r="H1958" s="96"/>
      <c r="I1958" s="60"/>
      <c r="J1958" s="60"/>
      <c r="K1958" s="60"/>
      <c r="L1958" s="60"/>
      <c r="M1958" s="60"/>
      <c r="N1958" s="60"/>
      <c r="O1958" s="60"/>
      <c r="P1958" s="60"/>
      <c r="Q1958" s="60"/>
      <c r="R1958" s="60"/>
      <c r="S1958" s="60"/>
      <c r="T1958" s="60"/>
      <c r="U1958" s="60"/>
      <c r="V1958" s="60"/>
      <c r="W1958" s="60"/>
      <c r="X1958" s="60"/>
      <c r="Y1958" s="60"/>
      <c r="Z1958" s="60"/>
    </row>
    <row r="1959" spans="1:26" ht="30" hidden="1" customHeight="1">
      <c r="A1959" s="98" t="s">
        <v>3870</v>
      </c>
      <c r="B1959" s="68" t="s">
        <v>3871</v>
      </c>
      <c r="C1959" s="99"/>
      <c r="D1959" s="96"/>
      <c r="E1959" s="53"/>
      <c r="F1959" s="53"/>
      <c r="G1959" s="96">
        <f t="shared" si="562"/>
        <v>0</v>
      </c>
      <c r="H1959" s="96"/>
      <c r="I1959" s="60"/>
      <c r="J1959" s="60"/>
      <c r="K1959" s="60"/>
      <c r="L1959" s="60"/>
      <c r="M1959" s="60"/>
      <c r="N1959" s="60"/>
      <c r="O1959" s="60"/>
      <c r="P1959" s="60"/>
      <c r="Q1959" s="60"/>
      <c r="R1959" s="60"/>
      <c r="S1959" s="60"/>
      <c r="T1959" s="60"/>
      <c r="U1959" s="60"/>
      <c r="V1959" s="60"/>
      <c r="W1959" s="60"/>
      <c r="X1959" s="60"/>
      <c r="Y1959" s="60"/>
      <c r="Z1959" s="60"/>
    </row>
    <row r="1960" spans="1:26" ht="30" hidden="1" customHeight="1">
      <c r="A1960" s="95" t="s">
        <v>3872</v>
      </c>
      <c r="B1960" s="68" t="s">
        <v>3873</v>
      </c>
      <c r="C1960" s="99"/>
      <c r="D1960" s="96"/>
      <c r="E1960" s="53"/>
      <c r="F1960" s="53"/>
      <c r="G1960" s="96">
        <f t="shared" si="562"/>
        <v>0</v>
      </c>
      <c r="H1960" s="96"/>
      <c r="I1960" s="60"/>
      <c r="J1960" s="60"/>
      <c r="K1960" s="60"/>
      <c r="L1960" s="60"/>
      <c r="M1960" s="60"/>
      <c r="N1960" s="60"/>
      <c r="O1960" s="60"/>
      <c r="P1960" s="60"/>
      <c r="Q1960" s="60"/>
      <c r="R1960" s="60"/>
      <c r="S1960" s="60"/>
      <c r="T1960" s="60"/>
      <c r="U1960" s="60"/>
      <c r="V1960" s="60"/>
      <c r="W1960" s="60"/>
      <c r="X1960" s="60"/>
      <c r="Y1960" s="60"/>
      <c r="Z1960" s="60"/>
    </row>
    <row r="1961" spans="1:26" ht="30" hidden="1" customHeight="1">
      <c r="A1961" s="98" t="s">
        <v>3874</v>
      </c>
      <c r="B1961" s="68" t="s">
        <v>3875</v>
      </c>
      <c r="C1961" s="99"/>
      <c r="D1961" s="96"/>
      <c r="E1961" s="53"/>
      <c r="F1961" s="53"/>
      <c r="G1961" s="96">
        <f t="shared" si="562"/>
        <v>0</v>
      </c>
      <c r="H1961" s="96"/>
      <c r="I1961" s="60"/>
      <c r="J1961" s="60"/>
      <c r="K1961" s="60"/>
      <c r="L1961" s="60"/>
      <c r="M1961" s="60"/>
      <c r="N1961" s="60"/>
      <c r="O1961" s="60"/>
      <c r="P1961" s="60"/>
      <c r="Q1961" s="60"/>
      <c r="R1961" s="60"/>
      <c r="S1961" s="60"/>
      <c r="T1961" s="60"/>
      <c r="U1961" s="60"/>
      <c r="V1961" s="60"/>
      <c r="W1961" s="60"/>
      <c r="X1961" s="60"/>
      <c r="Y1961" s="60"/>
      <c r="Z1961" s="60"/>
    </row>
    <row r="1962" spans="1:26" ht="30" hidden="1" customHeight="1">
      <c r="A1962" s="95" t="s">
        <v>3876</v>
      </c>
      <c r="B1962" s="68" t="s">
        <v>3877</v>
      </c>
      <c r="C1962" s="99"/>
      <c r="D1962" s="96"/>
      <c r="E1962" s="53"/>
      <c r="F1962" s="53"/>
      <c r="G1962" s="96">
        <f t="shared" si="562"/>
        <v>0</v>
      </c>
      <c r="H1962" s="96"/>
      <c r="I1962" s="60"/>
      <c r="J1962" s="60"/>
      <c r="K1962" s="60"/>
      <c r="L1962" s="60"/>
      <c r="M1962" s="60"/>
      <c r="N1962" s="60"/>
      <c r="O1962" s="60"/>
      <c r="P1962" s="60"/>
      <c r="Q1962" s="60"/>
      <c r="R1962" s="60"/>
      <c r="S1962" s="60"/>
      <c r="T1962" s="60"/>
      <c r="U1962" s="60"/>
      <c r="V1962" s="60"/>
      <c r="W1962" s="60"/>
      <c r="X1962" s="60"/>
      <c r="Y1962" s="60"/>
      <c r="Z1962" s="60"/>
    </row>
    <row r="1963" spans="1:26" ht="30" hidden="1" customHeight="1">
      <c r="A1963" s="92" t="s">
        <v>3878</v>
      </c>
      <c r="B1963" s="101" t="s">
        <v>2559</v>
      </c>
      <c r="C1963" s="94"/>
      <c r="D1963" s="94"/>
      <c r="E1963" s="39">
        <f t="shared" ref="E1963:G1963" si="563">SUM(E1964:E1981)</f>
        <v>120408152.56</v>
      </c>
      <c r="F1963" s="39">
        <f t="shared" si="563"/>
        <v>120395591.78999999</v>
      </c>
      <c r="G1963" s="39">
        <f t="shared" si="563"/>
        <v>12560.77</v>
      </c>
      <c r="H1963" s="94"/>
      <c r="I1963" s="60"/>
      <c r="J1963" s="60"/>
      <c r="K1963" s="60"/>
      <c r="L1963" s="60"/>
      <c r="M1963" s="60"/>
      <c r="N1963" s="60"/>
      <c r="O1963" s="60"/>
      <c r="P1963" s="60"/>
      <c r="Q1963" s="60"/>
      <c r="R1963" s="60"/>
      <c r="S1963" s="60"/>
      <c r="T1963" s="60"/>
      <c r="U1963" s="60"/>
      <c r="V1963" s="60"/>
      <c r="W1963" s="60"/>
      <c r="X1963" s="60"/>
      <c r="Y1963" s="60"/>
      <c r="Z1963" s="60"/>
    </row>
    <row r="1964" spans="1:26" ht="30" hidden="1" customHeight="1">
      <c r="A1964" s="98" t="s">
        <v>3879</v>
      </c>
      <c r="B1964" s="68" t="s">
        <v>3880</v>
      </c>
      <c r="C1964" s="99"/>
      <c r="D1964" s="96"/>
      <c r="E1964" s="53">
        <v>1301320.5</v>
      </c>
      <c r="F1964" s="53">
        <v>1300530.51</v>
      </c>
      <c r="G1964" s="96">
        <f t="shared" ref="G1964:G1981" si="564">ROUND(E1964-F1964,2)</f>
        <v>789.99</v>
      </c>
      <c r="H1964" s="96"/>
      <c r="I1964" s="60"/>
      <c r="J1964" s="60"/>
      <c r="K1964" s="60"/>
      <c r="L1964" s="60"/>
      <c r="M1964" s="60"/>
      <c r="N1964" s="60"/>
      <c r="O1964" s="60"/>
      <c r="P1964" s="60"/>
      <c r="Q1964" s="60"/>
      <c r="R1964" s="60"/>
      <c r="S1964" s="60"/>
      <c r="T1964" s="60"/>
      <c r="U1964" s="60"/>
      <c r="V1964" s="60"/>
      <c r="W1964" s="60"/>
      <c r="X1964" s="60"/>
      <c r="Y1964" s="60"/>
      <c r="Z1964" s="60"/>
    </row>
    <row r="1965" spans="1:26" ht="30" hidden="1" customHeight="1">
      <c r="A1965" s="95" t="s">
        <v>3881</v>
      </c>
      <c r="B1965" s="68" t="s">
        <v>3882</v>
      </c>
      <c r="C1965" s="99"/>
      <c r="D1965" s="96"/>
      <c r="E1965" s="53"/>
      <c r="F1965" s="53"/>
      <c r="G1965" s="96">
        <f t="shared" si="564"/>
        <v>0</v>
      </c>
      <c r="H1965" s="96"/>
      <c r="I1965" s="60"/>
      <c r="J1965" s="60"/>
      <c r="K1965" s="60"/>
      <c r="L1965" s="60"/>
      <c r="M1965" s="60"/>
      <c r="N1965" s="60"/>
      <c r="O1965" s="60"/>
      <c r="P1965" s="60"/>
      <c r="Q1965" s="60"/>
      <c r="R1965" s="60"/>
      <c r="S1965" s="60"/>
      <c r="T1965" s="60"/>
      <c r="U1965" s="60"/>
      <c r="V1965" s="60"/>
      <c r="W1965" s="60"/>
      <c r="X1965" s="60"/>
      <c r="Y1965" s="60"/>
      <c r="Z1965" s="60"/>
    </row>
    <row r="1966" spans="1:26" ht="30" hidden="1" customHeight="1">
      <c r="A1966" s="98" t="s">
        <v>3883</v>
      </c>
      <c r="B1966" s="68" t="s">
        <v>3884</v>
      </c>
      <c r="C1966" s="99"/>
      <c r="D1966" s="96"/>
      <c r="E1966" s="53">
        <v>3823039.63</v>
      </c>
      <c r="F1966" s="53">
        <v>3822940.63</v>
      </c>
      <c r="G1966" s="96">
        <f t="shared" si="564"/>
        <v>99</v>
      </c>
      <c r="H1966" s="96"/>
      <c r="I1966" s="60"/>
      <c r="J1966" s="60"/>
      <c r="K1966" s="60"/>
      <c r="L1966" s="60"/>
      <c r="M1966" s="60"/>
      <c r="N1966" s="60"/>
      <c r="O1966" s="60"/>
      <c r="P1966" s="60"/>
      <c r="Q1966" s="60"/>
      <c r="R1966" s="60"/>
      <c r="S1966" s="60"/>
      <c r="T1966" s="60"/>
      <c r="U1966" s="60"/>
      <c r="V1966" s="60"/>
      <c r="W1966" s="60"/>
      <c r="X1966" s="60"/>
      <c r="Y1966" s="60"/>
      <c r="Z1966" s="60"/>
    </row>
    <row r="1967" spans="1:26" ht="30" hidden="1" customHeight="1">
      <c r="A1967" s="95" t="s">
        <v>3885</v>
      </c>
      <c r="B1967" s="68" t="s">
        <v>3886</v>
      </c>
      <c r="C1967" s="99"/>
      <c r="D1967" s="96"/>
      <c r="E1967" s="53"/>
      <c r="F1967" s="53"/>
      <c r="G1967" s="96">
        <f t="shared" si="564"/>
        <v>0</v>
      </c>
      <c r="H1967" s="96"/>
      <c r="I1967" s="60"/>
      <c r="J1967" s="60"/>
      <c r="K1967" s="60"/>
      <c r="L1967" s="60"/>
      <c r="M1967" s="60"/>
      <c r="N1967" s="60"/>
      <c r="O1967" s="60"/>
      <c r="P1967" s="60"/>
      <c r="Q1967" s="60"/>
      <c r="R1967" s="60"/>
      <c r="S1967" s="60"/>
      <c r="T1967" s="60"/>
      <c r="U1967" s="60"/>
      <c r="V1967" s="60"/>
      <c r="W1967" s="60"/>
      <c r="X1967" s="60"/>
      <c r="Y1967" s="60"/>
      <c r="Z1967" s="60"/>
    </row>
    <row r="1968" spans="1:26" ht="30" hidden="1" customHeight="1">
      <c r="A1968" s="98" t="s">
        <v>3887</v>
      </c>
      <c r="B1968" s="68" t="s">
        <v>3888</v>
      </c>
      <c r="C1968" s="99"/>
      <c r="D1968" s="96"/>
      <c r="E1968" s="53">
        <v>51364.01</v>
      </c>
      <c r="F1968" s="53">
        <v>51364.01</v>
      </c>
      <c r="G1968" s="96">
        <f t="shared" si="564"/>
        <v>0</v>
      </c>
      <c r="H1968" s="96"/>
      <c r="I1968" s="60"/>
      <c r="J1968" s="60"/>
      <c r="K1968" s="60"/>
      <c r="L1968" s="60"/>
      <c r="M1968" s="60"/>
      <c r="N1968" s="60"/>
      <c r="O1968" s="60"/>
      <c r="P1968" s="60"/>
      <c r="Q1968" s="60"/>
      <c r="R1968" s="60"/>
      <c r="S1968" s="60"/>
      <c r="T1968" s="60"/>
      <c r="U1968" s="60"/>
      <c r="V1968" s="60"/>
      <c r="W1968" s="60"/>
      <c r="X1968" s="60"/>
      <c r="Y1968" s="60"/>
      <c r="Z1968" s="60"/>
    </row>
    <row r="1969" spans="1:26" ht="30" hidden="1" customHeight="1">
      <c r="A1969" s="95" t="s">
        <v>3889</v>
      </c>
      <c r="B1969" s="68" t="s">
        <v>3890</v>
      </c>
      <c r="C1969" s="99"/>
      <c r="D1969" s="96"/>
      <c r="E1969" s="96"/>
      <c r="F1969" s="96"/>
      <c r="G1969" s="96">
        <f t="shared" si="564"/>
        <v>0</v>
      </c>
      <c r="H1969" s="96"/>
      <c r="I1969" s="60"/>
      <c r="J1969" s="60"/>
      <c r="K1969" s="60"/>
      <c r="L1969" s="60"/>
      <c r="M1969" s="60"/>
      <c r="N1969" s="60"/>
      <c r="O1969" s="60"/>
      <c r="P1969" s="60"/>
      <c r="Q1969" s="60"/>
      <c r="R1969" s="60"/>
      <c r="S1969" s="60"/>
      <c r="T1969" s="60"/>
      <c r="U1969" s="60"/>
      <c r="V1969" s="60"/>
      <c r="W1969" s="60"/>
      <c r="X1969" s="60"/>
      <c r="Y1969" s="60"/>
      <c r="Z1969" s="60"/>
    </row>
    <row r="1970" spans="1:26" ht="30" hidden="1" customHeight="1">
      <c r="A1970" s="98" t="s">
        <v>3891</v>
      </c>
      <c r="B1970" s="68" t="s">
        <v>3892</v>
      </c>
      <c r="C1970" s="99"/>
      <c r="D1970" s="96"/>
      <c r="E1970" s="53">
        <v>276468.64</v>
      </c>
      <c r="F1970" s="53">
        <v>264868.64</v>
      </c>
      <c r="G1970" s="96">
        <f t="shared" si="564"/>
        <v>11600</v>
      </c>
      <c r="H1970" s="96"/>
      <c r="I1970" s="60"/>
      <c r="J1970" s="60"/>
      <c r="K1970" s="60"/>
      <c r="L1970" s="60"/>
      <c r="M1970" s="60"/>
      <c r="N1970" s="60"/>
      <c r="O1970" s="60"/>
      <c r="P1970" s="60"/>
      <c r="Q1970" s="60"/>
      <c r="R1970" s="60"/>
      <c r="S1970" s="60"/>
      <c r="T1970" s="60"/>
      <c r="U1970" s="60"/>
      <c r="V1970" s="60"/>
      <c r="W1970" s="60"/>
      <c r="X1970" s="60"/>
      <c r="Y1970" s="60"/>
      <c r="Z1970" s="60"/>
    </row>
    <row r="1971" spans="1:26" ht="30" hidden="1" customHeight="1">
      <c r="A1971" s="95" t="s">
        <v>3893</v>
      </c>
      <c r="B1971" s="68" t="s">
        <v>3894</v>
      </c>
      <c r="C1971" s="99"/>
      <c r="D1971" s="96"/>
      <c r="E1971" s="53"/>
      <c r="F1971" s="53"/>
      <c r="G1971" s="96">
        <f t="shared" si="564"/>
        <v>0</v>
      </c>
      <c r="H1971" s="96"/>
      <c r="I1971" s="60"/>
      <c r="J1971" s="60"/>
      <c r="K1971" s="60"/>
      <c r="L1971" s="60"/>
      <c r="M1971" s="60"/>
      <c r="N1971" s="60"/>
      <c r="O1971" s="60"/>
      <c r="P1971" s="60"/>
      <c r="Q1971" s="60"/>
      <c r="R1971" s="60"/>
      <c r="S1971" s="60"/>
      <c r="T1971" s="60"/>
      <c r="U1971" s="60"/>
      <c r="V1971" s="60"/>
      <c r="W1971" s="60"/>
      <c r="X1971" s="60"/>
      <c r="Y1971" s="60"/>
      <c r="Z1971" s="60"/>
    </row>
    <row r="1972" spans="1:26" ht="30" hidden="1" customHeight="1">
      <c r="A1972" s="98" t="s">
        <v>3895</v>
      </c>
      <c r="B1972" s="68" t="s">
        <v>3896</v>
      </c>
      <c r="C1972" s="99"/>
      <c r="D1972" s="96"/>
      <c r="E1972" s="53">
        <v>3994440.76</v>
      </c>
      <c r="F1972" s="53">
        <v>3994440.76</v>
      </c>
      <c r="G1972" s="96">
        <f t="shared" si="564"/>
        <v>0</v>
      </c>
      <c r="H1972" s="96"/>
      <c r="I1972" s="60"/>
      <c r="J1972" s="60"/>
      <c r="K1972" s="60"/>
      <c r="L1972" s="60"/>
      <c r="M1972" s="60"/>
      <c r="N1972" s="60"/>
      <c r="O1972" s="60"/>
      <c r="P1972" s="60"/>
      <c r="Q1972" s="60"/>
      <c r="R1972" s="60"/>
      <c r="S1972" s="60"/>
      <c r="T1972" s="60"/>
      <c r="U1972" s="60"/>
      <c r="V1972" s="60"/>
      <c r="W1972" s="60"/>
      <c r="X1972" s="60"/>
      <c r="Y1972" s="60"/>
      <c r="Z1972" s="60"/>
    </row>
    <row r="1973" spans="1:26" ht="30" hidden="1" customHeight="1">
      <c r="A1973" s="95" t="s">
        <v>3897</v>
      </c>
      <c r="B1973" s="68" t="s">
        <v>3898</v>
      </c>
      <c r="C1973" s="99"/>
      <c r="D1973" s="96"/>
      <c r="E1973" s="53"/>
      <c r="F1973" s="53"/>
      <c r="G1973" s="96">
        <f t="shared" si="564"/>
        <v>0</v>
      </c>
      <c r="H1973" s="96"/>
      <c r="I1973" s="60"/>
      <c r="J1973" s="60"/>
      <c r="K1973" s="60"/>
      <c r="L1973" s="60"/>
      <c r="M1973" s="60"/>
      <c r="N1973" s="60"/>
      <c r="O1973" s="60"/>
      <c r="P1973" s="60"/>
      <c r="Q1973" s="60"/>
      <c r="R1973" s="60"/>
      <c r="S1973" s="60"/>
      <c r="T1973" s="60"/>
      <c r="U1973" s="60"/>
      <c r="V1973" s="60"/>
      <c r="W1973" s="60"/>
      <c r="X1973" s="60"/>
      <c r="Y1973" s="60"/>
      <c r="Z1973" s="60"/>
    </row>
    <row r="1974" spans="1:26" ht="30" hidden="1" customHeight="1">
      <c r="A1974" s="98" t="s">
        <v>3899</v>
      </c>
      <c r="B1974" s="68" t="s">
        <v>3900</v>
      </c>
      <c r="C1974" s="99"/>
      <c r="D1974" s="96"/>
      <c r="E1974" s="53">
        <v>110665344.98999999</v>
      </c>
      <c r="F1974" s="53">
        <v>110665344.98999999</v>
      </c>
      <c r="G1974" s="96">
        <f t="shared" si="564"/>
        <v>0</v>
      </c>
      <c r="H1974" s="96"/>
      <c r="I1974" s="60"/>
      <c r="J1974" s="60"/>
      <c r="K1974" s="60"/>
      <c r="L1974" s="60"/>
      <c r="M1974" s="60"/>
      <c r="N1974" s="60"/>
      <c r="O1974" s="60"/>
      <c r="P1974" s="60"/>
      <c r="Q1974" s="60"/>
      <c r="R1974" s="60"/>
      <c r="S1974" s="60"/>
      <c r="T1974" s="60"/>
      <c r="U1974" s="60"/>
      <c r="V1974" s="60"/>
      <c r="W1974" s="60"/>
      <c r="X1974" s="60"/>
      <c r="Y1974" s="60"/>
      <c r="Z1974" s="60"/>
    </row>
    <row r="1975" spans="1:26" ht="30" hidden="1" customHeight="1">
      <c r="A1975" s="95" t="s">
        <v>3901</v>
      </c>
      <c r="B1975" s="68" t="s">
        <v>3902</v>
      </c>
      <c r="C1975" s="99"/>
      <c r="D1975" s="96"/>
      <c r="E1975" s="53"/>
      <c r="F1975" s="53"/>
      <c r="G1975" s="96">
        <f t="shared" si="564"/>
        <v>0</v>
      </c>
      <c r="H1975" s="96"/>
      <c r="I1975" s="60"/>
      <c r="J1975" s="60"/>
      <c r="K1975" s="60"/>
      <c r="L1975" s="60"/>
      <c r="M1975" s="60"/>
      <c r="N1975" s="60"/>
      <c r="O1975" s="60"/>
      <c r="P1975" s="60"/>
      <c r="Q1975" s="60"/>
      <c r="R1975" s="60"/>
      <c r="S1975" s="60"/>
      <c r="T1975" s="60"/>
      <c r="U1975" s="60"/>
      <c r="V1975" s="60"/>
      <c r="W1975" s="60"/>
      <c r="X1975" s="60"/>
      <c r="Y1975" s="60"/>
      <c r="Z1975" s="60"/>
    </row>
    <row r="1976" spans="1:26" ht="30" hidden="1" customHeight="1">
      <c r="A1976" s="98" t="s">
        <v>3903</v>
      </c>
      <c r="B1976" s="68" t="s">
        <v>3904</v>
      </c>
      <c r="C1976" s="99"/>
      <c r="D1976" s="96"/>
      <c r="E1976" s="53">
        <v>138217.18</v>
      </c>
      <c r="F1976" s="53">
        <v>138217.18</v>
      </c>
      <c r="G1976" s="96">
        <f t="shared" si="564"/>
        <v>0</v>
      </c>
      <c r="H1976" s="96"/>
      <c r="I1976" s="60"/>
      <c r="J1976" s="60"/>
      <c r="K1976" s="60"/>
      <c r="L1976" s="60"/>
      <c r="M1976" s="60"/>
      <c r="N1976" s="60"/>
      <c r="O1976" s="60"/>
      <c r="P1976" s="60"/>
      <c r="Q1976" s="60"/>
      <c r="R1976" s="60"/>
      <c r="S1976" s="60"/>
      <c r="T1976" s="60"/>
      <c r="U1976" s="60"/>
      <c r="V1976" s="60"/>
      <c r="W1976" s="60"/>
      <c r="X1976" s="60"/>
      <c r="Y1976" s="60"/>
      <c r="Z1976" s="60"/>
    </row>
    <row r="1977" spans="1:26" ht="30" hidden="1" customHeight="1">
      <c r="A1977" s="95" t="s">
        <v>3905</v>
      </c>
      <c r="B1977" s="68" t="s">
        <v>3906</v>
      </c>
      <c r="C1977" s="99"/>
      <c r="D1977" s="96"/>
      <c r="E1977" s="53"/>
      <c r="F1977" s="53"/>
      <c r="G1977" s="96">
        <f t="shared" si="564"/>
        <v>0</v>
      </c>
      <c r="H1977" s="96"/>
      <c r="I1977" s="60"/>
      <c r="J1977" s="60"/>
      <c r="K1977" s="60"/>
      <c r="L1977" s="60"/>
      <c r="M1977" s="60"/>
      <c r="N1977" s="60"/>
      <c r="O1977" s="60"/>
      <c r="P1977" s="60"/>
      <c r="Q1977" s="60"/>
      <c r="R1977" s="60"/>
      <c r="S1977" s="60"/>
      <c r="T1977" s="60"/>
      <c r="U1977" s="60"/>
      <c r="V1977" s="60"/>
      <c r="W1977" s="60"/>
      <c r="X1977" s="60"/>
      <c r="Y1977" s="60"/>
      <c r="Z1977" s="60"/>
    </row>
    <row r="1978" spans="1:26" ht="30" hidden="1" customHeight="1">
      <c r="A1978" s="98" t="s">
        <v>3907</v>
      </c>
      <c r="B1978" s="68" t="s">
        <v>3908</v>
      </c>
      <c r="C1978" s="99"/>
      <c r="D1978" s="96"/>
      <c r="E1978" s="53"/>
      <c r="F1978" s="53"/>
      <c r="G1978" s="96">
        <f t="shared" si="564"/>
        <v>0</v>
      </c>
      <c r="H1978" s="96"/>
      <c r="I1978" s="60"/>
      <c r="J1978" s="60"/>
      <c r="K1978" s="60"/>
      <c r="L1978" s="60"/>
      <c r="M1978" s="60"/>
      <c r="N1978" s="60"/>
      <c r="O1978" s="60"/>
      <c r="P1978" s="60"/>
      <c r="Q1978" s="60"/>
      <c r="R1978" s="60"/>
      <c r="S1978" s="60"/>
      <c r="T1978" s="60"/>
      <c r="U1978" s="60"/>
      <c r="V1978" s="60"/>
      <c r="W1978" s="60"/>
      <c r="X1978" s="60"/>
      <c r="Y1978" s="60"/>
      <c r="Z1978" s="60"/>
    </row>
    <row r="1979" spans="1:26" ht="30" hidden="1" customHeight="1">
      <c r="A1979" s="95" t="s">
        <v>3909</v>
      </c>
      <c r="B1979" s="68" t="s">
        <v>3910</v>
      </c>
      <c r="C1979" s="99"/>
      <c r="D1979" s="96"/>
      <c r="E1979" s="53"/>
      <c r="F1979" s="53"/>
      <c r="G1979" s="96">
        <f t="shared" si="564"/>
        <v>0</v>
      </c>
      <c r="H1979" s="96"/>
      <c r="I1979" s="60"/>
      <c r="J1979" s="60"/>
      <c r="K1979" s="60"/>
      <c r="L1979" s="60"/>
      <c r="M1979" s="60"/>
      <c r="N1979" s="60"/>
      <c r="O1979" s="60"/>
      <c r="P1979" s="60"/>
      <c r="Q1979" s="60"/>
      <c r="R1979" s="60"/>
      <c r="S1979" s="60"/>
      <c r="T1979" s="60"/>
      <c r="U1979" s="60"/>
      <c r="V1979" s="60"/>
      <c r="W1979" s="60"/>
      <c r="X1979" s="60"/>
      <c r="Y1979" s="60"/>
      <c r="Z1979" s="60"/>
    </row>
    <row r="1980" spans="1:26" ht="30" hidden="1" customHeight="1">
      <c r="A1980" s="98" t="s">
        <v>3911</v>
      </c>
      <c r="B1980" s="68" t="s">
        <v>3912</v>
      </c>
      <c r="C1980" s="99"/>
      <c r="D1980" s="96"/>
      <c r="E1980" s="53">
        <v>157956.85</v>
      </c>
      <c r="F1980" s="53">
        <v>157885.07</v>
      </c>
      <c r="G1980" s="96">
        <f t="shared" si="564"/>
        <v>71.78</v>
      </c>
      <c r="H1980" s="96"/>
      <c r="I1980" s="60"/>
      <c r="J1980" s="60"/>
      <c r="K1980" s="60"/>
      <c r="L1980" s="60"/>
      <c r="M1980" s="60"/>
      <c r="N1980" s="60"/>
      <c r="O1980" s="60"/>
      <c r="P1980" s="60"/>
      <c r="Q1980" s="60"/>
      <c r="R1980" s="60"/>
      <c r="S1980" s="60"/>
      <c r="T1980" s="60"/>
      <c r="U1980" s="60"/>
      <c r="V1980" s="60"/>
      <c r="W1980" s="60"/>
      <c r="X1980" s="60"/>
      <c r="Y1980" s="60"/>
      <c r="Z1980" s="60"/>
    </row>
    <row r="1981" spans="1:26" ht="30" hidden="1" customHeight="1">
      <c r="A1981" s="95" t="s">
        <v>3913</v>
      </c>
      <c r="B1981" s="68" t="s">
        <v>3914</v>
      </c>
      <c r="C1981" s="99"/>
      <c r="D1981" s="96"/>
      <c r="E1981" s="53"/>
      <c r="F1981" s="53"/>
      <c r="G1981" s="96">
        <f t="shared" si="564"/>
        <v>0</v>
      </c>
      <c r="H1981" s="96"/>
      <c r="I1981" s="60"/>
      <c r="J1981" s="60"/>
      <c r="K1981" s="60"/>
      <c r="L1981" s="60"/>
      <c r="M1981" s="60"/>
      <c r="N1981" s="60"/>
      <c r="O1981" s="60"/>
      <c r="P1981" s="60"/>
      <c r="Q1981" s="60"/>
      <c r="R1981" s="60"/>
      <c r="S1981" s="60"/>
      <c r="T1981" s="60"/>
      <c r="U1981" s="60"/>
      <c r="V1981" s="60"/>
      <c r="W1981" s="60"/>
      <c r="X1981" s="60"/>
      <c r="Y1981" s="60"/>
      <c r="Z1981" s="60"/>
    </row>
    <row r="1982" spans="1:26" ht="30" hidden="1" customHeight="1">
      <c r="A1982" s="92" t="s">
        <v>3915</v>
      </c>
      <c r="B1982" s="101" t="s">
        <v>2597</v>
      </c>
      <c r="C1982" s="94"/>
      <c r="D1982" s="94"/>
      <c r="E1982" s="39">
        <f t="shared" ref="E1982:G1982" si="565">SUM(E1983:E2000)</f>
        <v>749596990.45000005</v>
      </c>
      <c r="F1982" s="39">
        <f t="shared" si="565"/>
        <v>749586740.19999993</v>
      </c>
      <c r="G1982" s="39">
        <f t="shared" si="565"/>
        <v>10250.25</v>
      </c>
      <c r="H1982" s="94"/>
      <c r="I1982" s="60"/>
      <c r="J1982" s="60"/>
      <c r="K1982" s="60"/>
      <c r="L1982" s="60"/>
      <c r="M1982" s="60"/>
      <c r="N1982" s="60"/>
      <c r="O1982" s="60"/>
      <c r="P1982" s="60"/>
      <c r="Q1982" s="60"/>
      <c r="R1982" s="60"/>
      <c r="S1982" s="60"/>
      <c r="T1982" s="60"/>
      <c r="U1982" s="60"/>
      <c r="V1982" s="60"/>
      <c r="W1982" s="60"/>
      <c r="X1982" s="60"/>
      <c r="Y1982" s="60"/>
      <c r="Z1982" s="60"/>
    </row>
    <row r="1983" spans="1:26" ht="30" hidden="1" customHeight="1">
      <c r="A1983" s="98" t="s">
        <v>3916</v>
      </c>
      <c r="B1983" s="68" t="s">
        <v>3917</v>
      </c>
      <c r="C1983" s="99"/>
      <c r="D1983" s="96"/>
      <c r="E1983" s="53">
        <v>111944061.62</v>
      </c>
      <c r="F1983" s="53">
        <v>111942650.56999999</v>
      </c>
      <c r="G1983" s="96">
        <f t="shared" ref="G1983:G2000" si="566">ROUND(E1983-F1983,2)</f>
        <v>1411.05</v>
      </c>
      <c r="H1983" s="96"/>
      <c r="I1983" s="60"/>
      <c r="J1983" s="60"/>
      <c r="K1983" s="60"/>
      <c r="L1983" s="60"/>
      <c r="M1983" s="60"/>
      <c r="N1983" s="60"/>
      <c r="O1983" s="60"/>
      <c r="P1983" s="60"/>
      <c r="Q1983" s="60"/>
      <c r="R1983" s="60"/>
      <c r="S1983" s="60"/>
      <c r="T1983" s="60"/>
      <c r="U1983" s="60"/>
      <c r="V1983" s="60"/>
      <c r="W1983" s="60"/>
      <c r="X1983" s="60"/>
      <c r="Y1983" s="60"/>
      <c r="Z1983" s="60"/>
    </row>
    <row r="1984" spans="1:26" ht="30" hidden="1" customHeight="1">
      <c r="A1984" s="95" t="s">
        <v>3918</v>
      </c>
      <c r="B1984" s="68" t="s">
        <v>3919</v>
      </c>
      <c r="C1984" s="99"/>
      <c r="D1984" s="96"/>
      <c r="E1984" s="53"/>
      <c r="F1984" s="53"/>
      <c r="G1984" s="96">
        <f t="shared" si="566"/>
        <v>0</v>
      </c>
      <c r="H1984" s="96"/>
      <c r="I1984" s="60"/>
      <c r="J1984" s="60"/>
      <c r="K1984" s="60"/>
      <c r="L1984" s="60"/>
      <c r="M1984" s="60"/>
      <c r="N1984" s="60"/>
      <c r="O1984" s="60"/>
      <c r="P1984" s="60"/>
      <c r="Q1984" s="60"/>
      <c r="R1984" s="60"/>
      <c r="S1984" s="60"/>
      <c r="T1984" s="60"/>
      <c r="U1984" s="60"/>
      <c r="V1984" s="60"/>
      <c r="W1984" s="60"/>
      <c r="X1984" s="60"/>
      <c r="Y1984" s="60"/>
      <c r="Z1984" s="60"/>
    </row>
    <row r="1985" spans="1:26" ht="30" hidden="1" customHeight="1">
      <c r="A1985" s="98" t="s">
        <v>3920</v>
      </c>
      <c r="B1985" s="68" t="s">
        <v>3921</v>
      </c>
      <c r="C1985" s="99"/>
      <c r="D1985" s="96"/>
      <c r="E1985" s="53">
        <v>14287917.039999999</v>
      </c>
      <c r="F1985" s="53">
        <v>14287917.039999999</v>
      </c>
      <c r="G1985" s="96">
        <f t="shared" si="566"/>
        <v>0</v>
      </c>
      <c r="H1985" s="96"/>
      <c r="I1985" s="60"/>
      <c r="J1985" s="60"/>
      <c r="K1985" s="60"/>
      <c r="L1985" s="60"/>
      <c r="M1985" s="60"/>
      <c r="N1985" s="60"/>
      <c r="O1985" s="60"/>
      <c r="P1985" s="60"/>
      <c r="Q1985" s="60"/>
      <c r="R1985" s="60"/>
      <c r="S1985" s="60"/>
      <c r="T1985" s="60"/>
      <c r="U1985" s="60"/>
      <c r="V1985" s="60"/>
      <c r="W1985" s="60"/>
      <c r="X1985" s="60"/>
      <c r="Y1985" s="60"/>
      <c r="Z1985" s="60"/>
    </row>
    <row r="1986" spans="1:26" ht="30" hidden="1" customHeight="1">
      <c r="A1986" s="95" t="s">
        <v>3922</v>
      </c>
      <c r="B1986" s="68" t="s">
        <v>3923</v>
      </c>
      <c r="C1986" s="99"/>
      <c r="D1986" s="96"/>
      <c r="E1986" s="53"/>
      <c r="F1986" s="53"/>
      <c r="G1986" s="96">
        <f t="shared" si="566"/>
        <v>0</v>
      </c>
      <c r="H1986" s="96"/>
      <c r="I1986" s="60"/>
      <c r="J1986" s="60"/>
      <c r="K1986" s="60"/>
      <c r="L1986" s="60"/>
      <c r="M1986" s="60"/>
      <c r="N1986" s="60"/>
      <c r="O1986" s="60"/>
      <c r="P1986" s="60"/>
      <c r="Q1986" s="60"/>
      <c r="R1986" s="60"/>
      <c r="S1986" s="60"/>
      <c r="T1986" s="60"/>
      <c r="U1986" s="60"/>
      <c r="V1986" s="60"/>
      <c r="W1986" s="60"/>
      <c r="X1986" s="60"/>
      <c r="Y1986" s="60"/>
      <c r="Z1986" s="60"/>
    </row>
    <row r="1987" spans="1:26" ht="30" hidden="1" customHeight="1">
      <c r="A1987" s="98" t="s">
        <v>3924</v>
      </c>
      <c r="B1987" s="68" t="s">
        <v>3925</v>
      </c>
      <c r="C1987" s="99"/>
      <c r="D1987" s="96"/>
      <c r="E1987" s="53">
        <v>3486874.03</v>
      </c>
      <c r="F1987" s="53">
        <v>3484206.03</v>
      </c>
      <c r="G1987" s="96">
        <f t="shared" si="566"/>
        <v>2668</v>
      </c>
      <c r="H1987" s="96"/>
      <c r="I1987" s="60"/>
      <c r="J1987" s="60"/>
      <c r="K1987" s="60"/>
      <c r="L1987" s="60"/>
      <c r="M1987" s="60"/>
      <c r="N1987" s="60"/>
      <c r="O1987" s="60"/>
      <c r="P1987" s="60"/>
      <c r="Q1987" s="60"/>
      <c r="R1987" s="60"/>
      <c r="S1987" s="60"/>
      <c r="T1987" s="60"/>
      <c r="U1987" s="60"/>
      <c r="V1987" s="60"/>
      <c r="W1987" s="60"/>
      <c r="X1987" s="60"/>
      <c r="Y1987" s="60"/>
      <c r="Z1987" s="60"/>
    </row>
    <row r="1988" spans="1:26" ht="30" hidden="1" customHeight="1">
      <c r="A1988" s="95" t="s">
        <v>3926</v>
      </c>
      <c r="B1988" s="68" t="s">
        <v>3927</v>
      </c>
      <c r="C1988" s="99"/>
      <c r="D1988" s="96"/>
      <c r="E1988" s="53"/>
      <c r="F1988" s="53"/>
      <c r="G1988" s="96">
        <f t="shared" si="566"/>
        <v>0</v>
      </c>
      <c r="H1988" s="96"/>
      <c r="I1988" s="60"/>
      <c r="J1988" s="60"/>
      <c r="K1988" s="60"/>
      <c r="L1988" s="60"/>
      <c r="M1988" s="60"/>
      <c r="N1988" s="60"/>
      <c r="O1988" s="60"/>
      <c r="P1988" s="60"/>
      <c r="Q1988" s="60"/>
      <c r="R1988" s="60"/>
      <c r="S1988" s="60"/>
      <c r="T1988" s="60"/>
      <c r="U1988" s="60"/>
      <c r="V1988" s="60"/>
      <c r="W1988" s="60"/>
      <c r="X1988" s="60"/>
      <c r="Y1988" s="60"/>
      <c r="Z1988" s="60"/>
    </row>
    <row r="1989" spans="1:26" ht="30" hidden="1" customHeight="1">
      <c r="A1989" s="98" t="s">
        <v>3928</v>
      </c>
      <c r="B1989" s="68" t="s">
        <v>3929</v>
      </c>
      <c r="C1989" s="99"/>
      <c r="D1989" s="96"/>
      <c r="E1989" s="53">
        <v>140738369.41</v>
      </c>
      <c r="F1989" s="53">
        <v>140738369.41</v>
      </c>
      <c r="G1989" s="96">
        <f t="shared" si="566"/>
        <v>0</v>
      </c>
      <c r="H1989" s="96"/>
      <c r="I1989" s="60"/>
      <c r="J1989" s="60"/>
      <c r="K1989" s="60"/>
      <c r="L1989" s="60"/>
      <c r="M1989" s="60"/>
      <c r="N1989" s="60"/>
      <c r="O1989" s="60"/>
      <c r="P1989" s="60"/>
      <c r="Q1989" s="60"/>
      <c r="R1989" s="60"/>
      <c r="S1989" s="60"/>
      <c r="T1989" s="60"/>
      <c r="U1989" s="60"/>
      <c r="V1989" s="60"/>
      <c r="W1989" s="60"/>
      <c r="X1989" s="60"/>
      <c r="Y1989" s="60"/>
      <c r="Z1989" s="60"/>
    </row>
    <row r="1990" spans="1:26" ht="30" hidden="1" customHeight="1">
      <c r="A1990" s="95" t="s">
        <v>3930</v>
      </c>
      <c r="B1990" s="68" t="s">
        <v>3931</v>
      </c>
      <c r="C1990" s="99"/>
      <c r="D1990" s="96"/>
      <c r="E1990" s="53"/>
      <c r="F1990" s="53"/>
      <c r="G1990" s="96">
        <f t="shared" si="566"/>
        <v>0</v>
      </c>
      <c r="H1990" s="96"/>
      <c r="I1990" s="60"/>
      <c r="J1990" s="60"/>
      <c r="K1990" s="60"/>
      <c r="L1990" s="60"/>
      <c r="M1990" s="60"/>
      <c r="N1990" s="60"/>
      <c r="O1990" s="60"/>
      <c r="P1990" s="60"/>
      <c r="Q1990" s="60"/>
      <c r="R1990" s="60"/>
      <c r="S1990" s="60"/>
      <c r="T1990" s="60"/>
      <c r="U1990" s="60"/>
      <c r="V1990" s="60"/>
      <c r="W1990" s="60"/>
      <c r="X1990" s="60"/>
      <c r="Y1990" s="60"/>
      <c r="Z1990" s="60"/>
    </row>
    <row r="1991" spans="1:26" ht="30" hidden="1" customHeight="1">
      <c r="A1991" s="98" t="s">
        <v>3932</v>
      </c>
      <c r="B1991" s="68" t="s">
        <v>3933</v>
      </c>
      <c r="C1991" s="99"/>
      <c r="D1991" s="96"/>
      <c r="E1991" s="53">
        <v>188299936.61000001</v>
      </c>
      <c r="F1991" s="53">
        <v>188293765.41</v>
      </c>
      <c r="G1991" s="96">
        <f t="shared" si="566"/>
        <v>6171.2</v>
      </c>
      <c r="H1991" s="96"/>
      <c r="I1991" s="60"/>
      <c r="J1991" s="60"/>
      <c r="K1991" s="60"/>
      <c r="L1991" s="60"/>
      <c r="M1991" s="60"/>
      <c r="N1991" s="60"/>
      <c r="O1991" s="60"/>
      <c r="P1991" s="60"/>
      <c r="Q1991" s="60"/>
      <c r="R1991" s="60"/>
      <c r="S1991" s="60"/>
      <c r="T1991" s="60"/>
      <c r="U1991" s="60"/>
      <c r="V1991" s="60"/>
      <c r="W1991" s="60"/>
      <c r="X1991" s="60"/>
      <c r="Y1991" s="60"/>
      <c r="Z1991" s="60"/>
    </row>
    <row r="1992" spans="1:26" ht="30" hidden="1" customHeight="1">
      <c r="A1992" s="95" t="s">
        <v>3934</v>
      </c>
      <c r="B1992" s="68" t="s">
        <v>3935</v>
      </c>
      <c r="C1992" s="99"/>
      <c r="D1992" s="96"/>
      <c r="E1992" s="53"/>
      <c r="F1992" s="53"/>
      <c r="G1992" s="96">
        <f t="shared" si="566"/>
        <v>0</v>
      </c>
      <c r="H1992" s="96"/>
      <c r="I1992" s="60"/>
      <c r="J1992" s="60"/>
      <c r="K1992" s="60"/>
      <c r="L1992" s="60"/>
      <c r="M1992" s="60"/>
      <c r="N1992" s="60"/>
      <c r="O1992" s="60"/>
      <c r="P1992" s="60"/>
      <c r="Q1992" s="60"/>
      <c r="R1992" s="60"/>
      <c r="S1992" s="60"/>
      <c r="T1992" s="60"/>
      <c r="U1992" s="60"/>
      <c r="V1992" s="60"/>
      <c r="W1992" s="60"/>
      <c r="X1992" s="60"/>
      <c r="Y1992" s="60"/>
      <c r="Z1992" s="60"/>
    </row>
    <row r="1993" spans="1:26" ht="30" hidden="1" customHeight="1">
      <c r="A1993" s="98" t="s">
        <v>3936</v>
      </c>
      <c r="B1993" s="68" t="s">
        <v>3937</v>
      </c>
      <c r="C1993" s="99"/>
      <c r="D1993" s="96"/>
      <c r="E1993" s="53">
        <v>11830922.710000001</v>
      </c>
      <c r="F1993" s="53">
        <v>11830922.710000001</v>
      </c>
      <c r="G1993" s="96">
        <f t="shared" si="566"/>
        <v>0</v>
      </c>
      <c r="H1993" s="96"/>
      <c r="I1993" s="60"/>
      <c r="J1993" s="60"/>
      <c r="K1993" s="60"/>
      <c r="L1993" s="60"/>
      <c r="M1993" s="60"/>
      <c r="N1993" s="60"/>
      <c r="O1993" s="60"/>
      <c r="P1993" s="60"/>
      <c r="Q1993" s="60"/>
      <c r="R1993" s="60"/>
      <c r="S1993" s="60"/>
      <c r="T1993" s="60"/>
      <c r="U1993" s="60"/>
      <c r="V1993" s="60"/>
      <c r="W1993" s="60"/>
      <c r="X1993" s="60"/>
      <c r="Y1993" s="60"/>
      <c r="Z1993" s="60"/>
    </row>
    <row r="1994" spans="1:26" ht="30" hidden="1" customHeight="1">
      <c r="A1994" s="95" t="s">
        <v>3938</v>
      </c>
      <c r="B1994" s="68" t="s">
        <v>3939</v>
      </c>
      <c r="C1994" s="99"/>
      <c r="D1994" s="96"/>
      <c r="E1994" s="53"/>
      <c r="F1994" s="53"/>
      <c r="G1994" s="96">
        <f t="shared" si="566"/>
        <v>0</v>
      </c>
      <c r="H1994" s="96"/>
      <c r="I1994" s="60"/>
      <c r="J1994" s="60"/>
      <c r="K1994" s="60"/>
      <c r="L1994" s="60"/>
      <c r="M1994" s="60"/>
      <c r="N1994" s="60"/>
      <c r="O1994" s="60"/>
      <c r="P1994" s="60"/>
      <c r="Q1994" s="60"/>
      <c r="R1994" s="60"/>
      <c r="S1994" s="60"/>
      <c r="T1994" s="60"/>
      <c r="U1994" s="60"/>
      <c r="V1994" s="60"/>
      <c r="W1994" s="60"/>
      <c r="X1994" s="60"/>
      <c r="Y1994" s="60"/>
      <c r="Z1994" s="60"/>
    </row>
    <row r="1995" spans="1:26" ht="30" hidden="1" customHeight="1">
      <c r="A1995" s="98" t="s">
        <v>3940</v>
      </c>
      <c r="B1995" s="68" t="s">
        <v>3941</v>
      </c>
      <c r="C1995" s="99"/>
      <c r="D1995" s="96"/>
      <c r="E1995" s="53">
        <v>188315.23</v>
      </c>
      <c r="F1995" s="53">
        <v>188315.23</v>
      </c>
      <c r="G1995" s="96">
        <f t="shared" si="566"/>
        <v>0</v>
      </c>
      <c r="H1995" s="96"/>
      <c r="I1995" s="60"/>
      <c r="J1995" s="60"/>
      <c r="K1995" s="60"/>
      <c r="L1995" s="60"/>
      <c r="M1995" s="60"/>
      <c r="N1995" s="60"/>
      <c r="O1995" s="60"/>
      <c r="P1995" s="60"/>
      <c r="Q1995" s="60"/>
      <c r="R1995" s="60"/>
      <c r="S1995" s="60"/>
      <c r="T1995" s="60"/>
      <c r="U1995" s="60"/>
      <c r="V1995" s="60"/>
      <c r="W1995" s="60"/>
      <c r="X1995" s="60"/>
      <c r="Y1995" s="60"/>
      <c r="Z1995" s="60"/>
    </row>
    <row r="1996" spans="1:26" ht="30" hidden="1" customHeight="1">
      <c r="A1996" s="95" t="s">
        <v>3942</v>
      </c>
      <c r="B1996" s="68" t="s">
        <v>3943</v>
      </c>
      <c r="C1996" s="99"/>
      <c r="D1996" s="96"/>
      <c r="E1996" s="53"/>
      <c r="F1996" s="53"/>
      <c r="G1996" s="96">
        <f t="shared" si="566"/>
        <v>0</v>
      </c>
      <c r="H1996" s="96"/>
      <c r="I1996" s="60"/>
      <c r="J1996" s="60"/>
      <c r="K1996" s="60"/>
      <c r="L1996" s="60"/>
      <c r="M1996" s="60"/>
      <c r="N1996" s="60"/>
      <c r="O1996" s="60"/>
      <c r="P1996" s="60"/>
      <c r="Q1996" s="60"/>
      <c r="R1996" s="60"/>
      <c r="S1996" s="60"/>
      <c r="T1996" s="60"/>
      <c r="U1996" s="60"/>
      <c r="V1996" s="60"/>
      <c r="W1996" s="60"/>
      <c r="X1996" s="60"/>
      <c r="Y1996" s="60"/>
      <c r="Z1996" s="60"/>
    </row>
    <row r="1997" spans="1:26" ht="30" hidden="1" customHeight="1">
      <c r="A1997" s="98" t="s">
        <v>3944</v>
      </c>
      <c r="B1997" s="68" t="s">
        <v>3945</v>
      </c>
      <c r="C1997" s="99"/>
      <c r="D1997" s="96"/>
      <c r="E1997" s="53">
        <v>5402975.3899999997</v>
      </c>
      <c r="F1997" s="53">
        <v>5402975.3899999997</v>
      </c>
      <c r="G1997" s="96">
        <f t="shared" si="566"/>
        <v>0</v>
      </c>
      <c r="H1997" s="96"/>
      <c r="I1997" s="60"/>
      <c r="J1997" s="60"/>
      <c r="K1997" s="60"/>
      <c r="L1997" s="60"/>
      <c r="M1997" s="60"/>
      <c r="N1997" s="60"/>
      <c r="O1997" s="60"/>
      <c r="P1997" s="60"/>
      <c r="Q1997" s="60"/>
      <c r="R1997" s="60"/>
      <c r="S1997" s="60"/>
      <c r="T1997" s="60"/>
      <c r="U1997" s="60"/>
      <c r="V1997" s="60"/>
      <c r="W1997" s="60"/>
      <c r="X1997" s="60"/>
      <c r="Y1997" s="60"/>
      <c r="Z1997" s="60"/>
    </row>
    <row r="1998" spans="1:26" ht="30" hidden="1" customHeight="1">
      <c r="A1998" s="95" t="s">
        <v>3946</v>
      </c>
      <c r="B1998" s="68" t="s">
        <v>3947</v>
      </c>
      <c r="C1998" s="99"/>
      <c r="D1998" s="96"/>
      <c r="E1998" s="53"/>
      <c r="F1998" s="53"/>
      <c r="G1998" s="96">
        <f t="shared" si="566"/>
        <v>0</v>
      </c>
      <c r="H1998" s="96"/>
      <c r="I1998" s="60"/>
      <c r="J1998" s="60"/>
      <c r="K1998" s="60"/>
      <c r="L1998" s="60"/>
      <c r="M1998" s="60"/>
      <c r="N1998" s="60"/>
      <c r="O1998" s="60"/>
      <c r="P1998" s="60"/>
      <c r="Q1998" s="60"/>
      <c r="R1998" s="60"/>
      <c r="S1998" s="60"/>
      <c r="T1998" s="60"/>
      <c r="U1998" s="60"/>
      <c r="V1998" s="60"/>
      <c r="W1998" s="60"/>
      <c r="X1998" s="60"/>
      <c r="Y1998" s="60"/>
      <c r="Z1998" s="60"/>
    </row>
    <row r="1999" spans="1:26" ht="30" hidden="1" customHeight="1">
      <c r="A1999" s="98" t="s">
        <v>3948</v>
      </c>
      <c r="B1999" s="68" t="s">
        <v>3949</v>
      </c>
      <c r="C1999" s="99"/>
      <c r="D1999" s="96"/>
      <c r="E1999" s="53">
        <v>273417618.41000003</v>
      </c>
      <c r="F1999" s="53">
        <v>273417618.41000003</v>
      </c>
      <c r="G1999" s="96">
        <f t="shared" si="566"/>
        <v>0</v>
      </c>
      <c r="H1999" s="96"/>
      <c r="I1999" s="60"/>
      <c r="J1999" s="60"/>
      <c r="K1999" s="60"/>
      <c r="L1999" s="60"/>
      <c r="M1999" s="60"/>
      <c r="N1999" s="60"/>
      <c r="O1999" s="60"/>
      <c r="P1999" s="60"/>
      <c r="Q1999" s="60"/>
      <c r="R1999" s="60"/>
      <c r="S1999" s="60"/>
      <c r="T1999" s="60"/>
      <c r="U1999" s="60"/>
      <c r="V1999" s="60"/>
      <c r="W1999" s="60"/>
      <c r="X1999" s="60"/>
      <c r="Y1999" s="60"/>
      <c r="Z1999" s="60"/>
    </row>
    <row r="2000" spans="1:26" ht="30" hidden="1" customHeight="1">
      <c r="A2000" s="95" t="s">
        <v>3950</v>
      </c>
      <c r="B2000" s="68" t="s">
        <v>3951</v>
      </c>
      <c r="C2000" s="99"/>
      <c r="D2000" s="96"/>
      <c r="E2000" s="53"/>
      <c r="F2000" s="53"/>
      <c r="G2000" s="96">
        <f t="shared" si="566"/>
        <v>0</v>
      </c>
      <c r="H2000" s="96"/>
      <c r="I2000" s="60"/>
      <c r="J2000" s="60"/>
      <c r="K2000" s="60"/>
      <c r="L2000" s="60"/>
      <c r="M2000" s="60"/>
      <c r="N2000" s="60"/>
      <c r="O2000" s="60"/>
      <c r="P2000" s="60"/>
      <c r="Q2000" s="60"/>
      <c r="R2000" s="60"/>
      <c r="S2000" s="60"/>
      <c r="T2000" s="60"/>
      <c r="U2000" s="60"/>
      <c r="V2000" s="60"/>
      <c r="W2000" s="60"/>
      <c r="X2000" s="60"/>
      <c r="Y2000" s="60"/>
      <c r="Z2000" s="60"/>
    </row>
    <row r="2001" spans="1:26" ht="30" hidden="1" customHeight="1">
      <c r="A2001" s="92" t="s">
        <v>3952</v>
      </c>
      <c r="B2001" s="101" t="s">
        <v>2635</v>
      </c>
      <c r="C2001" s="94"/>
      <c r="D2001" s="94"/>
      <c r="E2001" s="39">
        <f t="shared" ref="E2001:G2001" si="567">SUM(E2002:E2019)</f>
        <v>659923616.42000008</v>
      </c>
      <c r="F2001" s="39">
        <f t="shared" si="567"/>
        <v>659923616.42000008</v>
      </c>
      <c r="G2001" s="39">
        <f t="shared" si="567"/>
        <v>0</v>
      </c>
      <c r="H2001" s="94"/>
      <c r="I2001" s="60"/>
      <c r="J2001" s="60"/>
      <c r="K2001" s="60"/>
      <c r="L2001" s="60"/>
      <c r="M2001" s="60"/>
      <c r="N2001" s="60"/>
      <c r="O2001" s="60"/>
      <c r="P2001" s="60"/>
      <c r="Q2001" s="60"/>
      <c r="R2001" s="60"/>
      <c r="S2001" s="60"/>
      <c r="T2001" s="60"/>
      <c r="U2001" s="60"/>
      <c r="V2001" s="60"/>
      <c r="W2001" s="60"/>
      <c r="X2001" s="60"/>
      <c r="Y2001" s="60"/>
      <c r="Z2001" s="60"/>
    </row>
    <row r="2002" spans="1:26" ht="30" hidden="1" customHeight="1">
      <c r="A2002" s="98" t="s">
        <v>3953</v>
      </c>
      <c r="B2002" s="68" t="s">
        <v>3954</v>
      </c>
      <c r="C2002" s="99"/>
      <c r="D2002" s="96"/>
      <c r="E2002" s="53"/>
      <c r="F2002" s="53"/>
      <c r="G2002" s="96">
        <f t="shared" ref="G2002:G2019" si="568">ROUND(E2002-F2002,2)</f>
        <v>0</v>
      </c>
      <c r="H2002" s="96"/>
      <c r="I2002" s="60"/>
      <c r="J2002" s="60"/>
      <c r="K2002" s="60"/>
      <c r="L2002" s="60"/>
      <c r="M2002" s="60"/>
      <c r="N2002" s="60"/>
      <c r="O2002" s="60"/>
      <c r="P2002" s="60"/>
      <c r="Q2002" s="60"/>
      <c r="R2002" s="60"/>
      <c r="S2002" s="60"/>
      <c r="T2002" s="60"/>
      <c r="U2002" s="60"/>
      <c r="V2002" s="60"/>
      <c r="W2002" s="60"/>
      <c r="X2002" s="60"/>
      <c r="Y2002" s="60"/>
      <c r="Z2002" s="60"/>
    </row>
    <row r="2003" spans="1:26" ht="30" hidden="1" customHeight="1">
      <c r="A2003" s="95" t="s">
        <v>3955</v>
      </c>
      <c r="B2003" s="68" t="s">
        <v>3956</v>
      </c>
      <c r="C2003" s="99"/>
      <c r="D2003" s="96"/>
      <c r="E2003" s="53"/>
      <c r="F2003" s="53"/>
      <c r="G2003" s="96">
        <f t="shared" si="568"/>
        <v>0</v>
      </c>
      <c r="H2003" s="96"/>
      <c r="I2003" s="60"/>
      <c r="J2003" s="60"/>
      <c r="K2003" s="60"/>
      <c r="L2003" s="60"/>
      <c r="M2003" s="60"/>
      <c r="N2003" s="60"/>
      <c r="O2003" s="60"/>
      <c r="P2003" s="60"/>
      <c r="Q2003" s="60"/>
      <c r="R2003" s="60"/>
      <c r="S2003" s="60"/>
      <c r="T2003" s="60"/>
      <c r="U2003" s="60"/>
      <c r="V2003" s="60"/>
      <c r="W2003" s="60"/>
      <c r="X2003" s="60"/>
      <c r="Y2003" s="60"/>
      <c r="Z2003" s="60"/>
    </row>
    <row r="2004" spans="1:26" ht="30" hidden="1" customHeight="1">
      <c r="A2004" s="98" t="s">
        <v>3957</v>
      </c>
      <c r="B2004" s="68" t="s">
        <v>3958</v>
      </c>
      <c r="C2004" s="99"/>
      <c r="D2004" s="96"/>
      <c r="E2004" s="53">
        <v>460311701.51999998</v>
      </c>
      <c r="F2004" s="53">
        <v>460311701.51999998</v>
      </c>
      <c r="G2004" s="96">
        <f t="shared" si="568"/>
        <v>0</v>
      </c>
      <c r="H2004" s="96"/>
      <c r="I2004" s="60"/>
      <c r="J2004" s="60"/>
      <c r="K2004" s="60"/>
      <c r="L2004" s="60"/>
      <c r="M2004" s="60"/>
      <c r="N2004" s="60"/>
      <c r="O2004" s="60"/>
      <c r="P2004" s="60"/>
      <c r="Q2004" s="60"/>
      <c r="R2004" s="60"/>
      <c r="S2004" s="60"/>
      <c r="T2004" s="60"/>
      <c r="U2004" s="60"/>
      <c r="V2004" s="60"/>
      <c r="W2004" s="60"/>
      <c r="X2004" s="60"/>
      <c r="Y2004" s="60"/>
      <c r="Z2004" s="60"/>
    </row>
    <row r="2005" spans="1:26" ht="30" hidden="1" customHeight="1">
      <c r="A2005" s="95" t="s">
        <v>3959</v>
      </c>
      <c r="B2005" s="68" t="s">
        <v>3960</v>
      </c>
      <c r="C2005" s="99"/>
      <c r="D2005" s="96"/>
      <c r="E2005" s="53"/>
      <c r="F2005" s="53"/>
      <c r="G2005" s="96">
        <f t="shared" si="568"/>
        <v>0</v>
      </c>
      <c r="H2005" s="96"/>
      <c r="I2005" s="60"/>
      <c r="J2005" s="60"/>
      <c r="K2005" s="60"/>
      <c r="L2005" s="60"/>
      <c r="M2005" s="60"/>
      <c r="N2005" s="60"/>
      <c r="O2005" s="60"/>
      <c r="P2005" s="60"/>
      <c r="Q2005" s="60"/>
      <c r="R2005" s="60"/>
      <c r="S2005" s="60"/>
      <c r="T2005" s="60"/>
      <c r="U2005" s="60"/>
      <c r="V2005" s="60"/>
      <c r="W2005" s="60"/>
      <c r="X2005" s="60"/>
      <c r="Y2005" s="60"/>
      <c r="Z2005" s="60"/>
    </row>
    <row r="2006" spans="1:26" ht="30" hidden="1" customHeight="1">
      <c r="A2006" s="98" t="s">
        <v>3961</v>
      </c>
      <c r="B2006" s="68" t="s">
        <v>3962</v>
      </c>
      <c r="C2006" s="99"/>
      <c r="D2006" s="96"/>
      <c r="E2006" s="53">
        <v>41970000</v>
      </c>
      <c r="F2006" s="53">
        <v>41970000</v>
      </c>
      <c r="G2006" s="96">
        <f t="shared" si="568"/>
        <v>0</v>
      </c>
      <c r="H2006" s="96"/>
      <c r="I2006" s="60"/>
      <c r="J2006" s="60"/>
      <c r="K2006" s="60"/>
      <c r="L2006" s="60"/>
      <c r="M2006" s="60"/>
      <c r="N2006" s="60"/>
      <c r="O2006" s="60"/>
      <c r="P2006" s="60"/>
      <c r="Q2006" s="60"/>
      <c r="R2006" s="60"/>
      <c r="S2006" s="60"/>
      <c r="T2006" s="60"/>
      <c r="U2006" s="60"/>
      <c r="V2006" s="60"/>
      <c r="W2006" s="60"/>
      <c r="X2006" s="60"/>
      <c r="Y2006" s="60"/>
      <c r="Z2006" s="60"/>
    </row>
    <row r="2007" spans="1:26" ht="30" hidden="1" customHeight="1">
      <c r="A2007" s="95" t="s">
        <v>3963</v>
      </c>
      <c r="B2007" s="68" t="s">
        <v>3964</v>
      </c>
      <c r="C2007" s="99"/>
      <c r="D2007" s="96"/>
      <c r="E2007" s="53"/>
      <c r="F2007" s="53"/>
      <c r="G2007" s="96">
        <f t="shared" si="568"/>
        <v>0</v>
      </c>
      <c r="H2007" s="96"/>
      <c r="I2007" s="60"/>
      <c r="J2007" s="60"/>
      <c r="K2007" s="60"/>
      <c r="L2007" s="60"/>
      <c r="M2007" s="60"/>
      <c r="N2007" s="60"/>
      <c r="O2007" s="60"/>
      <c r="P2007" s="60"/>
      <c r="Q2007" s="60"/>
      <c r="R2007" s="60"/>
      <c r="S2007" s="60"/>
      <c r="T2007" s="60"/>
      <c r="U2007" s="60"/>
      <c r="V2007" s="60"/>
      <c r="W2007" s="60"/>
      <c r="X2007" s="60"/>
      <c r="Y2007" s="60"/>
      <c r="Z2007" s="60"/>
    </row>
    <row r="2008" spans="1:26" ht="30" hidden="1" customHeight="1">
      <c r="A2008" s="98" t="s">
        <v>3965</v>
      </c>
      <c r="B2008" s="68" t="s">
        <v>3966</v>
      </c>
      <c r="C2008" s="99"/>
      <c r="D2008" s="96"/>
      <c r="E2008" s="53">
        <v>36856468.32</v>
      </c>
      <c r="F2008" s="53">
        <v>36856468.32</v>
      </c>
      <c r="G2008" s="96">
        <f t="shared" si="568"/>
        <v>0</v>
      </c>
      <c r="H2008" s="96"/>
      <c r="I2008" s="60"/>
      <c r="J2008" s="60"/>
      <c r="K2008" s="60"/>
      <c r="L2008" s="60"/>
      <c r="M2008" s="60"/>
      <c r="N2008" s="60"/>
      <c r="O2008" s="60"/>
      <c r="P2008" s="60"/>
      <c r="Q2008" s="60"/>
      <c r="R2008" s="60"/>
      <c r="S2008" s="60"/>
      <c r="T2008" s="60"/>
      <c r="U2008" s="60"/>
      <c r="V2008" s="60"/>
      <c r="W2008" s="60"/>
      <c r="X2008" s="60"/>
      <c r="Y2008" s="60"/>
      <c r="Z2008" s="60"/>
    </row>
    <row r="2009" spans="1:26" ht="30" hidden="1" customHeight="1">
      <c r="A2009" s="95" t="s">
        <v>3967</v>
      </c>
      <c r="B2009" s="68" t="s">
        <v>3968</v>
      </c>
      <c r="C2009" s="99"/>
      <c r="D2009" s="96"/>
      <c r="E2009" s="53"/>
      <c r="F2009" s="53"/>
      <c r="G2009" s="96">
        <f t="shared" si="568"/>
        <v>0</v>
      </c>
      <c r="H2009" s="96"/>
      <c r="I2009" s="60"/>
      <c r="J2009" s="60"/>
      <c r="K2009" s="60"/>
      <c r="L2009" s="60"/>
      <c r="M2009" s="60"/>
      <c r="N2009" s="60"/>
      <c r="O2009" s="60"/>
      <c r="P2009" s="60"/>
      <c r="Q2009" s="60"/>
      <c r="R2009" s="60"/>
      <c r="S2009" s="60"/>
      <c r="T2009" s="60"/>
      <c r="U2009" s="60"/>
      <c r="V2009" s="60"/>
      <c r="W2009" s="60"/>
      <c r="X2009" s="60"/>
      <c r="Y2009" s="60"/>
      <c r="Z2009" s="60"/>
    </row>
    <row r="2010" spans="1:26" ht="30" hidden="1" customHeight="1">
      <c r="A2010" s="98" t="s">
        <v>3969</v>
      </c>
      <c r="B2010" s="68" t="s">
        <v>3970</v>
      </c>
      <c r="C2010" s="99"/>
      <c r="D2010" s="96"/>
      <c r="E2010" s="53"/>
      <c r="F2010" s="53"/>
      <c r="G2010" s="96">
        <f t="shared" si="568"/>
        <v>0</v>
      </c>
      <c r="H2010" s="96"/>
      <c r="I2010" s="60"/>
      <c r="J2010" s="60"/>
      <c r="K2010" s="60"/>
      <c r="L2010" s="60"/>
      <c r="M2010" s="60"/>
      <c r="N2010" s="60"/>
      <c r="O2010" s="60"/>
      <c r="P2010" s="60"/>
      <c r="Q2010" s="60"/>
      <c r="R2010" s="60"/>
      <c r="S2010" s="60"/>
      <c r="T2010" s="60"/>
      <c r="U2010" s="60"/>
      <c r="V2010" s="60"/>
      <c r="W2010" s="60"/>
      <c r="X2010" s="60"/>
      <c r="Y2010" s="60"/>
      <c r="Z2010" s="60"/>
    </row>
    <row r="2011" spans="1:26" ht="30" hidden="1" customHeight="1">
      <c r="A2011" s="95" t="s">
        <v>3971</v>
      </c>
      <c r="B2011" s="68" t="s">
        <v>3972</v>
      </c>
      <c r="C2011" s="99"/>
      <c r="D2011" s="96"/>
      <c r="E2011" s="53"/>
      <c r="F2011" s="53"/>
      <c r="G2011" s="96">
        <f t="shared" si="568"/>
        <v>0</v>
      </c>
      <c r="H2011" s="96"/>
      <c r="I2011" s="60"/>
      <c r="J2011" s="60"/>
      <c r="K2011" s="60"/>
      <c r="L2011" s="60"/>
      <c r="M2011" s="60"/>
      <c r="N2011" s="60"/>
      <c r="O2011" s="60"/>
      <c r="P2011" s="60"/>
      <c r="Q2011" s="60"/>
      <c r="R2011" s="60"/>
      <c r="S2011" s="60"/>
      <c r="T2011" s="60"/>
      <c r="U2011" s="60"/>
      <c r="V2011" s="60"/>
      <c r="W2011" s="60"/>
      <c r="X2011" s="60"/>
      <c r="Y2011" s="60"/>
      <c r="Z2011" s="60"/>
    </row>
    <row r="2012" spans="1:26" ht="30" hidden="1" customHeight="1">
      <c r="A2012" s="98" t="s">
        <v>3973</v>
      </c>
      <c r="B2012" s="68" t="s">
        <v>3974</v>
      </c>
      <c r="C2012" s="99"/>
      <c r="D2012" s="96"/>
      <c r="E2012" s="53">
        <v>120785446.58</v>
      </c>
      <c r="F2012" s="53">
        <v>120785446.58</v>
      </c>
      <c r="G2012" s="96">
        <f t="shared" si="568"/>
        <v>0</v>
      </c>
      <c r="H2012" s="96"/>
      <c r="I2012" s="60"/>
      <c r="J2012" s="60"/>
      <c r="K2012" s="60"/>
      <c r="L2012" s="60"/>
      <c r="M2012" s="60"/>
      <c r="N2012" s="60"/>
      <c r="O2012" s="60"/>
      <c r="P2012" s="60"/>
      <c r="Q2012" s="60"/>
      <c r="R2012" s="60"/>
      <c r="S2012" s="60"/>
      <c r="T2012" s="60"/>
      <c r="U2012" s="60"/>
      <c r="V2012" s="60"/>
      <c r="W2012" s="60"/>
      <c r="X2012" s="60"/>
      <c r="Y2012" s="60"/>
      <c r="Z2012" s="60"/>
    </row>
    <row r="2013" spans="1:26" ht="30" hidden="1" customHeight="1">
      <c r="A2013" s="95" t="s">
        <v>3975</v>
      </c>
      <c r="B2013" s="68" t="s">
        <v>3976</v>
      </c>
      <c r="C2013" s="99"/>
      <c r="D2013" s="96"/>
      <c r="E2013" s="53"/>
      <c r="F2013" s="53"/>
      <c r="G2013" s="96">
        <f t="shared" si="568"/>
        <v>0</v>
      </c>
      <c r="H2013" s="96"/>
      <c r="I2013" s="60"/>
      <c r="J2013" s="60"/>
      <c r="K2013" s="60"/>
      <c r="L2013" s="60"/>
      <c r="M2013" s="60"/>
      <c r="N2013" s="60"/>
      <c r="O2013" s="60"/>
      <c r="P2013" s="60"/>
      <c r="Q2013" s="60"/>
      <c r="R2013" s="60"/>
      <c r="S2013" s="60"/>
      <c r="T2013" s="60"/>
      <c r="U2013" s="60"/>
      <c r="V2013" s="60"/>
      <c r="W2013" s="60"/>
      <c r="X2013" s="60"/>
      <c r="Y2013" s="60"/>
      <c r="Z2013" s="60"/>
    </row>
    <row r="2014" spans="1:26" ht="30" hidden="1" customHeight="1">
      <c r="A2014" s="98" t="s">
        <v>3977</v>
      </c>
      <c r="B2014" s="68" t="s">
        <v>3978</v>
      </c>
      <c r="C2014" s="99"/>
      <c r="D2014" s="96"/>
      <c r="E2014" s="53"/>
      <c r="F2014" s="53"/>
      <c r="G2014" s="96">
        <f t="shared" si="568"/>
        <v>0</v>
      </c>
      <c r="H2014" s="96"/>
      <c r="I2014" s="60"/>
      <c r="J2014" s="60"/>
      <c r="K2014" s="60"/>
      <c r="L2014" s="60"/>
      <c r="M2014" s="60"/>
      <c r="N2014" s="60"/>
      <c r="O2014" s="60"/>
      <c r="P2014" s="60"/>
      <c r="Q2014" s="60"/>
      <c r="R2014" s="60"/>
      <c r="S2014" s="60"/>
      <c r="T2014" s="60"/>
      <c r="U2014" s="60"/>
      <c r="V2014" s="60"/>
      <c r="W2014" s="60"/>
      <c r="X2014" s="60"/>
      <c r="Y2014" s="60"/>
      <c r="Z2014" s="60"/>
    </row>
    <row r="2015" spans="1:26" ht="30" hidden="1" customHeight="1">
      <c r="A2015" s="95" t="s">
        <v>3979</v>
      </c>
      <c r="B2015" s="68" t="s">
        <v>3980</v>
      </c>
      <c r="C2015" s="99"/>
      <c r="D2015" s="96"/>
      <c r="E2015" s="53"/>
      <c r="F2015" s="53"/>
      <c r="G2015" s="96">
        <f t="shared" si="568"/>
        <v>0</v>
      </c>
      <c r="H2015" s="96"/>
      <c r="I2015" s="60"/>
      <c r="J2015" s="60"/>
      <c r="K2015" s="60"/>
      <c r="L2015" s="60"/>
      <c r="M2015" s="60"/>
      <c r="N2015" s="60"/>
      <c r="O2015" s="60"/>
      <c r="P2015" s="60"/>
      <c r="Q2015" s="60"/>
      <c r="R2015" s="60"/>
      <c r="S2015" s="60"/>
      <c r="T2015" s="60"/>
      <c r="U2015" s="60"/>
      <c r="V2015" s="60"/>
      <c r="W2015" s="60"/>
      <c r="X2015" s="60"/>
      <c r="Y2015" s="60"/>
      <c r="Z2015" s="60"/>
    </row>
    <row r="2016" spans="1:26" ht="30" hidden="1" customHeight="1">
      <c r="A2016" s="98" t="s">
        <v>3981</v>
      </c>
      <c r="B2016" s="68" t="s">
        <v>3982</v>
      </c>
      <c r="C2016" s="99"/>
      <c r="D2016" s="96"/>
      <c r="E2016" s="53"/>
      <c r="F2016" s="53"/>
      <c r="G2016" s="96">
        <f t="shared" si="568"/>
        <v>0</v>
      </c>
      <c r="H2016" s="96"/>
      <c r="I2016" s="60"/>
      <c r="J2016" s="60"/>
      <c r="K2016" s="60"/>
      <c r="L2016" s="60"/>
      <c r="M2016" s="60"/>
      <c r="N2016" s="60"/>
      <c r="O2016" s="60"/>
      <c r="P2016" s="60"/>
      <c r="Q2016" s="60"/>
      <c r="R2016" s="60"/>
      <c r="S2016" s="60"/>
      <c r="T2016" s="60"/>
      <c r="U2016" s="60"/>
      <c r="V2016" s="60"/>
      <c r="W2016" s="60"/>
      <c r="X2016" s="60"/>
      <c r="Y2016" s="60"/>
      <c r="Z2016" s="60"/>
    </row>
    <row r="2017" spans="1:26" ht="30" hidden="1" customHeight="1">
      <c r="A2017" s="95" t="s">
        <v>3983</v>
      </c>
      <c r="B2017" s="68" t="s">
        <v>3984</v>
      </c>
      <c r="C2017" s="99"/>
      <c r="D2017" s="96"/>
      <c r="E2017" s="53"/>
      <c r="F2017" s="53"/>
      <c r="G2017" s="96">
        <f t="shared" si="568"/>
        <v>0</v>
      </c>
      <c r="H2017" s="96"/>
      <c r="I2017" s="60"/>
      <c r="J2017" s="60"/>
      <c r="K2017" s="60"/>
      <c r="L2017" s="60"/>
      <c r="M2017" s="60"/>
      <c r="N2017" s="60"/>
      <c r="O2017" s="60"/>
      <c r="P2017" s="60"/>
      <c r="Q2017" s="60"/>
      <c r="R2017" s="60"/>
      <c r="S2017" s="60"/>
      <c r="T2017" s="60"/>
      <c r="U2017" s="60"/>
      <c r="V2017" s="60"/>
      <c r="W2017" s="60"/>
      <c r="X2017" s="60"/>
      <c r="Y2017" s="60"/>
      <c r="Z2017" s="60"/>
    </row>
    <row r="2018" spans="1:26" ht="30" hidden="1" customHeight="1">
      <c r="A2018" s="98" t="s">
        <v>3985</v>
      </c>
      <c r="B2018" s="68" t="s">
        <v>3986</v>
      </c>
      <c r="C2018" s="99"/>
      <c r="D2018" s="96"/>
      <c r="E2018" s="53"/>
      <c r="F2018" s="53"/>
      <c r="G2018" s="96">
        <f t="shared" si="568"/>
        <v>0</v>
      </c>
      <c r="H2018" s="96"/>
      <c r="I2018" s="60"/>
      <c r="J2018" s="60"/>
      <c r="K2018" s="60"/>
      <c r="L2018" s="60"/>
      <c r="M2018" s="60"/>
      <c r="N2018" s="60"/>
      <c r="O2018" s="60"/>
      <c r="P2018" s="60"/>
      <c r="Q2018" s="60"/>
      <c r="R2018" s="60"/>
      <c r="S2018" s="60"/>
      <c r="T2018" s="60"/>
      <c r="U2018" s="60"/>
      <c r="V2018" s="60"/>
      <c r="W2018" s="60"/>
      <c r="X2018" s="60"/>
      <c r="Y2018" s="60"/>
      <c r="Z2018" s="60"/>
    </row>
    <row r="2019" spans="1:26" ht="30" hidden="1" customHeight="1">
      <c r="A2019" s="95" t="s">
        <v>3987</v>
      </c>
      <c r="B2019" s="68" t="s">
        <v>3988</v>
      </c>
      <c r="C2019" s="99"/>
      <c r="D2019" s="96"/>
      <c r="E2019" s="53"/>
      <c r="F2019" s="53"/>
      <c r="G2019" s="96">
        <f t="shared" si="568"/>
        <v>0</v>
      </c>
      <c r="H2019" s="96"/>
      <c r="I2019" s="60"/>
      <c r="J2019" s="60"/>
      <c r="K2019" s="60"/>
      <c r="L2019" s="60"/>
      <c r="M2019" s="60"/>
      <c r="N2019" s="60"/>
      <c r="O2019" s="60"/>
      <c r="P2019" s="60"/>
      <c r="Q2019" s="60"/>
      <c r="R2019" s="60"/>
      <c r="S2019" s="60"/>
      <c r="T2019" s="60"/>
      <c r="U2019" s="60"/>
      <c r="V2019" s="60"/>
      <c r="W2019" s="60"/>
      <c r="X2019" s="60"/>
      <c r="Y2019" s="60"/>
      <c r="Z2019" s="60"/>
    </row>
    <row r="2020" spans="1:26" ht="30" hidden="1" customHeight="1">
      <c r="A2020" s="92" t="s">
        <v>3989</v>
      </c>
      <c r="B2020" s="101" t="s">
        <v>2673</v>
      </c>
      <c r="C2020" s="94"/>
      <c r="D2020" s="94"/>
      <c r="E2020" s="39">
        <f t="shared" ref="E2020:G2020" si="569">SUM(E2021:E2038)</f>
        <v>86480925.650000006</v>
      </c>
      <c r="F2020" s="39">
        <f t="shared" si="569"/>
        <v>81920385.650000006</v>
      </c>
      <c r="G2020" s="39">
        <f t="shared" si="569"/>
        <v>4560540</v>
      </c>
      <c r="H2020" s="94"/>
      <c r="I2020" s="60"/>
      <c r="J2020" s="60"/>
      <c r="K2020" s="60"/>
      <c r="L2020" s="60"/>
      <c r="M2020" s="60"/>
      <c r="N2020" s="60"/>
      <c r="O2020" s="60"/>
      <c r="P2020" s="60"/>
      <c r="Q2020" s="60"/>
      <c r="R2020" s="60"/>
      <c r="S2020" s="60"/>
      <c r="T2020" s="60"/>
      <c r="U2020" s="60"/>
      <c r="V2020" s="60"/>
      <c r="W2020" s="60"/>
      <c r="X2020" s="60"/>
      <c r="Y2020" s="60"/>
      <c r="Z2020" s="60"/>
    </row>
    <row r="2021" spans="1:26" ht="30" hidden="1" customHeight="1">
      <c r="A2021" s="98" t="s">
        <v>3990</v>
      </c>
      <c r="B2021" s="68" t="s">
        <v>3991</v>
      </c>
      <c r="C2021" s="99"/>
      <c r="D2021" s="96"/>
      <c r="E2021" s="53">
        <v>30232.95</v>
      </c>
      <c r="F2021" s="53">
        <v>30232.95</v>
      </c>
      <c r="G2021" s="96">
        <f t="shared" ref="G2021:G2038" si="570">ROUND(E2021-F2021,2)</f>
        <v>0</v>
      </c>
      <c r="H2021" s="96"/>
      <c r="I2021" s="60"/>
      <c r="J2021" s="60"/>
      <c r="K2021" s="60"/>
      <c r="L2021" s="60"/>
      <c r="M2021" s="60"/>
      <c r="N2021" s="60"/>
      <c r="O2021" s="60"/>
      <c r="P2021" s="60"/>
      <c r="Q2021" s="60"/>
      <c r="R2021" s="60"/>
      <c r="S2021" s="60"/>
      <c r="T2021" s="60"/>
      <c r="U2021" s="60"/>
      <c r="V2021" s="60"/>
      <c r="W2021" s="60"/>
      <c r="X2021" s="60"/>
      <c r="Y2021" s="60"/>
      <c r="Z2021" s="60"/>
    </row>
    <row r="2022" spans="1:26" ht="30" hidden="1" customHeight="1">
      <c r="A2022" s="95" t="s">
        <v>3992</v>
      </c>
      <c r="B2022" s="68" t="s">
        <v>3993</v>
      </c>
      <c r="C2022" s="99"/>
      <c r="D2022" s="96"/>
      <c r="E2022" s="53"/>
      <c r="F2022" s="53"/>
      <c r="G2022" s="96">
        <f t="shared" si="570"/>
        <v>0</v>
      </c>
      <c r="H2022" s="96"/>
      <c r="I2022" s="60"/>
      <c r="J2022" s="60"/>
      <c r="K2022" s="60"/>
      <c r="L2022" s="60"/>
      <c r="M2022" s="60"/>
      <c r="N2022" s="60"/>
      <c r="O2022" s="60"/>
      <c r="P2022" s="60"/>
      <c r="Q2022" s="60"/>
      <c r="R2022" s="60"/>
      <c r="S2022" s="60"/>
      <c r="T2022" s="60"/>
      <c r="U2022" s="60"/>
      <c r="V2022" s="60"/>
      <c r="W2022" s="60"/>
      <c r="X2022" s="60"/>
      <c r="Y2022" s="60"/>
      <c r="Z2022" s="60"/>
    </row>
    <row r="2023" spans="1:26" ht="30" hidden="1" customHeight="1">
      <c r="A2023" s="98" t="s">
        <v>3994</v>
      </c>
      <c r="B2023" s="68" t="s">
        <v>3995</v>
      </c>
      <c r="C2023" s="99"/>
      <c r="D2023" s="96"/>
      <c r="E2023" s="53">
        <v>4842.42</v>
      </c>
      <c r="F2023" s="53">
        <v>4842.42</v>
      </c>
      <c r="G2023" s="96">
        <f t="shared" si="570"/>
        <v>0</v>
      </c>
      <c r="H2023" s="96"/>
      <c r="I2023" s="60"/>
      <c r="J2023" s="60"/>
      <c r="K2023" s="60"/>
      <c r="L2023" s="60"/>
      <c r="M2023" s="60"/>
      <c r="N2023" s="60"/>
      <c r="O2023" s="60"/>
      <c r="P2023" s="60"/>
      <c r="Q2023" s="60"/>
      <c r="R2023" s="60"/>
      <c r="S2023" s="60"/>
      <c r="T2023" s="60"/>
      <c r="U2023" s="60"/>
      <c r="V2023" s="60"/>
      <c r="W2023" s="60"/>
      <c r="X2023" s="60"/>
      <c r="Y2023" s="60"/>
      <c r="Z2023" s="60"/>
    </row>
    <row r="2024" spans="1:26" ht="30" hidden="1" customHeight="1">
      <c r="A2024" s="95" t="s">
        <v>3996</v>
      </c>
      <c r="B2024" s="68" t="s">
        <v>3997</v>
      </c>
      <c r="C2024" s="99"/>
      <c r="D2024" s="96"/>
      <c r="E2024" s="53"/>
      <c r="F2024" s="53"/>
      <c r="G2024" s="96">
        <f t="shared" si="570"/>
        <v>0</v>
      </c>
      <c r="H2024" s="96"/>
      <c r="I2024" s="60"/>
      <c r="J2024" s="60"/>
      <c r="K2024" s="60"/>
      <c r="L2024" s="60"/>
      <c r="M2024" s="60"/>
      <c r="N2024" s="60"/>
      <c r="O2024" s="60"/>
      <c r="P2024" s="60"/>
      <c r="Q2024" s="60"/>
      <c r="R2024" s="60"/>
      <c r="S2024" s="60"/>
      <c r="T2024" s="60"/>
      <c r="U2024" s="60"/>
      <c r="V2024" s="60"/>
      <c r="W2024" s="60"/>
      <c r="X2024" s="60"/>
      <c r="Y2024" s="60"/>
      <c r="Z2024" s="60"/>
    </row>
    <row r="2025" spans="1:26" ht="30" hidden="1" customHeight="1">
      <c r="A2025" s="98" t="s">
        <v>3998</v>
      </c>
      <c r="B2025" s="68" t="s">
        <v>3999</v>
      </c>
      <c r="C2025" s="99"/>
      <c r="D2025" s="96"/>
      <c r="E2025" s="53"/>
      <c r="F2025" s="53"/>
      <c r="G2025" s="96">
        <f t="shared" si="570"/>
        <v>0</v>
      </c>
      <c r="H2025" s="96"/>
      <c r="I2025" s="60"/>
      <c r="J2025" s="60"/>
      <c r="K2025" s="60"/>
      <c r="L2025" s="60"/>
      <c r="M2025" s="60"/>
      <c r="N2025" s="60"/>
      <c r="O2025" s="60"/>
      <c r="P2025" s="60"/>
      <c r="Q2025" s="60"/>
      <c r="R2025" s="60"/>
      <c r="S2025" s="60"/>
      <c r="T2025" s="60"/>
      <c r="U2025" s="60"/>
      <c r="V2025" s="60"/>
      <c r="W2025" s="60"/>
      <c r="X2025" s="60"/>
      <c r="Y2025" s="60"/>
      <c r="Z2025" s="60"/>
    </row>
    <row r="2026" spans="1:26" ht="30" hidden="1" customHeight="1">
      <c r="A2026" s="95" t="s">
        <v>4000</v>
      </c>
      <c r="B2026" s="68" t="s">
        <v>4001</v>
      </c>
      <c r="C2026" s="99"/>
      <c r="D2026" s="96"/>
      <c r="E2026" s="53"/>
      <c r="F2026" s="53"/>
      <c r="G2026" s="96">
        <f t="shared" si="570"/>
        <v>0</v>
      </c>
      <c r="H2026" s="96"/>
      <c r="I2026" s="60"/>
      <c r="J2026" s="60"/>
      <c r="K2026" s="60"/>
      <c r="L2026" s="60"/>
      <c r="M2026" s="60"/>
      <c r="N2026" s="60"/>
      <c r="O2026" s="60"/>
      <c r="P2026" s="60"/>
      <c r="Q2026" s="60"/>
      <c r="R2026" s="60"/>
      <c r="S2026" s="60"/>
      <c r="T2026" s="60"/>
      <c r="U2026" s="60"/>
      <c r="V2026" s="60"/>
      <c r="W2026" s="60"/>
      <c r="X2026" s="60"/>
      <c r="Y2026" s="60"/>
      <c r="Z2026" s="60"/>
    </row>
    <row r="2027" spans="1:26" ht="30" hidden="1" customHeight="1">
      <c r="A2027" s="98" t="s">
        <v>4002</v>
      </c>
      <c r="B2027" s="68" t="s">
        <v>4003</v>
      </c>
      <c r="C2027" s="99"/>
      <c r="D2027" s="96"/>
      <c r="E2027" s="53">
        <v>44665439.490000002</v>
      </c>
      <c r="F2027" s="53">
        <v>40104899.490000002</v>
      </c>
      <c r="G2027" s="96">
        <f t="shared" si="570"/>
        <v>4560540</v>
      </c>
      <c r="H2027" s="96"/>
      <c r="I2027" s="60"/>
      <c r="J2027" s="60"/>
      <c r="K2027" s="60"/>
      <c r="L2027" s="60"/>
      <c r="M2027" s="60"/>
      <c r="N2027" s="60"/>
      <c r="O2027" s="60"/>
      <c r="P2027" s="60"/>
      <c r="Q2027" s="60"/>
      <c r="R2027" s="60"/>
      <c r="S2027" s="60"/>
      <c r="T2027" s="60"/>
      <c r="U2027" s="60"/>
      <c r="V2027" s="60"/>
      <c r="W2027" s="60"/>
      <c r="X2027" s="60"/>
      <c r="Y2027" s="60"/>
      <c r="Z2027" s="60"/>
    </row>
    <row r="2028" spans="1:26" ht="30" hidden="1" customHeight="1">
      <c r="A2028" s="95" t="s">
        <v>4004</v>
      </c>
      <c r="B2028" s="68" t="s">
        <v>4005</v>
      </c>
      <c r="C2028" s="99"/>
      <c r="D2028" s="96"/>
      <c r="E2028" s="53"/>
      <c r="F2028" s="53"/>
      <c r="G2028" s="96">
        <f t="shared" si="570"/>
        <v>0</v>
      </c>
      <c r="H2028" s="96"/>
      <c r="I2028" s="60"/>
      <c r="J2028" s="60"/>
      <c r="K2028" s="60"/>
      <c r="L2028" s="60"/>
      <c r="M2028" s="60"/>
      <c r="N2028" s="60"/>
      <c r="O2028" s="60"/>
      <c r="P2028" s="60"/>
      <c r="Q2028" s="60"/>
      <c r="R2028" s="60"/>
      <c r="S2028" s="60"/>
      <c r="T2028" s="60"/>
      <c r="U2028" s="60"/>
      <c r="V2028" s="60"/>
      <c r="W2028" s="60"/>
      <c r="X2028" s="60"/>
      <c r="Y2028" s="60"/>
      <c r="Z2028" s="60"/>
    </row>
    <row r="2029" spans="1:26" ht="30" hidden="1" customHeight="1">
      <c r="A2029" s="98" t="s">
        <v>4006</v>
      </c>
      <c r="B2029" s="68" t="s">
        <v>4007</v>
      </c>
      <c r="C2029" s="99"/>
      <c r="D2029" s="96"/>
      <c r="E2029" s="53">
        <v>10507501.130000001</v>
      </c>
      <c r="F2029" s="53">
        <v>10507501.130000001</v>
      </c>
      <c r="G2029" s="96">
        <f t="shared" si="570"/>
        <v>0</v>
      </c>
      <c r="H2029" s="96"/>
      <c r="I2029" s="60"/>
      <c r="J2029" s="60"/>
      <c r="K2029" s="60"/>
      <c r="L2029" s="60"/>
      <c r="M2029" s="60"/>
      <c r="N2029" s="60"/>
      <c r="O2029" s="60"/>
      <c r="P2029" s="60"/>
      <c r="Q2029" s="60"/>
      <c r="R2029" s="60"/>
      <c r="S2029" s="60"/>
      <c r="T2029" s="60"/>
      <c r="U2029" s="60"/>
      <c r="V2029" s="60"/>
      <c r="W2029" s="60"/>
      <c r="X2029" s="60"/>
      <c r="Y2029" s="60"/>
      <c r="Z2029" s="60"/>
    </row>
    <row r="2030" spans="1:26" ht="30" hidden="1" customHeight="1">
      <c r="A2030" s="95" t="s">
        <v>4008</v>
      </c>
      <c r="B2030" s="68" t="s">
        <v>4009</v>
      </c>
      <c r="C2030" s="99"/>
      <c r="D2030" s="96"/>
      <c r="E2030" s="53"/>
      <c r="F2030" s="53"/>
      <c r="G2030" s="96">
        <f t="shared" si="570"/>
        <v>0</v>
      </c>
      <c r="H2030" s="96"/>
      <c r="I2030" s="60"/>
      <c r="J2030" s="60"/>
      <c r="K2030" s="60"/>
      <c r="L2030" s="60"/>
      <c r="M2030" s="60"/>
      <c r="N2030" s="60"/>
      <c r="O2030" s="60"/>
      <c r="P2030" s="60"/>
      <c r="Q2030" s="60"/>
      <c r="R2030" s="60"/>
      <c r="S2030" s="60"/>
      <c r="T2030" s="60"/>
      <c r="U2030" s="60"/>
      <c r="V2030" s="60"/>
      <c r="W2030" s="60"/>
      <c r="X2030" s="60"/>
      <c r="Y2030" s="60"/>
      <c r="Z2030" s="60"/>
    </row>
    <row r="2031" spans="1:26" ht="30" hidden="1" customHeight="1">
      <c r="A2031" s="98" t="s">
        <v>4010</v>
      </c>
      <c r="B2031" s="68" t="s">
        <v>4011</v>
      </c>
      <c r="C2031" s="99"/>
      <c r="D2031" s="96"/>
      <c r="E2031" s="53">
        <v>19002419.48</v>
      </c>
      <c r="F2031" s="53">
        <v>19002419.48</v>
      </c>
      <c r="G2031" s="96">
        <f t="shared" si="570"/>
        <v>0</v>
      </c>
      <c r="H2031" s="96"/>
      <c r="I2031" s="60"/>
      <c r="J2031" s="60"/>
      <c r="K2031" s="60"/>
      <c r="L2031" s="60"/>
      <c r="M2031" s="60"/>
      <c r="N2031" s="60"/>
      <c r="O2031" s="60"/>
      <c r="P2031" s="60"/>
      <c r="Q2031" s="60"/>
      <c r="R2031" s="60"/>
      <c r="S2031" s="60"/>
      <c r="T2031" s="60"/>
      <c r="U2031" s="60"/>
      <c r="V2031" s="60"/>
      <c r="W2031" s="60"/>
      <c r="X2031" s="60"/>
      <c r="Y2031" s="60"/>
      <c r="Z2031" s="60"/>
    </row>
    <row r="2032" spans="1:26" ht="30" hidden="1" customHeight="1">
      <c r="A2032" s="95" t="s">
        <v>4012</v>
      </c>
      <c r="B2032" s="68" t="s">
        <v>4013</v>
      </c>
      <c r="C2032" s="99"/>
      <c r="D2032" s="96"/>
      <c r="E2032" s="53"/>
      <c r="F2032" s="53"/>
      <c r="G2032" s="96">
        <f t="shared" si="570"/>
        <v>0</v>
      </c>
      <c r="H2032" s="96"/>
      <c r="I2032" s="60"/>
      <c r="J2032" s="60"/>
      <c r="K2032" s="60"/>
      <c r="L2032" s="60"/>
      <c r="M2032" s="60"/>
      <c r="N2032" s="60"/>
      <c r="O2032" s="60"/>
      <c r="P2032" s="60"/>
      <c r="Q2032" s="60"/>
      <c r="R2032" s="60"/>
      <c r="S2032" s="60"/>
      <c r="T2032" s="60"/>
      <c r="U2032" s="60"/>
      <c r="V2032" s="60"/>
      <c r="W2032" s="60"/>
      <c r="X2032" s="60"/>
      <c r="Y2032" s="60"/>
      <c r="Z2032" s="60"/>
    </row>
    <row r="2033" spans="1:26" ht="30" hidden="1" customHeight="1">
      <c r="A2033" s="98" t="s">
        <v>4014</v>
      </c>
      <c r="B2033" s="68" t="s">
        <v>4015</v>
      </c>
      <c r="C2033" s="99"/>
      <c r="D2033" s="96"/>
      <c r="E2033" s="53"/>
      <c r="F2033" s="53"/>
      <c r="G2033" s="96">
        <f t="shared" si="570"/>
        <v>0</v>
      </c>
      <c r="H2033" s="96"/>
      <c r="I2033" s="60"/>
      <c r="J2033" s="60"/>
      <c r="K2033" s="60"/>
      <c r="L2033" s="60"/>
      <c r="M2033" s="60"/>
      <c r="N2033" s="60"/>
      <c r="O2033" s="60"/>
      <c r="P2033" s="60"/>
      <c r="Q2033" s="60"/>
      <c r="R2033" s="60"/>
      <c r="S2033" s="60"/>
      <c r="T2033" s="60"/>
      <c r="U2033" s="60"/>
      <c r="V2033" s="60"/>
      <c r="W2033" s="60"/>
      <c r="X2033" s="60"/>
      <c r="Y2033" s="60"/>
      <c r="Z2033" s="60"/>
    </row>
    <row r="2034" spans="1:26" ht="30" hidden="1" customHeight="1">
      <c r="A2034" s="95" t="s">
        <v>4016</v>
      </c>
      <c r="B2034" s="68" t="s">
        <v>4017</v>
      </c>
      <c r="C2034" s="99"/>
      <c r="D2034" s="96"/>
      <c r="E2034" s="53"/>
      <c r="F2034" s="53"/>
      <c r="G2034" s="96">
        <f t="shared" si="570"/>
        <v>0</v>
      </c>
      <c r="H2034" s="96"/>
      <c r="I2034" s="60"/>
      <c r="J2034" s="60"/>
      <c r="K2034" s="60"/>
      <c r="L2034" s="60"/>
      <c r="M2034" s="60"/>
      <c r="N2034" s="60"/>
      <c r="O2034" s="60"/>
      <c r="P2034" s="60"/>
      <c r="Q2034" s="60"/>
      <c r="R2034" s="60"/>
      <c r="S2034" s="60"/>
      <c r="T2034" s="60"/>
      <c r="U2034" s="60"/>
      <c r="V2034" s="60"/>
      <c r="W2034" s="60"/>
      <c r="X2034" s="60"/>
      <c r="Y2034" s="60"/>
      <c r="Z2034" s="60"/>
    </row>
    <row r="2035" spans="1:26" ht="30" hidden="1" customHeight="1">
      <c r="A2035" s="98" t="s">
        <v>4018</v>
      </c>
      <c r="B2035" s="68" t="s">
        <v>4019</v>
      </c>
      <c r="C2035" s="99"/>
      <c r="D2035" s="96"/>
      <c r="E2035" s="53"/>
      <c r="F2035" s="53"/>
      <c r="G2035" s="96">
        <f t="shared" si="570"/>
        <v>0</v>
      </c>
      <c r="H2035" s="96"/>
      <c r="I2035" s="60"/>
      <c r="J2035" s="60"/>
      <c r="K2035" s="60"/>
      <c r="L2035" s="60"/>
      <c r="M2035" s="60"/>
      <c r="N2035" s="60"/>
      <c r="O2035" s="60"/>
      <c r="P2035" s="60"/>
      <c r="Q2035" s="60"/>
      <c r="R2035" s="60"/>
      <c r="S2035" s="60"/>
      <c r="T2035" s="60"/>
      <c r="U2035" s="60"/>
      <c r="V2035" s="60"/>
      <c r="W2035" s="60"/>
      <c r="X2035" s="60"/>
      <c r="Y2035" s="60"/>
      <c r="Z2035" s="60"/>
    </row>
    <row r="2036" spans="1:26" ht="30" hidden="1" customHeight="1">
      <c r="A2036" s="95" t="s">
        <v>4020</v>
      </c>
      <c r="B2036" s="68" t="s">
        <v>4021</v>
      </c>
      <c r="C2036" s="99"/>
      <c r="D2036" s="96"/>
      <c r="E2036" s="53"/>
      <c r="F2036" s="53"/>
      <c r="G2036" s="96">
        <f t="shared" si="570"/>
        <v>0</v>
      </c>
      <c r="H2036" s="96"/>
      <c r="I2036" s="60"/>
      <c r="J2036" s="60"/>
      <c r="K2036" s="60"/>
      <c r="L2036" s="60"/>
      <c r="M2036" s="60"/>
      <c r="N2036" s="60"/>
      <c r="O2036" s="60"/>
      <c r="P2036" s="60"/>
      <c r="Q2036" s="60"/>
      <c r="R2036" s="60"/>
      <c r="S2036" s="60"/>
      <c r="T2036" s="60"/>
      <c r="U2036" s="60"/>
      <c r="V2036" s="60"/>
      <c r="W2036" s="60"/>
      <c r="X2036" s="60"/>
      <c r="Y2036" s="60"/>
      <c r="Z2036" s="60"/>
    </row>
    <row r="2037" spans="1:26" ht="30" hidden="1" customHeight="1">
      <c r="A2037" s="98" t="s">
        <v>4022</v>
      </c>
      <c r="B2037" s="68" t="s">
        <v>4023</v>
      </c>
      <c r="C2037" s="99"/>
      <c r="D2037" s="96"/>
      <c r="E2037" s="53">
        <v>12270490.18</v>
      </c>
      <c r="F2037" s="53">
        <v>12270490.18</v>
      </c>
      <c r="G2037" s="96">
        <f t="shared" si="570"/>
        <v>0</v>
      </c>
      <c r="H2037" s="96"/>
      <c r="I2037" s="60"/>
      <c r="J2037" s="60"/>
      <c r="K2037" s="60"/>
      <c r="L2037" s="60"/>
      <c r="M2037" s="60"/>
      <c r="N2037" s="60"/>
      <c r="O2037" s="60"/>
      <c r="P2037" s="60"/>
      <c r="Q2037" s="60"/>
      <c r="R2037" s="60"/>
      <c r="S2037" s="60"/>
      <c r="T2037" s="60"/>
      <c r="U2037" s="60"/>
      <c r="V2037" s="60"/>
      <c r="W2037" s="60"/>
      <c r="X2037" s="60"/>
      <c r="Y2037" s="60"/>
      <c r="Z2037" s="60"/>
    </row>
    <row r="2038" spans="1:26" ht="30" hidden="1" customHeight="1">
      <c r="A2038" s="95" t="s">
        <v>4024</v>
      </c>
      <c r="B2038" s="68" t="s">
        <v>4025</v>
      </c>
      <c r="C2038" s="99"/>
      <c r="D2038" s="96"/>
      <c r="E2038" s="53"/>
      <c r="F2038" s="53"/>
      <c r="G2038" s="96">
        <f t="shared" si="570"/>
        <v>0</v>
      </c>
      <c r="H2038" s="96"/>
      <c r="I2038" s="60"/>
      <c r="J2038" s="60"/>
      <c r="K2038" s="60"/>
      <c r="L2038" s="60"/>
      <c r="M2038" s="60"/>
      <c r="N2038" s="60"/>
      <c r="O2038" s="60"/>
      <c r="P2038" s="60"/>
      <c r="Q2038" s="60"/>
      <c r="R2038" s="60"/>
      <c r="S2038" s="60"/>
      <c r="T2038" s="60"/>
      <c r="U2038" s="60"/>
      <c r="V2038" s="60"/>
      <c r="W2038" s="60"/>
      <c r="X2038" s="60"/>
      <c r="Y2038" s="60"/>
      <c r="Z2038" s="60"/>
    </row>
    <row r="2039" spans="1:26" ht="30" hidden="1" customHeight="1">
      <c r="A2039" s="92" t="s">
        <v>4026</v>
      </c>
      <c r="B2039" s="101" t="s">
        <v>2711</v>
      </c>
      <c r="C2039" s="94"/>
      <c r="D2039" s="94"/>
      <c r="E2039" s="39">
        <f t="shared" ref="E2039:G2039" si="571">SUM(E2040:E2045)</f>
        <v>218230294.47</v>
      </c>
      <c r="F2039" s="39">
        <f t="shared" si="571"/>
        <v>218230294.47</v>
      </c>
      <c r="G2039" s="39">
        <f t="shared" si="571"/>
        <v>0</v>
      </c>
      <c r="H2039" s="94"/>
      <c r="I2039" s="60"/>
      <c r="J2039" s="60"/>
      <c r="K2039" s="60"/>
      <c r="L2039" s="60"/>
      <c r="M2039" s="60"/>
      <c r="N2039" s="60"/>
      <c r="O2039" s="60"/>
      <c r="P2039" s="60"/>
      <c r="Q2039" s="60"/>
      <c r="R2039" s="60"/>
      <c r="S2039" s="60"/>
      <c r="T2039" s="60"/>
      <c r="U2039" s="60"/>
      <c r="V2039" s="60"/>
      <c r="W2039" s="60"/>
      <c r="X2039" s="60"/>
      <c r="Y2039" s="60"/>
      <c r="Z2039" s="60"/>
    </row>
    <row r="2040" spans="1:26" ht="30" hidden="1" customHeight="1">
      <c r="A2040" s="98" t="s">
        <v>4027</v>
      </c>
      <c r="B2040" s="68" t="s">
        <v>4028</v>
      </c>
      <c r="C2040" s="99"/>
      <c r="D2040" s="96"/>
      <c r="E2040" s="53">
        <v>218230294.47</v>
      </c>
      <c r="F2040" s="53">
        <v>218230294.47</v>
      </c>
      <c r="G2040" s="96">
        <f t="shared" ref="G2040:G2045" si="572">ROUND(E2040-F2040,2)</f>
        <v>0</v>
      </c>
      <c r="H2040" s="96"/>
      <c r="I2040" s="60"/>
      <c r="J2040" s="60"/>
      <c r="K2040" s="60"/>
      <c r="L2040" s="60"/>
      <c r="M2040" s="60"/>
      <c r="N2040" s="60"/>
      <c r="O2040" s="60"/>
      <c r="P2040" s="60"/>
      <c r="Q2040" s="60"/>
      <c r="R2040" s="60"/>
      <c r="S2040" s="60"/>
      <c r="T2040" s="60"/>
      <c r="U2040" s="60"/>
      <c r="V2040" s="60"/>
      <c r="W2040" s="60"/>
      <c r="X2040" s="60"/>
      <c r="Y2040" s="60"/>
      <c r="Z2040" s="60"/>
    </row>
    <row r="2041" spans="1:26" ht="30" hidden="1" customHeight="1">
      <c r="A2041" s="95" t="s">
        <v>4029</v>
      </c>
      <c r="B2041" s="68" t="s">
        <v>4030</v>
      </c>
      <c r="C2041" s="99"/>
      <c r="D2041" s="96"/>
      <c r="E2041" s="53"/>
      <c r="F2041" s="53"/>
      <c r="G2041" s="96">
        <f t="shared" si="572"/>
        <v>0</v>
      </c>
      <c r="H2041" s="96"/>
      <c r="I2041" s="60"/>
      <c r="J2041" s="60"/>
      <c r="K2041" s="60"/>
      <c r="L2041" s="60"/>
      <c r="M2041" s="60"/>
      <c r="N2041" s="60"/>
      <c r="O2041" s="60"/>
      <c r="P2041" s="60"/>
      <c r="Q2041" s="60"/>
      <c r="R2041" s="60"/>
      <c r="S2041" s="60"/>
      <c r="T2041" s="60"/>
      <c r="U2041" s="60"/>
      <c r="V2041" s="60"/>
      <c r="W2041" s="60"/>
      <c r="X2041" s="60"/>
      <c r="Y2041" s="60"/>
      <c r="Z2041" s="60"/>
    </row>
    <row r="2042" spans="1:26" ht="30" hidden="1" customHeight="1">
      <c r="A2042" s="98" t="s">
        <v>4031</v>
      </c>
      <c r="B2042" s="68" t="s">
        <v>4032</v>
      </c>
      <c r="C2042" s="99"/>
      <c r="D2042" s="96"/>
      <c r="E2042" s="53"/>
      <c r="F2042" s="53"/>
      <c r="G2042" s="96">
        <f t="shared" si="572"/>
        <v>0</v>
      </c>
      <c r="H2042" s="96"/>
      <c r="I2042" s="60"/>
      <c r="J2042" s="60"/>
      <c r="K2042" s="60"/>
      <c r="L2042" s="60"/>
      <c r="M2042" s="60"/>
      <c r="N2042" s="60"/>
      <c r="O2042" s="60"/>
      <c r="P2042" s="60"/>
      <c r="Q2042" s="60"/>
      <c r="R2042" s="60"/>
      <c r="S2042" s="60"/>
      <c r="T2042" s="60"/>
      <c r="U2042" s="60"/>
      <c r="V2042" s="60"/>
      <c r="W2042" s="60"/>
      <c r="X2042" s="60"/>
      <c r="Y2042" s="60"/>
      <c r="Z2042" s="60"/>
    </row>
    <row r="2043" spans="1:26" ht="30" hidden="1" customHeight="1">
      <c r="A2043" s="95" t="s">
        <v>4033</v>
      </c>
      <c r="B2043" s="68" t="s">
        <v>4034</v>
      </c>
      <c r="C2043" s="99"/>
      <c r="D2043" s="96"/>
      <c r="E2043" s="53"/>
      <c r="F2043" s="53"/>
      <c r="G2043" s="96">
        <f t="shared" si="572"/>
        <v>0</v>
      </c>
      <c r="H2043" s="96"/>
      <c r="I2043" s="60"/>
      <c r="J2043" s="60"/>
      <c r="K2043" s="60"/>
      <c r="L2043" s="60"/>
      <c r="M2043" s="60"/>
      <c r="N2043" s="60"/>
      <c r="O2043" s="60"/>
      <c r="P2043" s="60"/>
      <c r="Q2043" s="60"/>
      <c r="R2043" s="60"/>
      <c r="S2043" s="60"/>
      <c r="T2043" s="60"/>
      <c r="U2043" s="60"/>
      <c r="V2043" s="60"/>
      <c r="W2043" s="60"/>
      <c r="X2043" s="60"/>
      <c r="Y2043" s="60"/>
      <c r="Z2043" s="60"/>
    </row>
    <row r="2044" spans="1:26" ht="30" hidden="1" customHeight="1">
      <c r="A2044" s="98" t="s">
        <v>4035</v>
      </c>
      <c r="B2044" s="68" t="s">
        <v>4036</v>
      </c>
      <c r="C2044" s="99"/>
      <c r="D2044" s="96"/>
      <c r="E2044" s="53"/>
      <c r="F2044" s="53"/>
      <c r="G2044" s="96">
        <f t="shared" si="572"/>
        <v>0</v>
      </c>
      <c r="H2044" s="96"/>
      <c r="I2044" s="60"/>
      <c r="J2044" s="60"/>
      <c r="K2044" s="60"/>
      <c r="L2044" s="60"/>
      <c r="M2044" s="60"/>
      <c r="N2044" s="60"/>
      <c r="O2044" s="60"/>
      <c r="P2044" s="60"/>
      <c r="Q2044" s="60"/>
      <c r="R2044" s="60"/>
      <c r="S2044" s="60"/>
      <c r="T2044" s="60"/>
      <c r="U2044" s="60"/>
      <c r="V2044" s="60"/>
      <c r="W2044" s="60"/>
      <c r="X2044" s="60"/>
      <c r="Y2044" s="60"/>
      <c r="Z2044" s="60"/>
    </row>
    <row r="2045" spans="1:26" ht="30" hidden="1" customHeight="1">
      <c r="A2045" s="95" t="s">
        <v>4037</v>
      </c>
      <c r="B2045" s="68" t="s">
        <v>4038</v>
      </c>
      <c r="C2045" s="99"/>
      <c r="D2045" s="96"/>
      <c r="E2045" s="53"/>
      <c r="F2045" s="53"/>
      <c r="G2045" s="96">
        <f t="shared" si="572"/>
        <v>0</v>
      </c>
      <c r="H2045" s="96"/>
      <c r="I2045" s="60"/>
      <c r="J2045" s="60"/>
      <c r="K2045" s="60"/>
      <c r="L2045" s="60"/>
      <c r="M2045" s="60"/>
      <c r="N2045" s="60"/>
      <c r="O2045" s="60"/>
      <c r="P2045" s="60"/>
      <c r="Q2045" s="60"/>
      <c r="R2045" s="60"/>
      <c r="S2045" s="60"/>
      <c r="T2045" s="60"/>
      <c r="U2045" s="60"/>
      <c r="V2045" s="60"/>
      <c r="W2045" s="60"/>
      <c r="X2045" s="60"/>
      <c r="Y2045" s="60"/>
      <c r="Z2045" s="60"/>
    </row>
    <row r="2046" spans="1:26" ht="30" hidden="1" customHeight="1">
      <c r="A2046" s="92" t="s">
        <v>4039</v>
      </c>
      <c r="B2046" s="101" t="s">
        <v>2725</v>
      </c>
      <c r="C2046" s="94"/>
      <c r="D2046" s="94"/>
      <c r="E2046" s="39">
        <f t="shared" ref="E2046:G2046" si="573">SUM(E2047:E2060)</f>
        <v>0</v>
      </c>
      <c r="F2046" s="39">
        <f t="shared" si="573"/>
        <v>0</v>
      </c>
      <c r="G2046" s="39">
        <f t="shared" si="573"/>
        <v>0</v>
      </c>
      <c r="H2046" s="94"/>
      <c r="I2046" s="60"/>
      <c r="J2046" s="60"/>
      <c r="K2046" s="60"/>
      <c r="L2046" s="60"/>
      <c r="M2046" s="60"/>
      <c r="N2046" s="60"/>
      <c r="O2046" s="60"/>
      <c r="P2046" s="60"/>
      <c r="Q2046" s="60"/>
      <c r="R2046" s="60"/>
      <c r="S2046" s="60"/>
      <c r="T2046" s="60"/>
      <c r="U2046" s="60"/>
      <c r="V2046" s="60"/>
      <c r="W2046" s="60"/>
      <c r="X2046" s="60"/>
      <c r="Y2046" s="60"/>
      <c r="Z2046" s="60"/>
    </row>
    <row r="2047" spans="1:26" ht="30" hidden="1" customHeight="1">
      <c r="A2047" s="98" t="s">
        <v>4040</v>
      </c>
      <c r="B2047" s="68" t="s">
        <v>4041</v>
      </c>
      <c r="C2047" s="99"/>
      <c r="D2047" s="96"/>
      <c r="E2047" s="53"/>
      <c r="F2047" s="53"/>
      <c r="G2047" s="96">
        <f t="shared" ref="G2047:G2060" si="574">ROUND(E2047-F2047,2)</f>
        <v>0</v>
      </c>
      <c r="H2047" s="96"/>
      <c r="I2047" s="60"/>
      <c r="J2047" s="60"/>
      <c r="K2047" s="60"/>
      <c r="L2047" s="60"/>
      <c r="M2047" s="60"/>
      <c r="N2047" s="60"/>
      <c r="O2047" s="60"/>
      <c r="P2047" s="60"/>
      <c r="Q2047" s="60"/>
      <c r="R2047" s="60"/>
      <c r="S2047" s="60"/>
      <c r="T2047" s="60"/>
      <c r="U2047" s="60"/>
      <c r="V2047" s="60"/>
      <c r="W2047" s="60"/>
      <c r="X2047" s="60"/>
      <c r="Y2047" s="60"/>
      <c r="Z2047" s="60"/>
    </row>
    <row r="2048" spans="1:26" ht="30" hidden="1" customHeight="1">
      <c r="A2048" s="95" t="s">
        <v>4042</v>
      </c>
      <c r="B2048" s="68" t="s">
        <v>4043</v>
      </c>
      <c r="C2048" s="99"/>
      <c r="D2048" s="96"/>
      <c r="E2048" s="53"/>
      <c r="F2048" s="53"/>
      <c r="G2048" s="96">
        <f t="shared" si="574"/>
        <v>0</v>
      </c>
      <c r="H2048" s="96"/>
      <c r="I2048" s="60"/>
      <c r="J2048" s="60"/>
      <c r="K2048" s="60"/>
      <c r="L2048" s="60"/>
      <c r="M2048" s="60"/>
      <c r="N2048" s="60"/>
      <c r="O2048" s="60"/>
      <c r="P2048" s="60"/>
      <c r="Q2048" s="60"/>
      <c r="R2048" s="60"/>
      <c r="S2048" s="60"/>
      <c r="T2048" s="60"/>
      <c r="U2048" s="60"/>
      <c r="V2048" s="60"/>
      <c r="W2048" s="60"/>
      <c r="X2048" s="60"/>
      <c r="Y2048" s="60"/>
      <c r="Z2048" s="60"/>
    </row>
    <row r="2049" spans="1:26" ht="30" hidden="1" customHeight="1">
      <c r="A2049" s="98" t="s">
        <v>4044</v>
      </c>
      <c r="B2049" s="68" t="s">
        <v>4045</v>
      </c>
      <c r="C2049" s="99"/>
      <c r="D2049" s="96"/>
      <c r="E2049" s="53"/>
      <c r="F2049" s="53"/>
      <c r="G2049" s="96">
        <f t="shared" si="574"/>
        <v>0</v>
      </c>
      <c r="H2049" s="96"/>
      <c r="I2049" s="60"/>
      <c r="J2049" s="60"/>
      <c r="K2049" s="60"/>
      <c r="L2049" s="60"/>
      <c r="M2049" s="60"/>
      <c r="N2049" s="60"/>
      <c r="O2049" s="60"/>
      <c r="P2049" s="60"/>
      <c r="Q2049" s="60"/>
      <c r="R2049" s="60"/>
      <c r="S2049" s="60"/>
      <c r="T2049" s="60"/>
      <c r="U2049" s="60"/>
      <c r="V2049" s="60"/>
      <c r="W2049" s="60"/>
      <c r="X2049" s="60"/>
      <c r="Y2049" s="60"/>
      <c r="Z2049" s="60"/>
    </row>
    <row r="2050" spans="1:26" ht="30" hidden="1" customHeight="1">
      <c r="A2050" s="95" t="s">
        <v>4046</v>
      </c>
      <c r="B2050" s="68" t="s">
        <v>4047</v>
      </c>
      <c r="C2050" s="99"/>
      <c r="D2050" s="96"/>
      <c r="E2050" s="53"/>
      <c r="F2050" s="53"/>
      <c r="G2050" s="96">
        <f t="shared" si="574"/>
        <v>0</v>
      </c>
      <c r="H2050" s="96"/>
      <c r="I2050" s="60"/>
      <c r="J2050" s="60"/>
      <c r="K2050" s="60"/>
      <c r="L2050" s="60"/>
      <c r="M2050" s="60"/>
      <c r="N2050" s="60"/>
      <c r="O2050" s="60"/>
      <c r="P2050" s="60"/>
      <c r="Q2050" s="60"/>
      <c r="R2050" s="60"/>
      <c r="S2050" s="60"/>
      <c r="T2050" s="60"/>
      <c r="U2050" s="60"/>
      <c r="V2050" s="60"/>
      <c r="W2050" s="60"/>
      <c r="X2050" s="60"/>
      <c r="Y2050" s="60"/>
      <c r="Z2050" s="60"/>
    </row>
    <row r="2051" spans="1:26" ht="30" hidden="1" customHeight="1">
      <c r="A2051" s="98" t="s">
        <v>4048</v>
      </c>
      <c r="B2051" s="68" t="s">
        <v>4049</v>
      </c>
      <c r="C2051" s="99"/>
      <c r="D2051" s="96"/>
      <c r="E2051" s="53"/>
      <c r="F2051" s="53"/>
      <c r="G2051" s="96">
        <f t="shared" si="574"/>
        <v>0</v>
      </c>
      <c r="H2051" s="96"/>
      <c r="I2051" s="60"/>
      <c r="J2051" s="60"/>
      <c r="K2051" s="60"/>
      <c r="L2051" s="60"/>
      <c r="M2051" s="60"/>
      <c r="N2051" s="60"/>
      <c r="O2051" s="60"/>
      <c r="P2051" s="60"/>
      <c r="Q2051" s="60"/>
      <c r="R2051" s="60"/>
      <c r="S2051" s="60"/>
      <c r="T2051" s="60"/>
      <c r="U2051" s="60"/>
      <c r="V2051" s="60"/>
      <c r="W2051" s="60"/>
      <c r="X2051" s="60"/>
      <c r="Y2051" s="60"/>
      <c r="Z2051" s="60"/>
    </row>
    <row r="2052" spans="1:26" ht="30" hidden="1" customHeight="1">
      <c r="A2052" s="95" t="s">
        <v>4050</v>
      </c>
      <c r="B2052" s="68" t="s">
        <v>4051</v>
      </c>
      <c r="C2052" s="99"/>
      <c r="D2052" s="96"/>
      <c r="E2052" s="53"/>
      <c r="F2052" s="53"/>
      <c r="G2052" s="96">
        <f t="shared" si="574"/>
        <v>0</v>
      </c>
      <c r="H2052" s="96"/>
      <c r="I2052" s="60"/>
      <c r="J2052" s="60"/>
      <c r="K2052" s="60"/>
      <c r="L2052" s="60"/>
      <c r="M2052" s="60"/>
      <c r="N2052" s="60"/>
      <c r="O2052" s="60"/>
      <c r="P2052" s="60"/>
      <c r="Q2052" s="60"/>
      <c r="R2052" s="60"/>
      <c r="S2052" s="60"/>
      <c r="T2052" s="60"/>
      <c r="U2052" s="60"/>
      <c r="V2052" s="60"/>
      <c r="W2052" s="60"/>
      <c r="X2052" s="60"/>
      <c r="Y2052" s="60"/>
      <c r="Z2052" s="60"/>
    </row>
    <row r="2053" spans="1:26" ht="30" hidden="1" customHeight="1">
      <c r="A2053" s="98" t="s">
        <v>4052</v>
      </c>
      <c r="B2053" s="68" t="s">
        <v>4053</v>
      </c>
      <c r="C2053" s="99"/>
      <c r="D2053" s="96"/>
      <c r="E2053" s="53"/>
      <c r="F2053" s="53"/>
      <c r="G2053" s="96">
        <f t="shared" si="574"/>
        <v>0</v>
      </c>
      <c r="H2053" s="96"/>
      <c r="I2053" s="60"/>
      <c r="J2053" s="60"/>
      <c r="K2053" s="60"/>
      <c r="L2053" s="60"/>
      <c r="M2053" s="60"/>
      <c r="N2053" s="60"/>
      <c r="O2053" s="60"/>
      <c r="P2053" s="60"/>
      <c r="Q2053" s="60"/>
      <c r="R2053" s="60"/>
      <c r="S2053" s="60"/>
      <c r="T2053" s="60"/>
      <c r="U2053" s="60"/>
      <c r="V2053" s="60"/>
      <c r="W2053" s="60"/>
      <c r="X2053" s="60"/>
      <c r="Y2053" s="60"/>
      <c r="Z2053" s="60"/>
    </row>
    <row r="2054" spans="1:26" ht="30" hidden="1" customHeight="1">
      <c r="A2054" s="95" t="s">
        <v>4054</v>
      </c>
      <c r="B2054" s="68" t="s">
        <v>4055</v>
      </c>
      <c r="C2054" s="99"/>
      <c r="D2054" s="96"/>
      <c r="E2054" s="53"/>
      <c r="F2054" s="53"/>
      <c r="G2054" s="96">
        <f t="shared" si="574"/>
        <v>0</v>
      </c>
      <c r="H2054" s="96"/>
      <c r="I2054" s="60"/>
      <c r="J2054" s="60"/>
      <c r="K2054" s="60"/>
      <c r="L2054" s="60"/>
      <c r="M2054" s="60"/>
      <c r="N2054" s="60"/>
      <c r="O2054" s="60"/>
      <c r="P2054" s="60"/>
      <c r="Q2054" s="60"/>
      <c r="R2054" s="60"/>
      <c r="S2054" s="60"/>
      <c r="T2054" s="60"/>
      <c r="U2054" s="60"/>
      <c r="V2054" s="60"/>
      <c r="W2054" s="60"/>
      <c r="X2054" s="60"/>
      <c r="Y2054" s="60"/>
      <c r="Z2054" s="60"/>
    </row>
    <row r="2055" spans="1:26" ht="30" hidden="1" customHeight="1">
      <c r="A2055" s="98" t="s">
        <v>4056</v>
      </c>
      <c r="B2055" s="68" t="s">
        <v>4057</v>
      </c>
      <c r="C2055" s="99"/>
      <c r="D2055" s="96"/>
      <c r="E2055" s="53"/>
      <c r="F2055" s="53"/>
      <c r="G2055" s="96">
        <f t="shared" si="574"/>
        <v>0</v>
      </c>
      <c r="H2055" s="96"/>
      <c r="I2055" s="60"/>
      <c r="J2055" s="60"/>
      <c r="K2055" s="60"/>
      <c r="L2055" s="60"/>
      <c r="M2055" s="60"/>
      <c r="N2055" s="60"/>
      <c r="O2055" s="60"/>
      <c r="P2055" s="60"/>
      <c r="Q2055" s="60"/>
      <c r="R2055" s="60"/>
      <c r="S2055" s="60"/>
      <c r="T2055" s="60"/>
      <c r="U2055" s="60"/>
      <c r="V2055" s="60"/>
      <c r="W2055" s="60"/>
      <c r="X2055" s="60"/>
      <c r="Y2055" s="60"/>
      <c r="Z2055" s="60"/>
    </row>
    <row r="2056" spans="1:26" ht="30" hidden="1" customHeight="1">
      <c r="A2056" s="95" t="s">
        <v>4058</v>
      </c>
      <c r="B2056" s="68" t="s">
        <v>4059</v>
      </c>
      <c r="C2056" s="99"/>
      <c r="D2056" s="96"/>
      <c r="E2056" s="53"/>
      <c r="F2056" s="53"/>
      <c r="G2056" s="96">
        <f t="shared" si="574"/>
        <v>0</v>
      </c>
      <c r="H2056" s="96"/>
      <c r="I2056" s="60"/>
      <c r="J2056" s="60"/>
      <c r="K2056" s="60"/>
      <c r="L2056" s="60"/>
      <c r="M2056" s="60"/>
      <c r="N2056" s="60"/>
      <c r="O2056" s="60"/>
      <c r="P2056" s="60"/>
      <c r="Q2056" s="60"/>
      <c r="R2056" s="60"/>
      <c r="S2056" s="60"/>
      <c r="T2056" s="60"/>
      <c r="U2056" s="60"/>
      <c r="V2056" s="60"/>
      <c r="W2056" s="60"/>
      <c r="X2056" s="60"/>
      <c r="Y2056" s="60"/>
      <c r="Z2056" s="60"/>
    </row>
    <row r="2057" spans="1:26" ht="30" hidden="1" customHeight="1">
      <c r="A2057" s="98" t="s">
        <v>4060</v>
      </c>
      <c r="B2057" s="68" t="s">
        <v>4061</v>
      </c>
      <c r="C2057" s="99"/>
      <c r="D2057" s="96"/>
      <c r="E2057" s="53"/>
      <c r="F2057" s="53"/>
      <c r="G2057" s="96">
        <f t="shared" si="574"/>
        <v>0</v>
      </c>
      <c r="H2057" s="96"/>
      <c r="I2057" s="60"/>
      <c r="J2057" s="60"/>
      <c r="K2057" s="60"/>
      <c r="L2057" s="60"/>
      <c r="M2057" s="60"/>
      <c r="N2057" s="60"/>
      <c r="O2057" s="60"/>
      <c r="P2057" s="60"/>
      <c r="Q2057" s="60"/>
      <c r="R2057" s="60"/>
      <c r="S2057" s="60"/>
      <c r="T2057" s="60"/>
      <c r="U2057" s="60"/>
      <c r="V2057" s="60"/>
      <c r="W2057" s="60"/>
      <c r="X2057" s="60"/>
      <c r="Y2057" s="60"/>
      <c r="Z2057" s="60"/>
    </row>
    <row r="2058" spans="1:26" ht="30" hidden="1" customHeight="1">
      <c r="A2058" s="95" t="s">
        <v>4062</v>
      </c>
      <c r="B2058" s="68" t="s">
        <v>4063</v>
      </c>
      <c r="C2058" s="99"/>
      <c r="D2058" s="96"/>
      <c r="E2058" s="53"/>
      <c r="F2058" s="53"/>
      <c r="G2058" s="96">
        <f t="shared" si="574"/>
        <v>0</v>
      </c>
      <c r="H2058" s="96"/>
      <c r="I2058" s="60"/>
      <c r="J2058" s="60"/>
      <c r="K2058" s="60"/>
      <c r="L2058" s="60"/>
      <c r="M2058" s="60"/>
      <c r="N2058" s="60"/>
      <c r="O2058" s="60"/>
      <c r="P2058" s="60"/>
      <c r="Q2058" s="60"/>
      <c r="R2058" s="60"/>
      <c r="S2058" s="60"/>
      <c r="T2058" s="60"/>
      <c r="U2058" s="60"/>
      <c r="V2058" s="60"/>
      <c r="W2058" s="60"/>
      <c r="X2058" s="60"/>
      <c r="Y2058" s="60"/>
      <c r="Z2058" s="60"/>
    </row>
    <row r="2059" spans="1:26" ht="30" hidden="1" customHeight="1">
      <c r="A2059" s="98" t="s">
        <v>4064</v>
      </c>
      <c r="B2059" s="68" t="s">
        <v>4065</v>
      </c>
      <c r="C2059" s="99"/>
      <c r="D2059" s="96"/>
      <c r="E2059" s="53"/>
      <c r="F2059" s="53"/>
      <c r="G2059" s="96">
        <f t="shared" si="574"/>
        <v>0</v>
      </c>
      <c r="H2059" s="96"/>
      <c r="I2059" s="60"/>
      <c r="J2059" s="60"/>
      <c r="K2059" s="60"/>
      <c r="L2059" s="60"/>
      <c r="M2059" s="60"/>
      <c r="N2059" s="60"/>
      <c r="O2059" s="60"/>
      <c r="P2059" s="60"/>
      <c r="Q2059" s="60"/>
      <c r="R2059" s="60"/>
      <c r="S2059" s="60"/>
      <c r="T2059" s="60"/>
      <c r="U2059" s="60"/>
      <c r="V2059" s="60"/>
      <c r="W2059" s="60"/>
      <c r="X2059" s="60"/>
      <c r="Y2059" s="60"/>
      <c r="Z2059" s="60"/>
    </row>
    <row r="2060" spans="1:26" ht="30" hidden="1" customHeight="1">
      <c r="A2060" s="95" t="s">
        <v>4066</v>
      </c>
      <c r="B2060" s="68" t="s">
        <v>4067</v>
      </c>
      <c r="C2060" s="99"/>
      <c r="D2060" s="96"/>
      <c r="E2060" s="53"/>
      <c r="F2060" s="53"/>
      <c r="G2060" s="96">
        <f t="shared" si="574"/>
        <v>0</v>
      </c>
      <c r="H2060" s="96"/>
      <c r="I2060" s="60"/>
      <c r="J2060" s="60"/>
      <c r="K2060" s="60"/>
      <c r="L2060" s="60"/>
      <c r="M2060" s="60"/>
      <c r="N2060" s="60"/>
      <c r="O2060" s="60"/>
      <c r="P2060" s="60"/>
      <c r="Q2060" s="60"/>
      <c r="R2060" s="60"/>
      <c r="S2060" s="60"/>
      <c r="T2060" s="60"/>
      <c r="U2060" s="60"/>
      <c r="V2060" s="60"/>
      <c r="W2060" s="60"/>
      <c r="X2060" s="60"/>
      <c r="Y2060" s="60"/>
      <c r="Z2060" s="60"/>
    </row>
    <row r="2061" spans="1:26" ht="30" hidden="1" customHeight="1">
      <c r="A2061" s="92" t="s">
        <v>4068</v>
      </c>
      <c r="B2061" s="102" t="s">
        <v>2755</v>
      </c>
      <c r="C2061" s="94"/>
      <c r="D2061" s="94"/>
      <c r="E2061" s="39">
        <f t="shared" ref="E2061:G2061" si="575">SUM(E2062:E2067)</f>
        <v>0</v>
      </c>
      <c r="F2061" s="39">
        <f t="shared" si="575"/>
        <v>0</v>
      </c>
      <c r="G2061" s="39">
        <f t="shared" si="575"/>
        <v>0</v>
      </c>
      <c r="H2061" s="94"/>
      <c r="I2061" s="60"/>
      <c r="J2061" s="60"/>
      <c r="K2061" s="60"/>
      <c r="L2061" s="60"/>
      <c r="M2061" s="60"/>
      <c r="N2061" s="60"/>
      <c r="O2061" s="60"/>
      <c r="P2061" s="60"/>
      <c r="Q2061" s="60"/>
      <c r="R2061" s="60"/>
      <c r="S2061" s="60"/>
      <c r="T2061" s="60"/>
      <c r="U2061" s="60"/>
      <c r="V2061" s="60"/>
      <c r="W2061" s="60"/>
      <c r="X2061" s="60"/>
      <c r="Y2061" s="60"/>
      <c r="Z2061" s="60"/>
    </row>
    <row r="2062" spans="1:26" ht="30" hidden="1" customHeight="1">
      <c r="A2062" s="95" t="s">
        <v>4069</v>
      </c>
      <c r="B2062" s="55" t="s">
        <v>4070</v>
      </c>
      <c r="C2062" s="96"/>
      <c r="D2062" s="96"/>
      <c r="E2062" s="96"/>
      <c r="F2062" s="96"/>
      <c r="G2062" s="96">
        <f t="shared" ref="G2062:G2067" si="576">ROUND(E2062-F2062,2)</f>
        <v>0</v>
      </c>
      <c r="H2062" s="96"/>
      <c r="I2062" s="60"/>
      <c r="J2062" s="60"/>
      <c r="K2062" s="60"/>
      <c r="L2062" s="60"/>
      <c r="M2062" s="60"/>
      <c r="N2062" s="60"/>
      <c r="O2062" s="60"/>
      <c r="P2062" s="60"/>
      <c r="Q2062" s="60"/>
      <c r="R2062" s="60"/>
      <c r="S2062" s="60"/>
      <c r="T2062" s="60"/>
      <c r="U2062" s="60"/>
      <c r="V2062" s="60"/>
      <c r="W2062" s="60"/>
      <c r="X2062" s="60"/>
      <c r="Y2062" s="60"/>
      <c r="Z2062" s="60"/>
    </row>
    <row r="2063" spans="1:26" ht="30" hidden="1" customHeight="1">
      <c r="A2063" s="92" t="s">
        <v>4071</v>
      </c>
      <c r="B2063" s="55" t="s">
        <v>4072</v>
      </c>
      <c r="C2063" s="96"/>
      <c r="D2063" s="96"/>
      <c r="E2063" s="96"/>
      <c r="F2063" s="96"/>
      <c r="G2063" s="96">
        <f t="shared" si="576"/>
        <v>0</v>
      </c>
      <c r="H2063" s="96"/>
      <c r="I2063" s="60"/>
      <c r="J2063" s="60"/>
      <c r="K2063" s="60"/>
      <c r="L2063" s="60"/>
      <c r="M2063" s="60"/>
      <c r="N2063" s="60"/>
      <c r="O2063" s="60"/>
      <c r="P2063" s="60"/>
      <c r="Q2063" s="60"/>
      <c r="R2063" s="60"/>
      <c r="S2063" s="60"/>
      <c r="T2063" s="60"/>
      <c r="U2063" s="60"/>
      <c r="V2063" s="60"/>
      <c r="W2063" s="60"/>
      <c r="X2063" s="60"/>
      <c r="Y2063" s="60"/>
      <c r="Z2063" s="60"/>
    </row>
    <row r="2064" spans="1:26" ht="30" hidden="1" customHeight="1">
      <c r="A2064" s="95" t="s">
        <v>4073</v>
      </c>
      <c r="B2064" s="55" t="s">
        <v>4074</v>
      </c>
      <c r="C2064" s="96"/>
      <c r="D2064" s="96"/>
      <c r="E2064" s="96"/>
      <c r="F2064" s="96"/>
      <c r="G2064" s="96">
        <f t="shared" si="576"/>
        <v>0</v>
      </c>
      <c r="H2064" s="96"/>
      <c r="I2064" s="60"/>
      <c r="J2064" s="60"/>
      <c r="K2064" s="60"/>
      <c r="L2064" s="60"/>
      <c r="M2064" s="60"/>
      <c r="N2064" s="60"/>
      <c r="O2064" s="60"/>
      <c r="P2064" s="60"/>
      <c r="Q2064" s="60"/>
      <c r="R2064" s="60"/>
      <c r="S2064" s="60"/>
      <c r="T2064" s="60"/>
      <c r="U2064" s="60"/>
      <c r="V2064" s="60"/>
      <c r="W2064" s="60"/>
      <c r="X2064" s="60"/>
      <c r="Y2064" s="60"/>
      <c r="Z2064" s="60"/>
    </row>
    <row r="2065" spans="1:26" ht="30" hidden="1" customHeight="1">
      <c r="A2065" s="95" t="s">
        <v>4075</v>
      </c>
      <c r="B2065" s="55" t="s">
        <v>4076</v>
      </c>
      <c r="C2065" s="96"/>
      <c r="D2065" s="96"/>
      <c r="E2065" s="96"/>
      <c r="F2065" s="96"/>
      <c r="G2065" s="96">
        <f t="shared" si="576"/>
        <v>0</v>
      </c>
      <c r="H2065" s="96"/>
      <c r="I2065" s="60"/>
      <c r="J2065" s="60"/>
      <c r="K2065" s="60"/>
      <c r="L2065" s="60"/>
      <c r="M2065" s="60"/>
      <c r="N2065" s="60"/>
      <c r="O2065" s="60"/>
      <c r="P2065" s="60"/>
      <c r="Q2065" s="60"/>
      <c r="R2065" s="60"/>
      <c r="S2065" s="60"/>
      <c r="T2065" s="60"/>
      <c r="U2065" s="60"/>
      <c r="V2065" s="60"/>
      <c r="W2065" s="60"/>
      <c r="X2065" s="60"/>
      <c r="Y2065" s="60"/>
      <c r="Z2065" s="60"/>
    </row>
    <row r="2066" spans="1:26" ht="30" hidden="1" customHeight="1">
      <c r="A2066" s="95" t="s">
        <v>4077</v>
      </c>
      <c r="B2066" s="55" t="s">
        <v>4078</v>
      </c>
      <c r="C2066" s="96"/>
      <c r="D2066" s="96"/>
      <c r="E2066" s="53"/>
      <c r="F2066" s="53"/>
      <c r="G2066" s="96">
        <f t="shared" si="576"/>
        <v>0</v>
      </c>
      <c r="H2066" s="96"/>
      <c r="I2066" s="60"/>
      <c r="J2066" s="60"/>
      <c r="K2066" s="60"/>
      <c r="L2066" s="60"/>
      <c r="M2066" s="60"/>
      <c r="N2066" s="60"/>
      <c r="O2066" s="60"/>
      <c r="P2066" s="60"/>
      <c r="Q2066" s="60"/>
      <c r="R2066" s="60"/>
      <c r="S2066" s="60"/>
      <c r="T2066" s="60"/>
      <c r="U2066" s="60"/>
      <c r="V2066" s="60"/>
      <c r="W2066" s="60"/>
      <c r="X2066" s="60"/>
      <c r="Y2066" s="60"/>
      <c r="Z2066" s="60"/>
    </row>
    <row r="2067" spans="1:26" ht="30" hidden="1" customHeight="1">
      <c r="A2067" s="95" t="s">
        <v>4079</v>
      </c>
      <c r="B2067" s="55" t="s">
        <v>4080</v>
      </c>
      <c r="C2067" s="96"/>
      <c r="D2067" s="96"/>
      <c r="E2067" s="53"/>
      <c r="F2067" s="53"/>
      <c r="G2067" s="96">
        <f t="shared" si="576"/>
        <v>0</v>
      </c>
      <c r="H2067" s="96"/>
      <c r="I2067" s="60"/>
      <c r="J2067" s="60"/>
      <c r="K2067" s="60"/>
      <c r="L2067" s="60"/>
      <c r="M2067" s="60"/>
      <c r="N2067" s="60"/>
      <c r="O2067" s="60"/>
      <c r="P2067" s="60"/>
      <c r="Q2067" s="60"/>
      <c r="R2067" s="60"/>
      <c r="S2067" s="60"/>
      <c r="T2067" s="60"/>
      <c r="U2067" s="60"/>
      <c r="V2067" s="60"/>
      <c r="W2067" s="60"/>
      <c r="X2067" s="60"/>
      <c r="Y2067" s="60"/>
      <c r="Z2067" s="60"/>
    </row>
    <row r="2068" spans="1:26" ht="30" hidden="1" customHeight="1">
      <c r="A2068" s="44" t="s">
        <v>4081</v>
      </c>
      <c r="B2068" s="100" t="s">
        <v>2769</v>
      </c>
      <c r="C2068" s="39"/>
      <c r="D2068" s="39"/>
      <c r="E2068" s="39">
        <f t="shared" ref="E2068:G2068" si="577">SUM(E2069:E2082)</f>
        <v>263882522.37</v>
      </c>
      <c r="F2068" s="39">
        <f t="shared" si="577"/>
        <v>263882522.37</v>
      </c>
      <c r="G2068" s="39">
        <f t="shared" si="577"/>
        <v>0</v>
      </c>
      <c r="H2068" s="94"/>
      <c r="I2068" s="60"/>
      <c r="J2068" s="60"/>
      <c r="K2068" s="60"/>
      <c r="L2068" s="60"/>
      <c r="M2068" s="60"/>
      <c r="N2068" s="60"/>
      <c r="O2068" s="60"/>
      <c r="P2068" s="60"/>
      <c r="Q2068" s="60"/>
      <c r="R2068" s="60"/>
      <c r="S2068" s="60"/>
      <c r="T2068" s="60"/>
      <c r="U2068" s="60"/>
      <c r="V2068" s="60"/>
      <c r="W2068" s="60"/>
      <c r="X2068" s="60"/>
      <c r="Y2068" s="60"/>
      <c r="Z2068" s="60"/>
    </row>
    <row r="2069" spans="1:26" ht="30" hidden="1" customHeight="1">
      <c r="A2069" s="57" t="s">
        <v>4082</v>
      </c>
      <c r="B2069" s="51" t="s">
        <v>4083</v>
      </c>
      <c r="C2069" s="58"/>
      <c r="D2069" s="52"/>
      <c r="E2069" s="53">
        <v>198205039.28999999</v>
      </c>
      <c r="F2069" s="53">
        <v>198205039.28999999</v>
      </c>
      <c r="G2069" s="96">
        <f t="shared" ref="G2069:G2082" si="578">ROUND(E2069-F2069,2)</f>
        <v>0</v>
      </c>
      <c r="H2069" s="96"/>
      <c r="I2069" s="60"/>
      <c r="J2069" s="60"/>
      <c r="K2069" s="60"/>
      <c r="L2069" s="60"/>
      <c r="M2069" s="60"/>
      <c r="N2069" s="60"/>
      <c r="O2069" s="60"/>
      <c r="P2069" s="60"/>
      <c r="Q2069" s="60"/>
      <c r="R2069" s="60"/>
      <c r="S2069" s="60"/>
      <c r="T2069" s="60"/>
      <c r="U2069" s="60"/>
      <c r="V2069" s="60"/>
      <c r="W2069" s="60"/>
      <c r="X2069" s="60"/>
      <c r="Y2069" s="60"/>
      <c r="Z2069" s="60"/>
    </row>
    <row r="2070" spans="1:26" ht="30" hidden="1" customHeight="1">
      <c r="A2070" s="50" t="s">
        <v>4084</v>
      </c>
      <c r="B2070" s="51" t="s">
        <v>4085</v>
      </c>
      <c r="C2070" s="58"/>
      <c r="D2070" s="52"/>
      <c r="E2070" s="53"/>
      <c r="F2070" s="53"/>
      <c r="G2070" s="96">
        <f t="shared" si="578"/>
        <v>0</v>
      </c>
      <c r="H2070" s="96"/>
      <c r="I2070" s="60"/>
      <c r="J2070" s="60"/>
      <c r="K2070" s="60"/>
      <c r="L2070" s="60"/>
      <c r="M2070" s="60"/>
      <c r="N2070" s="60"/>
      <c r="O2070" s="60"/>
      <c r="P2070" s="60"/>
      <c r="Q2070" s="60"/>
      <c r="R2070" s="60"/>
      <c r="S2070" s="60"/>
      <c r="T2070" s="60"/>
      <c r="U2070" s="60"/>
      <c r="V2070" s="60"/>
      <c r="W2070" s="60"/>
      <c r="X2070" s="60"/>
      <c r="Y2070" s="60"/>
      <c r="Z2070" s="60"/>
    </row>
    <row r="2071" spans="1:26" ht="30" hidden="1" customHeight="1">
      <c r="A2071" s="57" t="s">
        <v>4086</v>
      </c>
      <c r="B2071" s="51" t="s">
        <v>4087</v>
      </c>
      <c r="C2071" s="58"/>
      <c r="D2071" s="52"/>
      <c r="E2071" s="53">
        <v>65261066.200000003</v>
      </c>
      <c r="F2071" s="53">
        <v>65261066.200000003</v>
      </c>
      <c r="G2071" s="96">
        <f t="shared" si="578"/>
        <v>0</v>
      </c>
      <c r="H2071" s="96"/>
      <c r="I2071" s="60"/>
      <c r="J2071" s="60"/>
      <c r="K2071" s="60"/>
      <c r="L2071" s="60"/>
      <c r="M2071" s="60"/>
      <c r="N2071" s="60"/>
      <c r="O2071" s="60"/>
      <c r="P2071" s="60"/>
      <c r="Q2071" s="60"/>
      <c r="R2071" s="60"/>
      <c r="S2071" s="60"/>
      <c r="T2071" s="60"/>
      <c r="U2071" s="60"/>
      <c r="V2071" s="60"/>
      <c r="W2071" s="60"/>
      <c r="X2071" s="60"/>
      <c r="Y2071" s="60"/>
      <c r="Z2071" s="60"/>
    </row>
    <row r="2072" spans="1:26" ht="30" hidden="1" customHeight="1">
      <c r="A2072" s="50" t="s">
        <v>4088</v>
      </c>
      <c r="B2072" s="51" t="s">
        <v>4089</v>
      </c>
      <c r="C2072" s="58"/>
      <c r="D2072" s="52"/>
      <c r="E2072" s="53"/>
      <c r="F2072" s="53"/>
      <c r="G2072" s="96">
        <f t="shared" si="578"/>
        <v>0</v>
      </c>
      <c r="H2072" s="96"/>
      <c r="I2072" s="60"/>
      <c r="J2072" s="60"/>
      <c r="K2072" s="60"/>
      <c r="L2072" s="60"/>
      <c r="M2072" s="60"/>
      <c r="N2072" s="60"/>
      <c r="O2072" s="60"/>
      <c r="P2072" s="60"/>
      <c r="Q2072" s="60"/>
      <c r="R2072" s="60"/>
      <c r="S2072" s="60"/>
      <c r="T2072" s="60"/>
      <c r="U2072" s="60"/>
      <c r="V2072" s="60"/>
      <c r="W2072" s="60"/>
      <c r="X2072" s="60"/>
      <c r="Y2072" s="60"/>
      <c r="Z2072" s="60"/>
    </row>
    <row r="2073" spans="1:26" ht="30" hidden="1" customHeight="1">
      <c r="A2073" s="57" t="s">
        <v>4090</v>
      </c>
      <c r="B2073" s="51" t="s">
        <v>4091</v>
      </c>
      <c r="C2073" s="58"/>
      <c r="D2073" s="52"/>
      <c r="E2073" s="53"/>
      <c r="F2073" s="53"/>
      <c r="G2073" s="96">
        <f t="shared" si="578"/>
        <v>0</v>
      </c>
      <c r="H2073" s="96"/>
      <c r="I2073" s="60"/>
      <c r="J2073" s="60"/>
      <c r="K2073" s="60"/>
      <c r="L2073" s="60"/>
      <c r="M2073" s="60"/>
      <c r="N2073" s="60"/>
      <c r="O2073" s="60"/>
      <c r="P2073" s="60"/>
      <c r="Q2073" s="60"/>
      <c r="R2073" s="60"/>
      <c r="S2073" s="60"/>
      <c r="T2073" s="60"/>
      <c r="U2073" s="60"/>
      <c r="V2073" s="60"/>
      <c r="W2073" s="60"/>
      <c r="X2073" s="60"/>
      <c r="Y2073" s="60"/>
      <c r="Z2073" s="60"/>
    </row>
    <row r="2074" spans="1:26" ht="30" hidden="1" customHeight="1">
      <c r="A2074" s="50" t="s">
        <v>4092</v>
      </c>
      <c r="B2074" s="51" t="s">
        <v>4093</v>
      </c>
      <c r="C2074" s="58"/>
      <c r="D2074" s="52"/>
      <c r="E2074" s="53"/>
      <c r="F2074" s="53"/>
      <c r="G2074" s="96">
        <f t="shared" si="578"/>
        <v>0</v>
      </c>
      <c r="H2074" s="96"/>
      <c r="I2074" s="60"/>
      <c r="J2074" s="60"/>
      <c r="K2074" s="60"/>
      <c r="L2074" s="60"/>
      <c r="M2074" s="60"/>
      <c r="N2074" s="60"/>
      <c r="O2074" s="60"/>
      <c r="P2074" s="60"/>
      <c r="Q2074" s="60"/>
      <c r="R2074" s="60"/>
      <c r="S2074" s="60"/>
      <c r="T2074" s="60"/>
      <c r="U2074" s="60"/>
      <c r="V2074" s="60"/>
      <c r="W2074" s="60"/>
      <c r="X2074" s="60"/>
      <c r="Y2074" s="60"/>
      <c r="Z2074" s="60"/>
    </row>
    <row r="2075" spans="1:26" ht="30" hidden="1" customHeight="1">
      <c r="A2075" s="57" t="s">
        <v>4094</v>
      </c>
      <c r="B2075" s="51" t="s">
        <v>4095</v>
      </c>
      <c r="C2075" s="58"/>
      <c r="D2075" s="52"/>
      <c r="E2075" s="53">
        <v>416416.88</v>
      </c>
      <c r="F2075" s="53">
        <v>416416.88</v>
      </c>
      <c r="G2075" s="96">
        <f t="shared" si="578"/>
        <v>0</v>
      </c>
      <c r="H2075" s="96"/>
      <c r="I2075" s="60"/>
      <c r="J2075" s="60"/>
      <c r="K2075" s="60"/>
      <c r="L2075" s="60"/>
      <c r="M2075" s="60"/>
      <c r="N2075" s="60"/>
      <c r="O2075" s="60"/>
      <c r="P2075" s="60"/>
      <c r="Q2075" s="60"/>
      <c r="R2075" s="60"/>
      <c r="S2075" s="60"/>
      <c r="T2075" s="60"/>
      <c r="U2075" s="60"/>
      <c r="V2075" s="60"/>
      <c r="W2075" s="60"/>
      <c r="X2075" s="60"/>
      <c r="Y2075" s="60"/>
      <c r="Z2075" s="60"/>
    </row>
    <row r="2076" spans="1:26" ht="30" hidden="1" customHeight="1">
      <c r="A2076" s="50" t="s">
        <v>4096</v>
      </c>
      <c r="B2076" s="51" t="s">
        <v>4097</v>
      </c>
      <c r="C2076" s="58"/>
      <c r="D2076" s="52"/>
      <c r="E2076" s="53"/>
      <c r="F2076" s="53"/>
      <c r="G2076" s="96">
        <f t="shared" si="578"/>
        <v>0</v>
      </c>
      <c r="H2076" s="96"/>
      <c r="I2076" s="60"/>
      <c r="J2076" s="60"/>
      <c r="K2076" s="60"/>
      <c r="L2076" s="60"/>
      <c r="M2076" s="60"/>
      <c r="N2076" s="60"/>
      <c r="O2076" s="60"/>
      <c r="P2076" s="60"/>
      <c r="Q2076" s="60"/>
      <c r="R2076" s="60"/>
      <c r="S2076" s="60"/>
      <c r="T2076" s="60"/>
      <c r="U2076" s="60"/>
      <c r="V2076" s="60"/>
      <c r="W2076" s="60"/>
      <c r="X2076" s="60"/>
      <c r="Y2076" s="60"/>
      <c r="Z2076" s="60"/>
    </row>
    <row r="2077" spans="1:26" ht="30" hidden="1" customHeight="1">
      <c r="A2077" s="57" t="s">
        <v>4098</v>
      </c>
      <c r="B2077" s="51" t="s">
        <v>4099</v>
      </c>
      <c r="C2077" s="58"/>
      <c r="D2077" s="52"/>
      <c r="E2077" s="53"/>
      <c r="F2077" s="53"/>
      <c r="G2077" s="96">
        <f t="shared" si="578"/>
        <v>0</v>
      </c>
      <c r="H2077" s="96"/>
      <c r="I2077" s="60"/>
      <c r="J2077" s="60"/>
      <c r="K2077" s="60"/>
      <c r="L2077" s="60"/>
      <c r="M2077" s="60"/>
      <c r="N2077" s="60"/>
      <c r="O2077" s="60"/>
      <c r="P2077" s="60"/>
      <c r="Q2077" s="60"/>
      <c r="R2077" s="60"/>
      <c r="S2077" s="60"/>
      <c r="T2077" s="60"/>
      <c r="U2077" s="60"/>
      <c r="V2077" s="60"/>
      <c r="W2077" s="60"/>
      <c r="X2077" s="60"/>
      <c r="Y2077" s="60"/>
      <c r="Z2077" s="60"/>
    </row>
    <row r="2078" spans="1:26" ht="30" hidden="1" customHeight="1">
      <c r="A2078" s="50" t="s">
        <v>4100</v>
      </c>
      <c r="B2078" s="51" t="s">
        <v>4101</v>
      </c>
      <c r="C2078" s="58"/>
      <c r="D2078" s="52"/>
      <c r="E2078" s="53"/>
      <c r="F2078" s="53"/>
      <c r="G2078" s="96">
        <f t="shared" si="578"/>
        <v>0</v>
      </c>
      <c r="H2078" s="96"/>
      <c r="I2078" s="60"/>
      <c r="J2078" s="60"/>
      <c r="K2078" s="60"/>
      <c r="L2078" s="60"/>
      <c r="M2078" s="60"/>
      <c r="N2078" s="60"/>
      <c r="O2078" s="60"/>
      <c r="P2078" s="60"/>
      <c r="Q2078" s="60"/>
      <c r="R2078" s="60"/>
      <c r="S2078" s="60"/>
      <c r="T2078" s="60"/>
      <c r="U2078" s="60"/>
      <c r="V2078" s="60"/>
      <c r="W2078" s="60"/>
      <c r="X2078" s="60"/>
      <c r="Y2078" s="60"/>
      <c r="Z2078" s="60"/>
    </row>
    <row r="2079" spans="1:26" ht="30" hidden="1" customHeight="1">
      <c r="A2079" s="57" t="s">
        <v>4102</v>
      </c>
      <c r="B2079" s="51" t="s">
        <v>4103</v>
      </c>
      <c r="C2079" s="58"/>
      <c r="D2079" s="52"/>
      <c r="E2079" s="53"/>
      <c r="F2079" s="53"/>
      <c r="G2079" s="96">
        <f t="shared" si="578"/>
        <v>0</v>
      </c>
      <c r="H2079" s="96"/>
      <c r="I2079" s="60"/>
      <c r="J2079" s="60"/>
      <c r="K2079" s="60"/>
      <c r="L2079" s="60"/>
      <c r="M2079" s="60"/>
      <c r="N2079" s="60"/>
      <c r="O2079" s="60"/>
      <c r="P2079" s="60"/>
      <c r="Q2079" s="60"/>
      <c r="R2079" s="60"/>
      <c r="S2079" s="60"/>
      <c r="T2079" s="60"/>
      <c r="U2079" s="60"/>
      <c r="V2079" s="60"/>
      <c r="W2079" s="60"/>
      <c r="X2079" s="60"/>
      <c r="Y2079" s="60"/>
      <c r="Z2079" s="60"/>
    </row>
    <row r="2080" spans="1:26" ht="30" hidden="1" customHeight="1">
      <c r="A2080" s="50" t="s">
        <v>4104</v>
      </c>
      <c r="B2080" s="51" t="s">
        <v>4105</v>
      </c>
      <c r="C2080" s="58"/>
      <c r="D2080" s="52"/>
      <c r="E2080" s="53"/>
      <c r="F2080" s="53"/>
      <c r="G2080" s="96">
        <f t="shared" si="578"/>
        <v>0</v>
      </c>
      <c r="H2080" s="96"/>
      <c r="I2080" s="60"/>
      <c r="J2080" s="60"/>
      <c r="K2080" s="60"/>
      <c r="L2080" s="60"/>
      <c r="M2080" s="60"/>
      <c r="N2080" s="60"/>
      <c r="O2080" s="60"/>
      <c r="P2080" s="60"/>
      <c r="Q2080" s="60"/>
      <c r="R2080" s="60"/>
      <c r="S2080" s="60"/>
      <c r="T2080" s="60"/>
      <c r="U2080" s="60"/>
      <c r="V2080" s="60"/>
      <c r="W2080" s="60"/>
      <c r="X2080" s="60"/>
      <c r="Y2080" s="60"/>
      <c r="Z2080" s="60"/>
    </row>
    <row r="2081" spans="1:26" ht="30" hidden="1" customHeight="1">
      <c r="A2081" s="57" t="s">
        <v>4106</v>
      </c>
      <c r="B2081" s="51" t="s">
        <v>4107</v>
      </c>
      <c r="C2081" s="58"/>
      <c r="D2081" s="52"/>
      <c r="E2081" s="53"/>
      <c r="F2081" s="53"/>
      <c r="G2081" s="96">
        <f t="shared" si="578"/>
        <v>0</v>
      </c>
      <c r="H2081" s="96"/>
      <c r="I2081" s="60"/>
      <c r="J2081" s="60"/>
      <c r="K2081" s="60"/>
      <c r="L2081" s="60"/>
      <c r="M2081" s="60"/>
      <c r="N2081" s="60"/>
      <c r="O2081" s="60"/>
      <c r="P2081" s="60"/>
      <c r="Q2081" s="60"/>
      <c r="R2081" s="60"/>
      <c r="S2081" s="60"/>
      <c r="T2081" s="60"/>
      <c r="U2081" s="60"/>
      <c r="V2081" s="60"/>
      <c r="W2081" s="60"/>
      <c r="X2081" s="60"/>
      <c r="Y2081" s="60"/>
      <c r="Z2081" s="60"/>
    </row>
    <row r="2082" spans="1:26" ht="30" hidden="1" customHeight="1">
      <c r="A2082" s="50" t="s">
        <v>4108</v>
      </c>
      <c r="B2082" s="51" t="s">
        <v>4109</v>
      </c>
      <c r="C2082" s="58"/>
      <c r="D2082" s="52"/>
      <c r="E2082" s="53"/>
      <c r="F2082" s="53"/>
      <c r="G2082" s="96">
        <f t="shared" si="578"/>
        <v>0</v>
      </c>
      <c r="H2082" s="96"/>
      <c r="I2082" s="60"/>
      <c r="J2082" s="60"/>
      <c r="K2082" s="60"/>
      <c r="L2082" s="60"/>
      <c r="M2082" s="60"/>
      <c r="N2082" s="60"/>
      <c r="O2082" s="60"/>
      <c r="P2082" s="60"/>
      <c r="Q2082" s="60"/>
      <c r="R2082" s="60"/>
      <c r="S2082" s="60"/>
      <c r="T2082" s="60"/>
      <c r="U2082" s="60"/>
      <c r="V2082" s="60"/>
      <c r="W2082" s="60"/>
      <c r="X2082" s="60"/>
      <c r="Y2082" s="60"/>
      <c r="Z2082" s="60"/>
    </row>
    <row r="2083" spans="1:26" ht="30" hidden="1" customHeight="1">
      <c r="A2083" s="73">
        <v>82700</v>
      </c>
      <c r="B2083" s="91" t="s">
        <v>4110</v>
      </c>
      <c r="C2083" s="80"/>
      <c r="D2083" s="34"/>
      <c r="E2083" s="34">
        <f t="shared" ref="E2083:F2083" si="579">E2084+E2099+E2118+E2137+E2156+E2175+E2182+E2197+E2204</f>
        <v>4352948464.6399994</v>
      </c>
      <c r="F2083" s="34">
        <f t="shared" si="579"/>
        <v>0</v>
      </c>
      <c r="G2083" s="35">
        <f>E2083-F2083</f>
        <v>4352948464.6399994</v>
      </c>
      <c r="H2083" s="35"/>
      <c r="I2083" s="60"/>
      <c r="J2083" s="60"/>
      <c r="K2083" s="60"/>
      <c r="L2083" s="60"/>
      <c r="M2083" s="60"/>
      <c r="N2083" s="60"/>
      <c r="O2083" s="60"/>
      <c r="P2083" s="60"/>
      <c r="Q2083" s="60"/>
      <c r="R2083" s="60"/>
      <c r="S2083" s="60"/>
      <c r="T2083" s="60"/>
      <c r="U2083" s="60"/>
      <c r="V2083" s="60"/>
      <c r="W2083" s="60"/>
      <c r="X2083" s="60"/>
      <c r="Y2083" s="60"/>
      <c r="Z2083" s="60"/>
    </row>
    <row r="2084" spans="1:26" ht="30" hidden="1" customHeight="1">
      <c r="A2084" s="92" t="s">
        <v>4111</v>
      </c>
      <c r="B2084" s="100" t="s">
        <v>2529</v>
      </c>
      <c r="C2084" s="94"/>
      <c r="D2084" s="94"/>
      <c r="E2084" s="39">
        <f t="shared" ref="E2084:G2084" si="580">SUM(E2085:E2098)</f>
        <v>2255249455.52</v>
      </c>
      <c r="F2084" s="39">
        <f t="shared" si="580"/>
        <v>0</v>
      </c>
      <c r="G2084" s="39">
        <f t="shared" si="580"/>
        <v>2255249455.52</v>
      </c>
      <c r="H2084" s="94"/>
      <c r="I2084" s="60"/>
      <c r="J2084" s="60"/>
      <c r="K2084" s="60"/>
      <c r="L2084" s="60"/>
      <c r="M2084" s="60"/>
      <c r="N2084" s="60"/>
      <c r="O2084" s="60"/>
      <c r="P2084" s="60"/>
      <c r="Q2084" s="60"/>
      <c r="R2084" s="60"/>
      <c r="S2084" s="60"/>
      <c r="T2084" s="60"/>
      <c r="U2084" s="60"/>
      <c r="V2084" s="60"/>
      <c r="W2084" s="60"/>
      <c r="X2084" s="60"/>
      <c r="Y2084" s="60"/>
      <c r="Z2084" s="60"/>
    </row>
    <row r="2085" spans="1:26" ht="30" hidden="1" customHeight="1">
      <c r="A2085" s="98" t="s">
        <v>4112</v>
      </c>
      <c r="B2085" s="68" t="s">
        <v>4113</v>
      </c>
      <c r="C2085" s="99"/>
      <c r="D2085" s="96"/>
      <c r="E2085" s="53">
        <v>1316857737.0699999</v>
      </c>
      <c r="F2085" s="53"/>
      <c r="G2085" s="96">
        <f t="shared" ref="G2085:G2098" si="581">ROUND(E2085-F2085,2)</f>
        <v>1316857737.0699999</v>
      </c>
      <c r="H2085" s="96"/>
      <c r="I2085" s="60"/>
      <c r="J2085" s="60"/>
      <c r="K2085" s="60"/>
      <c r="L2085" s="60"/>
      <c r="M2085" s="60"/>
      <c r="N2085" s="60"/>
      <c r="O2085" s="60"/>
      <c r="P2085" s="60"/>
      <c r="Q2085" s="60"/>
      <c r="R2085" s="60"/>
      <c r="S2085" s="60"/>
      <c r="T2085" s="60"/>
      <c r="U2085" s="60"/>
      <c r="V2085" s="60"/>
      <c r="W2085" s="60"/>
      <c r="X2085" s="60"/>
      <c r="Y2085" s="60"/>
      <c r="Z2085" s="60"/>
    </row>
    <row r="2086" spans="1:26" ht="30" hidden="1" customHeight="1">
      <c r="A2086" s="95" t="s">
        <v>4114</v>
      </c>
      <c r="B2086" s="68" t="s">
        <v>4115</v>
      </c>
      <c r="C2086" s="99"/>
      <c r="D2086" s="96"/>
      <c r="E2086" s="53"/>
      <c r="F2086" s="53"/>
      <c r="G2086" s="96">
        <f t="shared" si="581"/>
        <v>0</v>
      </c>
      <c r="H2086" s="96"/>
      <c r="I2086" s="60"/>
      <c r="J2086" s="60"/>
      <c r="K2086" s="60"/>
      <c r="L2086" s="60"/>
      <c r="M2086" s="60"/>
      <c r="N2086" s="60"/>
      <c r="O2086" s="60"/>
      <c r="P2086" s="60"/>
      <c r="Q2086" s="60"/>
      <c r="R2086" s="60"/>
      <c r="S2086" s="60"/>
      <c r="T2086" s="60"/>
      <c r="U2086" s="60"/>
      <c r="V2086" s="60"/>
      <c r="W2086" s="60"/>
      <c r="X2086" s="60"/>
      <c r="Y2086" s="60"/>
      <c r="Z2086" s="60"/>
    </row>
    <row r="2087" spans="1:26" ht="30" hidden="1" customHeight="1">
      <c r="A2087" s="98" t="s">
        <v>4116</v>
      </c>
      <c r="B2087" s="68" t="s">
        <v>4117</v>
      </c>
      <c r="C2087" s="99"/>
      <c r="D2087" s="96"/>
      <c r="E2087" s="53">
        <v>170697462.55000001</v>
      </c>
      <c r="F2087" s="53"/>
      <c r="G2087" s="96">
        <f t="shared" si="581"/>
        <v>170697462.55000001</v>
      </c>
      <c r="H2087" s="96"/>
      <c r="I2087" s="60"/>
      <c r="J2087" s="60"/>
      <c r="K2087" s="60"/>
      <c r="L2087" s="60"/>
      <c r="M2087" s="60"/>
      <c r="N2087" s="60"/>
      <c r="O2087" s="60"/>
      <c r="P2087" s="60"/>
      <c r="Q2087" s="60"/>
      <c r="R2087" s="60"/>
      <c r="S2087" s="60"/>
      <c r="T2087" s="60"/>
      <c r="U2087" s="60"/>
      <c r="V2087" s="60"/>
      <c r="W2087" s="60"/>
      <c r="X2087" s="60"/>
      <c r="Y2087" s="60"/>
      <c r="Z2087" s="60"/>
    </row>
    <row r="2088" spans="1:26" ht="30" hidden="1" customHeight="1">
      <c r="A2088" s="95" t="s">
        <v>4118</v>
      </c>
      <c r="B2088" s="68" t="s">
        <v>4119</v>
      </c>
      <c r="C2088" s="99"/>
      <c r="D2088" s="96"/>
      <c r="E2088" s="53"/>
      <c r="F2088" s="53"/>
      <c r="G2088" s="96">
        <f t="shared" si="581"/>
        <v>0</v>
      </c>
      <c r="H2088" s="96"/>
      <c r="I2088" s="60"/>
      <c r="J2088" s="60"/>
      <c r="K2088" s="60"/>
      <c r="L2088" s="60"/>
      <c r="M2088" s="60"/>
      <c r="N2088" s="60"/>
      <c r="O2088" s="60"/>
      <c r="P2088" s="60"/>
      <c r="Q2088" s="60"/>
      <c r="R2088" s="60"/>
      <c r="S2088" s="60"/>
      <c r="T2088" s="60"/>
      <c r="U2088" s="60"/>
      <c r="V2088" s="60"/>
      <c r="W2088" s="60"/>
      <c r="X2088" s="60"/>
      <c r="Y2088" s="60"/>
      <c r="Z2088" s="60"/>
    </row>
    <row r="2089" spans="1:26" ht="30" hidden="1" customHeight="1">
      <c r="A2089" s="98" t="s">
        <v>4120</v>
      </c>
      <c r="B2089" s="68" t="s">
        <v>4121</v>
      </c>
      <c r="C2089" s="99"/>
      <c r="D2089" s="96"/>
      <c r="E2089" s="53">
        <v>94863388.640000001</v>
      </c>
      <c r="F2089" s="53"/>
      <c r="G2089" s="96">
        <f t="shared" si="581"/>
        <v>94863388.640000001</v>
      </c>
      <c r="H2089" s="96"/>
      <c r="I2089" s="60"/>
      <c r="J2089" s="60"/>
      <c r="K2089" s="60"/>
      <c r="L2089" s="60"/>
      <c r="M2089" s="60"/>
      <c r="N2089" s="60"/>
      <c r="O2089" s="60"/>
      <c r="P2089" s="60"/>
      <c r="Q2089" s="60"/>
      <c r="R2089" s="60"/>
      <c r="S2089" s="60"/>
      <c r="T2089" s="60"/>
      <c r="U2089" s="60"/>
      <c r="V2089" s="60"/>
      <c r="W2089" s="60"/>
      <c r="X2089" s="60"/>
      <c r="Y2089" s="60"/>
      <c r="Z2089" s="60"/>
    </row>
    <row r="2090" spans="1:26" ht="30" hidden="1" customHeight="1">
      <c r="A2090" s="95" t="s">
        <v>4122</v>
      </c>
      <c r="B2090" s="68" t="s">
        <v>4123</v>
      </c>
      <c r="C2090" s="99"/>
      <c r="D2090" s="96"/>
      <c r="E2090" s="53"/>
      <c r="F2090" s="53"/>
      <c r="G2090" s="96">
        <f t="shared" si="581"/>
        <v>0</v>
      </c>
      <c r="H2090" s="96"/>
      <c r="I2090" s="60"/>
      <c r="J2090" s="60"/>
      <c r="K2090" s="60"/>
      <c r="L2090" s="60"/>
      <c r="M2090" s="60"/>
      <c r="N2090" s="60"/>
      <c r="O2090" s="60"/>
      <c r="P2090" s="60"/>
      <c r="Q2090" s="60"/>
      <c r="R2090" s="60"/>
      <c r="S2090" s="60"/>
      <c r="T2090" s="60"/>
      <c r="U2090" s="60"/>
      <c r="V2090" s="60"/>
      <c r="W2090" s="60"/>
      <c r="X2090" s="60"/>
      <c r="Y2090" s="60"/>
      <c r="Z2090" s="60"/>
    </row>
    <row r="2091" spans="1:26" ht="30" hidden="1" customHeight="1">
      <c r="A2091" s="98" t="s">
        <v>4124</v>
      </c>
      <c r="B2091" s="68" t="s">
        <v>4125</v>
      </c>
      <c r="C2091" s="99"/>
      <c r="D2091" s="96"/>
      <c r="E2091" s="53">
        <v>439151401.88</v>
      </c>
      <c r="F2091" s="53"/>
      <c r="G2091" s="96">
        <f t="shared" si="581"/>
        <v>439151401.88</v>
      </c>
      <c r="H2091" s="96"/>
      <c r="I2091" s="60"/>
      <c r="J2091" s="60"/>
      <c r="K2091" s="60"/>
      <c r="L2091" s="60"/>
      <c r="M2091" s="60"/>
      <c r="N2091" s="60"/>
      <c r="O2091" s="60"/>
      <c r="P2091" s="60"/>
      <c r="Q2091" s="60"/>
      <c r="R2091" s="60"/>
      <c r="S2091" s="60"/>
      <c r="T2091" s="60"/>
      <c r="U2091" s="60"/>
      <c r="V2091" s="60"/>
      <c r="W2091" s="60"/>
      <c r="X2091" s="60"/>
      <c r="Y2091" s="60"/>
      <c r="Z2091" s="60"/>
    </row>
    <row r="2092" spans="1:26" ht="30" hidden="1" customHeight="1">
      <c r="A2092" s="95" t="s">
        <v>4126</v>
      </c>
      <c r="B2092" s="68" t="s">
        <v>4127</v>
      </c>
      <c r="C2092" s="99"/>
      <c r="D2092" s="96"/>
      <c r="E2092" s="53"/>
      <c r="F2092" s="53"/>
      <c r="G2092" s="96">
        <f t="shared" si="581"/>
        <v>0</v>
      </c>
      <c r="H2092" s="96"/>
      <c r="I2092" s="60"/>
      <c r="J2092" s="60"/>
      <c r="K2092" s="60"/>
      <c r="L2092" s="60"/>
      <c r="M2092" s="60"/>
      <c r="N2092" s="60"/>
      <c r="O2092" s="60"/>
      <c r="P2092" s="60"/>
      <c r="Q2092" s="60"/>
      <c r="R2092" s="60"/>
      <c r="S2092" s="60"/>
      <c r="T2092" s="60"/>
      <c r="U2092" s="60"/>
      <c r="V2092" s="60"/>
      <c r="W2092" s="60"/>
      <c r="X2092" s="60"/>
      <c r="Y2092" s="60"/>
      <c r="Z2092" s="60"/>
    </row>
    <row r="2093" spans="1:26" ht="30" hidden="1" customHeight="1">
      <c r="A2093" s="98" t="s">
        <v>4128</v>
      </c>
      <c r="B2093" s="68" t="s">
        <v>4129</v>
      </c>
      <c r="C2093" s="99"/>
      <c r="D2093" s="96"/>
      <c r="E2093" s="53">
        <v>233679465.38</v>
      </c>
      <c r="F2093" s="53"/>
      <c r="G2093" s="96">
        <f t="shared" si="581"/>
        <v>233679465.38</v>
      </c>
      <c r="H2093" s="96"/>
      <c r="I2093" s="60"/>
      <c r="J2093" s="60"/>
      <c r="K2093" s="60"/>
      <c r="L2093" s="60"/>
      <c r="M2093" s="60"/>
      <c r="N2093" s="60"/>
      <c r="O2093" s="60"/>
      <c r="P2093" s="60"/>
      <c r="Q2093" s="60"/>
      <c r="R2093" s="60"/>
      <c r="S2093" s="60"/>
      <c r="T2093" s="60"/>
      <c r="U2093" s="60"/>
      <c r="V2093" s="60"/>
      <c r="W2093" s="60"/>
      <c r="X2093" s="60"/>
      <c r="Y2093" s="60"/>
      <c r="Z2093" s="60"/>
    </row>
    <row r="2094" spans="1:26" ht="30" hidden="1" customHeight="1">
      <c r="A2094" s="95" t="s">
        <v>4130</v>
      </c>
      <c r="B2094" s="68" t="s">
        <v>4131</v>
      </c>
      <c r="C2094" s="99"/>
      <c r="D2094" s="96"/>
      <c r="E2094" s="53"/>
      <c r="F2094" s="53"/>
      <c r="G2094" s="96">
        <f t="shared" si="581"/>
        <v>0</v>
      </c>
      <c r="H2094" s="96"/>
      <c r="I2094" s="60"/>
      <c r="J2094" s="60"/>
      <c r="K2094" s="60"/>
      <c r="L2094" s="60"/>
      <c r="M2094" s="60"/>
      <c r="N2094" s="60"/>
      <c r="O2094" s="60"/>
      <c r="P2094" s="60"/>
      <c r="Q2094" s="60"/>
      <c r="R2094" s="60"/>
      <c r="S2094" s="60"/>
      <c r="T2094" s="60"/>
      <c r="U2094" s="60"/>
      <c r="V2094" s="60"/>
      <c r="W2094" s="60"/>
      <c r="X2094" s="60"/>
      <c r="Y2094" s="60"/>
      <c r="Z2094" s="60"/>
    </row>
    <row r="2095" spans="1:26" ht="30" hidden="1" customHeight="1">
      <c r="A2095" s="98" t="s">
        <v>4132</v>
      </c>
      <c r="B2095" s="68" t="s">
        <v>4133</v>
      </c>
      <c r="C2095" s="99"/>
      <c r="D2095" s="96"/>
      <c r="E2095" s="53"/>
      <c r="F2095" s="53"/>
      <c r="G2095" s="96">
        <f t="shared" si="581"/>
        <v>0</v>
      </c>
      <c r="H2095" s="96"/>
      <c r="I2095" s="60"/>
      <c r="J2095" s="60"/>
      <c r="K2095" s="60"/>
      <c r="L2095" s="60"/>
      <c r="M2095" s="60"/>
      <c r="N2095" s="60"/>
      <c r="O2095" s="60"/>
      <c r="P2095" s="60"/>
      <c r="Q2095" s="60"/>
      <c r="R2095" s="60"/>
      <c r="S2095" s="60"/>
      <c r="T2095" s="60"/>
      <c r="U2095" s="60"/>
      <c r="V2095" s="60"/>
      <c r="W2095" s="60"/>
      <c r="X2095" s="60"/>
      <c r="Y2095" s="60"/>
      <c r="Z2095" s="60"/>
    </row>
    <row r="2096" spans="1:26" ht="30" hidden="1" customHeight="1">
      <c r="A2096" s="95" t="s">
        <v>4134</v>
      </c>
      <c r="B2096" s="68" t="s">
        <v>4135</v>
      </c>
      <c r="C2096" s="99"/>
      <c r="D2096" s="96"/>
      <c r="E2096" s="53"/>
      <c r="F2096" s="53"/>
      <c r="G2096" s="96">
        <f t="shared" si="581"/>
        <v>0</v>
      </c>
      <c r="H2096" s="96"/>
      <c r="I2096" s="60"/>
      <c r="J2096" s="60"/>
      <c r="K2096" s="60"/>
      <c r="L2096" s="60"/>
      <c r="M2096" s="60"/>
      <c r="N2096" s="60"/>
      <c r="O2096" s="60"/>
      <c r="P2096" s="60"/>
      <c r="Q2096" s="60"/>
      <c r="R2096" s="60"/>
      <c r="S2096" s="60"/>
      <c r="T2096" s="60"/>
      <c r="U2096" s="60"/>
      <c r="V2096" s="60"/>
      <c r="W2096" s="60"/>
      <c r="X2096" s="60"/>
      <c r="Y2096" s="60"/>
      <c r="Z2096" s="60"/>
    </row>
    <row r="2097" spans="1:26" ht="30" hidden="1" customHeight="1">
      <c r="A2097" s="98" t="s">
        <v>4136</v>
      </c>
      <c r="B2097" s="68" t="s">
        <v>4137</v>
      </c>
      <c r="C2097" s="99"/>
      <c r="D2097" s="96"/>
      <c r="E2097" s="53"/>
      <c r="F2097" s="53"/>
      <c r="G2097" s="96">
        <f t="shared" si="581"/>
        <v>0</v>
      </c>
      <c r="H2097" s="96"/>
      <c r="I2097" s="60"/>
      <c r="J2097" s="60"/>
      <c r="K2097" s="60"/>
      <c r="L2097" s="60"/>
      <c r="M2097" s="60"/>
      <c r="N2097" s="60"/>
      <c r="O2097" s="60"/>
      <c r="P2097" s="60"/>
      <c r="Q2097" s="60"/>
      <c r="R2097" s="60"/>
      <c r="S2097" s="60"/>
      <c r="T2097" s="60"/>
      <c r="U2097" s="60"/>
      <c r="V2097" s="60"/>
      <c r="W2097" s="60"/>
      <c r="X2097" s="60"/>
      <c r="Y2097" s="60"/>
      <c r="Z2097" s="60"/>
    </row>
    <row r="2098" spans="1:26" ht="30" hidden="1" customHeight="1">
      <c r="A2098" s="95" t="s">
        <v>4138</v>
      </c>
      <c r="B2098" s="68" t="s">
        <v>4139</v>
      </c>
      <c r="C2098" s="99"/>
      <c r="D2098" s="96"/>
      <c r="E2098" s="53"/>
      <c r="F2098" s="53"/>
      <c r="G2098" s="96">
        <f t="shared" si="581"/>
        <v>0</v>
      </c>
      <c r="H2098" s="96"/>
      <c r="I2098" s="60"/>
      <c r="J2098" s="60"/>
      <c r="K2098" s="60"/>
      <c r="L2098" s="60"/>
      <c r="M2098" s="60"/>
      <c r="N2098" s="60"/>
      <c r="O2098" s="60"/>
      <c r="P2098" s="60"/>
      <c r="Q2098" s="60"/>
      <c r="R2098" s="60"/>
      <c r="S2098" s="60"/>
      <c r="T2098" s="60"/>
      <c r="U2098" s="60"/>
      <c r="V2098" s="60"/>
      <c r="W2098" s="60"/>
      <c r="X2098" s="60"/>
      <c r="Y2098" s="60"/>
      <c r="Z2098" s="60"/>
    </row>
    <row r="2099" spans="1:26" ht="30" hidden="1" customHeight="1">
      <c r="A2099" s="92" t="s">
        <v>4140</v>
      </c>
      <c r="B2099" s="101" t="s">
        <v>2559</v>
      </c>
      <c r="C2099" s="94"/>
      <c r="D2099" s="94"/>
      <c r="E2099" s="39">
        <f t="shared" ref="E2099:G2099" si="582">SUM(E2100:E2117)</f>
        <v>124155450.00999999</v>
      </c>
      <c r="F2099" s="39">
        <f t="shared" si="582"/>
        <v>0</v>
      </c>
      <c r="G2099" s="39">
        <f t="shared" si="582"/>
        <v>124155450.00999999</v>
      </c>
      <c r="H2099" s="94"/>
      <c r="I2099" s="60"/>
      <c r="J2099" s="60"/>
      <c r="K2099" s="60"/>
      <c r="L2099" s="60"/>
      <c r="M2099" s="60"/>
      <c r="N2099" s="60"/>
      <c r="O2099" s="60"/>
      <c r="P2099" s="60"/>
      <c r="Q2099" s="60"/>
      <c r="R2099" s="60"/>
      <c r="S2099" s="60"/>
      <c r="T2099" s="60"/>
      <c r="U2099" s="60"/>
      <c r="V2099" s="60"/>
      <c r="W2099" s="60"/>
      <c r="X2099" s="60"/>
      <c r="Y2099" s="60"/>
      <c r="Z2099" s="60"/>
    </row>
    <row r="2100" spans="1:26" ht="30" hidden="1" customHeight="1">
      <c r="A2100" s="98" t="s">
        <v>4141</v>
      </c>
      <c r="B2100" s="68" t="s">
        <v>4142</v>
      </c>
      <c r="C2100" s="99"/>
      <c r="D2100" s="96"/>
      <c r="E2100" s="53">
        <v>1300530.51</v>
      </c>
      <c r="F2100" s="53"/>
      <c r="G2100" s="96">
        <f t="shared" ref="G2100:G2117" si="583">ROUND(E2100-F2100,2)</f>
        <v>1300530.51</v>
      </c>
      <c r="H2100" s="96"/>
      <c r="I2100" s="60"/>
      <c r="J2100" s="60"/>
      <c r="K2100" s="60"/>
      <c r="L2100" s="60"/>
      <c r="M2100" s="60"/>
      <c r="N2100" s="60"/>
      <c r="O2100" s="60"/>
      <c r="P2100" s="60"/>
      <c r="Q2100" s="60"/>
      <c r="R2100" s="60"/>
      <c r="S2100" s="60"/>
      <c r="T2100" s="60"/>
      <c r="U2100" s="60"/>
      <c r="V2100" s="60"/>
      <c r="W2100" s="60"/>
      <c r="X2100" s="60"/>
      <c r="Y2100" s="60"/>
      <c r="Z2100" s="60"/>
    </row>
    <row r="2101" spans="1:26" ht="30" hidden="1" customHeight="1">
      <c r="A2101" s="95" t="s">
        <v>4143</v>
      </c>
      <c r="B2101" s="68" t="s">
        <v>4144</v>
      </c>
      <c r="C2101" s="99"/>
      <c r="D2101" s="96"/>
      <c r="E2101" s="53"/>
      <c r="F2101" s="53"/>
      <c r="G2101" s="96">
        <f t="shared" si="583"/>
        <v>0</v>
      </c>
      <c r="H2101" s="96"/>
      <c r="I2101" s="60"/>
      <c r="J2101" s="60"/>
      <c r="K2101" s="60"/>
      <c r="L2101" s="60"/>
      <c r="M2101" s="60"/>
      <c r="N2101" s="60"/>
      <c r="O2101" s="60"/>
      <c r="P2101" s="60"/>
      <c r="Q2101" s="60"/>
      <c r="R2101" s="60"/>
      <c r="S2101" s="60"/>
      <c r="T2101" s="60"/>
      <c r="U2101" s="60"/>
      <c r="V2101" s="60"/>
      <c r="W2101" s="60"/>
      <c r="X2101" s="60"/>
      <c r="Y2101" s="60"/>
      <c r="Z2101" s="60"/>
    </row>
    <row r="2102" spans="1:26" ht="30" hidden="1" customHeight="1">
      <c r="A2102" s="98" t="s">
        <v>4145</v>
      </c>
      <c r="B2102" s="68" t="s">
        <v>4146</v>
      </c>
      <c r="C2102" s="99"/>
      <c r="D2102" s="96"/>
      <c r="E2102" s="53">
        <v>3822940.63</v>
      </c>
      <c r="F2102" s="53"/>
      <c r="G2102" s="96">
        <f t="shared" si="583"/>
        <v>3822940.63</v>
      </c>
      <c r="H2102" s="96"/>
      <c r="I2102" s="60"/>
      <c r="J2102" s="60"/>
      <c r="K2102" s="60"/>
      <c r="L2102" s="60"/>
      <c r="M2102" s="60"/>
      <c r="N2102" s="60"/>
      <c r="O2102" s="60"/>
      <c r="P2102" s="60"/>
      <c r="Q2102" s="60"/>
      <c r="R2102" s="60"/>
      <c r="S2102" s="60"/>
      <c r="T2102" s="60"/>
      <c r="U2102" s="60"/>
      <c r="V2102" s="60"/>
      <c r="W2102" s="60"/>
      <c r="X2102" s="60"/>
      <c r="Y2102" s="60"/>
      <c r="Z2102" s="60"/>
    </row>
    <row r="2103" spans="1:26" ht="30" hidden="1" customHeight="1">
      <c r="A2103" s="95" t="s">
        <v>4147</v>
      </c>
      <c r="B2103" s="68" t="s">
        <v>4148</v>
      </c>
      <c r="C2103" s="99"/>
      <c r="D2103" s="96"/>
      <c r="E2103" s="53"/>
      <c r="F2103" s="53"/>
      <c r="G2103" s="96">
        <f t="shared" si="583"/>
        <v>0</v>
      </c>
      <c r="H2103" s="96"/>
      <c r="I2103" s="60"/>
      <c r="J2103" s="60"/>
      <c r="K2103" s="60"/>
      <c r="L2103" s="60"/>
      <c r="M2103" s="60"/>
      <c r="N2103" s="60"/>
      <c r="O2103" s="60"/>
      <c r="P2103" s="60"/>
      <c r="Q2103" s="60"/>
      <c r="R2103" s="60"/>
      <c r="S2103" s="60"/>
      <c r="T2103" s="60"/>
      <c r="U2103" s="60"/>
      <c r="V2103" s="60"/>
      <c r="W2103" s="60"/>
      <c r="X2103" s="60"/>
      <c r="Y2103" s="60"/>
      <c r="Z2103" s="60"/>
    </row>
    <row r="2104" spans="1:26" ht="30" hidden="1" customHeight="1">
      <c r="A2104" s="98" t="s">
        <v>4149</v>
      </c>
      <c r="B2104" s="68" t="s">
        <v>4150</v>
      </c>
      <c r="C2104" s="99"/>
      <c r="D2104" s="96"/>
      <c r="E2104" s="53">
        <v>51364.01</v>
      </c>
      <c r="F2104" s="53"/>
      <c r="G2104" s="96">
        <f t="shared" si="583"/>
        <v>51364.01</v>
      </c>
      <c r="H2104" s="96"/>
      <c r="I2104" s="60"/>
      <c r="J2104" s="60"/>
      <c r="K2104" s="60"/>
      <c r="L2104" s="60"/>
      <c r="M2104" s="60"/>
      <c r="N2104" s="60"/>
      <c r="O2104" s="60"/>
      <c r="P2104" s="60"/>
      <c r="Q2104" s="60"/>
      <c r="R2104" s="60"/>
      <c r="S2104" s="60"/>
      <c r="T2104" s="60"/>
      <c r="U2104" s="60"/>
      <c r="V2104" s="60"/>
      <c r="W2104" s="60"/>
      <c r="X2104" s="60"/>
      <c r="Y2104" s="60"/>
      <c r="Z2104" s="60"/>
    </row>
    <row r="2105" spans="1:26" ht="30" hidden="1" customHeight="1">
      <c r="A2105" s="95" t="s">
        <v>4151</v>
      </c>
      <c r="B2105" s="68" t="s">
        <v>4152</v>
      </c>
      <c r="C2105" s="99"/>
      <c r="D2105" s="96"/>
      <c r="E2105" s="96"/>
      <c r="F2105" s="96"/>
      <c r="G2105" s="96">
        <f t="shared" si="583"/>
        <v>0</v>
      </c>
      <c r="H2105" s="96"/>
      <c r="I2105" s="60"/>
      <c r="J2105" s="60"/>
      <c r="K2105" s="60"/>
      <c r="L2105" s="60"/>
      <c r="M2105" s="60"/>
      <c r="N2105" s="60"/>
      <c r="O2105" s="60"/>
      <c r="P2105" s="60"/>
      <c r="Q2105" s="60"/>
      <c r="R2105" s="60"/>
      <c r="S2105" s="60"/>
      <c r="T2105" s="60"/>
      <c r="U2105" s="60"/>
      <c r="V2105" s="60"/>
      <c r="W2105" s="60"/>
      <c r="X2105" s="60"/>
      <c r="Y2105" s="60"/>
      <c r="Z2105" s="60"/>
    </row>
    <row r="2106" spans="1:26" ht="30" hidden="1" customHeight="1">
      <c r="A2106" s="98" t="s">
        <v>4153</v>
      </c>
      <c r="B2106" s="68" t="s">
        <v>4154</v>
      </c>
      <c r="C2106" s="99"/>
      <c r="D2106" s="96"/>
      <c r="E2106" s="53">
        <v>264868.64</v>
      </c>
      <c r="F2106" s="53"/>
      <c r="G2106" s="96">
        <f t="shared" si="583"/>
        <v>264868.64</v>
      </c>
      <c r="H2106" s="96"/>
      <c r="I2106" s="60"/>
      <c r="J2106" s="60"/>
      <c r="K2106" s="60"/>
      <c r="L2106" s="60"/>
      <c r="M2106" s="60"/>
      <c r="N2106" s="60"/>
      <c r="O2106" s="60"/>
      <c r="P2106" s="60"/>
      <c r="Q2106" s="60"/>
      <c r="R2106" s="60"/>
      <c r="S2106" s="60"/>
      <c r="T2106" s="60"/>
      <c r="U2106" s="60"/>
      <c r="V2106" s="60"/>
      <c r="W2106" s="60"/>
      <c r="X2106" s="60"/>
      <c r="Y2106" s="60"/>
      <c r="Z2106" s="60"/>
    </row>
    <row r="2107" spans="1:26" ht="30" hidden="1" customHeight="1">
      <c r="A2107" s="95" t="s">
        <v>4155</v>
      </c>
      <c r="B2107" s="68" t="s">
        <v>4156</v>
      </c>
      <c r="C2107" s="99"/>
      <c r="D2107" s="96"/>
      <c r="E2107" s="53"/>
      <c r="F2107" s="53"/>
      <c r="G2107" s="96">
        <f t="shared" si="583"/>
        <v>0</v>
      </c>
      <c r="H2107" s="96"/>
      <c r="I2107" s="60"/>
      <c r="J2107" s="60"/>
      <c r="K2107" s="60"/>
      <c r="L2107" s="60"/>
      <c r="M2107" s="60"/>
      <c r="N2107" s="60"/>
      <c r="O2107" s="60"/>
      <c r="P2107" s="60"/>
      <c r="Q2107" s="60"/>
      <c r="R2107" s="60"/>
      <c r="S2107" s="60"/>
      <c r="T2107" s="60"/>
      <c r="U2107" s="60"/>
      <c r="V2107" s="60"/>
      <c r="W2107" s="60"/>
      <c r="X2107" s="60"/>
      <c r="Y2107" s="60"/>
      <c r="Z2107" s="60"/>
    </row>
    <row r="2108" spans="1:26" ht="30" hidden="1" customHeight="1">
      <c r="A2108" s="98" t="s">
        <v>4157</v>
      </c>
      <c r="B2108" s="68" t="s">
        <v>4158</v>
      </c>
      <c r="C2108" s="99"/>
      <c r="D2108" s="96"/>
      <c r="E2108" s="53">
        <v>3994440.76</v>
      </c>
      <c r="F2108" s="53"/>
      <c r="G2108" s="96">
        <f t="shared" si="583"/>
        <v>3994440.76</v>
      </c>
      <c r="H2108" s="96"/>
      <c r="I2108" s="60"/>
      <c r="J2108" s="60"/>
      <c r="K2108" s="60"/>
      <c r="L2108" s="60"/>
      <c r="M2108" s="60"/>
      <c r="N2108" s="60"/>
      <c r="O2108" s="60"/>
      <c r="P2108" s="60"/>
      <c r="Q2108" s="60"/>
      <c r="R2108" s="60"/>
      <c r="S2108" s="60"/>
      <c r="T2108" s="60"/>
      <c r="U2108" s="60"/>
      <c r="V2108" s="60"/>
      <c r="W2108" s="60"/>
      <c r="X2108" s="60"/>
      <c r="Y2108" s="60"/>
      <c r="Z2108" s="60"/>
    </row>
    <row r="2109" spans="1:26" ht="30" hidden="1" customHeight="1">
      <c r="A2109" s="95" t="s">
        <v>4159</v>
      </c>
      <c r="B2109" s="68" t="s">
        <v>4160</v>
      </c>
      <c r="C2109" s="99"/>
      <c r="D2109" s="96"/>
      <c r="E2109" s="53"/>
      <c r="F2109" s="53"/>
      <c r="G2109" s="96">
        <f t="shared" si="583"/>
        <v>0</v>
      </c>
      <c r="H2109" s="96"/>
      <c r="I2109" s="60"/>
      <c r="J2109" s="60"/>
      <c r="K2109" s="60"/>
      <c r="L2109" s="60"/>
      <c r="M2109" s="60"/>
      <c r="N2109" s="60"/>
      <c r="O2109" s="60"/>
      <c r="P2109" s="60"/>
      <c r="Q2109" s="60"/>
      <c r="R2109" s="60"/>
      <c r="S2109" s="60"/>
      <c r="T2109" s="60"/>
      <c r="U2109" s="60"/>
      <c r="V2109" s="60"/>
      <c r="W2109" s="60"/>
      <c r="X2109" s="60"/>
      <c r="Y2109" s="60"/>
      <c r="Z2109" s="60"/>
    </row>
    <row r="2110" spans="1:26" ht="30" hidden="1" customHeight="1">
      <c r="A2110" s="98" t="s">
        <v>4161</v>
      </c>
      <c r="B2110" s="68" t="s">
        <v>4162</v>
      </c>
      <c r="C2110" s="99"/>
      <c r="D2110" s="96"/>
      <c r="E2110" s="53">
        <v>110665344.98999999</v>
      </c>
      <c r="F2110" s="53"/>
      <c r="G2110" s="96">
        <f t="shared" si="583"/>
        <v>110665344.98999999</v>
      </c>
      <c r="H2110" s="96"/>
      <c r="I2110" s="60"/>
      <c r="J2110" s="60"/>
      <c r="K2110" s="60"/>
      <c r="L2110" s="60"/>
      <c r="M2110" s="60"/>
      <c r="N2110" s="60"/>
      <c r="O2110" s="60"/>
      <c r="P2110" s="60"/>
      <c r="Q2110" s="60"/>
      <c r="R2110" s="60"/>
      <c r="S2110" s="60"/>
      <c r="T2110" s="60"/>
      <c r="U2110" s="60"/>
      <c r="V2110" s="60"/>
      <c r="W2110" s="60"/>
      <c r="X2110" s="60"/>
      <c r="Y2110" s="60"/>
      <c r="Z2110" s="60"/>
    </row>
    <row r="2111" spans="1:26" ht="30" hidden="1" customHeight="1">
      <c r="A2111" s="95" t="s">
        <v>4163</v>
      </c>
      <c r="B2111" s="68" t="s">
        <v>4164</v>
      </c>
      <c r="C2111" s="99"/>
      <c r="D2111" s="96"/>
      <c r="E2111" s="53"/>
      <c r="F2111" s="53"/>
      <c r="G2111" s="96">
        <f t="shared" si="583"/>
        <v>0</v>
      </c>
      <c r="H2111" s="96"/>
      <c r="I2111" s="60"/>
      <c r="J2111" s="60"/>
      <c r="K2111" s="60"/>
      <c r="L2111" s="60"/>
      <c r="M2111" s="60"/>
      <c r="N2111" s="60"/>
      <c r="O2111" s="60"/>
      <c r="P2111" s="60"/>
      <c r="Q2111" s="60"/>
      <c r="R2111" s="60"/>
      <c r="S2111" s="60"/>
      <c r="T2111" s="60"/>
      <c r="U2111" s="60"/>
      <c r="V2111" s="60"/>
      <c r="W2111" s="60"/>
      <c r="X2111" s="60"/>
      <c r="Y2111" s="60"/>
      <c r="Z2111" s="60"/>
    </row>
    <row r="2112" spans="1:26" ht="30" hidden="1" customHeight="1">
      <c r="A2112" s="98" t="s">
        <v>4165</v>
      </c>
      <c r="B2112" s="68" t="s">
        <v>4166</v>
      </c>
      <c r="C2112" s="99"/>
      <c r="D2112" s="96"/>
      <c r="E2112" s="53">
        <v>138217.18</v>
      </c>
      <c r="F2112" s="53"/>
      <c r="G2112" s="96">
        <f t="shared" si="583"/>
        <v>138217.18</v>
      </c>
      <c r="H2112" s="96"/>
      <c r="I2112" s="60"/>
      <c r="J2112" s="60"/>
      <c r="K2112" s="60"/>
      <c r="L2112" s="60"/>
      <c r="M2112" s="60"/>
      <c r="N2112" s="60"/>
      <c r="O2112" s="60"/>
      <c r="P2112" s="60"/>
      <c r="Q2112" s="60"/>
      <c r="R2112" s="60"/>
      <c r="S2112" s="60"/>
      <c r="T2112" s="60"/>
      <c r="U2112" s="60"/>
      <c r="V2112" s="60"/>
      <c r="W2112" s="60"/>
      <c r="X2112" s="60"/>
      <c r="Y2112" s="60"/>
      <c r="Z2112" s="60"/>
    </row>
    <row r="2113" spans="1:26" ht="30" hidden="1" customHeight="1">
      <c r="A2113" s="95" t="s">
        <v>4167</v>
      </c>
      <c r="B2113" s="68" t="s">
        <v>4168</v>
      </c>
      <c r="C2113" s="99"/>
      <c r="D2113" s="96"/>
      <c r="E2113" s="53"/>
      <c r="F2113" s="53"/>
      <c r="G2113" s="96">
        <f t="shared" si="583"/>
        <v>0</v>
      </c>
      <c r="H2113" s="96"/>
      <c r="I2113" s="60"/>
      <c r="J2113" s="60"/>
      <c r="K2113" s="60"/>
      <c r="L2113" s="60"/>
      <c r="M2113" s="60"/>
      <c r="N2113" s="60"/>
      <c r="O2113" s="60"/>
      <c r="P2113" s="60"/>
      <c r="Q2113" s="60"/>
      <c r="R2113" s="60"/>
      <c r="S2113" s="60"/>
      <c r="T2113" s="60"/>
      <c r="U2113" s="60"/>
      <c r="V2113" s="60"/>
      <c r="W2113" s="60"/>
      <c r="X2113" s="60"/>
      <c r="Y2113" s="60"/>
      <c r="Z2113" s="60"/>
    </row>
    <row r="2114" spans="1:26" ht="30" hidden="1" customHeight="1">
      <c r="A2114" s="98" t="s">
        <v>4169</v>
      </c>
      <c r="B2114" s="68" t="s">
        <v>4170</v>
      </c>
      <c r="C2114" s="99"/>
      <c r="D2114" s="96"/>
      <c r="E2114" s="53">
        <v>3759858.22</v>
      </c>
      <c r="F2114" s="53"/>
      <c r="G2114" s="96">
        <f t="shared" si="583"/>
        <v>3759858.22</v>
      </c>
      <c r="H2114" s="96"/>
      <c r="I2114" s="60"/>
      <c r="J2114" s="60"/>
      <c r="K2114" s="60"/>
      <c r="L2114" s="60"/>
      <c r="M2114" s="60"/>
      <c r="N2114" s="60"/>
      <c r="O2114" s="60"/>
      <c r="P2114" s="60"/>
      <c r="Q2114" s="60"/>
      <c r="R2114" s="60"/>
      <c r="S2114" s="60"/>
      <c r="T2114" s="60"/>
      <c r="U2114" s="60"/>
      <c r="V2114" s="60"/>
      <c r="W2114" s="60"/>
      <c r="X2114" s="60"/>
      <c r="Y2114" s="60"/>
      <c r="Z2114" s="60"/>
    </row>
    <row r="2115" spans="1:26" ht="30" hidden="1" customHeight="1">
      <c r="A2115" s="95" t="s">
        <v>4171</v>
      </c>
      <c r="B2115" s="68" t="s">
        <v>4172</v>
      </c>
      <c r="C2115" s="99"/>
      <c r="D2115" s="96"/>
      <c r="E2115" s="53"/>
      <c r="F2115" s="53"/>
      <c r="G2115" s="96">
        <f t="shared" si="583"/>
        <v>0</v>
      </c>
      <c r="H2115" s="96"/>
      <c r="I2115" s="60"/>
      <c r="J2115" s="60"/>
      <c r="K2115" s="60"/>
      <c r="L2115" s="60"/>
      <c r="M2115" s="60"/>
      <c r="N2115" s="60"/>
      <c r="O2115" s="60"/>
      <c r="P2115" s="60"/>
      <c r="Q2115" s="60"/>
      <c r="R2115" s="60"/>
      <c r="S2115" s="60"/>
      <c r="T2115" s="60"/>
      <c r="U2115" s="60"/>
      <c r="V2115" s="60"/>
      <c r="W2115" s="60"/>
      <c r="X2115" s="60"/>
      <c r="Y2115" s="60"/>
      <c r="Z2115" s="60"/>
    </row>
    <row r="2116" spans="1:26" ht="30" hidden="1" customHeight="1">
      <c r="A2116" s="98" t="s">
        <v>4173</v>
      </c>
      <c r="B2116" s="68" t="s">
        <v>4174</v>
      </c>
      <c r="C2116" s="99"/>
      <c r="D2116" s="96"/>
      <c r="E2116" s="53">
        <v>157885.07</v>
      </c>
      <c r="F2116" s="53"/>
      <c r="G2116" s="96">
        <f t="shared" si="583"/>
        <v>157885.07</v>
      </c>
      <c r="H2116" s="96"/>
      <c r="I2116" s="60"/>
      <c r="J2116" s="60"/>
      <c r="K2116" s="60"/>
      <c r="L2116" s="60"/>
      <c r="M2116" s="60"/>
      <c r="N2116" s="60"/>
      <c r="O2116" s="60"/>
      <c r="P2116" s="60"/>
      <c r="Q2116" s="60"/>
      <c r="R2116" s="60"/>
      <c r="S2116" s="60"/>
      <c r="T2116" s="60"/>
      <c r="U2116" s="60"/>
      <c r="V2116" s="60"/>
      <c r="W2116" s="60"/>
      <c r="X2116" s="60"/>
      <c r="Y2116" s="60"/>
      <c r="Z2116" s="60"/>
    </row>
    <row r="2117" spans="1:26" ht="30" hidden="1" customHeight="1">
      <c r="A2117" s="95" t="s">
        <v>4175</v>
      </c>
      <c r="B2117" s="68" t="s">
        <v>4176</v>
      </c>
      <c r="C2117" s="99"/>
      <c r="D2117" s="96"/>
      <c r="E2117" s="53"/>
      <c r="F2117" s="53"/>
      <c r="G2117" s="96">
        <f t="shared" si="583"/>
        <v>0</v>
      </c>
      <c r="H2117" s="96"/>
      <c r="I2117" s="60"/>
      <c r="J2117" s="60"/>
      <c r="K2117" s="60"/>
      <c r="L2117" s="60"/>
      <c r="M2117" s="60"/>
      <c r="N2117" s="60"/>
      <c r="O2117" s="60"/>
      <c r="P2117" s="60"/>
      <c r="Q2117" s="60"/>
      <c r="R2117" s="60"/>
      <c r="S2117" s="60"/>
      <c r="T2117" s="60"/>
      <c r="U2117" s="60"/>
      <c r="V2117" s="60"/>
      <c r="W2117" s="60"/>
      <c r="X2117" s="60"/>
      <c r="Y2117" s="60"/>
      <c r="Z2117" s="60"/>
    </row>
    <row r="2118" spans="1:26" ht="30" hidden="1" customHeight="1">
      <c r="A2118" s="92" t="s">
        <v>4177</v>
      </c>
      <c r="B2118" s="101" t="s">
        <v>2597</v>
      </c>
      <c r="C2118" s="94"/>
      <c r="D2118" s="94"/>
      <c r="E2118" s="39">
        <f t="shared" ref="E2118:G2118" si="584">SUM(E2119:E2136)</f>
        <v>749586740.19999993</v>
      </c>
      <c r="F2118" s="39">
        <f t="shared" si="584"/>
        <v>0</v>
      </c>
      <c r="G2118" s="39">
        <f t="shared" si="584"/>
        <v>749586740.19999993</v>
      </c>
      <c r="H2118" s="94"/>
      <c r="I2118" s="60"/>
      <c r="J2118" s="60"/>
      <c r="K2118" s="60"/>
      <c r="L2118" s="60"/>
      <c r="M2118" s="60"/>
      <c r="N2118" s="60"/>
      <c r="O2118" s="60"/>
      <c r="P2118" s="60"/>
      <c r="Q2118" s="60"/>
      <c r="R2118" s="60"/>
      <c r="S2118" s="60"/>
      <c r="T2118" s="60"/>
      <c r="U2118" s="60"/>
      <c r="V2118" s="60"/>
      <c r="W2118" s="60"/>
      <c r="X2118" s="60"/>
      <c r="Y2118" s="60"/>
      <c r="Z2118" s="60"/>
    </row>
    <row r="2119" spans="1:26" ht="30" hidden="1" customHeight="1">
      <c r="A2119" s="98" t="s">
        <v>4178</v>
      </c>
      <c r="B2119" s="68" t="s">
        <v>4179</v>
      </c>
      <c r="C2119" s="99"/>
      <c r="D2119" s="96"/>
      <c r="E2119" s="53">
        <v>111942650.56999999</v>
      </c>
      <c r="F2119" s="53"/>
      <c r="G2119" s="96">
        <f t="shared" ref="G2119:G2136" si="585">ROUND(E2119-F2119,2)</f>
        <v>111942650.56999999</v>
      </c>
      <c r="H2119" s="96"/>
      <c r="I2119" s="60"/>
      <c r="J2119" s="60"/>
      <c r="K2119" s="60"/>
      <c r="L2119" s="60"/>
      <c r="M2119" s="60"/>
      <c r="N2119" s="60"/>
      <c r="O2119" s="60"/>
      <c r="P2119" s="60"/>
      <c r="Q2119" s="60"/>
      <c r="R2119" s="60"/>
      <c r="S2119" s="60"/>
      <c r="T2119" s="60"/>
      <c r="U2119" s="60"/>
      <c r="V2119" s="60"/>
      <c r="W2119" s="60"/>
      <c r="X2119" s="60"/>
      <c r="Y2119" s="60"/>
      <c r="Z2119" s="60"/>
    </row>
    <row r="2120" spans="1:26" ht="30" hidden="1" customHeight="1">
      <c r="A2120" s="95" t="s">
        <v>4180</v>
      </c>
      <c r="B2120" s="68" t="s">
        <v>4181</v>
      </c>
      <c r="C2120" s="99"/>
      <c r="D2120" s="96"/>
      <c r="E2120" s="53"/>
      <c r="F2120" s="53"/>
      <c r="G2120" s="96">
        <f t="shared" si="585"/>
        <v>0</v>
      </c>
      <c r="H2120" s="96"/>
      <c r="I2120" s="60"/>
      <c r="J2120" s="60"/>
      <c r="K2120" s="60"/>
      <c r="L2120" s="60"/>
      <c r="M2120" s="60"/>
      <c r="N2120" s="60"/>
      <c r="O2120" s="60"/>
      <c r="P2120" s="60"/>
      <c r="Q2120" s="60"/>
      <c r="R2120" s="60"/>
      <c r="S2120" s="60"/>
      <c r="T2120" s="60"/>
      <c r="U2120" s="60"/>
      <c r="V2120" s="60"/>
      <c r="W2120" s="60"/>
      <c r="X2120" s="60"/>
      <c r="Y2120" s="60"/>
      <c r="Z2120" s="60"/>
    </row>
    <row r="2121" spans="1:26" ht="30" hidden="1" customHeight="1">
      <c r="A2121" s="98" t="s">
        <v>4182</v>
      </c>
      <c r="B2121" s="68" t="s">
        <v>4183</v>
      </c>
      <c r="C2121" s="99"/>
      <c r="D2121" s="96"/>
      <c r="E2121" s="53">
        <v>14287917.039999999</v>
      </c>
      <c r="F2121" s="53"/>
      <c r="G2121" s="96">
        <f t="shared" si="585"/>
        <v>14287917.039999999</v>
      </c>
      <c r="H2121" s="96"/>
      <c r="I2121" s="60"/>
      <c r="J2121" s="60"/>
      <c r="K2121" s="60"/>
      <c r="L2121" s="60"/>
      <c r="M2121" s="60"/>
      <c r="N2121" s="60"/>
      <c r="O2121" s="60"/>
      <c r="P2121" s="60"/>
      <c r="Q2121" s="60"/>
      <c r="R2121" s="60"/>
      <c r="S2121" s="60"/>
      <c r="T2121" s="60"/>
      <c r="U2121" s="60"/>
      <c r="V2121" s="60"/>
      <c r="W2121" s="60"/>
      <c r="X2121" s="60"/>
      <c r="Y2121" s="60"/>
      <c r="Z2121" s="60"/>
    </row>
    <row r="2122" spans="1:26" ht="30" hidden="1" customHeight="1">
      <c r="A2122" s="95" t="s">
        <v>4184</v>
      </c>
      <c r="B2122" s="68" t="s">
        <v>4185</v>
      </c>
      <c r="C2122" s="99"/>
      <c r="D2122" s="96"/>
      <c r="E2122" s="53"/>
      <c r="F2122" s="53"/>
      <c r="G2122" s="96">
        <f t="shared" si="585"/>
        <v>0</v>
      </c>
      <c r="H2122" s="96"/>
      <c r="I2122" s="60"/>
      <c r="J2122" s="60"/>
      <c r="K2122" s="60"/>
      <c r="L2122" s="60"/>
      <c r="M2122" s="60"/>
      <c r="N2122" s="60"/>
      <c r="O2122" s="60"/>
      <c r="P2122" s="60"/>
      <c r="Q2122" s="60"/>
      <c r="R2122" s="60"/>
      <c r="S2122" s="60"/>
      <c r="T2122" s="60"/>
      <c r="U2122" s="60"/>
      <c r="V2122" s="60"/>
      <c r="W2122" s="60"/>
      <c r="X2122" s="60"/>
      <c r="Y2122" s="60"/>
      <c r="Z2122" s="60"/>
    </row>
    <row r="2123" spans="1:26" ht="30" hidden="1" customHeight="1">
      <c r="A2123" s="98" t="s">
        <v>4186</v>
      </c>
      <c r="B2123" s="68" t="s">
        <v>4187</v>
      </c>
      <c r="C2123" s="99"/>
      <c r="D2123" s="96"/>
      <c r="E2123" s="53">
        <v>3484206.03</v>
      </c>
      <c r="F2123" s="53"/>
      <c r="G2123" s="96">
        <f t="shared" si="585"/>
        <v>3484206.03</v>
      </c>
      <c r="H2123" s="96"/>
      <c r="I2123" s="60"/>
      <c r="J2123" s="60"/>
      <c r="K2123" s="60"/>
      <c r="L2123" s="60"/>
      <c r="M2123" s="60"/>
      <c r="N2123" s="60"/>
      <c r="O2123" s="60"/>
      <c r="P2123" s="60"/>
      <c r="Q2123" s="60"/>
      <c r="R2123" s="60"/>
      <c r="S2123" s="60"/>
      <c r="T2123" s="60"/>
      <c r="U2123" s="60"/>
      <c r="V2123" s="60"/>
      <c r="W2123" s="60"/>
      <c r="X2123" s="60"/>
      <c r="Y2123" s="60"/>
      <c r="Z2123" s="60"/>
    </row>
    <row r="2124" spans="1:26" ht="30" hidden="1" customHeight="1">
      <c r="A2124" s="95" t="s">
        <v>4188</v>
      </c>
      <c r="B2124" s="68" t="s">
        <v>4189</v>
      </c>
      <c r="C2124" s="99"/>
      <c r="D2124" s="96"/>
      <c r="E2124" s="53"/>
      <c r="F2124" s="53"/>
      <c r="G2124" s="96">
        <f t="shared" si="585"/>
        <v>0</v>
      </c>
      <c r="H2124" s="96"/>
      <c r="I2124" s="60"/>
      <c r="J2124" s="60"/>
      <c r="K2124" s="60"/>
      <c r="L2124" s="60"/>
      <c r="M2124" s="60"/>
      <c r="N2124" s="60"/>
      <c r="O2124" s="60"/>
      <c r="P2124" s="60"/>
      <c r="Q2124" s="60"/>
      <c r="R2124" s="60"/>
      <c r="S2124" s="60"/>
      <c r="T2124" s="60"/>
      <c r="U2124" s="60"/>
      <c r="V2124" s="60"/>
      <c r="W2124" s="60"/>
      <c r="X2124" s="60"/>
      <c r="Y2124" s="60"/>
      <c r="Z2124" s="60"/>
    </row>
    <row r="2125" spans="1:26" ht="30" hidden="1" customHeight="1">
      <c r="A2125" s="98" t="s">
        <v>4190</v>
      </c>
      <c r="B2125" s="68" t="s">
        <v>4191</v>
      </c>
      <c r="C2125" s="99"/>
      <c r="D2125" s="96"/>
      <c r="E2125" s="53">
        <v>140738369.41</v>
      </c>
      <c r="F2125" s="53"/>
      <c r="G2125" s="96">
        <f t="shared" si="585"/>
        <v>140738369.41</v>
      </c>
      <c r="H2125" s="96"/>
      <c r="I2125" s="60"/>
      <c r="J2125" s="60"/>
      <c r="K2125" s="60"/>
      <c r="L2125" s="60"/>
      <c r="M2125" s="60"/>
      <c r="N2125" s="60"/>
      <c r="O2125" s="60"/>
      <c r="P2125" s="60"/>
      <c r="Q2125" s="60"/>
      <c r="R2125" s="60"/>
      <c r="S2125" s="60"/>
      <c r="T2125" s="60"/>
      <c r="U2125" s="60"/>
      <c r="V2125" s="60"/>
      <c r="W2125" s="60"/>
      <c r="X2125" s="60"/>
      <c r="Y2125" s="60"/>
      <c r="Z2125" s="60"/>
    </row>
    <row r="2126" spans="1:26" ht="30" hidden="1" customHeight="1">
      <c r="A2126" s="95" t="s">
        <v>4192</v>
      </c>
      <c r="B2126" s="68" t="s">
        <v>4193</v>
      </c>
      <c r="C2126" s="99"/>
      <c r="D2126" s="96"/>
      <c r="E2126" s="53"/>
      <c r="F2126" s="53"/>
      <c r="G2126" s="96">
        <f t="shared" si="585"/>
        <v>0</v>
      </c>
      <c r="H2126" s="96"/>
      <c r="I2126" s="60"/>
      <c r="J2126" s="60"/>
      <c r="K2126" s="60"/>
      <c r="L2126" s="60"/>
      <c r="M2126" s="60"/>
      <c r="N2126" s="60"/>
      <c r="O2126" s="60"/>
      <c r="P2126" s="60"/>
      <c r="Q2126" s="60"/>
      <c r="R2126" s="60"/>
      <c r="S2126" s="60"/>
      <c r="T2126" s="60"/>
      <c r="U2126" s="60"/>
      <c r="V2126" s="60"/>
      <c r="W2126" s="60"/>
      <c r="X2126" s="60"/>
      <c r="Y2126" s="60"/>
      <c r="Z2126" s="60"/>
    </row>
    <row r="2127" spans="1:26" ht="30" hidden="1" customHeight="1">
      <c r="A2127" s="98" t="s">
        <v>4194</v>
      </c>
      <c r="B2127" s="68" t="s">
        <v>4195</v>
      </c>
      <c r="C2127" s="99"/>
      <c r="D2127" s="96"/>
      <c r="E2127" s="53">
        <v>188293765.41</v>
      </c>
      <c r="F2127" s="53"/>
      <c r="G2127" s="96">
        <f t="shared" si="585"/>
        <v>188293765.41</v>
      </c>
      <c r="H2127" s="96"/>
      <c r="I2127" s="60"/>
      <c r="J2127" s="60"/>
      <c r="K2127" s="60"/>
      <c r="L2127" s="60"/>
      <c r="M2127" s="60"/>
      <c r="N2127" s="60"/>
      <c r="O2127" s="60"/>
      <c r="P2127" s="60"/>
      <c r="Q2127" s="60"/>
      <c r="R2127" s="60"/>
      <c r="S2127" s="60"/>
      <c r="T2127" s="60"/>
      <c r="U2127" s="60"/>
      <c r="V2127" s="60"/>
      <c r="W2127" s="60"/>
      <c r="X2127" s="60"/>
      <c r="Y2127" s="60"/>
      <c r="Z2127" s="60"/>
    </row>
    <row r="2128" spans="1:26" ht="30" hidden="1" customHeight="1">
      <c r="A2128" s="95" t="s">
        <v>4196</v>
      </c>
      <c r="B2128" s="68" t="s">
        <v>4197</v>
      </c>
      <c r="C2128" s="99"/>
      <c r="D2128" s="96"/>
      <c r="E2128" s="53"/>
      <c r="F2128" s="53"/>
      <c r="G2128" s="96">
        <f t="shared" si="585"/>
        <v>0</v>
      </c>
      <c r="H2128" s="96"/>
      <c r="I2128" s="60"/>
      <c r="J2128" s="60"/>
      <c r="K2128" s="60"/>
      <c r="L2128" s="60"/>
      <c r="M2128" s="60"/>
      <c r="N2128" s="60"/>
      <c r="O2128" s="60"/>
      <c r="P2128" s="60"/>
      <c r="Q2128" s="60"/>
      <c r="R2128" s="60"/>
      <c r="S2128" s="60"/>
      <c r="T2128" s="60"/>
      <c r="U2128" s="60"/>
      <c r="V2128" s="60"/>
      <c r="W2128" s="60"/>
      <c r="X2128" s="60"/>
      <c r="Y2128" s="60"/>
      <c r="Z2128" s="60"/>
    </row>
    <row r="2129" spans="1:26" ht="30" hidden="1" customHeight="1">
      <c r="A2129" s="98" t="s">
        <v>4198</v>
      </c>
      <c r="B2129" s="68" t="s">
        <v>4199</v>
      </c>
      <c r="C2129" s="99"/>
      <c r="D2129" s="96"/>
      <c r="E2129" s="53">
        <v>11830922.710000001</v>
      </c>
      <c r="F2129" s="53"/>
      <c r="G2129" s="96">
        <f t="shared" si="585"/>
        <v>11830922.710000001</v>
      </c>
      <c r="H2129" s="96"/>
      <c r="I2129" s="60"/>
      <c r="J2129" s="60"/>
      <c r="K2129" s="60"/>
      <c r="L2129" s="60"/>
      <c r="M2129" s="60"/>
      <c r="N2129" s="60"/>
      <c r="O2129" s="60"/>
      <c r="P2129" s="60"/>
      <c r="Q2129" s="60"/>
      <c r="R2129" s="60"/>
      <c r="S2129" s="60"/>
      <c r="T2129" s="60"/>
      <c r="U2129" s="60"/>
      <c r="V2129" s="60"/>
      <c r="W2129" s="60"/>
      <c r="X2129" s="60"/>
      <c r="Y2129" s="60"/>
      <c r="Z2129" s="60"/>
    </row>
    <row r="2130" spans="1:26" ht="30" hidden="1" customHeight="1">
      <c r="A2130" s="95" t="s">
        <v>4200</v>
      </c>
      <c r="B2130" s="68" t="s">
        <v>4201</v>
      </c>
      <c r="C2130" s="99"/>
      <c r="D2130" s="96"/>
      <c r="E2130" s="53"/>
      <c r="F2130" s="53"/>
      <c r="G2130" s="96">
        <f t="shared" si="585"/>
        <v>0</v>
      </c>
      <c r="H2130" s="96"/>
      <c r="I2130" s="60"/>
      <c r="J2130" s="60"/>
      <c r="K2130" s="60"/>
      <c r="L2130" s="60"/>
      <c r="M2130" s="60"/>
      <c r="N2130" s="60"/>
      <c r="O2130" s="60"/>
      <c r="P2130" s="60"/>
      <c r="Q2130" s="60"/>
      <c r="R2130" s="60"/>
      <c r="S2130" s="60"/>
      <c r="T2130" s="60"/>
      <c r="U2130" s="60"/>
      <c r="V2130" s="60"/>
      <c r="W2130" s="60"/>
      <c r="X2130" s="60"/>
      <c r="Y2130" s="60"/>
      <c r="Z2130" s="60"/>
    </row>
    <row r="2131" spans="1:26" ht="30" hidden="1" customHeight="1">
      <c r="A2131" s="98" t="s">
        <v>4202</v>
      </c>
      <c r="B2131" s="68" t="s">
        <v>4203</v>
      </c>
      <c r="C2131" s="99"/>
      <c r="D2131" s="96"/>
      <c r="E2131" s="53">
        <v>188315.23</v>
      </c>
      <c r="F2131" s="53"/>
      <c r="G2131" s="96">
        <f t="shared" si="585"/>
        <v>188315.23</v>
      </c>
      <c r="H2131" s="96"/>
      <c r="I2131" s="60"/>
      <c r="J2131" s="60"/>
      <c r="K2131" s="60"/>
      <c r="L2131" s="60"/>
      <c r="M2131" s="60"/>
      <c r="N2131" s="60"/>
      <c r="O2131" s="60"/>
      <c r="P2131" s="60"/>
      <c r="Q2131" s="60"/>
      <c r="R2131" s="60"/>
      <c r="S2131" s="60"/>
      <c r="T2131" s="60"/>
      <c r="U2131" s="60"/>
      <c r="V2131" s="60"/>
      <c r="W2131" s="60"/>
      <c r="X2131" s="60"/>
      <c r="Y2131" s="60"/>
      <c r="Z2131" s="60"/>
    </row>
    <row r="2132" spans="1:26" ht="30" hidden="1" customHeight="1">
      <c r="A2132" s="95" t="s">
        <v>4204</v>
      </c>
      <c r="B2132" s="68" t="s">
        <v>4205</v>
      </c>
      <c r="C2132" s="99"/>
      <c r="D2132" s="96"/>
      <c r="E2132" s="53"/>
      <c r="F2132" s="53"/>
      <c r="G2132" s="96">
        <f t="shared" si="585"/>
        <v>0</v>
      </c>
      <c r="H2132" s="96"/>
      <c r="I2132" s="60"/>
      <c r="J2132" s="60"/>
      <c r="K2132" s="60"/>
      <c r="L2132" s="60"/>
      <c r="M2132" s="60"/>
      <c r="N2132" s="60"/>
      <c r="O2132" s="60"/>
      <c r="P2132" s="60"/>
      <c r="Q2132" s="60"/>
      <c r="R2132" s="60"/>
      <c r="S2132" s="60"/>
      <c r="T2132" s="60"/>
      <c r="U2132" s="60"/>
      <c r="V2132" s="60"/>
      <c r="W2132" s="60"/>
      <c r="X2132" s="60"/>
      <c r="Y2132" s="60"/>
      <c r="Z2132" s="60"/>
    </row>
    <row r="2133" spans="1:26" ht="30" hidden="1" customHeight="1">
      <c r="A2133" s="98" t="s">
        <v>4206</v>
      </c>
      <c r="B2133" s="68" t="s">
        <v>4207</v>
      </c>
      <c r="C2133" s="99"/>
      <c r="D2133" s="96"/>
      <c r="E2133" s="53">
        <v>5402975.3899999997</v>
      </c>
      <c r="F2133" s="53"/>
      <c r="G2133" s="96">
        <f t="shared" si="585"/>
        <v>5402975.3899999997</v>
      </c>
      <c r="H2133" s="96"/>
      <c r="I2133" s="60"/>
      <c r="J2133" s="60"/>
      <c r="K2133" s="60"/>
      <c r="L2133" s="60"/>
      <c r="M2133" s="60"/>
      <c r="N2133" s="60"/>
      <c r="O2133" s="60"/>
      <c r="P2133" s="60"/>
      <c r="Q2133" s="60"/>
      <c r="R2133" s="60"/>
      <c r="S2133" s="60"/>
      <c r="T2133" s="60"/>
      <c r="U2133" s="60"/>
      <c r="V2133" s="60"/>
      <c r="W2133" s="60"/>
      <c r="X2133" s="60"/>
      <c r="Y2133" s="60"/>
      <c r="Z2133" s="60"/>
    </row>
    <row r="2134" spans="1:26" ht="30" hidden="1" customHeight="1">
      <c r="A2134" s="95" t="s">
        <v>4208</v>
      </c>
      <c r="B2134" s="68" t="s">
        <v>4209</v>
      </c>
      <c r="C2134" s="99"/>
      <c r="D2134" s="96"/>
      <c r="E2134" s="53"/>
      <c r="F2134" s="53"/>
      <c r="G2134" s="96">
        <f t="shared" si="585"/>
        <v>0</v>
      </c>
      <c r="H2134" s="96"/>
      <c r="I2134" s="60"/>
      <c r="J2134" s="60"/>
      <c r="K2134" s="60"/>
      <c r="L2134" s="60"/>
      <c r="M2134" s="60"/>
      <c r="N2134" s="60"/>
      <c r="O2134" s="60"/>
      <c r="P2134" s="60"/>
      <c r="Q2134" s="60"/>
      <c r="R2134" s="60"/>
      <c r="S2134" s="60"/>
      <c r="T2134" s="60"/>
      <c r="U2134" s="60"/>
      <c r="V2134" s="60"/>
      <c r="W2134" s="60"/>
      <c r="X2134" s="60"/>
      <c r="Y2134" s="60"/>
      <c r="Z2134" s="60"/>
    </row>
    <row r="2135" spans="1:26" ht="30" hidden="1" customHeight="1">
      <c r="A2135" s="98" t="s">
        <v>4210</v>
      </c>
      <c r="B2135" s="68" t="s">
        <v>4211</v>
      </c>
      <c r="C2135" s="99"/>
      <c r="D2135" s="96"/>
      <c r="E2135" s="53">
        <v>273417618.41000003</v>
      </c>
      <c r="F2135" s="53"/>
      <c r="G2135" s="96">
        <f t="shared" si="585"/>
        <v>273417618.41000003</v>
      </c>
      <c r="H2135" s="96"/>
      <c r="I2135" s="60"/>
      <c r="J2135" s="60"/>
      <c r="K2135" s="60"/>
      <c r="L2135" s="60"/>
      <c r="M2135" s="60"/>
      <c r="N2135" s="60"/>
      <c r="O2135" s="60"/>
      <c r="P2135" s="60"/>
      <c r="Q2135" s="60"/>
      <c r="R2135" s="60"/>
      <c r="S2135" s="60"/>
      <c r="T2135" s="60"/>
      <c r="U2135" s="60"/>
      <c r="V2135" s="60"/>
      <c r="W2135" s="60"/>
      <c r="X2135" s="60"/>
      <c r="Y2135" s="60"/>
      <c r="Z2135" s="60"/>
    </row>
    <row r="2136" spans="1:26" ht="30" hidden="1" customHeight="1">
      <c r="A2136" s="95" t="s">
        <v>4212</v>
      </c>
      <c r="B2136" s="68" t="s">
        <v>4213</v>
      </c>
      <c r="C2136" s="99"/>
      <c r="D2136" s="96"/>
      <c r="E2136" s="53"/>
      <c r="F2136" s="53"/>
      <c r="G2136" s="96">
        <f t="shared" si="585"/>
        <v>0</v>
      </c>
      <c r="H2136" s="96"/>
      <c r="I2136" s="60"/>
      <c r="J2136" s="60"/>
      <c r="K2136" s="60"/>
      <c r="L2136" s="60"/>
      <c r="M2136" s="60"/>
      <c r="N2136" s="60"/>
      <c r="O2136" s="60"/>
      <c r="P2136" s="60"/>
      <c r="Q2136" s="60"/>
      <c r="R2136" s="60"/>
      <c r="S2136" s="60"/>
      <c r="T2136" s="60"/>
      <c r="U2136" s="60"/>
      <c r="V2136" s="60"/>
      <c r="W2136" s="60"/>
      <c r="X2136" s="60"/>
      <c r="Y2136" s="60"/>
      <c r="Z2136" s="60"/>
    </row>
    <row r="2137" spans="1:26" ht="30" hidden="1" customHeight="1">
      <c r="A2137" s="92" t="s">
        <v>4214</v>
      </c>
      <c r="B2137" s="101" t="s">
        <v>2635</v>
      </c>
      <c r="C2137" s="94"/>
      <c r="D2137" s="94"/>
      <c r="E2137" s="39">
        <f t="shared" ref="E2137:G2137" si="586">SUM(E2138:E2155)</f>
        <v>659923616.42000008</v>
      </c>
      <c r="F2137" s="39">
        <f t="shared" si="586"/>
        <v>0</v>
      </c>
      <c r="G2137" s="39">
        <f t="shared" si="586"/>
        <v>659923616.42000008</v>
      </c>
      <c r="H2137" s="94"/>
      <c r="I2137" s="60"/>
      <c r="J2137" s="60"/>
      <c r="K2137" s="60"/>
      <c r="L2137" s="60"/>
      <c r="M2137" s="60"/>
      <c r="N2137" s="60"/>
      <c r="O2137" s="60"/>
      <c r="P2137" s="60"/>
      <c r="Q2137" s="60"/>
      <c r="R2137" s="60"/>
      <c r="S2137" s="60"/>
      <c r="T2137" s="60"/>
      <c r="U2137" s="60"/>
      <c r="V2137" s="60"/>
      <c r="W2137" s="60"/>
      <c r="X2137" s="60"/>
      <c r="Y2137" s="60"/>
      <c r="Z2137" s="60"/>
    </row>
    <row r="2138" spans="1:26" ht="30" hidden="1" customHeight="1">
      <c r="A2138" s="98" t="s">
        <v>4215</v>
      </c>
      <c r="B2138" s="68" t="s">
        <v>4216</v>
      </c>
      <c r="C2138" s="99"/>
      <c r="D2138" s="96"/>
      <c r="E2138" s="53">
        <v>460311701.51999998</v>
      </c>
      <c r="F2138" s="53"/>
      <c r="G2138" s="96">
        <f t="shared" ref="G2138:G2155" si="587">ROUND(E2138-F2138,2)</f>
        <v>460311701.51999998</v>
      </c>
      <c r="H2138" s="96"/>
      <c r="I2138" s="60"/>
      <c r="J2138" s="60"/>
      <c r="K2138" s="60"/>
      <c r="L2138" s="60"/>
      <c r="M2138" s="60"/>
      <c r="N2138" s="60"/>
      <c r="O2138" s="60"/>
      <c r="P2138" s="60"/>
      <c r="Q2138" s="60"/>
      <c r="R2138" s="60"/>
      <c r="S2138" s="60"/>
      <c r="T2138" s="60"/>
      <c r="U2138" s="60"/>
      <c r="V2138" s="60"/>
      <c r="W2138" s="60"/>
      <c r="X2138" s="60"/>
      <c r="Y2138" s="60"/>
      <c r="Z2138" s="60"/>
    </row>
    <row r="2139" spans="1:26" ht="30" hidden="1" customHeight="1">
      <c r="A2139" s="95" t="s">
        <v>4217</v>
      </c>
      <c r="B2139" s="68" t="s">
        <v>4218</v>
      </c>
      <c r="C2139" s="99"/>
      <c r="D2139" s="96"/>
      <c r="E2139" s="53"/>
      <c r="F2139" s="53"/>
      <c r="G2139" s="96">
        <f t="shared" si="587"/>
        <v>0</v>
      </c>
      <c r="H2139" s="96"/>
      <c r="I2139" s="60"/>
      <c r="J2139" s="60"/>
      <c r="K2139" s="60"/>
      <c r="L2139" s="60"/>
      <c r="M2139" s="60"/>
      <c r="N2139" s="60"/>
      <c r="O2139" s="60"/>
      <c r="P2139" s="60"/>
      <c r="Q2139" s="60"/>
      <c r="R2139" s="60"/>
      <c r="S2139" s="60"/>
      <c r="T2139" s="60"/>
      <c r="U2139" s="60"/>
      <c r="V2139" s="60"/>
      <c r="W2139" s="60"/>
      <c r="X2139" s="60"/>
      <c r="Y2139" s="60"/>
      <c r="Z2139" s="60"/>
    </row>
    <row r="2140" spans="1:26" ht="30" hidden="1" customHeight="1">
      <c r="A2140" s="98" t="s">
        <v>4219</v>
      </c>
      <c r="B2140" s="68" t="s">
        <v>4220</v>
      </c>
      <c r="C2140" s="99"/>
      <c r="D2140" s="96"/>
      <c r="E2140" s="53"/>
      <c r="F2140" s="53"/>
      <c r="G2140" s="96">
        <f t="shared" si="587"/>
        <v>0</v>
      </c>
      <c r="H2140" s="96"/>
      <c r="I2140" s="60"/>
      <c r="J2140" s="60"/>
      <c r="K2140" s="60"/>
      <c r="L2140" s="60"/>
      <c r="M2140" s="60"/>
      <c r="N2140" s="60"/>
      <c r="O2140" s="60"/>
      <c r="P2140" s="60"/>
      <c r="Q2140" s="60"/>
      <c r="R2140" s="60"/>
      <c r="S2140" s="60"/>
      <c r="T2140" s="60"/>
      <c r="U2140" s="60"/>
      <c r="V2140" s="60"/>
      <c r="W2140" s="60"/>
      <c r="X2140" s="60"/>
      <c r="Y2140" s="60"/>
      <c r="Z2140" s="60"/>
    </row>
    <row r="2141" spans="1:26" ht="30" hidden="1" customHeight="1">
      <c r="A2141" s="95" t="s">
        <v>4221</v>
      </c>
      <c r="B2141" s="68" t="s">
        <v>4222</v>
      </c>
      <c r="C2141" s="99"/>
      <c r="D2141" s="96"/>
      <c r="E2141" s="53"/>
      <c r="F2141" s="53"/>
      <c r="G2141" s="96">
        <f t="shared" si="587"/>
        <v>0</v>
      </c>
      <c r="H2141" s="96"/>
      <c r="I2141" s="60"/>
      <c r="J2141" s="60"/>
      <c r="K2141" s="60"/>
      <c r="L2141" s="60"/>
      <c r="M2141" s="60"/>
      <c r="N2141" s="60"/>
      <c r="O2141" s="60"/>
      <c r="P2141" s="60"/>
      <c r="Q2141" s="60"/>
      <c r="R2141" s="60"/>
      <c r="S2141" s="60"/>
      <c r="T2141" s="60"/>
      <c r="U2141" s="60"/>
      <c r="V2141" s="60"/>
      <c r="W2141" s="60"/>
      <c r="X2141" s="60"/>
      <c r="Y2141" s="60"/>
      <c r="Z2141" s="60"/>
    </row>
    <row r="2142" spans="1:26" ht="30" hidden="1" customHeight="1">
      <c r="A2142" s="98" t="s">
        <v>4223</v>
      </c>
      <c r="B2142" s="68" t="s">
        <v>4224</v>
      </c>
      <c r="C2142" s="99"/>
      <c r="D2142" s="96"/>
      <c r="E2142" s="53">
        <v>41970000</v>
      </c>
      <c r="F2142" s="53"/>
      <c r="G2142" s="96">
        <f t="shared" si="587"/>
        <v>41970000</v>
      </c>
      <c r="H2142" s="96"/>
      <c r="I2142" s="60"/>
      <c r="J2142" s="60"/>
      <c r="K2142" s="60"/>
      <c r="L2142" s="60"/>
      <c r="M2142" s="60"/>
      <c r="N2142" s="60"/>
      <c r="O2142" s="60"/>
      <c r="P2142" s="60"/>
      <c r="Q2142" s="60"/>
      <c r="R2142" s="60"/>
      <c r="S2142" s="60"/>
      <c r="T2142" s="60"/>
      <c r="U2142" s="60"/>
      <c r="V2142" s="60"/>
      <c r="W2142" s="60"/>
      <c r="X2142" s="60"/>
      <c r="Y2142" s="60"/>
      <c r="Z2142" s="60"/>
    </row>
    <row r="2143" spans="1:26" ht="30" hidden="1" customHeight="1">
      <c r="A2143" s="95" t="s">
        <v>4225</v>
      </c>
      <c r="B2143" s="68" t="s">
        <v>4226</v>
      </c>
      <c r="C2143" s="99"/>
      <c r="D2143" s="96"/>
      <c r="E2143" s="53"/>
      <c r="F2143" s="53"/>
      <c r="G2143" s="96">
        <f t="shared" si="587"/>
        <v>0</v>
      </c>
      <c r="H2143" s="96"/>
      <c r="I2143" s="60"/>
      <c r="J2143" s="60"/>
      <c r="K2143" s="60"/>
      <c r="L2143" s="60"/>
      <c r="M2143" s="60"/>
      <c r="N2143" s="60"/>
      <c r="O2143" s="60"/>
      <c r="P2143" s="60"/>
      <c r="Q2143" s="60"/>
      <c r="R2143" s="60"/>
      <c r="S2143" s="60"/>
      <c r="T2143" s="60"/>
      <c r="U2143" s="60"/>
      <c r="V2143" s="60"/>
      <c r="W2143" s="60"/>
      <c r="X2143" s="60"/>
      <c r="Y2143" s="60"/>
      <c r="Z2143" s="60"/>
    </row>
    <row r="2144" spans="1:26" ht="30" hidden="1" customHeight="1">
      <c r="A2144" s="98" t="s">
        <v>4227</v>
      </c>
      <c r="B2144" s="68" t="s">
        <v>4228</v>
      </c>
      <c r="C2144" s="99"/>
      <c r="D2144" s="96"/>
      <c r="E2144" s="53">
        <v>36856468.32</v>
      </c>
      <c r="F2144" s="53"/>
      <c r="G2144" s="96">
        <f t="shared" si="587"/>
        <v>36856468.32</v>
      </c>
      <c r="H2144" s="96"/>
      <c r="I2144" s="60"/>
      <c r="J2144" s="60"/>
      <c r="K2144" s="60"/>
      <c r="L2144" s="60"/>
      <c r="M2144" s="60"/>
      <c r="N2144" s="60"/>
      <c r="O2144" s="60"/>
      <c r="P2144" s="60"/>
      <c r="Q2144" s="60"/>
      <c r="R2144" s="60"/>
      <c r="S2144" s="60"/>
      <c r="T2144" s="60"/>
      <c r="U2144" s="60"/>
      <c r="V2144" s="60"/>
      <c r="W2144" s="60"/>
      <c r="X2144" s="60"/>
      <c r="Y2144" s="60"/>
      <c r="Z2144" s="60"/>
    </row>
    <row r="2145" spans="1:26" ht="30" hidden="1" customHeight="1">
      <c r="A2145" s="95" t="s">
        <v>4229</v>
      </c>
      <c r="B2145" s="68" t="s">
        <v>4230</v>
      </c>
      <c r="C2145" s="99"/>
      <c r="D2145" s="96"/>
      <c r="E2145" s="53"/>
      <c r="F2145" s="53"/>
      <c r="G2145" s="96">
        <f t="shared" si="587"/>
        <v>0</v>
      </c>
      <c r="H2145" s="96"/>
      <c r="I2145" s="60"/>
      <c r="J2145" s="60"/>
      <c r="K2145" s="60"/>
      <c r="L2145" s="60"/>
      <c r="M2145" s="60"/>
      <c r="N2145" s="60"/>
      <c r="O2145" s="60"/>
      <c r="P2145" s="60"/>
      <c r="Q2145" s="60"/>
      <c r="R2145" s="60"/>
      <c r="S2145" s="60"/>
      <c r="T2145" s="60"/>
      <c r="U2145" s="60"/>
      <c r="V2145" s="60"/>
      <c r="W2145" s="60"/>
      <c r="X2145" s="60"/>
      <c r="Y2145" s="60"/>
      <c r="Z2145" s="60"/>
    </row>
    <row r="2146" spans="1:26" ht="30" hidden="1" customHeight="1">
      <c r="A2146" s="98" t="s">
        <v>4231</v>
      </c>
      <c r="B2146" s="68" t="s">
        <v>4232</v>
      </c>
      <c r="C2146" s="99"/>
      <c r="D2146" s="96"/>
      <c r="E2146" s="53"/>
      <c r="F2146" s="53"/>
      <c r="G2146" s="96">
        <f t="shared" si="587"/>
        <v>0</v>
      </c>
      <c r="H2146" s="96"/>
      <c r="I2146" s="60"/>
      <c r="J2146" s="60"/>
      <c r="K2146" s="60"/>
      <c r="L2146" s="60"/>
      <c r="M2146" s="60"/>
      <c r="N2146" s="60"/>
      <c r="O2146" s="60"/>
      <c r="P2146" s="60"/>
      <c r="Q2146" s="60"/>
      <c r="R2146" s="60"/>
      <c r="S2146" s="60"/>
      <c r="T2146" s="60"/>
      <c r="U2146" s="60"/>
      <c r="V2146" s="60"/>
      <c r="W2146" s="60"/>
      <c r="X2146" s="60"/>
      <c r="Y2146" s="60"/>
      <c r="Z2146" s="60"/>
    </row>
    <row r="2147" spans="1:26" ht="30" hidden="1" customHeight="1">
      <c r="A2147" s="95" t="s">
        <v>4233</v>
      </c>
      <c r="B2147" s="68" t="s">
        <v>4234</v>
      </c>
      <c r="C2147" s="99"/>
      <c r="D2147" s="96"/>
      <c r="E2147" s="53"/>
      <c r="F2147" s="53"/>
      <c r="G2147" s="96">
        <f t="shared" si="587"/>
        <v>0</v>
      </c>
      <c r="H2147" s="96"/>
      <c r="I2147" s="60"/>
      <c r="J2147" s="60"/>
      <c r="K2147" s="60"/>
      <c r="L2147" s="60"/>
      <c r="M2147" s="60"/>
      <c r="N2147" s="60"/>
      <c r="O2147" s="60"/>
      <c r="P2147" s="60"/>
      <c r="Q2147" s="60"/>
      <c r="R2147" s="60"/>
      <c r="S2147" s="60"/>
      <c r="T2147" s="60"/>
      <c r="U2147" s="60"/>
      <c r="V2147" s="60"/>
      <c r="W2147" s="60"/>
      <c r="X2147" s="60"/>
      <c r="Y2147" s="60"/>
      <c r="Z2147" s="60"/>
    </row>
    <row r="2148" spans="1:26" ht="30" hidden="1" customHeight="1">
      <c r="A2148" s="98" t="s">
        <v>4235</v>
      </c>
      <c r="B2148" s="68" t="s">
        <v>4236</v>
      </c>
      <c r="C2148" s="99"/>
      <c r="D2148" s="96"/>
      <c r="E2148" s="53">
        <v>120785446.58</v>
      </c>
      <c r="F2148" s="53"/>
      <c r="G2148" s="96">
        <f t="shared" si="587"/>
        <v>120785446.58</v>
      </c>
      <c r="H2148" s="96"/>
      <c r="I2148" s="60"/>
      <c r="J2148" s="60"/>
      <c r="K2148" s="60"/>
      <c r="L2148" s="60"/>
      <c r="M2148" s="60"/>
      <c r="N2148" s="60"/>
      <c r="O2148" s="60"/>
      <c r="P2148" s="60"/>
      <c r="Q2148" s="60"/>
      <c r="R2148" s="60"/>
      <c r="S2148" s="60"/>
      <c r="T2148" s="60"/>
      <c r="U2148" s="60"/>
      <c r="V2148" s="60"/>
      <c r="W2148" s="60"/>
      <c r="X2148" s="60"/>
      <c r="Y2148" s="60"/>
      <c r="Z2148" s="60"/>
    </row>
    <row r="2149" spans="1:26" ht="30" hidden="1" customHeight="1">
      <c r="A2149" s="95" t="s">
        <v>4237</v>
      </c>
      <c r="B2149" s="68" t="s">
        <v>4238</v>
      </c>
      <c r="C2149" s="99"/>
      <c r="D2149" s="96"/>
      <c r="E2149" s="53"/>
      <c r="F2149" s="53"/>
      <c r="G2149" s="96">
        <f t="shared" si="587"/>
        <v>0</v>
      </c>
      <c r="H2149" s="96"/>
      <c r="I2149" s="60"/>
      <c r="J2149" s="60"/>
      <c r="K2149" s="60"/>
      <c r="L2149" s="60"/>
      <c r="M2149" s="60"/>
      <c r="N2149" s="60"/>
      <c r="O2149" s="60"/>
      <c r="P2149" s="60"/>
      <c r="Q2149" s="60"/>
      <c r="R2149" s="60"/>
      <c r="S2149" s="60"/>
      <c r="T2149" s="60"/>
      <c r="U2149" s="60"/>
      <c r="V2149" s="60"/>
      <c r="W2149" s="60"/>
      <c r="X2149" s="60"/>
      <c r="Y2149" s="60"/>
      <c r="Z2149" s="60"/>
    </row>
    <row r="2150" spans="1:26" ht="30" hidden="1" customHeight="1">
      <c r="A2150" s="98" t="s">
        <v>4239</v>
      </c>
      <c r="B2150" s="68" t="s">
        <v>4240</v>
      </c>
      <c r="C2150" s="99"/>
      <c r="D2150" s="96"/>
      <c r="E2150" s="53"/>
      <c r="F2150" s="53"/>
      <c r="G2150" s="96">
        <f t="shared" si="587"/>
        <v>0</v>
      </c>
      <c r="H2150" s="96"/>
      <c r="I2150" s="60"/>
      <c r="J2150" s="60"/>
      <c r="K2150" s="60"/>
      <c r="L2150" s="60"/>
      <c r="M2150" s="60"/>
      <c r="N2150" s="60"/>
      <c r="O2150" s="60"/>
      <c r="P2150" s="60"/>
      <c r="Q2150" s="60"/>
      <c r="R2150" s="60"/>
      <c r="S2150" s="60"/>
      <c r="T2150" s="60"/>
      <c r="U2150" s="60"/>
      <c r="V2150" s="60"/>
      <c r="W2150" s="60"/>
      <c r="X2150" s="60"/>
      <c r="Y2150" s="60"/>
      <c r="Z2150" s="60"/>
    </row>
    <row r="2151" spans="1:26" ht="30" hidden="1" customHeight="1">
      <c r="A2151" s="95" t="s">
        <v>4241</v>
      </c>
      <c r="B2151" s="68" t="s">
        <v>4242</v>
      </c>
      <c r="C2151" s="99"/>
      <c r="D2151" s="96"/>
      <c r="E2151" s="53"/>
      <c r="F2151" s="53"/>
      <c r="G2151" s="96">
        <f t="shared" si="587"/>
        <v>0</v>
      </c>
      <c r="H2151" s="96"/>
      <c r="I2151" s="60"/>
      <c r="J2151" s="60"/>
      <c r="K2151" s="60"/>
      <c r="L2151" s="60"/>
      <c r="M2151" s="60"/>
      <c r="N2151" s="60"/>
      <c r="O2151" s="60"/>
      <c r="P2151" s="60"/>
      <c r="Q2151" s="60"/>
      <c r="R2151" s="60"/>
      <c r="S2151" s="60"/>
      <c r="T2151" s="60"/>
      <c r="U2151" s="60"/>
      <c r="V2151" s="60"/>
      <c r="W2151" s="60"/>
      <c r="X2151" s="60"/>
      <c r="Y2151" s="60"/>
      <c r="Z2151" s="60"/>
    </row>
    <row r="2152" spans="1:26" ht="30" hidden="1" customHeight="1">
      <c r="A2152" s="98" t="s">
        <v>4243</v>
      </c>
      <c r="B2152" s="68" t="s">
        <v>4244</v>
      </c>
      <c r="C2152" s="99"/>
      <c r="D2152" s="96"/>
      <c r="E2152" s="53"/>
      <c r="F2152" s="53"/>
      <c r="G2152" s="96">
        <f t="shared" si="587"/>
        <v>0</v>
      </c>
      <c r="H2152" s="96"/>
      <c r="I2152" s="60"/>
      <c r="J2152" s="60"/>
      <c r="K2152" s="60"/>
      <c r="L2152" s="60"/>
      <c r="M2152" s="60"/>
      <c r="N2152" s="60"/>
      <c r="O2152" s="60"/>
      <c r="P2152" s="60"/>
      <c r="Q2152" s="60"/>
      <c r="R2152" s="60"/>
      <c r="S2152" s="60"/>
      <c r="T2152" s="60"/>
      <c r="U2152" s="60"/>
      <c r="V2152" s="60"/>
      <c r="W2152" s="60"/>
      <c r="X2152" s="60"/>
      <c r="Y2152" s="60"/>
      <c r="Z2152" s="60"/>
    </row>
    <row r="2153" spans="1:26" ht="30" hidden="1" customHeight="1">
      <c r="A2153" s="95" t="s">
        <v>4245</v>
      </c>
      <c r="B2153" s="68" t="s">
        <v>4246</v>
      </c>
      <c r="C2153" s="99"/>
      <c r="D2153" s="96"/>
      <c r="E2153" s="53"/>
      <c r="F2153" s="53"/>
      <c r="G2153" s="96">
        <f t="shared" si="587"/>
        <v>0</v>
      </c>
      <c r="H2153" s="96"/>
      <c r="I2153" s="60"/>
      <c r="J2153" s="60"/>
      <c r="K2153" s="60"/>
      <c r="L2153" s="60"/>
      <c r="M2153" s="60"/>
      <c r="N2153" s="60"/>
      <c r="O2153" s="60"/>
      <c r="P2153" s="60"/>
      <c r="Q2153" s="60"/>
      <c r="R2153" s="60"/>
      <c r="S2153" s="60"/>
      <c r="T2153" s="60"/>
      <c r="U2153" s="60"/>
      <c r="V2153" s="60"/>
      <c r="W2153" s="60"/>
      <c r="X2153" s="60"/>
      <c r="Y2153" s="60"/>
      <c r="Z2153" s="60"/>
    </row>
    <row r="2154" spans="1:26" ht="30" hidden="1" customHeight="1">
      <c r="A2154" s="98" t="s">
        <v>4247</v>
      </c>
      <c r="B2154" s="68" t="s">
        <v>4248</v>
      </c>
      <c r="C2154" s="99"/>
      <c r="D2154" s="96"/>
      <c r="E2154" s="53"/>
      <c r="F2154" s="53"/>
      <c r="G2154" s="96">
        <f t="shared" si="587"/>
        <v>0</v>
      </c>
      <c r="H2154" s="96"/>
      <c r="I2154" s="60"/>
      <c r="J2154" s="60"/>
      <c r="K2154" s="60"/>
      <c r="L2154" s="60"/>
      <c r="M2154" s="60"/>
      <c r="N2154" s="60"/>
      <c r="O2154" s="60"/>
      <c r="P2154" s="60"/>
      <c r="Q2154" s="60"/>
      <c r="R2154" s="60"/>
      <c r="S2154" s="60"/>
      <c r="T2154" s="60"/>
      <c r="U2154" s="60"/>
      <c r="V2154" s="60"/>
      <c r="W2154" s="60"/>
      <c r="X2154" s="60"/>
      <c r="Y2154" s="60"/>
      <c r="Z2154" s="60"/>
    </row>
    <row r="2155" spans="1:26" ht="30" hidden="1" customHeight="1">
      <c r="A2155" s="95" t="s">
        <v>4249</v>
      </c>
      <c r="B2155" s="68" t="s">
        <v>4250</v>
      </c>
      <c r="C2155" s="99"/>
      <c r="D2155" s="96"/>
      <c r="E2155" s="53"/>
      <c r="F2155" s="53"/>
      <c r="G2155" s="96">
        <f t="shared" si="587"/>
        <v>0</v>
      </c>
      <c r="H2155" s="96"/>
      <c r="I2155" s="60"/>
      <c r="J2155" s="60"/>
      <c r="K2155" s="60"/>
      <c r="L2155" s="60"/>
      <c r="M2155" s="60"/>
      <c r="N2155" s="60"/>
      <c r="O2155" s="60"/>
      <c r="P2155" s="60"/>
      <c r="Q2155" s="60"/>
      <c r="R2155" s="60"/>
      <c r="S2155" s="60"/>
      <c r="T2155" s="60"/>
      <c r="U2155" s="60"/>
      <c r="V2155" s="60"/>
      <c r="W2155" s="60"/>
      <c r="X2155" s="60"/>
      <c r="Y2155" s="60"/>
      <c r="Z2155" s="60"/>
    </row>
    <row r="2156" spans="1:26" ht="30" hidden="1" customHeight="1">
      <c r="A2156" s="92" t="s">
        <v>4251</v>
      </c>
      <c r="B2156" s="101" t="s">
        <v>2673</v>
      </c>
      <c r="C2156" s="94"/>
      <c r="D2156" s="94"/>
      <c r="E2156" s="39">
        <f t="shared" ref="E2156:G2156" si="588">SUM(E2157:E2174)</f>
        <v>81920385.650000006</v>
      </c>
      <c r="F2156" s="39">
        <f t="shared" si="588"/>
        <v>0</v>
      </c>
      <c r="G2156" s="39">
        <f t="shared" si="588"/>
        <v>81920385.650000006</v>
      </c>
      <c r="H2156" s="94"/>
      <c r="I2156" s="60"/>
      <c r="J2156" s="60"/>
      <c r="K2156" s="60"/>
      <c r="L2156" s="60"/>
      <c r="M2156" s="60"/>
      <c r="N2156" s="60"/>
      <c r="O2156" s="60"/>
      <c r="P2156" s="60"/>
      <c r="Q2156" s="60"/>
      <c r="R2156" s="60"/>
      <c r="S2156" s="60"/>
      <c r="T2156" s="60"/>
      <c r="U2156" s="60"/>
      <c r="V2156" s="60"/>
      <c r="W2156" s="60"/>
      <c r="X2156" s="60"/>
      <c r="Y2156" s="60"/>
      <c r="Z2156" s="60"/>
    </row>
    <row r="2157" spans="1:26" ht="30" hidden="1" customHeight="1">
      <c r="A2157" s="98" t="s">
        <v>4252</v>
      </c>
      <c r="B2157" s="68" t="s">
        <v>4253</v>
      </c>
      <c r="C2157" s="99"/>
      <c r="D2157" s="96"/>
      <c r="E2157" s="53">
        <v>30232.95</v>
      </c>
      <c r="F2157" s="53"/>
      <c r="G2157" s="96">
        <f t="shared" ref="G2157:G2174" si="589">ROUND(E2157-F2157,2)</f>
        <v>30232.95</v>
      </c>
      <c r="H2157" s="96"/>
      <c r="I2157" s="60"/>
      <c r="J2157" s="60"/>
      <c r="K2157" s="60"/>
      <c r="L2157" s="60"/>
      <c r="M2157" s="60"/>
      <c r="N2157" s="60"/>
      <c r="O2157" s="60"/>
      <c r="P2157" s="60"/>
      <c r="Q2157" s="60"/>
      <c r="R2157" s="60"/>
      <c r="S2157" s="60"/>
      <c r="T2157" s="60"/>
      <c r="U2157" s="60"/>
      <c r="V2157" s="60"/>
      <c r="W2157" s="60"/>
      <c r="X2157" s="60"/>
      <c r="Y2157" s="60"/>
      <c r="Z2157" s="60"/>
    </row>
    <row r="2158" spans="1:26" ht="30" hidden="1" customHeight="1">
      <c r="A2158" s="95" t="s">
        <v>4254</v>
      </c>
      <c r="B2158" s="68" t="s">
        <v>4255</v>
      </c>
      <c r="C2158" s="99"/>
      <c r="D2158" s="96"/>
      <c r="E2158" s="53"/>
      <c r="F2158" s="53"/>
      <c r="G2158" s="96">
        <f t="shared" si="589"/>
        <v>0</v>
      </c>
      <c r="H2158" s="96"/>
      <c r="I2158" s="60"/>
      <c r="J2158" s="60"/>
      <c r="K2158" s="60"/>
      <c r="L2158" s="60"/>
      <c r="M2158" s="60"/>
      <c r="N2158" s="60"/>
      <c r="O2158" s="60"/>
      <c r="P2158" s="60"/>
      <c r="Q2158" s="60"/>
      <c r="R2158" s="60"/>
      <c r="S2158" s="60"/>
      <c r="T2158" s="60"/>
      <c r="U2158" s="60"/>
      <c r="V2158" s="60"/>
      <c r="W2158" s="60"/>
      <c r="X2158" s="60"/>
      <c r="Y2158" s="60"/>
      <c r="Z2158" s="60"/>
    </row>
    <row r="2159" spans="1:26" ht="30" hidden="1" customHeight="1">
      <c r="A2159" s="98" t="s">
        <v>4256</v>
      </c>
      <c r="B2159" s="68" t="s">
        <v>4257</v>
      </c>
      <c r="C2159" s="99"/>
      <c r="D2159" s="96"/>
      <c r="E2159" s="53">
        <v>4842.42</v>
      </c>
      <c r="F2159" s="53"/>
      <c r="G2159" s="96">
        <f t="shared" si="589"/>
        <v>4842.42</v>
      </c>
      <c r="H2159" s="96"/>
      <c r="I2159" s="60"/>
      <c r="J2159" s="60"/>
      <c r="K2159" s="60"/>
      <c r="L2159" s="60"/>
      <c r="M2159" s="60"/>
      <c r="N2159" s="60"/>
      <c r="O2159" s="60"/>
      <c r="P2159" s="60"/>
      <c r="Q2159" s="60"/>
      <c r="R2159" s="60"/>
      <c r="S2159" s="60"/>
      <c r="T2159" s="60"/>
      <c r="U2159" s="60"/>
      <c r="V2159" s="60"/>
      <c r="W2159" s="60"/>
      <c r="X2159" s="60"/>
      <c r="Y2159" s="60"/>
      <c r="Z2159" s="60"/>
    </row>
    <row r="2160" spans="1:26" ht="30" hidden="1" customHeight="1">
      <c r="A2160" s="95" t="s">
        <v>4258</v>
      </c>
      <c r="B2160" s="68" t="s">
        <v>4259</v>
      </c>
      <c r="C2160" s="99"/>
      <c r="D2160" s="96"/>
      <c r="E2160" s="53"/>
      <c r="F2160" s="53"/>
      <c r="G2160" s="96">
        <f t="shared" si="589"/>
        <v>0</v>
      </c>
      <c r="H2160" s="96"/>
      <c r="I2160" s="60"/>
      <c r="J2160" s="60"/>
      <c r="K2160" s="60"/>
      <c r="L2160" s="60"/>
      <c r="M2160" s="60"/>
      <c r="N2160" s="60"/>
      <c r="O2160" s="60"/>
      <c r="P2160" s="60"/>
      <c r="Q2160" s="60"/>
      <c r="R2160" s="60"/>
      <c r="S2160" s="60"/>
      <c r="T2160" s="60"/>
      <c r="U2160" s="60"/>
      <c r="V2160" s="60"/>
      <c r="W2160" s="60"/>
      <c r="X2160" s="60"/>
      <c r="Y2160" s="60"/>
      <c r="Z2160" s="60"/>
    </row>
    <row r="2161" spans="1:26" ht="30" hidden="1" customHeight="1">
      <c r="A2161" s="98" t="s">
        <v>4260</v>
      </c>
      <c r="B2161" s="68" t="s">
        <v>4261</v>
      </c>
      <c r="C2161" s="99"/>
      <c r="D2161" s="96"/>
      <c r="E2161" s="53"/>
      <c r="F2161" s="53"/>
      <c r="G2161" s="96">
        <f t="shared" si="589"/>
        <v>0</v>
      </c>
      <c r="H2161" s="96"/>
      <c r="I2161" s="60"/>
      <c r="J2161" s="60"/>
      <c r="K2161" s="60"/>
      <c r="L2161" s="60"/>
      <c r="M2161" s="60"/>
      <c r="N2161" s="60"/>
      <c r="O2161" s="60"/>
      <c r="P2161" s="60"/>
      <c r="Q2161" s="60"/>
      <c r="R2161" s="60"/>
      <c r="S2161" s="60"/>
      <c r="T2161" s="60"/>
      <c r="U2161" s="60"/>
      <c r="V2161" s="60"/>
      <c r="W2161" s="60"/>
      <c r="X2161" s="60"/>
      <c r="Y2161" s="60"/>
      <c r="Z2161" s="60"/>
    </row>
    <row r="2162" spans="1:26" ht="30" hidden="1" customHeight="1">
      <c r="A2162" s="95" t="s">
        <v>4262</v>
      </c>
      <c r="B2162" s="68" t="s">
        <v>4263</v>
      </c>
      <c r="C2162" s="99"/>
      <c r="D2162" s="96"/>
      <c r="E2162" s="53"/>
      <c r="F2162" s="53"/>
      <c r="G2162" s="96">
        <f t="shared" si="589"/>
        <v>0</v>
      </c>
      <c r="H2162" s="96"/>
      <c r="I2162" s="60"/>
      <c r="J2162" s="60"/>
      <c r="K2162" s="60"/>
      <c r="L2162" s="60"/>
      <c r="M2162" s="60"/>
      <c r="N2162" s="60"/>
      <c r="O2162" s="60"/>
      <c r="P2162" s="60"/>
      <c r="Q2162" s="60"/>
      <c r="R2162" s="60"/>
      <c r="S2162" s="60"/>
      <c r="T2162" s="60"/>
      <c r="U2162" s="60"/>
      <c r="V2162" s="60"/>
      <c r="W2162" s="60"/>
      <c r="X2162" s="60"/>
      <c r="Y2162" s="60"/>
      <c r="Z2162" s="60"/>
    </row>
    <row r="2163" spans="1:26" ht="30" hidden="1" customHeight="1">
      <c r="A2163" s="98" t="s">
        <v>4264</v>
      </c>
      <c r="B2163" s="68" t="s">
        <v>4265</v>
      </c>
      <c r="C2163" s="99"/>
      <c r="D2163" s="96"/>
      <c r="E2163" s="53">
        <v>40104899.490000002</v>
      </c>
      <c r="F2163" s="53"/>
      <c r="G2163" s="96">
        <f t="shared" si="589"/>
        <v>40104899.490000002</v>
      </c>
      <c r="H2163" s="96"/>
      <c r="I2163" s="60"/>
      <c r="J2163" s="60"/>
      <c r="K2163" s="60"/>
      <c r="L2163" s="60"/>
      <c r="M2163" s="60"/>
      <c r="N2163" s="60"/>
      <c r="O2163" s="60"/>
      <c r="P2163" s="60"/>
      <c r="Q2163" s="60"/>
      <c r="R2163" s="60"/>
      <c r="S2163" s="60"/>
      <c r="T2163" s="60"/>
      <c r="U2163" s="60"/>
      <c r="V2163" s="60"/>
      <c r="W2163" s="60"/>
      <c r="X2163" s="60"/>
      <c r="Y2163" s="60"/>
      <c r="Z2163" s="60"/>
    </row>
    <row r="2164" spans="1:26" ht="30" hidden="1" customHeight="1">
      <c r="A2164" s="95" t="s">
        <v>4266</v>
      </c>
      <c r="B2164" s="68" t="s">
        <v>4267</v>
      </c>
      <c r="C2164" s="99"/>
      <c r="D2164" s="96"/>
      <c r="E2164" s="53"/>
      <c r="F2164" s="53"/>
      <c r="G2164" s="96">
        <f t="shared" si="589"/>
        <v>0</v>
      </c>
      <c r="H2164" s="96"/>
      <c r="I2164" s="60"/>
      <c r="J2164" s="60"/>
      <c r="K2164" s="60"/>
      <c r="L2164" s="60"/>
      <c r="M2164" s="60"/>
      <c r="N2164" s="60"/>
      <c r="O2164" s="60"/>
      <c r="P2164" s="60"/>
      <c r="Q2164" s="60"/>
      <c r="R2164" s="60"/>
      <c r="S2164" s="60"/>
      <c r="T2164" s="60"/>
      <c r="U2164" s="60"/>
      <c r="V2164" s="60"/>
      <c r="W2164" s="60"/>
      <c r="X2164" s="60"/>
      <c r="Y2164" s="60"/>
      <c r="Z2164" s="60"/>
    </row>
    <row r="2165" spans="1:26" ht="30" hidden="1" customHeight="1">
      <c r="A2165" s="98" t="s">
        <v>4268</v>
      </c>
      <c r="B2165" s="68" t="s">
        <v>4269</v>
      </c>
      <c r="C2165" s="99"/>
      <c r="D2165" s="96"/>
      <c r="E2165" s="53">
        <v>10507501.130000001</v>
      </c>
      <c r="F2165" s="53"/>
      <c r="G2165" s="96">
        <f t="shared" si="589"/>
        <v>10507501.130000001</v>
      </c>
      <c r="H2165" s="96"/>
      <c r="I2165" s="60"/>
      <c r="J2165" s="60"/>
      <c r="K2165" s="60"/>
      <c r="L2165" s="60"/>
      <c r="M2165" s="60"/>
      <c r="N2165" s="60"/>
      <c r="O2165" s="60"/>
      <c r="P2165" s="60"/>
      <c r="Q2165" s="60"/>
      <c r="R2165" s="60"/>
      <c r="S2165" s="60"/>
      <c r="T2165" s="60"/>
      <c r="U2165" s="60"/>
      <c r="V2165" s="60"/>
      <c r="W2165" s="60"/>
      <c r="X2165" s="60"/>
      <c r="Y2165" s="60"/>
      <c r="Z2165" s="60"/>
    </row>
    <row r="2166" spans="1:26" ht="30" hidden="1" customHeight="1">
      <c r="A2166" s="95" t="s">
        <v>4270</v>
      </c>
      <c r="B2166" s="68" t="s">
        <v>4271</v>
      </c>
      <c r="C2166" s="99"/>
      <c r="D2166" s="96"/>
      <c r="E2166" s="53"/>
      <c r="F2166" s="53"/>
      <c r="G2166" s="96">
        <f t="shared" si="589"/>
        <v>0</v>
      </c>
      <c r="H2166" s="96"/>
      <c r="I2166" s="60"/>
      <c r="J2166" s="60"/>
      <c r="K2166" s="60"/>
      <c r="L2166" s="60"/>
      <c r="M2166" s="60"/>
      <c r="N2166" s="60"/>
      <c r="O2166" s="60"/>
      <c r="P2166" s="60"/>
      <c r="Q2166" s="60"/>
      <c r="R2166" s="60"/>
      <c r="S2166" s="60"/>
      <c r="T2166" s="60"/>
      <c r="U2166" s="60"/>
      <c r="V2166" s="60"/>
      <c r="W2166" s="60"/>
      <c r="X2166" s="60"/>
      <c r="Y2166" s="60"/>
      <c r="Z2166" s="60"/>
    </row>
    <row r="2167" spans="1:26" ht="30" hidden="1" customHeight="1">
      <c r="A2167" s="98" t="s">
        <v>4272</v>
      </c>
      <c r="B2167" s="68" t="s">
        <v>4273</v>
      </c>
      <c r="C2167" s="99"/>
      <c r="D2167" s="96"/>
      <c r="E2167" s="53">
        <v>19002419.48</v>
      </c>
      <c r="F2167" s="53"/>
      <c r="G2167" s="96">
        <f t="shared" si="589"/>
        <v>19002419.48</v>
      </c>
      <c r="H2167" s="96"/>
      <c r="I2167" s="60"/>
      <c r="J2167" s="60"/>
      <c r="K2167" s="60"/>
      <c r="L2167" s="60"/>
      <c r="M2167" s="60"/>
      <c r="N2167" s="60"/>
      <c r="O2167" s="60"/>
      <c r="P2167" s="60"/>
      <c r="Q2167" s="60"/>
      <c r="R2167" s="60"/>
      <c r="S2167" s="60"/>
      <c r="T2167" s="60"/>
      <c r="U2167" s="60"/>
      <c r="V2167" s="60"/>
      <c r="W2167" s="60"/>
      <c r="X2167" s="60"/>
      <c r="Y2167" s="60"/>
      <c r="Z2167" s="60"/>
    </row>
    <row r="2168" spans="1:26" ht="30" hidden="1" customHeight="1">
      <c r="A2168" s="95" t="s">
        <v>4274</v>
      </c>
      <c r="B2168" s="68" t="s">
        <v>4275</v>
      </c>
      <c r="C2168" s="99"/>
      <c r="D2168" s="96"/>
      <c r="E2168" s="53"/>
      <c r="F2168" s="53"/>
      <c r="G2168" s="96">
        <f t="shared" si="589"/>
        <v>0</v>
      </c>
      <c r="H2168" s="96"/>
      <c r="I2168" s="60"/>
      <c r="J2168" s="60"/>
      <c r="K2168" s="60"/>
      <c r="L2168" s="60"/>
      <c r="M2168" s="60"/>
      <c r="N2168" s="60"/>
      <c r="O2168" s="60"/>
      <c r="P2168" s="60"/>
      <c r="Q2168" s="60"/>
      <c r="R2168" s="60"/>
      <c r="S2168" s="60"/>
      <c r="T2168" s="60"/>
      <c r="U2168" s="60"/>
      <c r="V2168" s="60"/>
      <c r="W2168" s="60"/>
      <c r="X2168" s="60"/>
      <c r="Y2168" s="60"/>
      <c r="Z2168" s="60"/>
    </row>
    <row r="2169" spans="1:26" ht="30" hidden="1" customHeight="1">
      <c r="A2169" s="98" t="s">
        <v>4276</v>
      </c>
      <c r="B2169" s="68" t="s">
        <v>4277</v>
      </c>
      <c r="C2169" s="99"/>
      <c r="D2169" s="96"/>
      <c r="E2169" s="53"/>
      <c r="F2169" s="53"/>
      <c r="G2169" s="96">
        <f t="shared" si="589"/>
        <v>0</v>
      </c>
      <c r="H2169" s="96"/>
      <c r="I2169" s="60"/>
      <c r="J2169" s="60"/>
      <c r="K2169" s="60"/>
      <c r="L2169" s="60"/>
      <c r="M2169" s="60"/>
      <c r="N2169" s="60"/>
      <c r="O2169" s="60"/>
      <c r="P2169" s="60"/>
      <c r="Q2169" s="60"/>
      <c r="R2169" s="60"/>
      <c r="S2169" s="60"/>
      <c r="T2169" s="60"/>
      <c r="U2169" s="60"/>
      <c r="V2169" s="60"/>
      <c r="W2169" s="60"/>
      <c r="X2169" s="60"/>
      <c r="Y2169" s="60"/>
      <c r="Z2169" s="60"/>
    </row>
    <row r="2170" spans="1:26" ht="30" hidden="1" customHeight="1">
      <c r="A2170" s="95" t="s">
        <v>4278</v>
      </c>
      <c r="B2170" s="68" t="s">
        <v>4279</v>
      </c>
      <c r="C2170" s="99"/>
      <c r="D2170" s="96"/>
      <c r="E2170" s="53"/>
      <c r="F2170" s="53"/>
      <c r="G2170" s="96">
        <f t="shared" si="589"/>
        <v>0</v>
      </c>
      <c r="H2170" s="96"/>
      <c r="I2170" s="60"/>
      <c r="J2170" s="60"/>
      <c r="K2170" s="60"/>
      <c r="L2170" s="60"/>
      <c r="M2170" s="60"/>
      <c r="N2170" s="60"/>
      <c r="O2170" s="60"/>
      <c r="P2170" s="60"/>
      <c r="Q2170" s="60"/>
      <c r="R2170" s="60"/>
      <c r="S2170" s="60"/>
      <c r="T2170" s="60"/>
      <c r="U2170" s="60"/>
      <c r="V2170" s="60"/>
      <c r="W2170" s="60"/>
      <c r="X2170" s="60"/>
      <c r="Y2170" s="60"/>
      <c r="Z2170" s="60"/>
    </row>
    <row r="2171" spans="1:26" ht="30" hidden="1" customHeight="1">
      <c r="A2171" s="98" t="s">
        <v>4280</v>
      </c>
      <c r="B2171" s="68" t="s">
        <v>4281</v>
      </c>
      <c r="C2171" s="99"/>
      <c r="D2171" s="96"/>
      <c r="E2171" s="53"/>
      <c r="F2171" s="53"/>
      <c r="G2171" s="96">
        <f t="shared" si="589"/>
        <v>0</v>
      </c>
      <c r="H2171" s="96"/>
      <c r="I2171" s="60"/>
      <c r="J2171" s="60"/>
      <c r="K2171" s="60"/>
      <c r="L2171" s="60"/>
      <c r="M2171" s="60"/>
      <c r="N2171" s="60"/>
      <c r="O2171" s="60"/>
      <c r="P2171" s="60"/>
      <c r="Q2171" s="60"/>
      <c r="R2171" s="60"/>
      <c r="S2171" s="60"/>
      <c r="T2171" s="60"/>
      <c r="U2171" s="60"/>
      <c r="V2171" s="60"/>
      <c r="W2171" s="60"/>
      <c r="X2171" s="60"/>
      <c r="Y2171" s="60"/>
      <c r="Z2171" s="60"/>
    </row>
    <row r="2172" spans="1:26" ht="30" hidden="1" customHeight="1">
      <c r="A2172" s="95" t="s">
        <v>4282</v>
      </c>
      <c r="B2172" s="68" t="s">
        <v>4283</v>
      </c>
      <c r="C2172" s="99"/>
      <c r="D2172" s="96"/>
      <c r="E2172" s="53"/>
      <c r="F2172" s="53"/>
      <c r="G2172" s="96">
        <f t="shared" si="589"/>
        <v>0</v>
      </c>
      <c r="H2172" s="96"/>
      <c r="I2172" s="60"/>
      <c r="J2172" s="60"/>
      <c r="K2172" s="60"/>
      <c r="L2172" s="60"/>
      <c r="M2172" s="60"/>
      <c r="N2172" s="60"/>
      <c r="O2172" s="60"/>
      <c r="P2172" s="60"/>
      <c r="Q2172" s="60"/>
      <c r="R2172" s="60"/>
      <c r="S2172" s="60"/>
      <c r="T2172" s="60"/>
      <c r="U2172" s="60"/>
      <c r="V2172" s="60"/>
      <c r="W2172" s="60"/>
      <c r="X2172" s="60"/>
      <c r="Y2172" s="60"/>
      <c r="Z2172" s="60"/>
    </row>
    <row r="2173" spans="1:26" ht="30" hidden="1" customHeight="1">
      <c r="A2173" s="98" t="s">
        <v>4284</v>
      </c>
      <c r="B2173" s="68" t="s">
        <v>4285</v>
      </c>
      <c r="C2173" s="99"/>
      <c r="D2173" s="96"/>
      <c r="E2173" s="53">
        <v>12270490.18</v>
      </c>
      <c r="F2173" s="53"/>
      <c r="G2173" s="96">
        <f t="shared" si="589"/>
        <v>12270490.18</v>
      </c>
      <c r="H2173" s="96"/>
      <c r="I2173" s="60"/>
      <c r="J2173" s="60"/>
      <c r="K2173" s="60"/>
      <c r="L2173" s="60"/>
      <c r="M2173" s="60"/>
      <c r="N2173" s="60"/>
      <c r="O2173" s="60"/>
      <c r="P2173" s="60"/>
      <c r="Q2173" s="60"/>
      <c r="R2173" s="60"/>
      <c r="S2173" s="60"/>
      <c r="T2173" s="60"/>
      <c r="U2173" s="60"/>
      <c r="V2173" s="60"/>
      <c r="W2173" s="60"/>
      <c r="X2173" s="60"/>
      <c r="Y2173" s="60"/>
      <c r="Z2173" s="60"/>
    </row>
    <row r="2174" spans="1:26" ht="30" hidden="1" customHeight="1">
      <c r="A2174" s="95" t="s">
        <v>4286</v>
      </c>
      <c r="B2174" s="68" t="s">
        <v>4287</v>
      </c>
      <c r="C2174" s="99"/>
      <c r="D2174" s="96"/>
      <c r="E2174" s="53"/>
      <c r="F2174" s="53"/>
      <c r="G2174" s="96">
        <f t="shared" si="589"/>
        <v>0</v>
      </c>
      <c r="H2174" s="96"/>
      <c r="I2174" s="60"/>
      <c r="J2174" s="60"/>
      <c r="K2174" s="60"/>
      <c r="L2174" s="60"/>
      <c r="M2174" s="60"/>
      <c r="N2174" s="60"/>
      <c r="O2174" s="60"/>
      <c r="P2174" s="60"/>
      <c r="Q2174" s="60"/>
      <c r="R2174" s="60"/>
      <c r="S2174" s="60"/>
      <c r="T2174" s="60"/>
      <c r="U2174" s="60"/>
      <c r="V2174" s="60"/>
      <c r="W2174" s="60"/>
      <c r="X2174" s="60"/>
      <c r="Y2174" s="60"/>
      <c r="Z2174" s="60"/>
    </row>
    <row r="2175" spans="1:26" ht="30" hidden="1" customHeight="1">
      <c r="A2175" s="92" t="s">
        <v>4288</v>
      </c>
      <c r="B2175" s="101" t="s">
        <v>2711</v>
      </c>
      <c r="C2175" s="94"/>
      <c r="D2175" s="94"/>
      <c r="E2175" s="39">
        <f t="shared" ref="E2175:G2175" si="590">SUM(E2176:E2181)</f>
        <v>218230294.47</v>
      </c>
      <c r="F2175" s="39">
        <f t="shared" si="590"/>
        <v>0</v>
      </c>
      <c r="G2175" s="39">
        <f t="shared" si="590"/>
        <v>218230294.47</v>
      </c>
      <c r="H2175" s="94"/>
      <c r="I2175" s="60"/>
      <c r="J2175" s="60"/>
      <c r="K2175" s="60"/>
      <c r="L2175" s="60"/>
      <c r="M2175" s="60"/>
      <c r="N2175" s="60"/>
      <c r="O2175" s="60"/>
      <c r="P2175" s="60"/>
      <c r="Q2175" s="60"/>
      <c r="R2175" s="60"/>
      <c r="S2175" s="60"/>
      <c r="T2175" s="60"/>
      <c r="U2175" s="60"/>
      <c r="V2175" s="60"/>
      <c r="W2175" s="60"/>
      <c r="X2175" s="60"/>
      <c r="Y2175" s="60"/>
      <c r="Z2175" s="60"/>
    </row>
    <row r="2176" spans="1:26" ht="30" hidden="1" customHeight="1">
      <c r="A2176" s="98" t="s">
        <v>4289</v>
      </c>
      <c r="B2176" s="68" t="s">
        <v>4290</v>
      </c>
      <c r="C2176" s="99"/>
      <c r="D2176" s="96"/>
      <c r="E2176" s="53">
        <v>218230294.47</v>
      </c>
      <c r="F2176" s="53"/>
      <c r="G2176" s="96">
        <f t="shared" ref="G2176:G2181" si="591">ROUND(E2176-F2176,2)</f>
        <v>218230294.47</v>
      </c>
      <c r="H2176" s="96"/>
      <c r="I2176" s="60"/>
      <c r="J2176" s="60"/>
      <c r="K2176" s="60"/>
      <c r="L2176" s="60"/>
      <c r="M2176" s="60"/>
      <c r="N2176" s="60"/>
      <c r="O2176" s="60"/>
      <c r="P2176" s="60"/>
      <c r="Q2176" s="60"/>
      <c r="R2176" s="60"/>
      <c r="S2176" s="60"/>
      <c r="T2176" s="60"/>
      <c r="U2176" s="60"/>
      <c r="V2176" s="60"/>
      <c r="W2176" s="60"/>
      <c r="X2176" s="60"/>
      <c r="Y2176" s="60"/>
      <c r="Z2176" s="60"/>
    </row>
    <row r="2177" spans="1:26" ht="30" hidden="1" customHeight="1">
      <c r="A2177" s="95" t="s">
        <v>4291</v>
      </c>
      <c r="B2177" s="68" t="s">
        <v>4292</v>
      </c>
      <c r="C2177" s="99"/>
      <c r="D2177" s="96"/>
      <c r="E2177" s="53"/>
      <c r="F2177" s="53"/>
      <c r="G2177" s="96">
        <f t="shared" si="591"/>
        <v>0</v>
      </c>
      <c r="H2177" s="96"/>
      <c r="I2177" s="60"/>
      <c r="J2177" s="60"/>
      <c r="K2177" s="60"/>
      <c r="L2177" s="60"/>
      <c r="M2177" s="60"/>
      <c r="N2177" s="60"/>
      <c r="O2177" s="60"/>
      <c r="P2177" s="60"/>
      <c r="Q2177" s="60"/>
      <c r="R2177" s="60"/>
      <c r="S2177" s="60"/>
      <c r="T2177" s="60"/>
      <c r="U2177" s="60"/>
      <c r="V2177" s="60"/>
      <c r="W2177" s="60"/>
      <c r="X2177" s="60"/>
      <c r="Y2177" s="60"/>
      <c r="Z2177" s="60"/>
    </row>
    <row r="2178" spans="1:26" ht="30" hidden="1" customHeight="1">
      <c r="A2178" s="98" t="s">
        <v>4293</v>
      </c>
      <c r="B2178" s="68" t="s">
        <v>4294</v>
      </c>
      <c r="C2178" s="99"/>
      <c r="D2178" s="96"/>
      <c r="E2178" s="53"/>
      <c r="F2178" s="53"/>
      <c r="G2178" s="96">
        <f t="shared" si="591"/>
        <v>0</v>
      </c>
      <c r="H2178" s="96"/>
      <c r="I2178" s="60"/>
      <c r="J2178" s="60"/>
      <c r="K2178" s="60"/>
      <c r="L2178" s="60"/>
      <c r="M2178" s="60"/>
      <c r="N2178" s="60"/>
      <c r="O2178" s="60"/>
      <c r="P2178" s="60"/>
      <c r="Q2178" s="60"/>
      <c r="R2178" s="60"/>
      <c r="S2178" s="60"/>
      <c r="T2178" s="60"/>
      <c r="U2178" s="60"/>
      <c r="V2178" s="60"/>
      <c r="W2178" s="60"/>
      <c r="X2178" s="60"/>
      <c r="Y2178" s="60"/>
      <c r="Z2178" s="60"/>
    </row>
    <row r="2179" spans="1:26" ht="30" hidden="1" customHeight="1">
      <c r="A2179" s="95" t="s">
        <v>4295</v>
      </c>
      <c r="B2179" s="68" t="s">
        <v>4296</v>
      </c>
      <c r="C2179" s="99"/>
      <c r="D2179" s="96"/>
      <c r="E2179" s="53"/>
      <c r="F2179" s="53"/>
      <c r="G2179" s="96">
        <f t="shared" si="591"/>
        <v>0</v>
      </c>
      <c r="H2179" s="96"/>
      <c r="I2179" s="60"/>
      <c r="J2179" s="60"/>
      <c r="K2179" s="60"/>
      <c r="L2179" s="60"/>
      <c r="M2179" s="60"/>
      <c r="N2179" s="60"/>
      <c r="O2179" s="60"/>
      <c r="P2179" s="60"/>
      <c r="Q2179" s="60"/>
      <c r="R2179" s="60"/>
      <c r="S2179" s="60"/>
      <c r="T2179" s="60"/>
      <c r="U2179" s="60"/>
      <c r="V2179" s="60"/>
      <c r="W2179" s="60"/>
      <c r="X2179" s="60"/>
      <c r="Y2179" s="60"/>
      <c r="Z2179" s="60"/>
    </row>
    <row r="2180" spans="1:26" ht="30" hidden="1" customHeight="1">
      <c r="A2180" s="98" t="s">
        <v>4297</v>
      </c>
      <c r="B2180" s="68" t="s">
        <v>4298</v>
      </c>
      <c r="C2180" s="99"/>
      <c r="D2180" s="96"/>
      <c r="E2180" s="53"/>
      <c r="F2180" s="53"/>
      <c r="G2180" s="96">
        <f t="shared" si="591"/>
        <v>0</v>
      </c>
      <c r="H2180" s="96"/>
      <c r="I2180" s="60"/>
      <c r="J2180" s="60"/>
      <c r="K2180" s="60"/>
      <c r="L2180" s="60"/>
      <c r="M2180" s="60"/>
      <c r="N2180" s="60"/>
      <c r="O2180" s="60"/>
      <c r="P2180" s="60"/>
      <c r="Q2180" s="60"/>
      <c r="R2180" s="60"/>
      <c r="S2180" s="60"/>
      <c r="T2180" s="60"/>
      <c r="U2180" s="60"/>
      <c r="V2180" s="60"/>
      <c r="W2180" s="60"/>
      <c r="X2180" s="60"/>
      <c r="Y2180" s="60"/>
      <c r="Z2180" s="60"/>
    </row>
    <row r="2181" spans="1:26" ht="30" hidden="1" customHeight="1">
      <c r="A2181" s="95" t="s">
        <v>4299</v>
      </c>
      <c r="B2181" s="68" t="s">
        <v>4300</v>
      </c>
      <c r="C2181" s="99"/>
      <c r="D2181" s="96"/>
      <c r="E2181" s="53"/>
      <c r="F2181" s="53"/>
      <c r="G2181" s="96">
        <f t="shared" si="591"/>
        <v>0</v>
      </c>
      <c r="H2181" s="96"/>
      <c r="I2181" s="60"/>
      <c r="J2181" s="60"/>
      <c r="K2181" s="60"/>
      <c r="L2181" s="60"/>
      <c r="M2181" s="60"/>
      <c r="N2181" s="60"/>
      <c r="O2181" s="60"/>
      <c r="P2181" s="60"/>
      <c r="Q2181" s="60"/>
      <c r="R2181" s="60"/>
      <c r="S2181" s="60"/>
      <c r="T2181" s="60"/>
      <c r="U2181" s="60"/>
      <c r="V2181" s="60"/>
      <c r="W2181" s="60"/>
      <c r="X2181" s="60"/>
      <c r="Y2181" s="60"/>
      <c r="Z2181" s="60"/>
    </row>
    <row r="2182" spans="1:26" ht="30" hidden="1" customHeight="1">
      <c r="A2182" s="92" t="s">
        <v>4301</v>
      </c>
      <c r="B2182" s="101" t="s">
        <v>2725</v>
      </c>
      <c r="C2182" s="94"/>
      <c r="D2182" s="94"/>
      <c r="E2182" s="39">
        <f t="shared" ref="E2182:G2182" si="592">SUM(E2183:E2196)</f>
        <v>0</v>
      </c>
      <c r="F2182" s="39">
        <f t="shared" si="592"/>
        <v>0</v>
      </c>
      <c r="G2182" s="39">
        <f t="shared" si="592"/>
        <v>0</v>
      </c>
      <c r="H2182" s="94"/>
      <c r="I2182" s="60"/>
      <c r="J2182" s="60"/>
      <c r="K2182" s="60"/>
      <c r="L2182" s="60"/>
      <c r="M2182" s="60"/>
      <c r="N2182" s="60"/>
      <c r="O2182" s="60"/>
      <c r="P2182" s="60"/>
      <c r="Q2182" s="60"/>
      <c r="R2182" s="60"/>
      <c r="S2182" s="60"/>
      <c r="T2182" s="60"/>
      <c r="U2182" s="60"/>
      <c r="V2182" s="60"/>
      <c r="W2182" s="60"/>
      <c r="X2182" s="60"/>
      <c r="Y2182" s="60"/>
      <c r="Z2182" s="60"/>
    </row>
    <row r="2183" spans="1:26" ht="30" hidden="1" customHeight="1">
      <c r="A2183" s="98" t="s">
        <v>4302</v>
      </c>
      <c r="B2183" s="68" t="s">
        <v>4303</v>
      </c>
      <c r="C2183" s="99"/>
      <c r="D2183" s="96"/>
      <c r="E2183" s="53"/>
      <c r="F2183" s="53"/>
      <c r="G2183" s="96">
        <f t="shared" ref="G2183:G2196" si="593">ROUND(E2183-F2183,2)</f>
        <v>0</v>
      </c>
      <c r="H2183" s="96"/>
      <c r="I2183" s="60"/>
      <c r="J2183" s="60"/>
      <c r="K2183" s="60"/>
      <c r="L2183" s="60"/>
      <c r="M2183" s="60"/>
      <c r="N2183" s="60"/>
      <c r="O2183" s="60"/>
      <c r="P2183" s="60"/>
      <c r="Q2183" s="60"/>
      <c r="R2183" s="60"/>
      <c r="S2183" s="60"/>
      <c r="T2183" s="60"/>
      <c r="U2183" s="60"/>
      <c r="V2183" s="60"/>
      <c r="W2183" s="60"/>
      <c r="X2183" s="60"/>
      <c r="Y2183" s="60"/>
      <c r="Z2183" s="60"/>
    </row>
    <row r="2184" spans="1:26" ht="30" hidden="1" customHeight="1">
      <c r="A2184" s="95" t="s">
        <v>4304</v>
      </c>
      <c r="B2184" s="68" t="s">
        <v>4305</v>
      </c>
      <c r="C2184" s="99"/>
      <c r="D2184" s="96"/>
      <c r="E2184" s="53"/>
      <c r="F2184" s="53"/>
      <c r="G2184" s="96">
        <f t="shared" si="593"/>
        <v>0</v>
      </c>
      <c r="H2184" s="96"/>
      <c r="I2184" s="60"/>
      <c r="J2184" s="60"/>
      <c r="K2184" s="60"/>
      <c r="L2184" s="60"/>
      <c r="M2184" s="60"/>
      <c r="N2184" s="60"/>
      <c r="O2184" s="60"/>
      <c r="P2184" s="60"/>
      <c r="Q2184" s="60"/>
      <c r="R2184" s="60"/>
      <c r="S2184" s="60"/>
      <c r="T2184" s="60"/>
      <c r="U2184" s="60"/>
      <c r="V2184" s="60"/>
      <c r="W2184" s="60"/>
      <c r="X2184" s="60"/>
      <c r="Y2184" s="60"/>
      <c r="Z2184" s="60"/>
    </row>
    <row r="2185" spans="1:26" ht="30" hidden="1" customHeight="1">
      <c r="A2185" s="98" t="s">
        <v>4306</v>
      </c>
      <c r="B2185" s="68" t="s">
        <v>4307</v>
      </c>
      <c r="C2185" s="99"/>
      <c r="D2185" s="96"/>
      <c r="E2185" s="53"/>
      <c r="F2185" s="53"/>
      <c r="G2185" s="96">
        <f t="shared" si="593"/>
        <v>0</v>
      </c>
      <c r="H2185" s="96"/>
      <c r="I2185" s="60"/>
      <c r="J2185" s="60"/>
      <c r="K2185" s="60"/>
      <c r="L2185" s="60"/>
      <c r="M2185" s="60"/>
      <c r="N2185" s="60"/>
      <c r="O2185" s="60"/>
      <c r="P2185" s="60"/>
      <c r="Q2185" s="60"/>
      <c r="R2185" s="60"/>
      <c r="S2185" s="60"/>
      <c r="T2185" s="60"/>
      <c r="U2185" s="60"/>
      <c r="V2185" s="60"/>
      <c r="W2185" s="60"/>
      <c r="X2185" s="60"/>
      <c r="Y2185" s="60"/>
      <c r="Z2185" s="60"/>
    </row>
    <row r="2186" spans="1:26" ht="30" hidden="1" customHeight="1">
      <c r="A2186" s="95" t="s">
        <v>4308</v>
      </c>
      <c r="B2186" s="68" t="s">
        <v>4309</v>
      </c>
      <c r="C2186" s="99"/>
      <c r="D2186" s="96"/>
      <c r="E2186" s="53"/>
      <c r="F2186" s="53"/>
      <c r="G2186" s="96">
        <f t="shared" si="593"/>
        <v>0</v>
      </c>
      <c r="H2186" s="96"/>
      <c r="I2186" s="60"/>
      <c r="J2186" s="60"/>
      <c r="K2186" s="60"/>
      <c r="L2186" s="60"/>
      <c r="M2186" s="60"/>
      <c r="N2186" s="60"/>
      <c r="O2186" s="60"/>
      <c r="P2186" s="60"/>
      <c r="Q2186" s="60"/>
      <c r="R2186" s="60"/>
      <c r="S2186" s="60"/>
      <c r="T2186" s="60"/>
      <c r="U2186" s="60"/>
      <c r="V2186" s="60"/>
      <c r="W2186" s="60"/>
      <c r="X2186" s="60"/>
      <c r="Y2186" s="60"/>
      <c r="Z2186" s="60"/>
    </row>
    <row r="2187" spans="1:26" ht="30" hidden="1" customHeight="1">
      <c r="A2187" s="98" t="s">
        <v>4310</v>
      </c>
      <c r="B2187" s="68" t="s">
        <v>4311</v>
      </c>
      <c r="C2187" s="99"/>
      <c r="D2187" s="96"/>
      <c r="E2187" s="53"/>
      <c r="F2187" s="53"/>
      <c r="G2187" s="96">
        <f t="shared" si="593"/>
        <v>0</v>
      </c>
      <c r="H2187" s="96"/>
      <c r="I2187" s="60"/>
      <c r="J2187" s="60"/>
      <c r="K2187" s="60"/>
      <c r="L2187" s="60"/>
      <c r="M2187" s="60"/>
      <c r="N2187" s="60"/>
      <c r="O2187" s="60"/>
      <c r="P2187" s="60"/>
      <c r="Q2187" s="60"/>
      <c r="R2187" s="60"/>
      <c r="S2187" s="60"/>
      <c r="T2187" s="60"/>
      <c r="U2187" s="60"/>
      <c r="V2187" s="60"/>
      <c r="W2187" s="60"/>
      <c r="X2187" s="60"/>
      <c r="Y2187" s="60"/>
      <c r="Z2187" s="60"/>
    </row>
    <row r="2188" spans="1:26" ht="30" hidden="1" customHeight="1">
      <c r="A2188" s="95" t="s">
        <v>4312</v>
      </c>
      <c r="B2188" s="68" t="s">
        <v>4313</v>
      </c>
      <c r="C2188" s="99"/>
      <c r="D2188" s="96"/>
      <c r="E2188" s="53"/>
      <c r="F2188" s="53"/>
      <c r="G2188" s="96">
        <f t="shared" si="593"/>
        <v>0</v>
      </c>
      <c r="H2188" s="96"/>
      <c r="I2188" s="60"/>
      <c r="J2188" s="60"/>
      <c r="K2188" s="60"/>
      <c r="L2188" s="60"/>
      <c r="M2188" s="60"/>
      <c r="N2188" s="60"/>
      <c r="O2188" s="60"/>
      <c r="P2188" s="60"/>
      <c r="Q2188" s="60"/>
      <c r="R2188" s="60"/>
      <c r="S2188" s="60"/>
      <c r="T2188" s="60"/>
      <c r="U2188" s="60"/>
      <c r="V2188" s="60"/>
      <c r="W2188" s="60"/>
      <c r="X2188" s="60"/>
      <c r="Y2188" s="60"/>
      <c r="Z2188" s="60"/>
    </row>
    <row r="2189" spans="1:26" ht="30" hidden="1" customHeight="1">
      <c r="A2189" s="98" t="s">
        <v>4314</v>
      </c>
      <c r="B2189" s="68" t="s">
        <v>4315</v>
      </c>
      <c r="C2189" s="99"/>
      <c r="D2189" s="96"/>
      <c r="E2189" s="53"/>
      <c r="F2189" s="53"/>
      <c r="G2189" s="96">
        <f t="shared" si="593"/>
        <v>0</v>
      </c>
      <c r="H2189" s="96"/>
      <c r="I2189" s="60"/>
      <c r="J2189" s="60"/>
      <c r="K2189" s="60"/>
      <c r="L2189" s="60"/>
      <c r="M2189" s="60"/>
      <c r="N2189" s="60"/>
      <c r="O2189" s="60"/>
      <c r="P2189" s="60"/>
      <c r="Q2189" s="60"/>
      <c r="R2189" s="60"/>
      <c r="S2189" s="60"/>
      <c r="T2189" s="60"/>
      <c r="U2189" s="60"/>
      <c r="V2189" s="60"/>
      <c r="W2189" s="60"/>
      <c r="X2189" s="60"/>
      <c r="Y2189" s="60"/>
      <c r="Z2189" s="60"/>
    </row>
    <row r="2190" spans="1:26" ht="30" hidden="1" customHeight="1">
      <c r="A2190" s="95" t="s">
        <v>4316</v>
      </c>
      <c r="B2190" s="68" t="s">
        <v>4317</v>
      </c>
      <c r="C2190" s="99"/>
      <c r="D2190" s="96"/>
      <c r="E2190" s="53"/>
      <c r="F2190" s="53"/>
      <c r="G2190" s="96">
        <f t="shared" si="593"/>
        <v>0</v>
      </c>
      <c r="H2190" s="96"/>
      <c r="I2190" s="60"/>
      <c r="J2190" s="60"/>
      <c r="K2190" s="60"/>
      <c r="L2190" s="60"/>
      <c r="M2190" s="60"/>
      <c r="N2190" s="60"/>
      <c r="O2190" s="60"/>
      <c r="P2190" s="60"/>
      <c r="Q2190" s="60"/>
      <c r="R2190" s="60"/>
      <c r="S2190" s="60"/>
      <c r="T2190" s="60"/>
      <c r="U2190" s="60"/>
      <c r="V2190" s="60"/>
      <c r="W2190" s="60"/>
      <c r="X2190" s="60"/>
      <c r="Y2190" s="60"/>
      <c r="Z2190" s="60"/>
    </row>
    <row r="2191" spans="1:26" ht="30" hidden="1" customHeight="1">
      <c r="A2191" s="98" t="s">
        <v>4318</v>
      </c>
      <c r="B2191" s="68" t="s">
        <v>4319</v>
      </c>
      <c r="C2191" s="99"/>
      <c r="D2191" s="96"/>
      <c r="E2191" s="53"/>
      <c r="F2191" s="53"/>
      <c r="G2191" s="96">
        <f t="shared" si="593"/>
        <v>0</v>
      </c>
      <c r="H2191" s="96"/>
      <c r="I2191" s="60"/>
      <c r="J2191" s="60"/>
      <c r="K2191" s="60"/>
      <c r="L2191" s="60"/>
      <c r="M2191" s="60"/>
      <c r="N2191" s="60"/>
      <c r="O2191" s="60"/>
      <c r="P2191" s="60"/>
      <c r="Q2191" s="60"/>
      <c r="R2191" s="60"/>
      <c r="S2191" s="60"/>
      <c r="T2191" s="60"/>
      <c r="U2191" s="60"/>
      <c r="V2191" s="60"/>
      <c r="W2191" s="60"/>
      <c r="X2191" s="60"/>
      <c r="Y2191" s="60"/>
      <c r="Z2191" s="60"/>
    </row>
    <row r="2192" spans="1:26" ht="30" hidden="1" customHeight="1">
      <c r="A2192" s="95" t="s">
        <v>4320</v>
      </c>
      <c r="B2192" s="68" t="s">
        <v>4321</v>
      </c>
      <c r="C2192" s="99"/>
      <c r="D2192" s="96"/>
      <c r="E2192" s="53"/>
      <c r="F2192" s="53"/>
      <c r="G2192" s="96">
        <f t="shared" si="593"/>
        <v>0</v>
      </c>
      <c r="H2192" s="96"/>
      <c r="I2192" s="60"/>
      <c r="J2192" s="60"/>
      <c r="K2192" s="60"/>
      <c r="L2192" s="60"/>
      <c r="M2192" s="60"/>
      <c r="N2192" s="60"/>
      <c r="O2192" s="60"/>
      <c r="P2192" s="60"/>
      <c r="Q2192" s="60"/>
      <c r="R2192" s="60"/>
      <c r="S2192" s="60"/>
      <c r="T2192" s="60"/>
      <c r="U2192" s="60"/>
      <c r="V2192" s="60"/>
      <c r="W2192" s="60"/>
      <c r="X2192" s="60"/>
      <c r="Y2192" s="60"/>
      <c r="Z2192" s="60"/>
    </row>
    <row r="2193" spans="1:26" ht="30" hidden="1" customHeight="1">
      <c r="A2193" s="98" t="s">
        <v>4322</v>
      </c>
      <c r="B2193" s="68" t="s">
        <v>4323</v>
      </c>
      <c r="C2193" s="99"/>
      <c r="D2193" s="96"/>
      <c r="E2193" s="53"/>
      <c r="F2193" s="53"/>
      <c r="G2193" s="96">
        <f t="shared" si="593"/>
        <v>0</v>
      </c>
      <c r="H2193" s="96"/>
      <c r="I2193" s="60"/>
      <c r="J2193" s="60"/>
      <c r="K2193" s="60"/>
      <c r="L2193" s="60"/>
      <c r="M2193" s="60"/>
      <c r="N2193" s="60"/>
      <c r="O2193" s="60"/>
      <c r="P2193" s="60"/>
      <c r="Q2193" s="60"/>
      <c r="R2193" s="60"/>
      <c r="S2193" s="60"/>
      <c r="T2193" s="60"/>
      <c r="U2193" s="60"/>
      <c r="V2193" s="60"/>
      <c r="W2193" s="60"/>
      <c r="X2193" s="60"/>
      <c r="Y2193" s="60"/>
      <c r="Z2193" s="60"/>
    </row>
    <row r="2194" spans="1:26" ht="30" hidden="1" customHeight="1">
      <c r="A2194" s="95" t="s">
        <v>4324</v>
      </c>
      <c r="B2194" s="68" t="s">
        <v>4325</v>
      </c>
      <c r="C2194" s="99"/>
      <c r="D2194" s="96"/>
      <c r="E2194" s="53"/>
      <c r="F2194" s="53"/>
      <c r="G2194" s="96">
        <f t="shared" si="593"/>
        <v>0</v>
      </c>
      <c r="H2194" s="96"/>
      <c r="I2194" s="60"/>
      <c r="J2194" s="60"/>
      <c r="K2194" s="60"/>
      <c r="L2194" s="60"/>
      <c r="M2194" s="60"/>
      <c r="N2194" s="60"/>
      <c r="O2194" s="60"/>
      <c r="P2194" s="60"/>
      <c r="Q2194" s="60"/>
      <c r="R2194" s="60"/>
      <c r="S2194" s="60"/>
      <c r="T2194" s="60"/>
      <c r="U2194" s="60"/>
      <c r="V2194" s="60"/>
      <c r="W2194" s="60"/>
      <c r="X2194" s="60"/>
      <c r="Y2194" s="60"/>
      <c r="Z2194" s="60"/>
    </row>
    <row r="2195" spans="1:26" ht="30" hidden="1" customHeight="1">
      <c r="A2195" s="98" t="s">
        <v>4326</v>
      </c>
      <c r="B2195" s="68" t="s">
        <v>4327</v>
      </c>
      <c r="C2195" s="99"/>
      <c r="D2195" s="96"/>
      <c r="E2195" s="53"/>
      <c r="F2195" s="53"/>
      <c r="G2195" s="96">
        <f t="shared" si="593"/>
        <v>0</v>
      </c>
      <c r="H2195" s="96"/>
      <c r="I2195" s="60"/>
      <c r="J2195" s="60"/>
      <c r="K2195" s="60"/>
      <c r="L2195" s="60"/>
      <c r="M2195" s="60"/>
      <c r="N2195" s="60"/>
      <c r="O2195" s="60"/>
      <c r="P2195" s="60"/>
      <c r="Q2195" s="60"/>
      <c r="R2195" s="60"/>
      <c r="S2195" s="60"/>
      <c r="T2195" s="60"/>
      <c r="U2195" s="60"/>
      <c r="V2195" s="60"/>
      <c r="W2195" s="60"/>
      <c r="X2195" s="60"/>
      <c r="Y2195" s="60"/>
      <c r="Z2195" s="60"/>
    </row>
    <row r="2196" spans="1:26" ht="30" hidden="1" customHeight="1">
      <c r="A2196" s="95" t="s">
        <v>4328</v>
      </c>
      <c r="B2196" s="68" t="s">
        <v>4329</v>
      </c>
      <c r="C2196" s="99"/>
      <c r="D2196" s="96"/>
      <c r="E2196" s="53"/>
      <c r="F2196" s="53"/>
      <c r="G2196" s="96">
        <f t="shared" si="593"/>
        <v>0</v>
      </c>
      <c r="H2196" s="96"/>
      <c r="I2196" s="60"/>
      <c r="J2196" s="60"/>
      <c r="K2196" s="60"/>
      <c r="L2196" s="60"/>
      <c r="M2196" s="60"/>
      <c r="N2196" s="60"/>
      <c r="O2196" s="60"/>
      <c r="P2196" s="60"/>
      <c r="Q2196" s="60"/>
      <c r="R2196" s="60"/>
      <c r="S2196" s="60"/>
      <c r="T2196" s="60"/>
      <c r="U2196" s="60"/>
      <c r="V2196" s="60"/>
      <c r="W2196" s="60"/>
      <c r="X2196" s="60"/>
      <c r="Y2196" s="60"/>
      <c r="Z2196" s="60"/>
    </row>
    <row r="2197" spans="1:26" ht="30" hidden="1" customHeight="1">
      <c r="A2197" s="92" t="s">
        <v>4330</v>
      </c>
      <c r="B2197" s="102" t="s">
        <v>2755</v>
      </c>
      <c r="C2197" s="94"/>
      <c r="D2197" s="94"/>
      <c r="E2197" s="39">
        <f t="shared" ref="E2197:G2197" si="594">SUM(E2198:E2203)</f>
        <v>0</v>
      </c>
      <c r="F2197" s="39">
        <f t="shared" si="594"/>
        <v>0</v>
      </c>
      <c r="G2197" s="39">
        <f t="shared" si="594"/>
        <v>0</v>
      </c>
      <c r="H2197" s="94"/>
      <c r="I2197" s="60"/>
      <c r="J2197" s="60"/>
      <c r="K2197" s="60"/>
      <c r="L2197" s="60"/>
      <c r="M2197" s="60"/>
      <c r="N2197" s="60"/>
      <c r="O2197" s="60"/>
      <c r="P2197" s="60"/>
      <c r="Q2197" s="60"/>
      <c r="R2197" s="60"/>
      <c r="S2197" s="60"/>
      <c r="T2197" s="60"/>
      <c r="U2197" s="60"/>
      <c r="V2197" s="60"/>
      <c r="W2197" s="60"/>
      <c r="X2197" s="60"/>
      <c r="Y2197" s="60"/>
      <c r="Z2197" s="60"/>
    </row>
    <row r="2198" spans="1:26" ht="30" hidden="1" customHeight="1">
      <c r="A2198" s="95" t="s">
        <v>4331</v>
      </c>
      <c r="B2198" s="55" t="s">
        <v>4332</v>
      </c>
      <c r="C2198" s="96"/>
      <c r="D2198" s="96"/>
      <c r="E2198" s="96"/>
      <c r="F2198" s="96"/>
      <c r="G2198" s="96">
        <f t="shared" ref="G2198:G2203" si="595">ROUND(E2198-F2198,2)</f>
        <v>0</v>
      </c>
      <c r="H2198" s="96"/>
      <c r="I2198" s="60"/>
      <c r="J2198" s="60"/>
      <c r="K2198" s="60"/>
      <c r="L2198" s="60"/>
      <c r="M2198" s="60"/>
      <c r="N2198" s="60"/>
      <c r="O2198" s="60"/>
      <c r="P2198" s="60"/>
      <c r="Q2198" s="60"/>
      <c r="R2198" s="60"/>
      <c r="S2198" s="60"/>
      <c r="T2198" s="60"/>
      <c r="U2198" s="60"/>
      <c r="V2198" s="60"/>
      <c r="W2198" s="60"/>
      <c r="X2198" s="60"/>
      <c r="Y2198" s="60"/>
      <c r="Z2198" s="60"/>
    </row>
    <row r="2199" spans="1:26" ht="30" hidden="1" customHeight="1">
      <c r="A2199" s="95" t="s">
        <v>4333</v>
      </c>
      <c r="B2199" s="55" t="s">
        <v>4334</v>
      </c>
      <c r="C2199" s="96"/>
      <c r="D2199" s="96"/>
      <c r="E2199" s="96"/>
      <c r="F2199" s="96"/>
      <c r="G2199" s="96">
        <f t="shared" si="595"/>
        <v>0</v>
      </c>
      <c r="H2199" s="96"/>
      <c r="I2199" s="60"/>
      <c r="J2199" s="60"/>
      <c r="K2199" s="60"/>
      <c r="L2199" s="60"/>
      <c r="M2199" s="60"/>
      <c r="N2199" s="60"/>
      <c r="O2199" s="60"/>
      <c r="P2199" s="60"/>
      <c r="Q2199" s="60"/>
      <c r="R2199" s="60"/>
      <c r="S2199" s="60"/>
      <c r="T2199" s="60"/>
      <c r="U2199" s="60"/>
      <c r="V2199" s="60"/>
      <c r="W2199" s="60"/>
      <c r="X2199" s="60"/>
      <c r="Y2199" s="60"/>
      <c r="Z2199" s="60"/>
    </row>
    <row r="2200" spans="1:26" ht="30" hidden="1" customHeight="1">
      <c r="A2200" s="95" t="s">
        <v>4335</v>
      </c>
      <c r="B2200" s="55" t="s">
        <v>4336</v>
      </c>
      <c r="C2200" s="96"/>
      <c r="D2200" s="96"/>
      <c r="E2200" s="96"/>
      <c r="F2200" s="96"/>
      <c r="G2200" s="96">
        <f t="shared" si="595"/>
        <v>0</v>
      </c>
      <c r="H2200" s="96"/>
      <c r="I2200" s="60"/>
      <c r="J2200" s="60"/>
      <c r="K2200" s="60"/>
      <c r="L2200" s="60"/>
      <c r="M2200" s="60"/>
      <c r="N2200" s="60"/>
      <c r="O2200" s="60"/>
      <c r="P2200" s="60"/>
      <c r="Q2200" s="60"/>
      <c r="R2200" s="60"/>
      <c r="S2200" s="60"/>
      <c r="T2200" s="60"/>
      <c r="U2200" s="60"/>
      <c r="V2200" s="60"/>
      <c r="W2200" s="60"/>
      <c r="X2200" s="60"/>
      <c r="Y2200" s="60"/>
      <c r="Z2200" s="60"/>
    </row>
    <row r="2201" spans="1:26" ht="30" hidden="1" customHeight="1">
      <c r="A2201" s="95" t="s">
        <v>4337</v>
      </c>
      <c r="B2201" s="55" t="s">
        <v>4338</v>
      </c>
      <c r="C2201" s="96"/>
      <c r="D2201" s="96"/>
      <c r="E2201" s="96"/>
      <c r="F2201" s="96"/>
      <c r="G2201" s="96">
        <f t="shared" si="595"/>
        <v>0</v>
      </c>
      <c r="H2201" s="96"/>
      <c r="I2201" s="60"/>
      <c r="J2201" s="60"/>
      <c r="K2201" s="60"/>
      <c r="L2201" s="60"/>
      <c r="M2201" s="60"/>
      <c r="N2201" s="60"/>
      <c r="O2201" s="60"/>
      <c r="P2201" s="60"/>
      <c r="Q2201" s="60"/>
      <c r="R2201" s="60"/>
      <c r="S2201" s="60"/>
      <c r="T2201" s="60"/>
      <c r="U2201" s="60"/>
      <c r="V2201" s="60"/>
      <c r="W2201" s="60"/>
      <c r="X2201" s="60"/>
      <c r="Y2201" s="60"/>
      <c r="Z2201" s="60"/>
    </row>
    <row r="2202" spans="1:26" ht="30" hidden="1" customHeight="1">
      <c r="A2202" s="95" t="s">
        <v>4339</v>
      </c>
      <c r="B2202" s="55" t="s">
        <v>4340</v>
      </c>
      <c r="C2202" s="96"/>
      <c r="D2202" s="96"/>
      <c r="E2202" s="53"/>
      <c r="F2202" s="53"/>
      <c r="G2202" s="96">
        <f t="shared" si="595"/>
        <v>0</v>
      </c>
      <c r="H2202" s="96"/>
      <c r="I2202" s="60"/>
      <c r="J2202" s="60"/>
      <c r="K2202" s="60"/>
      <c r="L2202" s="60"/>
      <c r="M2202" s="60"/>
      <c r="N2202" s="60"/>
      <c r="O2202" s="60"/>
      <c r="P2202" s="60"/>
      <c r="Q2202" s="60"/>
      <c r="R2202" s="60"/>
      <c r="S2202" s="60"/>
      <c r="T2202" s="60"/>
      <c r="U2202" s="60"/>
      <c r="V2202" s="60"/>
      <c r="W2202" s="60"/>
      <c r="X2202" s="60"/>
      <c r="Y2202" s="60"/>
      <c r="Z2202" s="60"/>
    </row>
    <row r="2203" spans="1:26" ht="30" hidden="1" customHeight="1">
      <c r="A2203" s="95" t="s">
        <v>4341</v>
      </c>
      <c r="B2203" s="55" t="s">
        <v>4342</v>
      </c>
      <c r="C2203" s="96"/>
      <c r="D2203" s="96"/>
      <c r="E2203" s="53"/>
      <c r="F2203" s="53"/>
      <c r="G2203" s="96">
        <f t="shared" si="595"/>
        <v>0</v>
      </c>
      <c r="H2203" s="96"/>
      <c r="I2203" s="60"/>
      <c r="J2203" s="60"/>
      <c r="K2203" s="60"/>
      <c r="L2203" s="60"/>
      <c r="M2203" s="60"/>
      <c r="N2203" s="60"/>
      <c r="O2203" s="60"/>
      <c r="P2203" s="60"/>
      <c r="Q2203" s="60"/>
      <c r="R2203" s="60"/>
      <c r="S2203" s="60"/>
      <c r="T2203" s="60"/>
      <c r="U2203" s="60"/>
      <c r="V2203" s="60"/>
      <c r="W2203" s="60"/>
      <c r="X2203" s="60"/>
      <c r="Y2203" s="60"/>
      <c r="Z2203" s="60"/>
    </row>
    <row r="2204" spans="1:26" ht="30" hidden="1" customHeight="1">
      <c r="A2204" s="44" t="s">
        <v>4343</v>
      </c>
      <c r="B2204" s="100" t="s">
        <v>2769</v>
      </c>
      <c r="C2204" s="39"/>
      <c r="D2204" s="39"/>
      <c r="E2204" s="39">
        <f t="shared" ref="E2204:G2204" si="596">SUM(E2205:E2218)</f>
        <v>263882522.37</v>
      </c>
      <c r="F2204" s="39">
        <f t="shared" si="596"/>
        <v>0</v>
      </c>
      <c r="G2204" s="39">
        <f t="shared" si="596"/>
        <v>263882522.37</v>
      </c>
      <c r="H2204" s="94"/>
      <c r="I2204" s="60"/>
      <c r="J2204" s="60"/>
      <c r="K2204" s="60"/>
      <c r="L2204" s="60"/>
      <c r="M2204" s="60"/>
      <c r="N2204" s="60"/>
      <c r="O2204" s="60"/>
      <c r="P2204" s="60"/>
      <c r="Q2204" s="60"/>
      <c r="R2204" s="60"/>
      <c r="S2204" s="60"/>
      <c r="T2204" s="60"/>
      <c r="U2204" s="60"/>
      <c r="V2204" s="60"/>
      <c r="W2204" s="60"/>
      <c r="X2204" s="60"/>
      <c r="Y2204" s="60"/>
      <c r="Z2204" s="60"/>
    </row>
    <row r="2205" spans="1:26" ht="30" hidden="1" customHeight="1">
      <c r="A2205" s="57" t="s">
        <v>4344</v>
      </c>
      <c r="B2205" s="51" t="s">
        <v>4345</v>
      </c>
      <c r="C2205" s="58"/>
      <c r="D2205" s="52"/>
      <c r="E2205" s="53">
        <v>198205039.28999999</v>
      </c>
      <c r="F2205" s="53"/>
      <c r="G2205" s="96">
        <f t="shared" ref="G2205:G2218" si="597">ROUND(E2205-F2205,2)</f>
        <v>198205039.28999999</v>
      </c>
      <c r="H2205" s="96"/>
      <c r="I2205" s="60"/>
      <c r="J2205" s="60"/>
      <c r="K2205" s="60"/>
      <c r="L2205" s="60"/>
      <c r="M2205" s="60"/>
      <c r="N2205" s="60"/>
      <c r="O2205" s="60"/>
      <c r="P2205" s="60"/>
      <c r="Q2205" s="60"/>
      <c r="R2205" s="60"/>
      <c r="S2205" s="60"/>
      <c r="T2205" s="60"/>
      <c r="U2205" s="60"/>
      <c r="V2205" s="60"/>
      <c r="W2205" s="60"/>
      <c r="X2205" s="60"/>
      <c r="Y2205" s="60"/>
      <c r="Z2205" s="60"/>
    </row>
    <row r="2206" spans="1:26" ht="30" hidden="1" customHeight="1">
      <c r="A2206" s="50" t="s">
        <v>4346</v>
      </c>
      <c r="B2206" s="51" t="s">
        <v>4347</v>
      </c>
      <c r="C2206" s="58"/>
      <c r="D2206" s="52"/>
      <c r="E2206" s="53"/>
      <c r="F2206" s="53"/>
      <c r="G2206" s="96">
        <f t="shared" si="597"/>
        <v>0</v>
      </c>
      <c r="H2206" s="96"/>
      <c r="I2206" s="60"/>
      <c r="J2206" s="60"/>
      <c r="K2206" s="60"/>
      <c r="L2206" s="60"/>
      <c r="M2206" s="60"/>
      <c r="N2206" s="60"/>
      <c r="O2206" s="60"/>
      <c r="P2206" s="60"/>
      <c r="Q2206" s="60"/>
      <c r="R2206" s="60"/>
      <c r="S2206" s="60"/>
      <c r="T2206" s="60"/>
      <c r="U2206" s="60"/>
      <c r="V2206" s="60"/>
      <c r="W2206" s="60"/>
      <c r="X2206" s="60"/>
      <c r="Y2206" s="60"/>
      <c r="Z2206" s="60"/>
    </row>
    <row r="2207" spans="1:26" ht="30" hidden="1" customHeight="1">
      <c r="A2207" s="57" t="s">
        <v>4348</v>
      </c>
      <c r="B2207" s="51" t="s">
        <v>4349</v>
      </c>
      <c r="C2207" s="58"/>
      <c r="D2207" s="52"/>
      <c r="E2207" s="53">
        <v>65261066.200000003</v>
      </c>
      <c r="F2207" s="53"/>
      <c r="G2207" s="96">
        <f t="shared" si="597"/>
        <v>65261066.200000003</v>
      </c>
      <c r="H2207" s="96"/>
      <c r="I2207" s="60"/>
      <c r="J2207" s="60"/>
      <c r="K2207" s="60"/>
      <c r="L2207" s="60"/>
      <c r="M2207" s="60"/>
      <c r="N2207" s="60"/>
      <c r="O2207" s="60"/>
      <c r="P2207" s="60"/>
      <c r="Q2207" s="60"/>
      <c r="R2207" s="60"/>
      <c r="S2207" s="60"/>
      <c r="T2207" s="60"/>
      <c r="U2207" s="60"/>
      <c r="V2207" s="60"/>
      <c r="W2207" s="60"/>
      <c r="X2207" s="60"/>
      <c r="Y2207" s="60"/>
      <c r="Z2207" s="60"/>
    </row>
    <row r="2208" spans="1:26" ht="30" hidden="1" customHeight="1">
      <c r="A2208" s="50" t="s">
        <v>4350</v>
      </c>
      <c r="B2208" s="51" t="s">
        <v>4351</v>
      </c>
      <c r="C2208" s="58"/>
      <c r="D2208" s="52"/>
      <c r="E2208" s="53"/>
      <c r="F2208" s="53"/>
      <c r="G2208" s="96">
        <f t="shared" si="597"/>
        <v>0</v>
      </c>
      <c r="H2208" s="96"/>
      <c r="I2208" s="60"/>
      <c r="J2208" s="60"/>
      <c r="K2208" s="60"/>
      <c r="L2208" s="60"/>
      <c r="M2208" s="60"/>
      <c r="N2208" s="60"/>
      <c r="O2208" s="60"/>
      <c r="P2208" s="60"/>
      <c r="Q2208" s="60"/>
      <c r="R2208" s="60"/>
      <c r="S2208" s="60"/>
      <c r="T2208" s="60"/>
      <c r="U2208" s="60"/>
      <c r="V2208" s="60"/>
      <c r="W2208" s="60"/>
      <c r="X2208" s="60"/>
      <c r="Y2208" s="60"/>
      <c r="Z2208" s="60"/>
    </row>
    <row r="2209" spans="1:26" ht="30" hidden="1" customHeight="1">
      <c r="A2209" s="57" t="s">
        <v>4352</v>
      </c>
      <c r="B2209" s="51" t="s">
        <v>4353</v>
      </c>
      <c r="C2209" s="58"/>
      <c r="D2209" s="52"/>
      <c r="E2209" s="53"/>
      <c r="F2209" s="53"/>
      <c r="G2209" s="96">
        <f t="shared" si="597"/>
        <v>0</v>
      </c>
      <c r="H2209" s="96"/>
      <c r="I2209" s="60"/>
      <c r="J2209" s="60"/>
      <c r="K2209" s="60"/>
      <c r="L2209" s="60"/>
      <c r="M2209" s="60"/>
      <c r="N2209" s="60"/>
      <c r="O2209" s="60"/>
      <c r="P2209" s="60"/>
      <c r="Q2209" s="60"/>
      <c r="R2209" s="60"/>
      <c r="S2209" s="60"/>
      <c r="T2209" s="60"/>
      <c r="U2209" s="60"/>
      <c r="V2209" s="60"/>
      <c r="W2209" s="60"/>
      <c r="X2209" s="60"/>
      <c r="Y2209" s="60"/>
      <c r="Z2209" s="60"/>
    </row>
    <row r="2210" spans="1:26" ht="30" hidden="1" customHeight="1">
      <c r="A2210" s="50" t="s">
        <v>4354</v>
      </c>
      <c r="B2210" s="51" t="s">
        <v>4355</v>
      </c>
      <c r="C2210" s="58"/>
      <c r="D2210" s="52"/>
      <c r="E2210" s="53"/>
      <c r="F2210" s="53"/>
      <c r="G2210" s="96">
        <f t="shared" si="597"/>
        <v>0</v>
      </c>
      <c r="H2210" s="96"/>
      <c r="I2210" s="60"/>
      <c r="J2210" s="60"/>
      <c r="K2210" s="60"/>
      <c r="L2210" s="60"/>
      <c r="M2210" s="60"/>
      <c r="N2210" s="60"/>
      <c r="O2210" s="60"/>
      <c r="P2210" s="60"/>
      <c r="Q2210" s="60"/>
      <c r="R2210" s="60"/>
      <c r="S2210" s="60"/>
      <c r="T2210" s="60"/>
      <c r="U2210" s="60"/>
      <c r="V2210" s="60"/>
      <c r="W2210" s="60"/>
      <c r="X2210" s="60"/>
      <c r="Y2210" s="60"/>
      <c r="Z2210" s="60"/>
    </row>
    <row r="2211" spans="1:26" ht="30" hidden="1" customHeight="1">
      <c r="A2211" s="57" t="s">
        <v>4356</v>
      </c>
      <c r="B2211" s="51" t="s">
        <v>4357</v>
      </c>
      <c r="C2211" s="58"/>
      <c r="D2211" s="52"/>
      <c r="E2211" s="53">
        <v>416416.88</v>
      </c>
      <c r="F2211" s="53"/>
      <c r="G2211" s="96">
        <f t="shared" si="597"/>
        <v>416416.88</v>
      </c>
      <c r="H2211" s="96"/>
      <c r="I2211" s="60"/>
      <c r="J2211" s="60"/>
      <c r="K2211" s="60"/>
      <c r="L2211" s="60"/>
      <c r="M2211" s="60"/>
      <c r="N2211" s="60"/>
      <c r="O2211" s="60"/>
      <c r="P2211" s="60"/>
      <c r="Q2211" s="60"/>
      <c r="R2211" s="60"/>
      <c r="S2211" s="60"/>
      <c r="T2211" s="60"/>
      <c r="U2211" s="60"/>
      <c r="V2211" s="60"/>
      <c r="W2211" s="60"/>
      <c r="X2211" s="60"/>
      <c r="Y2211" s="60"/>
      <c r="Z2211" s="60"/>
    </row>
    <row r="2212" spans="1:26" ht="30" hidden="1" customHeight="1">
      <c r="A2212" s="50" t="s">
        <v>4358</v>
      </c>
      <c r="B2212" s="51" t="s">
        <v>4359</v>
      </c>
      <c r="C2212" s="58"/>
      <c r="D2212" s="52"/>
      <c r="E2212" s="53"/>
      <c r="F2212" s="53"/>
      <c r="G2212" s="96">
        <f t="shared" si="597"/>
        <v>0</v>
      </c>
      <c r="H2212" s="96"/>
      <c r="I2212" s="60"/>
      <c r="J2212" s="60"/>
      <c r="K2212" s="60"/>
      <c r="L2212" s="60"/>
      <c r="M2212" s="60"/>
      <c r="N2212" s="60"/>
      <c r="O2212" s="60"/>
      <c r="P2212" s="60"/>
      <c r="Q2212" s="60"/>
      <c r="R2212" s="60"/>
      <c r="S2212" s="60"/>
      <c r="T2212" s="60"/>
      <c r="U2212" s="60"/>
      <c r="V2212" s="60"/>
      <c r="W2212" s="60"/>
      <c r="X2212" s="60"/>
      <c r="Y2212" s="60"/>
      <c r="Z2212" s="60"/>
    </row>
    <row r="2213" spans="1:26" ht="30" hidden="1" customHeight="1">
      <c r="A2213" s="57" t="s">
        <v>4360</v>
      </c>
      <c r="B2213" s="51" t="s">
        <v>4361</v>
      </c>
      <c r="C2213" s="58"/>
      <c r="D2213" s="52"/>
      <c r="E2213" s="53"/>
      <c r="F2213" s="53"/>
      <c r="G2213" s="96">
        <f t="shared" si="597"/>
        <v>0</v>
      </c>
      <c r="H2213" s="96"/>
      <c r="I2213" s="60"/>
      <c r="J2213" s="60"/>
      <c r="K2213" s="60"/>
      <c r="L2213" s="60"/>
      <c r="M2213" s="60"/>
      <c r="N2213" s="60"/>
      <c r="O2213" s="60"/>
      <c r="P2213" s="60"/>
      <c r="Q2213" s="60"/>
      <c r="R2213" s="60"/>
      <c r="S2213" s="60"/>
      <c r="T2213" s="60"/>
      <c r="U2213" s="60"/>
      <c r="V2213" s="60"/>
      <c r="W2213" s="60"/>
      <c r="X2213" s="60"/>
      <c r="Y2213" s="60"/>
      <c r="Z2213" s="60"/>
    </row>
    <row r="2214" spans="1:26" ht="30" hidden="1" customHeight="1">
      <c r="A2214" s="50" t="s">
        <v>4362</v>
      </c>
      <c r="B2214" s="51" t="s">
        <v>4363</v>
      </c>
      <c r="C2214" s="58"/>
      <c r="D2214" s="52"/>
      <c r="E2214" s="53"/>
      <c r="F2214" s="53"/>
      <c r="G2214" s="96">
        <f t="shared" si="597"/>
        <v>0</v>
      </c>
      <c r="H2214" s="96"/>
      <c r="I2214" s="60"/>
      <c r="J2214" s="60"/>
      <c r="K2214" s="60"/>
      <c r="L2214" s="60"/>
      <c r="M2214" s="60"/>
      <c r="N2214" s="60"/>
      <c r="O2214" s="60"/>
      <c r="P2214" s="60"/>
      <c r="Q2214" s="60"/>
      <c r="R2214" s="60"/>
      <c r="S2214" s="60"/>
      <c r="T2214" s="60"/>
      <c r="U2214" s="60"/>
      <c r="V2214" s="60"/>
      <c r="W2214" s="60"/>
      <c r="X2214" s="60"/>
      <c r="Y2214" s="60"/>
      <c r="Z2214" s="60"/>
    </row>
    <row r="2215" spans="1:26" ht="30" hidden="1" customHeight="1">
      <c r="A2215" s="57" t="s">
        <v>4364</v>
      </c>
      <c r="B2215" s="51" t="s">
        <v>4365</v>
      </c>
      <c r="C2215" s="58"/>
      <c r="D2215" s="52"/>
      <c r="E2215" s="53"/>
      <c r="F2215" s="53"/>
      <c r="G2215" s="96">
        <f t="shared" si="597"/>
        <v>0</v>
      </c>
      <c r="H2215" s="96"/>
      <c r="I2215" s="60"/>
      <c r="J2215" s="60"/>
      <c r="K2215" s="60"/>
      <c r="L2215" s="60"/>
      <c r="M2215" s="60"/>
      <c r="N2215" s="60"/>
      <c r="O2215" s="60"/>
      <c r="P2215" s="60"/>
      <c r="Q2215" s="60"/>
      <c r="R2215" s="60"/>
      <c r="S2215" s="60"/>
      <c r="T2215" s="60"/>
      <c r="U2215" s="60"/>
      <c r="V2215" s="60"/>
      <c r="W2215" s="60"/>
      <c r="X2215" s="60"/>
      <c r="Y2215" s="60"/>
      <c r="Z2215" s="60"/>
    </row>
    <row r="2216" spans="1:26" ht="30" hidden="1" customHeight="1">
      <c r="A2216" s="50" t="s">
        <v>4366</v>
      </c>
      <c r="B2216" s="51" t="s">
        <v>4367</v>
      </c>
      <c r="C2216" s="58"/>
      <c r="D2216" s="52"/>
      <c r="E2216" s="53"/>
      <c r="F2216" s="53"/>
      <c r="G2216" s="96">
        <f t="shared" si="597"/>
        <v>0</v>
      </c>
      <c r="H2216" s="96"/>
      <c r="I2216" s="60"/>
      <c r="J2216" s="60"/>
      <c r="K2216" s="60"/>
      <c r="L2216" s="60"/>
      <c r="M2216" s="60"/>
      <c r="N2216" s="60"/>
      <c r="O2216" s="60"/>
      <c r="P2216" s="60"/>
      <c r="Q2216" s="60"/>
      <c r="R2216" s="60"/>
      <c r="S2216" s="60"/>
      <c r="T2216" s="60"/>
      <c r="U2216" s="60"/>
      <c r="V2216" s="60"/>
      <c r="W2216" s="60"/>
      <c r="X2216" s="60"/>
      <c r="Y2216" s="60"/>
      <c r="Z2216" s="60"/>
    </row>
    <row r="2217" spans="1:26" ht="30" hidden="1" customHeight="1">
      <c r="A2217" s="57" t="s">
        <v>4368</v>
      </c>
      <c r="B2217" s="51" t="s">
        <v>4369</v>
      </c>
      <c r="C2217" s="58"/>
      <c r="D2217" s="52"/>
      <c r="E2217" s="53"/>
      <c r="F2217" s="53"/>
      <c r="G2217" s="96">
        <f t="shared" si="597"/>
        <v>0</v>
      </c>
      <c r="H2217" s="96"/>
      <c r="I2217" s="60"/>
      <c r="J2217" s="60"/>
      <c r="K2217" s="60"/>
      <c r="L2217" s="60"/>
      <c r="M2217" s="60"/>
      <c r="N2217" s="60"/>
      <c r="O2217" s="60"/>
      <c r="P2217" s="60"/>
      <c r="Q2217" s="60"/>
      <c r="R2217" s="60"/>
      <c r="S2217" s="60"/>
      <c r="T2217" s="60"/>
      <c r="U2217" s="60"/>
      <c r="V2217" s="60"/>
      <c r="W2217" s="60"/>
      <c r="X2217" s="60"/>
      <c r="Y2217" s="60"/>
      <c r="Z2217" s="60"/>
    </row>
    <row r="2218" spans="1:26" ht="30" hidden="1" customHeight="1">
      <c r="A2218" s="50" t="s">
        <v>4370</v>
      </c>
      <c r="B2218" s="51" t="s">
        <v>4371</v>
      </c>
      <c r="C2218" s="58"/>
      <c r="D2218" s="52"/>
      <c r="E2218" s="53"/>
      <c r="F2218" s="53"/>
      <c r="G2218" s="96">
        <f t="shared" si="597"/>
        <v>0</v>
      </c>
      <c r="H2218" s="96"/>
      <c r="I2218" s="60"/>
      <c r="J2218" s="60"/>
      <c r="K2218" s="60"/>
      <c r="L2218" s="60"/>
      <c r="M2218" s="60"/>
      <c r="N2218" s="60"/>
      <c r="O2218" s="60"/>
      <c r="P2218" s="60"/>
      <c r="Q2218" s="60"/>
      <c r="R2218" s="60"/>
      <c r="S2218" s="60"/>
      <c r="T2218" s="60"/>
      <c r="U2218" s="60"/>
      <c r="V2218" s="60"/>
      <c r="W2218" s="60"/>
      <c r="X2218" s="60"/>
      <c r="Y2218" s="60"/>
      <c r="Z2218" s="60"/>
    </row>
    <row r="2219" spans="1:26" ht="30" hidden="1" customHeight="1">
      <c r="A2219" s="23">
        <v>90000</v>
      </c>
      <c r="B2219" s="46" t="s">
        <v>4372</v>
      </c>
      <c r="C2219" s="25"/>
      <c r="D2219" s="25"/>
      <c r="E2219" s="25">
        <f t="shared" ref="E2219:G2219" si="598">E2220+E2221+E2222</f>
        <v>0</v>
      </c>
      <c r="F2219" s="25">
        <f t="shared" si="598"/>
        <v>0</v>
      </c>
      <c r="G2219" s="25">
        <f t="shared" si="598"/>
        <v>0</v>
      </c>
      <c r="H2219" s="26"/>
      <c r="I2219" s="60"/>
      <c r="J2219" s="60"/>
      <c r="K2219" s="60"/>
      <c r="L2219" s="60"/>
      <c r="M2219" s="60"/>
      <c r="N2219" s="60"/>
      <c r="O2219" s="60"/>
      <c r="P2219" s="60"/>
      <c r="Q2219" s="60"/>
      <c r="R2219" s="60"/>
      <c r="S2219" s="60"/>
      <c r="T2219" s="60"/>
      <c r="U2219" s="60"/>
      <c r="V2219" s="60"/>
      <c r="W2219" s="60"/>
      <c r="X2219" s="60"/>
      <c r="Y2219" s="60"/>
      <c r="Z2219" s="60"/>
    </row>
    <row r="2220" spans="1:26" ht="30" hidden="1" customHeight="1">
      <c r="A2220" s="28">
        <v>91000</v>
      </c>
      <c r="B2220" s="47" t="s">
        <v>4373</v>
      </c>
      <c r="C2220" s="30"/>
      <c r="D2220" s="30"/>
      <c r="E2220" s="53"/>
      <c r="F2220" s="53"/>
      <c r="G2220" s="96">
        <f t="shared" ref="G2220:G2222" si="599">ROUND(E2220-F2220,2)</f>
        <v>0</v>
      </c>
      <c r="H2220" s="31"/>
      <c r="I2220" s="60"/>
      <c r="J2220" s="60"/>
      <c r="K2220" s="60"/>
      <c r="L2220" s="60"/>
      <c r="M2220" s="60"/>
      <c r="N2220" s="60"/>
      <c r="O2220" s="60"/>
      <c r="P2220" s="60"/>
      <c r="Q2220" s="60"/>
      <c r="R2220" s="60"/>
      <c r="S2220" s="60"/>
      <c r="T2220" s="60"/>
      <c r="U2220" s="60"/>
      <c r="V2220" s="60"/>
      <c r="W2220" s="60"/>
      <c r="X2220" s="60"/>
      <c r="Y2220" s="60"/>
      <c r="Z2220" s="60"/>
    </row>
    <row r="2221" spans="1:26" ht="30" hidden="1" customHeight="1">
      <c r="A2221" s="28">
        <v>92000</v>
      </c>
      <c r="B2221" s="47" t="s">
        <v>4374</v>
      </c>
      <c r="C2221" s="30"/>
      <c r="D2221" s="30"/>
      <c r="E2221" s="53"/>
      <c r="F2221" s="53"/>
      <c r="G2221" s="96">
        <f t="shared" si="599"/>
        <v>0</v>
      </c>
      <c r="H2221" s="31"/>
      <c r="I2221" s="60"/>
      <c r="J2221" s="60"/>
      <c r="K2221" s="60"/>
      <c r="L2221" s="60"/>
      <c r="M2221" s="60"/>
      <c r="N2221" s="60"/>
      <c r="O2221" s="60"/>
      <c r="P2221" s="60"/>
      <c r="Q2221" s="60"/>
      <c r="R2221" s="60"/>
      <c r="S2221" s="60"/>
      <c r="T2221" s="60"/>
      <c r="U2221" s="60"/>
      <c r="V2221" s="60"/>
      <c r="W2221" s="60"/>
      <c r="X2221" s="60"/>
      <c r="Y2221" s="60"/>
      <c r="Z2221" s="60"/>
    </row>
    <row r="2222" spans="1:26" ht="30" hidden="1" customHeight="1">
      <c r="A2222" s="28">
        <v>93000</v>
      </c>
      <c r="B2222" s="47" t="s">
        <v>4375</v>
      </c>
      <c r="C2222" s="30"/>
      <c r="D2222" s="30"/>
      <c r="E2222" s="53"/>
      <c r="F2222" s="53"/>
      <c r="G2222" s="96">
        <f t="shared" si="599"/>
        <v>0</v>
      </c>
      <c r="H2222" s="31"/>
      <c r="I2222" s="60"/>
      <c r="J2222" s="60"/>
      <c r="K2222" s="60"/>
      <c r="L2222" s="60"/>
      <c r="M2222" s="60"/>
      <c r="N2222" s="60"/>
      <c r="O2222" s="60"/>
      <c r="P2222" s="60"/>
      <c r="Q2222" s="60"/>
      <c r="R2222" s="60"/>
      <c r="S2222" s="60"/>
      <c r="T2222" s="60"/>
      <c r="U2222" s="60"/>
      <c r="V2222" s="60"/>
      <c r="W2222" s="60"/>
      <c r="X2222" s="60"/>
      <c r="Y2222" s="60"/>
      <c r="Z2222" s="60"/>
    </row>
    <row r="2223" spans="1:26" ht="30" hidden="1" customHeight="1">
      <c r="A2223" s="87" t="s">
        <v>1947</v>
      </c>
      <c r="B2223" s="88" t="s">
        <v>4376</v>
      </c>
      <c r="C2223" s="89">
        <f t="shared" ref="C2223:H2223" si="600">C2219+C1266+C795</f>
        <v>0</v>
      </c>
      <c r="D2223" s="89">
        <f t="shared" si="600"/>
        <v>0</v>
      </c>
      <c r="E2223" s="89">
        <f t="shared" si="600"/>
        <v>67077685115.289993</v>
      </c>
      <c r="F2223" s="89">
        <f t="shared" si="600"/>
        <v>67077685115.289993</v>
      </c>
      <c r="G2223" s="89">
        <f t="shared" si="600"/>
        <v>25085448507.259995</v>
      </c>
      <c r="H2223" s="89">
        <f t="shared" si="600"/>
        <v>25085448507.259998</v>
      </c>
    </row>
    <row r="2224" spans="1:26" ht="15.75" customHeight="1"/>
  </sheetData>
  <mergeCells count="5">
    <mergeCell ref="A1:A2"/>
    <mergeCell ref="B1:B2"/>
    <mergeCell ref="C1:D1"/>
    <mergeCell ref="E1:F1"/>
    <mergeCell ref="G1:H1"/>
  </mergeCells>
  <conditionalFormatting sqref="C6">
    <cfRule type="cellIs" dxfId="688" priority="1" stopIfTrue="1" operator="equal">
      <formula>0</formula>
    </cfRule>
  </conditionalFormatting>
  <conditionalFormatting sqref="C64:C71">
    <cfRule type="cellIs" dxfId="687" priority="2" stopIfTrue="1" operator="equal">
      <formula>0</formula>
    </cfRule>
  </conditionalFormatting>
  <conditionalFormatting sqref="E201">
    <cfRule type="cellIs" dxfId="686" priority="3" stopIfTrue="1" operator="equal">
      <formula>0</formula>
    </cfRule>
  </conditionalFormatting>
  <conditionalFormatting sqref="F201">
    <cfRule type="cellIs" dxfId="685" priority="4" stopIfTrue="1" operator="equal">
      <formula>0</formula>
    </cfRule>
  </conditionalFormatting>
  <conditionalFormatting sqref="D201">
    <cfRule type="cellIs" dxfId="684" priority="5" stopIfTrue="1" operator="equal">
      <formula>0</formula>
    </cfRule>
  </conditionalFormatting>
  <conditionalFormatting sqref="C7:C12">
    <cfRule type="cellIs" dxfId="683" priority="6" stopIfTrue="1" operator="equal">
      <formula>0</formula>
    </cfRule>
  </conditionalFormatting>
  <conditionalFormatting sqref="E6:F12">
    <cfRule type="cellIs" dxfId="682" priority="7" stopIfTrue="1" operator="equal">
      <formula>0</formula>
    </cfRule>
  </conditionalFormatting>
  <conditionalFormatting sqref="C14:C20">
    <cfRule type="cellIs" dxfId="681" priority="8" stopIfTrue="1" operator="equal">
      <formula>0</formula>
    </cfRule>
  </conditionalFormatting>
  <conditionalFormatting sqref="E14:F20">
    <cfRule type="cellIs" dxfId="680" priority="9" stopIfTrue="1" operator="equal">
      <formula>0</formula>
    </cfRule>
  </conditionalFormatting>
  <conditionalFormatting sqref="C22:C26">
    <cfRule type="cellIs" dxfId="679" priority="10" stopIfTrue="1" operator="equal">
      <formula>0</formula>
    </cfRule>
  </conditionalFormatting>
  <conditionalFormatting sqref="E22:F26">
    <cfRule type="cellIs" dxfId="678" priority="11" stopIfTrue="1" operator="equal">
      <formula>0</formula>
    </cfRule>
  </conditionalFormatting>
  <conditionalFormatting sqref="C34">
    <cfRule type="cellIs" dxfId="677" priority="12" stopIfTrue="1" operator="equal">
      <formula>0</formula>
    </cfRule>
  </conditionalFormatting>
  <conditionalFormatting sqref="E34:F34">
    <cfRule type="cellIs" dxfId="676" priority="13" stopIfTrue="1" operator="equal">
      <formula>0</formula>
    </cfRule>
  </conditionalFormatting>
  <conditionalFormatting sqref="C36:C37">
    <cfRule type="cellIs" dxfId="675" priority="14" stopIfTrue="1" operator="equal">
      <formula>0</formula>
    </cfRule>
  </conditionalFormatting>
  <conditionalFormatting sqref="E36:F37">
    <cfRule type="cellIs" dxfId="674" priority="15" stopIfTrue="1" operator="equal">
      <formula>0</formula>
    </cfRule>
  </conditionalFormatting>
  <conditionalFormatting sqref="C39:C42">
    <cfRule type="cellIs" dxfId="673" priority="16" stopIfTrue="1" operator="equal">
      <formula>0</formula>
    </cfRule>
  </conditionalFormatting>
  <conditionalFormatting sqref="E39:F42">
    <cfRule type="cellIs" dxfId="672" priority="17" stopIfTrue="1" operator="equal">
      <formula>0</formula>
    </cfRule>
  </conditionalFormatting>
  <conditionalFormatting sqref="C45:C48">
    <cfRule type="cellIs" dxfId="671" priority="18" stopIfTrue="1" operator="equal">
      <formula>0</formula>
    </cfRule>
  </conditionalFormatting>
  <conditionalFormatting sqref="E45:F48">
    <cfRule type="cellIs" dxfId="670" priority="19" stopIfTrue="1" operator="equal">
      <formula>0</formula>
    </cfRule>
  </conditionalFormatting>
  <conditionalFormatting sqref="C50:C54">
    <cfRule type="cellIs" dxfId="669" priority="20" stopIfTrue="1" operator="equal">
      <formula>0</formula>
    </cfRule>
  </conditionalFormatting>
  <conditionalFormatting sqref="E50:F54">
    <cfRule type="cellIs" dxfId="668" priority="21" stopIfTrue="1" operator="equal">
      <formula>0</formula>
    </cfRule>
  </conditionalFormatting>
  <conditionalFormatting sqref="C56:C62">
    <cfRule type="cellIs" dxfId="667" priority="22" stopIfTrue="1" operator="equal">
      <formula>0</formula>
    </cfRule>
  </conditionalFormatting>
  <conditionalFormatting sqref="E56:F62">
    <cfRule type="cellIs" dxfId="666" priority="23" stopIfTrue="1" operator="equal">
      <formula>0</formula>
    </cfRule>
  </conditionalFormatting>
  <conditionalFormatting sqref="E64:F71">
    <cfRule type="cellIs" dxfId="665" priority="24" stopIfTrue="1" operator="equal">
      <formula>0</formula>
    </cfRule>
  </conditionalFormatting>
  <conditionalFormatting sqref="C73:C77">
    <cfRule type="cellIs" dxfId="664" priority="25" stopIfTrue="1" operator="equal">
      <formula>0</formula>
    </cfRule>
  </conditionalFormatting>
  <conditionalFormatting sqref="E73:F77">
    <cfRule type="cellIs" dxfId="663" priority="26" stopIfTrue="1" operator="equal">
      <formula>0</formula>
    </cfRule>
  </conditionalFormatting>
  <conditionalFormatting sqref="D79:F83">
    <cfRule type="cellIs" dxfId="662" priority="27" stopIfTrue="1" operator="equal">
      <formula>0</formula>
    </cfRule>
  </conditionalFormatting>
  <conditionalFormatting sqref="C85:C90">
    <cfRule type="cellIs" dxfId="661" priority="28" stopIfTrue="1" operator="equal">
      <formula>0</formula>
    </cfRule>
  </conditionalFormatting>
  <conditionalFormatting sqref="E85:F90">
    <cfRule type="cellIs" dxfId="660" priority="29" stopIfTrue="1" operator="equal">
      <formula>0</formula>
    </cfRule>
  </conditionalFormatting>
  <conditionalFormatting sqref="D92:F96">
    <cfRule type="cellIs" dxfId="659" priority="30" stopIfTrue="1" operator="equal">
      <formula>0</formula>
    </cfRule>
  </conditionalFormatting>
  <conditionalFormatting sqref="C98:C100">
    <cfRule type="cellIs" dxfId="658" priority="31" stopIfTrue="1" operator="equal">
      <formula>0</formula>
    </cfRule>
  </conditionalFormatting>
  <conditionalFormatting sqref="E98:F100">
    <cfRule type="cellIs" dxfId="657" priority="32" stopIfTrue="1" operator="equal">
      <formula>0</formula>
    </cfRule>
  </conditionalFormatting>
  <conditionalFormatting sqref="D104:F112">
    <cfRule type="cellIs" dxfId="656" priority="33" stopIfTrue="1" operator="equal">
      <formula>0</formula>
    </cfRule>
  </conditionalFormatting>
  <conditionalFormatting sqref="D114:F116">
    <cfRule type="cellIs" dxfId="655" priority="34" stopIfTrue="1" operator="equal">
      <formula>0</formula>
    </cfRule>
  </conditionalFormatting>
  <conditionalFormatting sqref="D118:F118">
    <cfRule type="cellIs" dxfId="654" priority="35" stopIfTrue="1" operator="equal">
      <formula>0</formula>
    </cfRule>
  </conditionalFormatting>
  <conditionalFormatting sqref="D120:F120">
    <cfRule type="cellIs" dxfId="653" priority="36" stopIfTrue="1" operator="equal">
      <formula>0</formula>
    </cfRule>
  </conditionalFormatting>
  <conditionalFormatting sqref="D122:F122">
    <cfRule type="cellIs" dxfId="652" priority="37" stopIfTrue="1" operator="equal">
      <formula>0</formula>
    </cfRule>
  </conditionalFormatting>
  <conditionalFormatting sqref="D125:F127">
    <cfRule type="cellIs" dxfId="651" priority="38" stopIfTrue="1" operator="equal">
      <formula>0</formula>
    </cfRule>
  </conditionalFormatting>
  <conditionalFormatting sqref="D129:F134">
    <cfRule type="cellIs" dxfId="650" priority="39" stopIfTrue="1" operator="equal">
      <formula>0</formula>
    </cfRule>
  </conditionalFormatting>
  <conditionalFormatting sqref="D136:F138">
    <cfRule type="cellIs" dxfId="649" priority="40" stopIfTrue="1" operator="equal">
      <formula>0</formula>
    </cfRule>
  </conditionalFormatting>
  <conditionalFormatting sqref="D140:F142">
    <cfRule type="cellIs" dxfId="648" priority="41" stopIfTrue="1" operator="equal">
      <formula>0</formula>
    </cfRule>
  </conditionalFormatting>
  <conditionalFormatting sqref="D145:F146">
    <cfRule type="cellIs" dxfId="647" priority="42" stopIfTrue="1" operator="equal">
      <formula>0</formula>
    </cfRule>
  </conditionalFormatting>
  <conditionalFormatting sqref="D148:F150">
    <cfRule type="cellIs" dxfId="646" priority="43" stopIfTrue="1" operator="equal">
      <formula>0</formula>
    </cfRule>
  </conditionalFormatting>
  <conditionalFormatting sqref="D152:F152">
    <cfRule type="cellIs" dxfId="645" priority="44" stopIfTrue="1" operator="equal">
      <formula>0</formula>
    </cfRule>
  </conditionalFormatting>
  <conditionalFormatting sqref="D154:F154">
    <cfRule type="cellIs" dxfId="644" priority="45" stopIfTrue="1" operator="equal">
      <formula>0</formula>
    </cfRule>
  </conditionalFormatting>
  <conditionalFormatting sqref="D156:F156">
    <cfRule type="cellIs" dxfId="643" priority="46" stopIfTrue="1" operator="equal">
      <formula>0</formula>
    </cfRule>
  </conditionalFormatting>
  <conditionalFormatting sqref="D158:F160">
    <cfRule type="cellIs" dxfId="642" priority="47" stopIfTrue="1" operator="equal">
      <formula>0</formula>
    </cfRule>
  </conditionalFormatting>
  <conditionalFormatting sqref="D162:F167">
    <cfRule type="cellIs" dxfId="641" priority="48" stopIfTrue="1" operator="equal">
      <formula>0</formula>
    </cfRule>
  </conditionalFormatting>
  <conditionalFormatting sqref="D169:F172">
    <cfRule type="cellIs" dxfId="640" priority="49" stopIfTrue="1" operator="equal">
      <formula>0</formula>
    </cfRule>
  </conditionalFormatting>
  <conditionalFormatting sqref="D175:F177">
    <cfRule type="cellIs" dxfId="639" priority="50" stopIfTrue="1" operator="equal">
      <formula>0</formula>
    </cfRule>
  </conditionalFormatting>
  <conditionalFormatting sqref="D180:F180">
    <cfRule type="cellIs" dxfId="638" priority="51" stopIfTrue="1" operator="equal">
      <formula>0</formula>
    </cfRule>
  </conditionalFormatting>
  <conditionalFormatting sqref="D182:F185">
    <cfRule type="cellIs" dxfId="637" priority="52" stopIfTrue="1" operator="equal">
      <formula>0</formula>
    </cfRule>
  </conditionalFormatting>
  <conditionalFormatting sqref="D187:F189">
    <cfRule type="cellIs" dxfId="636" priority="53" stopIfTrue="1" operator="equal">
      <formula>0</formula>
    </cfRule>
  </conditionalFormatting>
  <conditionalFormatting sqref="D191:F192">
    <cfRule type="cellIs" dxfId="635" priority="54" stopIfTrue="1" operator="equal">
      <formula>0</formula>
    </cfRule>
  </conditionalFormatting>
  <conditionalFormatting sqref="D195:F196">
    <cfRule type="cellIs" dxfId="634" priority="55" stopIfTrue="1" operator="equal">
      <formula>0</formula>
    </cfRule>
  </conditionalFormatting>
  <conditionalFormatting sqref="E203:E205">
    <cfRule type="cellIs" dxfId="633" priority="56" stopIfTrue="1" operator="equal">
      <formula>0</formula>
    </cfRule>
  </conditionalFormatting>
  <conditionalFormatting sqref="F203:F205">
    <cfRule type="cellIs" dxfId="632" priority="57" stopIfTrue="1" operator="equal">
      <formula>0</formula>
    </cfRule>
  </conditionalFormatting>
  <conditionalFormatting sqref="D203:D205">
    <cfRule type="cellIs" dxfId="631" priority="58" stopIfTrue="1" operator="equal">
      <formula>0</formula>
    </cfRule>
  </conditionalFormatting>
  <conditionalFormatting sqref="E211:E215">
    <cfRule type="cellIs" dxfId="630" priority="59" stopIfTrue="1" operator="equal">
      <formula>0</formula>
    </cfRule>
  </conditionalFormatting>
  <conditionalFormatting sqref="F211:F215">
    <cfRule type="cellIs" dxfId="629" priority="60" stopIfTrue="1" operator="equal">
      <formula>0</formula>
    </cfRule>
  </conditionalFormatting>
  <conditionalFormatting sqref="D211:D215">
    <cfRule type="cellIs" dxfId="628" priority="61" stopIfTrue="1" operator="equal">
      <formula>0</formula>
    </cfRule>
  </conditionalFormatting>
  <conditionalFormatting sqref="E217">
    <cfRule type="cellIs" dxfId="627" priority="62" stopIfTrue="1" operator="equal">
      <formula>0</formula>
    </cfRule>
  </conditionalFormatting>
  <conditionalFormatting sqref="F217">
    <cfRule type="cellIs" dxfId="626" priority="63" stopIfTrue="1" operator="equal">
      <formula>0</formula>
    </cfRule>
  </conditionalFormatting>
  <conditionalFormatting sqref="D217">
    <cfRule type="cellIs" dxfId="625" priority="64" stopIfTrue="1" operator="equal">
      <formula>0</formula>
    </cfRule>
  </conditionalFormatting>
  <conditionalFormatting sqref="E219">
    <cfRule type="cellIs" dxfId="624" priority="65" stopIfTrue="1" operator="equal">
      <formula>0</formula>
    </cfRule>
  </conditionalFormatting>
  <conditionalFormatting sqref="F219">
    <cfRule type="cellIs" dxfId="623" priority="66" stopIfTrue="1" operator="equal">
      <formula>0</formula>
    </cfRule>
  </conditionalFormatting>
  <conditionalFormatting sqref="D219">
    <cfRule type="cellIs" dxfId="622" priority="67" stopIfTrue="1" operator="equal">
      <formula>0</formula>
    </cfRule>
  </conditionalFormatting>
  <conditionalFormatting sqref="E228">
    <cfRule type="cellIs" dxfId="621" priority="68" stopIfTrue="1" operator="equal">
      <formula>0</formula>
    </cfRule>
  </conditionalFormatting>
  <conditionalFormatting sqref="F228">
    <cfRule type="cellIs" dxfId="620" priority="69" stopIfTrue="1" operator="equal">
      <formula>0</formula>
    </cfRule>
  </conditionalFormatting>
  <conditionalFormatting sqref="D228">
    <cfRule type="cellIs" dxfId="619" priority="70" stopIfTrue="1" operator="equal">
      <formula>0</formula>
    </cfRule>
  </conditionalFormatting>
  <conditionalFormatting sqref="E230">
    <cfRule type="cellIs" dxfId="618" priority="71" stopIfTrue="1" operator="equal">
      <formula>0</formula>
    </cfRule>
  </conditionalFormatting>
  <conditionalFormatting sqref="F230">
    <cfRule type="cellIs" dxfId="617" priority="72" stopIfTrue="1" operator="equal">
      <formula>0</formula>
    </cfRule>
  </conditionalFormatting>
  <conditionalFormatting sqref="D230">
    <cfRule type="cellIs" dxfId="616" priority="73" stopIfTrue="1" operator="equal">
      <formula>0</formula>
    </cfRule>
  </conditionalFormatting>
  <conditionalFormatting sqref="E233:E236">
    <cfRule type="cellIs" dxfId="615" priority="74" stopIfTrue="1" operator="equal">
      <formula>0</formula>
    </cfRule>
  </conditionalFormatting>
  <conditionalFormatting sqref="F233:F236">
    <cfRule type="cellIs" dxfId="614" priority="75" stopIfTrue="1" operator="equal">
      <formula>0</formula>
    </cfRule>
  </conditionalFormatting>
  <conditionalFormatting sqref="D233:D236">
    <cfRule type="cellIs" dxfId="613" priority="76" stopIfTrue="1" operator="equal">
      <formula>0</formula>
    </cfRule>
  </conditionalFormatting>
  <conditionalFormatting sqref="E239:E252">
    <cfRule type="cellIs" dxfId="612" priority="77" stopIfTrue="1" operator="equal">
      <formula>0</formula>
    </cfRule>
  </conditionalFormatting>
  <conditionalFormatting sqref="F239:F252">
    <cfRule type="cellIs" dxfId="611" priority="78" stopIfTrue="1" operator="equal">
      <formula>0</formula>
    </cfRule>
  </conditionalFormatting>
  <conditionalFormatting sqref="D239:D252">
    <cfRule type="cellIs" dxfId="610" priority="79" stopIfTrue="1" operator="equal">
      <formula>0</formula>
    </cfRule>
  </conditionalFormatting>
  <conditionalFormatting sqref="E254:E258">
    <cfRule type="cellIs" dxfId="609" priority="80" stopIfTrue="1" operator="equal">
      <formula>0</formula>
    </cfRule>
  </conditionalFormatting>
  <conditionalFormatting sqref="F254:F258">
    <cfRule type="cellIs" dxfId="608" priority="81" stopIfTrue="1" operator="equal">
      <formula>0</formula>
    </cfRule>
  </conditionalFormatting>
  <conditionalFormatting sqref="D254:D258">
    <cfRule type="cellIs" dxfId="607" priority="82" stopIfTrue="1" operator="equal">
      <formula>0</formula>
    </cfRule>
  </conditionalFormatting>
  <conditionalFormatting sqref="E260">
    <cfRule type="cellIs" dxfId="606" priority="83" stopIfTrue="1" operator="equal">
      <formula>0</formula>
    </cfRule>
  </conditionalFormatting>
  <conditionalFormatting sqref="F260">
    <cfRule type="cellIs" dxfId="605" priority="84" stopIfTrue="1" operator="equal">
      <formula>0</formula>
    </cfRule>
  </conditionalFormatting>
  <conditionalFormatting sqref="D260">
    <cfRule type="cellIs" dxfId="604" priority="85" stopIfTrue="1" operator="equal">
      <formula>0</formula>
    </cfRule>
  </conditionalFormatting>
  <conditionalFormatting sqref="E262">
    <cfRule type="cellIs" dxfId="603" priority="86" stopIfTrue="1" operator="equal">
      <formula>0</formula>
    </cfRule>
  </conditionalFormatting>
  <conditionalFormatting sqref="F262">
    <cfRule type="cellIs" dxfId="602" priority="87" stopIfTrue="1" operator="equal">
      <formula>0</formula>
    </cfRule>
  </conditionalFormatting>
  <conditionalFormatting sqref="D262">
    <cfRule type="cellIs" dxfId="601" priority="88" stopIfTrue="1" operator="equal">
      <formula>0</formula>
    </cfRule>
  </conditionalFormatting>
  <conditionalFormatting sqref="E265:E266">
    <cfRule type="cellIs" dxfId="600" priority="89" stopIfTrue="1" operator="equal">
      <formula>0</formula>
    </cfRule>
  </conditionalFormatting>
  <conditionalFormatting sqref="F265:F266">
    <cfRule type="cellIs" dxfId="599" priority="90" stopIfTrue="1" operator="equal">
      <formula>0</formula>
    </cfRule>
  </conditionalFormatting>
  <conditionalFormatting sqref="D265:D266">
    <cfRule type="cellIs" dxfId="598" priority="91" stopIfTrue="1" operator="equal">
      <formula>0</formula>
    </cfRule>
  </conditionalFormatting>
  <conditionalFormatting sqref="E270">
    <cfRule type="cellIs" dxfId="597" priority="92" stopIfTrue="1" operator="equal">
      <formula>0</formula>
    </cfRule>
  </conditionalFormatting>
  <conditionalFormatting sqref="F270">
    <cfRule type="cellIs" dxfId="596" priority="93" stopIfTrue="1" operator="equal">
      <formula>0</formula>
    </cfRule>
  </conditionalFormatting>
  <conditionalFormatting sqref="D270">
    <cfRule type="cellIs" dxfId="595" priority="94" stopIfTrue="1" operator="equal">
      <formula>0</formula>
    </cfRule>
  </conditionalFormatting>
  <conditionalFormatting sqref="E275">
    <cfRule type="cellIs" dxfId="594" priority="95" stopIfTrue="1" operator="equal">
      <formula>0</formula>
    </cfRule>
  </conditionalFormatting>
  <conditionalFormatting sqref="F275">
    <cfRule type="cellIs" dxfId="593" priority="96" stopIfTrue="1" operator="equal">
      <formula>0</formula>
    </cfRule>
  </conditionalFormatting>
  <conditionalFormatting sqref="D275">
    <cfRule type="cellIs" dxfId="592" priority="97" stopIfTrue="1" operator="equal">
      <formula>0</formula>
    </cfRule>
  </conditionalFormatting>
  <conditionalFormatting sqref="E277">
    <cfRule type="cellIs" dxfId="591" priority="98" stopIfTrue="1" operator="equal">
      <formula>0</formula>
    </cfRule>
  </conditionalFormatting>
  <conditionalFormatting sqref="F277">
    <cfRule type="cellIs" dxfId="590" priority="99" stopIfTrue="1" operator="equal">
      <formula>0</formula>
    </cfRule>
  </conditionalFormatting>
  <conditionalFormatting sqref="D277">
    <cfRule type="cellIs" dxfId="589" priority="100" stopIfTrue="1" operator="equal">
      <formula>0</formula>
    </cfRule>
  </conditionalFormatting>
  <conditionalFormatting sqref="E279">
    <cfRule type="cellIs" dxfId="588" priority="101" stopIfTrue="1" operator="equal">
      <formula>0</formula>
    </cfRule>
  </conditionalFormatting>
  <conditionalFormatting sqref="F279">
    <cfRule type="cellIs" dxfId="587" priority="102" stopIfTrue="1" operator="equal">
      <formula>0</formula>
    </cfRule>
  </conditionalFormatting>
  <conditionalFormatting sqref="D279">
    <cfRule type="cellIs" dxfId="586" priority="103" stopIfTrue="1" operator="equal">
      <formula>0</formula>
    </cfRule>
  </conditionalFormatting>
  <conditionalFormatting sqref="E281">
    <cfRule type="cellIs" dxfId="585" priority="104" stopIfTrue="1" operator="equal">
      <formula>0</formula>
    </cfRule>
  </conditionalFormatting>
  <conditionalFormatting sqref="F281">
    <cfRule type="cellIs" dxfId="584" priority="105" stopIfTrue="1" operator="equal">
      <formula>0</formula>
    </cfRule>
  </conditionalFormatting>
  <conditionalFormatting sqref="D281">
    <cfRule type="cellIs" dxfId="583" priority="106" stopIfTrue="1" operator="equal">
      <formula>0</formula>
    </cfRule>
  </conditionalFormatting>
  <conditionalFormatting sqref="E283">
    <cfRule type="cellIs" dxfId="582" priority="107" stopIfTrue="1" operator="equal">
      <formula>0</formula>
    </cfRule>
  </conditionalFormatting>
  <conditionalFormatting sqref="F283">
    <cfRule type="cellIs" dxfId="581" priority="108" stopIfTrue="1" operator="equal">
      <formula>0</formula>
    </cfRule>
  </conditionalFormatting>
  <conditionalFormatting sqref="D283">
    <cfRule type="cellIs" dxfId="580" priority="109" stopIfTrue="1" operator="equal">
      <formula>0</formula>
    </cfRule>
  </conditionalFormatting>
  <conditionalFormatting sqref="E286:E290">
    <cfRule type="cellIs" dxfId="579" priority="110" stopIfTrue="1" operator="equal">
      <formula>0</formula>
    </cfRule>
  </conditionalFormatting>
  <conditionalFormatting sqref="F286:F290">
    <cfRule type="cellIs" dxfId="578" priority="111" stopIfTrue="1" operator="equal">
      <formula>0</formula>
    </cfRule>
  </conditionalFormatting>
  <conditionalFormatting sqref="D286:D290">
    <cfRule type="cellIs" dxfId="577" priority="112" stopIfTrue="1" operator="equal">
      <formula>0</formula>
    </cfRule>
  </conditionalFormatting>
  <conditionalFormatting sqref="E292">
    <cfRule type="cellIs" dxfId="576" priority="113" stopIfTrue="1" operator="equal">
      <formula>0</formula>
    </cfRule>
  </conditionalFormatting>
  <conditionalFormatting sqref="F292">
    <cfRule type="cellIs" dxfId="575" priority="114" stopIfTrue="1" operator="equal">
      <formula>0</formula>
    </cfRule>
  </conditionalFormatting>
  <conditionalFormatting sqref="D292">
    <cfRule type="cellIs" dxfId="574" priority="115" stopIfTrue="1" operator="equal">
      <formula>0</formula>
    </cfRule>
  </conditionalFormatting>
  <conditionalFormatting sqref="E295">
    <cfRule type="cellIs" dxfId="573" priority="116" stopIfTrue="1" operator="equal">
      <formula>0</formula>
    </cfRule>
  </conditionalFormatting>
  <conditionalFormatting sqref="F295">
    <cfRule type="cellIs" dxfId="572" priority="117" stopIfTrue="1" operator="equal">
      <formula>0</formula>
    </cfRule>
  </conditionalFormatting>
  <conditionalFormatting sqref="D295">
    <cfRule type="cellIs" dxfId="571" priority="118" stopIfTrue="1" operator="equal">
      <formula>0</formula>
    </cfRule>
  </conditionalFormatting>
  <conditionalFormatting sqref="E298">
    <cfRule type="cellIs" dxfId="570" priority="119" stopIfTrue="1" operator="equal">
      <formula>0</formula>
    </cfRule>
  </conditionalFormatting>
  <conditionalFormatting sqref="F298">
    <cfRule type="cellIs" dxfId="569" priority="120" stopIfTrue="1" operator="equal">
      <formula>0</formula>
    </cfRule>
  </conditionalFormatting>
  <conditionalFormatting sqref="D298">
    <cfRule type="cellIs" dxfId="568" priority="121" stopIfTrue="1" operator="equal">
      <formula>0</formula>
    </cfRule>
  </conditionalFormatting>
  <conditionalFormatting sqref="E303">
    <cfRule type="cellIs" dxfId="567" priority="122" stopIfTrue="1" operator="equal">
      <formula>0</formula>
    </cfRule>
  </conditionalFormatting>
  <conditionalFormatting sqref="F303">
    <cfRule type="cellIs" dxfId="566" priority="123" stopIfTrue="1" operator="equal">
      <formula>0</formula>
    </cfRule>
  </conditionalFormatting>
  <conditionalFormatting sqref="D303">
    <cfRule type="cellIs" dxfId="565" priority="124" stopIfTrue="1" operator="equal">
      <formula>0</formula>
    </cfRule>
  </conditionalFormatting>
  <conditionalFormatting sqref="E311:E322">
    <cfRule type="cellIs" dxfId="564" priority="125" stopIfTrue="1" operator="equal">
      <formula>0</formula>
    </cfRule>
  </conditionalFormatting>
  <conditionalFormatting sqref="F311:F322">
    <cfRule type="cellIs" dxfId="563" priority="126" stopIfTrue="1" operator="equal">
      <formula>0</formula>
    </cfRule>
  </conditionalFormatting>
  <conditionalFormatting sqref="D311:D322">
    <cfRule type="cellIs" dxfId="562" priority="127" stopIfTrue="1" operator="equal">
      <formula>0</formula>
    </cfRule>
  </conditionalFormatting>
  <conditionalFormatting sqref="E324:E325">
    <cfRule type="cellIs" dxfId="561" priority="128" stopIfTrue="1" operator="equal">
      <formula>0</formula>
    </cfRule>
  </conditionalFormatting>
  <conditionalFormatting sqref="F324:F325">
    <cfRule type="cellIs" dxfId="560" priority="129" stopIfTrue="1" operator="equal">
      <formula>0</formula>
    </cfRule>
  </conditionalFormatting>
  <conditionalFormatting sqref="D324:D325">
    <cfRule type="cellIs" dxfId="559" priority="130" stopIfTrue="1" operator="equal">
      <formula>0</formula>
    </cfRule>
  </conditionalFormatting>
  <conditionalFormatting sqref="E327:E332">
    <cfRule type="cellIs" dxfId="558" priority="131" stopIfTrue="1" operator="equal">
      <formula>0</formula>
    </cfRule>
  </conditionalFormatting>
  <conditionalFormatting sqref="F327:F332">
    <cfRule type="cellIs" dxfId="557" priority="132" stopIfTrue="1" operator="equal">
      <formula>0</formula>
    </cfRule>
  </conditionalFormatting>
  <conditionalFormatting sqref="D327:D332">
    <cfRule type="cellIs" dxfId="556" priority="133" stopIfTrue="1" operator="equal">
      <formula>0</formula>
    </cfRule>
  </conditionalFormatting>
  <conditionalFormatting sqref="E334:E338">
    <cfRule type="cellIs" dxfId="555" priority="134" stopIfTrue="1" operator="equal">
      <formula>0</formula>
    </cfRule>
  </conditionalFormatting>
  <conditionalFormatting sqref="F334:F338">
    <cfRule type="cellIs" dxfId="554" priority="135" stopIfTrue="1" operator="equal">
      <formula>0</formula>
    </cfRule>
  </conditionalFormatting>
  <conditionalFormatting sqref="D334:D338">
    <cfRule type="cellIs" dxfId="553" priority="136" stopIfTrue="1" operator="equal">
      <formula>0</formula>
    </cfRule>
  </conditionalFormatting>
  <conditionalFormatting sqref="E340:E341">
    <cfRule type="cellIs" dxfId="552" priority="137" stopIfTrue="1" operator="equal">
      <formula>0</formula>
    </cfRule>
  </conditionalFormatting>
  <conditionalFormatting sqref="F340:F341">
    <cfRule type="cellIs" dxfId="551" priority="138" stopIfTrue="1" operator="equal">
      <formula>0</formula>
    </cfRule>
  </conditionalFormatting>
  <conditionalFormatting sqref="D340:D341">
    <cfRule type="cellIs" dxfId="550" priority="139" stopIfTrue="1" operator="equal">
      <formula>0</formula>
    </cfRule>
  </conditionalFormatting>
  <conditionalFormatting sqref="E344:E345">
    <cfRule type="cellIs" dxfId="549" priority="140" stopIfTrue="1" operator="equal">
      <formula>0</formula>
    </cfRule>
  </conditionalFormatting>
  <conditionalFormatting sqref="F344:F345">
    <cfRule type="cellIs" dxfId="548" priority="141" stopIfTrue="1" operator="equal">
      <formula>0</formula>
    </cfRule>
  </conditionalFormatting>
  <conditionalFormatting sqref="D344:D345">
    <cfRule type="cellIs" dxfId="547" priority="142" stopIfTrue="1" operator="equal">
      <formula>0</formula>
    </cfRule>
  </conditionalFormatting>
  <conditionalFormatting sqref="E348:E349">
    <cfRule type="cellIs" dxfId="546" priority="143" stopIfTrue="1" operator="equal">
      <formula>0</formula>
    </cfRule>
  </conditionalFormatting>
  <conditionalFormatting sqref="F348:F349">
    <cfRule type="cellIs" dxfId="545" priority="144" stopIfTrue="1" operator="equal">
      <formula>0</formula>
    </cfRule>
  </conditionalFormatting>
  <conditionalFormatting sqref="D348:D349">
    <cfRule type="cellIs" dxfId="544" priority="145" stopIfTrue="1" operator="equal">
      <formula>0</formula>
    </cfRule>
  </conditionalFormatting>
  <conditionalFormatting sqref="E352">
    <cfRule type="cellIs" dxfId="543" priority="146" stopIfTrue="1" operator="equal">
      <formula>0</formula>
    </cfRule>
  </conditionalFormatting>
  <conditionalFormatting sqref="F352">
    <cfRule type="cellIs" dxfId="542" priority="147" stopIfTrue="1" operator="equal">
      <formula>0</formula>
    </cfRule>
  </conditionalFormatting>
  <conditionalFormatting sqref="D352">
    <cfRule type="cellIs" dxfId="541" priority="148" stopIfTrue="1" operator="equal">
      <formula>0</formula>
    </cfRule>
  </conditionalFormatting>
  <conditionalFormatting sqref="E355">
    <cfRule type="cellIs" dxfId="540" priority="149" stopIfTrue="1" operator="equal">
      <formula>0</formula>
    </cfRule>
  </conditionalFormatting>
  <conditionalFormatting sqref="F355">
    <cfRule type="cellIs" dxfId="539" priority="150" stopIfTrue="1" operator="equal">
      <formula>0</formula>
    </cfRule>
  </conditionalFormatting>
  <conditionalFormatting sqref="D355">
    <cfRule type="cellIs" dxfId="538" priority="151" stopIfTrue="1" operator="equal">
      <formula>0</formula>
    </cfRule>
  </conditionalFormatting>
  <conditionalFormatting sqref="E359">
    <cfRule type="cellIs" dxfId="537" priority="152" stopIfTrue="1" operator="equal">
      <formula>0</formula>
    </cfRule>
  </conditionalFormatting>
  <conditionalFormatting sqref="F359">
    <cfRule type="cellIs" dxfId="536" priority="153" stopIfTrue="1" operator="equal">
      <formula>0</formula>
    </cfRule>
  </conditionalFormatting>
  <conditionalFormatting sqref="D359">
    <cfRule type="cellIs" dxfId="535" priority="154" stopIfTrue="1" operator="equal">
      <formula>0</formula>
    </cfRule>
  </conditionalFormatting>
  <conditionalFormatting sqref="E361">
    <cfRule type="cellIs" dxfId="534" priority="155" stopIfTrue="1" operator="equal">
      <formula>0</formula>
    </cfRule>
  </conditionalFormatting>
  <conditionalFormatting sqref="F361">
    <cfRule type="cellIs" dxfId="533" priority="156" stopIfTrue="1" operator="equal">
      <formula>0</formula>
    </cfRule>
  </conditionalFormatting>
  <conditionalFormatting sqref="D361">
    <cfRule type="cellIs" dxfId="532" priority="157" stopIfTrue="1" operator="equal">
      <formula>0</formula>
    </cfRule>
  </conditionalFormatting>
  <conditionalFormatting sqref="E370">
    <cfRule type="cellIs" dxfId="531" priority="158" stopIfTrue="1" operator="equal">
      <formula>0</formula>
    </cfRule>
  </conditionalFormatting>
  <conditionalFormatting sqref="F370">
    <cfRule type="cellIs" dxfId="530" priority="159" stopIfTrue="1" operator="equal">
      <formula>0</formula>
    </cfRule>
  </conditionalFormatting>
  <conditionalFormatting sqref="D370">
    <cfRule type="cellIs" dxfId="529" priority="160" stopIfTrue="1" operator="equal">
      <formula>0</formula>
    </cfRule>
  </conditionalFormatting>
  <conditionalFormatting sqref="E373">
    <cfRule type="cellIs" dxfId="528" priority="161" stopIfTrue="1" operator="equal">
      <formula>0</formula>
    </cfRule>
  </conditionalFormatting>
  <conditionalFormatting sqref="F373">
    <cfRule type="cellIs" dxfId="527" priority="162" stopIfTrue="1" operator="equal">
      <formula>0</formula>
    </cfRule>
  </conditionalFormatting>
  <conditionalFormatting sqref="D373">
    <cfRule type="cellIs" dxfId="526" priority="163" stopIfTrue="1" operator="equal">
      <formula>0</formula>
    </cfRule>
  </conditionalFormatting>
  <conditionalFormatting sqref="E377">
    <cfRule type="cellIs" dxfId="525" priority="164" stopIfTrue="1" operator="equal">
      <formula>0</formula>
    </cfRule>
  </conditionalFormatting>
  <conditionalFormatting sqref="F377">
    <cfRule type="cellIs" dxfId="524" priority="165" stopIfTrue="1" operator="equal">
      <formula>0</formula>
    </cfRule>
  </conditionalFormatting>
  <conditionalFormatting sqref="D377">
    <cfRule type="cellIs" dxfId="523" priority="166" stopIfTrue="1" operator="equal">
      <formula>0</formula>
    </cfRule>
  </conditionalFormatting>
  <conditionalFormatting sqref="E379">
    <cfRule type="cellIs" dxfId="522" priority="167" stopIfTrue="1" operator="equal">
      <formula>0</formula>
    </cfRule>
  </conditionalFormatting>
  <conditionalFormatting sqref="F379">
    <cfRule type="cellIs" dxfId="521" priority="168" stopIfTrue="1" operator="equal">
      <formula>0</formula>
    </cfRule>
  </conditionalFormatting>
  <conditionalFormatting sqref="D379">
    <cfRule type="cellIs" dxfId="520" priority="169" stopIfTrue="1" operator="equal">
      <formula>0</formula>
    </cfRule>
  </conditionalFormatting>
  <conditionalFormatting sqref="E381">
    <cfRule type="cellIs" dxfId="519" priority="170" stopIfTrue="1" operator="equal">
      <formula>0</formula>
    </cfRule>
  </conditionalFormatting>
  <conditionalFormatting sqref="F381">
    <cfRule type="cellIs" dxfId="518" priority="171" stopIfTrue="1" operator="equal">
      <formula>0</formula>
    </cfRule>
  </conditionalFormatting>
  <conditionalFormatting sqref="D381">
    <cfRule type="cellIs" dxfId="517" priority="172" stopIfTrue="1" operator="equal">
      <formula>0</formula>
    </cfRule>
  </conditionalFormatting>
  <conditionalFormatting sqref="E383">
    <cfRule type="cellIs" dxfId="516" priority="173" stopIfTrue="1" operator="equal">
      <formula>0</formula>
    </cfRule>
  </conditionalFormatting>
  <conditionalFormatting sqref="F383">
    <cfRule type="cellIs" dxfId="515" priority="174" stopIfTrue="1" operator="equal">
      <formula>0</formula>
    </cfRule>
  </conditionalFormatting>
  <conditionalFormatting sqref="D383">
    <cfRule type="cellIs" dxfId="514" priority="175" stopIfTrue="1" operator="equal">
      <formula>0</formula>
    </cfRule>
  </conditionalFormatting>
  <conditionalFormatting sqref="E385">
    <cfRule type="cellIs" dxfId="513" priority="176" stopIfTrue="1" operator="equal">
      <formula>0</formula>
    </cfRule>
  </conditionalFormatting>
  <conditionalFormatting sqref="F385">
    <cfRule type="cellIs" dxfId="512" priority="177" stopIfTrue="1" operator="equal">
      <formula>0</formula>
    </cfRule>
  </conditionalFormatting>
  <conditionalFormatting sqref="D385">
    <cfRule type="cellIs" dxfId="511" priority="178" stopIfTrue="1" operator="equal">
      <formula>0</formula>
    </cfRule>
  </conditionalFormatting>
  <conditionalFormatting sqref="E387">
    <cfRule type="cellIs" dxfId="510" priority="179" stopIfTrue="1" operator="equal">
      <formula>0</formula>
    </cfRule>
  </conditionalFormatting>
  <conditionalFormatting sqref="F387">
    <cfRule type="cellIs" dxfId="509" priority="180" stopIfTrue="1" operator="equal">
      <formula>0</formula>
    </cfRule>
  </conditionalFormatting>
  <conditionalFormatting sqref="D387">
    <cfRule type="cellIs" dxfId="508" priority="181" stopIfTrue="1" operator="equal">
      <formula>0</formula>
    </cfRule>
  </conditionalFormatting>
  <conditionalFormatting sqref="E389">
    <cfRule type="cellIs" dxfId="507" priority="182" stopIfTrue="1" operator="equal">
      <formula>0</formula>
    </cfRule>
  </conditionalFormatting>
  <conditionalFormatting sqref="F389">
    <cfRule type="cellIs" dxfId="506" priority="183" stopIfTrue="1" operator="equal">
      <formula>0</formula>
    </cfRule>
  </conditionalFormatting>
  <conditionalFormatting sqref="D389">
    <cfRule type="cellIs" dxfId="505" priority="184" stopIfTrue="1" operator="equal">
      <formula>0</formula>
    </cfRule>
  </conditionalFormatting>
  <conditionalFormatting sqref="C394">
    <cfRule type="cellIs" dxfId="504" priority="185" stopIfTrue="1" operator="equal">
      <formula>0</formula>
    </cfRule>
  </conditionalFormatting>
  <conditionalFormatting sqref="E394">
    <cfRule type="cellIs" dxfId="503" priority="186" stopIfTrue="1" operator="equal">
      <formula>0</formula>
    </cfRule>
  </conditionalFormatting>
  <conditionalFormatting sqref="F394">
    <cfRule type="cellIs" dxfId="502" priority="187" stopIfTrue="1" operator="equal">
      <formula>0</formula>
    </cfRule>
  </conditionalFormatting>
  <conditionalFormatting sqref="C396">
    <cfRule type="cellIs" dxfId="501" priority="188" stopIfTrue="1" operator="equal">
      <formula>0</formula>
    </cfRule>
  </conditionalFormatting>
  <conditionalFormatting sqref="E396">
    <cfRule type="cellIs" dxfId="500" priority="189" stopIfTrue="1" operator="equal">
      <formula>0</formula>
    </cfRule>
  </conditionalFormatting>
  <conditionalFormatting sqref="F396">
    <cfRule type="cellIs" dxfId="499" priority="190" stopIfTrue="1" operator="equal">
      <formula>0</formula>
    </cfRule>
  </conditionalFormatting>
  <conditionalFormatting sqref="C399:C402">
    <cfRule type="cellIs" dxfId="498" priority="191" stopIfTrue="1" operator="equal">
      <formula>0</formula>
    </cfRule>
  </conditionalFormatting>
  <conditionalFormatting sqref="E399:E402">
    <cfRule type="cellIs" dxfId="497" priority="192" stopIfTrue="1" operator="equal">
      <formula>0</formula>
    </cfRule>
  </conditionalFormatting>
  <conditionalFormatting sqref="F399:F402">
    <cfRule type="cellIs" dxfId="496" priority="193" stopIfTrue="1" operator="equal">
      <formula>0</formula>
    </cfRule>
  </conditionalFormatting>
  <conditionalFormatting sqref="C404:C411">
    <cfRule type="cellIs" dxfId="495" priority="194" stopIfTrue="1" operator="equal">
      <formula>0</formula>
    </cfRule>
  </conditionalFormatting>
  <conditionalFormatting sqref="E404:E411">
    <cfRule type="cellIs" dxfId="494" priority="195" stopIfTrue="1" operator="equal">
      <formula>0</formula>
    </cfRule>
  </conditionalFormatting>
  <conditionalFormatting sqref="F404:F411">
    <cfRule type="cellIs" dxfId="493" priority="196" stopIfTrue="1" operator="equal">
      <formula>0</formula>
    </cfRule>
  </conditionalFormatting>
  <conditionalFormatting sqref="C413:C416">
    <cfRule type="cellIs" dxfId="492" priority="197" stopIfTrue="1" operator="equal">
      <formula>0</formula>
    </cfRule>
  </conditionalFormatting>
  <conditionalFormatting sqref="E413:E416">
    <cfRule type="cellIs" dxfId="491" priority="198" stopIfTrue="1" operator="equal">
      <formula>0</formula>
    </cfRule>
  </conditionalFormatting>
  <conditionalFormatting sqref="F413:F416">
    <cfRule type="cellIs" dxfId="490" priority="199" stopIfTrue="1" operator="equal">
      <formula>0</formula>
    </cfRule>
  </conditionalFormatting>
  <conditionalFormatting sqref="C418:C423">
    <cfRule type="cellIs" dxfId="489" priority="200" stopIfTrue="1" operator="equal">
      <formula>0</formula>
    </cfRule>
  </conditionalFormatting>
  <conditionalFormatting sqref="E418:E423">
    <cfRule type="cellIs" dxfId="488" priority="201" stopIfTrue="1" operator="equal">
      <formula>0</formula>
    </cfRule>
  </conditionalFormatting>
  <conditionalFormatting sqref="F418:F423">
    <cfRule type="cellIs" dxfId="487" priority="202" stopIfTrue="1" operator="equal">
      <formula>0</formula>
    </cfRule>
  </conditionalFormatting>
  <conditionalFormatting sqref="C425:C426">
    <cfRule type="cellIs" dxfId="486" priority="203" stopIfTrue="1" operator="equal">
      <formula>0</formula>
    </cfRule>
  </conditionalFormatting>
  <conditionalFormatting sqref="E425:E426">
    <cfRule type="cellIs" dxfId="485" priority="204" stopIfTrue="1" operator="equal">
      <formula>0</formula>
    </cfRule>
  </conditionalFormatting>
  <conditionalFormatting sqref="F425:F426">
    <cfRule type="cellIs" dxfId="484" priority="205" stopIfTrue="1" operator="equal">
      <formula>0</formula>
    </cfRule>
  </conditionalFormatting>
  <conditionalFormatting sqref="C429:C436">
    <cfRule type="cellIs" dxfId="483" priority="206" stopIfTrue="1" operator="equal">
      <formula>0</formula>
    </cfRule>
  </conditionalFormatting>
  <conditionalFormatting sqref="E429:E436">
    <cfRule type="cellIs" dxfId="482" priority="207" stopIfTrue="1" operator="equal">
      <formula>0</formula>
    </cfRule>
  </conditionalFormatting>
  <conditionalFormatting sqref="F429:F436">
    <cfRule type="cellIs" dxfId="481" priority="208" stopIfTrue="1" operator="equal">
      <formula>0</formula>
    </cfRule>
  </conditionalFormatting>
  <conditionalFormatting sqref="C438:C440">
    <cfRule type="cellIs" dxfId="480" priority="209" stopIfTrue="1" operator="equal">
      <formula>0</formula>
    </cfRule>
  </conditionalFormatting>
  <conditionalFormatting sqref="E438:E440">
    <cfRule type="cellIs" dxfId="479" priority="210" stopIfTrue="1" operator="equal">
      <formula>0</formula>
    </cfRule>
  </conditionalFormatting>
  <conditionalFormatting sqref="F438:F440">
    <cfRule type="cellIs" dxfId="478" priority="211" stopIfTrue="1" operator="equal">
      <formula>0</formula>
    </cfRule>
  </conditionalFormatting>
  <conditionalFormatting sqref="C452:C460">
    <cfRule type="cellIs" dxfId="477" priority="212" stopIfTrue="1" operator="equal">
      <formula>0</formula>
    </cfRule>
  </conditionalFormatting>
  <conditionalFormatting sqref="E452:E460">
    <cfRule type="cellIs" dxfId="476" priority="213" stopIfTrue="1" operator="equal">
      <formula>0</formula>
    </cfRule>
  </conditionalFormatting>
  <conditionalFormatting sqref="F452:F460">
    <cfRule type="cellIs" dxfId="475" priority="214" stopIfTrue="1" operator="equal">
      <formula>0</formula>
    </cfRule>
  </conditionalFormatting>
  <conditionalFormatting sqref="C462:C468">
    <cfRule type="cellIs" dxfId="474" priority="215" stopIfTrue="1" operator="equal">
      <formula>0</formula>
    </cfRule>
  </conditionalFormatting>
  <conditionalFormatting sqref="E462:E468">
    <cfRule type="cellIs" dxfId="473" priority="216" stopIfTrue="1" operator="equal">
      <formula>0</formula>
    </cfRule>
  </conditionalFormatting>
  <conditionalFormatting sqref="F462:F468">
    <cfRule type="cellIs" dxfId="472" priority="217" stopIfTrue="1" operator="equal">
      <formula>0</formula>
    </cfRule>
  </conditionalFormatting>
  <conditionalFormatting sqref="C470:C471">
    <cfRule type="cellIs" dxfId="471" priority="218" stopIfTrue="1" operator="equal">
      <formula>0</formula>
    </cfRule>
  </conditionalFormatting>
  <conditionalFormatting sqref="E470:E471">
    <cfRule type="cellIs" dxfId="470" priority="219" stopIfTrue="1" operator="equal">
      <formula>0</formula>
    </cfRule>
  </conditionalFormatting>
  <conditionalFormatting sqref="F470:F471">
    <cfRule type="cellIs" dxfId="469" priority="220" stopIfTrue="1" operator="equal">
      <formula>0</formula>
    </cfRule>
  </conditionalFormatting>
  <conditionalFormatting sqref="C473:C477">
    <cfRule type="cellIs" dxfId="468" priority="221" stopIfTrue="1" operator="equal">
      <formula>0</formula>
    </cfRule>
  </conditionalFormatting>
  <conditionalFormatting sqref="E473:E477">
    <cfRule type="cellIs" dxfId="467" priority="222" stopIfTrue="1" operator="equal">
      <formula>0</formula>
    </cfRule>
  </conditionalFormatting>
  <conditionalFormatting sqref="F473:F477">
    <cfRule type="cellIs" dxfId="466" priority="223" stopIfTrue="1" operator="equal">
      <formula>0</formula>
    </cfRule>
  </conditionalFormatting>
  <conditionalFormatting sqref="C479:C481">
    <cfRule type="cellIs" dxfId="465" priority="224" stopIfTrue="1" operator="equal">
      <formula>0</formula>
    </cfRule>
  </conditionalFormatting>
  <conditionalFormatting sqref="E479:E481">
    <cfRule type="cellIs" dxfId="464" priority="225" stopIfTrue="1" operator="equal">
      <formula>0</formula>
    </cfRule>
  </conditionalFormatting>
  <conditionalFormatting sqref="F479:F481">
    <cfRule type="cellIs" dxfId="463" priority="226" stopIfTrue="1" operator="equal">
      <formula>0</formula>
    </cfRule>
  </conditionalFormatting>
  <conditionalFormatting sqref="C483:C491">
    <cfRule type="cellIs" dxfId="462" priority="227" stopIfTrue="1" operator="equal">
      <formula>0</formula>
    </cfRule>
  </conditionalFormatting>
  <conditionalFormatting sqref="E483:E491">
    <cfRule type="cellIs" dxfId="461" priority="228" stopIfTrue="1" operator="equal">
      <formula>0</formula>
    </cfRule>
  </conditionalFormatting>
  <conditionalFormatting sqref="F483:F491">
    <cfRule type="cellIs" dxfId="460" priority="229" stopIfTrue="1" operator="equal">
      <formula>0</formula>
    </cfRule>
  </conditionalFormatting>
  <conditionalFormatting sqref="C494:C502">
    <cfRule type="cellIs" dxfId="459" priority="230" stopIfTrue="1" operator="equal">
      <formula>0</formula>
    </cfRule>
  </conditionalFormatting>
  <conditionalFormatting sqref="E494:E502">
    <cfRule type="cellIs" dxfId="458" priority="231" stopIfTrue="1" operator="equal">
      <formula>0</formula>
    </cfRule>
  </conditionalFormatting>
  <conditionalFormatting sqref="F494:F502">
    <cfRule type="cellIs" dxfId="457" priority="232" stopIfTrue="1" operator="equal">
      <formula>0</formula>
    </cfRule>
  </conditionalFormatting>
  <conditionalFormatting sqref="C504:C512">
    <cfRule type="cellIs" dxfId="456" priority="233" stopIfTrue="1" operator="equal">
      <formula>0</formula>
    </cfRule>
  </conditionalFormatting>
  <conditionalFormatting sqref="E504:E512">
    <cfRule type="cellIs" dxfId="455" priority="234" stopIfTrue="1" operator="equal">
      <formula>0</formula>
    </cfRule>
  </conditionalFormatting>
  <conditionalFormatting sqref="F504:F512">
    <cfRule type="cellIs" dxfId="454" priority="235" stopIfTrue="1" operator="equal">
      <formula>0</formula>
    </cfRule>
  </conditionalFormatting>
  <conditionalFormatting sqref="C514:C522">
    <cfRule type="cellIs" dxfId="453" priority="236" stopIfTrue="1" operator="equal">
      <formula>0</formula>
    </cfRule>
  </conditionalFormatting>
  <conditionalFormatting sqref="E514:E522">
    <cfRule type="cellIs" dxfId="452" priority="237" stopIfTrue="1" operator="equal">
      <formula>0</formula>
    </cfRule>
  </conditionalFormatting>
  <conditionalFormatting sqref="F514:F522">
    <cfRule type="cellIs" dxfId="451" priority="238" stopIfTrue="1" operator="equal">
      <formula>0</formula>
    </cfRule>
  </conditionalFormatting>
  <conditionalFormatting sqref="C524:C532">
    <cfRule type="cellIs" dxfId="450" priority="239" stopIfTrue="1" operator="equal">
      <formula>0</formula>
    </cfRule>
  </conditionalFormatting>
  <conditionalFormatting sqref="E524:E532">
    <cfRule type="cellIs" dxfId="449" priority="240" stopIfTrue="1" operator="equal">
      <formula>0</formula>
    </cfRule>
  </conditionalFormatting>
  <conditionalFormatting sqref="F524:F532">
    <cfRule type="cellIs" dxfId="448" priority="241" stopIfTrue="1" operator="equal">
      <formula>0</formula>
    </cfRule>
  </conditionalFormatting>
  <conditionalFormatting sqref="C534:C542">
    <cfRule type="cellIs" dxfId="447" priority="242" stopIfTrue="1" operator="equal">
      <formula>0</formula>
    </cfRule>
  </conditionalFormatting>
  <conditionalFormatting sqref="E534:E542">
    <cfRule type="cellIs" dxfId="446" priority="243" stopIfTrue="1" operator="equal">
      <formula>0</formula>
    </cfRule>
  </conditionalFormatting>
  <conditionalFormatting sqref="F534:F542">
    <cfRule type="cellIs" dxfId="445" priority="244" stopIfTrue="1" operator="equal">
      <formula>0</formula>
    </cfRule>
  </conditionalFormatting>
  <conditionalFormatting sqref="C544:C550">
    <cfRule type="cellIs" dxfId="444" priority="245" stopIfTrue="1" operator="equal">
      <formula>0</formula>
    </cfRule>
  </conditionalFormatting>
  <conditionalFormatting sqref="E544:E550">
    <cfRule type="cellIs" dxfId="443" priority="246" stopIfTrue="1" operator="equal">
      <formula>0</formula>
    </cfRule>
  </conditionalFormatting>
  <conditionalFormatting sqref="F544:F550">
    <cfRule type="cellIs" dxfId="442" priority="247" stopIfTrue="1" operator="equal">
      <formula>0</formula>
    </cfRule>
  </conditionalFormatting>
  <conditionalFormatting sqref="C552:C560">
    <cfRule type="cellIs" dxfId="441" priority="248" stopIfTrue="1" operator="equal">
      <formula>0</formula>
    </cfRule>
  </conditionalFormatting>
  <conditionalFormatting sqref="E552:E560">
    <cfRule type="cellIs" dxfId="440" priority="249" stopIfTrue="1" operator="equal">
      <formula>0</formula>
    </cfRule>
  </conditionalFormatting>
  <conditionalFormatting sqref="F552:F560">
    <cfRule type="cellIs" dxfId="439" priority="250" stopIfTrue="1" operator="equal">
      <formula>0</formula>
    </cfRule>
  </conditionalFormatting>
  <conditionalFormatting sqref="C562:C566">
    <cfRule type="cellIs" dxfId="438" priority="251" stopIfTrue="1" operator="equal">
      <formula>0</formula>
    </cfRule>
  </conditionalFormatting>
  <conditionalFormatting sqref="E562:E566">
    <cfRule type="cellIs" dxfId="437" priority="252" stopIfTrue="1" operator="equal">
      <formula>0</formula>
    </cfRule>
  </conditionalFormatting>
  <conditionalFormatting sqref="F562:F566">
    <cfRule type="cellIs" dxfId="436" priority="253" stopIfTrue="1" operator="equal">
      <formula>0</formula>
    </cfRule>
  </conditionalFormatting>
  <conditionalFormatting sqref="C568:C576">
    <cfRule type="cellIs" dxfId="435" priority="254" stopIfTrue="1" operator="equal">
      <formula>0</formula>
    </cfRule>
  </conditionalFormatting>
  <conditionalFormatting sqref="E568:E576">
    <cfRule type="cellIs" dxfId="434" priority="255" stopIfTrue="1" operator="equal">
      <formula>0</formula>
    </cfRule>
  </conditionalFormatting>
  <conditionalFormatting sqref="F568:F576">
    <cfRule type="cellIs" dxfId="433" priority="256" stopIfTrue="1" operator="equal">
      <formula>0</formula>
    </cfRule>
  </conditionalFormatting>
  <conditionalFormatting sqref="C586">
    <cfRule type="cellIs" dxfId="432" priority="257" stopIfTrue="1" operator="equal">
      <formula>0</formula>
    </cfRule>
  </conditionalFormatting>
  <conditionalFormatting sqref="E586">
    <cfRule type="cellIs" dxfId="431" priority="258" stopIfTrue="1" operator="equal">
      <formula>0</formula>
    </cfRule>
  </conditionalFormatting>
  <conditionalFormatting sqref="F586">
    <cfRule type="cellIs" dxfId="430" priority="259" stopIfTrue="1" operator="equal">
      <formula>0</formula>
    </cfRule>
  </conditionalFormatting>
  <conditionalFormatting sqref="C592">
    <cfRule type="cellIs" dxfId="429" priority="260" stopIfTrue="1" operator="equal">
      <formula>0</formula>
    </cfRule>
  </conditionalFormatting>
  <conditionalFormatting sqref="E592">
    <cfRule type="cellIs" dxfId="428" priority="261" stopIfTrue="1" operator="equal">
      <formula>0</formula>
    </cfRule>
  </conditionalFormatting>
  <conditionalFormatting sqref="F592">
    <cfRule type="cellIs" dxfId="427" priority="262" stopIfTrue="1" operator="equal">
      <formula>0</formula>
    </cfRule>
  </conditionalFormatting>
  <conditionalFormatting sqref="C596:C597">
    <cfRule type="cellIs" dxfId="426" priority="263" stopIfTrue="1" operator="equal">
      <formula>0</formula>
    </cfRule>
  </conditionalFormatting>
  <conditionalFormatting sqref="E596:E597">
    <cfRule type="cellIs" dxfId="425" priority="264" stopIfTrue="1" operator="equal">
      <formula>0</formula>
    </cfRule>
  </conditionalFormatting>
  <conditionalFormatting sqref="F596:F597">
    <cfRule type="cellIs" dxfId="424" priority="265" stopIfTrue="1" operator="equal">
      <formula>0</formula>
    </cfRule>
  </conditionalFormatting>
  <conditionalFormatting sqref="C600:C607">
    <cfRule type="cellIs" dxfId="423" priority="266" stopIfTrue="1" operator="equal">
      <formula>0</formula>
    </cfRule>
  </conditionalFormatting>
  <conditionalFormatting sqref="E600:E607">
    <cfRule type="cellIs" dxfId="422" priority="267" stopIfTrue="1" operator="equal">
      <formula>0</formula>
    </cfRule>
  </conditionalFormatting>
  <conditionalFormatting sqref="F600:F607">
    <cfRule type="cellIs" dxfId="421" priority="268" stopIfTrue="1" operator="equal">
      <formula>0</formula>
    </cfRule>
  </conditionalFormatting>
  <conditionalFormatting sqref="C609">
    <cfRule type="cellIs" dxfId="420" priority="269" stopIfTrue="1" operator="equal">
      <formula>0</formula>
    </cfRule>
  </conditionalFormatting>
  <conditionalFormatting sqref="E609">
    <cfRule type="cellIs" dxfId="419" priority="270" stopIfTrue="1" operator="equal">
      <formula>0</formula>
    </cfRule>
  </conditionalFormatting>
  <conditionalFormatting sqref="F609">
    <cfRule type="cellIs" dxfId="418" priority="271" stopIfTrue="1" operator="equal">
      <formula>0</formula>
    </cfRule>
  </conditionalFormatting>
  <conditionalFormatting sqref="C612">
    <cfRule type="cellIs" dxfId="417" priority="272" stopIfTrue="1" operator="equal">
      <formula>0</formula>
    </cfRule>
  </conditionalFormatting>
  <conditionalFormatting sqref="E612">
    <cfRule type="cellIs" dxfId="416" priority="273" stopIfTrue="1" operator="equal">
      <formula>0</formula>
    </cfRule>
  </conditionalFormatting>
  <conditionalFormatting sqref="F612">
    <cfRule type="cellIs" dxfId="415" priority="274" stopIfTrue="1" operator="equal">
      <formula>0</formula>
    </cfRule>
  </conditionalFormatting>
  <conditionalFormatting sqref="C614">
    <cfRule type="cellIs" dxfId="414" priority="275" stopIfTrue="1" operator="equal">
      <formula>0</formula>
    </cfRule>
  </conditionalFormatting>
  <conditionalFormatting sqref="E614">
    <cfRule type="cellIs" dxfId="413" priority="276" stopIfTrue="1" operator="equal">
      <formula>0</formula>
    </cfRule>
  </conditionalFormatting>
  <conditionalFormatting sqref="F614">
    <cfRule type="cellIs" dxfId="412" priority="277" stopIfTrue="1" operator="equal">
      <formula>0</formula>
    </cfRule>
  </conditionalFormatting>
  <conditionalFormatting sqref="C616:C620">
    <cfRule type="cellIs" dxfId="411" priority="278" stopIfTrue="1" operator="equal">
      <formula>0</formula>
    </cfRule>
  </conditionalFormatting>
  <conditionalFormatting sqref="E616:E620">
    <cfRule type="cellIs" dxfId="410" priority="279" stopIfTrue="1" operator="equal">
      <formula>0</formula>
    </cfRule>
  </conditionalFormatting>
  <conditionalFormatting sqref="F616:F620">
    <cfRule type="cellIs" dxfId="409" priority="280" stopIfTrue="1" operator="equal">
      <formula>0</formula>
    </cfRule>
  </conditionalFormatting>
  <conditionalFormatting sqref="C622">
    <cfRule type="cellIs" dxfId="408" priority="281" stopIfTrue="1" operator="equal">
      <formula>0</formula>
    </cfRule>
  </conditionalFormatting>
  <conditionalFormatting sqref="E622">
    <cfRule type="cellIs" dxfId="407" priority="282" stopIfTrue="1" operator="equal">
      <formula>0</formula>
    </cfRule>
  </conditionalFormatting>
  <conditionalFormatting sqref="F622">
    <cfRule type="cellIs" dxfId="406" priority="283" stopIfTrue="1" operator="equal">
      <formula>0</formula>
    </cfRule>
  </conditionalFormatting>
  <conditionalFormatting sqref="C625">
    <cfRule type="cellIs" dxfId="405" priority="284" stopIfTrue="1" operator="equal">
      <formula>0</formula>
    </cfRule>
  </conditionalFormatting>
  <conditionalFormatting sqref="E625">
    <cfRule type="cellIs" dxfId="404" priority="285" stopIfTrue="1" operator="equal">
      <formula>0</formula>
    </cfRule>
  </conditionalFormatting>
  <conditionalFormatting sqref="F625">
    <cfRule type="cellIs" dxfId="403" priority="286" stopIfTrue="1" operator="equal">
      <formula>0</formula>
    </cfRule>
  </conditionalFormatting>
  <conditionalFormatting sqref="C627">
    <cfRule type="cellIs" dxfId="402" priority="287" stopIfTrue="1" operator="equal">
      <formula>0</formula>
    </cfRule>
  </conditionalFormatting>
  <conditionalFormatting sqref="E627">
    <cfRule type="cellIs" dxfId="401" priority="288" stopIfTrue="1" operator="equal">
      <formula>0</formula>
    </cfRule>
  </conditionalFormatting>
  <conditionalFormatting sqref="F627">
    <cfRule type="cellIs" dxfId="400" priority="289" stopIfTrue="1" operator="equal">
      <formula>0</formula>
    </cfRule>
  </conditionalFormatting>
  <conditionalFormatting sqref="C629">
    <cfRule type="cellIs" dxfId="399" priority="290" stopIfTrue="1" operator="equal">
      <formula>0</formula>
    </cfRule>
  </conditionalFormatting>
  <conditionalFormatting sqref="E629">
    <cfRule type="cellIs" dxfId="398" priority="291" stopIfTrue="1" operator="equal">
      <formula>0</formula>
    </cfRule>
  </conditionalFormatting>
  <conditionalFormatting sqref="F629">
    <cfRule type="cellIs" dxfId="397" priority="292" stopIfTrue="1" operator="equal">
      <formula>0</formula>
    </cfRule>
  </conditionalFormatting>
  <conditionalFormatting sqref="C632:C634">
    <cfRule type="cellIs" dxfId="396" priority="293" stopIfTrue="1" operator="equal">
      <formula>0</formula>
    </cfRule>
  </conditionalFormatting>
  <conditionalFormatting sqref="E632:E634">
    <cfRule type="cellIs" dxfId="395" priority="294" stopIfTrue="1" operator="equal">
      <formula>0</formula>
    </cfRule>
  </conditionalFormatting>
  <conditionalFormatting sqref="F632:F634">
    <cfRule type="cellIs" dxfId="394" priority="295" stopIfTrue="1" operator="equal">
      <formula>0</formula>
    </cfRule>
  </conditionalFormatting>
  <conditionalFormatting sqref="C636:C639">
    <cfRule type="cellIs" dxfId="393" priority="296" stopIfTrue="1" operator="equal">
      <formula>0</formula>
    </cfRule>
  </conditionalFormatting>
  <conditionalFormatting sqref="E636:E639">
    <cfRule type="cellIs" dxfId="392" priority="297" stopIfTrue="1" operator="equal">
      <formula>0</formula>
    </cfRule>
  </conditionalFormatting>
  <conditionalFormatting sqref="F636:F639">
    <cfRule type="cellIs" dxfId="391" priority="298" stopIfTrue="1" operator="equal">
      <formula>0</formula>
    </cfRule>
  </conditionalFormatting>
  <conditionalFormatting sqref="C642">
    <cfRule type="cellIs" dxfId="390" priority="299" stopIfTrue="1" operator="equal">
      <formula>0</formula>
    </cfRule>
  </conditionalFormatting>
  <conditionalFormatting sqref="E642">
    <cfRule type="cellIs" dxfId="389" priority="300" stopIfTrue="1" operator="equal">
      <formula>0</formula>
    </cfRule>
  </conditionalFormatting>
  <conditionalFormatting sqref="F642">
    <cfRule type="cellIs" dxfId="388" priority="301" stopIfTrue="1" operator="equal">
      <formula>0</formula>
    </cfRule>
  </conditionalFormatting>
  <conditionalFormatting sqref="C645">
    <cfRule type="cellIs" dxfId="387" priority="302" stopIfTrue="1" operator="equal">
      <formula>0</formula>
    </cfRule>
  </conditionalFormatting>
  <conditionalFormatting sqref="E645">
    <cfRule type="cellIs" dxfId="386" priority="303" stopIfTrue="1" operator="equal">
      <formula>0</formula>
    </cfRule>
  </conditionalFormatting>
  <conditionalFormatting sqref="F645">
    <cfRule type="cellIs" dxfId="385" priority="304" stopIfTrue="1" operator="equal">
      <formula>0</formula>
    </cfRule>
  </conditionalFormatting>
  <conditionalFormatting sqref="C647">
    <cfRule type="cellIs" dxfId="384" priority="305" stopIfTrue="1" operator="equal">
      <formula>0</formula>
    </cfRule>
  </conditionalFormatting>
  <conditionalFormatting sqref="E647">
    <cfRule type="cellIs" dxfId="383" priority="306" stopIfTrue="1" operator="equal">
      <formula>0</formula>
    </cfRule>
  </conditionalFormatting>
  <conditionalFormatting sqref="F647">
    <cfRule type="cellIs" dxfId="382" priority="307" stopIfTrue="1" operator="equal">
      <formula>0</formula>
    </cfRule>
  </conditionalFormatting>
  <conditionalFormatting sqref="C649">
    <cfRule type="cellIs" dxfId="381" priority="308" stopIfTrue="1" operator="equal">
      <formula>0</formula>
    </cfRule>
  </conditionalFormatting>
  <conditionalFormatting sqref="E649">
    <cfRule type="cellIs" dxfId="380" priority="309" stopIfTrue="1" operator="equal">
      <formula>0</formula>
    </cfRule>
  </conditionalFormatting>
  <conditionalFormatting sqref="F649">
    <cfRule type="cellIs" dxfId="379" priority="310" stopIfTrue="1" operator="equal">
      <formula>0</formula>
    </cfRule>
  </conditionalFormatting>
  <conditionalFormatting sqref="C651">
    <cfRule type="cellIs" dxfId="378" priority="311" stopIfTrue="1" operator="equal">
      <formula>0</formula>
    </cfRule>
  </conditionalFormatting>
  <conditionalFormatting sqref="E651">
    <cfRule type="cellIs" dxfId="377" priority="312" stopIfTrue="1" operator="equal">
      <formula>0</formula>
    </cfRule>
  </conditionalFormatting>
  <conditionalFormatting sqref="F651">
    <cfRule type="cellIs" dxfId="376" priority="313" stopIfTrue="1" operator="equal">
      <formula>0</formula>
    </cfRule>
  </conditionalFormatting>
  <conditionalFormatting sqref="C653">
    <cfRule type="cellIs" dxfId="375" priority="314" stopIfTrue="1" operator="equal">
      <formula>0</formula>
    </cfRule>
  </conditionalFormatting>
  <conditionalFormatting sqref="E653">
    <cfRule type="cellIs" dxfId="374" priority="315" stopIfTrue="1" operator="equal">
      <formula>0</formula>
    </cfRule>
  </conditionalFormatting>
  <conditionalFormatting sqref="F653">
    <cfRule type="cellIs" dxfId="373" priority="316" stopIfTrue="1" operator="equal">
      <formula>0</formula>
    </cfRule>
  </conditionalFormatting>
  <conditionalFormatting sqref="C656:C657">
    <cfRule type="cellIs" dxfId="372" priority="317" stopIfTrue="1" operator="equal">
      <formula>0</formula>
    </cfRule>
  </conditionalFormatting>
  <conditionalFormatting sqref="E656:E657">
    <cfRule type="cellIs" dxfId="371" priority="318" stopIfTrue="1" operator="equal">
      <formula>0</formula>
    </cfRule>
  </conditionalFormatting>
  <conditionalFormatting sqref="F656:F657">
    <cfRule type="cellIs" dxfId="370" priority="319" stopIfTrue="1" operator="equal">
      <formula>0</formula>
    </cfRule>
  </conditionalFormatting>
  <conditionalFormatting sqref="C659">
    <cfRule type="cellIs" dxfId="369" priority="320" stopIfTrue="1" operator="equal">
      <formula>0</formula>
    </cfRule>
  </conditionalFormatting>
  <conditionalFormatting sqref="E659">
    <cfRule type="cellIs" dxfId="368" priority="321" stopIfTrue="1" operator="equal">
      <formula>0</formula>
    </cfRule>
  </conditionalFormatting>
  <conditionalFormatting sqref="F659">
    <cfRule type="cellIs" dxfId="367" priority="322" stopIfTrue="1" operator="equal">
      <formula>0</formula>
    </cfRule>
  </conditionalFormatting>
  <conditionalFormatting sqref="C663:C665">
    <cfRule type="cellIs" dxfId="366" priority="323" stopIfTrue="1" operator="equal">
      <formula>0</formula>
    </cfRule>
  </conditionalFormatting>
  <conditionalFormatting sqref="E663:E665">
    <cfRule type="cellIs" dxfId="365" priority="324" stopIfTrue="1" operator="equal">
      <formula>0</formula>
    </cfRule>
  </conditionalFormatting>
  <conditionalFormatting sqref="F663:F665">
    <cfRule type="cellIs" dxfId="364" priority="325" stopIfTrue="1" operator="equal">
      <formula>0</formula>
    </cfRule>
  </conditionalFormatting>
  <conditionalFormatting sqref="C667:C669">
    <cfRule type="cellIs" dxfId="363" priority="326" stopIfTrue="1" operator="equal">
      <formula>0</formula>
    </cfRule>
  </conditionalFormatting>
  <conditionalFormatting sqref="E667:E669">
    <cfRule type="cellIs" dxfId="362" priority="327" stopIfTrue="1" operator="equal">
      <formula>0</formula>
    </cfRule>
  </conditionalFormatting>
  <conditionalFormatting sqref="F667:F669">
    <cfRule type="cellIs" dxfId="361" priority="328" stopIfTrue="1" operator="equal">
      <formula>0</formula>
    </cfRule>
  </conditionalFormatting>
  <conditionalFormatting sqref="C672:C675">
    <cfRule type="cellIs" dxfId="360" priority="329" stopIfTrue="1" operator="equal">
      <formula>0</formula>
    </cfRule>
  </conditionalFormatting>
  <conditionalFormatting sqref="E672:E675">
    <cfRule type="cellIs" dxfId="359" priority="330" stopIfTrue="1" operator="equal">
      <formula>0</formula>
    </cfRule>
  </conditionalFormatting>
  <conditionalFormatting sqref="F672:F675">
    <cfRule type="cellIs" dxfId="358" priority="331" stopIfTrue="1" operator="equal">
      <formula>0</formula>
    </cfRule>
  </conditionalFormatting>
  <conditionalFormatting sqref="C677">
    <cfRule type="cellIs" dxfId="357" priority="332" stopIfTrue="1" operator="equal">
      <formula>0</formula>
    </cfRule>
  </conditionalFormatting>
  <conditionalFormatting sqref="E677">
    <cfRule type="cellIs" dxfId="356" priority="333" stopIfTrue="1" operator="equal">
      <formula>0</formula>
    </cfRule>
  </conditionalFormatting>
  <conditionalFormatting sqref="F677">
    <cfRule type="cellIs" dxfId="355" priority="334" stopIfTrue="1" operator="equal">
      <formula>0</formula>
    </cfRule>
  </conditionalFormatting>
  <conditionalFormatting sqref="C680">
    <cfRule type="cellIs" dxfId="354" priority="335" stopIfTrue="1" operator="equal">
      <formula>0</formula>
    </cfRule>
  </conditionalFormatting>
  <conditionalFormatting sqref="E680">
    <cfRule type="cellIs" dxfId="353" priority="336" stopIfTrue="1" operator="equal">
      <formula>0</formula>
    </cfRule>
  </conditionalFormatting>
  <conditionalFormatting sqref="F680">
    <cfRule type="cellIs" dxfId="352" priority="337" stopIfTrue="1" operator="equal">
      <formula>0</formula>
    </cfRule>
  </conditionalFormatting>
  <conditionalFormatting sqref="C682:C683">
    <cfRule type="cellIs" dxfId="351" priority="338" stopIfTrue="1" operator="equal">
      <formula>0</formula>
    </cfRule>
  </conditionalFormatting>
  <conditionalFormatting sqref="E682:E683">
    <cfRule type="cellIs" dxfId="350" priority="339" stopIfTrue="1" operator="equal">
      <formula>0</formula>
    </cfRule>
  </conditionalFormatting>
  <conditionalFormatting sqref="F682:F683">
    <cfRule type="cellIs" dxfId="349" priority="340" stopIfTrue="1" operator="equal">
      <formula>0</formula>
    </cfRule>
  </conditionalFormatting>
  <conditionalFormatting sqref="C687:C689">
    <cfRule type="cellIs" dxfId="348" priority="341" stopIfTrue="1" operator="equal">
      <formula>0</formula>
    </cfRule>
  </conditionalFormatting>
  <conditionalFormatting sqref="E687:E689">
    <cfRule type="cellIs" dxfId="347" priority="342" stopIfTrue="1" operator="equal">
      <formula>0</formula>
    </cfRule>
  </conditionalFormatting>
  <conditionalFormatting sqref="F687:F689">
    <cfRule type="cellIs" dxfId="346" priority="343" stopIfTrue="1" operator="equal">
      <formula>0</formula>
    </cfRule>
  </conditionalFormatting>
  <conditionalFormatting sqref="C698">
    <cfRule type="cellIs" dxfId="345" priority="344" stopIfTrue="1" operator="equal">
      <formula>0</formula>
    </cfRule>
  </conditionalFormatting>
  <conditionalFormatting sqref="E698">
    <cfRule type="cellIs" dxfId="344" priority="345" stopIfTrue="1" operator="equal">
      <formula>0</formula>
    </cfRule>
  </conditionalFormatting>
  <conditionalFormatting sqref="F698">
    <cfRule type="cellIs" dxfId="343" priority="346" stopIfTrue="1" operator="equal">
      <formula>0</formula>
    </cfRule>
  </conditionalFormatting>
  <conditionalFormatting sqref="C703">
    <cfRule type="cellIs" dxfId="342" priority="347" stopIfTrue="1" operator="equal">
      <formula>0</formula>
    </cfRule>
  </conditionalFormatting>
  <conditionalFormatting sqref="E703">
    <cfRule type="cellIs" dxfId="341" priority="348" stopIfTrue="1" operator="equal">
      <formula>0</formula>
    </cfRule>
  </conditionalFormatting>
  <conditionalFormatting sqref="F703">
    <cfRule type="cellIs" dxfId="340" priority="349" stopIfTrue="1" operator="equal">
      <formula>0</formula>
    </cfRule>
  </conditionalFormatting>
  <conditionalFormatting sqref="C708">
    <cfRule type="cellIs" dxfId="339" priority="350" stopIfTrue="1" operator="equal">
      <formula>0</formula>
    </cfRule>
  </conditionalFormatting>
  <conditionalFormatting sqref="E708">
    <cfRule type="cellIs" dxfId="338" priority="351" stopIfTrue="1" operator="equal">
      <formula>0</formula>
    </cfRule>
  </conditionalFormatting>
  <conditionalFormatting sqref="F708">
    <cfRule type="cellIs" dxfId="337" priority="352" stopIfTrue="1" operator="equal">
      <formula>0</formula>
    </cfRule>
  </conditionalFormatting>
  <conditionalFormatting sqref="C711">
    <cfRule type="cellIs" dxfId="336" priority="353" stopIfTrue="1" operator="equal">
      <formula>0</formula>
    </cfRule>
  </conditionalFormatting>
  <conditionalFormatting sqref="E711">
    <cfRule type="cellIs" dxfId="335" priority="354" stopIfTrue="1" operator="equal">
      <formula>0</formula>
    </cfRule>
  </conditionalFormatting>
  <conditionalFormatting sqref="F711">
    <cfRule type="cellIs" dxfId="334" priority="355" stopIfTrue="1" operator="equal">
      <formula>0</formula>
    </cfRule>
  </conditionalFormatting>
  <conditionalFormatting sqref="C713">
    <cfRule type="cellIs" dxfId="333" priority="356" stopIfTrue="1" operator="equal">
      <formula>0</formula>
    </cfRule>
  </conditionalFormatting>
  <conditionalFormatting sqref="E713">
    <cfRule type="cellIs" dxfId="332" priority="357" stopIfTrue="1" operator="equal">
      <formula>0</formula>
    </cfRule>
  </conditionalFormatting>
  <conditionalFormatting sqref="F713">
    <cfRule type="cellIs" dxfId="331" priority="358" stopIfTrue="1" operator="equal">
      <formula>0</formula>
    </cfRule>
  </conditionalFormatting>
  <conditionalFormatting sqref="C716:C723">
    <cfRule type="cellIs" dxfId="330" priority="359" stopIfTrue="1" operator="equal">
      <formula>0</formula>
    </cfRule>
  </conditionalFormatting>
  <conditionalFormatting sqref="E716:E723">
    <cfRule type="cellIs" dxfId="329" priority="360" stopIfTrue="1" operator="equal">
      <formula>0</formula>
    </cfRule>
  </conditionalFormatting>
  <conditionalFormatting sqref="F716:F723">
    <cfRule type="cellIs" dxfId="328" priority="361" stopIfTrue="1" operator="equal">
      <formula>0</formula>
    </cfRule>
  </conditionalFormatting>
  <conditionalFormatting sqref="C725:C726">
    <cfRule type="cellIs" dxfId="327" priority="362" stopIfTrue="1" operator="equal">
      <formula>0</formula>
    </cfRule>
  </conditionalFormatting>
  <conditionalFormatting sqref="E725:E726">
    <cfRule type="cellIs" dxfId="326" priority="363" stopIfTrue="1" operator="equal">
      <formula>0</formula>
    </cfRule>
  </conditionalFormatting>
  <conditionalFormatting sqref="F725:F726">
    <cfRule type="cellIs" dxfId="325" priority="364" stopIfTrue="1" operator="equal">
      <formula>0</formula>
    </cfRule>
  </conditionalFormatting>
  <conditionalFormatting sqref="C738:C746">
    <cfRule type="cellIs" dxfId="324" priority="365" stopIfTrue="1" operator="equal">
      <formula>0</formula>
    </cfRule>
  </conditionalFormatting>
  <conditionalFormatting sqref="E738:E746">
    <cfRule type="cellIs" dxfId="323" priority="366" stopIfTrue="1" operator="equal">
      <formula>0</formula>
    </cfRule>
  </conditionalFormatting>
  <conditionalFormatting sqref="F738:F746">
    <cfRule type="cellIs" dxfId="322" priority="367" stopIfTrue="1" operator="equal">
      <formula>0</formula>
    </cfRule>
  </conditionalFormatting>
  <conditionalFormatting sqref="C749">
    <cfRule type="cellIs" dxfId="321" priority="368" stopIfTrue="1" operator="equal">
      <formula>0</formula>
    </cfRule>
  </conditionalFormatting>
  <conditionalFormatting sqref="E749">
    <cfRule type="cellIs" dxfId="320" priority="369" stopIfTrue="1" operator="equal">
      <formula>0</formula>
    </cfRule>
  </conditionalFormatting>
  <conditionalFormatting sqref="F749">
    <cfRule type="cellIs" dxfId="319" priority="370" stopIfTrue="1" operator="equal">
      <formula>0</formula>
    </cfRule>
  </conditionalFormatting>
  <conditionalFormatting sqref="C757">
    <cfRule type="cellIs" dxfId="318" priority="371" stopIfTrue="1" operator="equal">
      <formula>0</formula>
    </cfRule>
  </conditionalFormatting>
  <conditionalFormatting sqref="D758">
    <cfRule type="cellIs" dxfId="317" priority="372" stopIfTrue="1" operator="equal">
      <formula>0</formula>
    </cfRule>
  </conditionalFormatting>
  <conditionalFormatting sqref="C759">
    <cfRule type="cellIs" dxfId="316" priority="373" stopIfTrue="1" operator="equal">
      <formula>0</formula>
    </cfRule>
  </conditionalFormatting>
  <conditionalFormatting sqref="D760">
    <cfRule type="cellIs" dxfId="315" priority="374" stopIfTrue="1" operator="equal">
      <formula>0</formula>
    </cfRule>
  </conditionalFormatting>
  <conditionalFormatting sqref="C761">
    <cfRule type="cellIs" dxfId="314" priority="375" stopIfTrue="1" operator="equal">
      <formula>0</formula>
    </cfRule>
  </conditionalFormatting>
  <conditionalFormatting sqref="D762">
    <cfRule type="cellIs" dxfId="313" priority="376" stopIfTrue="1" operator="equal">
      <formula>0</formula>
    </cfRule>
  </conditionalFormatting>
  <conditionalFormatting sqref="E757:F762">
    <cfRule type="cellIs" dxfId="312" priority="377" stopIfTrue="1" operator="equal">
      <formula>0</formula>
    </cfRule>
  </conditionalFormatting>
  <conditionalFormatting sqref="C764">
    <cfRule type="cellIs" dxfId="311" priority="378" stopIfTrue="1" operator="equal">
      <formula>0</formula>
    </cfRule>
  </conditionalFormatting>
  <conditionalFormatting sqref="D766">
    <cfRule type="cellIs" dxfId="310" priority="379" stopIfTrue="1" operator="equal">
      <formula>0</formula>
    </cfRule>
  </conditionalFormatting>
  <conditionalFormatting sqref="C767">
    <cfRule type="cellIs" dxfId="309" priority="380" stopIfTrue="1" operator="equal">
      <formula>0</formula>
    </cfRule>
  </conditionalFormatting>
  <conditionalFormatting sqref="D769">
    <cfRule type="cellIs" dxfId="308" priority="381" stopIfTrue="1" operator="equal">
      <formula>0</formula>
    </cfRule>
  </conditionalFormatting>
  <conditionalFormatting sqref="E764:F764">
    <cfRule type="cellIs" dxfId="307" priority="382" stopIfTrue="1" operator="equal">
      <formula>0</formula>
    </cfRule>
  </conditionalFormatting>
  <conditionalFormatting sqref="E766:F767">
    <cfRule type="cellIs" dxfId="306" priority="383" stopIfTrue="1" operator="equal">
      <formula>0</formula>
    </cfRule>
  </conditionalFormatting>
  <conditionalFormatting sqref="E769:F769">
    <cfRule type="cellIs" dxfId="305" priority="384" stopIfTrue="1" operator="equal">
      <formula>0</formula>
    </cfRule>
  </conditionalFormatting>
  <conditionalFormatting sqref="C771">
    <cfRule type="cellIs" dxfId="304" priority="385" stopIfTrue="1" operator="equal">
      <formula>0</formula>
    </cfRule>
  </conditionalFormatting>
  <conditionalFormatting sqref="D772">
    <cfRule type="cellIs" dxfId="303" priority="386" stopIfTrue="1" operator="equal">
      <formula>0</formula>
    </cfRule>
  </conditionalFormatting>
  <conditionalFormatting sqref="C773">
    <cfRule type="cellIs" dxfId="302" priority="387" stopIfTrue="1" operator="equal">
      <formula>0</formula>
    </cfRule>
  </conditionalFormatting>
  <conditionalFormatting sqref="D774">
    <cfRule type="cellIs" dxfId="301" priority="388" stopIfTrue="1" operator="equal">
      <formula>0</formula>
    </cfRule>
  </conditionalFormatting>
  <conditionalFormatting sqref="C775">
    <cfRule type="cellIs" dxfId="300" priority="389" stopIfTrue="1" operator="equal">
      <formula>0</formula>
    </cfRule>
  </conditionalFormatting>
  <conditionalFormatting sqref="D776">
    <cfRule type="cellIs" dxfId="299" priority="390" stopIfTrue="1" operator="equal">
      <formula>0</formula>
    </cfRule>
  </conditionalFormatting>
  <conditionalFormatting sqref="E771:F776">
    <cfRule type="cellIs" dxfId="298" priority="391" stopIfTrue="1" operator="equal">
      <formula>0</formula>
    </cfRule>
  </conditionalFormatting>
  <conditionalFormatting sqref="C778">
    <cfRule type="cellIs" dxfId="297" priority="392" stopIfTrue="1" operator="equal">
      <formula>0</formula>
    </cfRule>
  </conditionalFormatting>
  <conditionalFormatting sqref="D779">
    <cfRule type="cellIs" dxfId="296" priority="393" stopIfTrue="1" operator="equal">
      <formula>0</formula>
    </cfRule>
  </conditionalFormatting>
  <conditionalFormatting sqref="E778:F779">
    <cfRule type="cellIs" dxfId="295" priority="394" stopIfTrue="1" operator="equal">
      <formula>0</formula>
    </cfRule>
  </conditionalFormatting>
  <conditionalFormatting sqref="C781">
    <cfRule type="cellIs" dxfId="294" priority="395" stopIfTrue="1" operator="equal">
      <formula>0</formula>
    </cfRule>
  </conditionalFormatting>
  <conditionalFormatting sqref="D782">
    <cfRule type="cellIs" dxfId="293" priority="396" stopIfTrue="1" operator="equal">
      <formula>0</formula>
    </cfRule>
  </conditionalFormatting>
  <conditionalFormatting sqref="E781:F782">
    <cfRule type="cellIs" dxfId="292" priority="397" stopIfTrue="1" operator="equal">
      <formula>0</formula>
    </cfRule>
  </conditionalFormatting>
  <conditionalFormatting sqref="C784">
    <cfRule type="cellIs" dxfId="291" priority="398" stopIfTrue="1" operator="equal">
      <formula>0</formula>
    </cfRule>
  </conditionalFormatting>
  <conditionalFormatting sqref="D785">
    <cfRule type="cellIs" dxfId="290" priority="399" stopIfTrue="1" operator="equal">
      <formula>0</formula>
    </cfRule>
  </conditionalFormatting>
  <conditionalFormatting sqref="C786">
    <cfRule type="cellIs" dxfId="289" priority="400" stopIfTrue="1" operator="equal">
      <formula>0</formula>
    </cfRule>
  </conditionalFormatting>
  <conditionalFormatting sqref="D787">
    <cfRule type="cellIs" dxfId="288" priority="401" stopIfTrue="1" operator="equal">
      <formula>0</formula>
    </cfRule>
  </conditionalFormatting>
  <conditionalFormatting sqref="E784:F787">
    <cfRule type="cellIs" dxfId="287" priority="402" stopIfTrue="1" operator="equal">
      <formula>0</formula>
    </cfRule>
  </conditionalFormatting>
  <conditionalFormatting sqref="C789:C791">
    <cfRule type="cellIs" dxfId="286" priority="403" stopIfTrue="1" operator="equal">
      <formula>0</formula>
    </cfRule>
  </conditionalFormatting>
  <conditionalFormatting sqref="D792">
    <cfRule type="cellIs" dxfId="285" priority="404" stopIfTrue="1" operator="equal">
      <formula>0</formula>
    </cfRule>
  </conditionalFormatting>
  <conditionalFormatting sqref="E789:F792">
    <cfRule type="cellIs" dxfId="284" priority="405" stopIfTrue="1" operator="equal">
      <formula>0</formula>
    </cfRule>
  </conditionalFormatting>
  <conditionalFormatting sqref="E798:F800">
    <cfRule type="cellIs" dxfId="283" priority="406" stopIfTrue="1" operator="equal">
      <formula>0</formula>
    </cfRule>
  </conditionalFormatting>
  <conditionalFormatting sqref="E804:F806">
    <cfRule type="cellIs" dxfId="282" priority="407" stopIfTrue="1" operator="equal">
      <formula>0</formula>
    </cfRule>
  </conditionalFormatting>
  <conditionalFormatting sqref="E814:F815">
    <cfRule type="cellIs" dxfId="281" priority="408" stopIfTrue="1" operator="equal">
      <formula>0</formula>
    </cfRule>
  </conditionalFormatting>
  <conditionalFormatting sqref="E817:F817">
    <cfRule type="cellIs" dxfId="280" priority="409" stopIfTrue="1" operator="equal">
      <formula>0</formula>
    </cfRule>
  </conditionalFormatting>
  <conditionalFormatting sqref="E819:F822">
    <cfRule type="cellIs" dxfId="279" priority="410" stopIfTrue="1" operator="equal">
      <formula>0</formula>
    </cfRule>
  </conditionalFormatting>
  <conditionalFormatting sqref="E824:F824">
    <cfRule type="cellIs" dxfId="278" priority="411" stopIfTrue="1" operator="equal">
      <formula>0</formula>
    </cfRule>
  </conditionalFormatting>
  <conditionalFormatting sqref="E826:F826">
    <cfRule type="cellIs" dxfId="277" priority="412" stopIfTrue="1" operator="equal">
      <formula>0</formula>
    </cfRule>
  </conditionalFormatting>
  <conditionalFormatting sqref="E828:F831">
    <cfRule type="cellIs" dxfId="276" priority="413" stopIfTrue="1" operator="equal">
      <formula>0</formula>
    </cfRule>
  </conditionalFormatting>
  <conditionalFormatting sqref="E833:F833">
    <cfRule type="cellIs" dxfId="275" priority="414" stopIfTrue="1" operator="equal">
      <formula>0</formula>
    </cfRule>
  </conditionalFormatting>
  <conditionalFormatting sqref="E835:F835">
    <cfRule type="cellIs" dxfId="274" priority="415" stopIfTrue="1" operator="equal">
      <formula>0</formula>
    </cfRule>
  </conditionalFormatting>
  <conditionalFormatting sqref="E839:F839">
    <cfRule type="cellIs" dxfId="273" priority="416" stopIfTrue="1" operator="equal">
      <formula>0</formula>
    </cfRule>
  </conditionalFormatting>
  <conditionalFormatting sqref="E841:F841">
    <cfRule type="cellIs" dxfId="272" priority="417" stopIfTrue="1" operator="equal">
      <formula>0</formula>
    </cfRule>
  </conditionalFormatting>
  <conditionalFormatting sqref="E844:F855">
    <cfRule type="cellIs" dxfId="271" priority="418" stopIfTrue="1" operator="equal">
      <formula>0</formula>
    </cfRule>
  </conditionalFormatting>
  <conditionalFormatting sqref="E857:F859">
    <cfRule type="cellIs" dxfId="270" priority="419" stopIfTrue="1" operator="equal">
      <formula>0</formula>
    </cfRule>
  </conditionalFormatting>
  <conditionalFormatting sqref="E861:F864">
    <cfRule type="cellIs" dxfId="269" priority="420" stopIfTrue="1" operator="equal">
      <formula>0</formula>
    </cfRule>
  </conditionalFormatting>
  <conditionalFormatting sqref="E866:F870">
    <cfRule type="cellIs" dxfId="268" priority="421" stopIfTrue="1" operator="equal">
      <formula>0</formula>
    </cfRule>
  </conditionalFormatting>
  <conditionalFormatting sqref="E872:F873">
    <cfRule type="cellIs" dxfId="267" priority="422" stopIfTrue="1" operator="equal">
      <formula>0</formula>
    </cfRule>
  </conditionalFormatting>
  <conditionalFormatting sqref="E875:F876">
    <cfRule type="cellIs" dxfId="266" priority="423" stopIfTrue="1" operator="equal">
      <formula>0</formula>
    </cfRule>
  </conditionalFormatting>
  <conditionalFormatting sqref="E878:F879">
    <cfRule type="cellIs" dxfId="265" priority="424" stopIfTrue="1" operator="equal">
      <formula>0</formula>
    </cfRule>
  </conditionalFormatting>
  <conditionalFormatting sqref="E881:F881">
    <cfRule type="cellIs" dxfId="264" priority="425" stopIfTrue="1" operator="equal">
      <formula>0</formula>
    </cfRule>
  </conditionalFormatting>
  <conditionalFormatting sqref="E883:F883">
    <cfRule type="cellIs" dxfId="263" priority="426" stopIfTrue="1" operator="equal">
      <formula>0</formula>
    </cfRule>
  </conditionalFormatting>
  <conditionalFormatting sqref="E888:F889">
    <cfRule type="cellIs" dxfId="262" priority="427" stopIfTrue="1" operator="equal">
      <formula>0</formula>
    </cfRule>
  </conditionalFormatting>
  <conditionalFormatting sqref="E892:F892">
    <cfRule type="cellIs" dxfId="261" priority="428" stopIfTrue="1" operator="equal">
      <formula>0</formula>
    </cfRule>
  </conditionalFormatting>
  <conditionalFormatting sqref="E893:F894">
    <cfRule type="cellIs" dxfId="260" priority="429" stopIfTrue="1" operator="equal">
      <formula>0</formula>
    </cfRule>
  </conditionalFormatting>
  <conditionalFormatting sqref="E898:F900">
    <cfRule type="cellIs" dxfId="259" priority="430" stopIfTrue="1" operator="equal">
      <formula>0</formula>
    </cfRule>
  </conditionalFormatting>
  <conditionalFormatting sqref="E908:F909">
    <cfRule type="cellIs" dxfId="258" priority="431" stopIfTrue="1" operator="equal">
      <formula>0</formula>
    </cfRule>
  </conditionalFormatting>
  <conditionalFormatting sqref="E911:F911">
    <cfRule type="cellIs" dxfId="257" priority="432" stopIfTrue="1" operator="equal">
      <formula>0</formula>
    </cfRule>
  </conditionalFormatting>
  <conditionalFormatting sqref="E913:F916">
    <cfRule type="cellIs" dxfId="256" priority="433" stopIfTrue="1" operator="equal">
      <formula>0</formula>
    </cfRule>
  </conditionalFormatting>
  <conditionalFormatting sqref="E918:F918">
    <cfRule type="cellIs" dxfId="255" priority="434" stopIfTrue="1" operator="equal">
      <formula>0</formula>
    </cfRule>
  </conditionalFormatting>
  <conditionalFormatting sqref="E920:F920">
    <cfRule type="cellIs" dxfId="254" priority="435" stopIfTrue="1" operator="equal">
      <formula>0</formula>
    </cfRule>
  </conditionalFormatting>
  <conditionalFormatting sqref="E922:F925">
    <cfRule type="cellIs" dxfId="253" priority="436" stopIfTrue="1" operator="equal">
      <formula>0</formula>
    </cfRule>
  </conditionalFormatting>
  <conditionalFormatting sqref="E927:F927">
    <cfRule type="cellIs" dxfId="252" priority="437" stopIfTrue="1" operator="equal">
      <formula>0</formula>
    </cfRule>
  </conditionalFormatting>
  <conditionalFormatting sqref="E929:F929">
    <cfRule type="cellIs" dxfId="251" priority="438" stopIfTrue="1" operator="equal">
      <formula>0</formula>
    </cfRule>
  </conditionalFormatting>
  <conditionalFormatting sqref="E933:F933">
    <cfRule type="cellIs" dxfId="250" priority="439" stopIfTrue="1" operator="equal">
      <formula>0</formula>
    </cfRule>
  </conditionalFormatting>
  <conditionalFormatting sqref="E935:F935">
    <cfRule type="cellIs" dxfId="249" priority="440" stopIfTrue="1" operator="equal">
      <formula>0</formula>
    </cfRule>
  </conditionalFormatting>
  <conditionalFormatting sqref="E938:F949">
    <cfRule type="cellIs" dxfId="248" priority="441" stopIfTrue="1" operator="equal">
      <formula>0</formula>
    </cfRule>
  </conditionalFormatting>
  <conditionalFormatting sqref="E951:F953">
    <cfRule type="cellIs" dxfId="247" priority="442" stopIfTrue="1" operator="equal">
      <formula>0</formula>
    </cfRule>
  </conditionalFormatting>
  <conditionalFormatting sqref="E955:F958">
    <cfRule type="cellIs" dxfId="246" priority="443" stopIfTrue="1" operator="equal">
      <formula>0</formula>
    </cfRule>
  </conditionalFormatting>
  <conditionalFormatting sqref="E960:F964">
    <cfRule type="cellIs" dxfId="245" priority="444" stopIfTrue="1" operator="equal">
      <formula>0</formula>
    </cfRule>
  </conditionalFormatting>
  <conditionalFormatting sqref="E966:F967">
    <cfRule type="cellIs" dxfId="244" priority="445" stopIfTrue="1" operator="equal">
      <formula>0</formula>
    </cfRule>
  </conditionalFormatting>
  <conditionalFormatting sqref="E969:F970">
    <cfRule type="cellIs" dxfId="243" priority="446" stopIfTrue="1" operator="equal">
      <formula>0</formula>
    </cfRule>
  </conditionalFormatting>
  <conditionalFormatting sqref="E972:F973">
    <cfRule type="cellIs" dxfId="242" priority="447" stopIfTrue="1" operator="equal">
      <formula>0</formula>
    </cfRule>
  </conditionalFormatting>
  <conditionalFormatting sqref="E975:F975">
    <cfRule type="cellIs" dxfId="241" priority="448" stopIfTrue="1" operator="equal">
      <formula>0</formula>
    </cfRule>
  </conditionalFormatting>
  <conditionalFormatting sqref="E977:F977">
    <cfRule type="cellIs" dxfId="240" priority="449" stopIfTrue="1" operator="equal">
      <formula>0</formula>
    </cfRule>
  </conditionalFormatting>
  <conditionalFormatting sqref="E982:F983">
    <cfRule type="cellIs" dxfId="239" priority="450" stopIfTrue="1" operator="equal">
      <formula>0</formula>
    </cfRule>
  </conditionalFormatting>
  <conditionalFormatting sqref="E986:F988">
    <cfRule type="cellIs" dxfId="238" priority="451" stopIfTrue="1" operator="equal">
      <formula>0</formula>
    </cfRule>
  </conditionalFormatting>
  <conditionalFormatting sqref="E992:F994">
    <cfRule type="cellIs" dxfId="237" priority="452" stopIfTrue="1" operator="equal">
      <formula>0</formula>
    </cfRule>
  </conditionalFormatting>
  <conditionalFormatting sqref="E1002:F1003">
    <cfRule type="cellIs" dxfId="236" priority="453" stopIfTrue="1" operator="equal">
      <formula>0</formula>
    </cfRule>
  </conditionalFormatting>
  <conditionalFormatting sqref="E1005:F1005">
    <cfRule type="cellIs" dxfId="235" priority="454" stopIfTrue="1" operator="equal">
      <formula>0</formula>
    </cfRule>
  </conditionalFormatting>
  <conditionalFormatting sqref="E1007:F1010">
    <cfRule type="cellIs" dxfId="234" priority="455" stopIfTrue="1" operator="equal">
      <formula>0</formula>
    </cfRule>
  </conditionalFormatting>
  <conditionalFormatting sqref="E1012:F1012">
    <cfRule type="cellIs" dxfId="233" priority="456" stopIfTrue="1" operator="equal">
      <formula>0</formula>
    </cfRule>
  </conditionalFormatting>
  <conditionalFormatting sqref="E1014:F1014">
    <cfRule type="cellIs" dxfId="232" priority="457" stopIfTrue="1" operator="equal">
      <formula>0</formula>
    </cfRule>
  </conditionalFormatting>
  <conditionalFormatting sqref="E1016:F1019">
    <cfRule type="cellIs" dxfId="231" priority="458" stopIfTrue="1" operator="equal">
      <formula>0</formula>
    </cfRule>
  </conditionalFormatting>
  <conditionalFormatting sqref="E1021:F1021">
    <cfRule type="cellIs" dxfId="230" priority="459" stopIfTrue="1" operator="equal">
      <formula>0</formula>
    </cfRule>
  </conditionalFormatting>
  <conditionalFormatting sqref="E1023:F1023">
    <cfRule type="cellIs" dxfId="229" priority="460" stopIfTrue="1" operator="equal">
      <formula>0</formula>
    </cfRule>
  </conditionalFormatting>
  <conditionalFormatting sqref="E1027:F1027">
    <cfRule type="cellIs" dxfId="228" priority="461" stopIfTrue="1" operator="equal">
      <formula>0</formula>
    </cfRule>
  </conditionalFormatting>
  <conditionalFormatting sqref="E1029:F1029">
    <cfRule type="cellIs" dxfId="227" priority="462" stopIfTrue="1" operator="equal">
      <formula>0</formula>
    </cfRule>
  </conditionalFormatting>
  <conditionalFormatting sqref="E1032:F1043">
    <cfRule type="cellIs" dxfId="226" priority="463" stopIfTrue="1" operator="equal">
      <formula>0</formula>
    </cfRule>
  </conditionalFormatting>
  <conditionalFormatting sqref="E1045:F1047">
    <cfRule type="cellIs" dxfId="225" priority="464" stopIfTrue="1" operator="equal">
      <formula>0</formula>
    </cfRule>
  </conditionalFormatting>
  <conditionalFormatting sqref="E1049:F1052">
    <cfRule type="cellIs" dxfId="224" priority="465" stopIfTrue="1" operator="equal">
      <formula>0</formula>
    </cfRule>
  </conditionalFormatting>
  <conditionalFormatting sqref="E1054:F1058">
    <cfRule type="cellIs" dxfId="223" priority="466" stopIfTrue="1" operator="equal">
      <formula>0</formula>
    </cfRule>
  </conditionalFormatting>
  <conditionalFormatting sqref="E1060:F1061">
    <cfRule type="cellIs" dxfId="222" priority="467" stopIfTrue="1" operator="equal">
      <formula>0</formula>
    </cfRule>
  </conditionalFormatting>
  <conditionalFormatting sqref="E1063:F1064">
    <cfRule type="cellIs" dxfId="221" priority="468" stopIfTrue="1" operator="equal">
      <formula>0</formula>
    </cfRule>
  </conditionalFormatting>
  <conditionalFormatting sqref="E1066:F1067">
    <cfRule type="cellIs" dxfId="220" priority="469" stopIfTrue="1" operator="equal">
      <formula>0</formula>
    </cfRule>
  </conditionalFormatting>
  <conditionalFormatting sqref="E1069:F1069">
    <cfRule type="cellIs" dxfId="219" priority="470" stopIfTrue="1" operator="equal">
      <formula>0</formula>
    </cfRule>
  </conditionalFormatting>
  <conditionalFormatting sqref="E1071:F1071">
    <cfRule type="cellIs" dxfId="218" priority="471" stopIfTrue="1" operator="equal">
      <formula>0</formula>
    </cfRule>
  </conditionalFormatting>
  <conditionalFormatting sqref="E1076:F1077">
    <cfRule type="cellIs" dxfId="217" priority="472" stopIfTrue="1" operator="equal">
      <formula>0</formula>
    </cfRule>
  </conditionalFormatting>
  <conditionalFormatting sqref="E1080:F1080">
    <cfRule type="cellIs" dxfId="216" priority="473" stopIfTrue="1" operator="equal">
      <formula>0</formula>
    </cfRule>
  </conditionalFormatting>
  <conditionalFormatting sqref="E1081:F1082">
    <cfRule type="cellIs" dxfId="215" priority="474" stopIfTrue="1" operator="equal">
      <formula>0</formula>
    </cfRule>
  </conditionalFormatting>
  <conditionalFormatting sqref="E1086:F1088">
    <cfRule type="cellIs" dxfId="214" priority="475" stopIfTrue="1" operator="equal">
      <formula>0</formula>
    </cfRule>
  </conditionalFormatting>
  <conditionalFormatting sqref="E1096:F1097">
    <cfRule type="cellIs" dxfId="213" priority="476" stopIfTrue="1" operator="equal">
      <formula>0</formula>
    </cfRule>
  </conditionalFormatting>
  <conditionalFormatting sqref="E1099:F1099">
    <cfRule type="cellIs" dxfId="212" priority="477" stopIfTrue="1" operator="equal">
      <formula>0</formula>
    </cfRule>
  </conditionalFormatting>
  <conditionalFormatting sqref="E1101:F1104">
    <cfRule type="cellIs" dxfId="211" priority="478" stopIfTrue="1" operator="equal">
      <formula>0</formula>
    </cfRule>
  </conditionalFormatting>
  <conditionalFormatting sqref="E1106:F1106">
    <cfRule type="cellIs" dxfId="210" priority="479" stopIfTrue="1" operator="equal">
      <formula>0</formula>
    </cfRule>
  </conditionalFormatting>
  <conditionalFormatting sqref="E1108:F1108">
    <cfRule type="cellIs" dxfId="209" priority="480" stopIfTrue="1" operator="equal">
      <formula>0</formula>
    </cfRule>
  </conditionalFormatting>
  <conditionalFormatting sqref="E1110:F1113">
    <cfRule type="cellIs" dxfId="208" priority="481" stopIfTrue="1" operator="equal">
      <formula>0</formula>
    </cfRule>
  </conditionalFormatting>
  <conditionalFormatting sqref="E1115:F1115">
    <cfRule type="cellIs" dxfId="207" priority="482" stopIfTrue="1" operator="equal">
      <formula>0</formula>
    </cfRule>
  </conditionalFormatting>
  <conditionalFormatting sqref="E1117:F1117">
    <cfRule type="cellIs" dxfId="206" priority="483" stopIfTrue="1" operator="equal">
      <formula>0</formula>
    </cfRule>
  </conditionalFormatting>
  <conditionalFormatting sqref="E1121:F1121">
    <cfRule type="cellIs" dxfId="205" priority="484" stopIfTrue="1" operator="equal">
      <formula>0</formula>
    </cfRule>
  </conditionalFormatting>
  <conditionalFormatting sqref="E1123:F1123">
    <cfRule type="cellIs" dxfId="204" priority="485" stopIfTrue="1" operator="equal">
      <formula>0</formula>
    </cfRule>
  </conditionalFormatting>
  <conditionalFormatting sqref="E1126:F1137">
    <cfRule type="cellIs" dxfId="203" priority="486" stopIfTrue="1" operator="equal">
      <formula>0</formula>
    </cfRule>
  </conditionalFormatting>
  <conditionalFormatting sqref="E1139:F1141">
    <cfRule type="cellIs" dxfId="202" priority="487" stopIfTrue="1" operator="equal">
      <formula>0</formula>
    </cfRule>
  </conditionalFormatting>
  <conditionalFormatting sqref="E1143:F1146">
    <cfRule type="cellIs" dxfId="201" priority="488" stopIfTrue="1" operator="equal">
      <formula>0</formula>
    </cfRule>
  </conditionalFormatting>
  <conditionalFormatting sqref="E1148:F1152">
    <cfRule type="cellIs" dxfId="200" priority="489" stopIfTrue="1" operator="equal">
      <formula>0</formula>
    </cfRule>
  </conditionalFormatting>
  <conditionalFormatting sqref="E1154:F1155">
    <cfRule type="cellIs" dxfId="199" priority="490" stopIfTrue="1" operator="equal">
      <formula>0</formula>
    </cfRule>
  </conditionalFormatting>
  <conditionalFormatting sqref="E1157:F1158">
    <cfRule type="cellIs" dxfId="198" priority="491" stopIfTrue="1" operator="equal">
      <formula>0</formula>
    </cfRule>
  </conditionalFormatting>
  <conditionalFormatting sqref="E1160:F1161">
    <cfRule type="cellIs" dxfId="197" priority="492" stopIfTrue="1" operator="equal">
      <formula>0</formula>
    </cfRule>
  </conditionalFormatting>
  <conditionalFormatting sqref="E1163:F1163">
    <cfRule type="cellIs" dxfId="196" priority="493" stopIfTrue="1" operator="equal">
      <formula>0</formula>
    </cfRule>
  </conditionalFormatting>
  <conditionalFormatting sqref="E1165:F1165">
    <cfRule type="cellIs" dxfId="195" priority="494" stopIfTrue="1" operator="equal">
      <formula>0</formula>
    </cfRule>
  </conditionalFormatting>
  <conditionalFormatting sqref="E1170:F1171">
    <cfRule type="cellIs" dxfId="194" priority="495" stopIfTrue="1" operator="equal">
      <formula>0</formula>
    </cfRule>
  </conditionalFormatting>
  <conditionalFormatting sqref="E1174:F1176">
    <cfRule type="cellIs" dxfId="193" priority="496" stopIfTrue="1" operator="equal">
      <formula>0</formula>
    </cfRule>
  </conditionalFormatting>
  <conditionalFormatting sqref="E1180:F1182">
    <cfRule type="cellIs" dxfId="192" priority="497" stopIfTrue="1" operator="equal">
      <formula>0</formula>
    </cfRule>
  </conditionalFormatting>
  <conditionalFormatting sqref="E1190:F1191">
    <cfRule type="cellIs" dxfId="191" priority="498" stopIfTrue="1" operator="equal">
      <formula>0</formula>
    </cfRule>
  </conditionalFormatting>
  <conditionalFormatting sqref="E1193:F1193">
    <cfRule type="cellIs" dxfId="190" priority="499" stopIfTrue="1" operator="equal">
      <formula>0</formula>
    </cfRule>
  </conditionalFormatting>
  <conditionalFormatting sqref="E1195:F1198">
    <cfRule type="cellIs" dxfId="189" priority="500" stopIfTrue="1" operator="equal">
      <formula>0</formula>
    </cfRule>
  </conditionalFormatting>
  <conditionalFormatting sqref="E1200:F1200">
    <cfRule type="cellIs" dxfId="188" priority="501" stopIfTrue="1" operator="equal">
      <formula>0</formula>
    </cfRule>
  </conditionalFormatting>
  <conditionalFormatting sqref="E1202:F1202">
    <cfRule type="cellIs" dxfId="187" priority="502" stopIfTrue="1" operator="equal">
      <formula>0</formula>
    </cfRule>
  </conditionalFormatting>
  <conditionalFormatting sqref="E1204:F1207">
    <cfRule type="cellIs" dxfId="186" priority="503" stopIfTrue="1" operator="equal">
      <formula>0</formula>
    </cfRule>
  </conditionalFormatting>
  <conditionalFormatting sqref="E1209:F1209">
    <cfRule type="cellIs" dxfId="185" priority="504" stopIfTrue="1" operator="equal">
      <formula>0</formula>
    </cfRule>
  </conditionalFormatting>
  <conditionalFormatting sqref="E1211:F1211">
    <cfRule type="cellIs" dxfId="184" priority="505" stopIfTrue="1" operator="equal">
      <formula>0</formula>
    </cfRule>
  </conditionalFormatting>
  <conditionalFormatting sqref="E1215:F1215">
    <cfRule type="cellIs" dxfId="183" priority="506" stopIfTrue="1" operator="equal">
      <formula>0</formula>
    </cfRule>
  </conditionalFormatting>
  <conditionalFormatting sqref="E1217:F1217">
    <cfRule type="cellIs" dxfId="182" priority="507" stopIfTrue="1" operator="equal">
      <formula>0</formula>
    </cfRule>
  </conditionalFormatting>
  <conditionalFormatting sqref="E1220:F1231">
    <cfRule type="cellIs" dxfId="181" priority="508" stopIfTrue="1" operator="equal">
      <formula>0</formula>
    </cfRule>
  </conditionalFormatting>
  <conditionalFormatting sqref="E1233:F1235">
    <cfRule type="cellIs" dxfId="180" priority="509" stopIfTrue="1" operator="equal">
      <formula>0</formula>
    </cfRule>
  </conditionalFormatting>
  <conditionalFormatting sqref="E1237:F1240">
    <cfRule type="cellIs" dxfId="179" priority="510" stopIfTrue="1" operator="equal">
      <formula>0</formula>
    </cfRule>
  </conditionalFormatting>
  <conditionalFormatting sqref="E1242:F1246">
    <cfRule type="cellIs" dxfId="178" priority="511" stopIfTrue="1" operator="equal">
      <formula>0</formula>
    </cfRule>
  </conditionalFormatting>
  <conditionalFormatting sqref="E1248:F1249">
    <cfRule type="cellIs" dxfId="177" priority="512" stopIfTrue="1" operator="equal">
      <formula>0</formula>
    </cfRule>
  </conditionalFormatting>
  <conditionalFormatting sqref="E1251:F1252">
    <cfRule type="cellIs" dxfId="176" priority="513" stopIfTrue="1" operator="equal">
      <formula>0</formula>
    </cfRule>
  </conditionalFormatting>
  <conditionalFormatting sqref="E1254:F1255">
    <cfRule type="cellIs" dxfId="175" priority="514" stopIfTrue="1" operator="equal">
      <formula>0</formula>
    </cfRule>
  </conditionalFormatting>
  <conditionalFormatting sqref="E1257:F1257">
    <cfRule type="cellIs" dxfId="174" priority="515" stopIfTrue="1" operator="equal">
      <formula>0</formula>
    </cfRule>
  </conditionalFormatting>
  <conditionalFormatting sqref="E1259:F1259">
    <cfRule type="cellIs" dxfId="173" priority="516" stopIfTrue="1" operator="equal">
      <formula>0</formula>
    </cfRule>
  </conditionalFormatting>
  <conditionalFormatting sqref="E1264:F1265">
    <cfRule type="cellIs" dxfId="172" priority="517" stopIfTrue="1" operator="equal">
      <formula>0</formula>
    </cfRule>
  </conditionalFormatting>
  <conditionalFormatting sqref="E1269:F1269">
    <cfRule type="cellIs" dxfId="171" priority="518" stopIfTrue="1" operator="equal">
      <formula>0</formula>
    </cfRule>
  </conditionalFormatting>
  <conditionalFormatting sqref="E1270:F1282">
    <cfRule type="cellIs" dxfId="170" priority="519" stopIfTrue="1" operator="equal">
      <formula>0</formula>
    </cfRule>
  </conditionalFormatting>
  <conditionalFormatting sqref="E1284:F1288">
    <cfRule type="cellIs" dxfId="169" priority="520" stopIfTrue="1" operator="equal">
      <formula>0</formula>
    </cfRule>
  </conditionalFormatting>
  <conditionalFormatting sqref="E1290:F1301">
    <cfRule type="cellIs" dxfId="168" priority="521" stopIfTrue="1" operator="equal">
      <formula>0</formula>
    </cfRule>
  </conditionalFormatting>
  <conditionalFormatting sqref="E1303:F1320">
    <cfRule type="cellIs" dxfId="167" priority="522" stopIfTrue="1" operator="equal">
      <formula>0</formula>
    </cfRule>
  </conditionalFormatting>
  <conditionalFormatting sqref="E1322:F1339">
    <cfRule type="cellIs" dxfId="166" priority="523" stopIfTrue="1" operator="equal">
      <formula>0</formula>
    </cfRule>
  </conditionalFormatting>
  <conditionalFormatting sqref="E1341:F1358">
    <cfRule type="cellIs" dxfId="165" priority="524" stopIfTrue="1" operator="equal">
      <formula>0</formula>
    </cfRule>
  </conditionalFormatting>
  <conditionalFormatting sqref="E1360:F1365">
    <cfRule type="cellIs" dxfId="164" priority="525" stopIfTrue="1" operator="equal">
      <formula>0</formula>
    </cfRule>
  </conditionalFormatting>
  <conditionalFormatting sqref="E1367:F1380">
    <cfRule type="cellIs" dxfId="163" priority="526" stopIfTrue="1" operator="equal">
      <formula>0</formula>
    </cfRule>
  </conditionalFormatting>
  <conditionalFormatting sqref="E1386:F1387">
    <cfRule type="cellIs" dxfId="162" priority="527" stopIfTrue="1" operator="equal">
      <formula>0</formula>
    </cfRule>
  </conditionalFormatting>
  <conditionalFormatting sqref="E1389:F1402">
    <cfRule type="cellIs" dxfId="161" priority="528" stopIfTrue="1" operator="equal">
      <formula>0</formula>
    </cfRule>
  </conditionalFormatting>
  <conditionalFormatting sqref="E1405:F1418">
    <cfRule type="cellIs" dxfId="160" priority="529" stopIfTrue="1" operator="equal">
      <formula>0</formula>
    </cfRule>
  </conditionalFormatting>
  <conditionalFormatting sqref="E1420:F1424">
    <cfRule type="cellIs" dxfId="159" priority="530" stopIfTrue="1" operator="equal">
      <formula>0</formula>
    </cfRule>
  </conditionalFormatting>
  <conditionalFormatting sqref="E1426:F1437">
    <cfRule type="cellIs" dxfId="158" priority="531" stopIfTrue="1" operator="equal">
      <formula>0</formula>
    </cfRule>
  </conditionalFormatting>
  <conditionalFormatting sqref="E1439:F1456">
    <cfRule type="cellIs" dxfId="157" priority="532" stopIfTrue="1" operator="equal">
      <formula>0</formula>
    </cfRule>
  </conditionalFormatting>
  <conditionalFormatting sqref="E1458:F1475">
    <cfRule type="cellIs" dxfId="156" priority="533" stopIfTrue="1" operator="equal">
      <formula>0</formula>
    </cfRule>
  </conditionalFormatting>
  <conditionalFormatting sqref="E1477:F1494">
    <cfRule type="cellIs" dxfId="155" priority="534" stopIfTrue="1" operator="equal">
      <formula>0</formula>
    </cfRule>
  </conditionalFormatting>
  <conditionalFormatting sqref="E1496:F1501">
    <cfRule type="cellIs" dxfId="154" priority="535" stopIfTrue="1" operator="equal">
      <formula>0</formula>
    </cfRule>
  </conditionalFormatting>
  <conditionalFormatting sqref="E1503:F1516">
    <cfRule type="cellIs" dxfId="153" priority="536" stopIfTrue="1" operator="equal">
      <formula>0</formula>
    </cfRule>
  </conditionalFormatting>
  <conditionalFormatting sqref="E1522:F1523">
    <cfRule type="cellIs" dxfId="152" priority="537" stopIfTrue="1" operator="equal">
      <formula>0</formula>
    </cfRule>
  </conditionalFormatting>
  <conditionalFormatting sqref="E1525:F1538">
    <cfRule type="cellIs" dxfId="151" priority="538" stopIfTrue="1" operator="equal">
      <formula>0</formula>
    </cfRule>
  </conditionalFormatting>
  <conditionalFormatting sqref="E1541:F1554">
    <cfRule type="cellIs" dxfId="150" priority="539" stopIfTrue="1" operator="equal">
      <formula>0</formula>
    </cfRule>
  </conditionalFormatting>
  <conditionalFormatting sqref="E1556:F1560">
    <cfRule type="cellIs" dxfId="149" priority="540" stopIfTrue="1" operator="equal">
      <formula>0</formula>
    </cfRule>
  </conditionalFormatting>
  <conditionalFormatting sqref="E1562:F1573">
    <cfRule type="cellIs" dxfId="148" priority="541" stopIfTrue="1" operator="equal">
      <formula>0</formula>
    </cfRule>
  </conditionalFormatting>
  <conditionalFormatting sqref="E1575:F1592">
    <cfRule type="cellIs" dxfId="147" priority="542" stopIfTrue="1" operator="equal">
      <formula>0</formula>
    </cfRule>
  </conditionalFormatting>
  <conditionalFormatting sqref="E1594:F1611">
    <cfRule type="cellIs" dxfId="146" priority="543" stopIfTrue="1" operator="equal">
      <formula>0</formula>
    </cfRule>
  </conditionalFormatting>
  <conditionalFormatting sqref="E1613:F1630">
    <cfRule type="cellIs" dxfId="145" priority="544" stopIfTrue="1" operator="equal">
      <formula>0</formula>
    </cfRule>
  </conditionalFormatting>
  <conditionalFormatting sqref="E1632:F1637">
    <cfRule type="cellIs" dxfId="144" priority="545" stopIfTrue="1" operator="equal">
      <formula>0</formula>
    </cfRule>
  </conditionalFormatting>
  <conditionalFormatting sqref="E1639:F1652">
    <cfRule type="cellIs" dxfId="143" priority="546" stopIfTrue="1" operator="equal">
      <formula>0</formula>
    </cfRule>
  </conditionalFormatting>
  <conditionalFormatting sqref="E1658:F1659">
    <cfRule type="cellIs" dxfId="142" priority="547" stopIfTrue="1" operator="equal">
      <formula>0</formula>
    </cfRule>
  </conditionalFormatting>
  <conditionalFormatting sqref="E1661:F1674">
    <cfRule type="cellIs" dxfId="141" priority="548" stopIfTrue="1" operator="equal">
      <formula>0</formula>
    </cfRule>
  </conditionalFormatting>
  <conditionalFormatting sqref="E1677:F1690">
    <cfRule type="cellIs" dxfId="140" priority="549" stopIfTrue="1" operator="equal">
      <formula>0</formula>
    </cfRule>
  </conditionalFormatting>
  <conditionalFormatting sqref="E1692:F1696">
    <cfRule type="cellIs" dxfId="139" priority="550" stopIfTrue="1" operator="equal">
      <formula>0</formula>
    </cfRule>
  </conditionalFormatting>
  <conditionalFormatting sqref="E1698:F1709">
    <cfRule type="cellIs" dxfId="138" priority="551" stopIfTrue="1" operator="equal">
      <formula>0</formula>
    </cfRule>
  </conditionalFormatting>
  <conditionalFormatting sqref="E1711:F1728">
    <cfRule type="cellIs" dxfId="137" priority="552" stopIfTrue="1" operator="equal">
      <formula>0</formula>
    </cfRule>
  </conditionalFormatting>
  <conditionalFormatting sqref="E1730:F1747">
    <cfRule type="cellIs" dxfId="136" priority="553" stopIfTrue="1" operator="equal">
      <formula>0</formula>
    </cfRule>
  </conditionalFormatting>
  <conditionalFormatting sqref="E1749:F1766">
    <cfRule type="cellIs" dxfId="135" priority="554" stopIfTrue="1" operator="equal">
      <formula>0</formula>
    </cfRule>
  </conditionalFormatting>
  <conditionalFormatting sqref="E1768:F1773">
    <cfRule type="cellIs" dxfId="134" priority="555" stopIfTrue="1" operator="equal">
      <formula>0</formula>
    </cfRule>
  </conditionalFormatting>
  <conditionalFormatting sqref="E1775:F1788">
    <cfRule type="cellIs" dxfId="133" priority="556" stopIfTrue="1" operator="equal">
      <formula>0</formula>
    </cfRule>
  </conditionalFormatting>
  <conditionalFormatting sqref="E1794:F1795">
    <cfRule type="cellIs" dxfId="132" priority="557" stopIfTrue="1" operator="equal">
      <formula>0</formula>
    </cfRule>
  </conditionalFormatting>
  <conditionalFormatting sqref="E1797:F1810">
    <cfRule type="cellIs" dxfId="131" priority="558" stopIfTrue="1" operator="equal">
      <formula>0</formula>
    </cfRule>
  </conditionalFormatting>
  <conditionalFormatting sqref="E1813:F1826">
    <cfRule type="cellIs" dxfId="130" priority="559" stopIfTrue="1" operator="equal">
      <formula>0</formula>
    </cfRule>
  </conditionalFormatting>
  <conditionalFormatting sqref="E1828:F1832">
    <cfRule type="cellIs" dxfId="129" priority="560" stopIfTrue="1" operator="equal">
      <formula>0</formula>
    </cfRule>
  </conditionalFormatting>
  <conditionalFormatting sqref="E1834:F1845">
    <cfRule type="cellIs" dxfId="128" priority="561" stopIfTrue="1" operator="equal">
      <formula>0</formula>
    </cfRule>
  </conditionalFormatting>
  <conditionalFormatting sqref="E1847:F1864">
    <cfRule type="cellIs" dxfId="127" priority="562" stopIfTrue="1" operator="equal">
      <formula>0</formula>
    </cfRule>
  </conditionalFormatting>
  <conditionalFormatting sqref="E1866:F1883">
    <cfRule type="cellIs" dxfId="126" priority="563" stopIfTrue="1" operator="equal">
      <formula>0</formula>
    </cfRule>
  </conditionalFormatting>
  <conditionalFormatting sqref="E1885:F1902">
    <cfRule type="cellIs" dxfId="125" priority="564" stopIfTrue="1" operator="equal">
      <formula>0</formula>
    </cfRule>
  </conditionalFormatting>
  <conditionalFormatting sqref="E1904:F1909">
    <cfRule type="cellIs" dxfId="124" priority="565" stopIfTrue="1" operator="equal">
      <formula>0</formula>
    </cfRule>
  </conditionalFormatting>
  <conditionalFormatting sqref="E1911:F1924">
    <cfRule type="cellIs" dxfId="123" priority="566" stopIfTrue="1" operator="equal">
      <formula>0</formula>
    </cfRule>
  </conditionalFormatting>
  <conditionalFormatting sqref="E1930:F1931">
    <cfRule type="cellIs" dxfId="122" priority="567" stopIfTrue="1" operator="equal">
      <formula>0</formula>
    </cfRule>
  </conditionalFormatting>
  <conditionalFormatting sqref="E1933:F1946">
    <cfRule type="cellIs" dxfId="121" priority="568" stopIfTrue="1" operator="equal">
      <formula>0</formula>
    </cfRule>
  </conditionalFormatting>
  <conditionalFormatting sqref="E1949:F1962">
    <cfRule type="cellIs" dxfId="120" priority="569" stopIfTrue="1" operator="equal">
      <formula>0</formula>
    </cfRule>
  </conditionalFormatting>
  <conditionalFormatting sqref="E1964:F1968">
    <cfRule type="cellIs" dxfId="119" priority="570" stopIfTrue="1" operator="equal">
      <formula>0</formula>
    </cfRule>
  </conditionalFormatting>
  <conditionalFormatting sqref="E1970:F1981">
    <cfRule type="cellIs" dxfId="118" priority="571" stopIfTrue="1" operator="equal">
      <formula>0</formula>
    </cfRule>
  </conditionalFormatting>
  <conditionalFormatting sqref="E1983:F2000">
    <cfRule type="cellIs" dxfId="117" priority="572" stopIfTrue="1" operator="equal">
      <formula>0</formula>
    </cfRule>
  </conditionalFormatting>
  <conditionalFormatting sqref="E2002:F2019">
    <cfRule type="cellIs" dxfId="116" priority="573" stopIfTrue="1" operator="equal">
      <formula>0</formula>
    </cfRule>
  </conditionalFormatting>
  <conditionalFormatting sqref="E2021:F2038">
    <cfRule type="cellIs" dxfId="115" priority="574" stopIfTrue="1" operator="equal">
      <formula>0</formula>
    </cfRule>
  </conditionalFormatting>
  <conditionalFormatting sqref="E2040:F2045">
    <cfRule type="cellIs" dxfId="114" priority="575" stopIfTrue="1" operator="equal">
      <formula>0</formula>
    </cfRule>
  </conditionalFormatting>
  <conditionalFormatting sqref="E2047:F2060">
    <cfRule type="cellIs" dxfId="113" priority="576" stopIfTrue="1" operator="equal">
      <formula>0</formula>
    </cfRule>
  </conditionalFormatting>
  <conditionalFormatting sqref="E2066:F2067">
    <cfRule type="cellIs" dxfId="112" priority="577" stopIfTrue="1" operator="equal">
      <formula>0</formula>
    </cfRule>
  </conditionalFormatting>
  <conditionalFormatting sqref="E2069:F2082">
    <cfRule type="cellIs" dxfId="111" priority="578" stopIfTrue="1" operator="equal">
      <formula>0</formula>
    </cfRule>
  </conditionalFormatting>
  <conditionalFormatting sqref="E2085:F2098">
    <cfRule type="cellIs" dxfId="110" priority="579" stopIfTrue="1" operator="equal">
      <formula>0</formula>
    </cfRule>
  </conditionalFormatting>
  <conditionalFormatting sqref="E2100:F2104">
    <cfRule type="cellIs" dxfId="109" priority="580" stopIfTrue="1" operator="equal">
      <formula>0</formula>
    </cfRule>
  </conditionalFormatting>
  <conditionalFormatting sqref="E2106:F2117">
    <cfRule type="cellIs" dxfId="108" priority="581" stopIfTrue="1" operator="equal">
      <formula>0</formula>
    </cfRule>
  </conditionalFormatting>
  <conditionalFormatting sqref="E2119:F2136">
    <cfRule type="cellIs" dxfId="107" priority="582" stopIfTrue="1" operator="equal">
      <formula>0</formula>
    </cfRule>
  </conditionalFormatting>
  <conditionalFormatting sqref="E2138:F2155">
    <cfRule type="cellIs" dxfId="106" priority="583" stopIfTrue="1" operator="equal">
      <formula>0</formula>
    </cfRule>
  </conditionalFormatting>
  <conditionalFormatting sqref="E2157:F2174">
    <cfRule type="cellIs" dxfId="105" priority="584" stopIfTrue="1" operator="equal">
      <formula>0</formula>
    </cfRule>
  </conditionalFormatting>
  <conditionalFormatting sqref="E2176:F2181">
    <cfRule type="cellIs" dxfId="104" priority="585" stopIfTrue="1" operator="equal">
      <formula>0</formula>
    </cfRule>
  </conditionalFormatting>
  <conditionalFormatting sqref="E2183:F2196">
    <cfRule type="cellIs" dxfId="103" priority="586" stopIfTrue="1" operator="equal">
      <formula>0</formula>
    </cfRule>
  </conditionalFormatting>
  <conditionalFormatting sqref="E2202:F2203">
    <cfRule type="cellIs" dxfId="102" priority="587" stopIfTrue="1" operator="equal">
      <formula>0</formula>
    </cfRule>
  </conditionalFormatting>
  <conditionalFormatting sqref="E2205:F2218">
    <cfRule type="cellIs" dxfId="101" priority="588" stopIfTrue="1" operator="equal">
      <formula>0</formula>
    </cfRule>
  </conditionalFormatting>
  <conditionalFormatting sqref="E2220:F2222">
    <cfRule type="cellIs" dxfId="100" priority="589" stopIfTrue="1" operator="equal">
      <formula>0</formula>
    </cfRule>
  </conditionalFormatting>
  <conditionalFormatting sqref="D193:F193">
    <cfRule type="cellIs" dxfId="99" priority="590" stopIfTrue="1" operator="equal">
      <formula>0</formula>
    </cfRule>
  </conditionalFormatting>
  <dataValidations count="2">
    <dataValidation type="decimal" allowBlank="1" showErrorMessage="1" sqref="C6:C12 E6:F12 C14:C20 E14:F20 C22:C26 E22:F26 C34 E34:F34 C36:C37 E36:F37 C39:C42 E39:F42 C45:C48 E45:F48 C50:C54 E50:F54 C56:C62 E56:F62 E64:F71 C73:C77 E73:F77 D79:F83 C85:C90 E85:F90 D92:F96 C98:C100 E98:F100 D104:F112 D114:F116 D118:F118 D120:F120 D122:F122 D125:F127 D129:F134 D136:F138 D140:F142 D145:F146 D148:F150 D152:F152 D154:F154 D156:F156 D158:F160 D162:F167 D169:F172 D175:F177 D180:F180 D182:F185 D187:F189 D191:F193 D195:F196 D201:F201 D203:F205 D211:F215 D217:F217 D219:F219 D228:F228 D230:F230 D233:F236 D239:F252 D254:F258 D260:F260 D262:F262 D265:F266 D270:F270 D275:F275 D277:F277 D279:F279 D281:F281 D283:F283 D286:F290 D292:F292 D295:F295 D298:F298 D303:F303 D311:F322 D324:F325 D327:F332 D334:F338 D340:F341 D344:F345 D348:F349 D352:F352 D355:F355 D359:F359 D361:F361 D370:F370 D373:F373 D377:F377 D379:F379 D381:F381 D383:F383 D385:F385 D387:F387 D389:F389 C394 E394:F394 C396 E396:F396 C399:C402 E399:F402 C404:C411 E404:F411 C413:C416 E413:F416 C418:C423 E418:F423 C425:C426 E425:F426 C429:C436 E429:F436 C438:C440 E438:F440 C452:C460 E452:F460 C462:C468 E462:F468 C470:C471 E470:F471 C473:C477 E473:F477 C479:C481 E479:F481 C483:C491 E483:F491 C494:C502 E494:F502 C504:C512 E504:F512 C514:C522 E514:F522 C524:C532 E524:F532 C534:C542 E534:F542 C544:C550 E544:F550 C552:C560 E552:F560 C562:C566 E562:F566 C568:C576 E568:F576 C586 E586:F586 C592 E592:F592 C596:C597 E596:F597 C600:C607 E600:F607 C609 E609:F609 C612 E612:F612 C614 E614:F614 C616:C620 E616:F620 C622 E622:F622 C625 E625:F625 C627 E627:F627 C629 E629:F629 C632:C634 E632:F634 C636:C639 E636:F639 C642 E642:F642 C645 E645:F645 C647 E647:F647 C649 E649:F649 C651 E651:F651 C653 E653:F653 C656:C657 E656:F657 C659 E659:F659 C663:C665 E663:F665 C667:C669 E667:F669 C672:C675 E672:F675 C677 E677:F677 C680 E680:F680 C682:C683 E682:F683 C687:C689 E687:F689 C698 E698:F698 C703 E703:F703 C708 E708:F708 C711 E711:F711 C713 E713:F713 C716:C723 E716:F723 C725:C726 E725:F726 C738:C746 E738:F746 C749 E749:F749 C757 E757:F757 D758:F758 C759 E759:F759 D760:F760 C761 E761:F761 D762:F762 C764 E764:F764 D766:F766 C767 E767:F767 D769:F769 C771 E771:F771 D772:F772 C773 E773:F773 D774:F774 C775 E775:F775 D776:F776 C778 E778:F778 D779:F779 C781 E781:F781 D782:F782 C784 E784:F784 D785:F785 C786 E786:F786 D787:F787 C789:C791 E789:F791 D792:F792 E798:F800 E804:F806 E814:F815 E817:F817 E819:F822 E824:F824 E826:F826 E828:F831 E833:F833 E835:F835 E839:F839 E841:F841 E844:F855 E857:F859 E861:F864 E866:F870 E872:F873 E875:F876 E878:F879 E881:F881 E883:F883 E888:F889 E892:F894 E898:F900 E908:F909 E911:F911 E913:F916 E918:F918 E920:F920 E922:F925 E927:F927 E929:F929 E933:F933 E935:F935 E938:F949 E951:F953 E955:F958 E960:F964 E966:F967 E969:F970 E972:F973 E975:F975 E977:F977 E982:F983 E986:F988 E992:F994 E1002:F1003 E1005:F1005 E1007:F1010 E1012:F1012 E1014:F1014 E1016:F1019 E1021:F1021 E1023:F1023 E1027:F1027 E1029:F1029 E1032:F1043 E1045:F1047 E1049:F1052 E1054:F1058 E1060:F1061 E1063:F1064 E1066:F1067 E1069:F1069 E1071:F1071 E1076:F1077 E1080:F1082 E1086:F1088 E1096:F1097 E1099:F1099 E1101:F1104 E1106:F1106 E1108:F1108 E1110:F1113 E1115:F1115 E1117:F1117 E1121:F1121 E1123:F1123 E1126:F1137 E1139:F1141 E1143:F1146 E1148:F1152 E1154:F1155 E1157:F1158 E1160:F1161 E1163:F1163 E1165:F1165 E1170:F1171 E1174:F1176 E1180:F1182 E1190:F1191 E1193:F1193 E1195:F1198 E1200:F1200 E1202:F1202 E1204:F1207 E1209:F1209 E1211:F1211 E1215:F1215 E1217:F1217 E1220:F1231 E1233:F1235 E1237:F1240 E1242:F1246 E1248:F1249 E1251:F1252 E1254:F1255 E1257:F1257 E1259:F1259 E1264:F1265 E1269:F1282 E1284:F1288 E1290:F1301 E1303:F1320 E1322:F1339 E1341:F1358 E1360:F1365 E1367:F1380 E1386:F1387 E1389:F1402 E1405:F1418 E1420:F1424 E1426:F1437 E1439:F1456 E1458:F1475 E1477:F1494 E1496:F1501 E1503:F1516 E1522:F1523 E1525:F1538 E1541:F1554 E1556:F1560 E1562:F1573 E1575:F1592 E1594:F1611 E1613:F1630 E1632:F1637 E1639:F1652 E1658:F1659 E1661:F1674 E1677:F1690 E1692:F1696 E1698:F1709 E1711:F1728 E1730:F1747 E1749:F1766 E1768:F1773 E1775:F1788 E1794:F1795 E1797:F1810 E1813:F1826 E1828:F1832 E1834:F1845 E1847:F1864 E1866:F1883 E1885:F1902 E1904:F1909 E1911:F1924 E1930:F1931 E1933:F1946 E1949:F1962 E1964:F1968 E1970:F1981 E1983:F2000 E2002:F2019 E2021:F2038 E2040:F2045 E2047:F2060 E2066:F2067 E2069:F2082 E2085:F2098 E2100:F2104 E2106:F2117 E2119:F2136 E2138:F2155 E2157:F2174 E2176:F2181 E2183:F2196 E2202:F2203 E2205:F2218 E2220:F2222">
      <formula1>-200000000000</formula1>
      <formula2>200000000000</formula2>
    </dataValidation>
    <dataValidation type="decimal" allowBlank="1" showErrorMessage="1" sqref="C64:C71 E179 D200:F200 H200 D202:F202 H202 D210:F210 H210 D218:F218 H218 D227:F227 H227 D232:F232 H232 D238:F238 H238 D253:F253 H253 D261:F261 H261 D264:F264 H264 D285:F285 H285 D294:F294 H294 D297:F297 H297 D302:F302 H302 D304:F304 D310:F310 H310 D323:F323 H323 D326:F326 H326 D333:F333 H333 D339:F339 H339 D343:F343 H343 D347:F347 H347 D351:F351 H351 D354:F354 H354 D371:F371 C393 E393:G393 C398 E398:G398 C403 E403:G403 C412 E412:G412 C417 E417:G417 C424 E424:G424 C428 E428:G428 C437 E437:G437 C451 E451:G451 C461 E461:G461 C469 E469:G469 C472 E472:G472 C478 E478:G478 C482 E482:G482 C493 E493:G493 C503 E503:G503 C513 E513:G513 C523 E523:G523 C533 E533:G533 C543 E543:G543 C551 E551:G551 C561 E561:G561 C567 E567:G567 C590 E590:G590 C599 E599:G599 C608 E608:G608 C611 E611:G611 C613 E613:G613 C615 E615:G615 C621 E621:G621 C624 E624:G624 C626 E626:G626 C628 E628:G628 C631 E631:G631 C635 E635:G635 C641 E641:G641 C644 E644:G644 C646 E646:G646 C648 E648:G648 C650 E650:G650 C652 E652:G652 C655 E655:G655 C658 E658:G658 C679 E679:G679 C681 E681:G681 C686 E686:G686 C697 E697:G697 C702 E702:G702 C707 E707:G707 C710 E710:G710 C712 E712:G712">
      <formula1>-20000000000</formula1>
      <formula2>20000000000</formula2>
    </dataValidation>
  </dataValidations>
  <printOptions horizontalCentered="1"/>
  <pageMargins left="0.31496062992125984" right="0.31496062992125984" top="0.55118110236220474" bottom="0.15748031496062992"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D8D8D8"/>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926" t="str">
        <f>Validacion!A2</f>
        <v>Guadalajara</v>
      </c>
      <c r="B1" s="746"/>
      <c r="C1" s="746"/>
      <c r="D1" s="746"/>
      <c r="E1" s="746"/>
      <c r="F1" s="746"/>
      <c r="G1" s="746"/>
      <c r="H1" s="747"/>
      <c r="I1" s="126"/>
      <c r="J1" s="126"/>
      <c r="K1" s="126"/>
      <c r="L1" s="126"/>
      <c r="M1" s="126"/>
      <c r="N1" s="126"/>
      <c r="O1" s="126"/>
      <c r="P1" s="126"/>
      <c r="Q1" s="126"/>
      <c r="R1" s="126"/>
      <c r="S1" s="126"/>
      <c r="T1" s="126"/>
      <c r="U1" s="126"/>
      <c r="V1" s="126"/>
      <c r="W1" s="126"/>
      <c r="X1" s="126"/>
      <c r="Y1" s="126"/>
      <c r="Z1" s="126"/>
      <c r="AA1" s="126"/>
      <c r="AB1" s="126"/>
    </row>
    <row r="2" spans="1:28" ht="21">
      <c r="A2" s="775" t="s">
        <v>7200</v>
      </c>
      <c r="B2" s="749"/>
      <c r="C2" s="749"/>
      <c r="D2" s="749"/>
      <c r="E2" s="749"/>
      <c r="F2" s="749"/>
      <c r="G2" s="749"/>
      <c r="H2" s="750"/>
      <c r="I2" s="126"/>
      <c r="J2" s="126"/>
      <c r="K2" s="126"/>
      <c r="L2" s="126"/>
      <c r="M2" s="126"/>
      <c r="N2" s="126"/>
      <c r="O2" s="126"/>
      <c r="P2" s="126"/>
      <c r="Q2" s="126"/>
      <c r="R2" s="126"/>
      <c r="S2" s="126"/>
      <c r="T2" s="126"/>
      <c r="U2" s="126"/>
      <c r="V2" s="126"/>
      <c r="W2" s="126"/>
      <c r="X2" s="126"/>
      <c r="Y2" s="126"/>
      <c r="Z2" s="126"/>
      <c r="AA2" s="126"/>
      <c r="AB2" s="126"/>
    </row>
    <row r="3" spans="1:28" ht="18.75">
      <c r="A3" s="751" t="e">
        <f>'F6'!A3</f>
        <v>#REF!</v>
      </c>
      <c r="B3" s="749"/>
      <c r="C3" s="749"/>
      <c r="D3" s="749"/>
      <c r="E3" s="749"/>
      <c r="F3" s="749"/>
      <c r="G3" s="749"/>
      <c r="H3" s="750"/>
      <c r="I3" s="126"/>
      <c r="J3" s="126"/>
      <c r="K3" s="126"/>
      <c r="L3" s="126"/>
      <c r="M3" s="126"/>
      <c r="N3" s="126"/>
      <c r="O3" s="126"/>
      <c r="P3" s="126"/>
      <c r="Q3" s="126"/>
      <c r="R3" s="126"/>
      <c r="S3" s="126"/>
      <c r="T3" s="126"/>
      <c r="U3" s="126"/>
      <c r="V3" s="126"/>
      <c r="W3" s="126"/>
      <c r="X3" s="126"/>
      <c r="Y3" s="126"/>
      <c r="Z3" s="126"/>
      <c r="AA3" s="126"/>
      <c r="AB3" s="126"/>
    </row>
    <row r="4" spans="1:28" ht="15.75">
      <c r="A4" s="571"/>
      <c r="B4" s="572"/>
      <c r="C4" s="573"/>
      <c r="D4" s="573"/>
      <c r="E4" s="573"/>
      <c r="F4" s="573"/>
      <c r="G4" s="573"/>
      <c r="H4" s="574"/>
      <c r="I4" s="126"/>
      <c r="J4" s="126"/>
      <c r="K4" s="126"/>
      <c r="L4" s="126"/>
      <c r="M4" s="126"/>
      <c r="N4" s="126"/>
      <c r="O4" s="126"/>
      <c r="P4" s="126"/>
      <c r="Q4" s="126"/>
      <c r="R4" s="126"/>
      <c r="S4" s="126"/>
      <c r="T4" s="126"/>
      <c r="U4" s="126"/>
      <c r="V4" s="126"/>
      <c r="W4" s="126"/>
      <c r="X4" s="126"/>
      <c r="Y4" s="126"/>
      <c r="Z4" s="126"/>
      <c r="AA4" s="126"/>
      <c r="AB4" s="126"/>
    </row>
    <row r="5" spans="1:28" ht="21">
      <c r="A5" s="777" t="s">
        <v>7201</v>
      </c>
      <c r="B5" s="778"/>
      <c r="C5" s="781" t="s">
        <v>87</v>
      </c>
      <c r="D5" s="756"/>
      <c r="E5" s="756"/>
      <c r="F5" s="756"/>
      <c r="G5" s="733"/>
      <c r="H5" s="784" t="s">
        <v>4429</v>
      </c>
      <c r="I5" s="126"/>
      <c r="J5" s="126"/>
      <c r="K5" s="126"/>
      <c r="L5" s="126"/>
      <c r="M5" s="126"/>
      <c r="N5" s="126"/>
      <c r="O5" s="126"/>
      <c r="P5" s="126"/>
      <c r="Q5" s="126"/>
      <c r="R5" s="126"/>
      <c r="S5" s="126"/>
      <c r="T5" s="126"/>
      <c r="U5" s="126"/>
      <c r="V5" s="126"/>
      <c r="W5" s="126"/>
      <c r="X5" s="126"/>
      <c r="Y5" s="126"/>
      <c r="Z5" s="126"/>
      <c r="AA5" s="126"/>
      <c r="AB5" s="126"/>
    </row>
    <row r="6" spans="1:28" ht="31.5">
      <c r="A6" s="779"/>
      <c r="B6" s="780"/>
      <c r="C6" s="127" t="s">
        <v>4430</v>
      </c>
      <c r="D6" s="127" t="s">
        <v>7202</v>
      </c>
      <c r="E6" s="127" t="s">
        <v>4432</v>
      </c>
      <c r="F6" s="127" t="s">
        <v>4433</v>
      </c>
      <c r="G6" s="127" t="s">
        <v>4434</v>
      </c>
      <c r="H6" s="730"/>
      <c r="I6" s="126"/>
      <c r="J6" s="126"/>
      <c r="K6" s="126"/>
      <c r="L6" s="126"/>
      <c r="M6" s="126"/>
      <c r="N6" s="126"/>
      <c r="O6" s="126"/>
      <c r="P6" s="126"/>
      <c r="Q6" s="126"/>
      <c r="R6" s="126"/>
      <c r="S6" s="126"/>
      <c r="T6" s="126"/>
      <c r="U6" s="126"/>
      <c r="V6" s="126"/>
      <c r="W6" s="126"/>
      <c r="X6" s="126"/>
      <c r="Y6" s="126"/>
      <c r="Z6" s="126"/>
      <c r="AA6" s="126"/>
      <c r="AB6" s="126"/>
    </row>
    <row r="7" spans="1:28" ht="17.25" customHeight="1">
      <c r="A7" s="553" t="s">
        <v>1992</v>
      </c>
      <c r="B7" s="575"/>
      <c r="C7" s="576">
        <f t="shared" ref="C7:D7" si="0">SUM(C8:C16)</f>
        <v>3098766955.1999998</v>
      </c>
      <c r="D7" s="576">
        <f t="shared" si="0"/>
        <v>0</v>
      </c>
      <c r="E7" s="576">
        <f t="shared" ref="E7:E70" si="1">C7+D7</f>
        <v>3098766955.1999998</v>
      </c>
      <c r="F7" s="576">
        <f t="shared" ref="F7:G7" si="2">SUM(F8:F16)</f>
        <v>2369059661.6899996</v>
      </c>
      <c r="G7" s="576">
        <f t="shared" si="2"/>
        <v>2369059661.6899996</v>
      </c>
      <c r="H7" s="576">
        <f t="shared" ref="H7:H69" si="3">G7-C7</f>
        <v>-729707293.51000023</v>
      </c>
      <c r="I7" s="131"/>
      <c r="J7" s="131"/>
      <c r="K7" s="131"/>
      <c r="L7" s="131"/>
      <c r="M7" s="131"/>
      <c r="N7" s="131"/>
      <c r="O7" s="131"/>
      <c r="P7" s="131"/>
      <c r="Q7" s="131"/>
      <c r="R7" s="131"/>
      <c r="S7" s="131"/>
      <c r="T7" s="131"/>
      <c r="U7" s="131"/>
      <c r="V7" s="131"/>
      <c r="W7" s="131"/>
      <c r="X7" s="131"/>
      <c r="Y7" s="131"/>
      <c r="Z7" s="131"/>
      <c r="AA7" s="131"/>
      <c r="AB7" s="131"/>
    </row>
    <row r="8" spans="1:28">
      <c r="A8" s="119"/>
      <c r="B8" s="577" t="s">
        <v>899</v>
      </c>
      <c r="C8" s="121">
        <f>Balanza!G798</f>
        <v>37762263.240000002</v>
      </c>
      <c r="D8" s="121">
        <f>Balanza!G986</f>
        <v>0</v>
      </c>
      <c r="E8" s="462">
        <f t="shared" si="1"/>
        <v>37762263.240000002</v>
      </c>
      <c r="F8" s="121">
        <f>Balanza!F1080</f>
        <v>14877409.199999999</v>
      </c>
      <c r="G8" s="121">
        <f>Balanza!H1174</f>
        <v>14877409.199999999</v>
      </c>
      <c r="H8" s="462">
        <f t="shared" si="3"/>
        <v>-22884854.040000003</v>
      </c>
      <c r="I8" s="131"/>
      <c r="J8" s="131"/>
      <c r="K8" s="131"/>
      <c r="L8" s="131"/>
      <c r="M8" s="131"/>
      <c r="N8" s="131"/>
      <c r="O8" s="131"/>
      <c r="P8" s="131"/>
      <c r="Q8" s="131"/>
      <c r="R8" s="131"/>
      <c r="S8" s="131"/>
      <c r="T8" s="131"/>
      <c r="U8" s="131"/>
      <c r="V8" s="131"/>
      <c r="W8" s="131"/>
      <c r="X8" s="131"/>
      <c r="Y8" s="131"/>
      <c r="Z8" s="131"/>
      <c r="AA8" s="131"/>
      <c r="AB8" s="131"/>
    </row>
    <row r="9" spans="1:28">
      <c r="A9" s="119"/>
      <c r="B9" s="577" t="s">
        <v>1995</v>
      </c>
      <c r="C9" s="121">
        <f>Balanza!G799</f>
        <v>2828929198.1599998</v>
      </c>
      <c r="D9" s="121">
        <f>Balanza!G987</f>
        <v>0</v>
      </c>
      <c r="E9" s="462">
        <f t="shared" si="1"/>
        <v>2828929198.1599998</v>
      </c>
      <c r="F9" s="121">
        <f>Balanza!F1081</f>
        <v>2250233189.5900002</v>
      </c>
      <c r="G9" s="121">
        <f>Balanza!H1175</f>
        <v>2250233189.5900002</v>
      </c>
      <c r="H9" s="462">
        <f t="shared" si="3"/>
        <v>-578696008.56999969</v>
      </c>
      <c r="I9" s="131"/>
      <c r="J9" s="131"/>
      <c r="K9" s="131"/>
      <c r="L9" s="131"/>
      <c r="M9" s="131"/>
      <c r="N9" s="131"/>
      <c r="O9" s="131"/>
      <c r="P9" s="131"/>
      <c r="Q9" s="131"/>
      <c r="R9" s="131"/>
      <c r="S9" s="131"/>
      <c r="T9" s="131"/>
      <c r="U9" s="131"/>
      <c r="V9" s="131"/>
      <c r="W9" s="131"/>
      <c r="X9" s="131"/>
      <c r="Y9" s="131"/>
      <c r="Z9" s="131"/>
      <c r="AA9" s="131"/>
      <c r="AB9" s="131"/>
    </row>
    <row r="10" spans="1:28">
      <c r="A10" s="119"/>
      <c r="B10" s="577" t="s">
        <v>1997</v>
      </c>
      <c r="C10" s="121">
        <f>Balanza!G800</f>
        <v>0</v>
      </c>
      <c r="D10" s="121">
        <f>Balanza!G988</f>
        <v>0</v>
      </c>
      <c r="E10" s="462">
        <f t="shared" si="1"/>
        <v>0</v>
      </c>
      <c r="F10" s="121">
        <f>Balanza!F1082</f>
        <v>0</v>
      </c>
      <c r="G10" s="121">
        <f>Balanza!H1176</f>
        <v>0</v>
      </c>
      <c r="H10" s="462">
        <f t="shared" si="3"/>
        <v>0</v>
      </c>
      <c r="I10" s="131"/>
      <c r="J10" s="131"/>
      <c r="K10" s="131"/>
      <c r="L10" s="131"/>
      <c r="M10" s="131"/>
      <c r="N10" s="131"/>
      <c r="O10" s="131"/>
      <c r="P10" s="131"/>
      <c r="Q10" s="131"/>
      <c r="R10" s="131"/>
      <c r="S10" s="131"/>
      <c r="T10" s="131"/>
      <c r="U10" s="131"/>
      <c r="V10" s="131"/>
      <c r="W10" s="131"/>
      <c r="X10" s="131"/>
      <c r="Y10" s="131"/>
      <c r="Z10" s="131"/>
      <c r="AA10" s="131"/>
      <c r="AB10" s="131"/>
    </row>
    <row r="11" spans="1:28">
      <c r="A11" s="119"/>
      <c r="B11" s="577" t="s">
        <v>912</v>
      </c>
      <c r="C11" s="121">
        <f>Balanza!G801</f>
        <v>0</v>
      </c>
      <c r="D11" s="121">
        <f>Balanza!G989</f>
        <v>0</v>
      </c>
      <c r="E11" s="462">
        <f t="shared" si="1"/>
        <v>0</v>
      </c>
      <c r="F11" s="121">
        <f>Balanza!F1083</f>
        <v>0</v>
      </c>
      <c r="G11" s="121">
        <f>Balanza!H1177</f>
        <v>0</v>
      </c>
      <c r="H11" s="462">
        <f t="shared" si="3"/>
        <v>0</v>
      </c>
      <c r="I11" s="131"/>
      <c r="J11" s="131"/>
      <c r="K11" s="131"/>
      <c r="L11" s="131"/>
      <c r="M11" s="131"/>
      <c r="N11" s="131"/>
      <c r="O11" s="131"/>
      <c r="P11" s="131"/>
      <c r="Q11" s="131"/>
      <c r="R11" s="131"/>
      <c r="S11" s="131"/>
      <c r="T11" s="131"/>
      <c r="U11" s="131"/>
      <c r="V11" s="131"/>
      <c r="W11" s="131"/>
      <c r="X11" s="131"/>
      <c r="Y11" s="131"/>
      <c r="Z11" s="131"/>
      <c r="AA11" s="131"/>
      <c r="AB11" s="131"/>
    </row>
    <row r="12" spans="1:28">
      <c r="A12" s="119"/>
      <c r="B12" s="577" t="s">
        <v>914</v>
      </c>
      <c r="C12" s="121">
        <f>Balanza!G802</f>
        <v>0</v>
      </c>
      <c r="D12" s="121">
        <f>Balanza!G990</f>
        <v>0</v>
      </c>
      <c r="E12" s="462">
        <f t="shared" si="1"/>
        <v>0</v>
      </c>
      <c r="F12" s="121">
        <f>Balanza!F1084</f>
        <v>0</v>
      </c>
      <c r="G12" s="121">
        <f>Balanza!H1178</f>
        <v>0</v>
      </c>
      <c r="H12" s="462">
        <f t="shared" si="3"/>
        <v>0</v>
      </c>
      <c r="I12" s="131"/>
      <c r="J12" s="131"/>
      <c r="K12" s="131"/>
      <c r="L12" s="131"/>
      <c r="M12" s="131"/>
      <c r="N12" s="131"/>
      <c r="O12" s="131"/>
      <c r="P12" s="131"/>
      <c r="Q12" s="131"/>
      <c r="R12" s="131"/>
      <c r="S12" s="131"/>
      <c r="T12" s="131"/>
      <c r="U12" s="131"/>
      <c r="V12" s="131"/>
      <c r="W12" s="131"/>
      <c r="X12" s="131"/>
      <c r="Y12" s="131"/>
      <c r="Z12" s="131"/>
      <c r="AA12" s="131"/>
      <c r="AB12" s="131"/>
    </row>
    <row r="13" spans="1:28">
      <c r="A13" s="119"/>
      <c r="B13" s="577" t="s">
        <v>916</v>
      </c>
      <c r="C13" s="121">
        <f>Balanza!G803</f>
        <v>0</v>
      </c>
      <c r="D13" s="121">
        <f>Balanza!G991</f>
        <v>0</v>
      </c>
      <c r="E13" s="462">
        <f t="shared" si="1"/>
        <v>0</v>
      </c>
      <c r="F13" s="121">
        <f>Balanza!F1085</f>
        <v>0</v>
      </c>
      <c r="G13" s="121">
        <f>Balanza!H1179</f>
        <v>0</v>
      </c>
      <c r="H13" s="462">
        <f t="shared" si="3"/>
        <v>0</v>
      </c>
      <c r="I13" s="131"/>
      <c r="J13" s="131"/>
      <c r="K13" s="131"/>
      <c r="L13" s="131"/>
      <c r="M13" s="131"/>
      <c r="N13" s="131"/>
      <c r="O13" s="131"/>
      <c r="P13" s="131"/>
      <c r="Q13" s="131"/>
      <c r="R13" s="131"/>
      <c r="S13" s="131"/>
      <c r="T13" s="131"/>
      <c r="U13" s="131"/>
      <c r="V13" s="131"/>
      <c r="W13" s="131"/>
      <c r="X13" s="131"/>
      <c r="Y13" s="131"/>
      <c r="Z13" s="131"/>
      <c r="AA13" s="131"/>
      <c r="AB13" s="131"/>
    </row>
    <row r="14" spans="1:28">
      <c r="A14" s="119"/>
      <c r="B14" s="577" t="s">
        <v>2002</v>
      </c>
      <c r="C14" s="121">
        <f>Balanza!G804</f>
        <v>207773614.28</v>
      </c>
      <c r="D14" s="121">
        <f>Balanza!G992</f>
        <v>0</v>
      </c>
      <c r="E14" s="462">
        <f t="shared" si="1"/>
        <v>207773614.28</v>
      </c>
      <c r="F14" s="121">
        <f>Balanza!F1086</f>
        <v>86830113.659999996</v>
      </c>
      <c r="G14" s="121">
        <f>Balanza!H1180</f>
        <v>86830113.659999996</v>
      </c>
      <c r="H14" s="462">
        <f t="shared" si="3"/>
        <v>-120943500.62</v>
      </c>
      <c r="I14" s="131"/>
      <c r="J14" s="131"/>
      <c r="K14" s="131"/>
      <c r="L14" s="131"/>
      <c r="M14" s="131"/>
      <c r="N14" s="131"/>
      <c r="O14" s="131"/>
      <c r="P14" s="131"/>
      <c r="Q14" s="131"/>
      <c r="R14" s="131"/>
      <c r="S14" s="131"/>
      <c r="T14" s="131"/>
      <c r="U14" s="131"/>
      <c r="V14" s="131"/>
      <c r="W14" s="131"/>
      <c r="X14" s="131"/>
      <c r="Y14" s="131"/>
      <c r="Z14" s="131"/>
      <c r="AA14" s="131"/>
      <c r="AB14" s="131"/>
    </row>
    <row r="15" spans="1:28">
      <c r="A15" s="119"/>
      <c r="B15" s="577" t="s">
        <v>933</v>
      </c>
      <c r="C15" s="121">
        <f>Balanza!G805</f>
        <v>24301879.52</v>
      </c>
      <c r="D15" s="121">
        <f>Balanza!G993</f>
        <v>0</v>
      </c>
      <c r="E15" s="462">
        <f t="shared" si="1"/>
        <v>24301879.52</v>
      </c>
      <c r="F15" s="121">
        <f>Balanza!F1087</f>
        <v>17118949.239999998</v>
      </c>
      <c r="G15" s="121">
        <f>Balanza!H1181</f>
        <v>17118949.239999998</v>
      </c>
      <c r="H15" s="462">
        <f t="shared" si="3"/>
        <v>-7182930.2800000012</v>
      </c>
      <c r="I15" s="131"/>
      <c r="J15" s="131"/>
      <c r="K15" s="131"/>
      <c r="L15" s="131"/>
      <c r="M15" s="131"/>
      <c r="N15" s="131"/>
      <c r="O15" s="131"/>
      <c r="P15" s="131"/>
      <c r="Q15" s="131"/>
      <c r="R15" s="131"/>
      <c r="S15" s="131"/>
      <c r="T15" s="131"/>
      <c r="U15" s="131"/>
      <c r="V15" s="131"/>
      <c r="W15" s="131"/>
      <c r="X15" s="131"/>
      <c r="Y15" s="131"/>
      <c r="Z15" s="131"/>
      <c r="AA15" s="131"/>
      <c r="AB15" s="131"/>
    </row>
    <row r="16" spans="1:28" ht="28.5" customHeight="1">
      <c r="A16" s="119"/>
      <c r="B16" s="578" t="s">
        <v>930</v>
      </c>
      <c r="C16" s="121">
        <f>Balanza!G806</f>
        <v>0</v>
      </c>
      <c r="D16" s="121">
        <f>Balanza!G994</f>
        <v>0</v>
      </c>
      <c r="E16" s="462">
        <f t="shared" si="1"/>
        <v>0</v>
      </c>
      <c r="F16" s="121">
        <f>Balanza!F1088</f>
        <v>0</v>
      </c>
      <c r="G16" s="121">
        <f>Balanza!H1182</f>
        <v>0</v>
      </c>
      <c r="H16" s="462">
        <f t="shared" si="3"/>
        <v>0</v>
      </c>
      <c r="I16" s="131"/>
      <c r="J16" s="131"/>
      <c r="K16" s="131"/>
      <c r="L16" s="131"/>
      <c r="M16" s="131"/>
      <c r="N16" s="131"/>
      <c r="O16" s="131"/>
      <c r="P16" s="131"/>
      <c r="Q16" s="131"/>
      <c r="R16" s="131"/>
      <c r="S16" s="131"/>
      <c r="T16" s="131"/>
      <c r="U16" s="131"/>
      <c r="V16" s="131"/>
      <c r="W16" s="131"/>
      <c r="X16" s="131"/>
      <c r="Y16" s="131"/>
      <c r="Z16" s="131"/>
      <c r="AA16" s="131"/>
      <c r="AB16" s="131"/>
    </row>
    <row r="17" spans="1:28" ht="17.25" customHeight="1">
      <c r="A17" s="579" t="s">
        <v>2007</v>
      </c>
      <c r="B17" s="580"/>
      <c r="C17" s="581">
        <f t="shared" ref="C17:D17" si="4">SUM(C18:C22)</f>
        <v>0</v>
      </c>
      <c r="D17" s="581">
        <f t="shared" si="4"/>
        <v>0</v>
      </c>
      <c r="E17" s="581">
        <f t="shared" si="1"/>
        <v>0</v>
      </c>
      <c r="F17" s="581">
        <f t="shared" ref="F17:G17" si="5">SUM(F18:F22)</f>
        <v>0</v>
      </c>
      <c r="G17" s="581">
        <f t="shared" si="5"/>
        <v>0</v>
      </c>
      <c r="H17" s="581">
        <f t="shared" si="3"/>
        <v>0</v>
      </c>
      <c r="I17" s="131"/>
      <c r="J17" s="131"/>
      <c r="K17" s="131"/>
      <c r="L17" s="131"/>
      <c r="M17" s="131"/>
      <c r="N17" s="131"/>
      <c r="O17" s="131"/>
      <c r="P17" s="131"/>
      <c r="Q17" s="131"/>
      <c r="R17" s="131"/>
      <c r="S17" s="131"/>
      <c r="T17" s="131"/>
      <c r="U17" s="131"/>
      <c r="V17" s="131"/>
      <c r="W17" s="131"/>
      <c r="X17" s="131"/>
      <c r="Y17" s="131"/>
      <c r="Z17" s="131"/>
      <c r="AA17" s="131"/>
      <c r="AB17" s="131"/>
    </row>
    <row r="18" spans="1:28">
      <c r="A18" s="119"/>
      <c r="B18" s="577" t="s">
        <v>938</v>
      </c>
      <c r="C18" s="121">
        <f>Balanza!G808</f>
        <v>0</v>
      </c>
      <c r="D18" s="121">
        <f>Balanza!G996</f>
        <v>0</v>
      </c>
      <c r="E18" s="462">
        <f t="shared" si="1"/>
        <v>0</v>
      </c>
      <c r="F18" s="121">
        <f>Balanza!F1090</f>
        <v>0</v>
      </c>
      <c r="G18" s="121">
        <f>Balanza!H1184</f>
        <v>0</v>
      </c>
      <c r="H18" s="462">
        <f t="shared" si="3"/>
        <v>0</v>
      </c>
      <c r="I18" s="131"/>
      <c r="J18" s="131"/>
      <c r="K18" s="131"/>
      <c r="L18" s="131"/>
      <c r="M18" s="131"/>
      <c r="N18" s="131"/>
      <c r="O18" s="131"/>
      <c r="P18" s="131"/>
      <c r="Q18" s="131"/>
      <c r="R18" s="131"/>
      <c r="S18" s="131"/>
      <c r="T18" s="131"/>
      <c r="U18" s="131"/>
      <c r="V18" s="131"/>
      <c r="W18" s="131"/>
      <c r="X18" s="131"/>
      <c r="Y18" s="131"/>
      <c r="Z18" s="131"/>
      <c r="AA18" s="131"/>
      <c r="AB18" s="131"/>
    </row>
    <row r="19" spans="1:28">
      <c r="A19" s="119"/>
      <c r="B19" s="577" t="s">
        <v>2010</v>
      </c>
      <c r="C19" s="121">
        <f>Balanza!G809</f>
        <v>0</v>
      </c>
      <c r="D19" s="121">
        <f>Balanza!G997</f>
        <v>0</v>
      </c>
      <c r="E19" s="462">
        <f t="shared" si="1"/>
        <v>0</v>
      </c>
      <c r="F19" s="121">
        <f>Balanza!F1091</f>
        <v>0</v>
      </c>
      <c r="G19" s="121">
        <f>Balanza!H1185</f>
        <v>0</v>
      </c>
      <c r="H19" s="462">
        <f t="shared" si="3"/>
        <v>0</v>
      </c>
      <c r="I19" s="131"/>
      <c r="J19" s="131"/>
      <c r="K19" s="131"/>
      <c r="L19" s="131"/>
      <c r="M19" s="131"/>
      <c r="N19" s="131"/>
      <c r="O19" s="131"/>
      <c r="P19" s="131"/>
      <c r="Q19" s="131"/>
      <c r="R19" s="131"/>
      <c r="S19" s="131"/>
      <c r="T19" s="131"/>
      <c r="U19" s="131"/>
      <c r="V19" s="131"/>
      <c r="W19" s="131"/>
      <c r="X19" s="131"/>
      <c r="Y19" s="131"/>
      <c r="Z19" s="131"/>
      <c r="AA19" s="131"/>
      <c r="AB19" s="131"/>
    </row>
    <row r="20" spans="1:28">
      <c r="A20" s="119"/>
      <c r="B20" s="577" t="s">
        <v>942</v>
      </c>
      <c r="C20" s="121">
        <f>Balanza!G810</f>
        <v>0</v>
      </c>
      <c r="D20" s="121">
        <f>Balanza!G998</f>
        <v>0</v>
      </c>
      <c r="E20" s="462">
        <f t="shared" si="1"/>
        <v>0</v>
      </c>
      <c r="F20" s="121">
        <f>Balanza!F1092</f>
        <v>0</v>
      </c>
      <c r="G20" s="121">
        <f>Balanza!H1186</f>
        <v>0</v>
      </c>
      <c r="H20" s="462">
        <f t="shared" si="3"/>
        <v>0</v>
      </c>
      <c r="I20" s="131"/>
      <c r="J20" s="131"/>
      <c r="K20" s="131"/>
      <c r="L20" s="131"/>
      <c r="M20" s="131"/>
      <c r="N20" s="131"/>
      <c r="O20" s="131"/>
      <c r="P20" s="131"/>
      <c r="Q20" s="131"/>
      <c r="R20" s="131"/>
      <c r="S20" s="131"/>
      <c r="T20" s="131"/>
      <c r="U20" s="131"/>
      <c r="V20" s="131"/>
      <c r="W20" s="131"/>
      <c r="X20" s="131"/>
      <c r="Y20" s="131"/>
      <c r="Z20" s="131"/>
      <c r="AA20" s="131"/>
      <c r="AB20" s="131"/>
    </row>
    <row r="21" spans="1:28" ht="15.75" customHeight="1">
      <c r="A21" s="119"/>
      <c r="B21" s="577" t="s">
        <v>946</v>
      </c>
      <c r="C21" s="121">
        <f>Balanza!G811</f>
        <v>0</v>
      </c>
      <c r="D21" s="121">
        <f>Balanza!G999</f>
        <v>0</v>
      </c>
      <c r="E21" s="462">
        <f t="shared" si="1"/>
        <v>0</v>
      </c>
      <c r="F21" s="121">
        <f>Balanza!F1093</f>
        <v>0</v>
      </c>
      <c r="G21" s="121">
        <f>Balanza!H1187</f>
        <v>0</v>
      </c>
      <c r="H21" s="462">
        <f t="shared" si="3"/>
        <v>0</v>
      </c>
      <c r="I21" s="131"/>
      <c r="J21" s="131"/>
      <c r="K21" s="131"/>
      <c r="L21" s="131"/>
      <c r="M21" s="131"/>
      <c r="N21" s="131"/>
      <c r="O21" s="131"/>
      <c r="P21" s="131"/>
      <c r="Q21" s="131"/>
      <c r="R21" s="131"/>
      <c r="S21" s="131"/>
      <c r="T21" s="131"/>
      <c r="U21" s="131"/>
      <c r="V21" s="131"/>
      <c r="W21" s="131"/>
      <c r="X21" s="131"/>
      <c r="Y21" s="131"/>
      <c r="Z21" s="131"/>
      <c r="AA21" s="131"/>
      <c r="AB21" s="131"/>
    </row>
    <row r="22" spans="1:28" ht="15.75" customHeight="1">
      <c r="A22" s="119"/>
      <c r="B22" s="577" t="s">
        <v>944</v>
      </c>
      <c r="C22" s="121">
        <f>Balanza!G812</f>
        <v>0</v>
      </c>
      <c r="D22" s="121">
        <f>Balanza!G1000</f>
        <v>0</v>
      </c>
      <c r="E22" s="462">
        <f t="shared" si="1"/>
        <v>0</v>
      </c>
      <c r="F22" s="121">
        <f>Balanza!F1094</f>
        <v>0</v>
      </c>
      <c r="G22" s="121">
        <f>Balanza!H1188</f>
        <v>0</v>
      </c>
      <c r="H22" s="462">
        <f t="shared" si="3"/>
        <v>0</v>
      </c>
      <c r="I22" s="131"/>
      <c r="J22" s="131"/>
      <c r="K22" s="131"/>
      <c r="L22" s="131"/>
      <c r="M22" s="131"/>
      <c r="N22" s="131"/>
      <c r="O22" s="131"/>
      <c r="P22" s="131"/>
      <c r="Q22" s="131"/>
      <c r="R22" s="131"/>
      <c r="S22" s="131"/>
      <c r="T22" s="131"/>
      <c r="U22" s="131"/>
      <c r="V22" s="131"/>
      <c r="W22" s="131"/>
      <c r="X22" s="131"/>
      <c r="Y22" s="131"/>
      <c r="Z22" s="131"/>
      <c r="AA22" s="131"/>
      <c r="AB22" s="131"/>
    </row>
    <row r="23" spans="1:28" ht="17.25" customHeight="1">
      <c r="A23" s="579" t="s">
        <v>2015</v>
      </c>
      <c r="B23" s="580"/>
      <c r="C23" s="581">
        <f t="shared" ref="C23:D23" si="6">SUM(C24:C25)</f>
        <v>0</v>
      </c>
      <c r="D23" s="581">
        <f t="shared" si="6"/>
        <v>0</v>
      </c>
      <c r="E23" s="581">
        <f t="shared" si="1"/>
        <v>0</v>
      </c>
      <c r="F23" s="581">
        <f t="shared" ref="F23:G23" si="7">SUM(F24:F25)</f>
        <v>0</v>
      </c>
      <c r="G23" s="581">
        <f t="shared" si="7"/>
        <v>0</v>
      </c>
      <c r="H23" s="581">
        <f t="shared" si="3"/>
        <v>0</v>
      </c>
      <c r="I23" s="131"/>
      <c r="J23" s="131"/>
      <c r="K23" s="131"/>
      <c r="L23" s="131"/>
      <c r="M23" s="131"/>
      <c r="N23" s="131"/>
      <c r="O23" s="131"/>
      <c r="P23" s="131"/>
      <c r="Q23" s="131"/>
      <c r="R23" s="131"/>
      <c r="S23" s="131"/>
      <c r="T23" s="131"/>
      <c r="U23" s="131"/>
      <c r="V23" s="131"/>
      <c r="W23" s="131"/>
      <c r="X23" s="131"/>
      <c r="Y23" s="131"/>
      <c r="Z23" s="131"/>
      <c r="AA23" s="131"/>
      <c r="AB23" s="131"/>
    </row>
    <row r="24" spans="1:28" ht="15.75" customHeight="1">
      <c r="A24" s="119"/>
      <c r="B24" s="577" t="s">
        <v>952</v>
      </c>
      <c r="C24" s="121">
        <f>Balanza!G814</f>
        <v>0</v>
      </c>
      <c r="D24" s="121">
        <f>Balanza!G1002</f>
        <v>0</v>
      </c>
      <c r="E24" s="462">
        <f t="shared" si="1"/>
        <v>0</v>
      </c>
      <c r="F24" s="121">
        <f>Balanza!F1096</f>
        <v>0</v>
      </c>
      <c r="G24" s="121">
        <f>Balanza!H1190</f>
        <v>0</v>
      </c>
      <c r="H24" s="462">
        <f t="shared" si="3"/>
        <v>0</v>
      </c>
      <c r="I24" s="131"/>
      <c r="J24" s="131"/>
      <c r="K24" s="131"/>
      <c r="L24" s="131"/>
      <c r="M24" s="131"/>
      <c r="N24" s="131"/>
      <c r="O24" s="131"/>
      <c r="P24" s="131"/>
      <c r="Q24" s="131"/>
      <c r="R24" s="131"/>
      <c r="S24" s="131"/>
      <c r="T24" s="131"/>
      <c r="U24" s="131"/>
      <c r="V24" s="131"/>
      <c r="W24" s="131"/>
      <c r="X24" s="131"/>
      <c r="Y24" s="131"/>
      <c r="Z24" s="131"/>
      <c r="AA24" s="131"/>
      <c r="AB24" s="131"/>
    </row>
    <row r="25" spans="1:28" ht="28.5" customHeight="1">
      <c r="A25" s="119"/>
      <c r="B25" s="578" t="s">
        <v>954</v>
      </c>
      <c r="C25" s="121">
        <f>Balanza!G815</f>
        <v>0</v>
      </c>
      <c r="D25" s="121">
        <f>Balanza!G1003</f>
        <v>0</v>
      </c>
      <c r="E25" s="462">
        <f t="shared" si="1"/>
        <v>0</v>
      </c>
      <c r="F25" s="121">
        <f>Balanza!F1097</f>
        <v>0</v>
      </c>
      <c r="G25" s="121">
        <f>Balanza!H1191</f>
        <v>0</v>
      </c>
      <c r="H25" s="462">
        <f t="shared" si="3"/>
        <v>0</v>
      </c>
      <c r="I25" s="131"/>
      <c r="J25" s="131"/>
      <c r="K25" s="131"/>
      <c r="L25" s="131"/>
      <c r="M25" s="131"/>
      <c r="N25" s="131"/>
      <c r="O25" s="131"/>
      <c r="P25" s="131"/>
      <c r="Q25" s="131"/>
      <c r="R25" s="131"/>
      <c r="S25" s="131"/>
      <c r="T25" s="131"/>
      <c r="U25" s="131"/>
      <c r="V25" s="131"/>
      <c r="W25" s="131"/>
      <c r="X25" s="131"/>
      <c r="Y25" s="131"/>
      <c r="Z25" s="131"/>
      <c r="AA25" s="131"/>
      <c r="AB25" s="131"/>
    </row>
    <row r="26" spans="1:28" ht="17.25" customHeight="1">
      <c r="A26" s="579" t="s">
        <v>2020</v>
      </c>
      <c r="B26" s="580"/>
      <c r="C26" s="581">
        <f t="shared" ref="C26:D26" si="8">SUM(C27:C32)</f>
        <v>1614044241.5100002</v>
      </c>
      <c r="D26" s="581">
        <f t="shared" si="8"/>
        <v>0</v>
      </c>
      <c r="E26" s="581">
        <f t="shared" si="1"/>
        <v>1614044241.5100002</v>
      </c>
      <c r="F26" s="581">
        <f t="shared" ref="F26:G26" si="9">SUM(F27:F32)</f>
        <v>677173940.41000009</v>
      </c>
      <c r="G26" s="581">
        <f t="shared" si="9"/>
        <v>677173940.41000009</v>
      </c>
      <c r="H26" s="581">
        <f t="shared" si="3"/>
        <v>-936870301.10000014</v>
      </c>
      <c r="I26" s="131"/>
      <c r="J26" s="131"/>
      <c r="K26" s="131"/>
      <c r="L26" s="131"/>
      <c r="M26" s="131"/>
      <c r="N26" s="131"/>
      <c r="O26" s="131"/>
      <c r="P26" s="131"/>
      <c r="Q26" s="131"/>
      <c r="R26" s="131"/>
      <c r="S26" s="131"/>
      <c r="T26" s="131"/>
      <c r="U26" s="131"/>
      <c r="V26" s="131"/>
      <c r="W26" s="131"/>
      <c r="X26" s="131"/>
      <c r="Y26" s="131"/>
      <c r="Z26" s="131"/>
      <c r="AA26" s="131"/>
      <c r="AB26" s="131"/>
    </row>
    <row r="27" spans="1:28" ht="15.75" customHeight="1">
      <c r="A27" s="119"/>
      <c r="B27" s="578" t="s">
        <v>959</v>
      </c>
      <c r="C27" s="121">
        <f>Balanza!G817</f>
        <v>396294786.63999999</v>
      </c>
      <c r="D27" s="121">
        <f>Balanza!G1005</f>
        <v>0</v>
      </c>
      <c r="E27" s="462">
        <f t="shared" si="1"/>
        <v>396294786.63999999</v>
      </c>
      <c r="F27" s="121">
        <f>Balanza!F1099</f>
        <v>222437491.43000001</v>
      </c>
      <c r="G27" s="121">
        <f>Balanza!H1193</f>
        <v>222437491.43000001</v>
      </c>
      <c r="H27" s="462">
        <f t="shared" si="3"/>
        <v>-173857295.20999998</v>
      </c>
      <c r="I27" s="131"/>
      <c r="J27" s="131"/>
      <c r="K27" s="131"/>
      <c r="L27" s="131"/>
      <c r="M27" s="131"/>
      <c r="N27" s="131"/>
      <c r="O27" s="131"/>
      <c r="P27" s="131"/>
      <c r="Q27" s="131"/>
      <c r="R27" s="131"/>
      <c r="S27" s="131"/>
      <c r="T27" s="131"/>
      <c r="U27" s="131"/>
      <c r="V27" s="131"/>
      <c r="W27" s="131"/>
      <c r="X27" s="131"/>
      <c r="Y27" s="131"/>
      <c r="Z27" s="131"/>
      <c r="AA27" s="131"/>
      <c r="AB27" s="131"/>
    </row>
    <row r="28" spans="1:28" ht="15.75" customHeight="1">
      <c r="A28" s="119"/>
      <c r="B28" s="578" t="s">
        <v>2023</v>
      </c>
      <c r="C28" s="121">
        <f>Balanza!G818</f>
        <v>0</v>
      </c>
      <c r="D28" s="121">
        <f>Balanza!G1006</f>
        <v>0</v>
      </c>
      <c r="E28" s="462">
        <f t="shared" si="1"/>
        <v>0</v>
      </c>
      <c r="F28" s="121">
        <f>Balanza!F1100</f>
        <v>0</v>
      </c>
      <c r="G28" s="121">
        <f>Balanza!H1194</f>
        <v>0</v>
      </c>
      <c r="H28" s="462">
        <f t="shared" si="3"/>
        <v>0</v>
      </c>
      <c r="I28" s="131"/>
      <c r="J28" s="131"/>
      <c r="K28" s="131"/>
      <c r="L28" s="131"/>
      <c r="M28" s="131"/>
      <c r="N28" s="131"/>
      <c r="O28" s="131"/>
      <c r="P28" s="131"/>
      <c r="Q28" s="131"/>
      <c r="R28" s="131"/>
      <c r="S28" s="131"/>
      <c r="T28" s="131"/>
      <c r="U28" s="131"/>
      <c r="V28" s="131"/>
      <c r="W28" s="131"/>
      <c r="X28" s="131"/>
      <c r="Y28" s="131"/>
      <c r="Z28" s="131"/>
      <c r="AA28" s="131"/>
      <c r="AB28" s="131"/>
    </row>
    <row r="29" spans="1:28" ht="15.75" customHeight="1">
      <c r="A29" s="119"/>
      <c r="B29" s="578" t="s">
        <v>971</v>
      </c>
      <c r="C29" s="121">
        <f>Balanza!G819</f>
        <v>1106684106.9300001</v>
      </c>
      <c r="D29" s="121">
        <f>Balanza!G1007</f>
        <v>0</v>
      </c>
      <c r="E29" s="462">
        <f t="shared" si="1"/>
        <v>1106684106.9300001</v>
      </c>
      <c r="F29" s="121">
        <f>Balanza!F1101</f>
        <v>400082601.66000003</v>
      </c>
      <c r="G29" s="121">
        <f>Balanza!H1195</f>
        <v>400082601.66000003</v>
      </c>
      <c r="H29" s="462">
        <f t="shared" si="3"/>
        <v>-706601505.26999998</v>
      </c>
      <c r="I29" s="131"/>
      <c r="J29" s="131"/>
      <c r="K29" s="131"/>
      <c r="L29" s="131"/>
      <c r="M29" s="131"/>
      <c r="N29" s="131"/>
      <c r="O29" s="131"/>
      <c r="P29" s="131"/>
      <c r="Q29" s="131"/>
      <c r="R29" s="131"/>
      <c r="S29" s="131"/>
      <c r="T29" s="131"/>
      <c r="U29" s="131"/>
      <c r="V29" s="131"/>
      <c r="W29" s="131"/>
      <c r="X29" s="131"/>
      <c r="Y29" s="131"/>
      <c r="Z29" s="131"/>
      <c r="AA29" s="131"/>
      <c r="AB29" s="131"/>
    </row>
    <row r="30" spans="1:28" ht="15.75" customHeight="1">
      <c r="A30" s="119"/>
      <c r="B30" s="578" t="s">
        <v>1011</v>
      </c>
      <c r="C30" s="121">
        <f>Balanza!G820</f>
        <v>67994773.439999998</v>
      </c>
      <c r="D30" s="121">
        <f>Balanza!G1008</f>
        <v>0</v>
      </c>
      <c r="E30" s="462">
        <f t="shared" si="1"/>
        <v>67994773.439999998</v>
      </c>
      <c r="F30" s="121">
        <f>Balanza!F1102</f>
        <v>33195164.48</v>
      </c>
      <c r="G30" s="121">
        <f>Balanza!H1196</f>
        <v>33195164.48</v>
      </c>
      <c r="H30" s="462">
        <f t="shared" si="3"/>
        <v>-34799608.959999993</v>
      </c>
      <c r="I30" s="131"/>
      <c r="J30" s="131"/>
      <c r="K30" s="131"/>
      <c r="L30" s="131"/>
      <c r="M30" s="131"/>
      <c r="N30" s="131"/>
      <c r="O30" s="131"/>
      <c r="P30" s="131"/>
      <c r="Q30" s="131"/>
      <c r="R30" s="131"/>
      <c r="S30" s="131"/>
      <c r="T30" s="131"/>
      <c r="U30" s="131"/>
      <c r="V30" s="131"/>
      <c r="W30" s="131"/>
      <c r="X30" s="131"/>
      <c r="Y30" s="131"/>
      <c r="Z30" s="131"/>
      <c r="AA30" s="131"/>
      <c r="AB30" s="131"/>
    </row>
    <row r="31" spans="1:28" ht="15.75" customHeight="1">
      <c r="A31" s="119"/>
      <c r="B31" s="578" t="s">
        <v>2002</v>
      </c>
      <c r="C31" s="121">
        <f>Balanza!G821</f>
        <v>43070574.5</v>
      </c>
      <c r="D31" s="121">
        <f>Balanza!G1009</f>
        <v>0</v>
      </c>
      <c r="E31" s="462">
        <f t="shared" si="1"/>
        <v>43070574.5</v>
      </c>
      <c r="F31" s="121">
        <f>Balanza!F1103</f>
        <v>21458682.84</v>
      </c>
      <c r="G31" s="121">
        <f>Balanza!H1197</f>
        <v>21458682.84</v>
      </c>
      <c r="H31" s="462">
        <f t="shared" si="3"/>
        <v>-21611891.66</v>
      </c>
      <c r="I31" s="131"/>
      <c r="J31" s="131"/>
      <c r="K31" s="131"/>
      <c r="L31" s="131"/>
      <c r="M31" s="131"/>
      <c r="N31" s="131"/>
      <c r="O31" s="131"/>
      <c r="P31" s="131"/>
      <c r="Q31" s="131"/>
      <c r="R31" s="131"/>
      <c r="S31" s="131"/>
      <c r="T31" s="131"/>
      <c r="U31" s="131"/>
      <c r="V31" s="131"/>
      <c r="W31" s="131"/>
      <c r="X31" s="131"/>
      <c r="Y31" s="131"/>
      <c r="Z31" s="131"/>
      <c r="AA31" s="131"/>
      <c r="AB31" s="131"/>
    </row>
    <row r="32" spans="1:28" ht="31.5" customHeight="1">
      <c r="A32" s="119"/>
      <c r="B32" s="578" t="s">
        <v>1008</v>
      </c>
      <c r="C32" s="121">
        <f>Balanza!G822</f>
        <v>0</v>
      </c>
      <c r="D32" s="121">
        <f>Balanza!G1010</f>
        <v>0</v>
      </c>
      <c r="E32" s="462">
        <f t="shared" si="1"/>
        <v>0</v>
      </c>
      <c r="F32" s="121">
        <f>Balanza!F1104</f>
        <v>0</v>
      </c>
      <c r="G32" s="121">
        <f>Balanza!H1198</f>
        <v>0</v>
      </c>
      <c r="H32" s="462">
        <f t="shared" si="3"/>
        <v>0</v>
      </c>
      <c r="I32" s="131"/>
      <c r="J32" s="131"/>
      <c r="K32" s="131"/>
      <c r="L32" s="131"/>
      <c r="M32" s="131"/>
      <c r="N32" s="131"/>
      <c r="O32" s="131"/>
      <c r="P32" s="131"/>
      <c r="Q32" s="131"/>
      <c r="R32" s="131"/>
      <c r="S32" s="131"/>
      <c r="T32" s="131"/>
      <c r="U32" s="131"/>
      <c r="V32" s="131"/>
      <c r="W32" s="131"/>
      <c r="X32" s="131"/>
      <c r="Y32" s="131"/>
      <c r="Z32" s="131"/>
      <c r="AA32" s="131"/>
      <c r="AB32" s="131"/>
    </row>
    <row r="33" spans="1:28" ht="17.25" customHeight="1">
      <c r="A33" s="579" t="s">
        <v>1016</v>
      </c>
      <c r="B33" s="580"/>
      <c r="C33" s="581">
        <f t="shared" ref="C33:D33" si="10">SUM(C34:C36)</f>
        <v>178061060.72</v>
      </c>
      <c r="D33" s="581">
        <f t="shared" si="10"/>
        <v>0</v>
      </c>
      <c r="E33" s="581">
        <f t="shared" si="1"/>
        <v>178061060.72</v>
      </c>
      <c r="F33" s="581">
        <f t="shared" ref="F33:G33" si="11">SUM(F34:F36)</f>
        <v>100037434.66</v>
      </c>
      <c r="G33" s="581">
        <f t="shared" si="11"/>
        <v>100037434.66</v>
      </c>
      <c r="H33" s="581">
        <f t="shared" si="3"/>
        <v>-78023626.060000002</v>
      </c>
      <c r="I33" s="131"/>
      <c r="J33" s="131"/>
      <c r="K33" s="131"/>
      <c r="L33" s="131"/>
      <c r="M33" s="131"/>
      <c r="N33" s="131"/>
      <c r="O33" s="131"/>
      <c r="P33" s="131"/>
      <c r="Q33" s="131"/>
      <c r="R33" s="131"/>
      <c r="S33" s="131"/>
      <c r="T33" s="131"/>
      <c r="U33" s="131"/>
      <c r="V33" s="131"/>
      <c r="W33" s="131"/>
      <c r="X33" s="131"/>
      <c r="Y33" s="131"/>
      <c r="Z33" s="131"/>
      <c r="AA33" s="131"/>
      <c r="AB33" s="131"/>
    </row>
    <row r="34" spans="1:28" ht="15.75" customHeight="1">
      <c r="A34" s="119"/>
      <c r="B34" s="577" t="s">
        <v>1016</v>
      </c>
      <c r="C34" s="121">
        <f>Balanza!G824</f>
        <v>178061060.72</v>
      </c>
      <c r="D34" s="121">
        <f>Balanza!G1012</f>
        <v>0</v>
      </c>
      <c r="E34" s="462">
        <f t="shared" si="1"/>
        <v>178061060.72</v>
      </c>
      <c r="F34" s="121">
        <f>Balanza!F1106</f>
        <v>100037434.66</v>
      </c>
      <c r="G34" s="121">
        <f>Balanza!H1200</f>
        <v>100037434.66</v>
      </c>
      <c r="H34" s="462">
        <f t="shared" si="3"/>
        <v>-78023626.060000002</v>
      </c>
      <c r="I34" s="131"/>
      <c r="J34" s="131"/>
      <c r="K34" s="131"/>
      <c r="L34" s="131"/>
      <c r="M34" s="131"/>
      <c r="N34" s="131"/>
      <c r="O34" s="131"/>
      <c r="P34" s="131"/>
      <c r="Q34" s="131"/>
      <c r="R34" s="131"/>
      <c r="S34" s="131"/>
      <c r="T34" s="131"/>
      <c r="U34" s="131"/>
      <c r="V34" s="131"/>
      <c r="W34" s="131"/>
      <c r="X34" s="131"/>
      <c r="Y34" s="131"/>
      <c r="Z34" s="131"/>
      <c r="AA34" s="131"/>
      <c r="AB34" s="131"/>
    </row>
    <row r="35" spans="1:28" ht="15.75" customHeight="1">
      <c r="A35" s="582"/>
      <c r="B35" s="577" t="s">
        <v>2032</v>
      </c>
      <c r="C35" s="121">
        <f>Balanza!G825</f>
        <v>0</v>
      </c>
      <c r="D35" s="121">
        <f>Balanza!G1013</f>
        <v>0</v>
      </c>
      <c r="E35" s="462">
        <f t="shared" si="1"/>
        <v>0</v>
      </c>
      <c r="F35" s="121">
        <f>Balanza!F1107</f>
        <v>0</v>
      </c>
      <c r="G35" s="121">
        <f>Balanza!H1201</f>
        <v>0</v>
      </c>
      <c r="H35" s="462">
        <f t="shared" si="3"/>
        <v>0</v>
      </c>
      <c r="I35" s="131"/>
      <c r="J35" s="131"/>
      <c r="K35" s="131"/>
      <c r="L35" s="131"/>
      <c r="M35" s="131"/>
      <c r="N35" s="131"/>
      <c r="O35" s="131"/>
      <c r="P35" s="131"/>
      <c r="Q35" s="131"/>
      <c r="R35" s="131"/>
      <c r="S35" s="131"/>
      <c r="T35" s="131"/>
      <c r="U35" s="131"/>
      <c r="V35" s="131"/>
      <c r="W35" s="131"/>
      <c r="X35" s="131"/>
      <c r="Y35" s="131"/>
      <c r="Z35" s="131"/>
      <c r="AA35" s="131"/>
      <c r="AB35" s="131"/>
    </row>
    <row r="36" spans="1:28" ht="31.5" customHeight="1">
      <c r="A36" s="582"/>
      <c r="B36" s="578" t="s">
        <v>2034</v>
      </c>
      <c r="C36" s="121">
        <f>Balanza!G826</f>
        <v>0</v>
      </c>
      <c r="D36" s="121">
        <f>Balanza!G1014</f>
        <v>0</v>
      </c>
      <c r="E36" s="462">
        <f t="shared" si="1"/>
        <v>0</v>
      </c>
      <c r="F36" s="121">
        <f>Balanza!F1108</f>
        <v>0</v>
      </c>
      <c r="G36" s="121">
        <f>Balanza!H1202</f>
        <v>0</v>
      </c>
      <c r="H36" s="462">
        <f t="shared" si="3"/>
        <v>0</v>
      </c>
      <c r="I36" s="131"/>
      <c r="J36" s="131"/>
      <c r="K36" s="131"/>
      <c r="L36" s="131"/>
      <c r="M36" s="131"/>
      <c r="N36" s="131"/>
      <c r="O36" s="131"/>
      <c r="P36" s="131"/>
      <c r="Q36" s="131"/>
      <c r="R36" s="131"/>
      <c r="S36" s="131"/>
      <c r="T36" s="131"/>
      <c r="U36" s="131"/>
      <c r="V36" s="131"/>
      <c r="W36" s="131"/>
      <c r="X36" s="131"/>
      <c r="Y36" s="131"/>
      <c r="Z36" s="131"/>
      <c r="AA36" s="131"/>
      <c r="AB36" s="131"/>
    </row>
    <row r="37" spans="1:28" ht="17.25" customHeight="1">
      <c r="A37" s="579" t="s">
        <v>2036</v>
      </c>
      <c r="B37" s="580"/>
      <c r="C37" s="581">
        <f t="shared" ref="C37:D37" si="12">SUM(C38:C41)</f>
        <v>112985915.93000001</v>
      </c>
      <c r="D37" s="581">
        <f t="shared" si="12"/>
        <v>0</v>
      </c>
      <c r="E37" s="581">
        <f t="shared" si="1"/>
        <v>112985915.93000001</v>
      </c>
      <c r="F37" s="581">
        <f t="shared" ref="F37:G37" si="13">SUM(F38:F41)</f>
        <v>87159634.730000004</v>
      </c>
      <c r="G37" s="581">
        <f t="shared" si="13"/>
        <v>87159634.730000004</v>
      </c>
      <c r="H37" s="581">
        <f t="shared" si="3"/>
        <v>-25826281.200000003</v>
      </c>
      <c r="I37" s="131"/>
      <c r="J37" s="131"/>
      <c r="K37" s="131"/>
      <c r="L37" s="131"/>
      <c r="M37" s="131"/>
      <c r="N37" s="131"/>
      <c r="O37" s="131"/>
      <c r="P37" s="131"/>
      <c r="Q37" s="131"/>
      <c r="R37" s="131"/>
      <c r="S37" s="131"/>
      <c r="T37" s="131"/>
      <c r="U37" s="131"/>
      <c r="V37" s="131"/>
      <c r="W37" s="131"/>
      <c r="X37" s="131"/>
      <c r="Y37" s="131"/>
      <c r="Z37" s="131"/>
      <c r="AA37" s="131"/>
      <c r="AB37" s="131"/>
    </row>
    <row r="38" spans="1:28" ht="15.75" customHeight="1">
      <c r="A38" s="119"/>
      <c r="B38" s="577" t="s">
        <v>2036</v>
      </c>
      <c r="C38" s="121">
        <f>Balanza!G828</f>
        <v>112335191.26000001</v>
      </c>
      <c r="D38" s="121">
        <f>Balanza!G1016</f>
        <v>0</v>
      </c>
      <c r="E38" s="462">
        <f t="shared" si="1"/>
        <v>112335191.26000001</v>
      </c>
      <c r="F38" s="121">
        <f>Balanza!F1110</f>
        <v>86943294.030000001</v>
      </c>
      <c r="G38" s="121">
        <f>Balanza!H1204</f>
        <v>86943294.030000001</v>
      </c>
      <c r="H38" s="462">
        <f t="shared" si="3"/>
        <v>-25391897.230000004</v>
      </c>
      <c r="I38" s="131"/>
      <c r="J38" s="131"/>
      <c r="K38" s="131"/>
      <c r="L38" s="131"/>
      <c r="M38" s="131"/>
      <c r="N38" s="131"/>
      <c r="O38" s="131"/>
      <c r="P38" s="131"/>
      <c r="Q38" s="131"/>
      <c r="R38" s="131"/>
      <c r="S38" s="131"/>
      <c r="T38" s="131"/>
      <c r="U38" s="131"/>
      <c r="V38" s="131"/>
      <c r="W38" s="131"/>
      <c r="X38" s="131"/>
      <c r="Y38" s="131"/>
      <c r="Z38" s="131"/>
      <c r="AA38" s="131"/>
      <c r="AB38" s="131"/>
    </row>
    <row r="39" spans="1:28" ht="15.75" customHeight="1">
      <c r="A39" s="582"/>
      <c r="B39" s="577" t="s">
        <v>2039</v>
      </c>
      <c r="C39" s="121">
        <f>Balanza!G829</f>
        <v>0</v>
      </c>
      <c r="D39" s="121">
        <f>Balanza!G1017</f>
        <v>0</v>
      </c>
      <c r="E39" s="462">
        <f t="shared" si="1"/>
        <v>0</v>
      </c>
      <c r="F39" s="121">
        <f>Balanza!F1111</f>
        <v>0</v>
      </c>
      <c r="G39" s="121">
        <f>Balanza!H1205</f>
        <v>0</v>
      </c>
      <c r="H39" s="462">
        <f t="shared" si="3"/>
        <v>0</v>
      </c>
      <c r="I39" s="131"/>
      <c r="J39" s="131"/>
      <c r="K39" s="131"/>
      <c r="L39" s="131"/>
      <c r="M39" s="131"/>
      <c r="N39" s="131"/>
      <c r="O39" s="131"/>
      <c r="P39" s="131"/>
      <c r="Q39" s="131"/>
      <c r="R39" s="131"/>
      <c r="S39" s="131"/>
      <c r="T39" s="131"/>
      <c r="U39" s="131"/>
      <c r="V39" s="131"/>
      <c r="W39" s="131"/>
      <c r="X39" s="131"/>
      <c r="Y39" s="131"/>
      <c r="Z39" s="131"/>
      <c r="AA39" s="131"/>
      <c r="AB39" s="131"/>
    </row>
    <row r="40" spans="1:28" ht="15.75" customHeight="1">
      <c r="A40" s="582"/>
      <c r="B40" s="577" t="s">
        <v>2041</v>
      </c>
      <c r="C40" s="121">
        <f>Balanza!G830</f>
        <v>650724.67000000004</v>
      </c>
      <c r="D40" s="121">
        <f>Balanza!G1018</f>
        <v>0</v>
      </c>
      <c r="E40" s="462">
        <f t="shared" si="1"/>
        <v>650724.67000000004</v>
      </c>
      <c r="F40" s="121">
        <f>Balanza!F1112</f>
        <v>216224.7</v>
      </c>
      <c r="G40" s="121">
        <f>Balanza!H1206</f>
        <v>216224.7</v>
      </c>
      <c r="H40" s="462">
        <f t="shared" si="3"/>
        <v>-434499.97000000003</v>
      </c>
      <c r="I40" s="131"/>
      <c r="J40" s="131"/>
      <c r="K40" s="131"/>
      <c r="L40" s="131"/>
      <c r="M40" s="131"/>
      <c r="N40" s="131"/>
      <c r="O40" s="131"/>
      <c r="P40" s="131"/>
      <c r="Q40" s="131"/>
      <c r="R40" s="131"/>
      <c r="S40" s="131"/>
      <c r="T40" s="131"/>
      <c r="U40" s="131"/>
      <c r="V40" s="131"/>
      <c r="W40" s="131"/>
      <c r="X40" s="131"/>
      <c r="Y40" s="131"/>
      <c r="Z40" s="131"/>
      <c r="AA40" s="131"/>
      <c r="AB40" s="131"/>
    </row>
    <row r="41" spans="1:28" ht="31.5" customHeight="1">
      <c r="A41" s="582"/>
      <c r="B41" s="578" t="s">
        <v>1046</v>
      </c>
      <c r="C41" s="121">
        <f>Balanza!G831</f>
        <v>0</v>
      </c>
      <c r="D41" s="121">
        <f>Balanza!G1019</f>
        <v>0</v>
      </c>
      <c r="E41" s="462">
        <f t="shared" si="1"/>
        <v>0</v>
      </c>
      <c r="F41" s="121">
        <f>Balanza!F1113</f>
        <v>116</v>
      </c>
      <c r="G41" s="121">
        <f>Balanza!H1207</f>
        <v>116</v>
      </c>
      <c r="H41" s="462">
        <f t="shared" si="3"/>
        <v>116</v>
      </c>
      <c r="I41" s="131"/>
      <c r="J41" s="131"/>
      <c r="K41" s="131"/>
      <c r="L41" s="131"/>
      <c r="M41" s="131"/>
      <c r="N41" s="131"/>
      <c r="O41" s="131"/>
      <c r="P41" s="131"/>
      <c r="Q41" s="131"/>
      <c r="R41" s="131"/>
      <c r="S41" s="131"/>
      <c r="T41" s="131"/>
      <c r="U41" s="131"/>
      <c r="V41" s="131"/>
      <c r="W41" s="131"/>
      <c r="X41" s="131"/>
      <c r="Y41" s="131"/>
      <c r="Z41" s="131"/>
      <c r="AA41" s="131"/>
      <c r="AB41" s="131"/>
    </row>
    <row r="42" spans="1:28" ht="17.25" customHeight="1">
      <c r="A42" s="579" t="s">
        <v>2044</v>
      </c>
      <c r="B42" s="580"/>
      <c r="C42" s="581">
        <f t="shared" ref="C42:D42" si="14">SUM(C43:C51)</f>
        <v>0</v>
      </c>
      <c r="D42" s="581">
        <f t="shared" si="14"/>
        <v>0</v>
      </c>
      <c r="E42" s="581">
        <f t="shared" si="1"/>
        <v>0</v>
      </c>
      <c r="F42" s="581">
        <f t="shared" ref="F42:G42" si="15">SUM(F43:F51)</f>
        <v>0</v>
      </c>
      <c r="G42" s="581">
        <f t="shared" si="15"/>
        <v>0</v>
      </c>
      <c r="H42" s="581">
        <f t="shared" si="3"/>
        <v>0</v>
      </c>
      <c r="I42" s="131"/>
      <c r="J42" s="131"/>
      <c r="K42" s="131"/>
      <c r="L42" s="131"/>
      <c r="M42" s="131"/>
      <c r="N42" s="131"/>
      <c r="O42" s="131"/>
      <c r="P42" s="131"/>
      <c r="Q42" s="131"/>
      <c r="R42" s="131"/>
      <c r="S42" s="131"/>
      <c r="T42" s="131"/>
      <c r="U42" s="131"/>
      <c r="V42" s="131"/>
      <c r="W42" s="131"/>
      <c r="X42" s="131"/>
      <c r="Y42" s="131"/>
      <c r="Z42" s="131"/>
      <c r="AA42" s="131"/>
      <c r="AB42" s="131"/>
    </row>
    <row r="43" spans="1:28" ht="15.75" customHeight="1">
      <c r="A43" s="119"/>
      <c r="B43" s="578" t="s">
        <v>1065</v>
      </c>
      <c r="C43" s="121">
        <f>Balanza!G833</f>
        <v>0</v>
      </c>
      <c r="D43" s="121">
        <f>Balanza!G1021</f>
        <v>0</v>
      </c>
      <c r="E43" s="462">
        <f t="shared" si="1"/>
        <v>0</v>
      </c>
      <c r="F43" s="121">
        <f>Balanza!F1115</f>
        <v>0</v>
      </c>
      <c r="G43" s="121">
        <f>Balanza!H1209</f>
        <v>0</v>
      </c>
      <c r="H43" s="462">
        <f t="shared" si="3"/>
        <v>0</v>
      </c>
      <c r="I43" s="131"/>
      <c r="J43" s="131"/>
      <c r="K43" s="131"/>
      <c r="L43" s="131"/>
      <c r="M43" s="131"/>
      <c r="N43" s="131"/>
      <c r="O43" s="131"/>
      <c r="P43" s="131"/>
      <c r="Q43" s="131"/>
      <c r="R43" s="131"/>
      <c r="S43" s="131"/>
      <c r="T43" s="131"/>
      <c r="U43" s="131"/>
      <c r="V43" s="131"/>
      <c r="W43" s="131"/>
      <c r="X43" s="131"/>
      <c r="Y43" s="131"/>
      <c r="Z43" s="131"/>
      <c r="AA43" s="131"/>
      <c r="AB43" s="131"/>
    </row>
    <row r="44" spans="1:28" ht="15.75" customHeight="1">
      <c r="A44" s="583"/>
      <c r="B44" s="578" t="s">
        <v>1067</v>
      </c>
      <c r="C44" s="121">
        <f>Balanza!G834</f>
        <v>0</v>
      </c>
      <c r="D44" s="121">
        <f>Balanza!G1022</f>
        <v>0</v>
      </c>
      <c r="E44" s="462">
        <f t="shared" si="1"/>
        <v>0</v>
      </c>
      <c r="F44" s="121">
        <f>Balanza!F1116</f>
        <v>0</v>
      </c>
      <c r="G44" s="121">
        <f>Balanza!H1210</f>
        <v>0</v>
      </c>
      <c r="H44" s="462">
        <f t="shared" si="3"/>
        <v>0</v>
      </c>
      <c r="I44" s="131"/>
      <c r="J44" s="131"/>
      <c r="K44" s="131"/>
      <c r="L44" s="131"/>
      <c r="M44" s="131"/>
      <c r="N44" s="131"/>
      <c r="O44" s="131"/>
      <c r="P44" s="131"/>
      <c r="Q44" s="131"/>
      <c r="R44" s="131"/>
      <c r="S44" s="131"/>
      <c r="T44" s="131"/>
      <c r="U44" s="131"/>
      <c r="V44" s="131"/>
      <c r="W44" s="131"/>
      <c r="X44" s="131"/>
      <c r="Y44" s="131"/>
      <c r="Z44" s="131"/>
      <c r="AA44" s="131"/>
      <c r="AB44" s="131"/>
    </row>
    <row r="45" spans="1:28" ht="31.5" customHeight="1">
      <c r="A45" s="583"/>
      <c r="B45" s="578" t="s">
        <v>1069</v>
      </c>
      <c r="C45" s="121">
        <f>Balanza!G835</f>
        <v>0</v>
      </c>
      <c r="D45" s="121">
        <f>Balanza!G1023</f>
        <v>0</v>
      </c>
      <c r="E45" s="462">
        <f t="shared" si="1"/>
        <v>0</v>
      </c>
      <c r="F45" s="121">
        <f>Balanza!F1117</f>
        <v>0</v>
      </c>
      <c r="G45" s="121">
        <f>Balanza!H1211</f>
        <v>0</v>
      </c>
      <c r="H45" s="462">
        <f t="shared" si="3"/>
        <v>0</v>
      </c>
      <c r="I45" s="131"/>
      <c r="J45" s="131"/>
      <c r="K45" s="131"/>
      <c r="L45" s="131"/>
      <c r="M45" s="131"/>
      <c r="N45" s="131"/>
      <c r="O45" s="131"/>
      <c r="P45" s="131"/>
      <c r="Q45" s="131"/>
      <c r="R45" s="131"/>
      <c r="S45" s="131"/>
      <c r="T45" s="131"/>
      <c r="U45" s="131"/>
      <c r="V45" s="131"/>
      <c r="W45" s="131"/>
      <c r="X45" s="131"/>
      <c r="Y45" s="131"/>
      <c r="Z45" s="131"/>
      <c r="AA45" s="131"/>
      <c r="AB45" s="131"/>
    </row>
    <row r="46" spans="1:28" ht="31.5" customHeight="1">
      <c r="A46" s="583"/>
      <c r="B46" s="578" t="s">
        <v>2049</v>
      </c>
      <c r="C46" s="121">
        <f>Balanza!G836</f>
        <v>0</v>
      </c>
      <c r="D46" s="121">
        <f>Balanza!G1024</f>
        <v>0</v>
      </c>
      <c r="E46" s="462">
        <f t="shared" si="1"/>
        <v>0</v>
      </c>
      <c r="F46" s="121">
        <f>Balanza!F1118</f>
        <v>0</v>
      </c>
      <c r="G46" s="121">
        <f>Balanza!H1212</f>
        <v>0</v>
      </c>
      <c r="H46" s="462">
        <f t="shared" si="3"/>
        <v>0</v>
      </c>
      <c r="I46" s="131"/>
      <c r="J46" s="131"/>
      <c r="K46" s="131"/>
      <c r="L46" s="131"/>
      <c r="M46" s="131"/>
      <c r="N46" s="131"/>
      <c r="O46" s="131"/>
      <c r="P46" s="131"/>
      <c r="Q46" s="131"/>
      <c r="R46" s="131"/>
      <c r="S46" s="131"/>
      <c r="T46" s="131"/>
      <c r="U46" s="131"/>
      <c r="V46" s="131"/>
      <c r="W46" s="131"/>
      <c r="X46" s="131"/>
      <c r="Y46" s="131"/>
      <c r="Z46" s="131"/>
      <c r="AA46" s="131"/>
      <c r="AB46" s="131"/>
    </row>
    <row r="47" spans="1:28" ht="31.5" customHeight="1">
      <c r="A47" s="583"/>
      <c r="B47" s="578" t="s">
        <v>1074</v>
      </c>
      <c r="C47" s="121">
        <f>Balanza!G837</f>
        <v>0</v>
      </c>
      <c r="D47" s="121">
        <f>Balanza!G1025</f>
        <v>0</v>
      </c>
      <c r="E47" s="462">
        <f t="shared" si="1"/>
        <v>0</v>
      </c>
      <c r="F47" s="121">
        <f>Balanza!F1119</f>
        <v>0</v>
      </c>
      <c r="G47" s="121">
        <f>Balanza!H1213</f>
        <v>0</v>
      </c>
      <c r="H47" s="462">
        <f t="shared" si="3"/>
        <v>0</v>
      </c>
      <c r="I47" s="131"/>
      <c r="J47" s="131"/>
      <c r="K47" s="131"/>
      <c r="L47" s="131"/>
      <c r="M47" s="131"/>
      <c r="N47" s="131"/>
      <c r="O47" s="131"/>
      <c r="P47" s="131"/>
      <c r="Q47" s="131"/>
      <c r="R47" s="131"/>
      <c r="S47" s="131"/>
      <c r="T47" s="131"/>
      <c r="U47" s="131"/>
      <c r="V47" s="131"/>
      <c r="W47" s="131"/>
      <c r="X47" s="131"/>
      <c r="Y47" s="131"/>
      <c r="Z47" s="131"/>
      <c r="AA47" s="131"/>
      <c r="AB47" s="131"/>
    </row>
    <row r="48" spans="1:28" ht="31.5" customHeight="1">
      <c r="A48" s="583"/>
      <c r="B48" s="578" t="s">
        <v>1076</v>
      </c>
      <c r="C48" s="121">
        <f>Balanza!G838</f>
        <v>0</v>
      </c>
      <c r="D48" s="121">
        <f>Balanza!G1026</f>
        <v>0</v>
      </c>
      <c r="E48" s="462">
        <f t="shared" si="1"/>
        <v>0</v>
      </c>
      <c r="F48" s="121">
        <f>Balanza!F1120</f>
        <v>0</v>
      </c>
      <c r="G48" s="121">
        <f>Balanza!H1214</f>
        <v>0</v>
      </c>
      <c r="H48" s="462">
        <f t="shared" si="3"/>
        <v>0</v>
      </c>
      <c r="I48" s="131"/>
      <c r="J48" s="131"/>
      <c r="K48" s="131"/>
      <c r="L48" s="131"/>
      <c r="M48" s="131"/>
      <c r="N48" s="131"/>
      <c r="O48" s="131"/>
      <c r="P48" s="131"/>
      <c r="Q48" s="131"/>
      <c r="R48" s="131"/>
      <c r="S48" s="131"/>
      <c r="T48" s="131"/>
      <c r="U48" s="131"/>
      <c r="V48" s="131"/>
      <c r="W48" s="131"/>
      <c r="X48" s="131"/>
      <c r="Y48" s="131"/>
      <c r="Z48" s="131"/>
      <c r="AA48" s="131"/>
      <c r="AB48" s="131"/>
    </row>
    <row r="49" spans="1:28" ht="31.5" customHeight="1">
      <c r="A49" s="583"/>
      <c r="B49" s="578" t="s">
        <v>1078</v>
      </c>
      <c r="C49" s="121">
        <f>Balanza!G839</f>
        <v>0</v>
      </c>
      <c r="D49" s="121">
        <f>Balanza!G1027</f>
        <v>0</v>
      </c>
      <c r="E49" s="462">
        <f t="shared" si="1"/>
        <v>0</v>
      </c>
      <c r="F49" s="121">
        <f>Balanza!F1121</f>
        <v>0</v>
      </c>
      <c r="G49" s="121">
        <f>Balanza!H1215</f>
        <v>0</v>
      </c>
      <c r="H49" s="462">
        <f t="shared" si="3"/>
        <v>0</v>
      </c>
      <c r="I49" s="131"/>
      <c r="J49" s="131"/>
      <c r="K49" s="131"/>
      <c r="L49" s="131"/>
      <c r="M49" s="131"/>
      <c r="N49" s="131"/>
      <c r="O49" s="131"/>
      <c r="P49" s="131"/>
      <c r="Q49" s="131"/>
      <c r="R49" s="131"/>
      <c r="S49" s="131"/>
      <c r="T49" s="131"/>
      <c r="U49" s="131"/>
      <c r="V49" s="131"/>
      <c r="W49" s="131"/>
      <c r="X49" s="131"/>
      <c r="Y49" s="131"/>
      <c r="Z49" s="131"/>
      <c r="AA49" s="131"/>
      <c r="AB49" s="131"/>
    </row>
    <row r="50" spans="1:28" ht="31.5" customHeight="1">
      <c r="A50" s="583"/>
      <c r="B50" s="578" t="s">
        <v>2054</v>
      </c>
      <c r="C50" s="121">
        <f>Balanza!G840</f>
        <v>0</v>
      </c>
      <c r="D50" s="121">
        <f>Balanza!G1028</f>
        <v>0</v>
      </c>
      <c r="E50" s="462">
        <f t="shared" si="1"/>
        <v>0</v>
      </c>
      <c r="F50" s="121">
        <f>Balanza!F1122</f>
        <v>0</v>
      </c>
      <c r="G50" s="121">
        <f>Balanza!H1216</f>
        <v>0</v>
      </c>
      <c r="H50" s="462">
        <f t="shared" si="3"/>
        <v>0</v>
      </c>
      <c r="I50" s="131"/>
      <c r="J50" s="131"/>
      <c r="K50" s="131"/>
      <c r="L50" s="131"/>
      <c r="M50" s="131"/>
      <c r="N50" s="131"/>
      <c r="O50" s="131"/>
      <c r="P50" s="131"/>
      <c r="Q50" s="131"/>
      <c r="R50" s="131"/>
      <c r="S50" s="131"/>
      <c r="T50" s="131"/>
      <c r="U50" s="131"/>
      <c r="V50" s="131"/>
      <c r="W50" s="131"/>
      <c r="X50" s="131"/>
      <c r="Y50" s="131"/>
      <c r="Z50" s="131"/>
      <c r="AA50" s="131"/>
      <c r="AB50" s="131"/>
    </row>
    <row r="51" spans="1:28" ht="15.75" customHeight="1">
      <c r="A51" s="583"/>
      <c r="B51" s="578" t="s">
        <v>2056</v>
      </c>
      <c r="C51" s="121">
        <f>Balanza!G841</f>
        <v>0</v>
      </c>
      <c r="D51" s="121">
        <f>Balanza!G1029</f>
        <v>0</v>
      </c>
      <c r="E51" s="462">
        <f t="shared" si="1"/>
        <v>0</v>
      </c>
      <c r="F51" s="121">
        <f>Balanza!F1123</f>
        <v>0</v>
      </c>
      <c r="G51" s="121">
        <f>Balanza!H1217</f>
        <v>0</v>
      </c>
      <c r="H51" s="462">
        <f t="shared" si="3"/>
        <v>0</v>
      </c>
      <c r="I51" s="131"/>
      <c r="J51" s="131"/>
      <c r="K51" s="131"/>
      <c r="L51" s="131"/>
      <c r="M51" s="131"/>
      <c r="N51" s="131"/>
      <c r="O51" s="131"/>
      <c r="P51" s="131"/>
      <c r="Q51" s="131"/>
      <c r="R51" s="131"/>
      <c r="S51" s="131"/>
      <c r="T51" s="131"/>
      <c r="U51" s="131"/>
      <c r="V51" s="131"/>
      <c r="W51" s="131"/>
      <c r="X51" s="131"/>
      <c r="Y51" s="131"/>
      <c r="Z51" s="131"/>
      <c r="AA51" s="131"/>
      <c r="AB51" s="131"/>
    </row>
    <row r="52" spans="1:28" ht="33.75" customHeight="1">
      <c r="A52" s="905" t="s">
        <v>2058</v>
      </c>
      <c r="B52" s="737"/>
      <c r="C52" s="581">
        <f t="shared" ref="C52:D52" si="16">SUM(C53:C57)</f>
        <v>7487281730.079999</v>
      </c>
      <c r="D52" s="581">
        <f t="shared" si="16"/>
        <v>51584350.189999998</v>
      </c>
      <c r="E52" s="581">
        <f t="shared" si="1"/>
        <v>7538866080.2699986</v>
      </c>
      <c r="F52" s="581">
        <f t="shared" ref="F52:G52" si="17">SUM(F53:F57)</f>
        <v>3824329059.9200001</v>
      </c>
      <c r="G52" s="581">
        <f t="shared" si="17"/>
        <v>3824329059.9200001</v>
      </c>
      <c r="H52" s="581">
        <f t="shared" si="3"/>
        <v>-3662952670.1599989</v>
      </c>
      <c r="I52" s="131"/>
      <c r="J52" s="131"/>
      <c r="K52" s="131"/>
      <c r="L52" s="131"/>
      <c r="M52" s="131"/>
      <c r="N52" s="131"/>
      <c r="O52" s="131"/>
      <c r="P52" s="131"/>
      <c r="Q52" s="131"/>
      <c r="R52" s="131"/>
      <c r="S52" s="131"/>
      <c r="T52" s="131"/>
      <c r="U52" s="131"/>
      <c r="V52" s="131"/>
      <c r="W52" s="131"/>
      <c r="X52" s="131"/>
      <c r="Y52" s="131"/>
      <c r="Z52" s="131"/>
      <c r="AA52" s="131"/>
      <c r="AB52" s="131"/>
    </row>
    <row r="53" spans="1:28" ht="15.75" customHeight="1">
      <c r="A53" s="119"/>
      <c r="B53" s="577" t="s">
        <v>1093</v>
      </c>
      <c r="C53" s="121">
        <f>Balanza!G843</f>
        <v>5869113412.9799995</v>
      </c>
      <c r="D53" s="121">
        <f>Balanza!G1031</f>
        <v>0</v>
      </c>
      <c r="E53" s="462">
        <f t="shared" si="1"/>
        <v>5869113412.9799995</v>
      </c>
      <c r="F53" s="121">
        <f>Balanza!F1125</f>
        <v>3012352816.2199998</v>
      </c>
      <c r="G53" s="121">
        <f>Balanza!H1219</f>
        <v>3012352816.2199998</v>
      </c>
      <c r="H53" s="462">
        <f t="shared" si="3"/>
        <v>-2856760596.7599998</v>
      </c>
      <c r="I53" s="131"/>
      <c r="J53" s="131"/>
      <c r="K53" s="131"/>
      <c r="L53" s="131"/>
      <c r="M53" s="131"/>
      <c r="N53" s="131"/>
      <c r="O53" s="131"/>
      <c r="P53" s="131"/>
      <c r="Q53" s="131"/>
      <c r="R53" s="131"/>
      <c r="S53" s="131"/>
      <c r="T53" s="131"/>
      <c r="U53" s="131"/>
      <c r="V53" s="131"/>
      <c r="W53" s="131"/>
      <c r="X53" s="131"/>
      <c r="Y53" s="131"/>
      <c r="Z53" s="131"/>
      <c r="AA53" s="131"/>
      <c r="AB53" s="131"/>
    </row>
    <row r="54" spans="1:28" ht="15.75" customHeight="1">
      <c r="A54" s="583"/>
      <c r="B54" s="577" t="s">
        <v>1119</v>
      </c>
      <c r="C54" s="462">
        <f>Balanza!G856</f>
        <v>1507710011.28</v>
      </c>
      <c r="D54" s="121">
        <f>Balanza!G1044</f>
        <v>6332505.5599999987</v>
      </c>
      <c r="E54" s="462">
        <f t="shared" si="1"/>
        <v>1514042516.8399999</v>
      </c>
      <c r="F54" s="121">
        <f>Balanza!F1138</f>
        <v>771436616.57999992</v>
      </c>
      <c r="G54" s="121">
        <f>Balanza!H1232</f>
        <v>771436616.57999992</v>
      </c>
      <c r="H54" s="462">
        <f t="shared" si="3"/>
        <v>-736273394.70000005</v>
      </c>
      <c r="I54" s="131"/>
      <c r="J54" s="131"/>
      <c r="K54" s="131"/>
      <c r="L54" s="131"/>
      <c r="M54" s="131"/>
      <c r="N54" s="131"/>
      <c r="O54" s="131"/>
      <c r="P54" s="131"/>
      <c r="Q54" s="131"/>
      <c r="R54" s="131"/>
      <c r="S54" s="131"/>
      <c r="T54" s="131"/>
      <c r="U54" s="131"/>
      <c r="V54" s="131"/>
      <c r="W54" s="131"/>
      <c r="X54" s="131"/>
      <c r="Y54" s="131"/>
      <c r="Z54" s="131"/>
      <c r="AA54" s="131"/>
      <c r="AB54" s="131"/>
    </row>
    <row r="55" spans="1:28" ht="15.75" customHeight="1">
      <c r="A55" s="583"/>
      <c r="B55" s="577" t="s">
        <v>1125</v>
      </c>
      <c r="C55" s="462">
        <f>SUM(Balanza!G859:G860)</f>
        <v>0</v>
      </c>
      <c r="D55" s="121">
        <f>SUM(Balanza!G1047:G1048)</f>
        <v>45251844.630000003</v>
      </c>
      <c r="E55" s="462">
        <f t="shared" si="1"/>
        <v>45251844.630000003</v>
      </c>
      <c r="F55" s="121">
        <f>SUM(Balanza!F1141:F1142)</f>
        <v>38183.359999999986</v>
      </c>
      <c r="G55" s="121">
        <f>SUM(Balanza!H1235:H1236)</f>
        <v>38183.359999999986</v>
      </c>
      <c r="H55" s="462">
        <f t="shared" si="3"/>
        <v>38183.359999999986</v>
      </c>
      <c r="I55" s="131"/>
      <c r="J55" s="131"/>
      <c r="K55" s="131"/>
      <c r="L55" s="131"/>
      <c r="M55" s="131"/>
      <c r="N55" s="131"/>
      <c r="O55" s="131"/>
      <c r="P55" s="131"/>
      <c r="Q55" s="131"/>
      <c r="R55" s="131"/>
      <c r="S55" s="131"/>
      <c r="T55" s="131"/>
      <c r="U55" s="131"/>
      <c r="V55" s="131"/>
      <c r="W55" s="131"/>
      <c r="X55" s="131"/>
      <c r="Y55" s="131"/>
      <c r="Z55" s="131"/>
      <c r="AA55" s="131"/>
      <c r="AB55" s="131"/>
    </row>
    <row r="56" spans="1:28" ht="15.75" customHeight="1">
      <c r="A56" s="583"/>
      <c r="B56" s="577" t="s">
        <v>1139</v>
      </c>
      <c r="C56" s="462">
        <f>Balanza!G865</f>
        <v>110458305.82000001</v>
      </c>
      <c r="D56" s="121">
        <f>Balanza!G1053</f>
        <v>0</v>
      </c>
      <c r="E56" s="462">
        <f t="shared" si="1"/>
        <v>110458305.82000001</v>
      </c>
      <c r="F56" s="121">
        <f>Balanza!F1147</f>
        <v>40501443.759999998</v>
      </c>
      <c r="G56" s="121">
        <f>Balanza!H1241</f>
        <v>40501443.759999998</v>
      </c>
      <c r="H56" s="462">
        <f t="shared" si="3"/>
        <v>-69956862.060000002</v>
      </c>
      <c r="I56" s="131"/>
      <c r="J56" s="131"/>
      <c r="K56" s="131"/>
      <c r="L56" s="131"/>
      <c r="M56" s="131"/>
      <c r="N56" s="131"/>
      <c r="O56" s="131"/>
      <c r="P56" s="131"/>
      <c r="Q56" s="131"/>
      <c r="R56" s="131"/>
      <c r="S56" s="131"/>
      <c r="T56" s="131"/>
      <c r="U56" s="131"/>
      <c r="V56" s="131"/>
      <c r="W56" s="131"/>
      <c r="X56" s="131"/>
      <c r="Y56" s="131"/>
      <c r="Z56" s="131"/>
      <c r="AA56" s="131"/>
      <c r="AB56" s="131"/>
    </row>
    <row r="57" spans="1:28" ht="15.75" customHeight="1">
      <c r="A57" s="583"/>
      <c r="B57" s="577" t="s">
        <v>1151</v>
      </c>
      <c r="C57" s="462">
        <f>Balanza!G871</f>
        <v>0</v>
      </c>
      <c r="D57" s="121">
        <f>Balanza!G1059</f>
        <v>0</v>
      </c>
      <c r="E57" s="462">
        <f t="shared" si="1"/>
        <v>0</v>
      </c>
      <c r="F57" s="121">
        <f>Balanza!F1153</f>
        <v>0</v>
      </c>
      <c r="G57" s="121">
        <f>Balanza!H1247</f>
        <v>0</v>
      </c>
      <c r="H57" s="462">
        <f t="shared" si="3"/>
        <v>0</v>
      </c>
      <c r="I57" s="131"/>
      <c r="J57" s="131"/>
      <c r="K57" s="131"/>
      <c r="L57" s="131"/>
      <c r="M57" s="131"/>
      <c r="N57" s="131"/>
      <c r="O57" s="131"/>
      <c r="P57" s="131"/>
      <c r="Q57" s="131"/>
      <c r="R57" s="131"/>
      <c r="S57" s="131"/>
      <c r="T57" s="131"/>
      <c r="U57" s="131"/>
      <c r="V57" s="131"/>
      <c r="W57" s="131"/>
      <c r="X57" s="131"/>
      <c r="Y57" s="131"/>
      <c r="Z57" s="131"/>
      <c r="AA57" s="131"/>
      <c r="AB57" s="131"/>
    </row>
    <row r="58" spans="1:28" ht="17.25" customHeight="1">
      <c r="A58" s="579" t="s">
        <v>2097</v>
      </c>
      <c r="B58" s="580"/>
      <c r="C58" s="581">
        <f t="shared" ref="C58:D58" si="18">SUM(C59:C65)</f>
        <v>0</v>
      </c>
      <c r="D58" s="581">
        <f t="shared" si="18"/>
        <v>0</v>
      </c>
      <c r="E58" s="581">
        <f t="shared" si="1"/>
        <v>0</v>
      </c>
      <c r="F58" s="581">
        <f t="shared" ref="F58:G58" si="19">SUM(F59:F65)</f>
        <v>0</v>
      </c>
      <c r="G58" s="581">
        <f t="shared" si="19"/>
        <v>0</v>
      </c>
      <c r="H58" s="581">
        <f t="shared" si="3"/>
        <v>0</v>
      </c>
      <c r="I58" s="131"/>
      <c r="J58" s="131"/>
      <c r="K58" s="131"/>
      <c r="L58" s="131"/>
      <c r="M58" s="131"/>
      <c r="N58" s="131"/>
      <c r="O58" s="131"/>
      <c r="P58" s="131"/>
      <c r="Q58" s="131"/>
      <c r="R58" s="131"/>
      <c r="S58" s="131"/>
      <c r="T58" s="131"/>
      <c r="U58" s="131"/>
      <c r="V58" s="131"/>
      <c r="W58" s="131"/>
      <c r="X58" s="131"/>
      <c r="Y58" s="131"/>
      <c r="Z58" s="131"/>
      <c r="AA58" s="131"/>
      <c r="AB58" s="131"/>
    </row>
    <row r="59" spans="1:28" ht="15.75" customHeight="1">
      <c r="A59" s="119"/>
      <c r="B59" s="577" t="s">
        <v>1159</v>
      </c>
      <c r="C59" s="462">
        <f>SUM(Balanza!G875:G876)</f>
        <v>0</v>
      </c>
      <c r="D59" s="121">
        <f>SUM(Balanza!G1063:G1064)</f>
        <v>0</v>
      </c>
      <c r="E59" s="462">
        <f t="shared" si="1"/>
        <v>0</v>
      </c>
      <c r="F59" s="121">
        <f>SUM(Balanza!F1157:F1158)</f>
        <v>0</v>
      </c>
      <c r="G59" s="121">
        <f>SUM(Balanza!H1251:H1252)</f>
        <v>0</v>
      </c>
      <c r="H59" s="462">
        <f t="shared" si="3"/>
        <v>0</v>
      </c>
      <c r="I59" s="131"/>
      <c r="J59" s="131"/>
      <c r="K59" s="131"/>
      <c r="L59" s="131"/>
      <c r="M59" s="131"/>
      <c r="N59" s="131"/>
      <c r="O59" s="131"/>
      <c r="P59" s="131"/>
      <c r="Q59" s="131"/>
      <c r="R59" s="131"/>
      <c r="S59" s="131"/>
      <c r="T59" s="131"/>
      <c r="U59" s="131"/>
      <c r="V59" s="131"/>
      <c r="W59" s="131"/>
      <c r="X59" s="131"/>
      <c r="Y59" s="131"/>
      <c r="Z59" s="131"/>
      <c r="AA59" s="131"/>
      <c r="AB59" s="131"/>
    </row>
    <row r="60" spans="1:28" ht="15.75" customHeight="1">
      <c r="A60" s="583"/>
      <c r="B60" s="577" t="s">
        <v>2103</v>
      </c>
      <c r="C60" s="462">
        <f>Balanza!G877</f>
        <v>0</v>
      </c>
      <c r="D60" s="462">
        <f>Balanza!G1065</f>
        <v>0</v>
      </c>
      <c r="E60" s="462">
        <f t="shared" si="1"/>
        <v>0</v>
      </c>
      <c r="F60" s="462">
        <f>Balanza!F1159</f>
        <v>0</v>
      </c>
      <c r="G60" s="462">
        <f>Balanza!H1253</f>
        <v>0</v>
      </c>
      <c r="H60" s="462">
        <f t="shared" si="3"/>
        <v>0</v>
      </c>
      <c r="I60" s="131"/>
      <c r="J60" s="131"/>
      <c r="K60" s="131"/>
      <c r="L60" s="131"/>
      <c r="M60" s="131"/>
      <c r="N60" s="131"/>
      <c r="O60" s="131"/>
      <c r="P60" s="131"/>
      <c r="Q60" s="131"/>
      <c r="R60" s="131"/>
      <c r="S60" s="131"/>
      <c r="T60" s="131"/>
      <c r="U60" s="131"/>
      <c r="V60" s="131"/>
      <c r="W60" s="131"/>
      <c r="X60" s="131"/>
      <c r="Y60" s="131"/>
      <c r="Z60" s="131"/>
      <c r="AA60" s="131"/>
      <c r="AB60" s="131"/>
    </row>
    <row r="61" spans="1:28" ht="15.75" customHeight="1">
      <c r="A61" s="583"/>
      <c r="B61" s="577" t="s">
        <v>1167</v>
      </c>
      <c r="C61" s="462">
        <f>SUM(Balanza!G878:G879)</f>
        <v>0</v>
      </c>
      <c r="D61" s="121">
        <f>SUM(Balanza!G1066:G1067)</f>
        <v>0</v>
      </c>
      <c r="E61" s="462">
        <f t="shared" si="1"/>
        <v>0</v>
      </c>
      <c r="F61" s="121">
        <f>SUM(Balanza!F1160:F1161)</f>
        <v>0</v>
      </c>
      <c r="G61" s="121">
        <f>SUM(Balanza!H1254:H1255)</f>
        <v>0</v>
      </c>
      <c r="H61" s="462">
        <f t="shared" si="3"/>
        <v>0</v>
      </c>
      <c r="I61" s="131"/>
      <c r="J61" s="131"/>
      <c r="K61" s="131"/>
      <c r="L61" s="131"/>
      <c r="M61" s="131"/>
      <c r="N61" s="131"/>
      <c r="O61" s="131"/>
      <c r="P61" s="131"/>
      <c r="Q61" s="131"/>
      <c r="R61" s="131"/>
      <c r="S61" s="131"/>
      <c r="T61" s="131"/>
      <c r="U61" s="131"/>
      <c r="V61" s="131"/>
      <c r="W61" s="131"/>
      <c r="X61" s="131"/>
      <c r="Y61" s="131"/>
      <c r="Z61" s="131"/>
      <c r="AA61" s="131"/>
      <c r="AB61" s="131"/>
    </row>
    <row r="62" spans="1:28" ht="15.75" customHeight="1">
      <c r="A62" s="583"/>
      <c r="B62" s="577" t="s">
        <v>2109</v>
      </c>
      <c r="C62" s="462">
        <f>Balanza!G880</f>
        <v>0</v>
      </c>
      <c r="D62" s="462">
        <f>Balanza!G1068</f>
        <v>0</v>
      </c>
      <c r="E62" s="462">
        <f t="shared" si="1"/>
        <v>0</v>
      </c>
      <c r="F62" s="462">
        <f>Balanza!F1162</f>
        <v>0</v>
      </c>
      <c r="G62" s="462">
        <f>Balanza!H1256</f>
        <v>0</v>
      </c>
      <c r="H62" s="462">
        <f t="shared" si="3"/>
        <v>0</v>
      </c>
      <c r="I62" s="131"/>
      <c r="J62" s="131"/>
      <c r="K62" s="131"/>
      <c r="L62" s="131"/>
      <c r="M62" s="131"/>
      <c r="N62" s="131"/>
      <c r="O62" s="131"/>
      <c r="P62" s="131"/>
      <c r="Q62" s="131"/>
      <c r="R62" s="131"/>
      <c r="S62" s="131"/>
      <c r="T62" s="131"/>
      <c r="U62" s="131"/>
      <c r="V62" s="131"/>
      <c r="W62" s="131"/>
      <c r="X62" s="131"/>
      <c r="Y62" s="131"/>
      <c r="Z62" s="131"/>
      <c r="AA62" s="131"/>
      <c r="AB62" s="131"/>
    </row>
    <row r="63" spans="1:28" ht="15.75" customHeight="1">
      <c r="A63" s="583"/>
      <c r="B63" s="577" t="s">
        <v>1175</v>
      </c>
      <c r="C63" s="462">
        <f>Balanza!G881</f>
        <v>0</v>
      </c>
      <c r="D63" s="462">
        <f>Balanza!G1069</f>
        <v>0</v>
      </c>
      <c r="E63" s="462">
        <f t="shared" si="1"/>
        <v>0</v>
      </c>
      <c r="F63" s="462">
        <f>Balanza!F1163</f>
        <v>0</v>
      </c>
      <c r="G63" s="462">
        <f>Balanza!H1257</f>
        <v>0</v>
      </c>
      <c r="H63" s="462">
        <f t="shared" si="3"/>
        <v>0</v>
      </c>
      <c r="I63" s="131"/>
      <c r="J63" s="131"/>
      <c r="K63" s="131"/>
      <c r="L63" s="131"/>
      <c r="M63" s="131"/>
      <c r="N63" s="131"/>
      <c r="O63" s="131"/>
      <c r="P63" s="131"/>
      <c r="Q63" s="131"/>
      <c r="R63" s="131"/>
      <c r="S63" s="131"/>
      <c r="T63" s="131"/>
      <c r="U63" s="131"/>
      <c r="V63" s="131"/>
      <c r="W63" s="131"/>
      <c r="X63" s="131"/>
      <c r="Y63" s="131"/>
      <c r="Z63" s="131"/>
      <c r="AA63" s="131"/>
      <c r="AB63" s="131"/>
    </row>
    <row r="64" spans="1:28" ht="15.75" customHeight="1">
      <c r="A64" s="583"/>
      <c r="B64" s="577" t="s">
        <v>2112</v>
      </c>
      <c r="C64" s="462">
        <f>Balanza!G882</f>
        <v>0</v>
      </c>
      <c r="D64" s="462">
        <f>Balanza!G1070</f>
        <v>0</v>
      </c>
      <c r="E64" s="462">
        <f t="shared" si="1"/>
        <v>0</v>
      </c>
      <c r="F64" s="462">
        <f>Balanza!F1164</f>
        <v>0</v>
      </c>
      <c r="G64" s="462">
        <f>Balanza!H1258</f>
        <v>0</v>
      </c>
      <c r="H64" s="462">
        <f t="shared" si="3"/>
        <v>0</v>
      </c>
      <c r="I64" s="131"/>
      <c r="J64" s="131"/>
      <c r="K64" s="131"/>
      <c r="L64" s="131"/>
      <c r="M64" s="131"/>
      <c r="N64" s="131"/>
      <c r="O64" s="131"/>
      <c r="P64" s="131"/>
      <c r="Q64" s="131"/>
      <c r="R64" s="131"/>
      <c r="S64" s="131"/>
      <c r="T64" s="131"/>
      <c r="U64" s="131"/>
      <c r="V64" s="131"/>
      <c r="W64" s="131"/>
      <c r="X64" s="131"/>
      <c r="Y64" s="131"/>
      <c r="Z64" s="131"/>
      <c r="AA64" s="131"/>
      <c r="AB64" s="131"/>
    </row>
    <row r="65" spans="1:28" ht="15.75" customHeight="1">
      <c r="A65" s="583"/>
      <c r="B65" s="578" t="s">
        <v>1180</v>
      </c>
      <c r="C65" s="462">
        <f>Balanza!G883</f>
        <v>0</v>
      </c>
      <c r="D65" s="462">
        <f>Balanza!G1071</f>
        <v>0</v>
      </c>
      <c r="E65" s="462">
        <f t="shared" si="1"/>
        <v>0</v>
      </c>
      <c r="F65" s="462">
        <f>Balanza!F1165</f>
        <v>0</v>
      </c>
      <c r="G65" s="462">
        <f>Balanza!H1259</f>
        <v>0</v>
      </c>
      <c r="H65" s="462">
        <f t="shared" si="3"/>
        <v>0</v>
      </c>
      <c r="I65" s="131"/>
      <c r="J65" s="131"/>
      <c r="K65" s="131"/>
      <c r="L65" s="131"/>
      <c r="M65" s="131"/>
      <c r="N65" s="131"/>
      <c r="O65" s="131"/>
      <c r="P65" s="131"/>
      <c r="Q65" s="131"/>
      <c r="R65" s="131"/>
      <c r="S65" s="131"/>
      <c r="T65" s="131"/>
      <c r="U65" s="131"/>
      <c r="V65" s="131"/>
      <c r="W65" s="131"/>
      <c r="X65" s="131"/>
      <c r="Y65" s="131"/>
      <c r="Z65" s="131"/>
      <c r="AA65" s="131"/>
      <c r="AB65" s="131"/>
    </row>
    <row r="66" spans="1:28" ht="17.25" customHeight="1">
      <c r="A66" s="579" t="s">
        <v>2115</v>
      </c>
      <c r="B66" s="580"/>
      <c r="C66" s="581">
        <f t="shared" ref="C66:D66" si="20">SUM(C67:C69)</f>
        <v>0</v>
      </c>
      <c r="D66" s="581">
        <f t="shared" si="20"/>
        <v>0</v>
      </c>
      <c r="E66" s="581">
        <f t="shared" si="1"/>
        <v>0</v>
      </c>
      <c r="F66" s="581">
        <f t="shared" ref="F66:G66" si="21">SUM(F67:F69)</f>
        <v>0</v>
      </c>
      <c r="G66" s="581">
        <f t="shared" si="21"/>
        <v>0</v>
      </c>
      <c r="H66" s="581">
        <f t="shared" si="3"/>
        <v>0</v>
      </c>
      <c r="I66" s="131"/>
      <c r="J66" s="131"/>
      <c r="K66" s="131"/>
      <c r="L66" s="131"/>
      <c r="M66" s="131"/>
      <c r="N66" s="131"/>
      <c r="O66" s="131"/>
      <c r="P66" s="131"/>
      <c r="Q66" s="131"/>
      <c r="R66" s="131"/>
      <c r="S66" s="131"/>
      <c r="T66" s="131"/>
      <c r="U66" s="131"/>
      <c r="V66" s="131"/>
      <c r="W66" s="131"/>
      <c r="X66" s="131"/>
      <c r="Y66" s="131"/>
      <c r="Z66" s="131"/>
      <c r="AA66" s="131"/>
      <c r="AB66" s="131"/>
    </row>
    <row r="67" spans="1:28" ht="15.75" customHeight="1">
      <c r="A67" s="119"/>
      <c r="B67" s="584" t="s">
        <v>2117</v>
      </c>
      <c r="C67" s="121">
        <f>Balanza!G885</f>
        <v>0</v>
      </c>
      <c r="D67" s="462">
        <f>Balanza!G1073</f>
        <v>0</v>
      </c>
      <c r="E67" s="462">
        <f t="shared" si="1"/>
        <v>0</v>
      </c>
      <c r="F67" s="121">
        <f>Balanza!F1167</f>
        <v>0</v>
      </c>
      <c r="G67" s="121">
        <f>Balanza!H1261</f>
        <v>0</v>
      </c>
      <c r="H67" s="462">
        <f t="shared" si="3"/>
        <v>0</v>
      </c>
      <c r="I67" s="131"/>
      <c r="J67" s="131"/>
      <c r="K67" s="131"/>
      <c r="L67" s="131"/>
      <c r="M67" s="131"/>
      <c r="N67" s="131"/>
      <c r="O67" s="131"/>
      <c r="P67" s="131"/>
      <c r="Q67" s="131"/>
      <c r="R67" s="131"/>
      <c r="S67" s="131"/>
      <c r="T67" s="131"/>
      <c r="U67" s="131"/>
      <c r="V67" s="131"/>
      <c r="W67" s="131"/>
      <c r="X67" s="131"/>
      <c r="Y67" s="131"/>
      <c r="Z67" s="131"/>
      <c r="AA67" s="131"/>
      <c r="AB67" s="131"/>
    </row>
    <row r="68" spans="1:28" ht="15.75" customHeight="1">
      <c r="A68" s="582"/>
      <c r="B68" s="584" t="s">
        <v>2119</v>
      </c>
      <c r="C68" s="462">
        <f>Balanza!G886</f>
        <v>0</v>
      </c>
      <c r="D68" s="462">
        <f>Balanza!G1074</f>
        <v>0</v>
      </c>
      <c r="E68" s="462">
        <f t="shared" si="1"/>
        <v>0</v>
      </c>
      <c r="F68" s="462">
        <f>Balanza!F1168</f>
        <v>0</v>
      </c>
      <c r="G68" s="462">
        <f>Balanza!H1262</f>
        <v>0</v>
      </c>
      <c r="H68" s="462">
        <f t="shared" si="3"/>
        <v>0</v>
      </c>
      <c r="I68" s="131"/>
      <c r="J68" s="131"/>
      <c r="K68" s="131"/>
      <c r="L68" s="131"/>
      <c r="M68" s="131"/>
      <c r="N68" s="131"/>
      <c r="O68" s="131"/>
      <c r="P68" s="131"/>
      <c r="Q68" s="131"/>
      <c r="R68" s="131"/>
      <c r="S68" s="131"/>
      <c r="T68" s="131"/>
      <c r="U68" s="131"/>
      <c r="V68" s="131"/>
      <c r="W68" s="131"/>
      <c r="X68" s="131"/>
      <c r="Y68" s="131"/>
      <c r="Z68" s="131"/>
      <c r="AA68" s="131"/>
      <c r="AB68" s="131"/>
    </row>
    <row r="69" spans="1:28" ht="15.75" customHeight="1">
      <c r="A69" s="582"/>
      <c r="B69" s="584" t="s">
        <v>2121</v>
      </c>
      <c r="C69" s="121">
        <f>Balanza!G887</f>
        <v>0</v>
      </c>
      <c r="D69" s="462">
        <f>Balanza!G1075</f>
        <v>0</v>
      </c>
      <c r="E69" s="462">
        <f t="shared" si="1"/>
        <v>0</v>
      </c>
      <c r="F69" s="121">
        <f>Balanza!F1169</f>
        <v>0</v>
      </c>
      <c r="G69" s="121">
        <f>Balanza!H1263</f>
        <v>0</v>
      </c>
      <c r="H69" s="462">
        <f t="shared" si="3"/>
        <v>0</v>
      </c>
      <c r="I69" s="131"/>
      <c r="J69" s="131"/>
      <c r="K69" s="131"/>
      <c r="L69" s="131"/>
      <c r="M69" s="131"/>
      <c r="N69" s="131"/>
      <c r="O69" s="131"/>
      <c r="P69" s="131"/>
      <c r="Q69" s="131"/>
      <c r="R69" s="131"/>
      <c r="S69" s="131"/>
      <c r="T69" s="131"/>
      <c r="U69" s="131"/>
      <c r="V69" s="131"/>
      <c r="W69" s="131"/>
      <c r="X69" s="131"/>
      <c r="Y69" s="131"/>
      <c r="Z69" s="131"/>
      <c r="AA69" s="131"/>
      <c r="AB69" s="131"/>
    </row>
    <row r="70" spans="1:28" ht="15" customHeight="1">
      <c r="A70" s="535"/>
      <c r="B70" s="585" t="s">
        <v>7203</v>
      </c>
      <c r="C70" s="586">
        <f t="shared" ref="C70:D70" si="22">SUM(C7+C17+C23+C26+C33+C37+C52+C58+C66+C42)</f>
        <v>12491139903.439999</v>
      </c>
      <c r="D70" s="586">
        <f t="shared" si="22"/>
        <v>51584350.189999998</v>
      </c>
      <c r="E70" s="586">
        <f t="shared" si="1"/>
        <v>12542724253.629999</v>
      </c>
      <c r="F70" s="586">
        <f t="shared" ref="F70:G70" si="23">SUM(F7+F17+F23+F26+F33+F37+F52+F58+F66+F42)</f>
        <v>7057759731.4099998</v>
      </c>
      <c r="G70" s="586">
        <f t="shared" si="23"/>
        <v>7057759731.4099998</v>
      </c>
      <c r="H70" s="586"/>
      <c r="I70" s="131"/>
      <c r="J70" s="131"/>
      <c r="K70" s="131"/>
      <c r="L70" s="131"/>
      <c r="M70" s="131"/>
      <c r="N70" s="131"/>
      <c r="O70" s="131"/>
      <c r="P70" s="131"/>
      <c r="Q70" s="131"/>
      <c r="R70" s="131"/>
      <c r="S70" s="131"/>
      <c r="T70" s="131"/>
      <c r="U70" s="131"/>
      <c r="V70" s="131"/>
      <c r="W70" s="131"/>
      <c r="X70" s="131"/>
      <c r="Y70" s="131"/>
      <c r="Z70" s="131"/>
      <c r="AA70" s="131"/>
      <c r="AB70" s="131"/>
    </row>
    <row r="71" spans="1:28" ht="15.75" customHeight="1">
      <c r="A71" s="142"/>
      <c r="B71" s="142"/>
      <c r="C71" s="143"/>
      <c r="D71" s="143"/>
      <c r="E71" s="143"/>
      <c r="F71" s="143"/>
      <c r="G71" s="192"/>
      <c r="H71" s="587"/>
      <c r="I71" s="131"/>
      <c r="J71" s="131"/>
      <c r="K71" s="131"/>
      <c r="L71" s="131"/>
      <c r="M71" s="131"/>
      <c r="N71" s="131"/>
      <c r="O71" s="131"/>
      <c r="P71" s="131"/>
      <c r="Q71" s="131"/>
      <c r="R71" s="131"/>
      <c r="S71" s="131"/>
      <c r="T71" s="131"/>
      <c r="U71" s="131"/>
      <c r="V71" s="131"/>
      <c r="W71" s="131"/>
      <c r="X71" s="131"/>
      <c r="Y71" s="131"/>
      <c r="Z71" s="131"/>
      <c r="AA71" s="131"/>
      <c r="AB71" s="131"/>
    </row>
    <row r="72" spans="1:28" ht="15.75" customHeight="1">
      <c r="A72" s="588" t="s">
        <v>4422</v>
      </c>
      <c r="B72" s="126"/>
      <c r="C72" s="176"/>
      <c r="D72" s="176"/>
      <c r="E72" s="176"/>
      <c r="F72" s="176"/>
      <c r="G72" s="176"/>
      <c r="H72" s="176"/>
      <c r="I72" s="126"/>
      <c r="J72" s="126"/>
      <c r="K72" s="126"/>
      <c r="L72" s="126"/>
      <c r="M72" s="126"/>
      <c r="N72" s="126"/>
      <c r="O72" s="126"/>
      <c r="P72" s="126"/>
      <c r="Q72" s="126"/>
      <c r="R72" s="126"/>
      <c r="S72" s="126"/>
      <c r="T72" s="126"/>
      <c r="U72" s="126"/>
      <c r="V72" s="126"/>
      <c r="W72" s="126"/>
      <c r="X72" s="126"/>
      <c r="Y72" s="126"/>
      <c r="Z72" s="126"/>
      <c r="AA72" s="126"/>
      <c r="AB72" s="126"/>
    </row>
    <row r="73" spans="1:28" ht="15.75" customHeight="1">
      <c r="A73" s="588"/>
      <c r="B73" s="126"/>
      <c r="C73" s="176"/>
      <c r="D73" s="176"/>
      <c r="E73" s="176"/>
      <c r="F73" s="176"/>
      <c r="G73" s="176"/>
      <c r="H73" s="176"/>
      <c r="I73" s="126"/>
      <c r="J73" s="126"/>
      <c r="K73" s="126"/>
      <c r="L73" s="126"/>
      <c r="M73" s="126"/>
      <c r="N73" s="126"/>
      <c r="O73" s="126"/>
      <c r="P73" s="126"/>
      <c r="Q73" s="126"/>
      <c r="R73" s="126"/>
      <c r="S73" s="126"/>
      <c r="T73" s="126"/>
      <c r="U73" s="126"/>
      <c r="V73" s="126"/>
      <c r="W73" s="126"/>
      <c r="X73" s="126"/>
      <c r="Y73" s="126"/>
      <c r="Z73" s="126"/>
      <c r="AA73" s="126"/>
      <c r="AB73" s="126"/>
    </row>
    <row r="74" spans="1:28" ht="15.75" customHeight="1">
      <c r="A74" s="588"/>
      <c r="B74" s="126"/>
      <c r="C74" s="176"/>
      <c r="D74" s="176"/>
      <c r="E74" s="176"/>
      <c r="F74" s="176"/>
      <c r="G74" s="176"/>
      <c r="H74" s="176"/>
      <c r="I74" s="126"/>
      <c r="J74" s="126"/>
      <c r="K74" s="126"/>
      <c r="L74" s="126"/>
      <c r="M74" s="126"/>
      <c r="N74" s="126"/>
      <c r="O74" s="126"/>
      <c r="P74" s="126"/>
      <c r="Q74" s="126"/>
      <c r="R74" s="126"/>
      <c r="S74" s="126"/>
      <c r="T74" s="126"/>
      <c r="U74" s="126"/>
      <c r="V74" s="126"/>
      <c r="W74" s="126"/>
      <c r="X74" s="126"/>
      <c r="Y74" s="126"/>
      <c r="Z74" s="126"/>
      <c r="AA74" s="126"/>
      <c r="AB74" s="126"/>
    </row>
    <row r="75" spans="1:28" ht="15.75" customHeight="1">
      <c r="A75" s="588"/>
      <c r="B75" s="589"/>
      <c r="C75" s="590"/>
      <c r="D75" s="176"/>
      <c r="E75" s="591"/>
      <c r="F75" s="592"/>
      <c r="G75" s="592"/>
      <c r="H75" s="591"/>
      <c r="I75" s="126"/>
      <c r="J75" s="126"/>
      <c r="K75" s="126"/>
      <c r="L75" s="126"/>
      <c r="M75" s="126"/>
      <c r="N75" s="126"/>
      <c r="O75" s="126"/>
      <c r="P75" s="126"/>
      <c r="Q75" s="126"/>
      <c r="R75" s="126"/>
      <c r="S75" s="126"/>
      <c r="T75" s="126"/>
      <c r="U75" s="126"/>
      <c r="V75" s="126"/>
      <c r="W75" s="126"/>
      <c r="X75" s="126"/>
      <c r="Y75" s="126"/>
      <c r="Z75" s="126"/>
      <c r="AA75" s="126"/>
      <c r="AB75" s="126"/>
    </row>
    <row r="76" spans="1:28" ht="15.75" customHeight="1">
      <c r="A76" s="178"/>
      <c r="B76" s="834" t="str">
        <f>Validacion!A9</f>
        <v>Irlanda</v>
      </c>
      <c r="C76" s="593"/>
      <c r="D76" s="176"/>
      <c r="E76" s="834" t="str">
        <f>Validacion!A11</f>
        <v>AGOSTO</v>
      </c>
      <c r="F76" s="787"/>
      <c r="G76" s="787"/>
      <c r="H76" s="787"/>
      <c r="I76" s="126"/>
      <c r="J76" s="126"/>
      <c r="K76" s="126"/>
      <c r="L76" s="126"/>
      <c r="M76" s="126"/>
      <c r="N76" s="126"/>
      <c r="O76" s="126"/>
      <c r="P76" s="126"/>
      <c r="Q76" s="126"/>
      <c r="R76" s="126"/>
      <c r="S76" s="126"/>
      <c r="T76" s="126"/>
      <c r="U76" s="126"/>
      <c r="V76" s="126"/>
      <c r="W76" s="126"/>
      <c r="X76" s="126"/>
      <c r="Y76" s="126"/>
      <c r="Z76" s="126"/>
      <c r="AA76" s="126"/>
      <c r="AB76" s="126"/>
    </row>
    <row r="77" spans="1:28" ht="15.75" customHeight="1">
      <c r="A77" s="588"/>
      <c r="B77" s="725"/>
      <c r="C77" s="593"/>
      <c r="D77" s="176"/>
      <c r="E77" s="725"/>
      <c r="F77" s="725"/>
      <c r="G77" s="725"/>
      <c r="H77" s="725"/>
      <c r="I77" s="126"/>
      <c r="J77" s="126"/>
      <c r="K77" s="126"/>
      <c r="L77" s="126"/>
      <c r="M77" s="126"/>
      <c r="N77" s="126"/>
      <c r="O77" s="126"/>
      <c r="P77" s="126"/>
      <c r="Q77" s="126"/>
      <c r="R77" s="126"/>
      <c r="S77" s="126"/>
      <c r="T77" s="126"/>
      <c r="U77" s="126"/>
      <c r="V77" s="126"/>
      <c r="W77" s="126"/>
      <c r="X77" s="126"/>
      <c r="Y77" s="126"/>
      <c r="Z77" s="126"/>
      <c r="AA77" s="126"/>
      <c r="AB77" s="126"/>
    </row>
    <row r="78" spans="1:28" ht="15.75" customHeight="1">
      <c r="A78" s="588"/>
      <c r="B78" s="773" t="s">
        <v>4423</v>
      </c>
      <c r="C78" s="519"/>
      <c r="D78" s="176"/>
      <c r="E78" s="925" t="s">
        <v>6273</v>
      </c>
      <c r="F78" s="725"/>
      <c r="G78" s="725"/>
      <c r="H78" s="725"/>
      <c r="I78" s="126"/>
      <c r="J78" s="126"/>
      <c r="K78" s="126"/>
      <c r="L78" s="126"/>
      <c r="M78" s="126"/>
      <c r="N78" s="126"/>
      <c r="O78" s="126"/>
      <c r="P78" s="126"/>
      <c r="Q78" s="126"/>
      <c r="R78" s="126"/>
      <c r="S78" s="126"/>
      <c r="T78" s="126"/>
      <c r="U78" s="126"/>
      <c r="V78" s="126"/>
      <c r="W78" s="126"/>
      <c r="X78" s="126"/>
      <c r="Y78" s="126"/>
      <c r="Z78" s="126"/>
      <c r="AA78" s="126"/>
      <c r="AB78" s="126"/>
    </row>
    <row r="79" spans="1:28" ht="15.75" customHeight="1">
      <c r="A79" s="588"/>
      <c r="B79" s="725"/>
      <c r="C79" s="519"/>
      <c r="D79" s="176"/>
      <c r="E79" s="725"/>
      <c r="F79" s="725"/>
      <c r="G79" s="725"/>
      <c r="H79" s="725"/>
      <c r="I79" s="126"/>
      <c r="J79" s="126"/>
      <c r="K79" s="126"/>
      <c r="L79" s="126"/>
      <c r="M79" s="126"/>
      <c r="N79" s="126"/>
      <c r="O79" s="126"/>
      <c r="P79" s="126"/>
      <c r="Q79" s="126"/>
      <c r="R79" s="126"/>
      <c r="S79" s="126"/>
      <c r="T79" s="126"/>
      <c r="U79" s="126"/>
      <c r="V79" s="126"/>
      <c r="W79" s="126"/>
      <c r="X79" s="126"/>
      <c r="Y79" s="126"/>
      <c r="Z79" s="126"/>
      <c r="AA79" s="126"/>
      <c r="AB79" s="126"/>
    </row>
    <row r="80" spans="1:28" ht="15.75" customHeight="1">
      <c r="A80" s="178"/>
      <c r="B80" s="126"/>
      <c r="C80" s="176"/>
      <c r="D80" s="176"/>
      <c r="E80" s="176"/>
      <c r="F80" s="176"/>
      <c r="G80" s="176"/>
      <c r="H80" s="176"/>
      <c r="I80" s="126"/>
      <c r="J80" s="126"/>
      <c r="K80" s="126"/>
      <c r="L80" s="126"/>
      <c r="M80" s="126"/>
      <c r="N80" s="126"/>
      <c r="O80" s="126"/>
      <c r="P80" s="126"/>
      <c r="Q80" s="126"/>
      <c r="R80" s="126"/>
      <c r="S80" s="126"/>
      <c r="T80" s="126"/>
      <c r="U80" s="126"/>
      <c r="V80" s="126"/>
      <c r="W80" s="126"/>
      <c r="X80" s="126"/>
      <c r="Y80" s="126"/>
      <c r="Z80" s="126"/>
      <c r="AA80" s="126"/>
      <c r="AB80" s="126"/>
    </row>
    <row r="81" spans="1:28" ht="15" hidden="1" customHeight="1">
      <c r="A81" s="126"/>
      <c r="B81" s="126"/>
      <c r="C81" s="176"/>
      <c r="D81" s="181"/>
      <c r="E81" s="181"/>
      <c r="F81" s="181"/>
      <c r="G81" s="181"/>
      <c r="H81" s="181"/>
      <c r="I81" s="126"/>
      <c r="J81" s="126"/>
      <c r="K81" s="126"/>
      <c r="L81" s="126"/>
      <c r="M81" s="126"/>
      <c r="N81" s="126"/>
      <c r="O81" s="126"/>
      <c r="P81" s="126"/>
      <c r="Q81" s="126"/>
      <c r="R81" s="126"/>
      <c r="S81" s="126"/>
      <c r="T81" s="126"/>
      <c r="U81" s="126"/>
      <c r="V81" s="126"/>
      <c r="W81" s="126"/>
      <c r="X81" s="126"/>
      <c r="Y81" s="126"/>
      <c r="Z81" s="126"/>
      <c r="AA81" s="126"/>
      <c r="AB81" s="126"/>
    </row>
    <row r="82" spans="1:28" ht="15" hidden="1" customHeight="1">
      <c r="A82" s="126"/>
      <c r="B82" s="126"/>
      <c r="C82" s="176"/>
      <c r="D82" s="181"/>
      <c r="E82" s="181"/>
      <c r="F82" s="181"/>
      <c r="G82" s="181"/>
      <c r="H82" s="181"/>
      <c r="I82" s="126"/>
      <c r="J82" s="126"/>
      <c r="K82" s="126"/>
      <c r="L82" s="126"/>
      <c r="M82" s="126"/>
      <c r="N82" s="126"/>
      <c r="O82" s="126"/>
      <c r="P82" s="126"/>
      <c r="Q82" s="126"/>
      <c r="R82" s="126"/>
      <c r="S82" s="126"/>
      <c r="T82" s="126"/>
      <c r="U82" s="126"/>
      <c r="V82" s="126"/>
      <c r="W82" s="126"/>
      <c r="X82" s="126"/>
      <c r="Y82" s="126"/>
      <c r="Z82" s="126"/>
      <c r="AA82" s="126"/>
      <c r="AB82" s="126"/>
    </row>
    <row r="83" spans="1:28" ht="15" hidden="1" customHeight="1">
      <c r="A83" s="126"/>
      <c r="B83" s="126"/>
      <c r="C83" s="176"/>
      <c r="D83" s="181"/>
      <c r="E83" s="181"/>
      <c r="F83" s="181"/>
      <c r="G83" s="181"/>
      <c r="H83" s="181"/>
      <c r="I83" s="126"/>
      <c r="J83" s="126"/>
      <c r="K83" s="126"/>
      <c r="L83" s="126"/>
      <c r="M83" s="126"/>
      <c r="N83" s="126"/>
      <c r="O83" s="126"/>
      <c r="P83" s="126"/>
      <c r="Q83" s="126"/>
      <c r="R83" s="126"/>
      <c r="S83" s="126"/>
      <c r="T83" s="126"/>
      <c r="U83" s="126"/>
      <c r="V83" s="126"/>
      <c r="W83" s="126"/>
      <c r="X83" s="126"/>
      <c r="Y83" s="126"/>
      <c r="Z83" s="126"/>
      <c r="AA83" s="126"/>
      <c r="AB83" s="126"/>
    </row>
    <row r="84" spans="1:28" ht="15.75" hidden="1" customHeight="1">
      <c r="A84" s="126"/>
      <c r="B84" s="126"/>
      <c r="C84" s="176"/>
      <c r="D84" s="176"/>
      <c r="E84" s="176"/>
      <c r="F84" s="176"/>
      <c r="G84" s="176"/>
      <c r="H84" s="176"/>
      <c r="I84" s="126"/>
      <c r="J84" s="126"/>
      <c r="K84" s="126"/>
      <c r="L84" s="126"/>
      <c r="M84" s="126"/>
      <c r="N84" s="126"/>
      <c r="O84" s="126"/>
      <c r="P84" s="126"/>
      <c r="Q84" s="126"/>
      <c r="R84" s="126"/>
      <c r="S84" s="126"/>
      <c r="T84" s="126"/>
      <c r="U84" s="126"/>
      <c r="V84" s="126"/>
      <c r="W84" s="126"/>
      <c r="X84" s="126"/>
      <c r="Y84" s="126"/>
      <c r="Z84" s="126"/>
      <c r="AA84" s="126"/>
      <c r="AB84" s="126"/>
    </row>
    <row r="85" spans="1:28" ht="15.75" hidden="1" customHeight="1">
      <c r="A85" s="126"/>
      <c r="B85" s="126"/>
      <c r="C85" s="176"/>
      <c r="D85" s="176"/>
      <c r="E85" s="176"/>
      <c r="F85" s="176"/>
      <c r="G85" s="176"/>
      <c r="H85" s="176"/>
      <c r="I85" s="126"/>
      <c r="J85" s="126"/>
      <c r="K85" s="126"/>
      <c r="L85" s="126"/>
      <c r="M85" s="126"/>
      <c r="N85" s="126"/>
      <c r="O85" s="126"/>
      <c r="P85" s="126"/>
      <c r="Q85" s="126"/>
      <c r="R85" s="126"/>
      <c r="S85" s="126"/>
      <c r="T85" s="126"/>
      <c r="U85" s="126"/>
      <c r="V85" s="126"/>
      <c r="W85" s="126"/>
      <c r="X85" s="126"/>
      <c r="Y85" s="126"/>
      <c r="Z85" s="126"/>
      <c r="AA85" s="126"/>
      <c r="AB85" s="126"/>
    </row>
    <row r="86" spans="1:28" ht="15.75" hidden="1" customHeight="1">
      <c r="A86" s="126"/>
      <c r="B86" s="126"/>
      <c r="C86" s="176"/>
      <c r="D86" s="176"/>
      <c r="E86" s="176"/>
      <c r="F86" s="176"/>
      <c r="G86" s="176"/>
      <c r="H86" s="176"/>
      <c r="I86" s="126"/>
      <c r="J86" s="126"/>
      <c r="K86" s="126"/>
      <c r="L86" s="126"/>
      <c r="M86" s="126"/>
      <c r="N86" s="126"/>
      <c r="O86" s="126"/>
      <c r="P86" s="126"/>
      <c r="Q86" s="126"/>
      <c r="R86" s="126"/>
      <c r="S86" s="126"/>
      <c r="T86" s="126"/>
      <c r="U86" s="126"/>
      <c r="V86" s="126"/>
      <c r="W86" s="126"/>
      <c r="X86" s="126"/>
      <c r="Y86" s="126"/>
      <c r="Z86" s="126"/>
      <c r="AA86" s="126"/>
      <c r="AB86" s="126"/>
    </row>
    <row r="87" spans="1:28" ht="15.75" hidden="1" customHeight="1">
      <c r="A87" s="126"/>
      <c r="B87" s="126"/>
      <c r="C87" s="176"/>
      <c r="D87" s="176"/>
      <c r="E87" s="176"/>
      <c r="F87" s="176"/>
      <c r="G87" s="176"/>
      <c r="H87" s="176"/>
      <c r="I87" s="126"/>
      <c r="J87" s="126"/>
      <c r="K87" s="126"/>
      <c r="L87" s="126"/>
      <c r="M87" s="126"/>
      <c r="N87" s="126"/>
      <c r="O87" s="126"/>
      <c r="P87" s="126"/>
      <c r="Q87" s="126"/>
      <c r="R87" s="126"/>
      <c r="S87" s="126"/>
      <c r="T87" s="126"/>
      <c r="U87" s="126"/>
      <c r="V87" s="126"/>
      <c r="W87" s="126"/>
      <c r="X87" s="126"/>
      <c r="Y87" s="126"/>
      <c r="Z87" s="126"/>
      <c r="AA87" s="126"/>
      <c r="AB87" s="126"/>
    </row>
    <row r="88" spans="1:28" ht="15.75" hidden="1" customHeight="1">
      <c r="A88" s="126"/>
      <c r="B88" s="126"/>
      <c r="C88" s="176"/>
      <c r="D88" s="176"/>
      <c r="E88" s="176"/>
      <c r="F88" s="176"/>
      <c r="G88" s="176"/>
      <c r="H88" s="176"/>
      <c r="I88" s="126"/>
      <c r="J88" s="126"/>
      <c r="K88" s="126"/>
      <c r="L88" s="126"/>
      <c r="M88" s="126"/>
      <c r="N88" s="126"/>
      <c r="O88" s="126"/>
      <c r="P88" s="126"/>
      <c r="Q88" s="126"/>
      <c r="R88" s="126"/>
      <c r="S88" s="126"/>
      <c r="T88" s="126"/>
      <c r="U88" s="126"/>
      <c r="V88" s="126"/>
      <c r="W88" s="126"/>
      <c r="X88" s="126"/>
      <c r="Y88" s="126"/>
      <c r="Z88" s="126"/>
      <c r="AA88" s="126"/>
      <c r="AB88" s="126"/>
    </row>
    <row r="89" spans="1:28" ht="15.75" hidden="1" customHeight="1">
      <c r="A89" s="126"/>
      <c r="B89" s="126"/>
      <c r="C89" s="176"/>
      <c r="D89" s="176"/>
      <c r="E89" s="176"/>
      <c r="F89" s="176"/>
      <c r="G89" s="176"/>
      <c r="H89" s="176"/>
      <c r="I89" s="126"/>
      <c r="J89" s="126"/>
      <c r="K89" s="126"/>
      <c r="L89" s="126"/>
      <c r="M89" s="126"/>
      <c r="N89" s="126"/>
      <c r="O89" s="126"/>
      <c r="P89" s="126"/>
      <c r="Q89" s="126"/>
      <c r="R89" s="126"/>
      <c r="S89" s="126"/>
      <c r="T89" s="126"/>
      <c r="U89" s="126"/>
      <c r="V89" s="126"/>
      <c r="W89" s="126"/>
      <c r="X89" s="126"/>
      <c r="Y89" s="126"/>
      <c r="Z89" s="126"/>
      <c r="AA89" s="126"/>
      <c r="AB89" s="126"/>
    </row>
    <row r="90" spans="1:28" ht="15.75" hidden="1" customHeight="1">
      <c r="A90" s="126"/>
      <c r="B90" s="126"/>
      <c r="C90" s="176"/>
      <c r="D90" s="176"/>
      <c r="E90" s="176"/>
      <c r="F90" s="176"/>
      <c r="G90" s="176"/>
      <c r="H90" s="176"/>
      <c r="I90" s="126"/>
      <c r="J90" s="126"/>
      <c r="K90" s="126"/>
      <c r="L90" s="126"/>
      <c r="M90" s="126"/>
      <c r="N90" s="126"/>
      <c r="O90" s="126"/>
      <c r="P90" s="126"/>
      <c r="Q90" s="126"/>
      <c r="R90" s="126"/>
      <c r="S90" s="126"/>
      <c r="T90" s="126"/>
      <c r="U90" s="126"/>
      <c r="V90" s="126"/>
      <c r="W90" s="126"/>
      <c r="X90" s="126"/>
      <c r="Y90" s="126"/>
      <c r="Z90" s="126"/>
      <c r="AA90" s="126"/>
      <c r="AB90" s="126"/>
    </row>
    <row r="91" spans="1:28" ht="15.75" hidden="1" customHeight="1">
      <c r="A91" s="126"/>
      <c r="B91" s="126"/>
      <c r="C91" s="176"/>
      <c r="D91" s="176"/>
      <c r="E91" s="176"/>
      <c r="F91" s="176"/>
      <c r="G91" s="176"/>
      <c r="H91" s="176"/>
      <c r="I91" s="126"/>
      <c r="J91" s="126"/>
      <c r="K91" s="126"/>
      <c r="L91" s="126"/>
      <c r="M91" s="126"/>
      <c r="N91" s="126"/>
      <c r="O91" s="126"/>
      <c r="P91" s="126"/>
      <c r="Q91" s="126"/>
      <c r="R91" s="126"/>
      <c r="S91" s="126"/>
      <c r="T91" s="126"/>
      <c r="U91" s="126"/>
      <c r="V91" s="126"/>
      <c r="W91" s="126"/>
      <c r="X91" s="126"/>
      <c r="Y91" s="126"/>
      <c r="Z91" s="126"/>
      <c r="AA91" s="126"/>
      <c r="AB91" s="126"/>
    </row>
    <row r="92" spans="1:28" ht="15.75" hidden="1" customHeight="1">
      <c r="A92" s="126"/>
      <c r="B92" s="126"/>
      <c r="C92" s="176"/>
      <c r="D92" s="176"/>
      <c r="E92" s="176"/>
      <c r="F92" s="176"/>
      <c r="G92" s="176"/>
      <c r="H92" s="176"/>
      <c r="I92" s="126"/>
      <c r="J92" s="126"/>
      <c r="K92" s="126"/>
      <c r="L92" s="126"/>
      <c r="M92" s="126"/>
      <c r="N92" s="126"/>
      <c r="O92" s="126"/>
      <c r="P92" s="126"/>
      <c r="Q92" s="126"/>
      <c r="R92" s="126"/>
      <c r="S92" s="126"/>
      <c r="T92" s="126"/>
      <c r="U92" s="126"/>
      <c r="V92" s="126"/>
      <c r="W92" s="126"/>
      <c r="X92" s="126"/>
      <c r="Y92" s="126"/>
      <c r="Z92" s="126"/>
      <c r="AA92" s="126"/>
      <c r="AB92" s="126"/>
    </row>
    <row r="93" spans="1:28" ht="15.75" hidden="1" customHeight="1">
      <c r="A93" s="126"/>
      <c r="B93" s="126"/>
      <c r="C93" s="176"/>
      <c r="D93" s="176"/>
      <c r="E93" s="176"/>
      <c r="F93" s="176"/>
      <c r="G93" s="176"/>
      <c r="H93" s="176"/>
      <c r="I93" s="126"/>
      <c r="J93" s="126"/>
      <c r="K93" s="126"/>
      <c r="L93" s="126"/>
      <c r="M93" s="126"/>
      <c r="N93" s="126"/>
      <c r="O93" s="126"/>
      <c r="P93" s="126"/>
      <c r="Q93" s="126"/>
      <c r="R93" s="126"/>
      <c r="S93" s="126"/>
      <c r="T93" s="126"/>
      <c r="U93" s="126"/>
      <c r="V93" s="126"/>
      <c r="W93" s="126"/>
      <c r="X93" s="126"/>
      <c r="Y93" s="126"/>
      <c r="Z93" s="126"/>
      <c r="AA93" s="126"/>
      <c r="AB93" s="126"/>
    </row>
    <row r="94" spans="1:28" ht="15.75" hidden="1" customHeight="1">
      <c r="A94" s="126"/>
      <c r="B94" s="126"/>
      <c r="C94" s="176"/>
      <c r="D94" s="176"/>
      <c r="E94" s="176"/>
      <c r="F94" s="176"/>
      <c r="G94" s="176"/>
      <c r="H94" s="176"/>
      <c r="I94" s="126"/>
      <c r="J94" s="126"/>
      <c r="K94" s="126"/>
      <c r="L94" s="126"/>
      <c r="M94" s="126"/>
      <c r="N94" s="126"/>
      <c r="O94" s="126"/>
      <c r="P94" s="126"/>
      <c r="Q94" s="126"/>
      <c r="R94" s="126"/>
      <c r="S94" s="126"/>
      <c r="T94" s="126"/>
      <c r="U94" s="126"/>
      <c r="V94" s="126"/>
      <c r="W94" s="126"/>
      <c r="X94" s="126"/>
      <c r="Y94" s="126"/>
      <c r="Z94" s="126"/>
      <c r="AA94" s="126"/>
      <c r="AB94" s="126"/>
    </row>
    <row r="95" spans="1:28" ht="15.75" hidden="1" customHeight="1">
      <c r="A95" s="126"/>
      <c r="B95" s="126"/>
      <c r="C95" s="176"/>
      <c r="D95" s="176"/>
      <c r="E95" s="176"/>
      <c r="F95" s="176"/>
      <c r="G95" s="176"/>
      <c r="H95" s="176"/>
      <c r="I95" s="126"/>
      <c r="J95" s="126"/>
      <c r="K95" s="126"/>
      <c r="L95" s="126"/>
      <c r="M95" s="126"/>
      <c r="N95" s="126"/>
      <c r="O95" s="126"/>
      <c r="P95" s="126"/>
      <c r="Q95" s="126"/>
      <c r="R95" s="126"/>
      <c r="S95" s="126"/>
      <c r="T95" s="126"/>
      <c r="U95" s="126"/>
      <c r="V95" s="126"/>
      <c r="W95" s="126"/>
      <c r="X95" s="126"/>
      <c r="Y95" s="126"/>
      <c r="Z95" s="126"/>
      <c r="AA95" s="126"/>
      <c r="AB95" s="126"/>
    </row>
    <row r="96" spans="1:28" ht="15.75" hidden="1" customHeight="1">
      <c r="A96" s="126"/>
      <c r="B96" s="126"/>
      <c r="C96" s="176"/>
      <c r="D96" s="176"/>
      <c r="E96" s="176"/>
      <c r="F96" s="176"/>
      <c r="G96" s="176"/>
      <c r="H96" s="176"/>
      <c r="I96" s="126"/>
      <c r="J96" s="126"/>
      <c r="K96" s="126"/>
      <c r="L96" s="126"/>
      <c r="M96" s="126"/>
      <c r="N96" s="126"/>
      <c r="O96" s="126"/>
      <c r="P96" s="126"/>
      <c r="Q96" s="126"/>
      <c r="R96" s="126"/>
      <c r="S96" s="126"/>
      <c r="T96" s="126"/>
      <c r="U96" s="126"/>
      <c r="V96" s="126"/>
      <c r="W96" s="126"/>
      <c r="X96" s="126"/>
      <c r="Y96" s="126"/>
      <c r="Z96" s="126"/>
      <c r="AA96" s="126"/>
      <c r="AB96" s="126"/>
    </row>
    <row r="97" spans="1:28" ht="15.75" hidden="1" customHeight="1">
      <c r="A97" s="126"/>
      <c r="B97" s="126"/>
      <c r="C97" s="176"/>
      <c r="D97" s="176"/>
      <c r="E97" s="176"/>
      <c r="F97" s="176"/>
      <c r="G97" s="176"/>
      <c r="H97" s="176"/>
      <c r="I97" s="126"/>
      <c r="J97" s="126"/>
      <c r="K97" s="126"/>
      <c r="L97" s="126"/>
      <c r="M97" s="126"/>
      <c r="N97" s="126"/>
      <c r="O97" s="126"/>
      <c r="P97" s="126"/>
      <c r="Q97" s="126"/>
      <c r="R97" s="126"/>
      <c r="S97" s="126"/>
      <c r="T97" s="126"/>
      <c r="U97" s="126"/>
      <c r="V97" s="126"/>
      <c r="W97" s="126"/>
      <c r="X97" s="126"/>
      <c r="Y97" s="126"/>
      <c r="Z97" s="126"/>
      <c r="AA97" s="126"/>
      <c r="AB97" s="126"/>
    </row>
    <row r="98" spans="1:28" ht="15.75" hidden="1" customHeight="1">
      <c r="A98" s="126"/>
      <c r="B98" s="126"/>
      <c r="C98" s="176"/>
      <c r="D98" s="176"/>
      <c r="E98" s="176"/>
      <c r="F98" s="176"/>
      <c r="G98" s="176"/>
      <c r="H98" s="176"/>
      <c r="I98" s="126"/>
      <c r="J98" s="126"/>
      <c r="K98" s="126"/>
      <c r="L98" s="126"/>
      <c r="M98" s="126"/>
      <c r="N98" s="126"/>
      <c r="O98" s="126"/>
      <c r="P98" s="126"/>
      <c r="Q98" s="126"/>
      <c r="R98" s="126"/>
      <c r="S98" s="126"/>
      <c r="T98" s="126"/>
      <c r="U98" s="126"/>
      <c r="V98" s="126"/>
      <c r="W98" s="126"/>
      <c r="X98" s="126"/>
      <c r="Y98" s="126"/>
      <c r="Z98" s="126"/>
      <c r="AA98" s="126"/>
      <c r="AB98" s="126"/>
    </row>
    <row r="99" spans="1:28" ht="15.75" hidden="1" customHeight="1">
      <c r="A99" s="126"/>
      <c r="B99" s="126"/>
      <c r="C99" s="176"/>
      <c r="D99" s="176"/>
      <c r="E99" s="176"/>
      <c r="F99" s="176"/>
      <c r="G99" s="176"/>
      <c r="H99" s="176"/>
      <c r="I99" s="126"/>
      <c r="J99" s="126"/>
      <c r="K99" s="126"/>
      <c r="L99" s="126"/>
      <c r="M99" s="126"/>
      <c r="N99" s="126"/>
      <c r="O99" s="126"/>
      <c r="P99" s="126"/>
      <c r="Q99" s="126"/>
      <c r="R99" s="126"/>
      <c r="S99" s="126"/>
      <c r="T99" s="126"/>
      <c r="U99" s="126"/>
      <c r="V99" s="126"/>
      <c r="W99" s="126"/>
      <c r="X99" s="126"/>
      <c r="Y99" s="126"/>
      <c r="Z99" s="126"/>
      <c r="AA99" s="126"/>
      <c r="AB99" s="126"/>
    </row>
    <row r="100" spans="1:28" ht="15.75" hidden="1" customHeight="1">
      <c r="A100" s="126"/>
      <c r="B100" s="126"/>
      <c r="C100" s="176"/>
      <c r="D100" s="176"/>
      <c r="E100" s="176"/>
      <c r="F100" s="176"/>
      <c r="G100" s="176"/>
      <c r="H100" s="176"/>
      <c r="I100" s="126"/>
      <c r="J100" s="126"/>
      <c r="K100" s="126"/>
      <c r="L100" s="126"/>
      <c r="M100" s="126"/>
      <c r="N100" s="126"/>
      <c r="O100" s="126"/>
      <c r="P100" s="126"/>
      <c r="Q100" s="126"/>
      <c r="R100" s="126"/>
      <c r="S100" s="126"/>
      <c r="T100" s="126"/>
      <c r="U100" s="126"/>
      <c r="V100" s="126"/>
      <c r="W100" s="126"/>
      <c r="X100" s="126"/>
      <c r="Y100" s="126"/>
      <c r="Z100" s="126"/>
      <c r="AA100" s="126"/>
      <c r="AB100" s="126"/>
    </row>
    <row r="101" spans="1:28" ht="15.75" hidden="1" customHeight="1">
      <c r="A101" s="126"/>
      <c r="B101" s="126"/>
      <c r="C101" s="176"/>
      <c r="D101" s="176"/>
      <c r="E101" s="176"/>
      <c r="F101" s="176"/>
      <c r="G101" s="176"/>
      <c r="H101" s="176"/>
      <c r="I101" s="126"/>
      <c r="J101" s="126"/>
      <c r="K101" s="126"/>
      <c r="L101" s="126"/>
      <c r="M101" s="126"/>
      <c r="N101" s="126"/>
      <c r="O101" s="126"/>
      <c r="P101" s="126"/>
      <c r="Q101" s="126"/>
      <c r="R101" s="126"/>
      <c r="S101" s="126"/>
      <c r="T101" s="126"/>
      <c r="U101" s="126"/>
      <c r="V101" s="126"/>
      <c r="W101" s="126"/>
      <c r="X101" s="126"/>
      <c r="Y101" s="126"/>
      <c r="Z101" s="126"/>
      <c r="AA101" s="126"/>
      <c r="AB101" s="126"/>
    </row>
    <row r="102" spans="1:28" ht="15.75" hidden="1" customHeight="1">
      <c r="A102" s="126"/>
      <c r="B102" s="126"/>
      <c r="C102" s="176"/>
      <c r="D102" s="176"/>
      <c r="E102" s="176"/>
      <c r="F102" s="176"/>
      <c r="G102" s="176"/>
      <c r="H102" s="176"/>
      <c r="I102" s="126"/>
      <c r="J102" s="126"/>
      <c r="K102" s="126"/>
      <c r="L102" s="126"/>
      <c r="M102" s="126"/>
      <c r="N102" s="126"/>
      <c r="O102" s="126"/>
      <c r="P102" s="126"/>
      <c r="Q102" s="126"/>
      <c r="R102" s="126"/>
      <c r="S102" s="126"/>
      <c r="T102" s="126"/>
      <c r="U102" s="126"/>
      <c r="V102" s="126"/>
      <c r="W102" s="126"/>
      <c r="X102" s="126"/>
      <c r="Y102" s="126"/>
      <c r="Z102" s="126"/>
      <c r="AA102" s="126"/>
      <c r="AB102" s="126"/>
    </row>
    <row r="103" spans="1:28" ht="15.75" hidden="1" customHeight="1">
      <c r="A103" s="126"/>
      <c r="B103" s="126"/>
      <c r="C103" s="176"/>
      <c r="D103" s="176"/>
      <c r="E103" s="176"/>
      <c r="F103" s="176"/>
      <c r="G103" s="176"/>
      <c r="H103" s="176"/>
      <c r="I103" s="126"/>
      <c r="J103" s="126"/>
      <c r="K103" s="126"/>
      <c r="L103" s="126"/>
      <c r="M103" s="126"/>
      <c r="N103" s="126"/>
      <c r="O103" s="126"/>
      <c r="P103" s="126"/>
      <c r="Q103" s="126"/>
      <c r="R103" s="126"/>
      <c r="S103" s="126"/>
      <c r="T103" s="126"/>
      <c r="U103" s="126"/>
      <c r="V103" s="126"/>
      <c r="W103" s="126"/>
      <c r="X103" s="126"/>
      <c r="Y103" s="126"/>
      <c r="Z103" s="126"/>
      <c r="AA103" s="126"/>
      <c r="AB103" s="126"/>
    </row>
    <row r="104" spans="1:28" ht="15.75" hidden="1" customHeight="1">
      <c r="A104" s="126"/>
      <c r="B104" s="126"/>
      <c r="C104" s="176"/>
      <c r="D104" s="176"/>
      <c r="E104" s="176"/>
      <c r="F104" s="176"/>
      <c r="G104" s="176"/>
      <c r="H104" s="176"/>
      <c r="I104" s="126"/>
      <c r="J104" s="126"/>
      <c r="K104" s="126"/>
      <c r="L104" s="126"/>
      <c r="M104" s="126"/>
      <c r="N104" s="126"/>
      <c r="O104" s="126"/>
      <c r="P104" s="126"/>
      <c r="Q104" s="126"/>
      <c r="R104" s="126"/>
      <c r="S104" s="126"/>
      <c r="T104" s="126"/>
      <c r="U104" s="126"/>
      <c r="V104" s="126"/>
      <c r="W104" s="126"/>
      <c r="X104" s="126"/>
      <c r="Y104" s="126"/>
      <c r="Z104" s="126"/>
      <c r="AA104" s="126"/>
      <c r="AB104" s="126"/>
    </row>
    <row r="105" spans="1:28" ht="15.75" hidden="1" customHeight="1">
      <c r="A105" s="126"/>
      <c r="B105" s="126"/>
      <c r="C105" s="176"/>
      <c r="D105" s="176"/>
      <c r="E105" s="176"/>
      <c r="F105" s="176"/>
      <c r="G105" s="176"/>
      <c r="H105" s="176"/>
      <c r="I105" s="126"/>
      <c r="J105" s="126"/>
      <c r="K105" s="126"/>
      <c r="L105" s="126"/>
      <c r="M105" s="126"/>
      <c r="N105" s="126"/>
      <c r="O105" s="126"/>
      <c r="P105" s="126"/>
      <c r="Q105" s="126"/>
      <c r="R105" s="126"/>
      <c r="S105" s="126"/>
      <c r="T105" s="126"/>
      <c r="U105" s="126"/>
      <c r="V105" s="126"/>
      <c r="W105" s="126"/>
      <c r="X105" s="126"/>
      <c r="Y105" s="126"/>
      <c r="Z105" s="126"/>
      <c r="AA105" s="126"/>
      <c r="AB105" s="126"/>
    </row>
    <row r="106" spans="1:28" ht="15.75" hidden="1" customHeight="1">
      <c r="A106" s="126"/>
      <c r="B106" s="126"/>
      <c r="C106" s="176"/>
      <c r="D106" s="176"/>
      <c r="E106" s="176"/>
      <c r="F106" s="176"/>
      <c r="G106" s="176"/>
      <c r="H106" s="176"/>
      <c r="I106" s="126"/>
      <c r="J106" s="126"/>
      <c r="K106" s="126"/>
      <c r="L106" s="126"/>
      <c r="M106" s="126"/>
      <c r="N106" s="126"/>
      <c r="O106" s="126"/>
      <c r="P106" s="126"/>
      <c r="Q106" s="126"/>
      <c r="R106" s="126"/>
      <c r="S106" s="126"/>
      <c r="T106" s="126"/>
      <c r="U106" s="126"/>
      <c r="V106" s="126"/>
      <c r="W106" s="126"/>
      <c r="X106" s="126"/>
      <c r="Y106" s="126"/>
      <c r="Z106" s="126"/>
      <c r="AA106" s="126"/>
      <c r="AB106" s="126"/>
    </row>
    <row r="107" spans="1:28" ht="15.75" hidden="1" customHeight="1">
      <c r="A107" s="126"/>
      <c r="B107" s="126"/>
      <c r="C107" s="176"/>
      <c r="D107" s="176"/>
      <c r="E107" s="176"/>
      <c r="F107" s="176"/>
      <c r="G107" s="176"/>
      <c r="H107" s="176"/>
      <c r="I107" s="126"/>
      <c r="J107" s="126"/>
      <c r="K107" s="126"/>
      <c r="L107" s="126"/>
      <c r="M107" s="126"/>
      <c r="N107" s="126"/>
      <c r="O107" s="126"/>
      <c r="P107" s="126"/>
      <c r="Q107" s="126"/>
      <c r="R107" s="126"/>
      <c r="S107" s="126"/>
      <c r="T107" s="126"/>
      <c r="U107" s="126"/>
      <c r="V107" s="126"/>
      <c r="W107" s="126"/>
      <c r="X107" s="126"/>
      <c r="Y107" s="126"/>
      <c r="Z107" s="126"/>
      <c r="AA107" s="126"/>
      <c r="AB107" s="126"/>
    </row>
    <row r="108" spans="1:28" ht="15.75" hidden="1" customHeight="1">
      <c r="A108" s="126"/>
      <c r="B108" s="126"/>
      <c r="C108" s="176"/>
      <c r="D108" s="176"/>
      <c r="E108" s="176"/>
      <c r="F108" s="176"/>
      <c r="G108" s="176"/>
      <c r="H108" s="176"/>
      <c r="I108" s="126"/>
      <c r="J108" s="126"/>
      <c r="K108" s="126"/>
      <c r="L108" s="126"/>
      <c r="M108" s="126"/>
      <c r="N108" s="126"/>
      <c r="O108" s="126"/>
      <c r="P108" s="126"/>
      <c r="Q108" s="126"/>
      <c r="R108" s="126"/>
      <c r="S108" s="126"/>
      <c r="T108" s="126"/>
      <c r="U108" s="126"/>
      <c r="V108" s="126"/>
      <c r="W108" s="126"/>
      <c r="X108" s="126"/>
      <c r="Y108" s="126"/>
      <c r="Z108" s="126"/>
      <c r="AA108" s="126"/>
      <c r="AB108" s="126"/>
    </row>
    <row r="109" spans="1:28" ht="15.75" hidden="1" customHeight="1">
      <c r="A109" s="126"/>
      <c r="B109" s="126"/>
      <c r="C109" s="176"/>
      <c r="D109" s="176"/>
      <c r="E109" s="176"/>
      <c r="F109" s="176"/>
      <c r="G109" s="176"/>
      <c r="H109" s="176"/>
      <c r="I109" s="126"/>
      <c r="J109" s="126"/>
      <c r="K109" s="126"/>
      <c r="L109" s="126"/>
      <c r="M109" s="126"/>
      <c r="N109" s="126"/>
      <c r="O109" s="126"/>
      <c r="P109" s="126"/>
      <c r="Q109" s="126"/>
      <c r="R109" s="126"/>
      <c r="S109" s="126"/>
      <c r="T109" s="126"/>
      <c r="U109" s="126"/>
      <c r="V109" s="126"/>
      <c r="W109" s="126"/>
      <c r="X109" s="126"/>
      <c r="Y109" s="126"/>
      <c r="Z109" s="126"/>
      <c r="AA109" s="126"/>
      <c r="AB109" s="126"/>
    </row>
    <row r="110" spans="1:28" ht="15.75" hidden="1" customHeight="1">
      <c r="A110" s="126"/>
      <c r="B110" s="126"/>
      <c r="C110" s="176"/>
      <c r="D110" s="176"/>
      <c r="E110" s="176"/>
      <c r="F110" s="176"/>
      <c r="G110" s="176"/>
      <c r="H110" s="176"/>
      <c r="I110" s="126"/>
      <c r="J110" s="126"/>
      <c r="K110" s="126"/>
      <c r="L110" s="126"/>
      <c r="M110" s="126"/>
      <c r="N110" s="126"/>
      <c r="O110" s="126"/>
      <c r="P110" s="126"/>
      <c r="Q110" s="126"/>
      <c r="R110" s="126"/>
      <c r="S110" s="126"/>
      <c r="T110" s="126"/>
      <c r="U110" s="126"/>
      <c r="V110" s="126"/>
      <c r="W110" s="126"/>
      <c r="X110" s="126"/>
      <c r="Y110" s="126"/>
      <c r="Z110" s="126"/>
      <c r="AA110" s="126"/>
      <c r="AB110" s="126"/>
    </row>
    <row r="111" spans="1:28" ht="15.75" hidden="1" customHeight="1">
      <c r="A111" s="126"/>
      <c r="B111" s="126"/>
      <c r="C111" s="176"/>
      <c r="D111" s="176"/>
      <c r="E111" s="176"/>
      <c r="F111" s="176"/>
      <c r="G111" s="176"/>
      <c r="H111" s="176"/>
      <c r="I111" s="126"/>
      <c r="J111" s="126"/>
      <c r="K111" s="126"/>
      <c r="L111" s="126"/>
      <c r="M111" s="126"/>
      <c r="N111" s="126"/>
      <c r="O111" s="126"/>
      <c r="P111" s="126"/>
      <c r="Q111" s="126"/>
      <c r="R111" s="126"/>
      <c r="S111" s="126"/>
      <c r="T111" s="126"/>
      <c r="U111" s="126"/>
      <c r="V111" s="126"/>
      <c r="W111" s="126"/>
      <c r="X111" s="126"/>
      <c r="Y111" s="126"/>
      <c r="Z111" s="126"/>
      <c r="AA111" s="126"/>
      <c r="AB111" s="126"/>
    </row>
    <row r="112" spans="1:28" ht="15.75" hidden="1" customHeight="1">
      <c r="A112" s="126"/>
      <c r="B112" s="126"/>
      <c r="C112" s="176"/>
      <c r="D112" s="176"/>
      <c r="E112" s="176"/>
      <c r="F112" s="176"/>
      <c r="G112" s="176"/>
      <c r="H112" s="176"/>
      <c r="I112" s="126"/>
      <c r="J112" s="126"/>
      <c r="K112" s="126"/>
      <c r="L112" s="126"/>
      <c r="M112" s="126"/>
      <c r="N112" s="126"/>
      <c r="O112" s="126"/>
      <c r="P112" s="126"/>
      <c r="Q112" s="126"/>
      <c r="R112" s="126"/>
      <c r="S112" s="126"/>
      <c r="T112" s="126"/>
      <c r="U112" s="126"/>
      <c r="V112" s="126"/>
      <c r="W112" s="126"/>
      <c r="X112" s="126"/>
      <c r="Y112" s="126"/>
      <c r="Z112" s="126"/>
      <c r="AA112" s="126"/>
      <c r="AB112" s="126"/>
    </row>
    <row r="113" spans="1:28" ht="15.75" hidden="1" customHeight="1">
      <c r="A113" s="126"/>
      <c r="B113" s="126"/>
      <c r="C113" s="176"/>
      <c r="D113" s="176"/>
      <c r="E113" s="176"/>
      <c r="F113" s="176"/>
      <c r="G113" s="176"/>
      <c r="H113" s="176"/>
      <c r="I113" s="126"/>
      <c r="J113" s="126"/>
      <c r="K113" s="126"/>
      <c r="L113" s="126"/>
      <c r="M113" s="126"/>
      <c r="N113" s="126"/>
      <c r="O113" s="126"/>
      <c r="P113" s="126"/>
      <c r="Q113" s="126"/>
      <c r="R113" s="126"/>
      <c r="S113" s="126"/>
      <c r="T113" s="126"/>
      <c r="U113" s="126"/>
      <c r="V113" s="126"/>
      <c r="W113" s="126"/>
      <c r="X113" s="126"/>
      <c r="Y113" s="126"/>
      <c r="Z113" s="126"/>
      <c r="AA113" s="126"/>
      <c r="AB113" s="126"/>
    </row>
    <row r="114" spans="1:28" ht="15.75" hidden="1" customHeight="1">
      <c r="A114" s="126"/>
      <c r="B114" s="126"/>
      <c r="C114" s="176"/>
      <c r="D114" s="176"/>
      <c r="E114" s="176"/>
      <c r="F114" s="176"/>
      <c r="G114" s="176"/>
      <c r="H114" s="176"/>
      <c r="I114" s="126"/>
      <c r="J114" s="126"/>
      <c r="K114" s="126"/>
      <c r="L114" s="126"/>
      <c r="M114" s="126"/>
      <c r="N114" s="126"/>
      <c r="O114" s="126"/>
      <c r="P114" s="126"/>
      <c r="Q114" s="126"/>
      <c r="R114" s="126"/>
      <c r="S114" s="126"/>
      <c r="T114" s="126"/>
      <c r="U114" s="126"/>
      <c r="V114" s="126"/>
      <c r="W114" s="126"/>
      <c r="X114" s="126"/>
      <c r="Y114" s="126"/>
      <c r="Z114" s="126"/>
      <c r="AA114" s="126"/>
      <c r="AB114" s="126"/>
    </row>
    <row r="115" spans="1:28" ht="15.75" hidden="1" customHeight="1">
      <c r="A115" s="126"/>
      <c r="B115" s="126"/>
      <c r="C115" s="176"/>
      <c r="D115" s="176"/>
      <c r="E115" s="176"/>
      <c r="F115" s="176"/>
      <c r="G115" s="176"/>
      <c r="H115" s="176"/>
      <c r="I115" s="126"/>
      <c r="J115" s="126"/>
      <c r="K115" s="126"/>
      <c r="L115" s="126"/>
      <c r="M115" s="126"/>
      <c r="N115" s="126"/>
      <c r="O115" s="126"/>
      <c r="P115" s="126"/>
      <c r="Q115" s="126"/>
      <c r="R115" s="126"/>
      <c r="S115" s="126"/>
      <c r="T115" s="126"/>
      <c r="U115" s="126"/>
      <c r="V115" s="126"/>
      <c r="W115" s="126"/>
      <c r="X115" s="126"/>
      <c r="Y115" s="126"/>
      <c r="Z115" s="126"/>
      <c r="AA115" s="126"/>
      <c r="AB115" s="126"/>
    </row>
    <row r="116" spans="1:28" ht="15.75" hidden="1" customHeight="1">
      <c r="A116" s="126"/>
      <c r="B116" s="126"/>
      <c r="C116" s="176"/>
      <c r="D116" s="176"/>
      <c r="E116" s="176"/>
      <c r="F116" s="176"/>
      <c r="G116" s="176"/>
      <c r="H116" s="176"/>
      <c r="I116" s="126"/>
      <c r="J116" s="126"/>
      <c r="K116" s="126"/>
      <c r="L116" s="126"/>
      <c r="M116" s="126"/>
      <c r="N116" s="126"/>
      <c r="O116" s="126"/>
      <c r="P116" s="126"/>
      <c r="Q116" s="126"/>
      <c r="R116" s="126"/>
      <c r="S116" s="126"/>
      <c r="T116" s="126"/>
      <c r="U116" s="126"/>
      <c r="V116" s="126"/>
      <c r="W116" s="126"/>
      <c r="X116" s="126"/>
      <c r="Y116" s="126"/>
      <c r="Z116" s="126"/>
      <c r="AA116" s="126"/>
      <c r="AB116" s="126"/>
    </row>
    <row r="117" spans="1:28" ht="15.75" hidden="1" customHeight="1">
      <c r="A117" s="126"/>
      <c r="B117" s="126"/>
      <c r="C117" s="176"/>
      <c r="D117" s="176"/>
      <c r="E117" s="176"/>
      <c r="F117" s="176"/>
      <c r="G117" s="176"/>
      <c r="H117" s="176"/>
      <c r="I117" s="126"/>
      <c r="J117" s="126"/>
      <c r="K117" s="126"/>
      <c r="L117" s="126"/>
      <c r="M117" s="126"/>
      <c r="N117" s="126"/>
      <c r="O117" s="126"/>
      <c r="P117" s="126"/>
      <c r="Q117" s="126"/>
      <c r="R117" s="126"/>
      <c r="S117" s="126"/>
      <c r="T117" s="126"/>
      <c r="U117" s="126"/>
      <c r="V117" s="126"/>
      <c r="W117" s="126"/>
      <c r="X117" s="126"/>
      <c r="Y117" s="126"/>
      <c r="Z117" s="126"/>
      <c r="AA117" s="126"/>
      <c r="AB117" s="126"/>
    </row>
    <row r="118" spans="1:28" ht="15.75" hidden="1" customHeight="1">
      <c r="A118" s="126"/>
      <c r="B118" s="126"/>
      <c r="C118" s="176"/>
      <c r="D118" s="176"/>
      <c r="E118" s="176"/>
      <c r="F118" s="176"/>
      <c r="G118" s="176"/>
      <c r="H118" s="176"/>
      <c r="I118" s="126"/>
      <c r="J118" s="126"/>
      <c r="K118" s="126"/>
      <c r="L118" s="126"/>
      <c r="M118" s="126"/>
      <c r="N118" s="126"/>
      <c r="O118" s="126"/>
      <c r="P118" s="126"/>
      <c r="Q118" s="126"/>
      <c r="R118" s="126"/>
      <c r="S118" s="126"/>
      <c r="T118" s="126"/>
      <c r="U118" s="126"/>
      <c r="V118" s="126"/>
      <c r="W118" s="126"/>
      <c r="X118" s="126"/>
      <c r="Y118" s="126"/>
      <c r="Z118" s="126"/>
      <c r="AA118" s="126"/>
      <c r="AB118" s="126"/>
    </row>
    <row r="119" spans="1:28" ht="15.75" hidden="1" customHeight="1">
      <c r="A119" s="126"/>
      <c r="B119" s="126"/>
      <c r="C119" s="176"/>
      <c r="D119" s="176"/>
      <c r="E119" s="176"/>
      <c r="F119" s="176"/>
      <c r="G119" s="176"/>
      <c r="H119" s="176"/>
      <c r="I119" s="126"/>
      <c r="J119" s="126"/>
      <c r="K119" s="126"/>
      <c r="L119" s="126"/>
      <c r="M119" s="126"/>
      <c r="N119" s="126"/>
      <c r="O119" s="126"/>
      <c r="P119" s="126"/>
      <c r="Q119" s="126"/>
      <c r="R119" s="126"/>
      <c r="S119" s="126"/>
      <c r="T119" s="126"/>
      <c r="U119" s="126"/>
      <c r="V119" s="126"/>
      <c r="W119" s="126"/>
      <c r="X119" s="126"/>
      <c r="Y119" s="126"/>
      <c r="Z119" s="126"/>
      <c r="AA119" s="126"/>
      <c r="AB119" s="126"/>
    </row>
    <row r="120" spans="1:28" ht="15" hidden="1" customHeight="1">
      <c r="A120" s="126"/>
      <c r="B120" s="126"/>
      <c r="C120" s="176"/>
      <c r="D120" s="176"/>
      <c r="E120" s="176"/>
      <c r="F120" s="176"/>
      <c r="G120" s="176"/>
      <c r="H120" s="176"/>
      <c r="I120" s="126"/>
      <c r="J120" s="126"/>
      <c r="K120" s="126"/>
      <c r="L120" s="126"/>
      <c r="M120" s="126"/>
      <c r="N120" s="126"/>
      <c r="O120" s="126"/>
      <c r="P120" s="126"/>
      <c r="Q120" s="126"/>
      <c r="R120" s="126"/>
      <c r="S120" s="126"/>
      <c r="T120" s="126"/>
      <c r="U120" s="126"/>
      <c r="V120" s="126"/>
      <c r="W120" s="126"/>
      <c r="X120" s="126"/>
      <c r="Y120" s="126"/>
      <c r="Z120" s="126"/>
      <c r="AA120" s="126"/>
      <c r="AB120" s="126"/>
    </row>
    <row r="121" spans="1:28" ht="15" hidden="1" customHeight="1">
      <c r="A121" s="126"/>
      <c r="B121" s="126"/>
      <c r="C121" s="176"/>
      <c r="D121" s="176"/>
      <c r="E121" s="176"/>
      <c r="F121" s="176"/>
      <c r="G121" s="176"/>
      <c r="H121" s="176"/>
      <c r="I121" s="126"/>
      <c r="J121" s="126"/>
      <c r="K121" s="126"/>
      <c r="L121" s="126"/>
      <c r="M121" s="126"/>
      <c r="N121" s="126"/>
      <c r="O121" s="126"/>
      <c r="P121" s="126"/>
      <c r="Q121" s="126"/>
      <c r="R121" s="126"/>
      <c r="S121" s="126"/>
      <c r="T121" s="126"/>
      <c r="U121" s="126"/>
      <c r="V121" s="126"/>
      <c r="W121" s="126"/>
      <c r="X121" s="126"/>
      <c r="Y121" s="126"/>
      <c r="Z121" s="126"/>
      <c r="AA121" s="126"/>
      <c r="AB121" s="126"/>
    </row>
    <row r="122" spans="1:28" ht="15" hidden="1" customHeight="1">
      <c r="A122" s="126"/>
      <c r="B122" s="126"/>
      <c r="C122" s="176"/>
      <c r="D122" s="176"/>
      <c r="E122" s="176"/>
      <c r="F122" s="176"/>
      <c r="G122" s="176"/>
      <c r="H122" s="176"/>
      <c r="I122" s="126"/>
      <c r="J122" s="126"/>
      <c r="K122" s="126"/>
      <c r="L122" s="126"/>
      <c r="M122" s="126"/>
      <c r="N122" s="126"/>
      <c r="O122" s="126"/>
      <c r="P122" s="126"/>
      <c r="Q122" s="126"/>
      <c r="R122" s="126"/>
      <c r="S122" s="126"/>
      <c r="T122" s="126"/>
      <c r="U122" s="126"/>
      <c r="V122" s="126"/>
      <c r="W122" s="126"/>
      <c r="X122" s="126"/>
      <c r="Y122" s="126"/>
      <c r="Z122" s="126"/>
      <c r="AA122" s="126"/>
      <c r="AB122" s="126"/>
    </row>
    <row r="123" spans="1:28" ht="15" hidden="1" customHeight="1">
      <c r="A123" s="126"/>
      <c r="B123" s="126"/>
      <c r="C123" s="176"/>
      <c r="D123" s="176"/>
      <c r="E123" s="176"/>
      <c r="F123" s="176"/>
      <c r="G123" s="176"/>
      <c r="H123" s="176"/>
      <c r="I123" s="126"/>
      <c r="J123" s="126"/>
      <c r="K123" s="126"/>
      <c r="L123" s="126"/>
      <c r="M123" s="126"/>
      <c r="N123" s="126"/>
      <c r="O123" s="126"/>
      <c r="P123" s="126"/>
      <c r="Q123" s="126"/>
      <c r="R123" s="126"/>
      <c r="S123" s="126"/>
      <c r="T123" s="126"/>
      <c r="U123" s="126"/>
      <c r="V123" s="126"/>
      <c r="W123" s="126"/>
      <c r="X123" s="126"/>
      <c r="Y123" s="126"/>
      <c r="Z123" s="126"/>
      <c r="AA123" s="126"/>
      <c r="AB123" s="126"/>
    </row>
    <row r="124" spans="1:28" ht="15" hidden="1" customHeight="1">
      <c r="A124" s="126"/>
      <c r="B124" s="126"/>
      <c r="C124" s="176"/>
      <c r="D124" s="176"/>
      <c r="E124" s="176"/>
      <c r="F124" s="176"/>
      <c r="G124" s="176"/>
      <c r="H124" s="176"/>
      <c r="I124" s="126"/>
      <c r="J124" s="126"/>
      <c r="K124" s="126"/>
      <c r="L124" s="126"/>
      <c r="M124" s="126"/>
      <c r="N124" s="126"/>
      <c r="O124" s="126"/>
      <c r="P124" s="126"/>
      <c r="Q124" s="126"/>
      <c r="R124" s="126"/>
      <c r="S124" s="126"/>
      <c r="T124" s="126"/>
      <c r="U124" s="126"/>
      <c r="V124" s="126"/>
      <c r="W124" s="126"/>
      <c r="X124" s="126"/>
      <c r="Y124" s="126"/>
      <c r="Z124" s="126"/>
      <c r="AA124" s="126"/>
      <c r="AB124" s="126"/>
    </row>
    <row r="125" spans="1:28" ht="15" hidden="1" customHeight="1">
      <c r="A125" s="126"/>
      <c r="B125" s="126"/>
      <c r="C125" s="176"/>
      <c r="D125" s="176"/>
      <c r="E125" s="176"/>
      <c r="F125" s="176"/>
      <c r="G125" s="176"/>
      <c r="H125" s="176"/>
      <c r="I125" s="126"/>
      <c r="J125" s="126"/>
      <c r="K125" s="126"/>
      <c r="L125" s="126"/>
      <c r="M125" s="126"/>
      <c r="N125" s="126"/>
      <c r="O125" s="126"/>
      <c r="P125" s="126"/>
      <c r="Q125" s="126"/>
      <c r="R125" s="126"/>
      <c r="S125" s="126"/>
      <c r="T125" s="126"/>
      <c r="U125" s="126"/>
      <c r="V125" s="126"/>
      <c r="W125" s="126"/>
      <c r="X125" s="126"/>
      <c r="Y125" s="126"/>
      <c r="Z125" s="126"/>
      <c r="AA125" s="126"/>
      <c r="AB125" s="126"/>
    </row>
    <row r="126" spans="1:28" ht="15.75" customHeight="1">
      <c r="A126" s="126"/>
      <c r="B126" s="126"/>
      <c r="C126" s="176"/>
      <c r="D126" s="176"/>
      <c r="E126" s="176"/>
      <c r="F126" s="176"/>
      <c r="G126" s="176"/>
      <c r="H126" s="176"/>
      <c r="I126" s="126"/>
      <c r="J126" s="126"/>
      <c r="K126" s="126"/>
      <c r="L126" s="126"/>
      <c r="M126" s="126"/>
      <c r="N126" s="126"/>
      <c r="O126" s="126"/>
      <c r="P126" s="126"/>
      <c r="Q126" s="126"/>
      <c r="R126" s="126"/>
      <c r="S126" s="126"/>
      <c r="T126" s="126"/>
      <c r="U126" s="126"/>
      <c r="V126" s="126"/>
      <c r="W126" s="126"/>
      <c r="X126" s="126"/>
      <c r="Y126" s="126"/>
      <c r="Z126" s="126"/>
      <c r="AA126" s="126"/>
      <c r="AB126" s="126"/>
    </row>
    <row r="127" spans="1:28" ht="15.75" customHeight="1">
      <c r="A127" s="126"/>
      <c r="B127" s="126"/>
      <c r="C127" s="176"/>
      <c r="D127" s="176"/>
      <c r="E127" s="176"/>
      <c r="F127" s="176"/>
      <c r="G127" s="176"/>
      <c r="H127" s="176"/>
      <c r="I127" s="126"/>
      <c r="J127" s="126"/>
      <c r="K127" s="126"/>
      <c r="L127" s="126"/>
      <c r="M127" s="126"/>
      <c r="N127" s="126"/>
      <c r="O127" s="126"/>
      <c r="P127" s="126"/>
      <c r="Q127" s="126"/>
      <c r="R127" s="126"/>
      <c r="S127" s="126"/>
      <c r="T127" s="126"/>
      <c r="U127" s="126"/>
      <c r="V127" s="126"/>
      <c r="W127" s="126"/>
      <c r="X127" s="126"/>
      <c r="Y127" s="126"/>
      <c r="Z127" s="126"/>
      <c r="AA127" s="126"/>
      <c r="AB127" s="126"/>
    </row>
    <row r="128" spans="1:28" ht="15.75" customHeight="1">
      <c r="A128" s="126"/>
      <c r="B128" s="126"/>
      <c r="C128" s="176"/>
      <c r="D128" s="176"/>
      <c r="E128" s="176"/>
      <c r="F128" s="176"/>
      <c r="G128" s="176"/>
      <c r="H128" s="176"/>
      <c r="I128" s="126"/>
      <c r="J128" s="126"/>
      <c r="K128" s="126"/>
      <c r="L128" s="126"/>
      <c r="M128" s="126"/>
      <c r="N128" s="126"/>
      <c r="O128" s="126"/>
      <c r="P128" s="126"/>
      <c r="Q128" s="126"/>
      <c r="R128" s="126"/>
      <c r="S128" s="126"/>
      <c r="T128" s="126"/>
      <c r="U128" s="126"/>
      <c r="V128" s="126"/>
      <c r="W128" s="126"/>
      <c r="X128" s="126"/>
      <c r="Y128" s="126"/>
      <c r="Z128" s="126"/>
      <c r="AA128" s="126"/>
      <c r="AB128" s="126"/>
    </row>
    <row r="129" spans="1:28" ht="15.75" customHeight="1">
      <c r="A129" s="126"/>
      <c r="B129" s="126"/>
      <c r="C129" s="176"/>
      <c r="D129" s="176"/>
      <c r="E129" s="176"/>
      <c r="F129" s="176"/>
      <c r="G129" s="176"/>
      <c r="H129" s="176"/>
      <c r="I129" s="126"/>
      <c r="J129" s="126"/>
      <c r="K129" s="126"/>
      <c r="L129" s="126"/>
      <c r="M129" s="126"/>
      <c r="N129" s="126"/>
      <c r="O129" s="126"/>
      <c r="P129" s="126"/>
      <c r="Q129" s="126"/>
      <c r="R129" s="126"/>
      <c r="S129" s="126"/>
      <c r="T129" s="126"/>
      <c r="U129" s="126"/>
      <c r="V129" s="126"/>
      <c r="W129" s="126"/>
      <c r="X129" s="126"/>
      <c r="Y129" s="126"/>
      <c r="Z129" s="126"/>
      <c r="AA129" s="126"/>
      <c r="AB129" s="126"/>
    </row>
    <row r="130" spans="1:28" ht="15.75" customHeight="1">
      <c r="A130" s="126"/>
      <c r="B130" s="126"/>
      <c r="C130" s="176"/>
      <c r="D130" s="176"/>
      <c r="E130" s="176"/>
      <c r="F130" s="176"/>
      <c r="G130" s="176"/>
      <c r="H130" s="176"/>
      <c r="I130" s="126"/>
      <c r="J130" s="126"/>
      <c r="K130" s="126"/>
      <c r="L130" s="126"/>
      <c r="M130" s="126"/>
      <c r="N130" s="126"/>
      <c r="O130" s="126"/>
      <c r="P130" s="126"/>
      <c r="Q130" s="126"/>
      <c r="R130" s="126"/>
      <c r="S130" s="126"/>
      <c r="T130" s="126"/>
      <c r="U130" s="126"/>
      <c r="V130" s="126"/>
      <c r="W130" s="126"/>
      <c r="X130" s="126"/>
      <c r="Y130" s="126"/>
      <c r="Z130" s="126"/>
      <c r="AA130" s="126"/>
      <c r="AB130" s="126"/>
    </row>
    <row r="131" spans="1:28" ht="15.75" customHeight="1">
      <c r="A131" s="126"/>
      <c r="B131" s="126"/>
      <c r="C131" s="176"/>
      <c r="D131" s="176"/>
      <c r="E131" s="176"/>
      <c r="F131" s="176"/>
      <c r="G131" s="176"/>
      <c r="H131" s="176"/>
      <c r="I131" s="126"/>
      <c r="J131" s="126"/>
      <c r="K131" s="126"/>
      <c r="L131" s="126"/>
      <c r="M131" s="126"/>
      <c r="N131" s="126"/>
      <c r="O131" s="126"/>
      <c r="P131" s="126"/>
      <c r="Q131" s="126"/>
      <c r="R131" s="126"/>
      <c r="S131" s="126"/>
      <c r="T131" s="126"/>
      <c r="U131" s="126"/>
      <c r="V131" s="126"/>
      <c r="W131" s="126"/>
      <c r="X131" s="126"/>
      <c r="Y131" s="126"/>
      <c r="Z131" s="126"/>
      <c r="AA131" s="126"/>
      <c r="AB131" s="126"/>
    </row>
    <row r="132" spans="1:28" ht="15.75" customHeight="1">
      <c r="A132" s="126"/>
      <c r="B132" s="126"/>
      <c r="C132" s="176"/>
      <c r="D132" s="176"/>
      <c r="E132" s="176"/>
      <c r="F132" s="176"/>
      <c r="G132" s="176"/>
      <c r="H132" s="176"/>
      <c r="I132" s="126"/>
      <c r="J132" s="126"/>
      <c r="K132" s="126"/>
      <c r="L132" s="126"/>
      <c r="M132" s="126"/>
      <c r="N132" s="126"/>
      <c r="O132" s="126"/>
      <c r="P132" s="126"/>
      <c r="Q132" s="126"/>
      <c r="R132" s="126"/>
      <c r="S132" s="126"/>
      <c r="T132" s="126"/>
      <c r="U132" s="126"/>
      <c r="V132" s="126"/>
      <c r="W132" s="126"/>
      <c r="X132" s="126"/>
      <c r="Y132" s="126"/>
      <c r="Z132" s="126"/>
      <c r="AA132" s="126"/>
      <c r="AB132" s="126"/>
    </row>
    <row r="133" spans="1:28" ht="15.75" customHeight="1">
      <c r="A133" s="126"/>
      <c r="B133" s="126"/>
      <c r="C133" s="176"/>
      <c r="D133" s="176"/>
      <c r="E133" s="176"/>
      <c r="F133" s="176"/>
      <c r="G133" s="176"/>
      <c r="H133" s="176"/>
      <c r="I133" s="126"/>
      <c r="J133" s="126"/>
      <c r="K133" s="126"/>
      <c r="L133" s="126"/>
      <c r="M133" s="126"/>
      <c r="N133" s="126"/>
      <c r="O133" s="126"/>
      <c r="P133" s="126"/>
      <c r="Q133" s="126"/>
      <c r="R133" s="126"/>
      <c r="S133" s="126"/>
      <c r="T133" s="126"/>
      <c r="U133" s="126"/>
      <c r="V133" s="126"/>
      <c r="W133" s="126"/>
      <c r="X133" s="126"/>
      <c r="Y133" s="126"/>
      <c r="Z133" s="126"/>
      <c r="AA133" s="126"/>
      <c r="AB133" s="126"/>
    </row>
    <row r="134" spans="1:28" ht="15.75" customHeight="1">
      <c r="A134" s="126"/>
      <c r="B134" s="126"/>
      <c r="C134" s="176"/>
      <c r="D134" s="176"/>
      <c r="E134" s="176"/>
      <c r="F134" s="176"/>
      <c r="G134" s="176"/>
      <c r="H134" s="176"/>
      <c r="I134" s="126"/>
      <c r="J134" s="126"/>
      <c r="K134" s="126"/>
      <c r="L134" s="126"/>
      <c r="M134" s="126"/>
      <c r="N134" s="126"/>
      <c r="O134" s="126"/>
      <c r="P134" s="126"/>
      <c r="Q134" s="126"/>
      <c r="R134" s="126"/>
      <c r="S134" s="126"/>
      <c r="T134" s="126"/>
      <c r="U134" s="126"/>
      <c r="V134" s="126"/>
      <c r="W134" s="126"/>
      <c r="X134" s="126"/>
      <c r="Y134" s="126"/>
      <c r="Z134" s="126"/>
      <c r="AA134" s="126"/>
      <c r="AB134" s="126"/>
    </row>
    <row r="135" spans="1:28" ht="15.75" customHeight="1">
      <c r="A135" s="126"/>
      <c r="B135" s="126"/>
      <c r="C135" s="176"/>
      <c r="D135" s="176"/>
      <c r="E135" s="176"/>
      <c r="F135" s="176"/>
      <c r="G135" s="176"/>
      <c r="H135" s="176"/>
      <c r="I135" s="126"/>
      <c r="J135" s="126"/>
      <c r="K135" s="126"/>
      <c r="L135" s="126"/>
      <c r="M135" s="126"/>
      <c r="N135" s="126"/>
      <c r="O135" s="126"/>
      <c r="P135" s="126"/>
      <c r="Q135" s="126"/>
      <c r="R135" s="126"/>
      <c r="S135" s="126"/>
      <c r="T135" s="126"/>
      <c r="U135" s="126"/>
      <c r="V135" s="126"/>
      <c r="W135" s="126"/>
      <c r="X135" s="126"/>
      <c r="Y135" s="126"/>
      <c r="Z135" s="126"/>
      <c r="AA135" s="126"/>
      <c r="AB135" s="126"/>
    </row>
    <row r="136" spans="1:28" ht="15.75" customHeight="1">
      <c r="A136" s="126"/>
      <c r="B136" s="126"/>
      <c r="C136" s="176"/>
      <c r="D136" s="176"/>
      <c r="E136" s="176"/>
      <c r="F136" s="176"/>
      <c r="G136" s="176"/>
      <c r="H136" s="176"/>
      <c r="I136" s="126"/>
      <c r="J136" s="126"/>
      <c r="K136" s="126"/>
      <c r="L136" s="126"/>
      <c r="M136" s="126"/>
      <c r="N136" s="126"/>
      <c r="O136" s="126"/>
      <c r="P136" s="126"/>
      <c r="Q136" s="126"/>
      <c r="R136" s="126"/>
      <c r="S136" s="126"/>
      <c r="T136" s="126"/>
      <c r="U136" s="126"/>
      <c r="V136" s="126"/>
      <c r="W136" s="126"/>
      <c r="X136" s="126"/>
      <c r="Y136" s="126"/>
      <c r="Z136" s="126"/>
      <c r="AA136" s="126"/>
      <c r="AB136" s="126"/>
    </row>
    <row r="137" spans="1:28" ht="15.75" customHeight="1">
      <c r="A137" s="126"/>
      <c r="B137" s="126"/>
      <c r="C137" s="176"/>
      <c r="D137" s="176"/>
      <c r="E137" s="176"/>
      <c r="F137" s="176"/>
      <c r="G137" s="176"/>
      <c r="H137" s="176"/>
      <c r="I137" s="126"/>
      <c r="J137" s="126"/>
      <c r="K137" s="126"/>
      <c r="L137" s="126"/>
      <c r="M137" s="126"/>
      <c r="N137" s="126"/>
      <c r="O137" s="126"/>
      <c r="P137" s="126"/>
      <c r="Q137" s="126"/>
      <c r="R137" s="126"/>
      <c r="S137" s="126"/>
      <c r="T137" s="126"/>
      <c r="U137" s="126"/>
      <c r="V137" s="126"/>
      <c r="W137" s="126"/>
      <c r="X137" s="126"/>
      <c r="Y137" s="126"/>
      <c r="Z137" s="126"/>
      <c r="AA137" s="126"/>
      <c r="AB137" s="126"/>
    </row>
    <row r="138" spans="1:28" ht="15.75" customHeight="1">
      <c r="A138" s="126"/>
      <c r="B138" s="126"/>
      <c r="C138" s="176"/>
      <c r="D138" s="176"/>
      <c r="E138" s="176"/>
      <c r="F138" s="176"/>
      <c r="G138" s="176"/>
      <c r="H138" s="176"/>
      <c r="I138" s="126"/>
      <c r="J138" s="126"/>
      <c r="K138" s="126"/>
      <c r="L138" s="126"/>
      <c r="M138" s="126"/>
      <c r="N138" s="126"/>
      <c r="O138" s="126"/>
      <c r="P138" s="126"/>
      <c r="Q138" s="126"/>
      <c r="R138" s="126"/>
      <c r="S138" s="126"/>
      <c r="T138" s="126"/>
      <c r="U138" s="126"/>
      <c r="V138" s="126"/>
      <c r="W138" s="126"/>
      <c r="X138" s="126"/>
      <c r="Y138" s="126"/>
      <c r="Z138" s="126"/>
      <c r="AA138" s="126"/>
      <c r="AB138" s="126"/>
    </row>
    <row r="139" spans="1:28" ht="15.75" customHeight="1">
      <c r="A139" s="126"/>
      <c r="B139" s="126"/>
      <c r="C139" s="176"/>
      <c r="D139" s="176"/>
      <c r="E139" s="176"/>
      <c r="F139" s="176"/>
      <c r="G139" s="176"/>
      <c r="H139" s="176"/>
      <c r="I139" s="126"/>
      <c r="J139" s="126"/>
      <c r="K139" s="126"/>
      <c r="L139" s="126"/>
      <c r="M139" s="126"/>
      <c r="N139" s="126"/>
      <c r="O139" s="126"/>
      <c r="P139" s="126"/>
      <c r="Q139" s="126"/>
      <c r="R139" s="126"/>
      <c r="S139" s="126"/>
      <c r="T139" s="126"/>
      <c r="U139" s="126"/>
      <c r="V139" s="126"/>
      <c r="W139" s="126"/>
      <c r="X139" s="126"/>
      <c r="Y139" s="126"/>
      <c r="Z139" s="126"/>
      <c r="AA139" s="126"/>
      <c r="AB139" s="126"/>
    </row>
    <row r="140" spans="1:28" ht="15.75" customHeight="1">
      <c r="A140" s="126"/>
      <c r="B140" s="126"/>
      <c r="C140" s="176"/>
      <c r="D140" s="176"/>
      <c r="E140" s="176"/>
      <c r="F140" s="176"/>
      <c r="G140" s="176"/>
      <c r="H140" s="176"/>
      <c r="I140" s="126"/>
      <c r="J140" s="126"/>
      <c r="K140" s="126"/>
      <c r="L140" s="126"/>
      <c r="M140" s="126"/>
      <c r="N140" s="126"/>
      <c r="O140" s="126"/>
      <c r="P140" s="126"/>
      <c r="Q140" s="126"/>
      <c r="R140" s="126"/>
      <c r="S140" s="126"/>
      <c r="T140" s="126"/>
      <c r="U140" s="126"/>
      <c r="V140" s="126"/>
      <c r="W140" s="126"/>
      <c r="X140" s="126"/>
      <c r="Y140" s="126"/>
      <c r="Z140" s="126"/>
      <c r="AA140" s="126"/>
      <c r="AB140" s="126"/>
    </row>
    <row r="141" spans="1:28" ht="15.75" customHeight="1">
      <c r="A141" s="126"/>
      <c r="B141" s="126"/>
      <c r="C141" s="176"/>
      <c r="D141" s="176"/>
      <c r="E141" s="176"/>
      <c r="F141" s="176"/>
      <c r="G141" s="176"/>
      <c r="H141" s="176"/>
      <c r="I141" s="126"/>
      <c r="J141" s="126"/>
      <c r="K141" s="126"/>
      <c r="L141" s="126"/>
      <c r="M141" s="126"/>
      <c r="N141" s="126"/>
      <c r="O141" s="126"/>
      <c r="P141" s="126"/>
      <c r="Q141" s="126"/>
      <c r="R141" s="126"/>
      <c r="S141" s="126"/>
      <c r="T141" s="126"/>
      <c r="U141" s="126"/>
      <c r="V141" s="126"/>
      <c r="W141" s="126"/>
      <c r="X141" s="126"/>
      <c r="Y141" s="126"/>
      <c r="Z141" s="126"/>
      <c r="AA141" s="126"/>
      <c r="AB141" s="126"/>
    </row>
    <row r="142" spans="1:28" ht="15.75" customHeight="1">
      <c r="A142" s="126"/>
      <c r="B142" s="126"/>
      <c r="C142" s="176"/>
      <c r="D142" s="176"/>
      <c r="E142" s="176"/>
      <c r="F142" s="176"/>
      <c r="G142" s="176"/>
      <c r="H142" s="176"/>
      <c r="I142" s="126"/>
      <c r="J142" s="126"/>
      <c r="K142" s="126"/>
      <c r="L142" s="126"/>
      <c r="M142" s="126"/>
      <c r="N142" s="126"/>
      <c r="O142" s="126"/>
      <c r="P142" s="126"/>
      <c r="Q142" s="126"/>
      <c r="R142" s="126"/>
      <c r="S142" s="126"/>
      <c r="T142" s="126"/>
      <c r="U142" s="126"/>
      <c r="V142" s="126"/>
      <c r="W142" s="126"/>
      <c r="X142" s="126"/>
      <c r="Y142" s="126"/>
      <c r="Z142" s="126"/>
      <c r="AA142" s="126"/>
      <c r="AB142" s="126"/>
    </row>
    <row r="143" spans="1:28" ht="15.75" customHeight="1">
      <c r="A143" s="126"/>
      <c r="B143" s="126"/>
      <c r="C143" s="176"/>
      <c r="D143" s="176"/>
      <c r="E143" s="176"/>
      <c r="F143" s="176"/>
      <c r="G143" s="176"/>
      <c r="H143" s="176"/>
      <c r="I143" s="126"/>
      <c r="J143" s="126"/>
      <c r="K143" s="126"/>
      <c r="L143" s="126"/>
      <c r="M143" s="126"/>
      <c r="N143" s="126"/>
      <c r="O143" s="126"/>
      <c r="P143" s="126"/>
      <c r="Q143" s="126"/>
      <c r="R143" s="126"/>
      <c r="S143" s="126"/>
      <c r="T143" s="126"/>
      <c r="U143" s="126"/>
      <c r="V143" s="126"/>
      <c r="W143" s="126"/>
      <c r="X143" s="126"/>
      <c r="Y143" s="126"/>
      <c r="Z143" s="126"/>
      <c r="AA143" s="126"/>
      <c r="AB143" s="126"/>
    </row>
    <row r="144" spans="1:28" ht="15.75" customHeight="1">
      <c r="A144" s="126"/>
      <c r="B144" s="126"/>
      <c r="C144" s="176"/>
      <c r="D144" s="176"/>
      <c r="E144" s="176"/>
      <c r="F144" s="176"/>
      <c r="G144" s="176"/>
      <c r="H144" s="176"/>
      <c r="I144" s="126"/>
      <c r="J144" s="126"/>
      <c r="K144" s="126"/>
      <c r="L144" s="126"/>
      <c r="M144" s="126"/>
      <c r="N144" s="126"/>
      <c r="O144" s="126"/>
      <c r="P144" s="126"/>
      <c r="Q144" s="126"/>
      <c r="R144" s="126"/>
      <c r="S144" s="126"/>
      <c r="T144" s="126"/>
      <c r="U144" s="126"/>
      <c r="V144" s="126"/>
      <c r="W144" s="126"/>
      <c r="X144" s="126"/>
      <c r="Y144" s="126"/>
      <c r="Z144" s="126"/>
      <c r="AA144" s="126"/>
      <c r="AB144" s="126"/>
    </row>
    <row r="145" spans="1:28" ht="15.75" customHeight="1">
      <c r="A145" s="126"/>
      <c r="B145" s="126"/>
      <c r="C145" s="176"/>
      <c r="D145" s="176"/>
      <c r="E145" s="176"/>
      <c r="F145" s="176"/>
      <c r="G145" s="176"/>
      <c r="H145" s="176"/>
      <c r="I145" s="126"/>
      <c r="J145" s="126"/>
      <c r="K145" s="126"/>
      <c r="L145" s="126"/>
      <c r="M145" s="126"/>
      <c r="N145" s="126"/>
      <c r="O145" s="126"/>
      <c r="P145" s="126"/>
      <c r="Q145" s="126"/>
      <c r="R145" s="126"/>
      <c r="S145" s="126"/>
      <c r="T145" s="126"/>
      <c r="U145" s="126"/>
      <c r="V145" s="126"/>
      <c r="W145" s="126"/>
      <c r="X145" s="126"/>
      <c r="Y145" s="126"/>
      <c r="Z145" s="126"/>
      <c r="AA145" s="126"/>
      <c r="AB145" s="126"/>
    </row>
    <row r="146" spans="1:28" ht="15.75" customHeight="1">
      <c r="A146" s="126"/>
      <c r="B146" s="126"/>
      <c r="C146" s="176"/>
      <c r="D146" s="176"/>
      <c r="E146" s="176"/>
      <c r="F146" s="176"/>
      <c r="G146" s="176"/>
      <c r="H146" s="176"/>
      <c r="I146" s="126"/>
      <c r="J146" s="126"/>
      <c r="K146" s="126"/>
      <c r="L146" s="126"/>
      <c r="M146" s="126"/>
      <c r="N146" s="126"/>
      <c r="O146" s="126"/>
      <c r="P146" s="126"/>
      <c r="Q146" s="126"/>
      <c r="R146" s="126"/>
      <c r="S146" s="126"/>
      <c r="T146" s="126"/>
      <c r="U146" s="126"/>
      <c r="V146" s="126"/>
      <c r="W146" s="126"/>
      <c r="X146" s="126"/>
      <c r="Y146" s="126"/>
      <c r="Z146" s="126"/>
      <c r="AA146" s="126"/>
      <c r="AB146" s="126"/>
    </row>
    <row r="147" spans="1:28" ht="15.75" customHeight="1">
      <c r="A147" s="126"/>
      <c r="B147" s="126"/>
      <c r="C147" s="176"/>
      <c r="D147" s="176"/>
      <c r="E147" s="176"/>
      <c r="F147" s="176"/>
      <c r="G147" s="176"/>
      <c r="H147" s="176"/>
      <c r="I147" s="126"/>
      <c r="J147" s="126"/>
      <c r="K147" s="126"/>
      <c r="L147" s="126"/>
      <c r="M147" s="126"/>
      <c r="N147" s="126"/>
      <c r="O147" s="126"/>
      <c r="P147" s="126"/>
      <c r="Q147" s="126"/>
      <c r="R147" s="126"/>
      <c r="S147" s="126"/>
      <c r="T147" s="126"/>
      <c r="U147" s="126"/>
      <c r="V147" s="126"/>
      <c r="W147" s="126"/>
      <c r="X147" s="126"/>
      <c r="Y147" s="126"/>
      <c r="Z147" s="126"/>
      <c r="AA147" s="126"/>
      <c r="AB147" s="126"/>
    </row>
    <row r="148" spans="1:28" ht="15.75" customHeight="1">
      <c r="A148" s="126"/>
      <c r="B148" s="126"/>
      <c r="C148" s="176"/>
      <c r="D148" s="176"/>
      <c r="E148" s="176"/>
      <c r="F148" s="176"/>
      <c r="G148" s="176"/>
      <c r="H148" s="176"/>
      <c r="I148" s="126"/>
      <c r="J148" s="126"/>
      <c r="K148" s="126"/>
      <c r="L148" s="126"/>
      <c r="M148" s="126"/>
      <c r="N148" s="126"/>
      <c r="O148" s="126"/>
      <c r="P148" s="126"/>
      <c r="Q148" s="126"/>
      <c r="R148" s="126"/>
      <c r="S148" s="126"/>
      <c r="T148" s="126"/>
      <c r="U148" s="126"/>
      <c r="V148" s="126"/>
      <c r="W148" s="126"/>
      <c r="X148" s="126"/>
      <c r="Y148" s="126"/>
      <c r="Z148" s="126"/>
      <c r="AA148" s="126"/>
      <c r="AB148" s="126"/>
    </row>
    <row r="149" spans="1:28" ht="15.75" customHeight="1">
      <c r="A149" s="126"/>
      <c r="B149" s="126"/>
      <c r="C149" s="176"/>
      <c r="D149" s="176"/>
      <c r="E149" s="176"/>
      <c r="F149" s="176"/>
      <c r="G149" s="176"/>
      <c r="H149" s="176"/>
      <c r="I149" s="126"/>
      <c r="J149" s="126"/>
      <c r="K149" s="126"/>
      <c r="L149" s="126"/>
      <c r="M149" s="126"/>
      <c r="N149" s="126"/>
      <c r="O149" s="126"/>
      <c r="P149" s="126"/>
      <c r="Q149" s="126"/>
      <c r="R149" s="126"/>
      <c r="S149" s="126"/>
      <c r="T149" s="126"/>
      <c r="U149" s="126"/>
      <c r="V149" s="126"/>
      <c r="W149" s="126"/>
      <c r="X149" s="126"/>
      <c r="Y149" s="126"/>
      <c r="Z149" s="126"/>
      <c r="AA149" s="126"/>
      <c r="AB149" s="126"/>
    </row>
    <row r="150" spans="1:28" ht="15.75" customHeight="1">
      <c r="A150" s="126"/>
      <c r="B150" s="126"/>
      <c r="C150" s="176"/>
      <c r="D150" s="176"/>
      <c r="E150" s="176"/>
      <c r="F150" s="176"/>
      <c r="G150" s="176"/>
      <c r="H150" s="176"/>
      <c r="I150" s="126"/>
      <c r="J150" s="126"/>
      <c r="K150" s="126"/>
      <c r="L150" s="126"/>
      <c r="M150" s="126"/>
      <c r="N150" s="126"/>
      <c r="O150" s="126"/>
      <c r="P150" s="126"/>
      <c r="Q150" s="126"/>
      <c r="R150" s="126"/>
      <c r="S150" s="126"/>
      <c r="T150" s="126"/>
      <c r="U150" s="126"/>
      <c r="V150" s="126"/>
      <c r="W150" s="126"/>
      <c r="X150" s="126"/>
      <c r="Y150" s="126"/>
      <c r="Z150" s="126"/>
      <c r="AA150" s="126"/>
      <c r="AB150" s="126"/>
    </row>
    <row r="151" spans="1:28" ht="15.75" customHeight="1">
      <c r="A151" s="126"/>
      <c r="B151" s="126"/>
      <c r="C151" s="176"/>
      <c r="D151" s="176"/>
      <c r="E151" s="176"/>
      <c r="F151" s="176"/>
      <c r="G151" s="176"/>
      <c r="H151" s="176"/>
      <c r="I151" s="126"/>
      <c r="J151" s="126"/>
      <c r="K151" s="126"/>
      <c r="L151" s="126"/>
      <c r="M151" s="126"/>
      <c r="N151" s="126"/>
      <c r="O151" s="126"/>
      <c r="P151" s="126"/>
      <c r="Q151" s="126"/>
      <c r="R151" s="126"/>
      <c r="S151" s="126"/>
      <c r="T151" s="126"/>
      <c r="U151" s="126"/>
      <c r="V151" s="126"/>
      <c r="W151" s="126"/>
      <c r="X151" s="126"/>
      <c r="Y151" s="126"/>
      <c r="Z151" s="126"/>
      <c r="AA151" s="126"/>
      <c r="AB151" s="126"/>
    </row>
    <row r="152" spans="1:28" ht="15.75" customHeight="1">
      <c r="A152" s="126"/>
      <c r="B152" s="126"/>
      <c r="C152" s="176"/>
      <c r="D152" s="176"/>
      <c r="E152" s="176"/>
      <c r="F152" s="176"/>
      <c r="G152" s="176"/>
      <c r="H152" s="176"/>
      <c r="I152" s="126"/>
      <c r="J152" s="126"/>
      <c r="K152" s="126"/>
      <c r="L152" s="126"/>
      <c r="M152" s="126"/>
      <c r="N152" s="126"/>
      <c r="O152" s="126"/>
      <c r="P152" s="126"/>
      <c r="Q152" s="126"/>
      <c r="R152" s="126"/>
      <c r="S152" s="126"/>
      <c r="T152" s="126"/>
      <c r="U152" s="126"/>
      <c r="V152" s="126"/>
      <c r="W152" s="126"/>
      <c r="X152" s="126"/>
      <c r="Y152" s="126"/>
      <c r="Z152" s="126"/>
      <c r="AA152" s="126"/>
      <c r="AB152" s="126"/>
    </row>
    <row r="153" spans="1:28" ht="15.75" customHeight="1">
      <c r="A153" s="126"/>
      <c r="B153" s="126"/>
      <c r="C153" s="176"/>
      <c r="D153" s="176"/>
      <c r="E153" s="176"/>
      <c r="F153" s="176"/>
      <c r="G153" s="176"/>
      <c r="H153" s="176"/>
      <c r="I153" s="126"/>
      <c r="J153" s="126"/>
      <c r="K153" s="126"/>
      <c r="L153" s="126"/>
      <c r="M153" s="126"/>
      <c r="N153" s="126"/>
      <c r="O153" s="126"/>
      <c r="P153" s="126"/>
      <c r="Q153" s="126"/>
      <c r="R153" s="126"/>
      <c r="S153" s="126"/>
      <c r="T153" s="126"/>
      <c r="U153" s="126"/>
      <c r="V153" s="126"/>
      <c r="W153" s="126"/>
      <c r="X153" s="126"/>
      <c r="Y153" s="126"/>
      <c r="Z153" s="126"/>
      <c r="AA153" s="126"/>
      <c r="AB153" s="126"/>
    </row>
    <row r="154" spans="1:28" ht="15.75" customHeight="1">
      <c r="A154" s="126"/>
      <c r="B154" s="126"/>
      <c r="C154" s="176"/>
      <c r="D154" s="176"/>
      <c r="E154" s="176"/>
      <c r="F154" s="176"/>
      <c r="G154" s="176"/>
      <c r="H154" s="176"/>
      <c r="I154" s="126"/>
      <c r="J154" s="126"/>
      <c r="K154" s="126"/>
      <c r="L154" s="126"/>
      <c r="M154" s="126"/>
      <c r="N154" s="126"/>
      <c r="O154" s="126"/>
      <c r="P154" s="126"/>
      <c r="Q154" s="126"/>
      <c r="R154" s="126"/>
      <c r="S154" s="126"/>
      <c r="T154" s="126"/>
      <c r="U154" s="126"/>
      <c r="V154" s="126"/>
      <c r="W154" s="126"/>
      <c r="X154" s="126"/>
      <c r="Y154" s="126"/>
      <c r="Z154" s="126"/>
      <c r="AA154" s="126"/>
      <c r="AB154" s="126"/>
    </row>
    <row r="155" spans="1:28" ht="15.75" customHeight="1">
      <c r="A155" s="126"/>
      <c r="B155" s="126"/>
      <c r="C155" s="176"/>
      <c r="D155" s="176"/>
      <c r="E155" s="176"/>
      <c r="F155" s="176"/>
      <c r="G155" s="176"/>
      <c r="H155" s="176"/>
      <c r="I155" s="126"/>
      <c r="J155" s="126"/>
      <c r="K155" s="126"/>
      <c r="L155" s="126"/>
      <c r="M155" s="126"/>
      <c r="N155" s="126"/>
      <c r="O155" s="126"/>
      <c r="P155" s="126"/>
      <c r="Q155" s="126"/>
      <c r="R155" s="126"/>
      <c r="S155" s="126"/>
      <c r="T155" s="126"/>
      <c r="U155" s="126"/>
      <c r="V155" s="126"/>
      <c r="W155" s="126"/>
      <c r="X155" s="126"/>
      <c r="Y155" s="126"/>
      <c r="Z155" s="126"/>
      <c r="AA155" s="126"/>
      <c r="AB155" s="126"/>
    </row>
    <row r="156" spans="1:28" ht="15.75" customHeight="1">
      <c r="A156" s="126"/>
      <c r="B156" s="126"/>
      <c r="C156" s="176"/>
      <c r="D156" s="176"/>
      <c r="E156" s="176"/>
      <c r="F156" s="176"/>
      <c r="G156" s="176"/>
      <c r="H156" s="176"/>
      <c r="I156" s="126"/>
      <c r="J156" s="126"/>
      <c r="K156" s="126"/>
      <c r="L156" s="126"/>
      <c r="M156" s="126"/>
      <c r="N156" s="126"/>
      <c r="O156" s="126"/>
      <c r="P156" s="126"/>
      <c r="Q156" s="126"/>
      <c r="R156" s="126"/>
      <c r="S156" s="126"/>
      <c r="T156" s="126"/>
      <c r="U156" s="126"/>
      <c r="V156" s="126"/>
      <c r="W156" s="126"/>
      <c r="X156" s="126"/>
      <c r="Y156" s="126"/>
      <c r="Z156" s="126"/>
      <c r="AA156" s="126"/>
      <c r="AB156" s="126"/>
    </row>
    <row r="157" spans="1:28" ht="15.75" customHeight="1">
      <c r="A157" s="126"/>
      <c r="B157" s="126"/>
      <c r="C157" s="176"/>
      <c r="D157" s="176"/>
      <c r="E157" s="176"/>
      <c r="F157" s="176"/>
      <c r="G157" s="176"/>
      <c r="H157" s="176"/>
      <c r="I157" s="126"/>
      <c r="J157" s="126"/>
      <c r="K157" s="126"/>
      <c r="L157" s="126"/>
      <c r="M157" s="126"/>
      <c r="N157" s="126"/>
      <c r="O157" s="126"/>
      <c r="P157" s="126"/>
      <c r="Q157" s="126"/>
      <c r="R157" s="126"/>
      <c r="S157" s="126"/>
      <c r="T157" s="126"/>
      <c r="U157" s="126"/>
      <c r="V157" s="126"/>
      <c r="W157" s="126"/>
      <c r="X157" s="126"/>
      <c r="Y157" s="126"/>
      <c r="Z157" s="126"/>
      <c r="AA157" s="126"/>
      <c r="AB157" s="126"/>
    </row>
    <row r="158" spans="1:28" ht="15.75" customHeight="1">
      <c r="A158" s="126"/>
      <c r="B158" s="126"/>
      <c r="C158" s="176"/>
      <c r="D158" s="176"/>
      <c r="E158" s="176"/>
      <c r="F158" s="176"/>
      <c r="G158" s="176"/>
      <c r="H158" s="176"/>
      <c r="I158" s="126"/>
      <c r="J158" s="126"/>
      <c r="K158" s="126"/>
      <c r="L158" s="126"/>
      <c r="M158" s="126"/>
      <c r="N158" s="126"/>
      <c r="O158" s="126"/>
      <c r="P158" s="126"/>
      <c r="Q158" s="126"/>
      <c r="R158" s="126"/>
      <c r="S158" s="126"/>
      <c r="T158" s="126"/>
      <c r="U158" s="126"/>
      <c r="V158" s="126"/>
      <c r="W158" s="126"/>
      <c r="X158" s="126"/>
      <c r="Y158" s="126"/>
      <c r="Z158" s="126"/>
      <c r="AA158" s="126"/>
      <c r="AB158" s="126"/>
    </row>
    <row r="159" spans="1:28" ht="15.75" customHeight="1">
      <c r="A159" s="126"/>
      <c r="B159" s="126"/>
      <c r="C159" s="176"/>
      <c r="D159" s="176"/>
      <c r="E159" s="176"/>
      <c r="F159" s="176"/>
      <c r="G159" s="176"/>
      <c r="H159" s="176"/>
      <c r="I159" s="126"/>
      <c r="J159" s="126"/>
      <c r="K159" s="126"/>
      <c r="L159" s="126"/>
      <c r="M159" s="126"/>
      <c r="N159" s="126"/>
      <c r="O159" s="126"/>
      <c r="P159" s="126"/>
      <c r="Q159" s="126"/>
      <c r="R159" s="126"/>
      <c r="S159" s="126"/>
      <c r="T159" s="126"/>
      <c r="U159" s="126"/>
      <c r="V159" s="126"/>
      <c r="W159" s="126"/>
      <c r="X159" s="126"/>
      <c r="Y159" s="126"/>
      <c r="Z159" s="126"/>
      <c r="AA159" s="126"/>
      <c r="AB159" s="126"/>
    </row>
    <row r="160" spans="1:28" ht="15.75" customHeight="1">
      <c r="A160" s="126"/>
      <c r="B160" s="126"/>
      <c r="C160" s="176"/>
      <c r="D160" s="176"/>
      <c r="E160" s="176"/>
      <c r="F160" s="176"/>
      <c r="G160" s="176"/>
      <c r="H160" s="176"/>
      <c r="I160" s="126"/>
      <c r="J160" s="126"/>
      <c r="K160" s="126"/>
      <c r="L160" s="126"/>
      <c r="M160" s="126"/>
      <c r="N160" s="126"/>
      <c r="O160" s="126"/>
      <c r="P160" s="126"/>
      <c r="Q160" s="126"/>
      <c r="R160" s="126"/>
      <c r="S160" s="126"/>
      <c r="T160" s="126"/>
      <c r="U160" s="126"/>
      <c r="V160" s="126"/>
      <c r="W160" s="126"/>
      <c r="X160" s="126"/>
      <c r="Y160" s="126"/>
      <c r="Z160" s="126"/>
      <c r="AA160" s="126"/>
      <c r="AB160" s="126"/>
    </row>
    <row r="161" spans="1:28" ht="15.75" customHeight="1">
      <c r="A161" s="126"/>
      <c r="B161" s="126"/>
      <c r="C161" s="176"/>
      <c r="D161" s="176"/>
      <c r="E161" s="176"/>
      <c r="F161" s="176"/>
      <c r="G161" s="176"/>
      <c r="H161" s="176"/>
      <c r="I161" s="126"/>
      <c r="J161" s="126"/>
      <c r="K161" s="126"/>
      <c r="L161" s="126"/>
      <c r="M161" s="126"/>
      <c r="N161" s="126"/>
      <c r="O161" s="126"/>
      <c r="P161" s="126"/>
      <c r="Q161" s="126"/>
      <c r="R161" s="126"/>
      <c r="S161" s="126"/>
      <c r="T161" s="126"/>
      <c r="U161" s="126"/>
      <c r="V161" s="126"/>
      <c r="W161" s="126"/>
      <c r="X161" s="126"/>
      <c r="Y161" s="126"/>
      <c r="Z161" s="126"/>
      <c r="AA161" s="126"/>
      <c r="AB161" s="126"/>
    </row>
    <row r="162" spans="1:28" ht="15.75" customHeight="1">
      <c r="A162" s="126"/>
      <c r="B162" s="126"/>
      <c r="C162" s="176"/>
      <c r="D162" s="176"/>
      <c r="E162" s="176"/>
      <c r="F162" s="176"/>
      <c r="G162" s="176"/>
      <c r="H162" s="176"/>
      <c r="I162" s="126"/>
      <c r="J162" s="126"/>
      <c r="K162" s="126"/>
      <c r="L162" s="126"/>
      <c r="M162" s="126"/>
      <c r="N162" s="126"/>
      <c r="O162" s="126"/>
      <c r="P162" s="126"/>
      <c r="Q162" s="126"/>
      <c r="R162" s="126"/>
      <c r="S162" s="126"/>
      <c r="T162" s="126"/>
      <c r="U162" s="126"/>
      <c r="V162" s="126"/>
      <c r="W162" s="126"/>
      <c r="X162" s="126"/>
      <c r="Y162" s="126"/>
      <c r="Z162" s="126"/>
      <c r="AA162" s="126"/>
      <c r="AB162" s="126"/>
    </row>
    <row r="163" spans="1:28" ht="15.75" customHeight="1">
      <c r="A163" s="126"/>
      <c r="B163" s="126"/>
      <c r="C163" s="176"/>
      <c r="D163" s="176"/>
      <c r="E163" s="176"/>
      <c r="F163" s="176"/>
      <c r="G163" s="176"/>
      <c r="H163" s="176"/>
      <c r="I163" s="126"/>
      <c r="J163" s="126"/>
      <c r="K163" s="126"/>
      <c r="L163" s="126"/>
      <c r="M163" s="126"/>
      <c r="N163" s="126"/>
      <c r="O163" s="126"/>
      <c r="P163" s="126"/>
      <c r="Q163" s="126"/>
      <c r="R163" s="126"/>
      <c r="S163" s="126"/>
      <c r="T163" s="126"/>
      <c r="U163" s="126"/>
      <c r="V163" s="126"/>
      <c r="W163" s="126"/>
      <c r="X163" s="126"/>
      <c r="Y163" s="126"/>
      <c r="Z163" s="126"/>
      <c r="AA163" s="126"/>
      <c r="AB163" s="126"/>
    </row>
    <row r="164" spans="1:28" ht="15.75" customHeight="1">
      <c r="A164" s="126"/>
      <c r="B164" s="126"/>
      <c r="C164" s="176"/>
      <c r="D164" s="176"/>
      <c r="E164" s="176"/>
      <c r="F164" s="176"/>
      <c r="G164" s="176"/>
      <c r="H164" s="176"/>
      <c r="I164" s="126"/>
      <c r="J164" s="126"/>
      <c r="K164" s="126"/>
      <c r="L164" s="126"/>
      <c r="M164" s="126"/>
      <c r="N164" s="126"/>
      <c r="O164" s="126"/>
      <c r="P164" s="126"/>
      <c r="Q164" s="126"/>
      <c r="R164" s="126"/>
      <c r="S164" s="126"/>
      <c r="T164" s="126"/>
      <c r="U164" s="126"/>
      <c r="V164" s="126"/>
      <c r="W164" s="126"/>
      <c r="X164" s="126"/>
      <c r="Y164" s="126"/>
      <c r="Z164" s="126"/>
      <c r="AA164" s="126"/>
      <c r="AB164" s="126"/>
    </row>
    <row r="165" spans="1:28" ht="15.75" customHeight="1">
      <c r="A165" s="126"/>
      <c r="B165" s="126"/>
      <c r="C165" s="176"/>
      <c r="D165" s="176"/>
      <c r="E165" s="176"/>
      <c r="F165" s="176"/>
      <c r="G165" s="176"/>
      <c r="H165" s="176"/>
      <c r="I165" s="126"/>
      <c r="J165" s="126"/>
      <c r="K165" s="126"/>
      <c r="L165" s="126"/>
      <c r="M165" s="126"/>
      <c r="N165" s="126"/>
      <c r="O165" s="126"/>
      <c r="P165" s="126"/>
      <c r="Q165" s="126"/>
      <c r="R165" s="126"/>
      <c r="S165" s="126"/>
      <c r="T165" s="126"/>
      <c r="U165" s="126"/>
      <c r="V165" s="126"/>
      <c r="W165" s="126"/>
      <c r="X165" s="126"/>
      <c r="Y165" s="126"/>
      <c r="Z165" s="126"/>
      <c r="AA165" s="126"/>
      <c r="AB165" s="126"/>
    </row>
    <row r="166" spans="1:28" ht="15.75" customHeight="1">
      <c r="A166" s="126"/>
      <c r="B166" s="126"/>
      <c r="C166" s="176"/>
      <c r="D166" s="176"/>
      <c r="E166" s="176"/>
      <c r="F166" s="176"/>
      <c r="G166" s="176"/>
      <c r="H166" s="176"/>
      <c r="I166" s="126"/>
      <c r="J166" s="126"/>
      <c r="K166" s="126"/>
      <c r="L166" s="126"/>
      <c r="M166" s="126"/>
      <c r="N166" s="126"/>
      <c r="O166" s="126"/>
      <c r="P166" s="126"/>
      <c r="Q166" s="126"/>
      <c r="R166" s="126"/>
      <c r="S166" s="126"/>
      <c r="T166" s="126"/>
      <c r="U166" s="126"/>
      <c r="V166" s="126"/>
      <c r="W166" s="126"/>
      <c r="X166" s="126"/>
      <c r="Y166" s="126"/>
      <c r="Z166" s="126"/>
      <c r="AA166" s="126"/>
      <c r="AB166" s="126"/>
    </row>
    <row r="167" spans="1:28" ht="15.75" customHeight="1">
      <c r="A167" s="126"/>
      <c r="B167" s="126"/>
      <c r="C167" s="176"/>
      <c r="D167" s="176"/>
      <c r="E167" s="176"/>
      <c r="F167" s="176"/>
      <c r="G167" s="176"/>
      <c r="H167" s="176"/>
      <c r="I167" s="126"/>
      <c r="J167" s="126"/>
      <c r="K167" s="126"/>
      <c r="L167" s="126"/>
      <c r="M167" s="126"/>
      <c r="N167" s="126"/>
      <c r="O167" s="126"/>
      <c r="P167" s="126"/>
      <c r="Q167" s="126"/>
      <c r="R167" s="126"/>
      <c r="S167" s="126"/>
      <c r="T167" s="126"/>
      <c r="U167" s="126"/>
      <c r="V167" s="126"/>
      <c r="W167" s="126"/>
      <c r="X167" s="126"/>
      <c r="Y167" s="126"/>
      <c r="Z167" s="126"/>
      <c r="AA167" s="126"/>
      <c r="AB167" s="126"/>
    </row>
    <row r="168" spans="1:28" ht="15.75" customHeight="1">
      <c r="A168" s="126"/>
      <c r="B168" s="126"/>
      <c r="C168" s="176"/>
      <c r="D168" s="176"/>
      <c r="E168" s="176"/>
      <c r="F168" s="176"/>
      <c r="G168" s="176"/>
      <c r="H168" s="176"/>
      <c r="I168" s="126"/>
      <c r="J168" s="126"/>
      <c r="K168" s="126"/>
      <c r="L168" s="126"/>
      <c r="M168" s="126"/>
      <c r="N168" s="126"/>
      <c r="O168" s="126"/>
      <c r="P168" s="126"/>
      <c r="Q168" s="126"/>
      <c r="R168" s="126"/>
      <c r="S168" s="126"/>
      <c r="T168" s="126"/>
      <c r="U168" s="126"/>
      <c r="V168" s="126"/>
      <c r="W168" s="126"/>
      <c r="X168" s="126"/>
      <c r="Y168" s="126"/>
      <c r="Z168" s="126"/>
      <c r="AA168" s="126"/>
      <c r="AB168" s="126"/>
    </row>
    <row r="169" spans="1:28" ht="15.75" customHeight="1">
      <c r="A169" s="126"/>
      <c r="B169" s="126"/>
      <c r="C169" s="176"/>
      <c r="D169" s="176"/>
      <c r="E169" s="176"/>
      <c r="F169" s="176"/>
      <c r="G169" s="176"/>
      <c r="H169" s="176"/>
      <c r="I169" s="126"/>
      <c r="J169" s="126"/>
      <c r="K169" s="126"/>
      <c r="L169" s="126"/>
      <c r="M169" s="126"/>
      <c r="N169" s="126"/>
      <c r="O169" s="126"/>
      <c r="P169" s="126"/>
      <c r="Q169" s="126"/>
      <c r="R169" s="126"/>
      <c r="S169" s="126"/>
      <c r="T169" s="126"/>
      <c r="U169" s="126"/>
      <c r="V169" s="126"/>
      <c r="W169" s="126"/>
      <c r="X169" s="126"/>
      <c r="Y169" s="126"/>
      <c r="Z169" s="126"/>
      <c r="AA169" s="126"/>
      <c r="AB169" s="126"/>
    </row>
    <row r="170" spans="1:28" ht="15.75" customHeight="1">
      <c r="A170" s="126"/>
      <c r="B170" s="126"/>
      <c r="C170" s="176"/>
      <c r="D170" s="176"/>
      <c r="E170" s="176"/>
      <c r="F170" s="176"/>
      <c r="G170" s="176"/>
      <c r="H170" s="176"/>
      <c r="I170" s="126"/>
      <c r="J170" s="126"/>
      <c r="K170" s="126"/>
      <c r="L170" s="126"/>
      <c r="M170" s="126"/>
      <c r="N170" s="126"/>
      <c r="O170" s="126"/>
      <c r="P170" s="126"/>
      <c r="Q170" s="126"/>
      <c r="R170" s="126"/>
      <c r="S170" s="126"/>
      <c r="T170" s="126"/>
      <c r="U170" s="126"/>
      <c r="V170" s="126"/>
      <c r="W170" s="126"/>
      <c r="X170" s="126"/>
      <c r="Y170" s="126"/>
      <c r="Z170" s="126"/>
      <c r="AA170" s="126"/>
      <c r="AB170" s="126"/>
    </row>
    <row r="171" spans="1:28" ht="15.75" customHeight="1">
      <c r="A171" s="126"/>
      <c r="B171" s="126"/>
      <c r="C171" s="176"/>
      <c r="D171" s="176"/>
      <c r="E171" s="176"/>
      <c r="F171" s="176"/>
      <c r="G171" s="176"/>
      <c r="H171" s="176"/>
      <c r="I171" s="126"/>
      <c r="J171" s="126"/>
      <c r="K171" s="126"/>
      <c r="L171" s="126"/>
      <c r="M171" s="126"/>
      <c r="N171" s="126"/>
      <c r="O171" s="126"/>
      <c r="P171" s="126"/>
      <c r="Q171" s="126"/>
      <c r="R171" s="126"/>
      <c r="S171" s="126"/>
      <c r="T171" s="126"/>
      <c r="U171" s="126"/>
      <c r="V171" s="126"/>
      <c r="W171" s="126"/>
      <c r="X171" s="126"/>
      <c r="Y171" s="126"/>
      <c r="Z171" s="126"/>
      <c r="AA171" s="126"/>
      <c r="AB171" s="126"/>
    </row>
    <row r="172" spans="1:28" ht="15.75" customHeight="1">
      <c r="A172" s="126"/>
      <c r="B172" s="126"/>
      <c r="C172" s="176"/>
      <c r="D172" s="176"/>
      <c r="E172" s="176"/>
      <c r="F172" s="176"/>
      <c r="G172" s="176"/>
      <c r="H172" s="176"/>
      <c r="I172" s="126"/>
      <c r="J172" s="126"/>
      <c r="K172" s="126"/>
      <c r="L172" s="126"/>
      <c r="M172" s="126"/>
      <c r="N172" s="126"/>
      <c r="O172" s="126"/>
      <c r="P172" s="126"/>
      <c r="Q172" s="126"/>
      <c r="R172" s="126"/>
      <c r="S172" s="126"/>
      <c r="T172" s="126"/>
      <c r="U172" s="126"/>
      <c r="V172" s="126"/>
      <c r="W172" s="126"/>
      <c r="X172" s="126"/>
      <c r="Y172" s="126"/>
      <c r="Z172" s="126"/>
      <c r="AA172" s="126"/>
      <c r="AB172" s="126"/>
    </row>
    <row r="173" spans="1:28" ht="15.75" customHeight="1">
      <c r="A173" s="126"/>
      <c r="B173" s="126"/>
      <c r="C173" s="176"/>
      <c r="D173" s="176"/>
      <c r="E173" s="176"/>
      <c r="F173" s="176"/>
      <c r="G173" s="176"/>
      <c r="H173" s="176"/>
      <c r="I173" s="126"/>
      <c r="J173" s="126"/>
      <c r="K173" s="126"/>
      <c r="L173" s="126"/>
      <c r="M173" s="126"/>
      <c r="N173" s="126"/>
      <c r="O173" s="126"/>
      <c r="P173" s="126"/>
      <c r="Q173" s="126"/>
      <c r="R173" s="126"/>
      <c r="S173" s="126"/>
      <c r="T173" s="126"/>
      <c r="U173" s="126"/>
      <c r="V173" s="126"/>
      <c r="W173" s="126"/>
      <c r="X173" s="126"/>
      <c r="Y173" s="126"/>
      <c r="Z173" s="126"/>
      <c r="AA173" s="126"/>
      <c r="AB173" s="126"/>
    </row>
    <row r="174" spans="1:28" ht="15.75" customHeight="1">
      <c r="A174" s="126"/>
      <c r="B174" s="126"/>
      <c r="C174" s="176"/>
      <c r="D174" s="176"/>
      <c r="E174" s="176"/>
      <c r="F174" s="176"/>
      <c r="G174" s="176"/>
      <c r="H174" s="176"/>
      <c r="I174" s="126"/>
      <c r="J174" s="126"/>
      <c r="K174" s="126"/>
      <c r="L174" s="126"/>
      <c r="M174" s="126"/>
      <c r="N174" s="126"/>
      <c r="O174" s="126"/>
      <c r="P174" s="126"/>
      <c r="Q174" s="126"/>
      <c r="R174" s="126"/>
      <c r="S174" s="126"/>
      <c r="T174" s="126"/>
      <c r="U174" s="126"/>
      <c r="V174" s="126"/>
      <c r="W174" s="126"/>
      <c r="X174" s="126"/>
      <c r="Y174" s="126"/>
      <c r="Z174" s="126"/>
      <c r="AA174" s="126"/>
      <c r="AB174" s="126"/>
    </row>
    <row r="175" spans="1:28" ht="15.75" customHeight="1">
      <c r="A175" s="126"/>
      <c r="B175" s="126"/>
      <c r="C175" s="176"/>
      <c r="D175" s="176"/>
      <c r="E175" s="176"/>
      <c r="F175" s="176"/>
      <c r="G175" s="176"/>
      <c r="H175" s="176"/>
      <c r="I175" s="126"/>
      <c r="J175" s="126"/>
      <c r="K175" s="126"/>
      <c r="L175" s="126"/>
      <c r="M175" s="126"/>
      <c r="N175" s="126"/>
      <c r="O175" s="126"/>
      <c r="P175" s="126"/>
      <c r="Q175" s="126"/>
      <c r="R175" s="126"/>
      <c r="S175" s="126"/>
      <c r="T175" s="126"/>
      <c r="U175" s="126"/>
      <c r="V175" s="126"/>
      <c r="W175" s="126"/>
      <c r="X175" s="126"/>
      <c r="Y175" s="126"/>
      <c r="Z175" s="126"/>
      <c r="AA175" s="126"/>
      <c r="AB175" s="126"/>
    </row>
    <row r="176" spans="1:28" ht="15.75" customHeight="1">
      <c r="A176" s="126"/>
      <c r="B176" s="126"/>
      <c r="C176" s="176"/>
      <c r="D176" s="176"/>
      <c r="E176" s="176"/>
      <c r="F176" s="176"/>
      <c r="G176" s="176"/>
      <c r="H176" s="176"/>
      <c r="I176" s="126"/>
      <c r="J176" s="126"/>
      <c r="K176" s="126"/>
      <c r="L176" s="126"/>
      <c r="M176" s="126"/>
      <c r="N176" s="126"/>
      <c r="O176" s="126"/>
      <c r="P176" s="126"/>
      <c r="Q176" s="126"/>
      <c r="R176" s="126"/>
      <c r="S176" s="126"/>
      <c r="T176" s="126"/>
      <c r="U176" s="126"/>
      <c r="V176" s="126"/>
      <c r="W176" s="126"/>
      <c r="X176" s="126"/>
      <c r="Y176" s="126"/>
      <c r="Z176" s="126"/>
      <c r="AA176" s="126"/>
      <c r="AB176" s="126"/>
    </row>
    <row r="177" spans="1:28" ht="15.75" customHeight="1">
      <c r="A177" s="126"/>
      <c r="B177" s="126"/>
      <c r="C177" s="176"/>
      <c r="D177" s="176"/>
      <c r="E177" s="176"/>
      <c r="F177" s="176"/>
      <c r="G177" s="176"/>
      <c r="H177" s="176"/>
      <c r="I177" s="126"/>
      <c r="J177" s="126"/>
      <c r="K177" s="126"/>
      <c r="L177" s="126"/>
      <c r="M177" s="126"/>
      <c r="N177" s="126"/>
      <c r="O177" s="126"/>
      <c r="P177" s="126"/>
      <c r="Q177" s="126"/>
      <c r="R177" s="126"/>
      <c r="S177" s="126"/>
      <c r="T177" s="126"/>
      <c r="U177" s="126"/>
      <c r="V177" s="126"/>
      <c r="W177" s="126"/>
      <c r="X177" s="126"/>
      <c r="Y177" s="126"/>
      <c r="Z177" s="126"/>
      <c r="AA177" s="126"/>
      <c r="AB177" s="126"/>
    </row>
    <row r="178" spans="1:28" ht="15.75" customHeight="1">
      <c r="A178" s="126"/>
      <c r="B178" s="126"/>
      <c r="C178" s="176"/>
      <c r="D178" s="176"/>
      <c r="E178" s="176"/>
      <c r="F178" s="176"/>
      <c r="G178" s="176"/>
      <c r="H178" s="176"/>
      <c r="I178" s="126"/>
      <c r="J178" s="126"/>
      <c r="K178" s="126"/>
      <c r="L178" s="126"/>
      <c r="M178" s="126"/>
      <c r="N178" s="126"/>
      <c r="O178" s="126"/>
      <c r="P178" s="126"/>
      <c r="Q178" s="126"/>
      <c r="R178" s="126"/>
      <c r="S178" s="126"/>
      <c r="T178" s="126"/>
      <c r="U178" s="126"/>
      <c r="V178" s="126"/>
      <c r="W178" s="126"/>
      <c r="X178" s="126"/>
      <c r="Y178" s="126"/>
      <c r="Z178" s="126"/>
      <c r="AA178" s="126"/>
      <c r="AB178" s="126"/>
    </row>
    <row r="179" spans="1:28" ht="15.75" customHeight="1">
      <c r="A179" s="126"/>
      <c r="B179" s="126"/>
      <c r="C179" s="176"/>
      <c r="D179" s="176"/>
      <c r="E179" s="176"/>
      <c r="F179" s="176"/>
      <c r="G179" s="176"/>
      <c r="H179" s="176"/>
      <c r="I179" s="126"/>
      <c r="J179" s="126"/>
      <c r="K179" s="126"/>
      <c r="L179" s="126"/>
      <c r="M179" s="126"/>
      <c r="N179" s="126"/>
      <c r="O179" s="126"/>
      <c r="P179" s="126"/>
      <c r="Q179" s="126"/>
      <c r="R179" s="126"/>
      <c r="S179" s="126"/>
      <c r="T179" s="126"/>
      <c r="U179" s="126"/>
      <c r="V179" s="126"/>
      <c r="W179" s="126"/>
      <c r="X179" s="126"/>
      <c r="Y179" s="126"/>
      <c r="Z179" s="126"/>
      <c r="AA179" s="126"/>
      <c r="AB179" s="126"/>
    </row>
    <row r="180" spans="1:28" ht="15.75" customHeight="1">
      <c r="A180" s="126"/>
      <c r="B180" s="126"/>
      <c r="C180" s="176"/>
      <c r="D180" s="176"/>
      <c r="E180" s="176"/>
      <c r="F180" s="176"/>
      <c r="G180" s="176"/>
      <c r="H180" s="176"/>
      <c r="I180" s="126"/>
      <c r="J180" s="126"/>
      <c r="K180" s="126"/>
      <c r="L180" s="126"/>
      <c r="M180" s="126"/>
      <c r="N180" s="126"/>
      <c r="O180" s="126"/>
      <c r="P180" s="126"/>
      <c r="Q180" s="126"/>
      <c r="R180" s="126"/>
      <c r="S180" s="126"/>
      <c r="T180" s="126"/>
      <c r="U180" s="126"/>
      <c r="V180" s="126"/>
      <c r="W180" s="126"/>
      <c r="X180" s="126"/>
      <c r="Y180" s="126"/>
      <c r="Z180" s="126"/>
      <c r="AA180" s="126"/>
      <c r="AB180" s="126"/>
    </row>
    <row r="181" spans="1:28" ht="15.75" customHeight="1">
      <c r="A181" s="126"/>
      <c r="B181" s="126"/>
      <c r="C181" s="176"/>
      <c r="D181" s="176"/>
      <c r="E181" s="176"/>
      <c r="F181" s="176"/>
      <c r="G181" s="176"/>
      <c r="H181" s="176"/>
      <c r="I181" s="126"/>
      <c r="J181" s="126"/>
      <c r="K181" s="126"/>
      <c r="L181" s="126"/>
      <c r="M181" s="126"/>
      <c r="N181" s="126"/>
      <c r="O181" s="126"/>
      <c r="P181" s="126"/>
      <c r="Q181" s="126"/>
      <c r="R181" s="126"/>
      <c r="S181" s="126"/>
      <c r="T181" s="126"/>
      <c r="U181" s="126"/>
      <c r="V181" s="126"/>
      <c r="W181" s="126"/>
      <c r="X181" s="126"/>
      <c r="Y181" s="126"/>
      <c r="Z181" s="126"/>
      <c r="AA181" s="126"/>
      <c r="AB181" s="126"/>
    </row>
    <row r="182" spans="1:28" ht="15.75" customHeight="1">
      <c r="A182" s="126"/>
      <c r="B182" s="126"/>
      <c r="C182" s="176"/>
      <c r="D182" s="176"/>
      <c r="E182" s="176"/>
      <c r="F182" s="176"/>
      <c r="G182" s="176"/>
      <c r="H182" s="176"/>
      <c r="I182" s="126"/>
      <c r="J182" s="126"/>
      <c r="K182" s="126"/>
      <c r="L182" s="126"/>
      <c r="M182" s="126"/>
      <c r="N182" s="126"/>
      <c r="O182" s="126"/>
      <c r="P182" s="126"/>
      <c r="Q182" s="126"/>
      <c r="R182" s="126"/>
      <c r="S182" s="126"/>
      <c r="T182" s="126"/>
      <c r="U182" s="126"/>
      <c r="V182" s="126"/>
      <c r="W182" s="126"/>
      <c r="X182" s="126"/>
      <c r="Y182" s="126"/>
      <c r="Z182" s="126"/>
      <c r="AA182" s="126"/>
      <c r="AB182" s="126"/>
    </row>
    <row r="183" spans="1:28" ht="15.75" customHeight="1">
      <c r="A183" s="126"/>
      <c r="B183" s="126"/>
      <c r="C183" s="176"/>
      <c r="D183" s="176"/>
      <c r="E183" s="176"/>
      <c r="F183" s="176"/>
      <c r="G183" s="176"/>
      <c r="H183" s="176"/>
      <c r="I183" s="126"/>
      <c r="J183" s="126"/>
      <c r="K183" s="126"/>
      <c r="L183" s="126"/>
      <c r="M183" s="126"/>
      <c r="N183" s="126"/>
      <c r="O183" s="126"/>
      <c r="P183" s="126"/>
      <c r="Q183" s="126"/>
      <c r="R183" s="126"/>
      <c r="S183" s="126"/>
      <c r="T183" s="126"/>
      <c r="U183" s="126"/>
      <c r="V183" s="126"/>
      <c r="W183" s="126"/>
      <c r="X183" s="126"/>
      <c r="Y183" s="126"/>
      <c r="Z183" s="126"/>
      <c r="AA183" s="126"/>
      <c r="AB183" s="126"/>
    </row>
    <row r="184" spans="1:28" ht="15.75" customHeight="1">
      <c r="A184" s="126"/>
      <c r="B184" s="126"/>
      <c r="C184" s="176"/>
      <c r="D184" s="176"/>
      <c r="E184" s="176"/>
      <c r="F184" s="176"/>
      <c r="G184" s="176"/>
      <c r="H184" s="176"/>
      <c r="I184" s="126"/>
      <c r="J184" s="126"/>
      <c r="K184" s="126"/>
      <c r="L184" s="126"/>
      <c r="M184" s="126"/>
      <c r="N184" s="126"/>
      <c r="O184" s="126"/>
      <c r="P184" s="126"/>
      <c r="Q184" s="126"/>
      <c r="R184" s="126"/>
      <c r="S184" s="126"/>
      <c r="T184" s="126"/>
      <c r="U184" s="126"/>
      <c r="V184" s="126"/>
      <c r="W184" s="126"/>
      <c r="X184" s="126"/>
      <c r="Y184" s="126"/>
      <c r="Z184" s="126"/>
      <c r="AA184" s="126"/>
      <c r="AB184" s="126"/>
    </row>
    <row r="185" spans="1:28" ht="15.75" customHeight="1">
      <c r="A185" s="126"/>
      <c r="B185" s="126"/>
      <c r="C185" s="176"/>
      <c r="D185" s="176"/>
      <c r="E185" s="176"/>
      <c r="F185" s="176"/>
      <c r="G185" s="176"/>
      <c r="H185" s="176"/>
      <c r="I185" s="126"/>
      <c r="J185" s="126"/>
      <c r="K185" s="126"/>
      <c r="L185" s="126"/>
      <c r="M185" s="126"/>
      <c r="N185" s="126"/>
      <c r="O185" s="126"/>
      <c r="P185" s="126"/>
      <c r="Q185" s="126"/>
      <c r="R185" s="126"/>
      <c r="S185" s="126"/>
      <c r="T185" s="126"/>
      <c r="U185" s="126"/>
      <c r="V185" s="126"/>
      <c r="W185" s="126"/>
      <c r="X185" s="126"/>
      <c r="Y185" s="126"/>
      <c r="Z185" s="126"/>
      <c r="AA185" s="126"/>
      <c r="AB185" s="126"/>
    </row>
    <row r="186" spans="1:28" ht="15.75" customHeight="1">
      <c r="A186" s="126"/>
      <c r="B186" s="126"/>
      <c r="C186" s="176"/>
      <c r="D186" s="176"/>
      <c r="E186" s="176"/>
      <c r="F186" s="176"/>
      <c r="G186" s="176"/>
      <c r="H186" s="176"/>
      <c r="I186" s="126"/>
      <c r="J186" s="126"/>
      <c r="K186" s="126"/>
      <c r="L186" s="126"/>
      <c r="M186" s="126"/>
      <c r="N186" s="126"/>
      <c r="O186" s="126"/>
      <c r="P186" s="126"/>
      <c r="Q186" s="126"/>
      <c r="R186" s="126"/>
      <c r="S186" s="126"/>
      <c r="T186" s="126"/>
      <c r="U186" s="126"/>
      <c r="V186" s="126"/>
      <c r="W186" s="126"/>
      <c r="X186" s="126"/>
      <c r="Y186" s="126"/>
      <c r="Z186" s="126"/>
      <c r="AA186" s="126"/>
      <c r="AB186" s="126"/>
    </row>
    <row r="187" spans="1:28" ht="15.75" customHeight="1">
      <c r="A187" s="126"/>
      <c r="B187" s="126"/>
      <c r="C187" s="176"/>
      <c r="D187" s="176"/>
      <c r="E187" s="176"/>
      <c r="F187" s="176"/>
      <c r="G187" s="176"/>
      <c r="H187" s="176"/>
      <c r="I187" s="126"/>
      <c r="J187" s="126"/>
      <c r="K187" s="126"/>
      <c r="L187" s="126"/>
      <c r="M187" s="126"/>
      <c r="N187" s="126"/>
      <c r="O187" s="126"/>
      <c r="P187" s="126"/>
      <c r="Q187" s="126"/>
      <c r="R187" s="126"/>
      <c r="S187" s="126"/>
      <c r="T187" s="126"/>
      <c r="U187" s="126"/>
      <c r="V187" s="126"/>
      <c r="W187" s="126"/>
      <c r="X187" s="126"/>
      <c r="Y187" s="126"/>
      <c r="Z187" s="126"/>
      <c r="AA187" s="126"/>
      <c r="AB187" s="126"/>
    </row>
    <row r="188" spans="1:28" ht="15.75" customHeight="1">
      <c r="A188" s="126"/>
      <c r="B188" s="126"/>
      <c r="C188" s="176"/>
      <c r="D188" s="176"/>
      <c r="E188" s="176"/>
      <c r="F188" s="176"/>
      <c r="G188" s="176"/>
      <c r="H188" s="176"/>
      <c r="I188" s="126"/>
      <c r="J188" s="126"/>
      <c r="K188" s="126"/>
      <c r="L188" s="126"/>
      <c r="M188" s="126"/>
      <c r="N188" s="126"/>
      <c r="O188" s="126"/>
      <c r="P188" s="126"/>
      <c r="Q188" s="126"/>
      <c r="R188" s="126"/>
      <c r="S188" s="126"/>
      <c r="T188" s="126"/>
      <c r="U188" s="126"/>
      <c r="V188" s="126"/>
      <c r="W188" s="126"/>
      <c r="X188" s="126"/>
      <c r="Y188" s="126"/>
      <c r="Z188" s="126"/>
      <c r="AA188" s="126"/>
      <c r="AB188" s="126"/>
    </row>
    <row r="189" spans="1:28" ht="15.75" customHeight="1">
      <c r="A189" s="126"/>
      <c r="B189" s="126"/>
      <c r="C189" s="176"/>
      <c r="D189" s="176"/>
      <c r="E189" s="176"/>
      <c r="F189" s="176"/>
      <c r="G189" s="176"/>
      <c r="H189" s="176"/>
      <c r="I189" s="126"/>
      <c r="J189" s="126"/>
      <c r="K189" s="126"/>
      <c r="L189" s="126"/>
      <c r="M189" s="126"/>
      <c r="N189" s="126"/>
      <c r="O189" s="126"/>
      <c r="P189" s="126"/>
      <c r="Q189" s="126"/>
      <c r="R189" s="126"/>
      <c r="S189" s="126"/>
      <c r="T189" s="126"/>
      <c r="U189" s="126"/>
      <c r="V189" s="126"/>
      <c r="W189" s="126"/>
      <c r="X189" s="126"/>
      <c r="Y189" s="126"/>
      <c r="Z189" s="126"/>
      <c r="AA189" s="126"/>
      <c r="AB189" s="126"/>
    </row>
    <row r="190" spans="1:28" ht="15.75" customHeight="1">
      <c r="A190" s="126"/>
      <c r="B190" s="126"/>
      <c r="C190" s="176"/>
      <c r="D190" s="176"/>
      <c r="E190" s="176"/>
      <c r="F190" s="176"/>
      <c r="G190" s="176"/>
      <c r="H190" s="176"/>
      <c r="I190" s="126"/>
      <c r="J190" s="126"/>
      <c r="K190" s="126"/>
      <c r="L190" s="126"/>
      <c r="M190" s="126"/>
      <c r="N190" s="126"/>
      <c r="O190" s="126"/>
      <c r="P190" s="126"/>
      <c r="Q190" s="126"/>
      <c r="R190" s="126"/>
      <c r="S190" s="126"/>
      <c r="T190" s="126"/>
      <c r="U190" s="126"/>
      <c r="V190" s="126"/>
      <c r="W190" s="126"/>
      <c r="X190" s="126"/>
      <c r="Y190" s="126"/>
      <c r="Z190" s="126"/>
      <c r="AA190" s="126"/>
      <c r="AB190" s="126"/>
    </row>
    <row r="191" spans="1:28" ht="15.75" customHeight="1">
      <c r="A191" s="126"/>
      <c r="B191" s="126"/>
      <c r="C191" s="176"/>
      <c r="D191" s="176"/>
      <c r="E191" s="176"/>
      <c r="F191" s="176"/>
      <c r="G191" s="176"/>
      <c r="H191" s="176"/>
      <c r="I191" s="126"/>
      <c r="J191" s="126"/>
      <c r="K191" s="126"/>
      <c r="L191" s="126"/>
      <c r="M191" s="126"/>
      <c r="N191" s="126"/>
      <c r="O191" s="126"/>
      <c r="P191" s="126"/>
      <c r="Q191" s="126"/>
      <c r="R191" s="126"/>
      <c r="S191" s="126"/>
      <c r="T191" s="126"/>
      <c r="U191" s="126"/>
      <c r="V191" s="126"/>
      <c r="W191" s="126"/>
      <c r="X191" s="126"/>
      <c r="Y191" s="126"/>
      <c r="Z191" s="126"/>
      <c r="AA191" s="126"/>
      <c r="AB191" s="126"/>
    </row>
    <row r="192" spans="1:28" ht="15.75" customHeight="1">
      <c r="A192" s="126"/>
      <c r="B192" s="126"/>
      <c r="C192" s="176"/>
      <c r="D192" s="176"/>
      <c r="E192" s="176"/>
      <c r="F192" s="176"/>
      <c r="G192" s="176"/>
      <c r="H192" s="176"/>
      <c r="I192" s="126"/>
      <c r="J192" s="126"/>
      <c r="K192" s="126"/>
      <c r="L192" s="126"/>
      <c r="M192" s="126"/>
      <c r="N192" s="126"/>
      <c r="O192" s="126"/>
      <c r="P192" s="126"/>
      <c r="Q192" s="126"/>
      <c r="R192" s="126"/>
      <c r="S192" s="126"/>
      <c r="T192" s="126"/>
      <c r="U192" s="126"/>
      <c r="V192" s="126"/>
      <c r="W192" s="126"/>
      <c r="X192" s="126"/>
      <c r="Y192" s="126"/>
      <c r="Z192" s="126"/>
      <c r="AA192" s="126"/>
      <c r="AB192" s="126"/>
    </row>
    <row r="193" spans="1:28" ht="15.75" customHeight="1">
      <c r="A193" s="126"/>
      <c r="B193" s="126"/>
      <c r="C193" s="176"/>
      <c r="D193" s="176"/>
      <c r="E193" s="176"/>
      <c r="F193" s="176"/>
      <c r="G193" s="176"/>
      <c r="H193" s="176"/>
      <c r="I193" s="126"/>
      <c r="J193" s="126"/>
      <c r="K193" s="126"/>
      <c r="L193" s="126"/>
      <c r="M193" s="126"/>
      <c r="N193" s="126"/>
      <c r="O193" s="126"/>
      <c r="P193" s="126"/>
      <c r="Q193" s="126"/>
      <c r="R193" s="126"/>
      <c r="S193" s="126"/>
      <c r="T193" s="126"/>
      <c r="U193" s="126"/>
      <c r="V193" s="126"/>
      <c r="W193" s="126"/>
      <c r="X193" s="126"/>
      <c r="Y193" s="126"/>
      <c r="Z193" s="126"/>
      <c r="AA193" s="126"/>
      <c r="AB193" s="126"/>
    </row>
    <row r="194" spans="1:28" ht="15.75" customHeight="1">
      <c r="A194" s="126"/>
      <c r="B194" s="126"/>
      <c r="C194" s="176"/>
      <c r="D194" s="176"/>
      <c r="E194" s="176"/>
      <c r="F194" s="176"/>
      <c r="G194" s="176"/>
      <c r="H194" s="176"/>
      <c r="I194" s="126"/>
      <c r="J194" s="126"/>
      <c r="K194" s="126"/>
      <c r="L194" s="126"/>
      <c r="M194" s="126"/>
      <c r="N194" s="126"/>
      <c r="O194" s="126"/>
      <c r="P194" s="126"/>
      <c r="Q194" s="126"/>
      <c r="R194" s="126"/>
      <c r="S194" s="126"/>
      <c r="T194" s="126"/>
      <c r="U194" s="126"/>
      <c r="V194" s="126"/>
      <c r="W194" s="126"/>
      <c r="X194" s="126"/>
      <c r="Y194" s="126"/>
      <c r="Z194" s="126"/>
      <c r="AA194" s="126"/>
      <c r="AB194" s="126"/>
    </row>
    <row r="195" spans="1:28" ht="15.75" customHeight="1">
      <c r="A195" s="126"/>
      <c r="B195" s="126"/>
      <c r="C195" s="176"/>
      <c r="D195" s="176"/>
      <c r="E195" s="176"/>
      <c r="F195" s="176"/>
      <c r="G195" s="176"/>
      <c r="H195" s="176"/>
      <c r="I195" s="126"/>
      <c r="J195" s="126"/>
      <c r="K195" s="126"/>
      <c r="L195" s="126"/>
      <c r="M195" s="126"/>
      <c r="N195" s="126"/>
      <c r="O195" s="126"/>
      <c r="P195" s="126"/>
      <c r="Q195" s="126"/>
      <c r="R195" s="126"/>
      <c r="S195" s="126"/>
      <c r="T195" s="126"/>
      <c r="U195" s="126"/>
      <c r="V195" s="126"/>
      <c r="W195" s="126"/>
      <c r="X195" s="126"/>
      <c r="Y195" s="126"/>
      <c r="Z195" s="126"/>
      <c r="AA195" s="126"/>
      <c r="AB195" s="126"/>
    </row>
    <row r="196" spans="1:28" ht="15.75" customHeight="1">
      <c r="A196" s="126"/>
      <c r="B196" s="126"/>
      <c r="C196" s="176"/>
      <c r="D196" s="176"/>
      <c r="E196" s="176"/>
      <c r="F196" s="176"/>
      <c r="G196" s="176"/>
      <c r="H196" s="176"/>
      <c r="I196" s="126"/>
      <c r="J196" s="126"/>
      <c r="K196" s="126"/>
      <c r="L196" s="126"/>
      <c r="M196" s="126"/>
      <c r="N196" s="126"/>
      <c r="O196" s="126"/>
      <c r="P196" s="126"/>
      <c r="Q196" s="126"/>
      <c r="R196" s="126"/>
      <c r="S196" s="126"/>
      <c r="T196" s="126"/>
      <c r="U196" s="126"/>
      <c r="V196" s="126"/>
      <c r="W196" s="126"/>
      <c r="X196" s="126"/>
      <c r="Y196" s="126"/>
      <c r="Z196" s="126"/>
      <c r="AA196" s="126"/>
      <c r="AB196" s="126"/>
    </row>
    <row r="197" spans="1:28" ht="15.75" customHeight="1">
      <c r="A197" s="126"/>
      <c r="B197" s="126"/>
      <c r="C197" s="176"/>
      <c r="D197" s="176"/>
      <c r="E197" s="176"/>
      <c r="F197" s="176"/>
      <c r="G197" s="176"/>
      <c r="H197" s="176"/>
      <c r="I197" s="126"/>
      <c r="J197" s="126"/>
      <c r="K197" s="126"/>
      <c r="L197" s="126"/>
      <c r="M197" s="126"/>
      <c r="N197" s="126"/>
      <c r="O197" s="126"/>
      <c r="P197" s="126"/>
      <c r="Q197" s="126"/>
      <c r="R197" s="126"/>
      <c r="S197" s="126"/>
      <c r="T197" s="126"/>
      <c r="U197" s="126"/>
      <c r="V197" s="126"/>
      <c r="W197" s="126"/>
      <c r="X197" s="126"/>
      <c r="Y197" s="126"/>
      <c r="Z197" s="126"/>
      <c r="AA197" s="126"/>
      <c r="AB197" s="126"/>
    </row>
    <row r="198" spans="1:28" ht="15.75" customHeight="1">
      <c r="A198" s="126"/>
      <c r="B198" s="126"/>
      <c r="C198" s="176"/>
      <c r="D198" s="176"/>
      <c r="E198" s="176"/>
      <c r="F198" s="176"/>
      <c r="G198" s="176"/>
      <c r="H198" s="176"/>
      <c r="I198" s="126"/>
      <c r="J198" s="126"/>
      <c r="K198" s="126"/>
      <c r="L198" s="126"/>
      <c r="M198" s="126"/>
      <c r="N198" s="126"/>
      <c r="O198" s="126"/>
      <c r="P198" s="126"/>
      <c r="Q198" s="126"/>
      <c r="R198" s="126"/>
      <c r="S198" s="126"/>
      <c r="T198" s="126"/>
      <c r="U198" s="126"/>
      <c r="V198" s="126"/>
      <c r="W198" s="126"/>
      <c r="X198" s="126"/>
      <c r="Y198" s="126"/>
      <c r="Z198" s="126"/>
      <c r="AA198" s="126"/>
      <c r="AB198" s="126"/>
    </row>
    <row r="199" spans="1:28" ht="15.75" customHeight="1">
      <c r="A199" s="126"/>
      <c r="B199" s="126"/>
      <c r="C199" s="176"/>
      <c r="D199" s="176"/>
      <c r="E199" s="176"/>
      <c r="F199" s="176"/>
      <c r="G199" s="176"/>
      <c r="H199" s="176"/>
      <c r="I199" s="126"/>
      <c r="J199" s="126"/>
      <c r="K199" s="126"/>
      <c r="L199" s="126"/>
      <c r="M199" s="126"/>
      <c r="N199" s="126"/>
      <c r="O199" s="126"/>
      <c r="P199" s="126"/>
      <c r="Q199" s="126"/>
      <c r="R199" s="126"/>
      <c r="S199" s="126"/>
      <c r="T199" s="126"/>
      <c r="U199" s="126"/>
      <c r="V199" s="126"/>
      <c r="W199" s="126"/>
      <c r="X199" s="126"/>
      <c r="Y199" s="126"/>
      <c r="Z199" s="126"/>
      <c r="AA199" s="126"/>
      <c r="AB199" s="126"/>
    </row>
    <row r="200" spans="1:28" ht="15.75" customHeight="1">
      <c r="A200" s="126"/>
      <c r="B200" s="126"/>
      <c r="C200" s="176"/>
      <c r="D200" s="176"/>
      <c r="E200" s="176"/>
      <c r="F200" s="176"/>
      <c r="G200" s="176"/>
      <c r="H200" s="176"/>
      <c r="I200" s="126"/>
      <c r="J200" s="126"/>
      <c r="K200" s="126"/>
      <c r="L200" s="126"/>
      <c r="M200" s="126"/>
      <c r="N200" s="126"/>
      <c r="O200" s="126"/>
      <c r="P200" s="126"/>
      <c r="Q200" s="126"/>
      <c r="R200" s="126"/>
      <c r="S200" s="126"/>
      <c r="T200" s="126"/>
      <c r="U200" s="126"/>
      <c r="V200" s="126"/>
      <c r="W200" s="126"/>
      <c r="X200" s="126"/>
      <c r="Y200" s="126"/>
      <c r="Z200" s="126"/>
      <c r="AA200" s="126"/>
      <c r="AB200" s="126"/>
    </row>
    <row r="201" spans="1:28" ht="15.75" customHeight="1">
      <c r="A201" s="126"/>
      <c r="B201" s="126"/>
      <c r="C201" s="176"/>
      <c r="D201" s="176"/>
      <c r="E201" s="176"/>
      <c r="F201" s="176"/>
      <c r="G201" s="176"/>
      <c r="H201" s="176"/>
      <c r="I201" s="126"/>
      <c r="J201" s="126"/>
      <c r="K201" s="126"/>
      <c r="L201" s="126"/>
      <c r="M201" s="126"/>
      <c r="N201" s="126"/>
      <c r="O201" s="126"/>
      <c r="P201" s="126"/>
      <c r="Q201" s="126"/>
      <c r="R201" s="126"/>
      <c r="S201" s="126"/>
      <c r="T201" s="126"/>
      <c r="U201" s="126"/>
      <c r="V201" s="126"/>
      <c r="W201" s="126"/>
      <c r="X201" s="126"/>
      <c r="Y201" s="126"/>
      <c r="Z201" s="126"/>
      <c r="AA201" s="126"/>
      <c r="AB201" s="126"/>
    </row>
    <row r="202" spans="1:28" ht="15.75" customHeight="1">
      <c r="A202" s="126"/>
      <c r="B202" s="126"/>
      <c r="C202" s="176"/>
      <c r="D202" s="176"/>
      <c r="E202" s="176"/>
      <c r="F202" s="176"/>
      <c r="G202" s="176"/>
      <c r="H202" s="176"/>
      <c r="I202" s="126"/>
      <c r="J202" s="126"/>
      <c r="K202" s="126"/>
      <c r="L202" s="126"/>
      <c r="M202" s="126"/>
      <c r="N202" s="126"/>
      <c r="O202" s="126"/>
      <c r="P202" s="126"/>
      <c r="Q202" s="126"/>
      <c r="R202" s="126"/>
      <c r="S202" s="126"/>
      <c r="T202" s="126"/>
      <c r="U202" s="126"/>
      <c r="V202" s="126"/>
      <c r="W202" s="126"/>
      <c r="X202" s="126"/>
      <c r="Y202" s="126"/>
      <c r="Z202" s="126"/>
      <c r="AA202" s="126"/>
      <c r="AB202" s="126"/>
    </row>
    <row r="203" spans="1:28" ht="15.75" customHeight="1">
      <c r="A203" s="126"/>
      <c r="B203" s="126"/>
      <c r="C203" s="176"/>
      <c r="D203" s="176"/>
      <c r="E203" s="176"/>
      <c r="F203" s="176"/>
      <c r="G203" s="176"/>
      <c r="H203" s="176"/>
      <c r="I203" s="126"/>
      <c r="J203" s="126"/>
      <c r="K203" s="126"/>
      <c r="L203" s="126"/>
      <c r="M203" s="126"/>
      <c r="N203" s="126"/>
      <c r="O203" s="126"/>
      <c r="P203" s="126"/>
      <c r="Q203" s="126"/>
      <c r="R203" s="126"/>
      <c r="S203" s="126"/>
      <c r="T203" s="126"/>
      <c r="U203" s="126"/>
      <c r="V203" s="126"/>
      <c r="W203" s="126"/>
      <c r="X203" s="126"/>
      <c r="Y203" s="126"/>
      <c r="Z203" s="126"/>
      <c r="AA203" s="126"/>
      <c r="AB203" s="126"/>
    </row>
    <row r="204" spans="1:28" ht="15.75" customHeight="1">
      <c r="A204" s="126"/>
      <c r="B204" s="126"/>
      <c r="C204" s="176"/>
      <c r="D204" s="176"/>
      <c r="E204" s="176"/>
      <c r="F204" s="176"/>
      <c r="G204" s="176"/>
      <c r="H204" s="176"/>
      <c r="I204" s="126"/>
      <c r="J204" s="126"/>
      <c r="K204" s="126"/>
      <c r="L204" s="126"/>
      <c r="M204" s="126"/>
      <c r="N204" s="126"/>
      <c r="O204" s="126"/>
      <c r="P204" s="126"/>
      <c r="Q204" s="126"/>
      <c r="R204" s="126"/>
      <c r="S204" s="126"/>
      <c r="T204" s="126"/>
      <c r="U204" s="126"/>
      <c r="V204" s="126"/>
      <c r="W204" s="126"/>
      <c r="X204" s="126"/>
      <c r="Y204" s="126"/>
      <c r="Z204" s="126"/>
      <c r="AA204" s="126"/>
      <c r="AB204" s="126"/>
    </row>
    <row r="205" spans="1:28" ht="15.75" customHeight="1">
      <c r="A205" s="126"/>
      <c r="B205" s="126"/>
      <c r="C205" s="176"/>
      <c r="D205" s="176"/>
      <c r="E205" s="176"/>
      <c r="F205" s="176"/>
      <c r="G205" s="176"/>
      <c r="H205" s="176"/>
      <c r="I205" s="126"/>
      <c r="J205" s="126"/>
      <c r="K205" s="126"/>
      <c r="L205" s="126"/>
      <c r="M205" s="126"/>
      <c r="N205" s="126"/>
      <c r="O205" s="126"/>
      <c r="P205" s="126"/>
      <c r="Q205" s="126"/>
      <c r="R205" s="126"/>
      <c r="S205" s="126"/>
      <c r="T205" s="126"/>
      <c r="U205" s="126"/>
      <c r="V205" s="126"/>
      <c r="W205" s="126"/>
      <c r="X205" s="126"/>
      <c r="Y205" s="126"/>
      <c r="Z205" s="126"/>
      <c r="AA205" s="126"/>
      <c r="AB205" s="126"/>
    </row>
    <row r="206" spans="1:28" ht="15.75" customHeight="1">
      <c r="A206" s="126"/>
      <c r="B206" s="126"/>
      <c r="C206" s="176"/>
      <c r="D206" s="176"/>
      <c r="E206" s="176"/>
      <c r="F206" s="176"/>
      <c r="G206" s="176"/>
      <c r="H206" s="176"/>
      <c r="I206" s="126"/>
      <c r="J206" s="126"/>
      <c r="K206" s="126"/>
      <c r="L206" s="126"/>
      <c r="M206" s="126"/>
      <c r="N206" s="126"/>
      <c r="O206" s="126"/>
      <c r="P206" s="126"/>
      <c r="Q206" s="126"/>
      <c r="R206" s="126"/>
      <c r="S206" s="126"/>
      <c r="T206" s="126"/>
      <c r="U206" s="126"/>
      <c r="V206" s="126"/>
      <c r="W206" s="126"/>
      <c r="X206" s="126"/>
      <c r="Y206" s="126"/>
      <c r="Z206" s="126"/>
      <c r="AA206" s="126"/>
      <c r="AB206" s="126"/>
    </row>
    <row r="207" spans="1:28" ht="15.75" customHeight="1">
      <c r="A207" s="126"/>
      <c r="B207" s="126"/>
      <c r="C207" s="176"/>
      <c r="D207" s="176"/>
      <c r="E207" s="176"/>
      <c r="F207" s="176"/>
      <c r="G207" s="176"/>
      <c r="H207" s="176"/>
      <c r="I207" s="126"/>
      <c r="J207" s="126"/>
      <c r="K207" s="126"/>
      <c r="L207" s="126"/>
      <c r="M207" s="126"/>
      <c r="N207" s="126"/>
      <c r="O207" s="126"/>
      <c r="P207" s="126"/>
      <c r="Q207" s="126"/>
      <c r="R207" s="126"/>
      <c r="S207" s="126"/>
      <c r="T207" s="126"/>
      <c r="U207" s="126"/>
      <c r="V207" s="126"/>
      <c r="W207" s="126"/>
      <c r="X207" s="126"/>
      <c r="Y207" s="126"/>
      <c r="Z207" s="126"/>
      <c r="AA207" s="126"/>
      <c r="AB207" s="126"/>
    </row>
    <row r="208" spans="1:28" ht="15.75" customHeight="1">
      <c r="A208" s="126"/>
      <c r="B208" s="126"/>
      <c r="C208" s="176"/>
      <c r="D208" s="176"/>
      <c r="E208" s="176"/>
      <c r="F208" s="176"/>
      <c r="G208" s="176"/>
      <c r="H208" s="176"/>
      <c r="I208" s="126"/>
      <c r="J208" s="126"/>
      <c r="K208" s="126"/>
      <c r="L208" s="126"/>
      <c r="M208" s="126"/>
      <c r="N208" s="126"/>
      <c r="O208" s="126"/>
      <c r="P208" s="126"/>
      <c r="Q208" s="126"/>
      <c r="R208" s="126"/>
      <c r="S208" s="126"/>
      <c r="T208" s="126"/>
      <c r="U208" s="126"/>
      <c r="V208" s="126"/>
      <c r="W208" s="126"/>
      <c r="X208" s="126"/>
      <c r="Y208" s="126"/>
      <c r="Z208" s="126"/>
      <c r="AA208" s="126"/>
      <c r="AB208" s="126"/>
    </row>
    <row r="209" spans="1:28" ht="15.75" customHeight="1">
      <c r="A209" s="126"/>
      <c r="B209" s="126"/>
      <c r="C209" s="176"/>
      <c r="D209" s="176"/>
      <c r="E209" s="176"/>
      <c r="F209" s="176"/>
      <c r="G209" s="176"/>
      <c r="H209" s="176"/>
      <c r="I209" s="126"/>
      <c r="J209" s="126"/>
      <c r="K209" s="126"/>
      <c r="L209" s="126"/>
      <c r="M209" s="126"/>
      <c r="N209" s="126"/>
      <c r="O209" s="126"/>
      <c r="P209" s="126"/>
      <c r="Q209" s="126"/>
      <c r="R209" s="126"/>
      <c r="S209" s="126"/>
      <c r="T209" s="126"/>
      <c r="U209" s="126"/>
      <c r="V209" s="126"/>
      <c r="W209" s="126"/>
      <c r="X209" s="126"/>
      <c r="Y209" s="126"/>
      <c r="Z209" s="126"/>
      <c r="AA209" s="126"/>
      <c r="AB209" s="126"/>
    </row>
    <row r="210" spans="1:28" ht="15.75" customHeight="1">
      <c r="A210" s="126"/>
      <c r="B210" s="126"/>
      <c r="C210" s="176"/>
      <c r="D210" s="176"/>
      <c r="E210" s="176"/>
      <c r="F210" s="176"/>
      <c r="G210" s="176"/>
      <c r="H210" s="176"/>
      <c r="I210" s="126"/>
      <c r="J210" s="126"/>
      <c r="K210" s="126"/>
      <c r="L210" s="126"/>
      <c r="M210" s="126"/>
      <c r="N210" s="126"/>
      <c r="O210" s="126"/>
      <c r="P210" s="126"/>
      <c r="Q210" s="126"/>
      <c r="R210" s="126"/>
      <c r="S210" s="126"/>
      <c r="T210" s="126"/>
      <c r="U210" s="126"/>
      <c r="V210" s="126"/>
      <c r="W210" s="126"/>
      <c r="X210" s="126"/>
      <c r="Y210" s="126"/>
      <c r="Z210" s="126"/>
      <c r="AA210" s="126"/>
      <c r="AB210" s="126"/>
    </row>
    <row r="211" spans="1:28" ht="15.75" customHeight="1">
      <c r="A211" s="126"/>
      <c r="B211" s="126"/>
      <c r="C211" s="176"/>
      <c r="D211" s="176"/>
      <c r="E211" s="176"/>
      <c r="F211" s="176"/>
      <c r="G211" s="176"/>
      <c r="H211" s="176"/>
      <c r="I211" s="126"/>
      <c r="J211" s="126"/>
      <c r="K211" s="126"/>
      <c r="L211" s="126"/>
      <c r="M211" s="126"/>
      <c r="N211" s="126"/>
      <c r="O211" s="126"/>
      <c r="P211" s="126"/>
      <c r="Q211" s="126"/>
      <c r="R211" s="126"/>
      <c r="S211" s="126"/>
      <c r="T211" s="126"/>
      <c r="U211" s="126"/>
      <c r="V211" s="126"/>
      <c r="W211" s="126"/>
      <c r="X211" s="126"/>
      <c r="Y211" s="126"/>
      <c r="Z211" s="126"/>
      <c r="AA211" s="126"/>
      <c r="AB211" s="126"/>
    </row>
    <row r="212" spans="1:28" ht="15.75" customHeight="1">
      <c r="A212" s="126"/>
      <c r="B212" s="126"/>
      <c r="C212" s="176"/>
      <c r="D212" s="176"/>
      <c r="E212" s="176"/>
      <c r="F212" s="176"/>
      <c r="G212" s="176"/>
      <c r="H212" s="176"/>
      <c r="I212" s="126"/>
      <c r="J212" s="126"/>
      <c r="K212" s="126"/>
      <c r="L212" s="126"/>
      <c r="M212" s="126"/>
      <c r="N212" s="126"/>
      <c r="O212" s="126"/>
      <c r="P212" s="126"/>
      <c r="Q212" s="126"/>
      <c r="R212" s="126"/>
      <c r="S212" s="126"/>
      <c r="T212" s="126"/>
      <c r="U212" s="126"/>
      <c r="V212" s="126"/>
      <c r="W212" s="126"/>
      <c r="X212" s="126"/>
      <c r="Y212" s="126"/>
      <c r="Z212" s="126"/>
      <c r="AA212" s="126"/>
      <c r="AB212" s="126"/>
    </row>
    <row r="213" spans="1:28" ht="15.75" customHeight="1">
      <c r="A213" s="126"/>
      <c r="B213" s="126"/>
      <c r="C213" s="176"/>
      <c r="D213" s="176"/>
      <c r="E213" s="176"/>
      <c r="F213" s="176"/>
      <c r="G213" s="176"/>
      <c r="H213" s="176"/>
      <c r="I213" s="126"/>
      <c r="J213" s="126"/>
      <c r="K213" s="126"/>
      <c r="L213" s="126"/>
      <c r="M213" s="126"/>
      <c r="N213" s="126"/>
      <c r="O213" s="126"/>
      <c r="P213" s="126"/>
      <c r="Q213" s="126"/>
      <c r="R213" s="126"/>
      <c r="S213" s="126"/>
      <c r="T213" s="126"/>
      <c r="U213" s="126"/>
      <c r="V213" s="126"/>
      <c r="W213" s="126"/>
      <c r="X213" s="126"/>
      <c r="Y213" s="126"/>
      <c r="Z213" s="126"/>
      <c r="AA213" s="126"/>
      <c r="AB213" s="126"/>
    </row>
    <row r="214" spans="1:28" ht="15.75" customHeight="1">
      <c r="A214" s="126"/>
      <c r="B214" s="126"/>
      <c r="C214" s="176"/>
      <c r="D214" s="176"/>
      <c r="E214" s="176"/>
      <c r="F214" s="176"/>
      <c r="G214" s="176"/>
      <c r="H214" s="176"/>
      <c r="I214" s="126"/>
      <c r="J214" s="126"/>
      <c r="K214" s="126"/>
      <c r="L214" s="126"/>
      <c r="M214" s="126"/>
      <c r="N214" s="126"/>
      <c r="O214" s="126"/>
      <c r="P214" s="126"/>
      <c r="Q214" s="126"/>
      <c r="R214" s="126"/>
      <c r="S214" s="126"/>
      <c r="T214" s="126"/>
      <c r="U214" s="126"/>
      <c r="V214" s="126"/>
      <c r="W214" s="126"/>
      <c r="X214" s="126"/>
      <c r="Y214" s="126"/>
      <c r="Z214" s="126"/>
      <c r="AA214" s="126"/>
      <c r="AB214" s="126"/>
    </row>
    <row r="215" spans="1:28" ht="15.75" customHeight="1">
      <c r="A215" s="126"/>
      <c r="B215" s="126"/>
      <c r="C215" s="176"/>
      <c r="D215" s="176"/>
      <c r="E215" s="176"/>
      <c r="F215" s="176"/>
      <c r="G215" s="176"/>
      <c r="H215" s="176"/>
      <c r="I215" s="126"/>
      <c r="J215" s="126"/>
      <c r="K215" s="126"/>
      <c r="L215" s="126"/>
      <c r="M215" s="126"/>
      <c r="N215" s="126"/>
      <c r="O215" s="126"/>
      <c r="P215" s="126"/>
      <c r="Q215" s="126"/>
      <c r="R215" s="126"/>
      <c r="S215" s="126"/>
      <c r="T215" s="126"/>
      <c r="U215" s="126"/>
      <c r="V215" s="126"/>
      <c r="W215" s="126"/>
      <c r="X215" s="126"/>
      <c r="Y215" s="126"/>
      <c r="Z215" s="126"/>
      <c r="AA215" s="126"/>
      <c r="AB215" s="126"/>
    </row>
    <row r="216" spans="1:28" ht="15.75" customHeight="1">
      <c r="A216" s="126"/>
      <c r="B216" s="126"/>
      <c r="C216" s="176"/>
      <c r="D216" s="176"/>
      <c r="E216" s="176"/>
      <c r="F216" s="176"/>
      <c r="G216" s="176"/>
      <c r="H216" s="176"/>
      <c r="I216" s="126"/>
      <c r="J216" s="126"/>
      <c r="K216" s="126"/>
      <c r="L216" s="126"/>
      <c r="M216" s="126"/>
      <c r="N216" s="126"/>
      <c r="O216" s="126"/>
      <c r="P216" s="126"/>
      <c r="Q216" s="126"/>
      <c r="R216" s="126"/>
      <c r="S216" s="126"/>
      <c r="T216" s="126"/>
      <c r="U216" s="126"/>
      <c r="V216" s="126"/>
      <c r="W216" s="126"/>
      <c r="X216" s="126"/>
      <c r="Y216" s="126"/>
      <c r="Z216" s="126"/>
      <c r="AA216" s="126"/>
      <c r="AB216" s="126"/>
    </row>
    <row r="217" spans="1:28" ht="15.75" customHeight="1">
      <c r="A217" s="126"/>
      <c r="B217" s="126"/>
      <c r="C217" s="176"/>
      <c r="D217" s="176"/>
      <c r="E217" s="176"/>
      <c r="F217" s="176"/>
      <c r="G217" s="176"/>
      <c r="H217" s="176"/>
      <c r="I217" s="126"/>
      <c r="J217" s="126"/>
      <c r="K217" s="126"/>
      <c r="L217" s="126"/>
      <c r="M217" s="126"/>
      <c r="N217" s="126"/>
      <c r="O217" s="126"/>
      <c r="P217" s="126"/>
      <c r="Q217" s="126"/>
      <c r="R217" s="126"/>
      <c r="S217" s="126"/>
      <c r="T217" s="126"/>
      <c r="U217" s="126"/>
      <c r="V217" s="126"/>
      <c r="W217" s="126"/>
      <c r="X217" s="126"/>
      <c r="Y217" s="126"/>
      <c r="Z217" s="126"/>
      <c r="AA217" s="126"/>
      <c r="AB217" s="126"/>
    </row>
    <row r="218" spans="1:28" ht="15.75" customHeight="1">
      <c r="A218" s="126"/>
      <c r="B218" s="126"/>
      <c r="C218" s="176"/>
      <c r="D218" s="176"/>
      <c r="E218" s="176"/>
      <c r="F218" s="176"/>
      <c r="G218" s="176"/>
      <c r="H218" s="176"/>
      <c r="I218" s="126"/>
      <c r="J218" s="126"/>
      <c r="K218" s="126"/>
      <c r="L218" s="126"/>
      <c r="M218" s="126"/>
      <c r="N218" s="126"/>
      <c r="O218" s="126"/>
      <c r="P218" s="126"/>
      <c r="Q218" s="126"/>
      <c r="R218" s="126"/>
      <c r="S218" s="126"/>
      <c r="T218" s="126"/>
      <c r="U218" s="126"/>
      <c r="V218" s="126"/>
      <c r="W218" s="126"/>
      <c r="X218" s="126"/>
      <c r="Y218" s="126"/>
      <c r="Z218" s="126"/>
      <c r="AA218" s="126"/>
      <c r="AB218" s="126"/>
    </row>
    <row r="219" spans="1:28" ht="15.75" customHeight="1">
      <c r="A219" s="126"/>
      <c r="B219" s="126"/>
      <c r="C219" s="176"/>
      <c r="D219" s="176"/>
      <c r="E219" s="176"/>
      <c r="F219" s="176"/>
      <c r="G219" s="176"/>
      <c r="H219" s="176"/>
      <c r="I219" s="126"/>
      <c r="J219" s="126"/>
      <c r="K219" s="126"/>
      <c r="L219" s="126"/>
      <c r="M219" s="126"/>
      <c r="N219" s="126"/>
      <c r="O219" s="126"/>
      <c r="P219" s="126"/>
      <c r="Q219" s="126"/>
      <c r="R219" s="126"/>
      <c r="S219" s="126"/>
      <c r="T219" s="126"/>
      <c r="U219" s="126"/>
      <c r="V219" s="126"/>
      <c r="W219" s="126"/>
      <c r="X219" s="126"/>
      <c r="Y219" s="126"/>
      <c r="Z219" s="126"/>
      <c r="AA219" s="126"/>
      <c r="AB219" s="126"/>
    </row>
    <row r="220" spans="1:28" ht="15.75" customHeight="1">
      <c r="A220" s="126"/>
      <c r="B220" s="126"/>
      <c r="C220" s="176"/>
      <c r="D220" s="176"/>
      <c r="E220" s="176"/>
      <c r="F220" s="176"/>
      <c r="G220" s="176"/>
      <c r="H220" s="176"/>
      <c r="I220" s="126"/>
      <c r="J220" s="126"/>
      <c r="K220" s="126"/>
      <c r="L220" s="126"/>
      <c r="M220" s="126"/>
      <c r="N220" s="126"/>
      <c r="O220" s="126"/>
      <c r="P220" s="126"/>
      <c r="Q220" s="126"/>
      <c r="R220" s="126"/>
      <c r="S220" s="126"/>
      <c r="T220" s="126"/>
      <c r="U220" s="126"/>
      <c r="V220" s="126"/>
      <c r="W220" s="126"/>
      <c r="X220" s="126"/>
      <c r="Y220" s="126"/>
      <c r="Z220" s="126"/>
      <c r="AA220" s="126"/>
      <c r="AB220" s="126"/>
    </row>
    <row r="221" spans="1:28" ht="15.75" customHeight="1">
      <c r="A221" s="126"/>
      <c r="B221" s="126"/>
      <c r="C221" s="176"/>
      <c r="D221" s="176"/>
      <c r="E221" s="176"/>
      <c r="F221" s="176"/>
      <c r="G221" s="176"/>
      <c r="H221" s="176"/>
      <c r="I221" s="126"/>
      <c r="J221" s="126"/>
      <c r="K221" s="126"/>
      <c r="L221" s="126"/>
      <c r="M221" s="126"/>
      <c r="N221" s="126"/>
      <c r="O221" s="126"/>
      <c r="P221" s="126"/>
      <c r="Q221" s="126"/>
      <c r="R221" s="126"/>
      <c r="S221" s="126"/>
      <c r="T221" s="126"/>
      <c r="U221" s="126"/>
      <c r="V221" s="126"/>
      <c r="W221" s="126"/>
      <c r="X221" s="126"/>
      <c r="Y221" s="126"/>
      <c r="Z221" s="126"/>
      <c r="AA221" s="126"/>
      <c r="AB221" s="126"/>
    </row>
    <row r="222" spans="1:28" ht="15.75" customHeight="1">
      <c r="A222" s="126"/>
      <c r="B222" s="126"/>
      <c r="C222" s="176"/>
      <c r="D222" s="176"/>
      <c r="E222" s="176"/>
      <c r="F222" s="176"/>
      <c r="G222" s="176"/>
      <c r="H222" s="176"/>
      <c r="I222" s="126"/>
      <c r="J222" s="126"/>
      <c r="K222" s="126"/>
      <c r="L222" s="126"/>
      <c r="M222" s="126"/>
      <c r="N222" s="126"/>
      <c r="O222" s="126"/>
      <c r="P222" s="126"/>
      <c r="Q222" s="126"/>
      <c r="R222" s="126"/>
      <c r="S222" s="126"/>
      <c r="T222" s="126"/>
      <c r="U222" s="126"/>
      <c r="V222" s="126"/>
      <c r="W222" s="126"/>
      <c r="X222" s="126"/>
      <c r="Y222" s="126"/>
      <c r="Z222" s="126"/>
      <c r="AA222" s="126"/>
      <c r="AB222" s="126"/>
    </row>
    <row r="223" spans="1:28" ht="15.75" customHeight="1">
      <c r="A223" s="126"/>
      <c r="B223" s="126"/>
      <c r="C223" s="176"/>
      <c r="D223" s="176"/>
      <c r="E223" s="176"/>
      <c r="F223" s="176"/>
      <c r="G223" s="176"/>
      <c r="H223" s="176"/>
      <c r="I223" s="126"/>
      <c r="J223" s="126"/>
      <c r="K223" s="126"/>
      <c r="L223" s="126"/>
      <c r="M223" s="126"/>
      <c r="N223" s="126"/>
      <c r="O223" s="126"/>
      <c r="P223" s="126"/>
      <c r="Q223" s="126"/>
      <c r="R223" s="126"/>
      <c r="S223" s="126"/>
      <c r="T223" s="126"/>
      <c r="U223" s="126"/>
      <c r="V223" s="126"/>
      <c r="W223" s="126"/>
      <c r="X223" s="126"/>
      <c r="Y223" s="126"/>
      <c r="Z223" s="126"/>
      <c r="AA223" s="126"/>
      <c r="AB223" s="126"/>
    </row>
    <row r="224" spans="1:28" ht="15.75" customHeight="1">
      <c r="A224" s="126"/>
      <c r="B224" s="126"/>
      <c r="C224" s="176"/>
      <c r="D224" s="176"/>
      <c r="E224" s="176"/>
      <c r="F224" s="176"/>
      <c r="G224" s="176"/>
      <c r="H224" s="176"/>
      <c r="I224" s="126"/>
      <c r="J224" s="126"/>
      <c r="K224" s="126"/>
      <c r="L224" s="126"/>
      <c r="M224" s="126"/>
      <c r="N224" s="126"/>
      <c r="O224" s="126"/>
      <c r="P224" s="126"/>
      <c r="Q224" s="126"/>
      <c r="R224" s="126"/>
      <c r="S224" s="126"/>
      <c r="T224" s="126"/>
      <c r="U224" s="126"/>
      <c r="V224" s="126"/>
      <c r="W224" s="126"/>
      <c r="X224" s="126"/>
      <c r="Y224" s="126"/>
      <c r="Z224" s="126"/>
      <c r="AA224" s="126"/>
      <c r="AB224" s="126"/>
    </row>
    <row r="225" spans="1:28" ht="15.75" customHeight="1">
      <c r="A225" s="126"/>
      <c r="B225" s="126"/>
      <c r="C225" s="176"/>
      <c r="D225" s="176"/>
      <c r="E225" s="176"/>
      <c r="F225" s="176"/>
      <c r="G225" s="176"/>
      <c r="H225" s="176"/>
      <c r="I225" s="126"/>
      <c r="J225" s="126"/>
      <c r="K225" s="126"/>
      <c r="L225" s="126"/>
      <c r="M225" s="126"/>
      <c r="N225" s="126"/>
      <c r="O225" s="126"/>
      <c r="P225" s="126"/>
      <c r="Q225" s="126"/>
      <c r="R225" s="126"/>
      <c r="S225" s="126"/>
      <c r="T225" s="126"/>
      <c r="U225" s="126"/>
      <c r="V225" s="126"/>
      <c r="W225" s="126"/>
      <c r="X225" s="126"/>
      <c r="Y225" s="126"/>
      <c r="Z225" s="126"/>
      <c r="AA225" s="126"/>
      <c r="AB225" s="126"/>
    </row>
    <row r="226" spans="1:28" ht="15.75" customHeight="1">
      <c r="A226" s="126"/>
      <c r="B226" s="126"/>
      <c r="C226" s="176"/>
      <c r="D226" s="176"/>
      <c r="E226" s="176"/>
      <c r="F226" s="176"/>
      <c r="G226" s="176"/>
      <c r="H226" s="176"/>
      <c r="I226" s="126"/>
      <c r="J226" s="126"/>
      <c r="K226" s="126"/>
      <c r="L226" s="126"/>
      <c r="M226" s="126"/>
      <c r="N226" s="126"/>
      <c r="O226" s="126"/>
      <c r="P226" s="126"/>
      <c r="Q226" s="126"/>
      <c r="R226" s="126"/>
      <c r="S226" s="126"/>
      <c r="T226" s="126"/>
      <c r="U226" s="126"/>
      <c r="V226" s="126"/>
      <c r="W226" s="126"/>
      <c r="X226" s="126"/>
      <c r="Y226" s="126"/>
      <c r="Z226" s="126"/>
      <c r="AA226" s="126"/>
      <c r="AB226" s="126"/>
    </row>
    <row r="227" spans="1:28" ht="15.75" customHeight="1">
      <c r="A227" s="126"/>
      <c r="B227" s="126"/>
      <c r="C227" s="176"/>
      <c r="D227" s="176"/>
      <c r="E227" s="176"/>
      <c r="F227" s="176"/>
      <c r="G227" s="176"/>
      <c r="H227" s="176"/>
      <c r="I227" s="126"/>
      <c r="J227" s="126"/>
      <c r="K227" s="126"/>
      <c r="L227" s="126"/>
      <c r="M227" s="126"/>
      <c r="N227" s="126"/>
      <c r="O227" s="126"/>
      <c r="P227" s="126"/>
      <c r="Q227" s="126"/>
      <c r="R227" s="126"/>
      <c r="S227" s="126"/>
      <c r="T227" s="126"/>
      <c r="U227" s="126"/>
      <c r="V227" s="126"/>
      <c r="W227" s="126"/>
      <c r="X227" s="126"/>
      <c r="Y227" s="126"/>
      <c r="Z227" s="126"/>
      <c r="AA227" s="126"/>
      <c r="AB227" s="126"/>
    </row>
    <row r="228" spans="1:28" ht="15.75" customHeight="1">
      <c r="A228" s="126"/>
      <c r="B228" s="126"/>
      <c r="C228" s="176"/>
      <c r="D228" s="176"/>
      <c r="E228" s="176"/>
      <c r="F228" s="176"/>
      <c r="G228" s="176"/>
      <c r="H228" s="176"/>
      <c r="I228" s="126"/>
      <c r="J228" s="126"/>
      <c r="K228" s="126"/>
      <c r="L228" s="126"/>
      <c r="M228" s="126"/>
      <c r="N228" s="126"/>
      <c r="O228" s="126"/>
      <c r="P228" s="126"/>
      <c r="Q228" s="126"/>
      <c r="R228" s="126"/>
      <c r="S228" s="126"/>
      <c r="T228" s="126"/>
      <c r="U228" s="126"/>
      <c r="V228" s="126"/>
      <c r="W228" s="126"/>
      <c r="X228" s="126"/>
      <c r="Y228" s="126"/>
      <c r="Z228" s="126"/>
      <c r="AA228" s="126"/>
      <c r="AB228" s="126"/>
    </row>
    <row r="229" spans="1:28" ht="15.75" customHeight="1">
      <c r="A229" s="126"/>
      <c r="B229" s="126"/>
      <c r="C229" s="176"/>
      <c r="D229" s="176"/>
      <c r="E229" s="176"/>
      <c r="F229" s="176"/>
      <c r="G229" s="176"/>
      <c r="H229" s="176"/>
      <c r="I229" s="126"/>
      <c r="J229" s="126"/>
      <c r="K229" s="126"/>
      <c r="L229" s="126"/>
      <c r="M229" s="126"/>
      <c r="N229" s="126"/>
      <c r="O229" s="126"/>
      <c r="P229" s="126"/>
      <c r="Q229" s="126"/>
      <c r="R229" s="126"/>
      <c r="S229" s="126"/>
      <c r="T229" s="126"/>
      <c r="U229" s="126"/>
      <c r="V229" s="126"/>
      <c r="W229" s="126"/>
      <c r="X229" s="126"/>
      <c r="Y229" s="126"/>
      <c r="Z229" s="126"/>
      <c r="AA229" s="126"/>
      <c r="AB229" s="126"/>
    </row>
    <row r="230" spans="1:28" ht="15.75" customHeight="1">
      <c r="A230" s="126"/>
      <c r="B230" s="126"/>
      <c r="C230" s="176"/>
      <c r="D230" s="176"/>
      <c r="E230" s="176"/>
      <c r="F230" s="176"/>
      <c r="G230" s="176"/>
      <c r="H230" s="176"/>
      <c r="I230" s="126"/>
      <c r="J230" s="126"/>
      <c r="K230" s="126"/>
      <c r="L230" s="126"/>
      <c r="M230" s="126"/>
      <c r="N230" s="126"/>
      <c r="O230" s="126"/>
      <c r="P230" s="126"/>
      <c r="Q230" s="126"/>
      <c r="R230" s="126"/>
      <c r="S230" s="126"/>
      <c r="T230" s="126"/>
      <c r="U230" s="126"/>
      <c r="V230" s="126"/>
      <c r="W230" s="126"/>
      <c r="X230" s="126"/>
      <c r="Y230" s="126"/>
      <c r="Z230" s="126"/>
      <c r="AA230" s="126"/>
      <c r="AB230" s="126"/>
    </row>
    <row r="231" spans="1:28" ht="15.75" customHeight="1">
      <c r="A231" s="126"/>
      <c r="B231" s="126"/>
      <c r="C231" s="176"/>
      <c r="D231" s="176"/>
      <c r="E231" s="176"/>
      <c r="F231" s="176"/>
      <c r="G231" s="176"/>
      <c r="H231" s="176"/>
      <c r="I231" s="126"/>
      <c r="J231" s="126"/>
      <c r="K231" s="126"/>
      <c r="L231" s="126"/>
      <c r="M231" s="126"/>
      <c r="N231" s="126"/>
      <c r="O231" s="126"/>
      <c r="P231" s="126"/>
      <c r="Q231" s="126"/>
      <c r="R231" s="126"/>
      <c r="S231" s="126"/>
      <c r="T231" s="126"/>
      <c r="U231" s="126"/>
      <c r="V231" s="126"/>
      <c r="W231" s="126"/>
      <c r="X231" s="126"/>
      <c r="Y231" s="126"/>
      <c r="Z231" s="126"/>
      <c r="AA231" s="126"/>
      <c r="AB231" s="126"/>
    </row>
    <row r="232" spans="1:28" ht="15.75" customHeight="1">
      <c r="A232" s="126"/>
      <c r="B232" s="126"/>
      <c r="C232" s="176"/>
      <c r="D232" s="176"/>
      <c r="E232" s="176"/>
      <c r="F232" s="176"/>
      <c r="G232" s="176"/>
      <c r="H232" s="176"/>
      <c r="I232" s="126"/>
      <c r="J232" s="126"/>
      <c r="K232" s="126"/>
      <c r="L232" s="126"/>
      <c r="M232" s="126"/>
      <c r="N232" s="126"/>
      <c r="O232" s="126"/>
      <c r="P232" s="126"/>
      <c r="Q232" s="126"/>
      <c r="R232" s="126"/>
      <c r="S232" s="126"/>
      <c r="T232" s="126"/>
      <c r="U232" s="126"/>
      <c r="V232" s="126"/>
      <c r="W232" s="126"/>
      <c r="X232" s="126"/>
      <c r="Y232" s="126"/>
      <c r="Z232" s="126"/>
      <c r="AA232" s="126"/>
      <c r="AB232" s="126"/>
    </row>
    <row r="233" spans="1:28" ht="15.75" customHeight="1">
      <c r="A233" s="126"/>
      <c r="B233" s="126"/>
      <c r="C233" s="176"/>
      <c r="D233" s="176"/>
      <c r="E233" s="176"/>
      <c r="F233" s="176"/>
      <c r="G233" s="176"/>
      <c r="H233" s="176"/>
      <c r="I233" s="126"/>
      <c r="J233" s="126"/>
      <c r="K233" s="126"/>
      <c r="L233" s="126"/>
      <c r="M233" s="126"/>
      <c r="N233" s="126"/>
      <c r="O233" s="126"/>
      <c r="P233" s="126"/>
      <c r="Q233" s="126"/>
      <c r="R233" s="126"/>
      <c r="S233" s="126"/>
      <c r="T233" s="126"/>
      <c r="U233" s="126"/>
      <c r="V233" s="126"/>
      <c r="W233" s="126"/>
      <c r="X233" s="126"/>
      <c r="Y233" s="126"/>
      <c r="Z233" s="126"/>
      <c r="AA233" s="126"/>
      <c r="AB233" s="126"/>
    </row>
    <row r="234" spans="1:28" ht="15.75" customHeight="1">
      <c r="A234" s="126"/>
      <c r="B234" s="126"/>
      <c r="C234" s="176"/>
      <c r="D234" s="176"/>
      <c r="E234" s="176"/>
      <c r="F234" s="176"/>
      <c r="G234" s="176"/>
      <c r="H234" s="176"/>
      <c r="I234" s="126"/>
      <c r="J234" s="126"/>
      <c r="K234" s="126"/>
      <c r="L234" s="126"/>
      <c r="M234" s="126"/>
      <c r="N234" s="126"/>
      <c r="O234" s="126"/>
      <c r="P234" s="126"/>
      <c r="Q234" s="126"/>
      <c r="R234" s="126"/>
      <c r="S234" s="126"/>
      <c r="T234" s="126"/>
      <c r="U234" s="126"/>
      <c r="V234" s="126"/>
      <c r="W234" s="126"/>
      <c r="X234" s="126"/>
      <c r="Y234" s="126"/>
      <c r="Z234" s="126"/>
      <c r="AA234" s="126"/>
      <c r="AB234" s="126"/>
    </row>
    <row r="235" spans="1:28" ht="15.75" customHeight="1">
      <c r="A235" s="126"/>
      <c r="B235" s="126"/>
      <c r="C235" s="176"/>
      <c r="D235" s="176"/>
      <c r="E235" s="176"/>
      <c r="F235" s="176"/>
      <c r="G235" s="176"/>
      <c r="H235" s="176"/>
      <c r="I235" s="126"/>
      <c r="J235" s="126"/>
      <c r="K235" s="126"/>
      <c r="L235" s="126"/>
      <c r="M235" s="126"/>
      <c r="N235" s="126"/>
      <c r="O235" s="126"/>
      <c r="P235" s="126"/>
      <c r="Q235" s="126"/>
      <c r="R235" s="126"/>
      <c r="S235" s="126"/>
      <c r="T235" s="126"/>
      <c r="U235" s="126"/>
      <c r="V235" s="126"/>
      <c r="W235" s="126"/>
      <c r="X235" s="126"/>
      <c r="Y235" s="126"/>
      <c r="Z235" s="126"/>
      <c r="AA235" s="126"/>
      <c r="AB235" s="126"/>
    </row>
    <row r="236" spans="1:28" ht="15.75" customHeight="1">
      <c r="A236" s="126"/>
      <c r="B236" s="126"/>
      <c r="C236" s="176"/>
      <c r="D236" s="176"/>
      <c r="E236" s="176"/>
      <c r="F236" s="176"/>
      <c r="G236" s="176"/>
      <c r="H236" s="176"/>
      <c r="I236" s="126"/>
      <c r="J236" s="126"/>
      <c r="K236" s="126"/>
      <c r="L236" s="126"/>
      <c r="M236" s="126"/>
      <c r="N236" s="126"/>
      <c r="O236" s="126"/>
      <c r="P236" s="126"/>
      <c r="Q236" s="126"/>
      <c r="R236" s="126"/>
      <c r="S236" s="126"/>
      <c r="T236" s="126"/>
      <c r="U236" s="126"/>
      <c r="V236" s="126"/>
      <c r="W236" s="126"/>
      <c r="X236" s="126"/>
      <c r="Y236" s="126"/>
      <c r="Z236" s="126"/>
      <c r="AA236" s="126"/>
      <c r="AB236" s="126"/>
    </row>
    <row r="237" spans="1:28" ht="15.75" customHeight="1">
      <c r="A237" s="126"/>
      <c r="B237" s="126"/>
      <c r="C237" s="176"/>
      <c r="D237" s="176"/>
      <c r="E237" s="176"/>
      <c r="F237" s="176"/>
      <c r="G237" s="176"/>
      <c r="H237" s="176"/>
      <c r="I237" s="126"/>
      <c r="J237" s="126"/>
      <c r="K237" s="126"/>
      <c r="L237" s="126"/>
      <c r="M237" s="126"/>
      <c r="N237" s="126"/>
      <c r="O237" s="126"/>
      <c r="P237" s="126"/>
      <c r="Q237" s="126"/>
      <c r="R237" s="126"/>
      <c r="S237" s="126"/>
      <c r="T237" s="126"/>
      <c r="U237" s="126"/>
      <c r="V237" s="126"/>
      <c r="W237" s="126"/>
      <c r="X237" s="126"/>
      <c r="Y237" s="126"/>
      <c r="Z237" s="126"/>
      <c r="AA237" s="126"/>
      <c r="AB237" s="126"/>
    </row>
    <row r="238" spans="1:28" ht="15.75" customHeight="1">
      <c r="A238" s="126"/>
      <c r="B238" s="126"/>
      <c r="C238" s="176"/>
      <c r="D238" s="176"/>
      <c r="E238" s="176"/>
      <c r="F238" s="176"/>
      <c r="G238" s="176"/>
      <c r="H238" s="176"/>
      <c r="I238" s="126"/>
      <c r="J238" s="126"/>
      <c r="K238" s="126"/>
      <c r="L238" s="126"/>
      <c r="M238" s="126"/>
      <c r="N238" s="126"/>
      <c r="O238" s="126"/>
      <c r="P238" s="126"/>
      <c r="Q238" s="126"/>
      <c r="R238" s="126"/>
      <c r="S238" s="126"/>
      <c r="T238" s="126"/>
      <c r="U238" s="126"/>
      <c r="V238" s="126"/>
      <c r="W238" s="126"/>
      <c r="X238" s="126"/>
      <c r="Y238" s="126"/>
      <c r="Z238" s="126"/>
      <c r="AA238" s="126"/>
      <c r="AB238" s="126"/>
    </row>
    <row r="239" spans="1:28" ht="15.75" customHeight="1">
      <c r="A239" s="126"/>
      <c r="B239" s="126"/>
      <c r="C239" s="176"/>
      <c r="D239" s="176"/>
      <c r="E239" s="176"/>
      <c r="F239" s="176"/>
      <c r="G239" s="176"/>
      <c r="H239" s="176"/>
      <c r="I239" s="126"/>
      <c r="J239" s="126"/>
      <c r="K239" s="126"/>
      <c r="L239" s="126"/>
      <c r="M239" s="126"/>
      <c r="N239" s="126"/>
      <c r="O239" s="126"/>
      <c r="P239" s="126"/>
      <c r="Q239" s="126"/>
      <c r="R239" s="126"/>
      <c r="S239" s="126"/>
      <c r="T239" s="126"/>
      <c r="U239" s="126"/>
      <c r="V239" s="126"/>
      <c r="W239" s="126"/>
      <c r="X239" s="126"/>
      <c r="Y239" s="126"/>
      <c r="Z239" s="126"/>
      <c r="AA239" s="126"/>
      <c r="AB239" s="126"/>
    </row>
    <row r="240" spans="1:28" ht="15.75" customHeight="1">
      <c r="A240" s="126"/>
      <c r="B240" s="126"/>
      <c r="C240" s="176"/>
      <c r="D240" s="176"/>
      <c r="E240" s="176"/>
      <c r="F240" s="176"/>
      <c r="G240" s="176"/>
      <c r="H240" s="176"/>
      <c r="I240" s="126"/>
      <c r="J240" s="126"/>
      <c r="K240" s="126"/>
      <c r="L240" s="126"/>
      <c r="M240" s="126"/>
      <c r="N240" s="126"/>
      <c r="O240" s="126"/>
      <c r="P240" s="126"/>
      <c r="Q240" s="126"/>
      <c r="R240" s="126"/>
      <c r="S240" s="126"/>
      <c r="T240" s="126"/>
      <c r="U240" s="126"/>
      <c r="V240" s="126"/>
      <c r="W240" s="126"/>
      <c r="X240" s="126"/>
      <c r="Y240" s="126"/>
      <c r="Z240" s="126"/>
      <c r="AA240" s="126"/>
      <c r="AB240" s="126"/>
    </row>
    <row r="241" spans="1:28" ht="15.75" customHeight="1">
      <c r="A241" s="126"/>
      <c r="B241" s="126"/>
      <c r="C241" s="176"/>
      <c r="D241" s="176"/>
      <c r="E241" s="176"/>
      <c r="F241" s="176"/>
      <c r="G241" s="176"/>
      <c r="H241" s="176"/>
      <c r="I241" s="126"/>
      <c r="J241" s="126"/>
      <c r="K241" s="126"/>
      <c r="L241" s="126"/>
      <c r="M241" s="126"/>
      <c r="N241" s="126"/>
      <c r="O241" s="126"/>
      <c r="P241" s="126"/>
      <c r="Q241" s="126"/>
      <c r="R241" s="126"/>
      <c r="S241" s="126"/>
      <c r="T241" s="126"/>
      <c r="U241" s="126"/>
      <c r="V241" s="126"/>
      <c r="W241" s="126"/>
      <c r="X241" s="126"/>
      <c r="Y241" s="126"/>
      <c r="Z241" s="126"/>
      <c r="AA241" s="126"/>
      <c r="AB241" s="126"/>
    </row>
    <row r="242" spans="1:28" ht="15.75" customHeight="1">
      <c r="A242" s="126"/>
      <c r="B242" s="126"/>
      <c r="C242" s="176"/>
      <c r="D242" s="176"/>
      <c r="E242" s="176"/>
      <c r="F242" s="176"/>
      <c r="G242" s="176"/>
      <c r="H242" s="176"/>
      <c r="I242" s="126"/>
      <c r="J242" s="126"/>
      <c r="K242" s="126"/>
      <c r="L242" s="126"/>
      <c r="M242" s="126"/>
      <c r="N242" s="126"/>
      <c r="O242" s="126"/>
      <c r="P242" s="126"/>
      <c r="Q242" s="126"/>
      <c r="R242" s="126"/>
      <c r="S242" s="126"/>
      <c r="T242" s="126"/>
      <c r="U242" s="126"/>
      <c r="V242" s="126"/>
      <c r="W242" s="126"/>
      <c r="X242" s="126"/>
      <c r="Y242" s="126"/>
      <c r="Z242" s="126"/>
      <c r="AA242" s="126"/>
      <c r="AB242" s="126"/>
    </row>
    <row r="243" spans="1:28" ht="15.75" customHeight="1">
      <c r="A243" s="126"/>
      <c r="B243" s="126"/>
      <c r="C243" s="176"/>
      <c r="D243" s="176"/>
      <c r="E243" s="176"/>
      <c r="F243" s="176"/>
      <c r="G243" s="176"/>
      <c r="H243" s="176"/>
      <c r="I243" s="126"/>
      <c r="J243" s="126"/>
      <c r="K243" s="126"/>
      <c r="L243" s="126"/>
      <c r="M243" s="126"/>
      <c r="N243" s="126"/>
      <c r="O243" s="126"/>
      <c r="P243" s="126"/>
      <c r="Q243" s="126"/>
      <c r="R243" s="126"/>
      <c r="S243" s="126"/>
      <c r="T243" s="126"/>
      <c r="U243" s="126"/>
      <c r="V243" s="126"/>
      <c r="W243" s="126"/>
      <c r="X243" s="126"/>
      <c r="Y243" s="126"/>
      <c r="Z243" s="126"/>
      <c r="AA243" s="126"/>
      <c r="AB243" s="126"/>
    </row>
    <row r="244" spans="1:28" ht="15.75" customHeight="1">
      <c r="A244" s="126"/>
      <c r="B244" s="126"/>
      <c r="C244" s="176"/>
      <c r="D244" s="176"/>
      <c r="E244" s="176"/>
      <c r="F244" s="176"/>
      <c r="G244" s="176"/>
      <c r="H244" s="176"/>
      <c r="I244" s="126"/>
      <c r="J244" s="126"/>
      <c r="K244" s="126"/>
      <c r="L244" s="126"/>
      <c r="M244" s="126"/>
      <c r="N244" s="126"/>
      <c r="O244" s="126"/>
      <c r="P244" s="126"/>
      <c r="Q244" s="126"/>
      <c r="R244" s="126"/>
      <c r="S244" s="126"/>
      <c r="T244" s="126"/>
      <c r="U244" s="126"/>
      <c r="V244" s="126"/>
      <c r="W244" s="126"/>
      <c r="X244" s="126"/>
      <c r="Y244" s="126"/>
      <c r="Z244" s="126"/>
      <c r="AA244" s="126"/>
      <c r="AB244" s="126"/>
    </row>
    <row r="245" spans="1:28" ht="15.75" customHeight="1">
      <c r="A245" s="126"/>
      <c r="B245" s="126"/>
      <c r="C245" s="176"/>
      <c r="D245" s="176"/>
      <c r="E245" s="176"/>
      <c r="F245" s="176"/>
      <c r="G245" s="176"/>
      <c r="H245" s="176"/>
      <c r="I245" s="126"/>
      <c r="J245" s="126"/>
      <c r="K245" s="126"/>
      <c r="L245" s="126"/>
      <c r="M245" s="126"/>
      <c r="N245" s="126"/>
      <c r="O245" s="126"/>
      <c r="P245" s="126"/>
      <c r="Q245" s="126"/>
      <c r="R245" s="126"/>
      <c r="S245" s="126"/>
      <c r="T245" s="126"/>
      <c r="U245" s="126"/>
      <c r="V245" s="126"/>
      <c r="W245" s="126"/>
      <c r="X245" s="126"/>
      <c r="Y245" s="126"/>
      <c r="Z245" s="126"/>
      <c r="AA245" s="126"/>
      <c r="AB245" s="126"/>
    </row>
    <row r="246" spans="1:28" ht="15.75" customHeight="1">
      <c r="A246" s="126"/>
      <c r="B246" s="126"/>
      <c r="C246" s="176"/>
      <c r="D246" s="176"/>
      <c r="E246" s="176"/>
      <c r="F246" s="176"/>
      <c r="G246" s="176"/>
      <c r="H246" s="176"/>
      <c r="I246" s="126"/>
      <c r="J246" s="126"/>
      <c r="K246" s="126"/>
      <c r="L246" s="126"/>
      <c r="M246" s="126"/>
      <c r="N246" s="126"/>
      <c r="O246" s="126"/>
      <c r="P246" s="126"/>
      <c r="Q246" s="126"/>
      <c r="R246" s="126"/>
      <c r="S246" s="126"/>
      <c r="T246" s="126"/>
      <c r="U246" s="126"/>
      <c r="V246" s="126"/>
      <c r="W246" s="126"/>
      <c r="X246" s="126"/>
      <c r="Y246" s="126"/>
      <c r="Z246" s="126"/>
      <c r="AA246" s="126"/>
      <c r="AB246" s="126"/>
    </row>
    <row r="247" spans="1:28" ht="15.75" customHeight="1">
      <c r="A247" s="126"/>
      <c r="B247" s="126"/>
      <c r="C247" s="176"/>
      <c r="D247" s="176"/>
      <c r="E247" s="176"/>
      <c r="F247" s="176"/>
      <c r="G247" s="176"/>
      <c r="H247" s="176"/>
      <c r="I247" s="126"/>
      <c r="J247" s="126"/>
      <c r="K247" s="126"/>
      <c r="L247" s="126"/>
      <c r="M247" s="126"/>
      <c r="N247" s="126"/>
      <c r="O247" s="126"/>
      <c r="P247" s="126"/>
      <c r="Q247" s="126"/>
      <c r="R247" s="126"/>
      <c r="S247" s="126"/>
      <c r="T247" s="126"/>
      <c r="U247" s="126"/>
      <c r="V247" s="126"/>
      <c r="W247" s="126"/>
      <c r="X247" s="126"/>
      <c r="Y247" s="126"/>
      <c r="Z247" s="126"/>
      <c r="AA247" s="126"/>
      <c r="AB247" s="126"/>
    </row>
    <row r="248" spans="1:28" ht="15.75" customHeight="1">
      <c r="A248" s="126"/>
      <c r="B248" s="126"/>
      <c r="C248" s="176"/>
      <c r="D248" s="176"/>
      <c r="E248" s="176"/>
      <c r="F248" s="176"/>
      <c r="G248" s="176"/>
      <c r="H248" s="176"/>
      <c r="I248" s="126"/>
      <c r="J248" s="126"/>
      <c r="K248" s="126"/>
      <c r="L248" s="126"/>
      <c r="M248" s="126"/>
      <c r="N248" s="126"/>
      <c r="O248" s="126"/>
      <c r="P248" s="126"/>
      <c r="Q248" s="126"/>
      <c r="R248" s="126"/>
      <c r="S248" s="126"/>
      <c r="T248" s="126"/>
      <c r="U248" s="126"/>
      <c r="V248" s="126"/>
      <c r="W248" s="126"/>
      <c r="X248" s="126"/>
      <c r="Y248" s="126"/>
      <c r="Z248" s="126"/>
      <c r="AA248" s="126"/>
      <c r="AB248" s="126"/>
    </row>
    <row r="249" spans="1:28" ht="15.75" customHeight="1">
      <c r="A249" s="126"/>
      <c r="B249" s="126"/>
      <c r="C249" s="176"/>
      <c r="D249" s="176"/>
      <c r="E249" s="176"/>
      <c r="F249" s="176"/>
      <c r="G249" s="176"/>
      <c r="H249" s="176"/>
      <c r="I249" s="126"/>
      <c r="J249" s="126"/>
      <c r="K249" s="126"/>
      <c r="L249" s="126"/>
      <c r="M249" s="126"/>
      <c r="N249" s="126"/>
      <c r="O249" s="126"/>
      <c r="P249" s="126"/>
      <c r="Q249" s="126"/>
      <c r="R249" s="126"/>
      <c r="S249" s="126"/>
      <c r="T249" s="126"/>
      <c r="U249" s="126"/>
      <c r="V249" s="126"/>
      <c r="W249" s="126"/>
      <c r="X249" s="126"/>
      <c r="Y249" s="126"/>
      <c r="Z249" s="126"/>
      <c r="AA249" s="126"/>
      <c r="AB249" s="126"/>
    </row>
    <row r="250" spans="1:28" ht="15.75" customHeight="1">
      <c r="A250" s="126"/>
      <c r="B250" s="126"/>
      <c r="C250" s="176"/>
      <c r="D250" s="176"/>
      <c r="E250" s="176"/>
      <c r="F250" s="176"/>
      <c r="G250" s="176"/>
      <c r="H250" s="176"/>
      <c r="I250" s="126"/>
      <c r="J250" s="126"/>
      <c r="K250" s="126"/>
      <c r="L250" s="126"/>
      <c r="M250" s="126"/>
      <c r="N250" s="126"/>
      <c r="O250" s="126"/>
      <c r="P250" s="126"/>
      <c r="Q250" s="126"/>
      <c r="R250" s="126"/>
      <c r="S250" s="126"/>
      <c r="T250" s="126"/>
      <c r="U250" s="126"/>
      <c r="V250" s="126"/>
      <c r="W250" s="126"/>
      <c r="X250" s="126"/>
      <c r="Y250" s="126"/>
      <c r="Z250" s="126"/>
      <c r="AA250" s="126"/>
      <c r="AB250" s="126"/>
    </row>
    <row r="251" spans="1:28" ht="15.75" customHeight="1">
      <c r="A251" s="126"/>
      <c r="B251" s="126"/>
      <c r="C251" s="176"/>
      <c r="D251" s="176"/>
      <c r="E251" s="176"/>
      <c r="F251" s="176"/>
      <c r="G251" s="176"/>
      <c r="H251" s="176"/>
      <c r="I251" s="126"/>
      <c r="J251" s="126"/>
      <c r="K251" s="126"/>
      <c r="L251" s="126"/>
      <c r="M251" s="126"/>
      <c r="N251" s="126"/>
      <c r="O251" s="126"/>
      <c r="P251" s="126"/>
      <c r="Q251" s="126"/>
      <c r="R251" s="126"/>
      <c r="S251" s="126"/>
      <c r="T251" s="126"/>
      <c r="U251" s="126"/>
      <c r="V251" s="126"/>
      <c r="W251" s="126"/>
      <c r="X251" s="126"/>
      <c r="Y251" s="126"/>
      <c r="Z251" s="126"/>
      <c r="AA251" s="126"/>
      <c r="AB251" s="126"/>
    </row>
    <row r="252" spans="1:28" ht="15.75" customHeight="1">
      <c r="A252" s="126"/>
      <c r="B252" s="126"/>
      <c r="C252" s="176"/>
      <c r="D252" s="176"/>
      <c r="E252" s="176"/>
      <c r="F252" s="176"/>
      <c r="G252" s="176"/>
      <c r="H252" s="176"/>
      <c r="I252" s="126"/>
      <c r="J252" s="126"/>
      <c r="K252" s="126"/>
      <c r="L252" s="126"/>
      <c r="M252" s="126"/>
      <c r="N252" s="126"/>
      <c r="O252" s="126"/>
      <c r="P252" s="126"/>
      <c r="Q252" s="126"/>
      <c r="R252" s="126"/>
      <c r="S252" s="126"/>
      <c r="T252" s="126"/>
      <c r="U252" s="126"/>
      <c r="V252" s="126"/>
      <c r="W252" s="126"/>
      <c r="X252" s="126"/>
      <c r="Y252" s="126"/>
      <c r="Z252" s="126"/>
      <c r="AA252" s="126"/>
      <c r="AB252" s="126"/>
    </row>
    <row r="253" spans="1:28" ht="15.75" customHeight="1">
      <c r="A253" s="126"/>
      <c r="B253" s="126"/>
      <c r="C253" s="176"/>
      <c r="D253" s="176"/>
      <c r="E253" s="176"/>
      <c r="F253" s="176"/>
      <c r="G253" s="176"/>
      <c r="H253" s="176"/>
      <c r="I253" s="126"/>
      <c r="J253" s="126"/>
      <c r="K253" s="126"/>
      <c r="L253" s="126"/>
      <c r="M253" s="126"/>
      <c r="N253" s="126"/>
      <c r="O253" s="126"/>
      <c r="P253" s="126"/>
      <c r="Q253" s="126"/>
      <c r="R253" s="126"/>
      <c r="S253" s="126"/>
      <c r="T253" s="126"/>
      <c r="U253" s="126"/>
      <c r="V253" s="126"/>
      <c r="W253" s="126"/>
      <c r="X253" s="126"/>
      <c r="Y253" s="126"/>
      <c r="Z253" s="126"/>
      <c r="AA253" s="126"/>
      <c r="AB253" s="126"/>
    </row>
    <row r="254" spans="1:28" ht="15.75" customHeight="1">
      <c r="A254" s="126"/>
      <c r="B254" s="126"/>
      <c r="C254" s="176"/>
      <c r="D254" s="176"/>
      <c r="E254" s="176"/>
      <c r="F254" s="176"/>
      <c r="G254" s="176"/>
      <c r="H254" s="176"/>
      <c r="I254" s="126"/>
      <c r="J254" s="126"/>
      <c r="K254" s="126"/>
      <c r="L254" s="126"/>
      <c r="M254" s="126"/>
      <c r="N254" s="126"/>
      <c r="O254" s="126"/>
      <c r="P254" s="126"/>
      <c r="Q254" s="126"/>
      <c r="R254" s="126"/>
      <c r="S254" s="126"/>
      <c r="T254" s="126"/>
      <c r="U254" s="126"/>
      <c r="V254" s="126"/>
      <c r="W254" s="126"/>
      <c r="X254" s="126"/>
      <c r="Y254" s="126"/>
      <c r="Z254" s="126"/>
      <c r="AA254" s="126"/>
      <c r="AB254" s="126"/>
    </row>
    <row r="255" spans="1:28" ht="15.75" customHeight="1">
      <c r="A255" s="126"/>
      <c r="B255" s="126"/>
      <c r="C255" s="176"/>
      <c r="D255" s="176"/>
      <c r="E255" s="176"/>
      <c r="F255" s="176"/>
      <c r="G255" s="176"/>
      <c r="H255" s="176"/>
      <c r="I255" s="126"/>
      <c r="J255" s="126"/>
      <c r="K255" s="126"/>
      <c r="L255" s="126"/>
      <c r="M255" s="126"/>
      <c r="N255" s="126"/>
      <c r="O255" s="126"/>
      <c r="P255" s="126"/>
      <c r="Q255" s="126"/>
      <c r="R255" s="126"/>
      <c r="S255" s="126"/>
      <c r="T255" s="126"/>
      <c r="U255" s="126"/>
      <c r="V255" s="126"/>
      <c r="W255" s="126"/>
      <c r="X255" s="126"/>
      <c r="Y255" s="126"/>
      <c r="Z255" s="126"/>
      <c r="AA255" s="126"/>
      <c r="AB255" s="126"/>
    </row>
    <row r="256" spans="1:28" ht="15.75" customHeight="1">
      <c r="A256" s="126"/>
      <c r="B256" s="126"/>
      <c r="C256" s="176"/>
      <c r="D256" s="176"/>
      <c r="E256" s="176"/>
      <c r="F256" s="176"/>
      <c r="G256" s="176"/>
      <c r="H256" s="176"/>
      <c r="I256" s="126"/>
      <c r="J256" s="126"/>
      <c r="K256" s="126"/>
      <c r="L256" s="126"/>
      <c r="M256" s="126"/>
      <c r="N256" s="126"/>
      <c r="O256" s="126"/>
      <c r="P256" s="126"/>
      <c r="Q256" s="126"/>
      <c r="R256" s="126"/>
      <c r="S256" s="126"/>
      <c r="T256" s="126"/>
      <c r="U256" s="126"/>
      <c r="V256" s="126"/>
      <c r="W256" s="126"/>
      <c r="X256" s="126"/>
      <c r="Y256" s="126"/>
      <c r="Z256" s="126"/>
      <c r="AA256" s="126"/>
      <c r="AB256" s="126"/>
    </row>
    <row r="257" spans="1:28" ht="15.75" customHeight="1">
      <c r="A257" s="126"/>
      <c r="B257" s="126"/>
      <c r="C257" s="176"/>
      <c r="D257" s="176"/>
      <c r="E257" s="176"/>
      <c r="F257" s="176"/>
      <c r="G257" s="176"/>
      <c r="H257" s="176"/>
      <c r="I257" s="126"/>
      <c r="J257" s="126"/>
      <c r="K257" s="126"/>
      <c r="L257" s="126"/>
      <c r="M257" s="126"/>
      <c r="N257" s="126"/>
      <c r="O257" s="126"/>
      <c r="P257" s="126"/>
      <c r="Q257" s="126"/>
      <c r="R257" s="126"/>
      <c r="S257" s="126"/>
      <c r="T257" s="126"/>
      <c r="U257" s="126"/>
      <c r="V257" s="126"/>
      <c r="W257" s="126"/>
      <c r="X257" s="126"/>
      <c r="Y257" s="126"/>
      <c r="Z257" s="126"/>
      <c r="AA257" s="126"/>
      <c r="AB257" s="126"/>
    </row>
    <row r="258" spans="1:28" ht="15.75" customHeight="1">
      <c r="A258" s="126"/>
      <c r="B258" s="126"/>
      <c r="C258" s="176"/>
      <c r="D258" s="176"/>
      <c r="E258" s="176"/>
      <c r="F258" s="176"/>
      <c r="G258" s="176"/>
      <c r="H258" s="176"/>
      <c r="I258" s="126"/>
      <c r="J258" s="126"/>
      <c r="K258" s="126"/>
      <c r="L258" s="126"/>
      <c r="M258" s="126"/>
      <c r="N258" s="126"/>
      <c r="O258" s="126"/>
      <c r="P258" s="126"/>
      <c r="Q258" s="126"/>
      <c r="R258" s="126"/>
      <c r="S258" s="126"/>
      <c r="T258" s="126"/>
      <c r="U258" s="126"/>
      <c r="V258" s="126"/>
      <c r="W258" s="126"/>
      <c r="X258" s="126"/>
      <c r="Y258" s="126"/>
      <c r="Z258" s="126"/>
      <c r="AA258" s="126"/>
      <c r="AB258" s="126"/>
    </row>
    <row r="259" spans="1:28" ht="15.75" customHeight="1">
      <c r="A259" s="126"/>
      <c r="B259" s="126"/>
      <c r="C259" s="176"/>
      <c r="D259" s="176"/>
      <c r="E259" s="176"/>
      <c r="F259" s="176"/>
      <c r="G259" s="176"/>
      <c r="H259" s="176"/>
      <c r="I259" s="126"/>
      <c r="J259" s="126"/>
      <c r="K259" s="126"/>
      <c r="L259" s="126"/>
      <c r="M259" s="126"/>
      <c r="N259" s="126"/>
      <c r="O259" s="126"/>
      <c r="P259" s="126"/>
      <c r="Q259" s="126"/>
      <c r="R259" s="126"/>
      <c r="S259" s="126"/>
      <c r="T259" s="126"/>
      <c r="U259" s="126"/>
      <c r="V259" s="126"/>
      <c r="W259" s="126"/>
      <c r="X259" s="126"/>
      <c r="Y259" s="126"/>
      <c r="Z259" s="126"/>
      <c r="AA259" s="126"/>
      <c r="AB259" s="126"/>
    </row>
    <row r="260" spans="1:28" ht="15.75" customHeight="1">
      <c r="A260" s="126"/>
      <c r="B260" s="126"/>
      <c r="C260" s="176"/>
      <c r="D260" s="176"/>
      <c r="E260" s="176"/>
      <c r="F260" s="176"/>
      <c r="G260" s="176"/>
      <c r="H260" s="176"/>
      <c r="I260" s="126"/>
      <c r="J260" s="126"/>
      <c r="K260" s="126"/>
      <c r="L260" s="126"/>
      <c r="M260" s="126"/>
      <c r="N260" s="126"/>
      <c r="O260" s="126"/>
      <c r="P260" s="126"/>
      <c r="Q260" s="126"/>
      <c r="R260" s="126"/>
      <c r="S260" s="126"/>
      <c r="T260" s="126"/>
      <c r="U260" s="126"/>
      <c r="V260" s="126"/>
      <c r="W260" s="126"/>
      <c r="X260" s="126"/>
      <c r="Y260" s="126"/>
      <c r="Z260" s="126"/>
      <c r="AA260" s="126"/>
      <c r="AB260" s="126"/>
    </row>
    <row r="261" spans="1:28" ht="15.75" customHeight="1">
      <c r="A261" s="126"/>
      <c r="B261" s="126"/>
      <c r="C261" s="176"/>
      <c r="D261" s="176"/>
      <c r="E261" s="176"/>
      <c r="F261" s="176"/>
      <c r="G261" s="176"/>
      <c r="H261" s="176"/>
      <c r="I261" s="126"/>
      <c r="J261" s="126"/>
      <c r="K261" s="126"/>
      <c r="L261" s="126"/>
      <c r="M261" s="126"/>
      <c r="N261" s="126"/>
      <c r="O261" s="126"/>
      <c r="P261" s="126"/>
      <c r="Q261" s="126"/>
      <c r="R261" s="126"/>
      <c r="S261" s="126"/>
      <c r="T261" s="126"/>
      <c r="U261" s="126"/>
      <c r="V261" s="126"/>
      <c r="W261" s="126"/>
      <c r="X261" s="126"/>
      <c r="Y261" s="126"/>
      <c r="Z261" s="126"/>
      <c r="AA261" s="126"/>
      <c r="AB261" s="126"/>
    </row>
    <row r="262" spans="1:28" ht="15.75" customHeight="1">
      <c r="A262" s="126"/>
      <c r="B262" s="126"/>
      <c r="C262" s="176"/>
      <c r="D262" s="176"/>
      <c r="E262" s="176"/>
      <c r="F262" s="176"/>
      <c r="G262" s="176"/>
      <c r="H262" s="176"/>
      <c r="I262" s="126"/>
      <c r="J262" s="126"/>
      <c r="K262" s="126"/>
      <c r="L262" s="126"/>
      <c r="M262" s="126"/>
      <c r="N262" s="126"/>
      <c r="O262" s="126"/>
      <c r="P262" s="126"/>
      <c r="Q262" s="126"/>
      <c r="R262" s="126"/>
      <c r="S262" s="126"/>
      <c r="T262" s="126"/>
      <c r="U262" s="126"/>
      <c r="V262" s="126"/>
      <c r="W262" s="126"/>
      <c r="X262" s="126"/>
      <c r="Y262" s="126"/>
      <c r="Z262" s="126"/>
      <c r="AA262" s="126"/>
      <c r="AB262" s="126"/>
    </row>
    <row r="263" spans="1:28" ht="15.75" customHeight="1">
      <c r="A263" s="126"/>
      <c r="B263" s="126"/>
      <c r="C263" s="176"/>
      <c r="D263" s="176"/>
      <c r="E263" s="176"/>
      <c r="F263" s="176"/>
      <c r="G263" s="176"/>
      <c r="H263" s="176"/>
      <c r="I263" s="126"/>
      <c r="J263" s="126"/>
      <c r="K263" s="126"/>
      <c r="L263" s="126"/>
      <c r="M263" s="126"/>
      <c r="N263" s="126"/>
      <c r="O263" s="126"/>
      <c r="P263" s="126"/>
      <c r="Q263" s="126"/>
      <c r="R263" s="126"/>
      <c r="S263" s="126"/>
      <c r="T263" s="126"/>
      <c r="U263" s="126"/>
      <c r="V263" s="126"/>
      <c r="W263" s="126"/>
      <c r="X263" s="126"/>
      <c r="Y263" s="126"/>
      <c r="Z263" s="126"/>
      <c r="AA263" s="126"/>
      <c r="AB263" s="126"/>
    </row>
    <row r="264" spans="1:28" ht="15.75" customHeight="1">
      <c r="A264" s="126"/>
      <c r="B264" s="126"/>
      <c r="C264" s="176"/>
      <c r="D264" s="176"/>
      <c r="E264" s="176"/>
      <c r="F264" s="176"/>
      <c r="G264" s="176"/>
      <c r="H264" s="176"/>
      <c r="I264" s="126"/>
      <c r="J264" s="126"/>
      <c r="K264" s="126"/>
      <c r="L264" s="126"/>
      <c r="M264" s="126"/>
      <c r="N264" s="126"/>
      <c r="O264" s="126"/>
      <c r="P264" s="126"/>
      <c r="Q264" s="126"/>
      <c r="R264" s="126"/>
      <c r="S264" s="126"/>
      <c r="T264" s="126"/>
      <c r="U264" s="126"/>
      <c r="V264" s="126"/>
      <c r="W264" s="126"/>
      <c r="X264" s="126"/>
      <c r="Y264" s="126"/>
      <c r="Z264" s="126"/>
      <c r="AA264" s="126"/>
      <c r="AB264" s="126"/>
    </row>
    <row r="265" spans="1:28" ht="15.75" customHeight="1">
      <c r="A265" s="126"/>
      <c r="B265" s="126"/>
      <c r="C265" s="176"/>
      <c r="D265" s="176"/>
      <c r="E265" s="176"/>
      <c r="F265" s="176"/>
      <c r="G265" s="176"/>
      <c r="H265" s="176"/>
      <c r="I265" s="126"/>
      <c r="J265" s="126"/>
      <c r="K265" s="126"/>
      <c r="L265" s="126"/>
      <c r="M265" s="126"/>
      <c r="N265" s="126"/>
      <c r="O265" s="126"/>
      <c r="P265" s="126"/>
      <c r="Q265" s="126"/>
      <c r="R265" s="126"/>
      <c r="S265" s="126"/>
      <c r="T265" s="126"/>
      <c r="U265" s="126"/>
      <c r="V265" s="126"/>
      <c r="W265" s="126"/>
      <c r="X265" s="126"/>
      <c r="Y265" s="126"/>
      <c r="Z265" s="126"/>
      <c r="AA265" s="126"/>
      <c r="AB265" s="126"/>
    </row>
    <row r="266" spans="1:28" ht="15.75" customHeight="1">
      <c r="A266" s="126"/>
      <c r="B266" s="126"/>
      <c r="C266" s="176"/>
      <c r="D266" s="176"/>
      <c r="E266" s="176"/>
      <c r="F266" s="176"/>
      <c r="G266" s="176"/>
      <c r="H266" s="176"/>
      <c r="I266" s="126"/>
      <c r="J266" s="126"/>
      <c r="K266" s="126"/>
      <c r="L266" s="126"/>
      <c r="M266" s="126"/>
      <c r="N266" s="126"/>
      <c r="O266" s="126"/>
      <c r="P266" s="126"/>
      <c r="Q266" s="126"/>
      <c r="R266" s="126"/>
      <c r="S266" s="126"/>
      <c r="T266" s="126"/>
      <c r="U266" s="126"/>
      <c r="V266" s="126"/>
      <c r="W266" s="126"/>
      <c r="X266" s="126"/>
      <c r="Y266" s="126"/>
      <c r="Z266" s="126"/>
      <c r="AA266" s="126"/>
      <c r="AB266" s="126"/>
    </row>
    <row r="267" spans="1:28" ht="15.75" customHeight="1">
      <c r="A267" s="126"/>
      <c r="B267" s="126"/>
      <c r="C267" s="176"/>
      <c r="D267" s="176"/>
      <c r="E267" s="176"/>
      <c r="F267" s="176"/>
      <c r="G267" s="176"/>
      <c r="H267" s="176"/>
      <c r="I267" s="126"/>
      <c r="J267" s="126"/>
      <c r="K267" s="126"/>
      <c r="L267" s="126"/>
      <c r="M267" s="126"/>
      <c r="N267" s="126"/>
      <c r="O267" s="126"/>
      <c r="P267" s="126"/>
      <c r="Q267" s="126"/>
      <c r="R267" s="126"/>
      <c r="S267" s="126"/>
      <c r="T267" s="126"/>
      <c r="U267" s="126"/>
      <c r="V267" s="126"/>
      <c r="W267" s="126"/>
      <c r="X267" s="126"/>
      <c r="Y267" s="126"/>
      <c r="Z267" s="126"/>
      <c r="AA267" s="126"/>
      <c r="AB267" s="126"/>
    </row>
    <row r="268" spans="1:28" ht="15.75" customHeight="1">
      <c r="A268" s="126"/>
      <c r="B268" s="126"/>
      <c r="C268" s="176"/>
      <c r="D268" s="176"/>
      <c r="E268" s="176"/>
      <c r="F268" s="176"/>
      <c r="G268" s="176"/>
      <c r="H268" s="176"/>
      <c r="I268" s="126"/>
      <c r="J268" s="126"/>
      <c r="K268" s="126"/>
      <c r="L268" s="126"/>
      <c r="M268" s="126"/>
      <c r="N268" s="126"/>
      <c r="O268" s="126"/>
      <c r="P268" s="126"/>
      <c r="Q268" s="126"/>
      <c r="R268" s="126"/>
      <c r="S268" s="126"/>
      <c r="T268" s="126"/>
      <c r="U268" s="126"/>
      <c r="V268" s="126"/>
      <c r="W268" s="126"/>
      <c r="X268" s="126"/>
      <c r="Y268" s="126"/>
      <c r="Z268" s="126"/>
      <c r="AA268" s="126"/>
      <c r="AB268" s="126"/>
    </row>
    <row r="269" spans="1:28" ht="15.75" customHeight="1">
      <c r="A269" s="126"/>
      <c r="B269" s="126"/>
      <c r="C269" s="176"/>
      <c r="D269" s="176"/>
      <c r="E269" s="176"/>
      <c r="F269" s="176"/>
      <c r="G269" s="176"/>
      <c r="H269" s="176"/>
      <c r="I269" s="126"/>
      <c r="J269" s="126"/>
      <c r="K269" s="126"/>
      <c r="L269" s="126"/>
      <c r="M269" s="126"/>
      <c r="N269" s="126"/>
      <c r="O269" s="126"/>
      <c r="P269" s="126"/>
      <c r="Q269" s="126"/>
      <c r="R269" s="126"/>
      <c r="S269" s="126"/>
      <c r="T269" s="126"/>
      <c r="U269" s="126"/>
      <c r="V269" s="126"/>
      <c r="W269" s="126"/>
      <c r="X269" s="126"/>
      <c r="Y269" s="126"/>
      <c r="Z269" s="126"/>
      <c r="AA269" s="126"/>
      <c r="AB269" s="126"/>
    </row>
    <row r="270" spans="1:28" ht="15.75" customHeight="1">
      <c r="A270" s="126"/>
      <c r="B270" s="126"/>
      <c r="C270" s="176"/>
      <c r="D270" s="176"/>
      <c r="E270" s="176"/>
      <c r="F270" s="176"/>
      <c r="G270" s="176"/>
      <c r="H270" s="176"/>
      <c r="I270" s="126"/>
      <c r="J270" s="126"/>
      <c r="K270" s="126"/>
      <c r="L270" s="126"/>
      <c r="M270" s="126"/>
      <c r="N270" s="126"/>
      <c r="O270" s="126"/>
      <c r="P270" s="126"/>
      <c r="Q270" s="126"/>
      <c r="R270" s="126"/>
      <c r="S270" s="126"/>
      <c r="T270" s="126"/>
      <c r="U270" s="126"/>
      <c r="V270" s="126"/>
      <c r="W270" s="126"/>
      <c r="X270" s="126"/>
      <c r="Y270" s="126"/>
      <c r="Z270" s="126"/>
      <c r="AA270" s="126"/>
      <c r="AB270" s="126"/>
    </row>
    <row r="271" spans="1:28" ht="15.75" customHeight="1">
      <c r="A271" s="126"/>
      <c r="B271" s="126"/>
      <c r="C271" s="176"/>
      <c r="D271" s="176"/>
      <c r="E271" s="176"/>
      <c r="F271" s="176"/>
      <c r="G271" s="176"/>
      <c r="H271" s="176"/>
      <c r="I271" s="126"/>
      <c r="J271" s="126"/>
      <c r="K271" s="126"/>
      <c r="L271" s="126"/>
      <c r="M271" s="126"/>
      <c r="N271" s="126"/>
      <c r="O271" s="126"/>
      <c r="P271" s="126"/>
      <c r="Q271" s="126"/>
      <c r="R271" s="126"/>
      <c r="S271" s="126"/>
      <c r="T271" s="126"/>
      <c r="U271" s="126"/>
      <c r="V271" s="126"/>
      <c r="W271" s="126"/>
      <c r="X271" s="126"/>
      <c r="Y271" s="126"/>
      <c r="Z271" s="126"/>
      <c r="AA271" s="126"/>
      <c r="AB271" s="126"/>
    </row>
    <row r="272" spans="1:28" ht="15.75" customHeight="1">
      <c r="A272" s="126"/>
      <c r="B272" s="126"/>
      <c r="C272" s="176"/>
      <c r="D272" s="176"/>
      <c r="E272" s="176"/>
      <c r="F272" s="176"/>
      <c r="G272" s="176"/>
      <c r="H272" s="176"/>
      <c r="I272" s="126"/>
      <c r="J272" s="126"/>
      <c r="K272" s="126"/>
      <c r="L272" s="126"/>
      <c r="M272" s="126"/>
      <c r="N272" s="126"/>
      <c r="O272" s="126"/>
      <c r="P272" s="126"/>
      <c r="Q272" s="126"/>
      <c r="R272" s="126"/>
      <c r="S272" s="126"/>
      <c r="T272" s="126"/>
      <c r="U272" s="126"/>
      <c r="V272" s="126"/>
      <c r="W272" s="126"/>
      <c r="X272" s="126"/>
      <c r="Y272" s="126"/>
      <c r="Z272" s="126"/>
      <c r="AA272" s="126"/>
      <c r="AB272" s="126"/>
    </row>
    <row r="273" spans="1:28" ht="15.75" customHeight="1">
      <c r="A273" s="126"/>
      <c r="B273" s="126"/>
      <c r="C273" s="176"/>
      <c r="D273" s="176"/>
      <c r="E273" s="176"/>
      <c r="F273" s="176"/>
      <c r="G273" s="176"/>
      <c r="H273" s="176"/>
      <c r="I273" s="126"/>
      <c r="J273" s="126"/>
      <c r="K273" s="126"/>
      <c r="L273" s="126"/>
      <c r="M273" s="126"/>
      <c r="N273" s="126"/>
      <c r="O273" s="126"/>
      <c r="P273" s="126"/>
      <c r="Q273" s="126"/>
      <c r="R273" s="126"/>
      <c r="S273" s="126"/>
      <c r="T273" s="126"/>
      <c r="U273" s="126"/>
      <c r="V273" s="126"/>
      <c r="W273" s="126"/>
      <c r="X273" s="126"/>
      <c r="Y273" s="126"/>
      <c r="Z273" s="126"/>
      <c r="AA273" s="126"/>
      <c r="AB273" s="126"/>
    </row>
    <row r="274" spans="1:28" ht="15.75" customHeight="1">
      <c r="A274" s="126"/>
      <c r="B274" s="126"/>
      <c r="C274" s="176"/>
      <c r="D274" s="176"/>
      <c r="E274" s="176"/>
      <c r="F274" s="176"/>
      <c r="G274" s="176"/>
      <c r="H274" s="176"/>
      <c r="I274" s="126"/>
      <c r="J274" s="126"/>
      <c r="K274" s="126"/>
      <c r="L274" s="126"/>
      <c r="M274" s="126"/>
      <c r="N274" s="126"/>
      <c r="O274" s="126"/>
      <c r="P274" s="126"/>
      <c r="Q274" s="126"/>
      <c r="R274" s="126"/>
      <c r="S274" s="126"/>
      <c r="T274" s="126"/>
      <c r="U274" s="126"/>
      <c r="V274" s="126"/>
      <c r="W274" s="126"/>
      <c r="X274" s="126"/>
      <c r="Y274" s="126"/>
      <c r="Z274" s="126"/>
      <c r="AA274" s="126"/>
      <c r="AB274" s="126"/>
    </row>
    <row r="275" spans="1:28" ht="15.75" customHeight="1">
      <c r="A275" s="126"/>
      <c r="B275" s="126"/>
      <c r="C275" s="176"/>
      <c r="D275" s="176"/>
      <c r="E275" s="176"/>
      <c r="F275" s="176"/>
      <c r="G275" s="176"/>
      <c r="H275" s="176"/>
      <c r="I275" s="126"/>
      <c r="J275" s="126"/>
      <c r="K275" s="126"/>
      <c r="L275" s="126"/>
      <c r="M275" s="126"/>
      <c r="N275" s="126"/>
      <c r="O275" s="126"/>
      <c r="P275" s="126"/>
      <c r="Q275" s="126"/>
      <c r="R275" s="126"/>
      <c r="S275" s="126"/>
      <c r="T275" s="126"/>
      <c r="U275" s="126"/>
      <c r="V275" s="126"/>
      <c r="W275" s="126"/>
      <c r="X275" s="126"/>
      <c r="Y275" s="126"/>
      <c r="Z275" s="126"/>
      <c r="AA275" s="126"/>
      <c r="AB275" s="126"/>
    </row>
    <row r="276" spans="1:28" ht="15.75" customHeight="1">
      <c r="A276" s="126"/>
      <c r="B276" s="126"/>
      <c r="C276" s="176"/>
      <c r="D276" s="176"/>
      <c r="E276" s="176"/>
      <c r="F276" s="176"/>
      <c r="G276" s="176"/>
      <c r="H276" s="176"/>
      <c r="I276" s="126"/>
      <c r="J276" s="126"/>
      <c r="K276" s="126"/>
      <c r="L276" s="126"/>
      <c r="M276" s="126"/>
      <c r="N276" s="126"/>
      <c r="O276" s="126"/>
      <c r="P276" s="126"/>
      <c r="Q276" s="126"/>
      <c r="R276" s="126"/>
      <c r="S276" s="126"/>
      <c r="T276" s="126"/>
      <c r="U276" s="126"/>
      <c r="V276" s="126"/>
      <c r="W276" s="126"/>
      <c r="X276" s="126"/>
      <c r="Y276" s="126"/>
      <c r="Z276" s="126"/>
      <c r="AA276" s="126"/>
      <c r="AB276" s="126"/>
    </row>
    <row r="277" spans="1:28" ht="15.75" customHeight="1">
      <c r="A277" s="126"/>
      <c r="B277" s="126"/>
      <c r="C277" s="176"/>
      <c r="D277" s="176"/>
      <c r="E277" s="176"/>
      <c r="F277" s="176"/>
      <c r="G277" s="176"/>
      <c r="H277" s="176"/>
      <c r="I277" s="126"/>
      <c r="J277" s="126"/>
      <c r="K277" s="126"/>
      <c r="L277" s="126"/>
      <c r="M277" s="126"/>
      <c r="N277" s="126"/>
      <c r="O277" s="126"/>
      <c r="P277" s="126"/>
      <c r="Q277" s="126"/>
      <c r="R277" s="126"/>
      <c r="S277" s="126"/>
      <c r="T277" s="126"/>
      <c r="U277" s="126"/>
      <c r="V277" s="126"/>
      <c r="W277" s="126"/>
      <c r="X277" s="126"/>
      <c r="Y277" s="126"/>
      <c r="Z277" s="126"/>
      <c r="AA277" s="126"/>
      <c r="AB277" s="126"/>
    </row>
    <row r="278" spans="1:28" ht="15.75" customHeight="1">
      <c r="A278" s="126"/>
      <c r="B278" s="126"/>
      <c r="C278" s="176"/>
      <c r="D278" s="176"/>
      <c r="E278" s="176"/>
      <c r="F278" s="176"/>
      <c r="G278" s="176"/>
      <c r="H278" s="176"/>
      <c r="I278" s="126"/>
      <c r="J278" s="126"/>
      <c r="K278" s="126"/>
      <c r="L278" s="126"/>
      <c r="M278" s="126"/>
      <c r="N278" s="126"/>
      <c r="O278" s="126"/>
      <c r="P278" s="126"/>
      <c r="Q278" s="126"/>
      <c r="R278" s="126"/>
      <c r="S278" s="126"/>
      <c r="T278" s="126"/>
      <c r="U278" s="126"/>
      <c r="V278" s="126"/>
      <c r="W278" s="126"/>
      <c r="X278" s="126"/>
      <c r="Y278" s="126"/>
      <c r="Z278" s="126"/>
      <c r="AA278" s="126"/>
      <c r="AB278" s="126"/>
    </row>
    <row r="279" spans="1:28" ht="15.75" customHeight="1">
      <c r="A279" s="126"/>
      <c r="B279" s="126"/>
      <c r="C279" s="176"/>
      <c r="D279" s="176"/>
      <c r="E279" s="176"/>
      <c r="F279" s="176"/>
      <c r="G279" s="176"/>
      <c r="H279" s="176"/>
      <c r="I279" s="126"/>
      <c r="J279" s="126"/>
      <c r="K279" s="126"/>
      <c r="L279" s="126"/>
      <c r="M279" s="126"/>
      <c r="N279" s="126"/>
      <c r="O279" s="126"/>
      <c r="P279" s="126"/>
      <c r="Q279" s="126"/>
      <c r="R279" s="126"/>
      <c r="S279" s="126"/>
      <c r="T279" s="126"/>
      <c r="U279" s="126"/>
      <c r="V279" s="126"/>
      <c r="W279" s="126"/>
      <c r="X279" s="126"/>
      <c r="Y279" s="126"/>
      <c r="Z279" s="126"/>
      <c r="AA279" s="126"/>
      <c r="AB279" s="126"/>
    </row>
    <row r="280" spans="1:28" ht="15.75" customHeight="1">
      <c r="A280" s="126"/>
      <c r="B280" s="126"/>
      <c r="C280" s="176"/>
      <c r="D280" s="176"/>
      <c r="E280" s="176"/>
      <c r="F280" s="176"/>
      <c r="G280" s="176"/>
      <c r="H280" s="176"/>
      <c r="I280" s="126"/>
      <c r="J280" s="126"/>
      <c r="K280" s="126"/>
      <c r="L280" s="126"/>
      <c r="M280" s="126"/>
      <c r="N280" s="126"/>
      <c r="O280" s="126"/>
      <c r="P280" s="126"/>
      <c r="Q280" s="126"/>
      <c r="R280" s="126"/>
      <c r="S280" s="126"/>
      <c r="T280" s="126"/>
      <c r="U280" s="126"/>
      <c r="V280" s="126"/>
      <c r="W280" s="126"/>
      <c r="X280" s="126"/>
      <c r="Y280" s="126"/>
      <c r="Z280" s="126"/>
      <c r="AA280" s="126"/>
      <c r="AB280" s="126"/>
    </row>
    <row r="281" spans="1:28" ht="15.75" customHeight="1">
      <c r="A281" s="126"/>
      <c r="B281" s="126"/>
      <c r="C281" s="176"/>
      <c r="D281" s="176"/>
      <c r="E281" s="176"/>
      <c r="F281" s="176"/>
      <c r="G281" s="176"/>
      <c r="H281" s="176"/>
      <c r="I281" s="126"/>
      <c r="J281" s="126"/>
      <c r="K281" s="126"/>
      <c r="L281" s="126"/>
      <c r="M281" s="126"/>
      <c r="N281" s="126"/>
      <c r="O281" s="126"/>
      <c r="P281" s="126"/>
      <c r="Q281" s="126"/>
      <c r="R281" s="126"/>
      <c r="S281" s="126"/>
      <c r="T281" s="126"/>
      <c r="U281" s="126"/>
      <c r="V281" s="126"/>
      <c r="W281" s="126"/>
      <c r="X281" s="126"/>
      <c r="Y281" s="126"/>
      <c r="Z281" s="126"/>
      <c r="AA281" s="126"/>
      <c r="AB281" s="126"/>
    </row>
    <row r="282" spans="1:28" ht="15.75" customHeight="1">
      <c r="A282" s="126"/>
      <c r="B282" s="126"/>
      <c r="C282" s="176"/>
      <c r="D282" s="176"/>
      <c r="E282" s="176"/>
      <c r="F282" s="176"/>
      <c r="G282" s="176"/>
      <c r="H282" s="176"/>
      <c r="I282" s="126"/>
      <c r="J282" s="126"/>
      <c r="K282" s="126"/>
      <c r="L282" s="126"/>
      <c r="M282" s="126"/>
      <c r="N282" s="126"/>
      <c r="O282" s="126"/>
      <c r="P282" s="126"/>
      <c r="Q282" s="126"/>
      <c r="R282" s="126"/>
      <c r="S282" s="126"/>
      <c r="T282" s="126"/>
      <c r="U282" s="126"/>
      <c r="V282" s="126"/>
      <c r="W282" s="126"/>
      <c r="X282" s="126"/>
      <c r="Y282" s="126"/>
      <c r="Z282" s="126"/>
      <c r="AA282" s="126"/>
      <c r="AB282" s="126"/>
    </row>
    <row r="283" spans="1:28" ht="15.75" customHeight="1">
      <c r="A283" s="126"/>
      <c r="B283" s="126"/>
      <c r="C283" s="176"/>
      <c r="D283" s="176"/>
      <c r="E283" s="176"/>
      <c r="F283" s="176"/>
      <c r="G283" s="176"/>
      <c r="H283" s="176"/>
      <c r="I283" s="126"/>
      <c r="J283" s="126"/>
      <c r="K283" s="126"/>
      <c r="L283" s="126"/>
      <c r="M283" s="126"/>
      <c r="N283" s="126"/>
      <c r="O283" s="126"/>
      <c r="P283" s="126"/>
      <c r="Q283" s="126"/>
      <c r="R283" s="126"/>
      <c r="S283" s="126"/>
      <c r="T283" s="126"/>
      <c r="U283" s="126"/>
      <c r="V283" s="126"/>
      <c r="W283" s="126"/>
      <c r="X283" s="126"/>
      <c r="Y283" s="126"/>
      <c r="Z283" s="126"/>
      <c r="AA283" s="126"/>
      <c r="AB283" s="126"/>
    </row>
    <row r="284" spans="1:28" ht="15.75" customHeight="1">
      <c r="A284" s="126"/>
      <c r="B284" s="126"/>
      <c r="C284" s="176"/>
      <c r="D284" s="176"/>
      <c r="E284" s="176"/>
      <c r="F284" s="176"/>
      <c r="G284" s="176"/>
      <c r="H284" s="176"/>
      <c r="I284" s="126"/>
      <c r="J284" s="126"/>
      <c r="K284" s="126"/>
      <c r="L284" s="126"/>
      <c r="M284" s="126"/>
      <c r="N284" s="126"/>
      <c r="O284" s="126"/>
      <c r="P284" s="126"/>
      <c r="Q284" s="126"/>
      <c r="R284" s="126"/>
      <c r="S284" s="126"/>
      <c r="T284" s="126"/>
      <c r="U284" s="126"/>
      <c r="V284" s="126"/>
      <c r="W284" s="126"/>
      <c r="X284" s="126"/>
      <c r="Y284" s="126"/>
      <c r="Z284" s="126"/>
      <c r="AA284" s="126"/>
      <c r="AB284" s="126"/>
    </row>
    <row r="285" spans="1:28" ht="15.75" customHeight="1">
      <c r="A285" s="126"/>
      <c r="B285" s="126"/>
      <c r="C285" s="176"/>
      <c r="D285" s="176"/>
      <c r="E285" s="176"/>
      <c r="F285" s="176"/>
      <c r="G285" s="176"/>
      <c r="H285" s="176"/>
      <c r="I285" s="126"/>
      <c r="J285" s="126"/>
      <c r="K285" s="126"/>
      <c r="L285" s="126"/>
      <c r="M285" s="126"/>
      <c r="N285" s="126"/>
      <c r="O285" s="126"/>
      <c r="P285" s="126"/>
      <c r="Q285" s="126"/>
      <c r="R285" s="126"/>
      <c r="S285" s="126"/>
      <c r="T285" s="126"/>
      <c r="U285" s="126"/>
      <c r="V285" s="126"/>
      <c r="W285" s="126"/>
      <c r="X285" s="126"/>
      <c r="Y285" s="126"/>
      <c r="Z285" s="126"/>
      <c r="AA285" s="126"/>
      <c r="AB285" s="126"/>
    </row>
    <row r="286" spans="1:28" ht="15.75" customHeight="1">
      <c r="A286" s="126"/>
      <c r="B286" s="126"/>
      <c r="C286" s="176"/>
      <c r="D286" s="176"/>
      <c r="E286" s="176"/>
      <c r="F286" s="176"/>
      <c r="G286" s="176"/>
      <c r="H286" s="176"/>
      <c r="I286" s="126"/>
      <c r="J286" s="126"/>
      <c r="K286" s="126"/>
      <c r="L286" s="126"/>
      <c r="M286" s="126"/>
      <c r="N286" s="126"/>
      <c r="O286" s="126"/>
      <c r="P286" s="126"/>
      <c r="Q286" s="126"/>
      <c r="R286" s="126"/>
      <c r="S286" s="126"/>
      <c r="T286" s="126"/>
      <c r="U286" s="126"/>
      <c r="V286" s="126"/>
      <c r="W286" s="126"/>
      <c r="X286" s="126"/>
      <c r="Y286" s="126"/>
      <c r="Z286" s="126"/>
      <c r="AA286" s="126"/>
      <c r="AB286" s="126"/>
    </row>
    <row r="287" spans="1:28" ht="15.75" customHeight="1">
      <c r="A287" s="126"/>
      <c r="B287" s="126"/>
      <c r="C287" s="176"/>
      <c r="D287" s="176"/>
      <c r="E287" s="176"/>
      <c r="F287" s="176"/>
      <c r="G287" s="176"/>
      <c r="H287" s="176"/>
      <c r="I287" s="126"/>
      <c r="J287" s="126"/>
      <c r="K287" s="126"/>
      <c r="L287" s="126"/>
      <c r="M287" s="126"/>
      <c r="N287" s="126"/>
      <c r="O287" s="126"/>
      <c r="P287" s="126"/>
      <c r="Q287" s="126"/>
      <c r="R287" s="126"/>
      <c r="S287" s="126"/>
      <c r="T287" s="126"/>
      <c r="U287" s="126"/>
      <c r="V287" s="126"/>
      <c r="W287" s="126"/>
      <c r="X287" s="126"/>
      <c r="Y287" s="126"/>
      <c r="Z287" s="126"/>
      <c r="AA287" s="126"/>
      <c r="AB287" s="126"/>
    </row>
    <row r="288" spans="1:28" ht="15.75" customHeight="1">
      <c r="A288" s="126"/>
      <c r="B288" s="126"/>
      <c r="C288" s="176"/>
      <c r="D288" s="176"/>
      <c r="E288" s="176"/>
      <c r="F288" s="176"/>
      <c r="G288" s="176"/>
      <c r="H288" s="176"/>
      <c r="I288" s="126"/>
      <c r="J288" s="126"/>
      <c r="K288" s="126"/>
      <c r="L288" s="126"/>
      <c r="M288" s="126"/>
      <c r="N288" s="126"/>
      <c r="O288" s="126"/>
      <c r="P288" s="126"/>
      <c r="Q288" s="126"/>
      <c r="R288" s="126"/>
      <c r="S288" s="126"/>
      <c r="T288" s="126"/>
      <c r="U288" s="126"/>
      <c r="V288" s="126"/>
      <c r="W288" s="126"/>
      <c r="X288" s="126"/>
      <c r="Y288" s="126"/>
      <c r="Z288" s="126"/>
      <c r="AA288" s="126"/>
      <c r="AB288" s="126"/>
    </row>
    <row r="289" spans="1:28" ht="15.75" customHeight="1">
      <c r="A289" s="126"/>
      <c r="B289" s="126"/>
      <c r="C289" s="176"/>
      <c r="D289" s="176"/>
      <c r="E289" s="176"/>
      <c r="F289" s="176"/>
      <c r="G289" s="176"/>
      <c r="H289" s="176"/>
      <c r="I289" s="126"/>
      <c r="J289" s="126"/>
      <c r="K289" s="126"/>
      <c r="L289" s="126"/>
      <c r="M289" s="126"/>
      <c r="N289" s="126"/>
      <c r="O289" s="126"/>
      <c r="P289" s="126"/>
      <c r="Q289" s="126"/>
      <c r="R289" s="126"/>
      <c r="S289" s="126"/>
      <c r="T289" s="126"/>
      <c r="U289" s="126"/>
      <c r="V289" s="126"/>
      <c r="W289" s="126"/>
      <c r="X289" s="126"/>
      <c r="Y289" s="126"/>
      <c r="Z289" s="126"/>
      <c r="AA289" s="126"/>
      <c r="AB289" s="126"/>
    </row>
    <row r="290" spans="1:28" ht="15.75" customHeight="1">
      <c r="A290" s="126"/>
      <c r="B290" s="126"/>
      <c r="C290" s="176"/>
      <c r="D290" s="176"/>
      <c r="E290" s="176"/>
      <c r="F290" s="176"/>
      <c r="G290" s="176"/>
      <c r="H290" s="176"/>
      <c r="I290" s="126"/>
      <c r="J290" s="126"/>
      <c r="K290" s="126"/>
      <c r="L290" s="126"/>
      <c r="M290" s="126"/>
      <c r="N290" s="126"/>
      <c r="O290" s="126"/>
      <c r="P290" s="126"/>
      <c r="Q290" s="126"/>
      <c r="R290" s="126"/>
      <c r="S290" s="126"/>
      <c r="T290" s="126"/>
      <c r="U290" s="126"/>
      <c r="V290" s="126"/>
      <c r="W290" s="126"/>
      <c r="X290" s="126"/>
      <c r="Y290" s="126"/>
      <c r="Z290" s="126"/>
      <c r="AA290" s="126"/>
      <c r="AB290" s="126"/>
    </row>
    <row r="291" spans="1:28" ht="15.75" customHeight="1">
      <c r="A291" s="126"/>
      <c r="B291" s="126"/>
      <c r="C291" s="176"/>
      <c r="D291" s="176"/>
      <c r="E291" s="176"/>
      <c r="F291" s="176"/>
      <c r="G291" s="176"/>
      <c r="H291" s="176"/>
      <c r="I291" s="126"/>
      <c r="J291" s="126"/>
      <c r="K291" s="126"/>
      <c r="L291" s="126"/>
      <c r="M291" s="126"/>
      <c r="N291" s="126"/>
      <c r="O291" s="126"/>
      <c r="P291" s="126"/>
      <c r="Q291" s="126"/>
      <c r="R291" s="126"/>
      <c r="S291" s="126"/>
      <c r="T291" s="126"/>
      <c r="U291" s="126"/>
      <c r="V291" s="126"/>
      <c r="W291" s="126"/>
      <c r="X291" s="126"/>
      <c r="Y291" s="126"/>
      <c r="Z291" s="126"/>
      <c r="AA291" s="126"/>
      <c r="AB291" s="126"/>
    </row>
    <row r="292" spans="1:28" ht="15.75" customHeight="1">
      <c r="A292" s="126"/>
      <c r="B292" s="126"/>
      <c r="C292" s="176"/>
      <c r="D292" s="176"/>
      <c r="E292" s="176"/>
      <c r="F292" s="176"/>
      <c r="G292" s="176"/>
      <c r="H292" s="176"/>
      <c r="I292" s="126"/>
      <c r="J292" s="126"/>
      <c r="K292" s="126"/>
      <c r="L292" s="126"/>
      <c r="M292" s="126"/>
      <c r="N292" s="126"/>
      <c r="O292" s="126"/>
      <c r="P292" s="126"/>
      <c r="Q292" s="126"/>
      <c r="R292" s="126"/>
      <c r="S292" s="126"/>
      <c r="T292" s="126"/>
      <c r="U292" s="126"/>
      <c r="V292" s="126"/>
      <c r="W292" s="126"/>
      <c r="X292" s="126"/>
      <c r="Y292" s="126"/>
      <c r="Z292" s="126"/>
      <c r="AA292" s="126"/>
      <c r="AB292" s="126"/>
    </row>
    <row r="293" spans="1:28" ht="15.75" customHeight="1">
      <c r="A293" s="126"/>
      <c r="B293" s="126"/>
      <c r="C293" s="176"/>
      <c r="D293" s="176"/>
      <c r="E293" s="176"/>
      <c r="F293" s="176"/>
      <c r="G293" s="176"/>
      <c r="H293" s="176"/>
      <c r="I293" s="126"/>
      <c r="J293" s="126"/>
      <c r="K293" s="126"/>
      <c r="L293" s="126"/>
      <c r="M293" s="126"/>
      <c r="N293" s="126"/>
      <c r="O293" s="126"/>
      <c r="P293" s="126"/>
      <c r="Q293" s="126"/>
      <c r="R293" s="126"/>
      <c r="S293" s="126"/>
      <c r="T293" s="126"/>
      <c r="U293" s="126"/>
      <c r="V293" s="126"/>
      <c r="W293" s="126"/>
      <c r="X293" s="126"/>
      <c r="Y293" s="126"/>
      <c r="Z293" s="126"/>
      <c r="AA293" s="126"/>
      <c r="AB293" s="126"/>
    </row>
    <row r="294" spans="1:28" ht="15.75" customHeight="1">
      <c r="A294" s="126"/>
      <c r="B294" s="126"/>
      <c r="C294" s="176"/>
      <c r="D294" s="176"/>
      <c r="E294" s="176"/>
      <c r="F294" s="176"/>
      <c r="G294" s="176"/>
      <c r="H294" s="176"/>
      <c r="I294" s="126"/>
      <c r="J294" s="126"/>
      <c r="K294" s="126"/>
      <c r="L294" s="126"/>
      <c r="M294" s="126"/>
      <c r="N294" s="126"/>
      <c r="O294" s="126"/>
      <c r="P294" s="126"/>
      <c r="Q294" s="126"/>
      <c r="R294" s="126"/>
      <c r="S294" s="126"/>
      <c r="T294" s="126"/>
      <c r="U294" s="126"/>
      <c r="V294" s="126"/>
      <c r="W294" s="126"/>
      <c r="X294" s="126"/>
      <c r="Y294" s="126"/>
      <c r="Z294" s="126"/>
      <c r="AA294" s="126"/>
      <c r="AB294" s="126"/>
    </row>
    <row r="295" spans="1:28" ht="15.75" customHeight="1">
      <c r="A295" s="126"/>
      <c r="B295" s="126"/>
      <c r="C295" s="176"/>
      <c r="D295" s="176"/>
      <c r="E295" s="176"/>
      <c r="F295" s="176"/>
      <c r="G295" s="176"/>
      <c r="H295" s="176"/>
      <c r="I295" s="126"/>
      <c r="J295" s="126"/>
      <c r="K295" s="126"/>
      <c r="L295" s="126"/>
      <c r="M295" s="126"/>
      <c r="N295" s="126"/>
      <c r="O295" s="126"/>
      <c r="P295" s="126"/>
      <c r="Q295" s="126"/>
      <c r="R295" s="126"/>
      <c r="S295" s="126"/>
      <c r="T295" s="126"/>
      <c r="U295" s="126"/>
      <c r="V295" s="126"/>
      <c r="W295" s="126"/>
      <c r="X295" s="126"/>
      <c r="Y295" s="126"/>
      <c r="Z295" s="126"/>
      <c r="AA295" s="126"/>
      <c r="AB295" s="126"/>
    </row>
    <row r="296" spans="1:28" ht="15.75" customHeight="1">
      <c r="A296" s="126"/>
      <c r="B296" s="126"/>
      <c r="C296" s="176"/>
      <c r="D296" s="176"/>
      <c r="E296" s="176"/>
      <c r="F296" s="176"/>
      <c r="G296" s="176"/>
      <c r="H296" s="176"/>
      <c r="I296" s="126"/>
      <c r="J296" s="126"/>
      <c r="K296" s="126"/>
      <c r="L296" s="126"/>
      <c r="M296" s="126"/>
      <c r="N296" s="126"/>
      <c r="O296" s="126"/>
      <c r="P296" s="126"/>
      <c r="Q296" s="126"/>
      <c r="R296" s="126"/>
      <c r="S296" s="126"/>
      <c r="T296" s="126"/>
      <c r="U296" s="126"/>
      <c r="V296" s="126"/>
      <c r="W296" s="126"/>
      <c r="X296" s="126"/>
      <c r="Y296" s="126"/>
      <c r="Z296" s="126"/>
      <c r="AA296" s="126"/>
      <c r="AB296" s="126"/>
    </row>
    <row r="297" spans="1:28" ht="15.75" customHeight="1">
      <c r="A297" s="126"/>
      <c r="B297" s="126"/>
      <c r="C297" s="176"/>
      <c r="D297" s="176"/>
      <c r="E297" s="176"/>
      <c r="F297" s="176"/>
      <c r="G297" s="176"/>
      <c r="H297" s="176"/>
      <c r="I297" s="126"/>
      <c r="J297" s="126"/>
      <c r="K297" s="126"/>
      <c r="L297" s="126"/>
      <c r="M297" s="126"/>
      <c r="N297" s="126"/>
      <c r="O297" s="126"/>
      <c r="P297" s="126"/>
      <c r="Q297" s="126"/>
      <c r="R297" s="126"/>
      <c r="S297" s="126"/>
      <c r="T297" s="126"/>
      <c r="U297" s="126"/>
      <c r="V297" s="126"/>
      <c r="W297" s="126"/>
      <c r="X297" s="126"/>
      <c r="Y297" s="126"/>
      <c r="Z297" s="126"/>
      <c r="AA297" s="126"/>
      <c r="AB297" s="126"/>
    </row>
    <row r="298" spans="1:28" ht="15.75" customHeight="1">
      <c r="A298" s="126"/>
      <c r="B298" s="126"/>
      <c r="C298" s="176"/>
      <c r="D298" s="176"/>
      <c r="E298" s="176"/>
      <c r="F298" s="176"/>
      <c r="G298" s="176"/>
      <c r="H298" s="176"/>
      <c r="I298" s="126"/>
      <c r="J298" s="126"/>
      <c r="K298" s="126"/>
      <c r="L298" s="126"/>
      <c r="M298" s="126"/>
      <c r="N298" s="126"/>
      <c r="O298" s="126"/>
      <c r="P298" s="126"/>
      <c r="Q298" s="126"/>
      <c r="R298" s="126"/>
      <c r="S298" s="126"/>
      <c r="T298" s="126"/>
      <c r="U298" s="126"/>
      <c r="V298" s="126"/>
      <c r="W298" s="126"/>
      <c r="X298" s="126"/>
      <c r="Y298" s="126"/>
      <c r="Z298" s="126"/>
      <c r="AA298" s="126"/>
      <c r="AB298" s="126"/>
    </row>
    <row r="299" spans="1:28" ht="15.75" customHeight="1">
      <c r="A299" s="126"/>
      <c r="B299" s="126"/>
      <c r="C299" s="176"/>
      <c r="D299" s="176"/>
      <c r="E299" s="176"/>
      <c r="F299" s="176"/>
      <c r="G299" s="176"/>
      <c r="H299" s="176"/>
      <c r="I299" s="126"/>
      <c r="J299" s="126"/>
      <c r="K299" s="126"/>
      <c r="L299" s="126"/>
      <c r="M299" s="126"/>
      <c r="N299" s="126"/>
      <c r="O299" s="126"/>
      <c r="P299" s="126"/>
      <c r="Q299" s="126"/>
      <c r="R299" s="126"/>
      <c r="S299" s="126"/>
      <c r="T299" s="126"/>
      <c r="U299" s="126"/>
      <c r="V299" s="126"/>
      <c r="W299" s="126"/>
      <c r="X299" s="126"/>
      <c r="Y299" s="126"/>
      <c r="Z299" s="126"/>
      <c r="AA299" s="126"/>
      <c r="AB299" s="126"/>
    </row>
    <row r="300" spans="1:28" ht="15.75" customHeight="1">
      <c r="A300" s="126"/>
      <c r="B300" s="126"/>
      <c r="C300" s="176"/>
      <c r="D300" s="176"/>
      <c r="E300" s="176"/>
      <c r="F300" s="176"/>
      <c r="G300" s="176"/>
      <c r="H300" s="176"/>
      <c r="I300" s="126"/>
      <c r="J300" s="126"/>
      <c r="K300" s="126"/>
      <c r="L300" s="126"/>
      <c r="M300" s="126"/>
      <c r="N300" s="126"/>
      <c r="O300" s="126"/>
      <c r="P300" s="126"/>
      <c r="Q300" s="126"/>
      <c r="R300" s="126"/>
      <c r="S300" s="126"/>
      <c r="T300" s="126"/>
      <c r="U300" s="126"/>
      <c r="V300" s="126"/>
      <c r="W300" s="126"/>
      <c r="X300" s="126"/>
      <c r="Y300" s="126"/>
      <c r="Z300" s="126"/>
      <c r="AA300" s="126"/>
      <c r="AB300" s="126"/>
    </row>
    <row r="301" spans="1:28" ht="15.75" customHeight="1">
      <c r="A301" s="126"/>
      <c r="B301" s="126"/>
      <c r="C301" s="176"/>
      <c r="D301" s="176"/>
      <c r="E301" s="176"/>
      <c r="F301" s="176"/>
      <c r="G301" s="176"/>
      <c r="H301" s="176"/>
      <c r="I301" s="126"/>
      <c r="J301" s="126"/>
      <c r="K301" s="126"/>
      <c r="L301" s="126"/>
      <c r="M301" s="126"/>
      <c r="N301" s="126"/>
      <c r="O301" s="126"/>
      <c r="P301" s="126"/>
      <c r="Q301" s="126"/>
      <c r="R301" s="126"/>
      <c r="S301" s="126"/>
      <c r="T301" s="126"/>
      <c r="U301" s="126"/>
      <c r="V301" s="126"/>
      <c r="W301" s="126"/>
      <c r="X301" s="126"/>
      <c r="Y301" s="126"/>
      <c r="Z301" s="126"/>
      <c r="AA301" s="126"/>
      <c r="AB301" s="126"/>
    </row>
    <row r="302" spans="1:28" ht="15.75" customHeight="1">
      <c r="A302" s="126"/>
      <c r="B302" s="126"/>
      <c r="C302" s="176"/>
      <c r="D302" s="176"/>
      <c r="E302" s="176"/>
      <c r="F302" s="176"/>
      <c r="G302" s="176"/>
      <c r="H302" s="176"/>
      <c r="I302" s="126"/>
      <c r="J302" s="126"/>
      <c r="K302" s="126"/>
      <c r="L302" s="126"/>
      <c r="M302" s="126"/>
      <c r="N302" s="126"/>
      <c r="O302" s="126"/>
      <c r="P302" s="126"/>
      <c r="Q302" s="126"/>
      <c r="R302" s="126"/>
      <c r="S302" s="126"/>
      <c r="T302" s="126"/>
      <c r="U302" s="126"/>
      <c r="V302" s="126"/>
      <c r="W302" s="126"/>
      <c r="X302" s="126"/>
      <c r="Y302" s="126"/>
      <c r="Z302" s="126"/>
      <c r="AA302" s="126"/>
      <c r="AB302" s="126"/>
    </row>
    <row r="303" spans="1:28" ht="15.75" customHeight="1">
      <c r="A303" s="126"/>
      <c r="B303" s="126"/>
      <c r="C303" s="176"/>
      <c r="D303" s="176"/>
      <c r="E303" s="176"/>
      <c r="F303" s="176"/>
      <c r="G303" s="176"/>
      <c r="H303" s="176"/>
      <c r="I303" s="126"/>
      <c r="J303" s="126"/>
      <c r="K303" s="126"/>
      <c r="L303" s="126"/>
      <c r="M303" s="126"/>
      <c r="N303" s="126"/>
      <c r="O303" s="126"/>
      <c r="P303" s="126"/>
      <c r="Q303" s="126"/>
      <c r="R303" s="126"/>
      <c r="S303" s="126"/>
      <c r="T303" s="126"/>
      <c r="U303" s="126"/>
      <c r="V303" s="126"/>
      <c r="W303" s="126"/>
      <c r="X303" s="126"/>
      <c r="Y303" s="126"/>
      <c r="Z303" s="126"/>
      <c r="AA303" s="126"/>
      <c r="AB303" s="126"/>
    </row>
    <row r="304" spans="1:28" ht="15.75" customHeight="1">
      <c r="A304" s="126"/>
      <c r="B304" s="126"/>
      <c r="C304" s="176"/>
      <c r="D304" s="176"/>
      <c r="E304" s="176"/>
      <c r="F304" s="176"/>
      <c r="G304" s="176"/>
      <c r="H304" s="176"/>
      <c r="I304" s="126"/>
      <c r="J304" s="126"/>
      <c r="K304" s="126"/>
      <c r="L304" s="126"/>
      <c r="M304" s="126"/>
      <c r="N304" s="126"/>
      <c r="O304" s="126"/>
      <c r="P304" s="126"/>
      <c r="Q304" s="126"/>
      <c r="R304" s="126"/>
      <c r="S304" s="126"/>
      <c r="T304" s="126"/>
      <c r="U304" s="126"/>
      <c r="V304" s="126"/>
      <c r="W304" s="126"/>
      <c r="X304" s="126"/>
      <c r="Y304" s="126"/>
      <c r="Z304" s="126"/>
      <c r="AA304" s="126"/>
      <c r="AB304" s="126"/>
    </row>
    <row r="305" spans="1:28" ht="15.75" customHeight="1">
      <c r="A305" s="126"/>
      <c r="B305" s="126"/>
      <c r="C305" s="176"/>
      <c r="D305" s="176"/>
      <c r="E305" s="176"/>
      <c r="F305" s="176"/>
      <c r="G305" s="176"/>
      <c r="H305" s="176"/>
      <c r="I305" s="126"/>
      <c r="J305" s="126"/>
      <c r="K305" s="126"/>
      <c r="L305" s="126"/>
      <c r="M305" s="126"/>
      <c r="N305" s="126"/>
      <c r="O305" s="126"/>
      <c r="P305" s="126"/>
      <c r="Q305" s="126"/>
      <c r="R305" s="126"/>
      <c r="S305" s="126"/>
      <c r="T305" s="126"/>
      <c r="U305" s="126"/>
      <c r="V305" s="126"/>
      <c r="W305" s="126"/>
      <c r="X305" s="126"/>
      <c r="Y305" s="126"/>
      <c r="Z305" s="126"/>
      <c r="AA305" s="126"/>
      <c r="AB305" s="126"/>
    </row>
    <row r="306" spans="1:28" ht="15.75" customHeight="1">
      <c r="A306" s="126"/>
      <c r="B306" s="126"/>
      <c r="C306" s="176"/>
      <c r="D306" s="176"/>
      <c r="E306" s="176"/>
      <c r="F306" s="176"/>
      <c r="G306" s="176"/>
      <c r="H306" s="176"/>
      <c r="I306" s="126"/>
      <c r="J306" s="126"/>
      <c r="K306" s="126"/>
      <c r="L306" s="126"/>
      <c r="M306" s="126"/>
      <c r="N306" s="126"/>
      <c r="O306" s="126"/>
      <c r="P306" s="126"/>
      <c r="Q306" s="126"/>
      <c r="R306" s="126"/>
      <c r="S306" s="126"/>
      <c r="T306" s="126"/>
      <c r="U306" s="126"/>
      <c r="V306" s="126"/>
      <c r="W306" s="126"/>
      <c r="X306" s="126"/>
      <c r="Y306" s="126"/>
      <c r="Z306" s="126"/>
      <c r="AA306" s="126"/>
      <c r="AB306" s="126"/>
    </row>
    <row r="307" spans="1:28" ht="15.75" customHeight="1">
      <c r="A307" s="126"/>
      <c r="B307" s="126"/>
      <c r="C307" s="176"/>
      <c r="D307" s="176"/>
      <c r="E307" s="176"/>
      <c r="F307" s="176"/>
      <c r="G307" s="176"/>
      <c r="H307" s="176"/>
      <c r="I307" s="126"/>
      <c r="J307" s="126"/>
      <c r="K307" s="126"/>
      <c r="L307" s="126"/>
      <c r="M307" s="126"/>
      <c r="N307" s="126"/>
      <c r="O307" s="126"/>
      <c r="P307" s="126"/>
      <c r="Q307" s="126"/>
      <c r="R307" s="126"/>
      <c r="S307" s="126"/>
      <c r="T307" s="126"/>
      <c r="U307" s="126"/>
      <c r="V307" s="126"/>
      <c r="W307" s="126"/>
      <c r="X307" s="126"/>
      <c r="Y307" s="126"/>
      <c r="Z307" s="126"/>
      <c r="AA307" s="126"/>
      <c r="AB307" s="126"/>
    </row>
    <row r="308" spans="1:28" ht="15.75" customHeight="1">
      <c r="A308" s="126"/>
      <c r="B308" s="126"/>
      <c r="C308" s="176"/>
      <c r="D308" s="176"/>
      <c r="E308" s="176"/>
      <c r="F308" s="176"/>
      <c r="G308" s="176"/>
      <c r="H308" s="176"/>
      <c r="I308" s="126"/>
      <c r="J308" s="126"/>
      <c r="K308" s="126"/>
      <c r="L308" s="126"/>
      <c r="M308" s="126"/>
      <c r="N308" s="126"/>
      <c r="O308" s="126"/>
      <c r="P308" s="126"/>
      <c r="Q308" s="126"/>
      <c r="R308" s="126"/>
      <c r="S308" s="126"/>
      <c r="T308" s="126"/>
      <c r="U308" s="126"/>
      <c r="V308" s="126"/>
      <c r="W308" s="126"/>
      <c r="X308" s="126"/>
      <c r="Y308" s="126"/>
      <c r="Z308" s="126"/>
      <c r="AA308" s="126"/>
      <c r="AB308" s="126"/>
    </row>
    <row r="309" spans="1:28" ht="15.75" customHeight="1">
      <c r="A309" s="126"/>
      <c r="B309" s="126"/>
      <c r="C309" s="176"/>
      <c r="D309" s="176"/>
      <c r="E309" s="176"/>
      <c r="F309" s="176"/>
      <c r="G309" s="176"/>
      <c r="H309" s="176"/>
      <c r="I309" s="126"/>
      <c r="J309" s="126"/>
      <c r="K309" s="126"/>
      <c r="L309" s="126"/>
      <c r="M309" s="126"/>
      <c r="N309" s="126"/>
      <c r="O309" s="126"/>
      <c r="P309" s="126"/>
      <c r="Q309" s="126"/>
      <c r="R309" s="126"/>
      <c r="S309" s="126"/>
      <c r="T309" s="126"/>
      <c r="U309" s="126"/>
      <c r="V309" s="126"/>
      <c r="W309" s="126"/>
      <c r="X309" s="126"/>
      <c r="Y309" s="126"/>
      <c r="Z309" s="126"/>
      <c r="AA309" s="126"/>
      <c r="AB309" s="126"/>
    </row>
    <row r="310" spans="1:28" ht="15.75" customHeight="1">
      <c r="A310" s="126"/>
      <c r="B310" s="126"/>
      <c r="C310" s="176"/>
      <c r="D310" s="176"/>
      <c r="E310" s="176"/>
      <c r="F310" s="176"/>
      <c r="G310" s="176"/>
      <c r="H310" s="176"/>
      <c r="I310" s="126"/>
      <c r="J310" s="126"/>
      <c r="K310" s="126"/>
      <c r="L310" s="126"/>
      <c r="M310" s="126"/>
      <c r="N310" s="126"/>
      <c r="O310" s="126"/>
      <c r="P310" s="126"/>
      <c r="Q310" s="126"/>
      <c r="R310" s="126"/>
      <c r="S310" s="126"/>
      <c r="T310" s="126"/>
      <c r="U310" s="126"/>
      <c r="V310" s="126"/>
      <c r="W310" s="126"/>
      <c r="X310" s="126"/>
      <c r="Y310" s="126"/>
      <c r="Z310" s="126"/>
      <c r="AA310" s="126"/>
      <c r="AB310" s="126"/>
    </row>
    <row r="311" spans="1:28" ht="15.75" customHeight="1">
      <c r="A311" s="126"/>
      <c r="B311" s="126"/>
      <c r="C311" s="176"/>
      <c r="D311" s="176"/>
      <c r="E311" s="176"/>
      <c r="F311" s="176"/>
      <c r="G311" s="176"/>
      <c r="H311" s="176"/>
      <c r="I311" s="126"/>
      <c r="J311" s="126"/>
      <c r="K311" s="126"/>
      <c r="L311" s="126"/>
      <c r="M311" s="126"/>
      <c r="N311" s="126"/>
      <c r="O311" s="126"/>
      <c r="P311" s="126"/>
      <c r="Q311" s="126"/>
      <c r="R311" s="126"/>
      <c r="S311" s="126"/>
      <c r="T311" s="126"/>
      <c r="U311" s="126"/>
      <c r="V311" s="126"/>
      <c r="W311" s="126"/>
      <c r="X311" s="126"/>
      <c r="Y311" s="126"/>
      <c r="Z311" s="126"/>
      <c r="AA311" s="126"/>
      <c r="AB311" s="126"/>
    </row>
    <row r="312" spans="1:28" ht="15.75" customHeight="1">
      <c r="A312" s="126"/>
      <c r="B312" s="126"/>
      <c r="C312" s="176"/>
      <c r="D312" s="176"/>
      <c r="E312" s="176"/>
      <c r="F312" s="176"/>
      <c r="G312" s="176"/>
      <c r="H312" s="176"/>
      <c r="I312" s="126"/>
      <c r="J312" s="126"/>
      <c r="K312" s="126"/>
      <c r="L312" s="126"/>
      <c r="M312" s="126"/>
      <c r="N312" s="126"/>
      <c r="O312" s="126"/>
      <c r="P312" s="126"/>
      <c r="Q312" s="126"/>
      <c r="R312" s="126"/>
      <c r="S312" s="126"/>
      <c r="T312" s="126"/>
      <c r="U312" s="126"/>
      <c r="V312" s="126"/>
      <c r="W312" s="126"/>
      <c r="X312" s="126"/>
      <c r="Y312" s="126"/>
      <c r="Z312" s="126"/>
      <c r="AA312" s="126"/>
      <c r="AB312" s="126"/>
    </row>
    <row r="313" spans="1:28" ht="15.75" customHeight="1">
      <c r="A313" s="126"/>
      <c r="B313" s="126"/>
      <c r="C313" s="176"/>
      <c r="D313" s="176"/>
      <c r="E313" s="176"/>
      <c r="F313" s="176"/>
      <c r="G313" s="176"/>
      <c r="H313" s="176"/>
      <c r="I313" s="126"/>
      <c r="J313" s="126"/>
      <c r="K313" s="126"/>
      <c r="L313" s="126"/>
      <c r="M313" s="126"/>
      <c r="N313" s="126"/>
      <c r="O313" s="126"/>
      <c r="P313" s="126"/>
      <c r="Q313" s="126"/>
      <c r="R313" s="126"/>
      <c r="S313" s="126"/>
      <c r="T313" s="126"/>
      <c r="U313" s="126"/>
      <c r="V313" s="126"/>
      <c r="W313" s="126"/>
      <c r="X313" s="126"/>
      <c r="Y313" s="126"/>
      <c r="Z313" s="126"/>
      <c r="AA313" s="126"/>
      <c r="AB313" s="126"/>
    </row>
    <row r="314" spans="1:28" ht="15.75" customHeight="1">
      <c r="A314" s="126"/>
      <c r="B314" s="126"/>
      <c r="C314" s="176"/>
      <c r="D314" s="176"/>
      <c r="E314" s="176"/>
      <c r="F314" s="176"/>
      <c r="G314" s="176"/>
      <c r="H314" s="176"/>
      <c r="I314" s="126"/>
      <c r="J314" s="126"/>
      <c r="K314" s="126"/>
      <c r="L314" s="126"/>
      <c r="M314" s="126"/>
      <c r="N314" s="126"/>
      <c r="O314" s="126"/>
      <c r="P314" s="126"/>
      <c r="Q314" s="126"/>
      <c r="R314" s="126"/>
      <c r="S314" s="126"/>
      <c r="T314" s="126"/>
      <c r="U314" s="126"/>
      <c r="V314" s="126"/>
      <c r="W314" s="126"/>
      <c r="X314" s="126"/>
      <c r="Y314" s="126"/>
      <c r="Z314" s="126"/>
      <c r="AA314" s="126"/>
      <c r="AB314" s="126"/>
    </row>
    <row r="315" spans="1:28" ht="15.75" customHeight="1">
      <c r="A315" s="126"/>
      <c r="B315" s="126"/>
      <c r="C315" s="176"/>
      <c r="D315" s="176"/>
      <c r="E315" s="176"/>
      <c r="F315" s="176"/>
      <c r="G315" s="176"/>
      <c r="H315" s="176"/>
      <c r="I315" s="126"/>
      <c r="J315" s="126"/>
      <c r="K315" s="126"/>
      <c r="L315" s="126"/>
      <c r="M315" s="126"/>
      <c r="N315" s="126"/>
      <c r="O315" s="126"/>
      <c r="P315" s="126"/>
      <c r="Q315" s="126"/>
      <c r="R315" s="126"/>
      <c r="S315" s="126"/>
      <c r="T315" s="126"/>
      <c r="U315" s="126"/>
      <c r="V315" s="126"/>
      <c r="W315" s="126"/>
      <c r="X315" s="126"/>
      <c r="Y315" s="126"/>
      <c r="Z315" s="126"/>
      <c r="AA315" s="126"/>
      <c r="AB315" s="126"/>
    </row>
    <row r="316" spans="1:28" ht="15.75" customHeight="1">
      <c r="A316" s="126"/>
      <c r="B316" s="126"/>
      <c r="C316" s="176"/>
      <c r="D316" s="176"/>
      <c r="E316" s="176"/>
      <c r="F316" s="176"/>
      <c r="G316" s="176"/>
      <c r="H316" s="176"/>
      <c r="I316" s="126"/>
      <c r="J316" s="126"/>
      <c r="K316" s="126"/>
      <c r="L316" s="126"/>
      <c r="M316" s="126"/>
      <c r="N316" s="126"/>
      <c r="O316" s="126"/>
      <c r="P316" s="126"/>
      <c r="Q316" s="126"/>
      <c r="R316" s="126"/>
      <c r="S316" s="126"/>
      <c r="T316" s="126"/>
      <c r="U316" s="126"/>
      <c r="V316" s="126"/>
      <c r="W316" s="126"/>
      <c r="X316" s="126"/>
      <c r="Y316" s="126"/>
      <c r="Z316" s="126"/>
      <c r="AA316" s="126"/>
      <c r="AB316" s="126"/>
    </row>
    <row r="317" spans="1:28" ht="15.75" customHeight="1">
      <c r="A317" s="126"/>
      <c r="B317" s="126"/>
      <c r="C317" s="176"/>
      <c r="D317" s="176"/>
      <c r="E317" s="176"/>
      <c r="F317" s="176"/>
      <c r="G317" s="176"/>
      <c r="H317" s="176"/>
      <c r="I317" s="126"/>
      <c r="J317" s="126"/>
      <c r="K317" s="126"/>
      <c r="L317" s="126"/>
      <c r="M317" s="126"/>
      <c r="N317" s="126"/>
      <c r="O317" s="126"/>
      <c r="P317" s="126"/>
      <c r="Q317" s="126"/>
      <c r="R317" s="126"/>
      <c r="S317" s="126"/>
      <c r="T317" s="126"/>
      <c r="U317" s="126"/>
      <c r="V317" s="126"/>
      <c r="W317" s="126"/>
      <c r="X317" s="126"/>
      <c r="Y317" s="126"/>
      <c r="Z317" s="126"/>
      <c r="AA317" s="126"/>
      <c r="AB317" s="126"/>
    </row>
    <row r="318" spans="1:28" ht="15.75" customHeight="1">
      <c r="A318" s="126"/>
      <c r="B318" s="126"/>
      <c r="C318" s="176"/>
      <c r="D318" s="176"/>
      <c r="E318" s="176"/>
      <c r="F318" s="176"/>
      <c r="G318" s="176"/>
      <c r="H318" s="176"/>
      <c r="I318" s="126"/>
      <c r="J318" s="126"/>
      <c r="K318" s="126"/>
      <c r="L318" s="126"/>
      <c r="M318" s="126"/>
      <c r="N318" s="126"/>
      <c r="O318" s="126"/>
      <c r="P318" s="126"/>
      <c r="Q318" s="126"/>
      <c r="R318" s="126"/>
      <c r="S318" s="126"/>
      <c r="T318" s="126"/>
      <c r="U318" s="126"/>
      <c r="V318" s="126"/>
      <c r="W318" s="126"/>
      <c r="X318" s="126"/>
      <c r="Y318" s="126"/>
      <c r="Z318" s="126"/>
      <c r="AA318" s="126"/>
      <c r="AB318" s="126"/>
    </row>
    <row r="319" spans="1:28" ht="15.75" customHeight="1">
      <c r="A319" s="126"/>
      <c r="B319" s="126"/>
      <c r="C319" s="176"/>
      <c r="D319" s="176"/>
      <c r="E319" s="176"/>
      <c r="F319" s="176"/>
      <c r="G319" s="176"/>
      <c r="H319" s="176"/>
      <c r="I319" s="126"/>
      <c r="J319" s="126"/>
      <c r="K319" s="126"/>
      <c r="L319" s="126"/>
      <c r="M319" s="126"/>
      <c r="N319" s="126"/>
      <c r="O319" s="126"/>
      <c r="P319" s="126"/>
      <c r="Q319" s="126"/>
      <c r="R319" s="126"/>
      <c r="S319" s="126"/>
      <c r="T319" s="126"/>
      <c r="U319" s="126"/>
      <c r="V319" s="126"/>
      <c r="W319" s="126"/>
      <c r="X319" s="126"/>
      <c r="Y319" s="126"/>
      <c r="Z319" s="126"/>
      <c r="AA319" s="126"/>
      <c r="AB319" s="126"/>
    </row>
    <row r="320" spans="1:28" ht="15.75" customHeight="1">
      <c r="A320" s="126"/>
      <c r="B320" s="126"/>
      <c r="C320" s="176"/>
      <c r="D320" s="176"/>
      <c r="E320" s="176"/>
      <c r="F320" s="176"/>
      <c r="G320" s="176"/>
      <c r="H320" s="176"/>
      <c r="I320" s="126"/>
      <c r="J320" s="126"/>
      <c r="K320" s="126"/>
      <c r="L320" s="126"/>
      <c r="M320" s="126"/>
      <c r="N320" s="126"/>
      <c r="O320" s="126"/>
      <c r="P320" s="126"/>
      <c r="Q320" s="126"/>
      <c r="R320" s="126"/>
      <c r="S320" s="126"/>
      <c r="T320" s="126"/>
      <c r="U320" s="126"/>
      <c r="V320" s="126"/>
      <c r="W320" s="126"/>
      <c r="X320" s="126"/>
      <c r="Y320" s="126"/>
      <c r="Z320" s="126"/>
      <c r="AA320" s="126"/>
      <c r="AB320" s="126"/>
    </row>
    <row r="321" spans="1:28" ht="15.75" customHeight="1">
      <c r="A321" s="126"/>
      <c r="B321" s="126"/>
      <c r="C321" s="176"/>
      <c r="D321" s="176"/>
      <c r="E321" s="176"/>
      <c r="F321" s="176"/>
      <c r="G321" s="176"/>
      <c r="H321" s="176"/>
      <c r="I321" s="126"/>
      <c r="J321" s="126"/>
      <c r="K321" s="126"/>
      <c r="L321" s="126"/>
      <c r="M321" s="126"/>
      <c r="N321" s="126"/>
      <c r="O321" s="126"/>
      <c r="P321" s="126"/>
      <c r="Q321" s="126"/>
      <c r="R321" s="126"/>
      <c r="S321" s="126"/>
      <c r="T321" s="126"/>
      <c r="U321" s="126"/>
      <c r="V321" s="126"/>
      <c r="W321" s="126"/>
      <c r="X321" s="126"/>
      <c r="Y321" s="126"/>
      <c r="Z321" s="126"/>
      <c r="AA321" s="126"/>
      <c r="AB321" s="126"/>
    </row>
    <row r="322" spans="1:28" ht="15.75" customHeight="1">
      <c r="A322" s="126"/>
      <c r="B322" s="126"/>
      <c r="C322" s="176"/>
      <c r="D322" s="176"/>
      <c r="E322" s="176"/>
      <c r="F322" s="176"/>
      <c r="G322" s="176"/>
      <c r="H322" s="176"/>
      <c r="I322" s="126"/>
      <c r="J322" s="126"/>
      <c r="K322" s="126"/>
      <c r="L322" s="126"/>
      <c r="M322" s="126"/>
      <c r="N322" s="126"/>
      <c r="O322" s="126"/>
      <c r="P322" s="126"/>
      <c r="Q322" s="126"/>
      <c r="R322" s="126"/>
      <c r="S322" s="126"/>
      <c r="T322" s="126"/>
      <c r="U322" s="126"/>
      <c r="V322" s="126"/>
      <c r="W322" s="126"/>
      <c r="X322" s="126"/>
      <c r="Y322" s="126"/>
      <c r="Z322" s="126"/>
      <c r="AA322" s="126"/>
      <c r="AB322" s="126"/>
    </row>
    <row r="323" spans="1:28" ht="15.75" customHeight="1">
      <c r="A323" s="126"/>
      <c r="B323" s="126"/>
      <c r="C323" s="176"/>
      <c r="D323" s="176"/>
      <c r="E323" s="176"/>
      <c r="F323" s="176"/>
      <c r="G323" s="176"/>
      <c r="H323" s="176"/>
      <c r="I323" s="126"/>
      <c r="J323" s="126"/>
      <c r="K323" s="126"/>
      <c r="L323" s="126"/>
      <c r="M323" s="126"/>
      <c r="N323" s="126"/>
      <c r="O323" s="126"/>
      <c r="P323" s="126"/>
      <c r="Q323" s="126"/>
      <c r="R323" s="126"/>
      <c r="S323" s="126"/>
      <c r="T323" s="126"/>
      <c r="U323" s="126"/>
      <c r="V323" s="126"/>
      <c r="W323" s="126"/>
      <c r="X323" s="126"/>
      <c r="Y323" s="126"/>
      <c r="Z323" s="126"/>
      <c r="AA323" s="126"/>
      <c r="AB323" s="126"/>
    </row>
    <row r="324" spans="1:28" ht="15.75" customHeight="1">
      <c r="A324" s="126"/>
      <c r="B324" s="126"/>
      <c r="C324" s="176"/>
      <c r="D324" s="176"/>
      <c r="E324" s="176"/>
      <c r="F324" s="176"/>
      <c r="G324" s="176"/>
      <c r="H324" s="176"/>
      <c r="I324" s="126"/>
      <c r="J324" s="126"/>
      <c r="K324" s="126"/>
      <c r="L324" s="126"/>
      <c r="M324" s="126"/>
      <c r="N324" s="126"/>
      <c r="O324" s="126"/>
      <c r="P324" s="126"/>
      <c r="Q324" s="126"/>
      <c r="R324" s="126"/>
      <c r="S324" s="126"/>
      <c r="T324" s="126"/>
      <c r="U324" s="126"/>
      <c r="V324" s="126"/>
      <c r="W324" s="126"/>
      <c r="X324" s="126"/>
      <c r="Y324" s="126"/>
      <c r="Z324" s="126"/>
      <c r="AA324" s="126"/>
      <c r="AB324" s="126"/>
    </row>
    <row r="325" spans="1:28" ht="15.75" customHeight="1">
      <c r="A325" s="126"/>
      <c r="B325" s="126"/>
      <c r="C325" s="176"/>
      <c r="D325" s="176"/>
      <c r="E325" s="176"/>
      <c r="F325" s="176"/>
      <c r="G325" s="176"/>
      <c r="H325" s="176"/>
      <c r="I325" s="126"/>
      <c r="J325" s="126"/>
      <c r="K325" s="126"/>
      <c r="L325" s="126"/>
      <c r="M325" s="126"/>
      <c r="N325" s="126"/>
      <c r="O325" s="126"/>
      <c r="P325" s="126"/>
      <c r="Q325" s="126"/>
      <c r="R325" s="126"/>
      <c r="S325" s="126"/>
      <c r="T325" s="126"/>
      <c r="U325" s="126"/>
      <c r="V325" s="126"/>
      <c r="W325" s="126"/>
      <c r="X325" s="126"/>
      <c r="Y325" s="126"/>
      <c r="Z325" s="126"/>
      <c r="AA325" s="126"/>
      <c r="AB325" s="126"/>
    </row>
    <row r="326" spans="1:28" ht="15.75" customHeight="1">
      <c r="A326" s="126"/>
      <c r="B326" s="126"/>
      <c r="C326" s="176"/>
      <c r="D326" s="176"/>
      <c r="E326" s="176"/>
      <c r="F326" s="176"/>
      <c r="G326" s="176"/>
      <c r="H326" s="176"/>
      <c r="I326" s="126"/>
      <c r="J326" s="126"/>
      <c r="K326" s="126"/>
      <c r="L326" s="126"/>
      <c r="M326" s="126"/>
      <c r="N326" s="126"/>
      <c r="O326" s="126"/>
      <c r="P326" s="126"/>
      <c r="Q326" s="126"/>
      <c r="R326" s="126"/>
      <c r="S326" s="126"/>
      <c r="T326" s="126"/>
      <c r="U326" s="126"/>
      <c r="V326" s="126"/>
      <c r="W326" s="126"/>
      <c r="X326" s="126"/>
      <c r="Y326" s="126"/>
      <c r="Z326" s="126"/>
      <c r="AA326" s="126"/>
      <c r="AB326" s="126"/>
    </row>
    <row r="327" spans="1:28" ht="15.75" customHeight="1">
      <c r="A327" s="126"/>
      <c r="B327" s="126"/>
      <c r="C327" s="176"/>
      <c r="D327" s="176"/>
      <c r="E327" s="176"/>
      <c r="F327" s="176"/>
      <c r="G327" s="176"/>
      <c r="H327" s="176"/>
      <c r="I327" s="126"/>
      <c r="J327" s="126"/>
      <c r="K327" s="126"/>
      <c r="L327" s="126"/>
      <c r="M327" s="126"/>
      <c r="N327" s="126"/>
      <c r="O327" s="126"/>
      <c r="P327" s="126"/>
      <c r="Q327" s="126"/>
      <c r="R327" s="126"/>
      <c r="S327" s="126"/>
      <c r="T327" s="126"/>
      <c r="U327" s="126"/>
      <c r="V327" s="126"/>
      <c r="W327" s="126"/>
      <c r="X327" s="126"/>
      <c r="Y327" s="126"/>
      <c r="Z327" s="126"/>
      <c r="AA327" s="126"/>
      <c r="AB327" s="126"/>
    </row>
    <row r="328" spans="1:28" ht="15.75" customHeight="1">
      <c r="A328" s="126"/>
      <c r="B328" s="126"/>
      <c r="C328" s="176"/>
      <c r="D328" s="176"/>
      <c r="E328" s="176"/>
      <c r="F328" s="176"/>
      <c r="G328" s="176"/>
      <c r="H328" s="176"/>
      <c r="I328" s="126"/>
      <c r="J328" s="126"/>
      <c r="K328" s="126"/>
      <c r="L328" s="126"/>
      <c r="M328" s="126"/>
      <c r="N328" s="126"/>
      <c r="O328" s="126"/>
      <c r="P328" s="126"/>
      <c r="Q328" s="126"/>
      <c r="R328" s="126"/>
      <c r="S328" s="126"/>
      <c r="T328" s="126"/>
      <c r="U328" s="126"/>
      <c r="V328" s="126"/>
      <c r="W328" s="126"/>
      <c r="X328" s="126"/>
      <c r="Y328" s="126"/>
      <c r="Z328" s="126"/>
      <c r="AA328" s="126"/>
      <c r="AB328" s="126"/>
    </row>
    <row r="329" spans="1:28" ht="15.75" customHeight="1">
      <c r="A329" s="126"/>
      <c r="B329" s="126"/>
      <c r="C329" s="176"/>
      <c r="D329" s="176"/>
      <c r="E329" s="176"/>
      <c r="F329" s="176"/>
      <c r="G329" s="176"/>
      <c r="H329" s="176"/>
      <c r="I329" s="126"/>
      <c r="J329" s="126"/>
      <c r="K329" s="126"/>
      <c r="L329" s="126"/>
      <c r="M329" s="126"/>
      <c r="N329" s="126"/>
      <c r="O329" s="126"/>
      <c r="P329" s="126"/>
      <c r="Q329" s="126"/>
      <c r="R329" s="126"/>
      <c r="S329" s="126"/>
      <c r="T329" s="126"/>
      <c r="U329" s="126"/>
      <c r="V329" s="126"/>
      <c r="W329" s="126"/>
      <c r="X329" s="126"/>
      <c r="Y329" s="126"/>
      <c r="Z329" s="126"/>
      <c r="AA329" s="126"/>
      <c r="AB329" s="126"/>
    </row>
    <row r="330" spans="1:28" ht="15.75" customHeight="1">
      <c r="A330" s="126"/>
      <c r="B330" s="126"/>
      <c r="C330" s="176"/>
      <c r="D330" s="176"/>
      <c r="E330" s="176"/>
      <c r="F330" s="176"/>
      <c r="G330" s="176"/>
      <c r="H330" s="176"/>
      <c r="I330" s="126"/>
      <c r="J330" s="126"/>
      <c r="K330" s="126"/>
      <c r="L330" s="126"/>
      <c r="M330" s="126"/>
      <c r="N330" s="126"/>
      <c r="O330" s="126"/>
      <c r="P330" s="126"/>
      <c r="Q330" s="126"/>
      <c r="R330" s="126"/>
      <c r="S330" s="126"/>
      <c r="T330" s="126"/>
      <c r="U330" s="126"/>
      <c r="V330" s="126"/>
      <c r="W330" s="126"/>
      <c r="X330" s="126"/>
      <c r="Y330" s="126"/>
      <c r="Z330" s="126"/>
      <c r="AA330" s="126"/>
      <c r="AB330" s="126"/>
    </row>
    <row r="331" spans="1:28" ht="15.75" customHeight="1">
      <c r="A331" s="126"/>
      <c r="B331" s="126"/>
      <c r="C331" s="176"/>
      <c r="D331" s="176"/>
      <c r="E331" s="176"/>
      <c r="F331" s="176"/>
      <c r="G331" s="176"/>
      <c r="H331" s="176"/>
      <c r="I331" s="126"/>
      <c r="J331" s="126"/>
      <c r="K331" s="126"/>
      <c r="L331" s="126"/>
      <c r="M331" s="126"/>
      <c r="N331" s="126"/>
      <c r="O331" s="126"/>
      <c r="P331" s="126"/>
      <c r="Q331" s="126"/>
      <c r="R331" s="126"/>
      <c r="S331" s="126"/>
      <c r="T331" s="126"/>
      <c r="U331" s="126"/>
      <c r="V331" s="126"/>
      <c r="W331" s="126"/>
      <c r="X331" s="126"/>
      <c r="Y331" s="126"/>
      <c r="Z331" s="126"/>
      <c r="AA331" s="126"/>
      <c r="AB331" s="126"/>
    </row>
    <row r="332" spans="1:28" ht="15.75" customHeight="1">
      <c r="A332" s="126"/>
      <c r="B332" s="126"/>
      <c r="C332" s="176"/>
      <c r="D332" s="176"/>
      <c r="E332" s="176"/>
      <c r="F332" s="176"/>
      <c r="G332" s="176"/>
      <c r="H332" s="176"/>
      <c r="I332" s="126"/>
      <c r="J332" s="126"/>
      <c r="K332" s="126"/>
      <c r="L332" s="126"/>
      <c r="M332" s="126"/>
      <c r="N332" s="126"/>
      <c r="O332" s="126"/>
      <c r="P332" s="126"/>
      <c r="Q332" s="126"/>
      <c r="R332" s="126"/>
      <c r="S332" s="126"/>
      <c r="T332" s="126"/>
      <c r="U332" s="126"/>
      <c r="V332" s="126"/>
      <c r="W332" s="126"/>
      <c r="X332" s="126"/>
      <c r="Y332" s="126"/>
      <c r="Z332" s="126"/>
      <c r="AA332" s="126"/>
      <c r="AB332" s="126"/>
    </row>
    <row r="333" spans="1:28" ht="15.75" customHeight="1">
      <c r="A333" s="126"/>
      <c r="B333" s="126"/>
      <c r="C333" s="176"/>
      <c r="D333" s="176"/>
      <c r="E333" s="176"/>
      <c r="F333" s="176"/>
      <c r="G333" s="176"/>
      <c r="H333" s="176"/>
      <c r="I333" s="126"/>
      <c r="J333" s="126"/>
      <c r="K333" s="126"/>
      <c r="L333" s="126"/>
      <c r="M333" s="126"/>
      <c r="N333" s="126"/>
      <c r="O333" s="126"/>
      <c r="P333" s="126"/>
      <c r="Q333" s="126"/>
      <c r="R333" s="126"/>
      <c r="S333" s="126"/>
      <c r="T333" s="126"/>
      <c r="U333" s="126"/>
      <c r="V333" s="126"/>
      <c r="W333" s="126"/>
      <c r="X333" s="126"/>
      <c r="Y333" s="126"/>
      <c r="Z333" s="126"/>
      <c r="AA333" s="126"/>
      <c r="AB333" s="126"/>
    </row>
    <row r="334" spans="1:28" ht="15.75" customHeight="1">
      <c r="A334" s="126"/>
      <c r="B334" s="126"/>
      <c r="C334" s="176"/>
      <c r="D334" s="176"/>
      <c r="E334" s="176"/>
      <c r="F334" s="176"/>
      <c r="G334" s="176"/>
      <c r="H334" s="176"/>
      <c r="I334" s="126"/>
      <c r="J334" s="126"/>
      <c r="K334" s="126"/>
      <c r="L334" s="126"/>
      <c r="M334" s="126"/>
      <c r="N334" s="126"/>
      <c r="O334" s="126"/>
      <c r="P334" s="126"/>
      <c r="Q334" s="126"/>
      <c r="R334" s="126"/>
      <c r="S334" s="126"/>
      <c r="T334" s="126"/>
      <c r="U334" s="126"/>
      <c r="V334" s="126"/>
      <c r="W334" s="126"/>
      <c r="X334" s="126"/>
      <c r="Y334" s="126"/>
      <c r="Z334" s="126"/>
      <c r="AA334" s="126"/>
      <c r="AB334" s="126"/>
    </row>
    <row r="335" spans="1:28" ht="15.75" customHeight="1">
      <c r="A335" s="126"/>
      <c r="B335" s="126"/>
      <c r="C335" s="176"/>
      <c r="D335" s="176"/>
      <c r="E335" s="176"/>
      <c r="F335" s="176"/>
      <c r="G335" s="176"/>
      <c r="H335" s="176"/>
      <c r="I335" s="126"/>
      <c r="J335" s="126"/>
      <c r="K335" s="126"/>
      <c r="L335" s="126"/>
      <c r="M335" s="126"/>
      <c r="N335" s="126"/>
      <c r="O335" s="126"/>
      <c r="P335" s="126"/>
      <c r="Q335" s="126"/>
      <c r="R335" s="126"/>
      <c r="S335" s="126"/>
      <c r="T335" s="126"/>
      <c r="U335" s="126"/>
      <c r="V335" s="126"/>
      <c r="W335" s="126"/>
      <c r="X335" s="126"/>
      <c r="Y335" s="126"/>
      <c r="Z335" s="126"/>
      <c r="AA335" s="126"/>
      <c r="AB335" s="126"/>
    </row>
    <row r="336" spans="1:28" ht="15.75" customHeight="1">
      <c r="A336" s="126"/>
      <c r="B336" s="126"/>
      <c r="C336" s="176"/>
      <c r="D336" s="176"/>
      <c r="E336" s="176"/>
      <c r="F336" s="176"/>
      <c r="G336" s="176"/>
      <c r="H336" s="176"/>
      <c r="I336" s="126"/>
      <c r="J336" s="126"/>
      <c r="K336" s="126"/>
      <c r="L336" s="126"/>
      <c r="M336" s="126"/>
      <c r="N336" s="126"/>
      <c r="O336" s="126"/>
      <c r="P336" s="126"/>
      <c r="Q336" s="126"/>
      <c r="R336" s="126"/>
      <c r="S336" s="126"/>
      <c r="T336" s="126"/>
      <c r="U336" s="126"/>
      <c r="V336" s="126"/>
      <c r="W336" s="126"/>
      <c r="X336" s="126"/>
      <c r="Y336" s="126"/>
      <c r="Z336" s="126"/>
      <c r="AA336" s="126"/>
      <c r="AB336" s="126"/>
    </row>
    <row r="337" spans="1:28" ht="15.75" customHeight="1">
      <c r="A337" s="126"/>
      <c r="B337" s="126"/>
      <c r="C337" s="176"/>
      <c r="D337" s="176"/>
      <c r="E337" s="176"/>
      <c r="F337" s="176"/>
      <c r="G337" s="176"/>
      <c r="H337" s="176"/>
      <c r="I337" s="126"/>
      <c r="J337" s="126"/>
      <c r="K337" s="126"/>
      <c r="L337" s="126"/>
      <c r="M337" s="126"/>
      <c r="N337" s="126"/>
      <c r="O337" s="126"/>
      <c r="P337" s="126"/>
      <c r="Q337" s="126"/>
      <c r="R337" s="126"/>
      <c r="S337" s="126"/>
      <c r="T337" s="126"/>
      <c r="U337" s="126"/>
      <c r="V337" s="126"/>
      <c r="W337" s="126"/>
      <c r="X337" s="126"/>
      <c r="Y337" s="126"/>
      <c r="Z337" s="126"/>
      <c r="AA337" s="126"/>
      <c r="AB337" s="126"/>
    </row>
    <row r="338" spans="1:28" ht="15.75" customHeight="1">
      <c r="A338" s="126"/>
      <c r="B338" s="126"/>
      <c r="C338" s="176"/>
      <c r="D338" s="176"/>
      <c r="E338" s="176"/>
      <c r="F338" s="176"/>
      <c r="G338" s="176"/>
      <c r="H338" s="176"/>
      <c r="I338" s="126"/>
      <c r="J338" s="126"/>
      <c r="K338" s="126"/>
      <c r="L338" s="126"/>
      <c r="M338" s="126"/>
      <c r="N338" s="126"/>
      <c r="O338" s="126"/>
      <c r="P338" s="126"/>
      <c r="Q338" s="126"/>
      <c r="R338" s="126"/>
      <c r="S338" s="126"/>
      <c r="T338" s="126"/>
      <c r="U338" s="126"/>
      <c r="V338" s="126"/>
      <c r="W338" s="126"/>
      <c r="X338" s="126"/>
      <c r="Y338" s="126"/>
      <c r="Z338" s="126"/>
      <c r="AA338" s="126"/>
      <c r="AB338" s="126"/>
    </row>
    <row r="339" spans="1:28" ht="15.75" customHeight="1">
      <c r="A339" s="126"/>
      <c r="B339" s="126"/>
      <c r="C339" s="176"/>
      <c r="D339" s="176"/>
      <c r="E339" s="176"/>
      <c r="F339" s="176"/>
      <c r="G339" s="176"/>
      <c r="H339" s="176"/>
      <c r="I339" s="126"/>
      <c r="J339" s="126"/>
      <c r="K339" s="126"/>
      <c r="L339" s="126"/>
      <c r="M339" s="126"/>
      <c r="N339" s="126"/>
      <c r="O339" s="126"/>
      <c r="P339" s="126"/>
      <c r="Q339" s="126"/>
      <c r="R339" s="126"/>
      <c r="S339" s="126"/>
      <c r="T339" s="126"/>
      <c r="U339" s="126"/>
      <c r="V339" s="126"/>
      <c r="W339" s="126"/>
      <c r="X339" s="126"/>
      <c r="Y339" s="126"/>
      <c r="Z339" s="126"/>
      <c r="AA339" s="126"/>
      <c r="AB339" s="126"/>
    </row>
    <row r="340" spans="1:28" ht="15.75" customHeight="1">
      <c r="A340" s="126"/>
      <c r="B340" s="126"/>
      <c r="C340" s="176"/>
      <c r="D340" s="176"/>
      <c r="E340" s="176"/>
      <c r="F340" s="176"/>
      <c r="G340" s="176"/>
      <c r="H340" s="176"/>
      <c r="I340" s="126"/>
      <c r="J340" s="126"/>
      <c r="K340" s="126"/>
      <c r="L340" s="126"/>
      <c r="M340" s="126"/>
      <c r="N340" s="126"/>
      <c r="O340" s="126"/>
      <c r="P340" s="126"/>
      <c r="Q340" s="126"/>
      <c r="R340" s="126"/>
      <c r="S340" s="126"/>
      <c r="T340" s="126"/>
      <c r="U340" s="126"/>
      <c r="V340" s="126"/>
      <c r="W340" s="126"/>
      <c r="X340" s="126"/>
      <c r="Y340" s="126"/>
      <c r="Z340" s="126"/>
      <c r="AA340" s="126"/>
      <c r="AB340" s="126"/>
    </row>
    <row r="341" spans="1:28" ht="15.75" customHeight="1">
      <c r="A341" s="126"/>
      <c r="B341" s="126"/>
      <c r="C341" s="176"/>
      <c r="D341" s="176"/>
      <c r="E341" s="176"/>
      <c r="F341" s="176"/>
      <c r="G341" s="176"/>
      <c r="H341" s="176"/>
      <c r="I341" s="126"/>
      <c r="J341" s="126"/>
      <c r="K341" s="126"/>
      <c r="L341" s="126"/>
      <c r="M341" s="126"/>
      <c r="N341" s="126"/>
      <c r="O341" s="126"/>
      <c r="P341" s="126"/>
      <c r="Q341" s="126"/>
      <c r="R341" s="126"/>
      <c r="S341" s="126"/>
      <c r="T341" s="126"/>
      <c r="U341" s="126"/>
      <c r="V341" s="126"/>
      <c r="W341" s="126"/>
      <c r="X341" s="126"/>
      <c r="Y341" s="126"/>
      <c r="Z341" s="126"/>
      <c r="AA341" s="126"/>
      <c r="AB341" s="126"/>
    </row>
    <row r="342" spans="1:28" ht="15.75" customHeight="1">
      <c r="A342" s="126"/>
      <c r="B342" s="126"/>
      <c r="C342" s="176"/>
      <c r="D342" s="176"/>
      <c r="E342" s="176"/>
      <c r="F342" s="176"/>
      <c r="G342" s="176"/>
      <c r="H342" s="176"/>
      <c r="I342" s="126"/>
      <c r="J342" s="126"/>
      <c r="K342" s="126"/>
      <c r="L342" s="126"/>
      <c r="M342" s="126"/>
      <c r="N342" s="126"/>
      <c r="O342" s="126"/>
      <c r="P342" s="126"/>
      <c r="Q342" s="126"/>
      <c r="R342" s="126"/>
      <c r="S342" s="126"/>
      <c r="T342" s="126"/>
      <c r="U342" s="126"/>
      <c r="V342" s="126"/>
      <c r="W342" s="126"/>
      <c r="X342" s="126"/>
      <c r="Y342" s="126"/>
      <c r="Z342" s="126"/>
      <c r="AA342" s="126"/>
      <c r="AB342" s="126"/>
    </row>
    <row r="343" spans="1:28" ht="15.75" customHeight="1">
      <c r="A343" s="126"/>
      <c r="B343" s="126"/>
      <c r="C343" s="176"/>
      <c r="D343" s="176"/>
      <c r="E343" s="176"/>
      <c r="F343" s="176"/>
      <c r="G343" s="176"/>
      <c r="H343" s="176"/>
      <c r="I343" s="126"/>
      <c r="J343" s="126"/>
      <c r="K343" s="126"/>
      <c r="L343" s="126"/>
      <c r="M343" s="126"/>
      <c r="N343" s="126"/>
      <c r="O343" s="126"/>
      <c r="P343" s="126"/>
      <c r="Q343" s="126"/>
      <c r="R343" s="126"/>
      <c r="S343" s="126"/>
      <c r="T343" s="126"/>
      <c r="U343" s="126"/>
      <c r="V343" s="126"/>
      <c r="W343" s="126"/>
      <c r="X343" s="126"/>
      <c r="Y343" s="126"/>
      <c r="Z343" s="126"/>
      <c r="AA343" s="126"/>
      <c r="AB343" s="126"/>
    </row>
    <row r="344" spans="1:28" ht="15.75" customHeight="1">
      <c r="A344" s="126"/>
      <c r="B344" s="126"/>
      <c r="C344" s="176"/>
      <c r="D344" s="176"/>
      <c r="E344" s="176"/>
      <c r="F344" s="176"/>
      <c r="G344" s="176"/>
      <c r="H344" s="176"/>
      <c r="I344" s="126"/>
      <c r="J344" s="126"/>
      <c r="K344" s="126"/>
      <c r="L344" s="126"/>
      <c r="M344" s="126"/>
      <c r="N344" s="126"/>
      <c r="O344" s="126"/>
      <c r="P344" s="126"/>
      <c r="Q344" s="126"/>
      <c r="R344" s="126"/>
      <c r="S344" s="126"/>
      <c r="T344" s="126"/>
      <c r="U344" s="126"/>
      <c r="V344" s="126"/>
      <c r="W344" s="126"/>
      <c r="X344" s="126"/>
      <c r="Y344" s="126"/>
      <c r="Z344" s="126"/>
      <c r="AA344" s="126"/>
      <c r="AB344" s="126"/>
    </row>
    <row r="345" spans="1:28" ht="15.75" customHeight="1">
      <c r="A345" s="126"/>
      <c r="B345" s="126"/>
      <c r="C345" s="176"/>
      <c r="D345" s="176"/>
      <c r="E345" s="176"/>
      <c r="F345" s="176"/>
      <c r="G345" s="176"/>
      <c r="H345" s="176"/>
      <c r="I345" s="126"/>
      <c r="J345" s="126"/>
      <c r="K345" s="126"/>
      <c r="L345" s="126"/>
      <c r="M345" s="126"/>
      <c r="N345" s="126"/>
      <c r="O345" s="126"/>
      <c r="P345" s="126"/>
      <c r="Q345" s="126"/>
      <c r="R345" s="126"/>
      <c r="S345" s="126"/>
      <c r="T345" s="126"/>
      <c r="U345" s="126"/>
      <c r="V345" s="126"/>
      <c r="W345" s="126"/>
      <c r="X345" s="126"/>
      <c r="Y345" s="126"/>
      <c r="Z345" s="126"/>
      <c r="AA345" s="126"/>
      <c r="AB345" s="126"/>
    </row>
    <row r="346" spans="1:28" ht="15.75" customHeight="1">
      <c r="A346" s="126"/>
      <c r="B346" s="126"/>
      <c r="C346" s="176"/>
      <c r="D346" s="176"/>
      <c r="E346" s="176"/>
      <c r="F346" s="176"/>
      <c r="G346" s="176"/>
      <c r="H346" s="176"/>
      <c r="I346" s="126"/>
      <c r="J346" s="126"/>
      <c r="K346" s="126"/>
      <c r="L346" s="126"/>
      <c r="M346" s="126"/>
      <c r="N346" s="126"/>
      <c r="O346" s="126"/>
      <c r="P346" s="126"/>
      <c r="Q346" s="126"/>
      <c r="R346" s="126"/>
      <c r="S346" s="126"/>
      <c r="T346" s="126"/>
      <c r="U346" s="126"/>
      <c r="V346" s="126"/>
      <c r="W346" s="126"/>
      <c r="X346" s="126"/>
      <c r="Y346" s="126"/>
      <c r="Z346" s="126"/>
      <c r="AA346" s="126"/>
      <c r="AB346" s="126"/>
    </row>
    <row r="347" spans="1:28" ht="15.75" customHeight="1">
      <c r="A347" s="126"/>
      <c r="B347" s="126"/>
      <c r="C347" s="176"/>
      <c r="D347" s="176"/>
      <c r="E347" s="176"/>
      <c r="F347" s="176"/>
      <c r="G347" s="176"/>
      <c r="H347" s="176"/>
      <c r="I347" s="126"/>
      <c r="J347" s="126"/>
      <c r="K347" s="126"/>
      <c r="L347" s="126"/>
      <c r="M347" s="126"/>
      <c r="N347" s="126"/>
      <c r="O347" s="126"/>
      <c r="P347" s="126"/>
      <c r="Q347" s="126"/>
      <c r="R347" s="126"/>
      <c r="S347" s="126"/>
      <c r="T347" s="126"/>
      <c r="U347" s="126"/>
      <c r="V347" s="126"/>
      <c r="W347" s="126"/>
      <c r="X347" s="126"/>
      <c r="Y347" s="126"/>
      <c r="Z347" s="126"/>
      <c r="AA347" s="126"/>
      <c r="AB347" s="126"/>
    </row>
    <row r="348" spans="1:28" ht="15.75" customHeight="1">
      <c r="A348" s="126"/>
      <c r="B348" s="126"/>
      <c r="C348" s="176"/>
      <c r="D348" s="176"/>
      <c r="E348" s="176"/>
      <c r="F348" s="176"/>
      <c r="G348" s="176"/>
      <c r="H348" s="176"/>
      <c r="I348" s="126"/>
      <c r="J348" s="126"/>
      <c r="K348" s="126"/>
      <c r="L348" s="126"/>
      <c r="M348" s="126"/>
      <c r="N348" s="126"/>
      <c r="O348" s="126"/>
      <c r="P348" s="126"/>
      <c r="Q348" s="126"/>
      <c r="R348" s="126"/>
      <c r="S348" s="126"/>
      <c r="T348" s="126"/>
      <c r="U348" s="126"/>
      <c r="V348" s="126"/>
      <c r="W348" s="126"/>
      <c r="X348" s="126"/>
      <c r="Y348" s="126"/>
      <c r="Z348" s="126"/>
      <c r="AA348" s="126"/>
      <c r="AB348" s="126"/>
    </row>
    <row r="349" spans="1:28" ht="15.75" customHeight="1">
      <c r="A349" s="126"/>
      <c r="B349" s="126"/>
      <c r="C349" s="176"/>
      <c r="D349" s="176"/>
      <c r="E349" s="176"/>
      <c r="F349" s="176"/>
      <c r="G349" s="176"/>
      <c r="H349" s="176"/>
      <c r="I349" s="126"/>
      <c r="J349" s="126"/>
      <c r="K349" s="126"/>
      <c r="L349" s="126"/>
      <c r="M349" s="126"/>
      <c r="N349" s="126"/>
      <c r="O349" s="126"/>
      <c r="P349" s="126"/>
      <c r="Q349" s="126"/>
      <c r="R349" s="126"/>
      <c r="S349" s="126"/>
      <c r="T349" s="126"/>
      <c r="U349" s="126"/>
      <c r="V349" s="126"/>
      <c r="W349" s="126"/>
      <c r="X349" s="126"/>
      <c r="Y349" s="126"/>
      <c r="Z349" s="126"/>
      <c r="AA349" s="126"/>
      <c r="AB349" s="126"/>
    </row>
    <row r="350" spans="1:28" ht="15.75" customHeight="1">
      <c r="A350" s="126"/>
      <c r="B350" s="126"/>
      <c r="C350" s="176"/>
      <c r="D350" s="176"/>
      <c r="E350" s="176"/>
      <c r="F350" s="176"/>
      <c r="G350" s="176"/>
      <c r="H350" s="176"/>
      <c r="I350" s="126"/>
      <c r="J350" s="126"/>
      <c r="K350" s="126"/>
      <c r="L350" s="126"/>
      <c r="M350" s="126"/>
      <c r="N350" s="126"/>
      <c r="O350" s="126"/>
      <c r="P350" s="126"/>
      <c r="Q350" s="126"/>
      <c r="R350" s="126"/>
      <c r="S350" s="126"/>
      <c r="T350" s="126"/>
      <c r="U350" s="126"/>
      <c r="V350" s="126"/>
      <c r="W350" s="126"/>
      <c r="X350" s="126"/>
      <c r="Y350" s="126"/>
      <c r="Z350" s="126"/>
      <c r="AA350" s="126"/>
      <c r="AB350" s="126"/>
    </row>
    <row r="351" spans="1:28" ht="15.75" customHeight="1">
      <c r="A351" s="126"/>
      <c r="B351" s="126"/>
      <c r="C351" s="176"/>
      <c r="D351" s="176"/>
      <c r="E351" s="176"/>
      <c r="F351" s="176"/>
      <c r="G351" s="176"/>
      <c r="H351" s="176"/>
      <c r="I351" s="126"/>
      <c r="J351" s="126"/>
      <c r="K351" s="126"/>
      <c r="L351" s="126"/>
      <c r="M351" s="126"/>
      <c r="N351" s="126"/>
      <c r="O351" s="126"/>
      <c r="P351" s="126"/>
      <c r="Q351" s="126"/>
      <c r="R351" s="126"/>
      <c r="S351" s="126"/>
      <c r="T351" s="126"/>
      <c r="U351" s="126"/>
      <c r="V351" s="126"/>
      <c r="W351" s="126"/>
      <c r="X351" s="126"/>
      <c r="Y351" s="126"/>
      <c r="Z351" s="126"/>
      <c r="AA351" s="126"/>
      <c r="AB351" s="126"/>
    </row>
    <row r="352" spans="1:28" ht="15.75" customHeight="1">
      <c r="A352" s="126"/>
      <c r="B352" s="126"/>
      <c r="C352" s="176"/>
      <c r="D352" s="176"/>
      <c r="E352" s="176"/>
      <c r="F352" s="176"/>
      <c r="G352" s="176"/>
      <c r="H352" s="176"/>
      <c r="I352" s="126"/>
      <c r="J352" s="126"/>
      <c r="K352" s="126"/>
      <c r="L352" s="126"/>
      <c r="M352" s="126"/>
      <c r="N352" s="126"/>
      <c r="O352" s="126"/>
      <c r="P352" s="126"/>
      <c r="Q352" s="126"/>
      <c r="R352" s="126"/>
      <c r="S352" s="126"/>
      <c r="T352" s="126"/>
      <c r="U352" s="126"/>
      <c r="V352" s="126"/>
      <c r="W352" s="126"/>
      <c r="X352" s="126"/>
      <c r="Y352" s="126"/>
      <c r="Z352" s="126"/>
      <c r="AA352" s="126"/>
      <c r="AB352" s="126"/>
    </row>
    <row r="353" spans="1:28" ht="15.75" customHeight="1">
      <c r="A353" s="126"/>
      <c r="B353" s="126"/>
      <c r="C353" s="176"/>
      <c r="D353" s="176"/>
      <c r="E353" s="176"/>
      <c r="F353" s="176"/>
      <c r="G353" s="176"/>
      <c r="H353" s="176"/>
      <c r="I353" s="126"/>
      <c r="J353" s="126"/>
      <c r="K353" s="126"/>
      <c r="L353" s="126"/>
      <c r="M353" s="126"/>
      <c r="N353" s="126"/>
      <c r="O353" s="126"/>
      <c r="P353" s="126"/>
      <c r="Q353" s="126"/>
      <c r="R353" s="126"/>
      <c r="S353" s="126"/>
      <c r="T353" s="126"/>
      <c r="U353" s="126"/>
      <c r="V353" s="126"/>
      <c r="W353" s="126"/>
      <c r="X353" s="126"/>
      <c r="Y353" s="126"/>
      <c r="Z353" s="126"/>
      <c r="AA353" s="126"/>
      <c r="AB353" s="126"/>
    </row>
    <row r="354" spans="1:28" ht="15.75" customHeight="1">
      <c r="A354" s="126"/>
      <c r="B354" s="126"/>
      <c r="C354" s="176"/>
      <c r="D354" s="176"/>
      <c r="E354" s="176"/>
      <c r="F354" s="176"/>
      <c r="G354" s="176"/>
      <c r="H354" s="176"/>
      <c r="I354" s="126"/>
      <c r="J354" s="126"/>
      <c r="K354" s="126"/>
      <c r="L354" s="126"/>
      <c r="M354" s="126"/>
      <c r="N354" s="126"/>
      <c r="O354" s="126"/>
      <c r="P354" s="126"/>
      <c r="Q354" s="126"/>
      <c r="R354" s="126"/>
      <c r="S354" s="126"/>
      <c r="T354" s="126"/>
      <c r="U354" s="126"/>
      <c r="V354" s="126"/>
      <c r="W354" s="126"/>
      <c r="X354" s="126"/>
      <c r="Y354" s="126"/>
      <c r="Z354" s="126"/>
      <c r="AA354" s="126"/>
      <c r="AB354" s="126"/>
    </row>
    <row r="355" spans="1:28" ht="15.75" customHeight="1">
      <c r="A355" s="126"/>
      <c r="B355" s="126"/>
      <c r="C355" s="176"/>
      <c r="D355" s="176"/>
      <c r="E355" s="176"/>
      <c r="F355" s="176"/>
      <c r="G355" s="176"/>
      <c r="H355" s="176"/>
      <c r="I355" s="126"/>
      <c r="J355" s="126"/>
      <c r="K355" s="126"/>
      <c r="L355" s="126"/>
      <c r="M355" s="126"/>
      <c r="N355" s="126"/>
      <c r="O355" s="126"/>
      <c r="P355" s="126"/>
      <c r="Q355" s="126"/>
      <c r="R355" s="126"/>
      <c r="S355" s="126"/>
      <c r="T355" s="126"/>
      <c r="U355" s="126"/>
      <c r="V355" s="126"/>
      <c r="W355" s="126"/>
      <c r="X355" s="126"/>
      <c r="Y355" s="126"/>
      <c r="Z355" s="126"/>
      <c r="AA355" s="126"/>
      <c r="AB355" s="126"/>
    </row>
    <row r="356" spans="1:28" ht="15.75" customHeight="1">
      <c r="A356" s="126"/>
      <c r="B356" s="126"/>
      <c r="C356" s="176"/>
      <c r="D356" s="176"/>
      <c r="E356" s="176"/>
      <c r="F356" s="176"/>
      <c r="G356" s="176"/>
      <c r="H356" s="176"/>
      <c r="I356" s="126"/>
      <c r="J356" s="126"/>
      <c r="K356" s="126"/>
      <c r="L356" s="126"/>
      <c r="M356" s="126"/>
      <c r="N356" s="126"/>
      <c r="O356" s="126"/>
      <c r="P356" s="126"/>
      <c r="Q356" s="126"/>
      <c r="R356" s="126"/>
      <c r="S356" s="126"/>
      <c r="T356" s="126"/>
      <c r="U356" s="126"/>
      <c r="V356" s="126"/>
      <c r="W356" s="126"/>
      <c r="X356" s="126"/>
      <c r="Y356" s="126"/>
      <c r="Z356" s="126"/>
      <c r="AA356" s="126"/>
      <c r="AB356" s="126"/>
    </row>
    <row r="357" spans="1:28" ht="15.75" customHeight="1">
      <c r="A357" s="126"/>
      <c r="B357" s="126"/>
      <c r="C357" s="176"/>
      <c r="D357" s="176"/>
      <c r="E357" s="176"/>
      <c r="F357" s="176"/>
      <c r="G357" s="176"/>
      <c r="H357" s="176"/>
      <c r="I357" s="126"/>
      <c r="J357" s="126"/>
      <c r="K357" s="126"/>
      <c r="L357" s="126"/>
      <c r="M357" s="126"/>
      <c r="N357" s="126"/>
      <c r="O357" s="126"/>
      <c r="P357" s="126"/>
      <c r="Q357" s="126"/>
      <c r="R357" s="126"/>
      <c r="S357" s="126"/>
      <c r="T357" s="126"/>
      <c r="U357" s="126"/>
      <c r="V357" s="126"/>
      <c r="W357" s="126"/>
      <c r="X357" s="126"/>
      <c r="Y357" s="126"/>
      <c r="Z357" s="126"/>
      <c r="AA357" s="126"/>
      <c r="AB357" s="126"/>
    </row>
    <row r="358" spans="1:28" ht="15.75" customHeight="1">
      <c r="A358" s="126"/>
      <c r="B358" s="126"/>
      <c r="C358" s="176"/>
      <c r="D358" s="176"/>
      <c r="E358" s="176"/>
      <c r="F358" s="176"/>
      <c r="G358" s="176"/>
      <c r="H358" s="176"/>
      <c r="I358" s="126"/>
      <c r="J358" s="126"/>
      <c r="K358" s="126"/>
      <c r="L358" s="126"/>
      <c r="M358" s="126"/>
      <c r="N358" s="126"/>
      <c r="O358" s="126"/>
      <c r="P358" s="126"/>
      <c r="Q358" s="126"/>
      <c r="R358" s="126"/>
      <c r="S358" s="126"/>
      <c r="T358" s="126"/>
      <c r="U358" s="126"/>
      <c r="V358" s="126"/>
      <c r="W358" s="126"/>
      <c r="X358" s="126"/>
      <c r="Y358" s="126"/>
      <c r="Z358" s="126"/>
      <c r="AA358" s="126"/>
      <c r="AB358" s="126"/>
    </row>
    <row r="359" spans="1:28" ht="15.75" customHeight="1">
      <c r="A359" s="126"/>
      <c r="B359" s="126"/>
      <c r="C359" s="176"/>
      <c r="D359" s="176"/>
      <c r="E359" s="176"/>
      <c r="F359" s="176"/>
      <c r="G359" s="176"/>
      <c r="H359" s="176"/>
      <c r="I359" s="126"/>
      <c r="J359" s="126"/>
      <c r="K359" s="126"/>
      <c r="L359" s="126"/>
      <c r="M359" s="126"/>
      <c r="N359" s="126"/>
      <c r="O359" s="126"/>
      <c r="P359" s="126"/>
      <c r="Q359" s="126"/>
      <c r="R359" s="126"/>
      <c r="S359" s="126"/>
      <c r="T359" s="126"/>
      <c r="U359" s="126"/>
      <c r="V359" s="126"/>
      <c r="W359" s="126"/>
      <c r="X359" s="126"/>
      <c r="Y359" s="126"/>
      <c r="Z359" s="126"/>
      <c r="AA359" s="126"/>
      <c r="AB359" s="126"/>
    </row>
    <row r="360" spans="1:28" ht="15.75" customHeight="1">
      <c r="A360" s="126"/>
      <c r="B360" s="126"/>
      <c r="C360" s="176"/>
      <c r="D360" s="176"/>
      <c r="E360" s="176"/>
      <c r="F360" s="176"/>
      <c r="G360" s="176"/>
      <c r="H360" s="176"/>
      <c r="I360" s="126"/>
      <c r="J360" s="126"/>
      <c r="K360" s="126"/>
      <c r="L360" s="126"/>
      <c r="M360" s="126"/>
      <c r="N360" s="126"/>
      <c r="O360" s="126"/>
      <c r="P360" s="126"/>
      <c r="Q360" s="126"/>
      <c r="R360" s="126"/>
      <c r="S360" s="126"/>
      <c r="T360" s="126"/>
      <c r="U360" s="126"/>
      <c r="V360" s="126"/>
      <c r="W360" s="126"/>
      <c r="X360" s="126"/>
      <c r="Y360" s="126"/>
      <c r="Z360" s="126"/>
      <c r="AA360" s="126"/>
      <c r="AB360" s="126"/>
    </row>
    <row r="361" spans="1:28" ht="15.75" customHeight="1">
      <c r="A361" s="126"/>
      <c r="B361" s="126"/>
      <c r="C361" s="176"/>
      <c r="D361" s="176"/>
      <c r="E361" s="176"/>
      <c r="F361" s="176"/>
      <c r="G361" s="176"/>
      <c r="H361" s="176"/>
      <c r="I361" s="126"/>
      <c r="J361" s="126"/>
      <c r="K361" s="126"/>
      <c r="L361" s="126"/>
      <c r="M361" s="126"/>
      <c r="N361" s="126"/>
      <c r="O361" s="126"/>
      <c r="P361" s="126"/>
      <c r="Q361" s="126"/>
      <c r="R361" s="126"/>
      <c r="S361" s="126"/>
      <c r="T361" s="126"/>
      <c r="U361" s="126"/>
      <c r="V361" s="126"/>
      <c r="W361" s="126"/>
      <c r="X361" s="126"/>
      <c r="Y361" s="126"/>
      <c r="Z361" s="126"/>
      <c r="AA361" s="126"/>
      <c r="AB361" s="126"/>
    </row>
    <row r="362" spans="1:28" ht="15.75" customHeight="1">
      <c r="A362" s="126"/>
      <c r="B362" s="126"/>
      <c r="C362" s="176"/>
      <c r="D362" s="176"/>
      <c r="E362" s="176"/>
      <c r="F362" s="176"/>
      <c r="G362" s="176"/>
      <c r="H362" s="176"/>
      <c r="I362" s="126"/>
      <c r="J362" s="126"/>
      <c r="K362" s="126"/>
      <c r="L362" s="126"/>
      <c r="M362" s="126"/>
      <c r="N362" s="126"/>
      <c r="O362" s="126"/>
      <c r="P362" s="126"/>
      <c r="Q362" s="126"/>
      <c r="R362" s="126"/>
      <c r="S362" s="126"/>
      <c r="T362" s="126"/>
      <c r="U362" s="126"/>
      <c r="V362" s="126"/>
      <c r="W362" s="126"/>
      <c r="X362" s="126"/>
      <c r="Y362" s="126"/>
      <c r="Z362" s="126"/>
      <c r="AA362" s="126"/>
      <c r="AB362" s="126"/>
    </row>
    <row r="363" spans="1:28" ht="15.75" customHeight="1">
      <c r="A363" s="126"/>
      <c r="B363" s="126"/>
      <c r="C363" s="176"/>
      <c r="D363" s="176"/>
      <c r="E363" s="176"/>
      <c r="F363" s="176"/>
      <c r="G363" s="176"/>
      <c r="H363" s="176"/>
      <c r="I363" s="126"/>
      <c r="J363" s="126"/>
      <c r="K363" s="126"/>
      <c r="L363" s="126"/>
      <c r="M363" s="126"/>
      <c r="N363" s="126"/>
      <c r="O363" s="126"/>
      <c r="P363" s="126"/>
      <c r="Q363" s="126"/>
      <c r="R363" s="126"/>
      <c r="S363" s="126"/>
      <c r="T363" s="126"/>
      <c r="U363" s="126"/>
      <c r="V363" s="126"/>
      <c r="W363" s="126"/>
      <c r="X363" s="126"/>
      <c r="Y363" s="126"/>
      <c r="Z363" s="126"/>
      <c r="AA363" s="126"/>
      <c r="AB363" s="126"/>
    </row>
    <row r="364" spans="1:28" ht="15.75" customHeight="1">
      <c r="A364" s="126"/>
      <c r="B364" s="126"/>
      <c r="C364" s="176"/>
      <c r="D364" s="176"/>
      <c r="E364" s="176"/>
      <c r="F364" s="176"/>
      <c r="G364" s="176"/>
      <c r="H364" s="176"/>
      <c r="I364" s="126"/>
      <c r="J364" s="126"/>
      <c r="K364" s="126"/>
      <c r="L364" s="126"/>
      <c r="M364" s="126"/>
      <c r="N364" s="126"/>
      <c r="O364" s="126"/>
      <c r="P364" s="126"/>
      <c r="Q364" s="126"/>
      <c r="R364" s="126"/>
      <c r="S364" s="126"/>
      <c r="T364" s="126"/>
      <c r="U364" s="126"/>
      <c r="V364" s="126"/>
      <c r="W364" s="126"/>
      <c r="X364" s="126"/>
      <c r="Y364" s="126"/>
      <c r="Z364" s="126"/>
      <c r="AA364" s="126"/>
      <c r="AB364" s="126"/>
    </row>
    <row r="365" spans="1:28" ht="15.75" customHeight="1">
      <c r="A365" s="126"/>
      <c r="B365" s="126"/>
      <c r="C365" s="176"/>
      <c r="D365" s="176"/>
      <c r="E365" s="176"/>
      <c r="F365" s="176"/>
      <c r="G365" s="176"/>
      <c r="H365" s="176"/>
      <c r="I365" s="126"/>
      <c r="J365" s="126"/>
      <c r="K365" s="126"/>
      <c r="L365" s="126"/>
      <c r="M365" s="126"/>
      <c r="N365" s="126"/>
      <c r="O365" s="126"/>
      <c r="P365" s="126"/>
      <c r="Q365" s="126"/>
      <c r="R365" s="126"/>
      <c r="S365" s="126"/>
      <c r="T365" s="126"/>
      <c r="U365" s="126"/>
      <c r="V365" s="126"/>
      <c r="W365" s="126"/>
      <c r="X365" s="126"/>
      <c r="Y365" s="126"/>
      <c r="Z365" s="126"/>
      <c r="AA365" s="126"/>
      <c r="AB365" s="126"/>
    </row>
    <row r="366" spans="1:28" ht="15.75" customHeight="1">
      <c r="A366" s="126"/>
      <c r="B366" s="126"/>
      <c r="C366" s="176"/>
      <c r="D366" s="176"/>
      <c r="E366" s="176"/>
      <c r="F366" s="176"/>
      <c r="G366" s="176"/>
      <c r="H366" s="176"/>
      <c r="I366" s="126"/>
      <c r="J366" s="126"/>
      <c r="K366" s="126"/>
      <c r="L366" s="126"/>
      <c r="M366" s="126"/>
      <c r="N366" s="126"/>
      <c r="O366" s="126"/>
      <c r="P366" s="126"/>
      <c r="Q366" s="126"/>
      <c r="R366" s="126"/>
      <c r="S366" s="126"/>
      <c r="T366" s="126"/>
      <c r="U366" s="126"/>
      <c r="V366" s="126"/>
      <c r="W366" s="126"/>
      <c r="X366" s="126"/>
      <c r="Y366" s="126"/>
      <c r="Z366" s="126"/>
      <c r="AA366" s="126"/>
      <c r="AB366" s="126"/>
    </row>
    <row r="367" spans="1:28" ht="15.75" customHeight="1">
      <c r="A367" s="126"/>
      <c r="B367" s="126"/>
      <c r="C367" s="176"/>
      <c r="D367" s="176"/>
      <c r="E367" s="176"/>
      <c r="F367" s="176"/>
      <c r="G367" s="176"/>
      <c r="H367" s="176"/>
      <c r="I367" s="126"/>
      <c r="J367" s="126"/>
      <c r="K367" s="126"/>
      <c r="L367" s="126"/>
      <c r="M367" s="126"/>
      <c r="N367" s="126"/>
      <c r="O367" s="126"/>
      <c r="P367" s="126"/>
      <c r="Q367" s="126"/>
      <c r="R367" s="126"/>
      <c r="S367" s="126"/>
      <c r="T367" s="126"/>
      <c r="U367" s="126"/>
      <c r="V367" s="126"/>
      <c r="W367" s="126"/>
      <c r="X367" s="126"/>
      <c r="Y367" s="126"/>
      <c r="Z367" s="126"/>
      <c r="AA367" s="126"/>
      <c r="AB367" s="126"/>
    </row>
    <row r="368" spans="1:28" ht="15.75" customHeight="1">
      <c r="A368" s="126"/>
      <c r="B368" s="126"/>
      <c r="C368" s="176"/>
      <c r="D368" s="176"/>
      <c r="E368" s="176"/>
      <c r="F368" s="176"/>
      <c r="G368" s="176"/>
      <c r="H368" s="176"/>
      <c r="I368" s="126"/>
      <c r="J368" s="126"/>
      <c r="K368" s="126"/>
      <c r="L368" s="126"/>
      <c r="M368" s="126"/>
      <c r="N368" s="126"/>
      <c r="O368" s="126"/>
      <c r="P368" s="126"/>
      <c r="Q368" s="126"/>
      <c r="R368" s="126"/>
      <c r="S368" s="126"/>
      <c r="T368" s="126"/>
      <c r="U368" s="126"/>
      <c r="V368" s="126"/>
      <c r="W368" s="126"/>
      <c r="X368" s="126"/>
      <c r="Y368" s="126"/>
      <c r="Z368" s="126"/>
      <c r="AA368" s="126"/>
      <c r="AB368" s="126"/>
    </row>
    <row r="369" spans="1:28" ht="15.75" customHeight="1">
      <c r="A369" s="126"/>
      <c r="B369" s="126"/>
      <c r="C369" s="176"/>
      <c r="D369" s="176"/>
      <c r="E369" s="176"/>
      <c r="F369" s="176"/>
      <c r="G369" s="176"/>
      <c r="H369" s="176"/>
      <c r="I369" s="126"/>
      <c r="J369" s="126"/>
      <c r="K369" s="126"/>
      <c r="L369" s="126"/>
      <c r="M369" s="126"/>
      <c r="N369" s="126"/>
      <c r="O369" s="126"/>
      <c r="P369" s="126"/>
      <c r="Q369" s="126"/>
      <c r="R369" s="126"/>
      <c r="S369" s="126"/>
      <c r="T369" s="126"/>
      <c r="U369" s="126"/>
      <c r="V369" s="126"/>
      <c r="W369" s="126"/>
      <c r="X369" s="126"/>
      <c r="Y369" s="126"/>
      <c r="Z369" s="126"/>
      <c r="AA369" s="126"/>
      <c r="AB369" s="126"/>
    </row>
    <row r="370" spans="1:28" ht="15.75" customHeight="1">
      <c r="A370" s="126"/>
      <c r="B370" s="126"/>
      <c r="C370" s="176"/>
      <c r="D370" s="176"/>
      <c r="E370" s="176"/>
      <c r="F370" s="176"/>
      <c r="G370" s="176"/>
      <c r="H370" s="176"/>
      <c r="I370" s="126"/>
      <c r="J370" s="126"/>
      <c r="K370" s="126"/>
      <c r="L370" s="126"/>
      <c r="M370" s="126"/>
      <c r="N370" s="126"/>
      <c r="O370" s="126"/>
      <c r="P370" s="126"/>
      <c r="Q370" s="126"/>
      <c r="R370" s="126"/>
      <c r="S370" s="126"/>
      <c r="T370" s="126"/>
      <c r="U370" s="126"/>
      <c r="V370" s="126"/>
      <c r="W370" s="126"/>
      <c r="X370" s="126"/>
      <c r="Y370" s="126"/>
      <c r="Z370" s="126"/>
      <c r="AA370" s="126"/>
      <c r="AB370" s="126"/>
    </row>
    <row r="371" spans="1:28" ht="15.75" customHeight="1">
      <c r="A371" s="126"/>
      <c r="B371" s="126"/>
      <c r="C371" s="176"/>
      <c r="D371" s="176"/>
      <c r="E371" s="176"/>
      <c r="F371" s="176"/>
      <c r="G371" s="176"/>
      <c r="H371" s="176"/>
      <c r="I371" s="126"/>
      <c r="J371" s="126"/>
      <c r="K371" s="126"/>
      <c r="L371" s="126"/>
      <c r="M371" s="126"/>
      <c r="N371" s="126"/>
      <c r="O371" s="126"/>
      <c r="P371" s="126"/>
      <c r="Q371" s="126"/>
      <c r="R371" s="126"/>
      <c r="S371" s="126"/>
      <c r="T371" s="126"/>
      <c r="U371" s="126"/>
      <c r="V371" s="126"/>
      <c r="W371" s="126"/>
      <c r="X371" s="126"/>
      <c r="Y371" s="126"/>
      <c r="Z371" s="126"/>
      <c r="AA371" s="126"/>
      <c r="AB371" s="126"/>
    </row>
    <row r="372" spans="1:28" ht="15.75" customHeight="1">
      <c r="A372" s="126"/>
      <c r="B372" s="126"/>
      <c r="C372" s="176"/>
      <c r="D372" s="176"/>
      <c r="E372" s="176"/>
      <c r="F372" s="176"/>
      <c r="G372" s="176"/>
      <c r="H372" s="176"/>
      <c r="I372" s="126"/>
      <c r="J372" s="126"/>
      <c r="K372" s="126"/>
      <c r="L372" s="126"/>
      <c r="M372" s="126"/>
      <c r="N372" s="126"/>
      <c r="O372" s="126"/>
      <c r="P372" s="126"/>
      <c r="Q372" s="126"/>
      <c r="R372" s="126"/>
      <c r="S372" s="126"/>
      <c r="T372" s="126"/>
      <c r="U372" s="126"/>
      <c r="V372" s="126"/>
      <c r="W372" s="126"/>
      <c r="X372" s="126"/>
      <c r="Y372" s="126"/>
      <c r="Z372" s="126"/>
      <c r="AA372" s="126"/>
      <c r="AB372" s="126"/>
    </row>
    <row r="373" spans="1:28" ht="15.75" customHeight="1">
      <c r="A373" s="126"/>
      <c r="B373" s="126"/>
      <c r="C373" s="176"/>
      <c r="D373" s="176"/>
      <c r="E373" s="176"/>
      <c r="F373" s="176"/>
      <c r="G373" s="176"/>
      <c r="H373" s="176"/>
      <c r="I373" s="126"/>
      <c r="J373" s="126"/>
      <c r="K373" s="126"/>
      <c r="L373" s="126"/>
      <c r="M373" s="126"/>
      <c r="N373" s="126"/>
      <c r="O373" s="126"/>
      <c r="P373" s="126"/>
      <c r="Q373" s="126"/>
      <c r="R373" s="126"/>
      <c r="S373" s="126"/>
      <c r="T373" s="126"/>
      <c r="U373" s="126"/>
      <c r="V373" s="126"/>
      <c r="W373" s="126"/>
      <c r="X373" s="126"/>
      <c r="Y373" s="126"/>
      <c r="Z373" s="126"/>
      <c r="AA373" s="126"/>
      <c r="AB373" s="126"/>
    </row>
    <row r="374" spans="1:28" ht="15.75" customHeight="1">
      <c r="A374" s="126"/>
      <c r="B374" s="126"/>
      <c r="C374" s="176"/>
      <c r="D374" s="176"/>
      <c r="E374" s="176"/>
      <c r="F374" s="176"/>
      <c r="G374" s="176"/>
      <c r="H374" s="176"/>
      <c r="I374" s="126"/>
      <c r="J374" s="126"/>
      <c r="K374" s="126"/>
      <c r="L374" s="126"/>
      <c r="M374" s="126"/>
      <c r="N374" s="126"/>
      <c r="O374" s="126"/>
      <c r="P374" s="126"/>
      <c r="Q374" s="126"/>
      <c r="R374" s="126"/>
      <c r="S374" s="126"/>
      <c r="T374" s="126"/>
      <c r="U374" s="126"/>
      <c r="V374" s="126"/>
      <c r="W374" s="126"/>
      <c r="X374" s="126"/>
      <c r="Y374" s="126"/>
      <c r="Z374" s="126"/>
      <c r="AA374" s="126"/>
      <c r="AB374" s="126"/>
    </row>
    <row r="375" spans="1:28" ht="15.75" customHeight="1">
      <c r="A375" s="126"/>
      <c r="B375" s="126"/>
      <c r="C375" s="176"/>
      <c r="D375" s="176"/>
      <c r="E375" s="176"/>
      <c r="F375" s="176"/>
      <c r="G375" s="176"/>
      <c r="H375" s="176"/>
      <c r="I375" s="126"/>
      <c r="J375" s="126"/>
      <c r="K375" s="126"/>
      <c r="L375" s="126"/>
      <c r="M375" s="126"/>
      <c r="N375" s="126"/>
      <c r="O375" s="126"/>
      <c r="P375" s="126"/>
      <c r="Q375" s="126"/>
      <c r="R375" s="126"/>
      <c r="S375" s="126"/>
      <c r="T375" s="126"/>
      <c r="U375" s="126"/>
      <c r="V375" s="126"/>
      <c r="W375" s="126"/>
      <c r="X375" s="126"/>
      <c r="Y375" s="126"/>
      <c r="Z375" s="126"/>
      <c r="AA375" s="126"/>
      <c r="AB375" s="126"/>
    </row>
    <row r="376" spans="1:28" ht="15.75" customHeight="1">
      <c r="A376" s="126"/>
      <c r="B376" s="126"/>
      <c r="C376" s="176"/>
      <c r="D376" s="176"/>
      <c r="E376" s="176"/>
      <c r="F376" s="176"/>
      <c r="G376" s="176"/>
      <c r="H376" s="176"/>
      <c r="I376" s="126"/>
      <c r="J376" s="126"/>
      <c r="K376" s="126"/>
      <c r="L376" s="126"/>
      <c r="M376" s="126"/>
      <c r="N376" s="126"/>
      <c r="O376" s="126"/>
      <c r="P376" s="126"/>
      <c r="Q376" s="126"/>
      <c r="R376" s="126"/>
      <c r="S376" s="126"/>
      <c r="T376" s="126"/>
      <c r="U376" s="126"/>
      <c r="V376" s="126"/>
      <c r="W376" s="126"/>
      <c r="X376" s="126"/>
      <c r="Y376" s="126"/>
      <c r="Z376" s="126"/>
      <c r="AA376" s="126"/>
      <c r="AB376" s="126"/>
    </row>
    <row r="377" spans="1:28" ht="15.75" customHeight="1">
      <c r="A377" s="126"/>
      <c r="B377" s="126"/>
      <c r="C377" s="176"/>
      <c r="D377" s="176"/>
      <c r="E377" s="176"/>
      <c r="F377" s="176"/>
      <c r="G377" s="176"/>
      <c r="H377" s="176"/>
      <c r="I377" s="126"/>
      <c r="J377" s="126"/>
      <c r="K377" s="126"/>
      <c r="L377" s="126"/>
      <c r="M377" s="126"/>
      <c r="N377" s="126"/>
      <c r="O377" s="126"/>
      <c r="P377" s="126"/>
      <c r="Q377" s="126"/>
      <c r="R377" s="126"/>
      <c r="S377" s="126"/>
      <c r="T377" s="126"/>
      <c r="U377" s="126"/>
      <c r="V377" s="126"/>
      <c r="W377" s="126"/>
      <c r="X377" s="126"/>
      <c r="Y377" s="126"/>
      <c r="Z377" s="126"/>
      <c r="AA377" s="126"/>
      <c r="AB377" s="126"/>
    </row>
    <row r="378" spans="1:28" ht="15.75" customHeight="1">
      <c r="A378" s="126"/>
      <c r="B378" s="126"/>
      <c r="C378" s="176"/>
      <c r="D378" s="176"/>
      <c r="E378" s="176"/>
      <c r="F378" s="176"/>
      <c r="G378" s="176"/>
      <c r="H378" s="176"/>
      <c r="I378" s="126"/>
      <c r="J378" s="126"/>
      <c r="K378" s="126"/>
      <c r="L378" s="126"/>
      <c r="M378" s="126"/>
      <c r="N378" s="126"/>
      <c r="O378" s="126"/>
      <c r="P378" s="126"/>
      <c r="Q378" s="126"/>
      <c r="R378" s="126"/>
      <c r="S378" s="126"/>
      <c r="T378" s="126"/>
      <c r="U378" s="126"/>
      <c r="V378" s="126"/>
      <c r="W378" s="126"/>
      <c r="X378" s="126"/>
      <c r="Y378" s="126"/>
      <c r="Z378" s="126"/>
      <c r="AA378" s="126"/>
      <c r="AB378" s="126"/>
    </row>
    <row r="379" spans="1:28" ht="15.75" customHeight="1">
      <c r="A379" s="126"/>
      <c r="B379" s="126"/>
      <c r="C379" s="176"/>
      <c r="D379" s="176"/>
      <c r="E379" s="176"/>
      <c r="F379" s="176"/>
      <c r="G379" s="176"/>
      <c r="H379" s="176"/>
      <c r="I379" s="126"/>
      <c r="J379" s="126"/>
      <c r="K379" s="126"/>
      <c r="L379" s="126"/>
      <c r="M379" s="126"/>
      <c r="N379" s="126"/>
      <c r="O379" s="126"/>
      <c r="P379" s="126"/>
      <c r="Q379" s="126"/>
      <c r="R379" s="126"/>
      <c r="S379" s="126"/>
      <c r="T379" s="126"/>
      <c r="U379" s="126"/>
      <c r="V379" s="126"/>
      <c r="W379" s="126"/>
      <c r="X379" s="126"/>
      <c r="Y379" s="126"/>
      <c r="Z379" s="126"/>
      <c r="AA379" s="126"/>
      <c r="AB379" s="126"/>
    </row>
    <row r="380" spans="1:28" ht="15.75" customHeight="1">
      <c r="A380" s="126"/>
      <c r="B380" s="126"/>
      <c r="C380" s="176"/>
      <c r="D380" s="176"/>
      <c r="E380" s="176"/>
      <c r="F380" s="176"/>
      <c r="G380" s="176"/>
      <c r="H380" s="176"/>
      <c r="I380" s="126"/>
      <c r="J380" s="126"/>
      <c r="K380" s="126"/>
      <c r="L380" s="126"/>
      <c r="M380" s="126"/>
      <c r="N380" s="126"/>
      <c r="O380" s="126"/>
      <c r="P380" s="126"/>
      <c r="Q380" s="126"/>
      <c r="R380" s="126"/>
      <c r="S380" s="126"/>
      <c r="T380" s="126"/>
      <c r="U380" s="126"/>
      <c r="V380" s="126"/>
      <c r="W380" s="126"/>
      <c r="X380" s="126"/>
      <c r="Y380" s="126"/>
      <c r="Z380" s="126"/>
      <c r="AA380" s="126"/>
      <c r="AB380" s="126"/>
    </row>
    <row r="381" spans="1:28" ht="15.75" customHeight="1">
      <c r="A381" s="126"/>
      <c r="B381" s="126"/>
      <c r="C381" s="176"/>
      <c r="D381" s="176"/>
      <c r="E381" s="176"/>
      <c r="F381" s="176"/>
      <c r="G381" s="176"/>
      <c r="H381" s="176"/>
      <c r="I381" s="126"/>
      <c r="J381" s="126"/>
      <c r="K381" s="126"/>
      <c r="L381" s="126"/>
      <c r="M381" s="126"/>
      <c r="N381" s="126"/>
      <c r="O381" s="126"/>
      <c r="P381" s="126"/>
      <c r="Q381" s="126"/>
      <c r="R381" s="126"/>
      <c r="S381" s="126"/>
      <c r="T381" s="126"/>
      <c r="U381" s="126"/>
      <c r="V381" s="126"/>
      <c r="W381" s="126"/>
      <c r="X381" s="126"/>
      <c r="Y381" s="126"/>
      <c r="Z381" s="126"/>
      <c r="AA381" s="126"/>
      <c r="AB381" s="126"/>
    </row>
    <row r="382" spans="1:28" ht="15.75" customHeight="1">
      <c r="A382" s="126"/>
      <c r="B382" s="126"/>
      <c r="C382" s="176"/>
      <c r="D382" s="176"/>
      <c r="E382" s="176"/>
      <c r="F382" s="176"/>
      <c r="G382" s="176"/>
      <c r="H382" s="176"/>
      <c r="I382" s="126"/>
      <c r="J382" s="126"/>
      <c r="K382" s="126"/>
      <c r="L382" s="126"/>
      <c r="M382" s="126"/>
      <c r="N382" s="126"/>
      <c r="O382" s="126"/>
      <c r="P382" s="126"/>
      <c r="Q382" s="126"/>
      <c r="R382" s="126"/>
      <c r="S382" s="126"/>
      <c r="T382" s="126"/>
      <c r="U382" s="126"/>
      <c r="V382" s="126"/>
      <c r="W382" s="126"/>
      <c r="X382" s="126"/>
      <c r="Y382" s="126"/>
      <c r="Z382" s="126"/>
      <c r="AA382" s="126"/>
      <c r="AB382" s="126"/>
    </row>
    <row r="383" spans="1:28" ht="15.75" customHeight="1">
      <c r="A383" s="126"/>
      <c r="B383" s="126"/>
      <c r="C383" s="176"/>
      <c r="D383" s="176"/>
      <c r="E383" s="176"/>
      <c r="F383" s="176"/>
      <c r="G383" s="176"/>
      <c r="H383" s="176"/>
      <c r="I383" s="126"/>
      <c r="J383" s="126"/>
      <c r="K383" s="126"/>
      <c r="L383" s="126"/>
      <c r="M383" s="126"/>
      <c r="N383" s="126"/>
      <c r="O383" s="126"/>
      <c r="P383" s="126"/>
      <c r="Q383" s="126"/>
      <c r="R383" s="126"/>
      <c r="S383" s="126"/>
      <c r="T383" s="126"/>
      <c r="U383" s="126"/>
      <c r="V383" s="126"/>
      <c r="W383" s="126"/>
      <c r="X383" s="126"/>
      <c r="Y383" s="126"/>
      <c r="Z383" s="126"/>
      <c r="AA383" s="126"/>
      <c r="AB383" s="126"/>
    </row>
    <row r="384" spans="1:28" ht="15.75" customHeight="1">
      <c r="A384" s="126"/>
      <c r="B384" s="126"/>
      <c r="C384" s="176"/>
      <c r="D384" s="176"/>
      <c r="E384" s="176"/>
      <c r="F384" s="176"/>
      <c r="G384" s="176"/>
      <c r="H384" s="176"/>
      <c r="I384" s="126"/>
      <c r="J384" s="126"/>
      <c r="K384" s="126"/>
      <c r="L384" s="126"/>
      <c r="M384" s="126"/>
      <c r="N384" s="126"/>
      <c r="O384" s="126"/>
      <c r="P384" s="126"/>
      <c r="Q384" s="126"/>
      <c r="R384" s="126"/>
      <c r="S384" s="126"/>
      <c r="T384" s="126"/>
      <c r="U384" s="126"/>
      <c r="V384" s="126"/>
      <c r="W384" s="126"/>
      <c r="X384" s="126"/>
      <c r="Y384" s="126"/>
      <c r="Z384" s="126"/>
      <c r="AA384" s="126"/>
      <c r="AB384" s="126"/>
    </row>
    <row r="385" spans="1:28" ht="15.75" customHeight="1">
      <c r="A385" s="126"/>
      <c r="B385" s="126"/>
      <c r="C385" s="176"/>
      <c r="D385" s="176"/>
      <c r="E385" s="176"/>
      <c r="F385" s="176"/>
      <c r="G385" s="176"/>
      <c r="H385" s="176"/>
      <c r="I385" s="126"/>
      <c r="J385" s="126"/>
      <c r="K385" s="126"/>
      <c r="L385" s="126"/>
      <c r="M385" s="126"/>
      <c r="N385" s="126"/>
      <c r="O385" s="126"/>
      <c r="P385" s="126"/>
      <c r="Q385" s="126"/>
      <c r="R385" s="126"/>
      <c r="S385" s="126"/>
      <c r="T385" s="126"/>
      <c r="U385" s="126"/>
      <c r="V385" s="126"/>
      <c r="W385" s="126"/>
      <c r="X385" s="126"/>
      <c r="Y385" s="126"/>
      <c r="Z385" s="126"/>
      <c r="AA385" s="126"/>
      <c r="AB385" s="126"/>
    </row>
    <row r="386" spans="1:28" ht="15.75" customHeight="1">
      <c r="A386" s="126"/>
      <c r="B386" s="126"/>
      <c r="C386" s="176"/>
      <c r="D386" s="176"/>
      <c r="E386" s="176"/>
      <c r="F386" s="176"/>
      <c r="G386" s="176"/>
      <c r="H386" s="176"/>
      <c r="I386" s="126"/>
      <c r="J386" s="126"/>
      <c r="K386" s="126"/>
      <c r="L386" s="126"/>
      <c r="M386" s="126"/>
      <c r="N386" s="126"/>
      <c r="O386" s="126"/>
      <c r="P386" s="126"/>
      <c r="Q386" s="126"/>
      <c r="R386" s="126"/>
      <c r="S386" s="126"/>
      <c r="T386" s="126"/>
      <c r="U386" s="126"/>
      <c r="V386" s="126"/>
      <c r="W386" s="126"/>
      <c r="X386" s="126"/>
      <c r="Y386" s="126"/>
      <c r="Z386" s="126"/>
      <c r="AA386" s="126"/>
      <c r="AB386" s="126"/>
    </row>
    <row r="387" spans="1:28" ht="15.75" customHeight="1">
      <c r="A387" s="126"/>
      <c r="B387" s="126"/>
      <c r="C387" s="176"/>
      <c r="D387" s="176"/>
      <c r="E387" s="176"/>
      <c r="F387" s="176"/>
      <c r="G387" s="176"/>
      <c r="H387" s="176"/>
      <c r="I387" s="126"/>
      <c r="J387" s="126"/>
      <c r="K387" s="126"/>
      <c r="L387" s="126"/>
      <c r="M387" s="126"/>
      <c r="N387" s="126"/>
      <c r="O387" s="126"/>
      <c r="P387" s="126"/>
      <c r="Q387" s="126"/>
      <c r="R387" s="126"/>
      <c r="S387" s="126"/>
      <c r="T387" s="126"/>
      <c r="U387" s="126"/>
      <c r="V387" s="126"/>
      <c r="W387" s="126"/>
      <c r="X387" s="126"/>
      <c r="Y387" s="126"/>
      <c r="Z387" s="126"/>
      <c r="AA387" s="126"/>
      <c r="AB387" s="126"/>
    </row>
    <row r="388" spans="1:28" ht="15.75" customHeight="1">
      <c r="A388" s="126"/>
      <c r="B388" s="126"/>
      <c r="C388" s="176"/>
      <c r="D388" s="176"/>
      <c r="E388" s="176"/>
      <c r="F388" s="176"/>
      <c r="G388" s="176"/>
      <c r="H388" s="176"/>
      <c r="I388" s="126"/>
      <c r="J388" s="126"/>
      <c r="K388" s="126"/>
      <c r="L388" s="126"/>
      <c r="M388" s="126"/>
      <c r="N388" s="126"/>
      <c r="O388" s="126"/>
      <c r="P388" s="126"/>
      <c r="Q388" s="126"/>
      <c r="R388" s="126"/>
      <c r="S388" s="126"/>
      <c r="T388" s="126"/>
      <c r="U388" s="126"/>
      <c r="V388" s="126"/>
      <c r="W388" s="126"/>
      <c r="X388" s="126"/>
      <c r="Y388" s="126"/>
      <c r="Z388" s="126"/>
      <c r="AA388" s="126"/>
      <c r="AB388" s="126"/>
    </row>
    <row r="389" spans="1:28" ht="15.75" customHeight="1">
      <c r="A389" s="126"/>
      <c r="B389" s="126"/>
      <c r="C389" s="176"/>
      <c r="D389" s="176"/>
      <c r="E389" s="176"/>
      <c r="F389" s="176"/>
      <c r="G389" s="176"/>
      <c r="H389" s="176"/>
      <c r="I389" s="126"/>
      <c r="J389" s="126"/>
      <c r="K389" s="126"/>
      <c r="L389" s="126"/>
      <c r="M389" s="126"/>
      <c r="N389" s="126"/>
      <c r="O389" s="126"/>
      <c r="P389" s="126"/>
      <c r="Q389" s="126"/>
      <c r="R389" s="126"/>
      <c r="S389" s="126"/>
      <c r="T389" s="126"/>
      <c r="U389" s="126"/>
      <c r="V389" s="126"/>
      <c r="W389" s="126"/>
      <c r="X389" s="126"/>
      <c r="Y389" s="126"/>
      <c r="Z389" s="126"/>
      <c r="AA389" s="126"/>
      <c r="AB389" s="126"/>
    </row>
    <row r="390" spans="1:28" ht="15.75" customHeight="1">
      <c r="A390" s="126"/>
      <c r="B390" s="126"/>
      <c r="C390" s="176"/>
      <c r="D390" s="176"/>
      <c r="E390" s="176"/>
      <c r="F390" s="176"/>
      <c r="G390" s="176"/>
      <c r="H390" s="176"/>
      <c r="I390" s="126"/>
      <c r="J390" s="126"/>
      <c r="K390" s="126"/>
      <c r="L390" s="126"/>
      <c r="M390" s="126"/>
      <c r="N390" s="126"/>
      <c r="O390" s="126"/>
      <c r="P390" s="126"/>
      <c r="Q390" s="126"/>
      <c r="R390" s="126"/>
      <c r="S390" s="126"/>
      <c r="T390" s="126"/>
      <c r="U390" s="126"/>
      <c r="V390" s="126"/>
      <c r="W390" s="126"/>
      <c r="X390" s="126"/>
      <c r="Y390" s="126"/>
      <c r="Z390" s="126"/>
      <c r="AA390" s="126"/>
      <c r="AB390" s="126"/>
    </row>
    <row r="391" spans="1:28" ht="15.75" customHeight="1">
      <c r="A391" s="126"/>
      <c r="B391" s="126"/>
      <c r="C391" s="176"/>
      <c r="D391" s="176"/>
      <c r="E391" s="176"/>
      <c r="F391" s="176"/>
      <c r="G391" s="176"/>
      <c r="H391" s="176"/>
      <c r="I391" s="126"/>
      <c r="J391" s="126"/>
      <c r="K391" s="126"/>
      <c r="L391" s="126"/>
      <c r="M391" s="126"/>
      <c r="N391" s="126"/>
      <c r="O391" s="126"/>
      <c r="P391" s="126"/>
      <c r="Q391" s="126"/>
      <c r="R391" s="126"/>
      <c r="S391" s="126"/>
      <c r="T391" s="126"/>
      <c r="U391" s="126"/>
      <c r="V391" s="126"/>
      <c r="W391" s="126"/>
      <c r="X391" s="126"/>
      <c r="Y391" s="126"/>
      <c r="Z391" s="126"/>
      <c r="AA391" s="126"/>
      <c r="AB391" s="126"/>
    </row>
    <row r="392" spans="1:28" ht="15.75" customHeight="1">
      <c r="A392" s="126"/>
      <c r="B392" s="126"/>
      <c r="C392" s="176"/>
      <c r="D392" s="176"/>
      <c r="E392" s="176"/>
      <c r="F392" s="176"/>
      <c r="G392" s="176"/>
      <c r="H392" s="176"/>
      <c r="I392" s="126"/>
      <c r="J392" s="126"/>
      <c r="K392" s="126"/>
      <c r="L392" s="126"/>
      <c r="M392" s="126"/>
      <c r="N392" s="126"/>
      <c r="O392" s="126"/>
      <c r="P392" s="126"/>
      <c r="Q392" s="126"/>
      <c r="R392" s="126"/>
      <c r="S392" s="126"/>
      <c r="T392" s="126"/>
      <c r="U392" s="126"/>
      <c r="V392" s="126"/>
      <c r="W392" s="126"/>
      <c r="X392" s="126"/>
      <c r="Y392" s="126"/>
      <c r="Z392" s="126"/>
      <c r="AA392" s="126"/>
      <c r="AB392" s="126"/>
    </row>
    <row r="393" spans="1:28" ht="15.75" customHeight="1">
      <c r="A393" s="126"/>
      <c r="B393" s="126"/>
      <c r="C393" s="176"/>
      <c r="D393" s="176"/>
      <c r="E393" s="176"/>
      <c r="F393" s="176"/>
      <c r="G393" s="176"/>
      <c r="H393" s="176"/>
      <c r="I393" s="126"/>
      <c r="J393" s="126"/>
      <c r="K393" s="126"/>
      <c r="L393" s="126"/>
      <c r="M393" s="126"/>
      <c r="N393" s="126"/>
      <c r="O393" s="126"/>
      <c r="P393" s="126"/>
      <c r="Q393" s="126"/>
      <c r="R393" s="126"/>
      <c r="S393" s="126"/>
      <c r="T393" s="126"/>
      <c r="U393" s="126"/>
      <c r="V393" s="126"/>
      <c r="W393" s="126"/>
      <c r="X393" s="126"/>
      <c r="Y393" s="126"/>
      <c r="Z393" s="126"/>
      <c r="AA393" s="126"/>
      <c r="AB393" s="126"/>
    </row>
    <row r="394" spans="1:28" ht="15.75" customHeight="1">
      <c r="A394" s="126"/>
      <c r="B394" s="126"/>
      <c r="C394" s="176"/>
      <c r="D394" s="176"/>
      <c r="E394" s="176"/>
      <c r="F394" s="176"/>
      <c r="G394" s="176"/>
      <c r="H394" s="176"/>
      <c r="I394" s="126"/>
      <c r="J394" s="126"/>
      <c r="K394" s="126"/>
      <c r="L394" s="126"/>
      <c r="M394" s="126"/>
      <c r="N394" s="126"/>
      <c r="O394" s="126"/>
      <c r="P394" s="126"/>
      <c r="Q394" s="126"/>
      <c r="R394" s="126"/>
      <c r="S394" s="126"/>
      <c r="T394" s="126"/>
      <c r="U394" s="126"/>
      <c r="V394" s="126"/>
      <c r="W394" s="126"/>
      <c r="X394" s="126"/>
      <c r="Y394" s="126"/>
      <c r="Z394" s="126"/>
      <c r="AA394" s="126"/>
      <c r="AB394" s="126"/>
    </row>
    <row r="395" spans="1:28" ht="15.75" customHeight="1">
      <c r="A395" s="126"/>
      <c r="B395" s="126"/>
      <c r="C395" s="176"/>
      <c r="D395" s="176"/>
      <c r="E395" s="176"/>
      <c r="F395" s="176"/>
      <c r="G395" s="176"/>
      <c r="H395" s="176"/>
      <c r="I395" s="126"/>
      <c r="J395" s="126"/>
      <c r="K395" s="126"/>
      <c r="L395" s="126"/>
      <c r="M395" s="126"/>
      <c r="N395" s="126"/>
      <c r="O395" s="126"/>
      <c r="P395" s="126"/>
      <c r="Q395" s="126"/>
      <c r="R395" s="126"/>
      <c r="S395" s="126"/>
      <c r="T395" s="126"/>
      <c r="U395" s="126"/>
      <c r="V395" s="126"/>
      <c r="W395" s="126"/>
      <c r="X395" s="126"/>
      <c r="Y395" s="126"/>
      <c r="Z395" s="126"/>
      <c r="AA395" s="126"/>
      <c r="AB395" s="126"/>
    </row>
    <row r="396" spans="1:28" ht="15.75" customHeight="1">
      <c r="A396" s="126"/>
      <c r="B396" s="126"/>
      <c r="C396" s="176"/>
      <c r="D396" s="176"/>
      <c r="E396" s="176"/>
      <c r="F396" s="176"/>
      <c r="G396" s="176"/>
      <c r="H396" s="176"/>
      <c r="I396" s="126"/>
      <c r="J396" s="126"/>
      <c r="K396" s="126"/>
      <c r="L396" s="126"/>
      <c r="M396" s="126"/>
      <c r="N396" s="126"/>
      <c r="O396" s="126"/>
      <c r="P396" s="126"/>
      <c r="Q396" s="126"/>
      <c r="R396" s="126"/>
      <c r="S396" s="126"/>
      <c r="T396" s="126"/>
      <c r="U396" s="126"/>
      <c r="V396" s="126"/>
      <c r="W396" s="126"/>
      <c r="X396" s="126"/>
      <c r="Y396" s="126"/>
      <c r="Z396" s="126"/>
      <c r="AA396" s="126"/>
      <c r="AB396" s="126"/>
    </row>
    <row r="397" spans="1:28" ht="15.75" customHeight="1">
      <c r="A397" s="126"/>
      <c r="B397" s="126"/>
      <c r="C397" s="176"/>
      <c r="D397" s="176"/>
      <c r="E397" s="176"/>
      <c r="F397" s="176"/>
      <c r="G397" s="176"/>
      <c r="H397" s="176"/>
      <c r="I397" s="126"/>
      <c r="J397" s="126"/>
      <c r="K397" s="126"/>
      <c r="L397" s="126"/>
      <c r="M397" s="126"/>
      <c r="N397" s="126"/>
      <c r="O397" s="126"/>
      <c r="P397" s="126"/>
      <c r="Q397" s="126"/>
      <c r="R397" s="126"/>
      <c r="S397" s="126"/>
      <c r="T397" s="126"/>
      <c r="U397" s="126"/>
      <c r="V397" s="126"/>
      <c r="W397" s="126"/>
      <c r="X397" s="126"/>
      <c r="Y397" s="126"/>
      <c r="Z397" s="126"/>
      <c r="AA397" s="126"/>
      <c r="AB397" s="126"/>
    </row>
    <row r="398" spans="1:28" ht="15.75" customHeight="1">
      <c r="A398" s="126"/>
      <c r="B398" s="126"/>
      <c r="C398" s="176"/>
      <c r="D398" s="176"/>
      <c r="E398" s="176"/>
      <c r="F398" s="176"/>
      <c r="G398" s="176"/>
      <c r="H398" s="176"/>
      <c r="I398" s="126"/>
      <c r="J398" s="126"/>
      <c r="K398" s="126"/>
      <c r="L398" s="126"/>
      <c r="M398" s="126"/>
      <c r="N398" s="126"/>
      <c r="O398" s="126"/>
      <c r="P398" s="126"/>
      <c r="Q398" s="126"/>
      <c r="R398" s="126"/>
      <c r="S398" s="126"/>
      <c r="T398" s="126"/>
      <c r="U398" s="126"/>
      <c r="V398" s="126"/>
      <c r="W398" s="126"/>
      <c r="X398" s="126"/>
      <c r="Y398" s="126"/>
      <c r="Z398" s="126"/>
      <c r="AA398" s="126"/>
      <c r="AB398" s="126"/>
    </row>
    <row r="399" spans="1:28" ht="15.75" customHeight="1">
      <c r="A399" s="126"/>
      <c r="B399" s="126"/>
      <c r="C399" s="176"/>
      <c r="D399" s="176"/>
      <c r="E399" s="176"/>
      <c r="F399" s="176"/>
      <c r="G399" s="176"/>
      <c r="H399" s="176"/>
      <c r="I399" s="126"/>
      <c r="J399" s="126"/>
      <c r="K399" s="126"/>
      <c r="L399" s="126"/>
      <c r="M399" s="126"/>
      <c r="N399" s="126"/>
      <c r="O399" s="126"/>
      <c r="P399" s="126"/>
      <c r="Q399" s="126"/>
      <c r="R399" s="126"/>
      <c r="S399" s="126"/>
      <c r="T399" s="126"/>
      <c r="U399" s="126"/>
      <c r="V399" s="126"/>
      <c r="W399" s="126"/>
      <c r="X399" s="126"/>
      <c r="Y399" s="126"/>
      <c r="Z399" s="126"/>
      <c r="AA399" s="126"/>
      <c r="AB399" s="126"/>
    </row>
    <row r="400" spans="1:28" ht="15.75" customHeight="1">
      <c r="A400" s="126"/>
      <c r="B400" s="126"/>
      <c r="C400" s="176"/>
      <c r="D400" s="176"/>
      <c r="E400" s="176"/>
      <c r="F400" s="176"/>
      <c r="G400" s="176"/>
      <c r="H400" s="176"/>
      <c r="I400" s="126"/>
      <c r="J400" s="126"/>
      <c r="K400" s="126"/>
      <c r="L400" s="126"/>
      <c r="M400" s="126"/>
      <c r="N400" s="126"/>
      <c r="O400" s="126"/>
      <c r="P400" s="126"/>
      <c r="Q400" s="126"/>
      <c r="R400" s="126"/>
      <c r="S400" s="126"/>
      <c r="T400" s="126"/>
      <c r="U400" s="126"/>
      <c r="V400" s="126"/>
      <c r="W400" s="126"/>
      <c r="X400" s="126"/>
      <c r="Y400" s="126"/>
      <c r="Z400" s="126"/>
      <c r="AA400" s="126"/>
      <c r="AB400" s="126"/>
    </row>
    <row r="401" spans="1:28" ht="15.75" customHeight="1">
      <c r="A401" s="126"/>
      <c r="B401" s="126"/>
      <c r="C401" s="176"/>
      <c r="D401" s="176"/>
      <c r="E401" s="176"/>
      <c r="F401" s="176"/>
      <c r="G401" s="176"/>
      <c r="H401" s="176"/>
      <c r="I401" s="126"/>
      <c r="J401" s="126"/>
      <c r="K401" s="126"/>
      <c r="L401" s="126"/>
      <c r="M401" s="126"/>
      <c r="N401" s="126"/>
      <c r="O401" s="126"/>
      <c r="P401" s="126"/>
      <c r="Q401" s="126"/>
      <c r="R401" s="126"/>
      <c r="S401" s="126"/>
      <c r="T401" s="126"/>
      <c r="U401" s="126"/>
      <c r="V401" s="126"/>
      <c r="W401" s="126"/>
      <c r="X401" s="126"/>
      <c r="Y401" s="126"/>
      <c r="Z401" s="126"/>
      <c r="AA401" s="126"/>
      <c r="AB401" s="126"/>
    </row>
    <row r="402" spans="1:28" ht="15.75" customHeight="1">
      <c r="A402" s="126"/>
      <c r="B402" s="126"/>
      <c r="C402" s="176"/>
      <c r="D402" s="176"/>
      <c r="E402" s="176"/>
      <c r="F402" s="176"/>
      <c r="G402" s="176"/>
      <c r="H402" s="176"/>
      <c r="I402" s="126"/>
      <c r="J402" s="126"/>
      <c r="K402" s="126"/>
      <c r="L402" s="126"/>
      <c r="M402" s="126"/>
      <c r="N402" s="126"/>
      <c r="O402" s="126"/>
      <c r="P402" s="126"/>
      <c r="Q402" s="126"/>
      <c r="R402" s="126"/>
      <c r="S402" s="126"/>
      <c r="T402" s="126"/>
      <c r="U402" s="126"/>
      <c r="V402" s="126"/>
      <c r="W402" s="126"/>
      <c r="X402" s="126"/>
      <c r="Y402" s="126"/>
      <c r="Z402" s="126"/>
      <c r="AA402" s="126"/>
      <c r="AB402" s="126"/>
    </row>
    <row r="403" spans="1:28" ht="15.75" customHeight="1">
      <c r="A403" s="126"/>
      <c r="B403" s="126"/>
      <c r="C403" s="176"/>
      <c r="D403" s="176"/>
      <c r="E403" s="176"/>
      <c r="F403" s="176"/>
      <c r="G403" s="176"/>
      <c r="H403" s="176"/>
      <c r="I403" s="126"/>
      <c r="J403" s="126"/>
      <c r="K403" s="126"/>
      <c r="L403" s="126"/>
      <c r="M403" s="126"/>
      <c r="N403" s="126"/>
      <c r="O403" s="126"/>
      <c r="P403" s="126"/>
      <c r="Q403" s="126"/>
      <c r="R403" s="126"/>
      <c r="S403" s="126"/>
      <c r="T403" s="126"/>
      <c r="U403" s="126"/>
      <c r="V403" s="126"/>
      <c r="W403" s="126"/>
      <c r="X403" s="126"/>
      <c r="Y403" s="126"/>
      <c r="Z403" s="126"/>
      <c r="AA403" s="126"/>
      <c r="AB403" s="126"/>
    </row>
    <row r="404" spans="1:28" ht="15.75" customHeight="1">
      <c r="A404" s="126"/>
      <c r="B404" s="126"/>
      <c r="C404" s="176"/>
      <c r="D404" s="176"/>
      <c r="E404" s="176"/>
      <c r="F404" s="176"/>
      <c r="G404" s="176"/>
      <c r="H404" s="176"/>
      <c r="I404" s="126"/>
      <c r="J404" s="126"/>
      <c r="K404" s="126"/>
      <c r="L404" s="126"/>
      <c r="M404" s="126"/>
      <c r="N404" s="126"/>
      <c r="O404" s="126"/>
      <c r="P404" s="126"/>
      <c r="Q404" s="126"/>
      <c r="R404" s="126"/>
      <c r="S404" s="126"/>
      <c r="T404" s="126"/>
      <c r="U404" s="126"/>
      <c r="V404" s="126"/>
      <c r="W404" s="126"/>
      <c r="X404" s="126"/>
      <c r="Y404" s="126"/>
      <c r="Z404" s="126"/>
      <c r="AA404" s="126"/>
      <c r="AB404" s="126"/>
    </row>
    <row r="405" spans="1:28" ht="15.75" customHeight="1">
      <c r="A405" s="126"/>
      <c r="B405" s="126"/>
      <c r="C405" s="176"/>
      <c r="D405" s="176"/>
      <c r="E405" s="176"/>
      <c r="F405" s="176"/>
      <c r="G405" s="176"/>
      <c r="H405" s="176"/>
      <c r="I405" s="126"/>
      <c r="J405" s="126"/>
      <c r="K405" s="126"/>
      <c r="L405" s="126"/>
      <c r="M405" s="126"/>
      <c r="N405" s="126"/>
      <c r="O405" s="126"/>
      <c r="P405" s="126"/>
      <c r="Q405" s="126"/>
      <c r="R405" s="126"/>
      <c r="S405" s="126"/>
      <c r="T405" s="126"/>
      <c r="U405" s="126"/>
      <c r="V405" s="126"/>
      <c r="W405" s="126"/>
      <c r="X405" s="126"/>
      <c r="Y405" s="126"/>
      <c r="Z405" s="126"/>
      <c r="AA405" s="126"/>
      <c r="AB405" s="126"/>
    </row>
    <row r="406" spans="1:28" ht="15.75" customHeight="1">
      <c r="A406" s="126"/>
      <c r="B406" s="126"/>
      <c r="C406" s="176"/>
      <c r="D406" s="176"/>
      <c r="E406" s="176"/>
      <c r="F406" s="176"/>
      <c r="G406" s="176"/>
      <c r="H406" s="176"/>
      <c r="I406" s="126"/>
      <c r="J406" s="126"/>
      <c r="K406" s="126"/>
      <c r="L406" s="126"/>
      <c r="M406" s="126"/>
      <c r="N406" s="126"/>
      <c r="O406" s="126"/>
      <c r="P406" s="126"/>
      <c r="Q406" s="126"/>
      <c r="R406" s="126"/>
      <c r="S406" s="126"/>
      <c r="T406" s="126"/>
      <c r="U406" s="126"/>
      <c r="V406" s="126"/>
      <c r="W406" s="126"/>
      <c r="X406" s="126"/>
      <c r="Y406" s="126"/>
      <c r="Z406" s="126"/>
      <c r="AA406" s="126"/>
      <c r="AB406" s="126"/>
    </row>
    <row r="407" spans="1:28" ht="15.75" customHeight="1">
      <c r="A407" s="126"/>
      <c r="B407" s="126"/>
      <c r="C407" s="176"/>
      <c r="D407" s="176"/>
      <c r="E407" s="176"/>
      <c r="F407" s="176"/>
      <c r="G407" s="176"/>
      <c r="H407" s="176"/>
      <c r="I407" s="126"/>
      <c r="J407" s="126"/>
      <c r="K407" s="126"/>
      <c r="L407" s="126"/>
      <c r="M407" s="126"/>
      <c r="N407" s="126"/>
      <c r="O407" s="126"/>
      <c r="P407" s="126"/>
      <c r="Q407" s="126"/>
      <c r="R407" s="126"/>
      <c r="S407" s="126"/>
      <c r="T407" s="126"/>
      <c r="U407" s="126"/>
      <c r="V407" s="126"/>
      <c r="W407" s="126"/>
      <c r="X407" s="126"/>
      <c r="Y407" s="126"/>
      <c r="Z407" s="126"/>
      <c r="AA407" s="126"/>
      <c r="AB407" s="126"/>
    </row>
    <row r="408" spans="1:28" ht="15.75" customHeight="1">
      <c r="A408" s="126"/>
      <c r="B408" s="126"/>
      <c r="C408" s="176"/>
      <c r="D408" s="176"/>
      <c r="E408" s="176"/>
      <c r="F408" s="176"/>
      <c r="G408" s="176"/>
      <c r="H408" s="176"/>
      <c r="I408" s="126"/>
      <c r="J408" s="126"/>
      <c r="K408" s="126"/>
      <c r="L408" s="126"/>
      <c r="M408" s="126"/>
      <c r="N408" s="126"/>
      <c r="O408" s="126"/>
      <c r="P408" s="126"/>
      <c r="Q408" s="126"/>
      <c r="R408" s="126"/>
      <c r="S408" s="126"/>
      <c r="T408" s="126"/>
      <c r="U408" s="126"/>
      <c r="V408" s="126"/>
      <c r="W408" s="126"/>
      <c r="X408" s="126"/>
      <c r="Y408" s="126"/>
      <c r="Z408" s="126"/>
      <c r="AA408" s="126"/>
      <c r="AB408" s="126"/>
    </row>
    <row r="409" spans="1:28" ht="15.75" customHeight="1">
      <c r="A409" s="126"/>
      <c r="B409" s="126"/>
      <c r="C409" s="176"/>
      <c r="D409" s="176"/>
      <c r="E409" s="176"/>
      <c r="F409" s="176"/>
      <c r="G409" s="176"/>
      <c r="H409" s="176"/>
      <c r="I409" s="126"/>
      <c r="J409" s="126"/>
      <c r="K409" s="126"/>
      <c r="L409" s="126"/>
      <c r="M409" s="126"/>
      <c r="N409" s="126"/>
      <c r="O409" s="126"/>
      <c r="P409" s="126"/>
      <c r="Q409" s="126"/>
      <c r="R409" s="126"/>
      <c r="S409" s="126"/>
      <c r="T409" s="126"/>
      <c r="U409" s="126"/>
      <c r="V409" s="126"/>
      <c r="W409" s="126"/>
      <c r="X409" s="126"/>
      <c r="Y409" s="126"/>
      <c r="Z409" s="126"/>
      <c r="AA409" s="126"/>
      <c r="AB409" s="126"/>
    </row>
    <row r="410" spans="1:28" ht="15.75" customHeight="1">
      <c r="A410" s="126"/>
      <c r="B410" s="126"/>
      <c r="C410" s="176"/>
      <c r="D410" s="176"/>
      <c r="E410" s="176"/>
      <c r="F410" s="176"/>
      <c r="G410" s="176"/>
      <c r="H410" s="176"/>
      <c r="I410" s="126"/>
      <c r="J410" s="126"/>
      <c r="K410" s="126"/>
      <c r="L410" s="126"/>
      <c r="M410" s="126"/>
      <c r="N410" s="126"/>
      <c r="O410" s="126"/>
      <c r="P410" s="126"/>
      <c r="Q410" s="126"/>
      <c r="R410" s="126"/>
      <c r="S410" s="126"/>
      <c r="T410" s="126"/>
      <c r="U410" s="126"/>
      <c r="V410" s="126"/>
      <c r="W410" s="126"/>
      <c r="X410" s="126"/>
      <c r="Y410" s="126"/>
      <c r="Z410" s="126"/>
      <c r="AA410" s="126"/>
      <c r="AB410" s="126"/>
    </row>
    <row r="411" spans="1:28" ht="15.75" customHeight="1">
      <c r="A411" s="126"/>
      <c r="B411" s="126"/>
      <c r="C411" s="176"/>
      <c r="D411" s="176"/>
      <c r="E411" s="176"/>
      <c r="F411" s="176"/>
      <c r="G411" s="176"/>
      <c r="H411" s="176"/>
      <c r="I411" s="126"/>
      <c r="J411" s="126"/>
      <c r="K411" s="126"/>
      <c r="L411" s="126"/>
      <c r="M411" s="126"/>
      <c r="N411" s="126"/>
      <c r="O411" s="126"/>
      <c r="P411" s="126"/>
      <c r="Q411" s="126"/>
      <c r="R411" s="126"/>
      <c r="S411" s="126"/>
      <c r="T411" s="126"/>
      <c r="U411" s="126"/>
      <c r="V411" s="126"/>
      <c r="W411" s="126"/>
      <c r="X411" s="126"/>
      <c r="Y411" s="126"/>
      <c r="Z411" s="126"/>
      <c r="AA411" s="126"/>
      <c r="AB411" s="126"/>
    </row>
    <row r="412" spans="1:28" ht="15.75" customHeight="1">
      <c r="A412" s="126"/>
      <c r="B412" s="126"/>
      <c r="C412" s="176"/>
      <c r="D412" s="176"/>
      <c r="E412" s="176"/>
      <c r="F412" s="176"/>
      <c r="G412" s="176"/>
      <c r="H412" s="176"/>
      <c r="I412" s="126"/>
      <c r="J412" s="126"/>
      <c r="K412" s="126"/>
      <c r="L412" s="126"/>
      <c r="M412" s="126"/>
      <c r="N412" s="126"/>
      <c r="O412" s="126"/>
      <c r="P412" s="126"/>
      <c r="Q412" s="126"/>
      <c r="R412" s="126"/>
      <c r="S412" s="126"/>
      <c r="T412" s="126"/>
      <c r="U412" s="126"/>
      <c r="V412" s="126"/>
      <c r="W412" s="126"/>
      <c r="X412" s="126"/>
      <c r="Y412" s="126"/>
      <c r="Z412" s="126"/>
      <c r="AA412" s="126"/>
      <c r="AB412" s="126"/>
    </row>
    <row r="413" spans="1:28" ht="15.75" customHeight="1">
      <c r="A413" s="126"/>
      <c r="B413" s="126"/>
      <c r="C413" s="176"/>
      <c r="D413" s="176"/>
      <c r="E413" s="176"/>
      <c r="F413" s="176"/>
      <c r="G413" s="176"/>
      <c r="H413" s="176"/>
      <c r="I413" s="126"/>
      <c r="J413" s="126"/>
      <c r="K413" s="126"/>
      <c r="L413" s="126"/>
      <c r="M413" s="126"/>
      <c r="N413" s="126"/>
      <c r="O413" s="126"/>
      <c r="P413" s="126"/>
      <c r="Q413" s="126"/>
      <c r="R413" s="126"/>
      <c r="S413" s="126"/>
      <c r="T413" s="126"/>
      <c r="U413" s="126"/>
      <c r="V413" s="126"/>
      <c r="W413" s="126"/>
      <c r="X413" s="126"/>
      <c r="Y413" s="126"/>
      <c r="Z413" s="126"/>
      <c r="AA413" s="126"/>
      <c r="AB413" s="126"/>
    </row>
    <row r="414" spans="1:28" ht="15.75" customHeight="1">
      <c r="A414" s="126"/>
      <c r="B414" s="126"/>
      <c r="C414" s="176"/>
      <c r="D414" s="176"/>
      <c r="E414" s="176"/>
      <c r="F414" s="176"/>
      <c r="G414" s="176"/>
      <c r="H414" s="176"/>
      <c r="I414" s="126"/>
      <c r="J414" s="126"/>
      <c r="K414" s="126"/>
      <c r="L414" s="126"/>
      <c r="M414" s="126"/>
      <c r="N414" s="126"/>
      <c r="O414" s="126"/>
      <c r="P414" s="126"/>
      <c r="Q414" s="126"/>
      <c r="R414" s="126"/>
      <c r="S414" s="126"/>
      <c r="T414" s="126"/>
      <c r="U414" s="126"/>
      <c r="V414" s="126"/>
      <c r="W414" s="126"/>
      <c r="X414" s="126"/>
      <c r="Y414" s="126"/>
      <c r="Z414" s="126"/>
      <c r="AA414" s="126"/>
      <c r="AB414" s="126"/>
    </row>
    <row r="415" spans="1:28" ht="15.75" customHeight="1">
      <c r="A415" s="126"/>
      <c r="B415" s="126"/>
      <c r="C415" s="176"/>
      <c r="D415" s="176"/>
      <c r="E415" s="176"/>
      <c r="F415" s="176"/>
      <c r="G415" s="176"/>
      <c r="H415" s="176"/>
      <c r="I415" s="126"/>
      <c r="J415" s="126"/>
      <c r="K415" s="126"/>
      <c r="L415" s="126"/>
      <c r="M415" s="126"/>
      <c r="N415" s="126"/>
      <c r="O415" s="126"/>
      <c r="P415" s="126"/>
      <c r="Q415" s="126"/>
      <c r="R415" s="126"/>
      <c r="S415" s="126"/>
      <c r="T415" s="126"/>
      <c r="U415" s="126"/>
      <c r="V415" s="126"/>
      <c r="W415" s="126"/>
      <c r="X415" s="126"/>
      <c r="Y415" s="126"/>
      <c r="Z415" s="126"/>
      <c r="AA415" s="126"/>
      <c r="AB415" s="126"/>
    </row>
    <row r="416" spans="1:28" ht="15.75" customHeight="1">
      <c r="A416" s="126"/>
      <c r="B416" s="126"/>
      <c r="C416" s="176"/>
      <c r="D416" s="176"/>
      <c r="E416" s="176"/>
      <c r="F416" s="176"/>
      <c r="G416" s="176"/>
      <c r="H416" s="176"/>
      <c r="I416" s="126"/>
      <c r="J416" s="126"/>
      <c r="K416" s="126"/>
      <c r="L416" s="126"/>
      <c r="M416" s="126"/>
      <c r="N416" s="126"/>
      <c r="O416" s="126"/>
      <c r="P416" s="126"/>
      <c r="Q416" s="126"/>
      <c r="R416" s="126"/>
      <c r="S416" s="126"/>
      <c r="T416" s="126"/>
      <c r="U416" s="126"/>
      <c r="V416" s="126"/>
      <c r="W416" s="126"/>
      <c r="X416" s="126"/>
      <c r="Y416" s="126"/>
      <c r="Z416" s="126"/>
      <c r="AA416" s="126"/>
      <c r="AB416" s="126"/>
    </row>
    <row r="417" spans="1:28" ht="15.75" customHeight="1">
      <c r="A417" s="126"/>
      <c r="B417" s="126"/>
      <c r="C417" s="176"/>
      <c r="D417" s="176"/>
      <c r="E417" s="176"/>
      <c r="F417" s="176"/>
      <c r="G417" s="176"/>
      <c r="H417" s="176"/>
      <c r="I417" s="126"/>
      <c r="J417" s="126"/>
      <c r="K417" s="126"/>
      <c r="L417" s="126"/>
      <c r="M417" s="126"/>
      <c r="N417" s="126"/>
      <c r="O417" s="126"/>
      <c r="P417" s="126"/>
      <c r="Q417" s="126"/>
      <c r="R417" s="126"/>
      <c r="S417" s="126"/>
      <c r="T417" s="126"/>
      <c r="U417" s="126"/>
      <c r="V417" s="126"/>
      <c r="W417" s="126"/>
      <c r="X417" s="126"/>
      <c r="Y417" s="126"/>
      <c r="Z417" s="126"/>
      <c r="AA417" s="126"/>
      <c r="AB417" s="126"/>
    </row>
    <row r="418" spans="1:28" ht="15.75" customHeight="1">
      <c r="A418" s="126"/>
      <c r="B418" s="126"/>
      <c r="C418" s="176"/>
      <c r="D418" s="176"/>
      <c r="E418" s="176"/>
      <c r="F418" s="176"/>
      <c r="G418" s="176"/>
      <c r="H418" s="176"/>
      <c r="I418" s="126"/>
      <c r="J418" s="126"/>
      <c r="K418" s="126"/>
      <c r="L418" s="126"/>
      <c r="M418" s="126"/>
      <c r="N418" s="126"/>
      <c r="O418" s="126"/>
      <c r="P418" s="126"/>
      <c r="Q418" s="126"/>
      <c r="R418" s="126"/>
      <c r="S418" s="126"/>
      <c r="T418" s="126"/>
      <c r="U418" s="126"/>
      <c r="V418" s="126"/>
      <c r="W418" s="126"/>
      <c r="X418" s="126"/>
      <c r="Y418" s="126"/>
      <c r="Z418" s="126"/>
      <c r="AA418" s="126"/>
      <c r="AB418" s="126"/>
    </row>
    <row r="419" spans="1:28" ht="15.75" customHeight="1">
      <c r="A419" s="126"/>
      <c r="B419" s="126"/>
      <c r="C419" s="176"/>
      <c r="D419" s="176"/>
      <c r="E419" s="176"/>
      <c r="F419" s="176"/>
      <c r="G419" s="176"/>
      <c r="H419" s="176"/>
      <c r="I419" s="126"/>
      <c r="J419" s="126"/>
      <c r="K419" s="126"/>
      <c r="L419" s="126"/>
      <c r="M419" s="126"/>
      <c r="N419" s="126"/>
      <c r="O419" s="126"/>
      <c r="P419" s="126"/>
      <c r="Q419" s="126"/>
      <c r="R419" s="126"/>
      <c r="S419" s="126"/>
      <c r="T419" s="126"/>
      <c r="U419" s="126"/>
      <c r="V419" s="126"/>
      <c r="W419" s="126"/>
      <c r="X419" s="126"/>
      <c r="Y419" s="126"/>
      <c r="Z419" s="126"/>
      <c r="AA419" s="126"/>
      <c r="AB419" s="126"/>
    </row>
    <row r="420" spans="1:28" ht="15.75" customHeight="1">
      <c r="A420" s="126"/>
      <c r="B420" s="126"/>
      <c r="C420" s="176"/>
      <c r="D420" s="176"/>
      <c r="E420" s="176"/>
      <c r="F420" s="176"/>
      <c r="G420" s="176"/>
      <c r="H420" s="176"/>
      <c r="I420" s="126"/>
      <c r="J420" s="126"/>
      <c r="K420" s="126"/>
      <c r="L420" s="126"/>
      <c r="M420" s="126"/>
      <c r="N420" s="126"/>
      <c r="O420" s="126"/>
      <c r="P420" s="126"/>
      <c r="Q420" s="126"/>
      <c r="R420" s="126"/>
      <c r="S420" s="126"/>
      <c r="T420" s="126"/>
      <c r="U420" s="126"/>
      <c r="V420" s="126"/>
      <c r="W420" s="126"/>
      <c r="X420" s="126"/>
      <c r="Y420" s="126"/>
      <c r="Z420" s="126"/>
      <c r="AA420" s="126"/>
      <c r="AB420" s="126"/>
    </row>
    <row r="421" spans="1:28" ht="15.75" customHeight="1">
      <c r="A421" s="126"/>
      <c r="B421" s="126"/>
      <c r="C421" s="176"/>
      <c r="D421" s="176"/>
      <c r="E421" s="176"/>
      <c r="F421" s="176"/>
      <c r="G421" s="176"/>
      <c r="H421" s="176"/>
      <c r="I421" s="126"/>
      <c r="J421" s="126"/>
      <c r="K421" s="126"/>
      <c r="L421" s="126"/>
      <c r="M421" s="126"/>
      <c r="N421" s="126"/>
      <c r="O421" s="126"/>
      <c r="P421" s="126"/>
      <c r="Q421" s="126"/>
      <c r="R421" s="126"/>
      <c r="S421" s="126"/>
      <c r="T421" s="126"/>
      <c r="U421" s="126"/>
      <c r="V421" s="126"/>
      <c r="W421" s="126"/>
      <c r="X421" s="126"/>
      <c r="Y421" s="126"/>
      <c r="Z421" s="126"/>
      <c r="AA421" s="126"/>
      <c r="AB421" s="126"/>
    </row>
    <row r="422" spans="1:28" ht="15.75" customHeight="1">
      <c r="A422" s="126"/>
      <c r="B422" s="126"/>
      <c r="C422" s="176"/>
      <c r="D422" s="176"/>
      <c r="E422" s="176"/>
      <c r="F422" s="176"/>
      <c r="G422" s="176"/>
      <c r="H422" s="176"/>
      <c r="I422" s="126"/>
      <c r="J422" s="126"/>
      <c r="K422" s="126"/>
      <c r="L422" s="126"/>
      <c r="M422" s="126"/>
      <c r="N422" s="126"/>
      <c r="O422" s="126"/>
      <c r="P422" s="126"/>
      <c r="Q422" s="126"/>
      <c r="R422" s="126"/>
      <c r="S422" s="126"/>
      <c r="T422" s="126"/>
      <c r="U422" s="126"/>
      <c r="V422" s="126"/>
      <c r="W422" s="126"/>
      <c r="X422" s="126"/>
      <c r="Y422" s="126"/>
      <c r="Z422" s="126"/>
      <c r="AA422" s="126"/>
      <c r="AB422" s="126"/>
    </row>
    <row r="423" spans="1:28" ht="15.75" customHeight="1">
      <c r="A423" s="126"/>
      <c r="B423" s="126"/>
      <c r="C423" s="176"/>
      <c r="D423" s="176"/>
      <c r="E423" s="176"/>
      <c r="F423" s="176"/>
      <c r="G423" s="176"/>
      <c r="H423" s="176"/>
      <c r="I423" s="126"/>
      <c r="J423" s="126"/>
      <c r="K423" s="126"/>
      <c r="L423" s="126"/>
      <c r="M423" s="126"/>
      <c r="N423" s="126"/>
      <c r="O423" s="126"/>
      <c r="P423" s="126"/>
      <c r="Q423" s="126"/>
      <c r="R423" s="126"/>
      <c r="S423" s="126"/>
      <c r="T423" s="126"/>
      <c r="U423" s="126"/>
      <c r="V423" s="126"/>
      <c r="W423" s="126"/>
      <c r="X423" s="126"/>
      <c r="Y423" s="126"/>
      <c r="Z423" s="126"/>
      <c r="AA423" s="126"/>
      <c r="AB423" s="126"/>
    </row>
    <row r="424" spans="1:28" ht="15.75" customHeight="1">
      <c r="A424" s="126"/>
      <c r="B424" s="126"/>
      <c r="C424" s="176"/>
      <c r="D424" s="176"/>
      <c r="E424" s="176"/>
      <c r="F424" s="176"/>
      <c r="G424" s="176"/>
      <c r="H424" s="176"/>
      <c r="I424" s="126"/>
      <c r="J424" s="126"/>
      <c r="K424" s="126"/>
      <c r="L424" s="126"/>
      <c r="M424" s="126"/>
      <c r="N424" s="126"/>
      <c r="O424" s="126"/>
      <c r="P424" s="126"/>
      <c r="Q424" s="126"/>
      <c r="R424" s="126"/>
      <c r="S424" s="126"/>
      <c r="T424" s="126"/>
      <c r="U424" s="126"/>
      <c r="V424" s="126"/>
      <c r="W424" s="126"/>
      <c r="X424" s="126"/>
      <c r="Y424" s="126"/>
      <c r="Z424" s="126"/>
      <c r="AA424" s="126"/>
      <c r="AB424" s="126"/>
    </row>
    <row r="425" spans="1:28" ht="15.75" customHeight="1">
      <c r="A425" s="126"/>
      <c r="B425" s="126"/>
      <c r="C425" s="176"/>
      <c r="D425" s="176"/>
      <c r="E425" s="176"/>
      <c r="F425" s="176"/>
      <c r="G425" s="176"/>
      <c r="H425" s="176"/>
      <c r="I425" s="126"/>
      <c r="J425" s="126"/>
      <c r="K425" s="126"/>
      <c r="L425" s="126"/>
      <c r="M425" s="126"/>
      <c r="N425" s="126"/>
      <c r="O425" s="126"/>
      <c r="P425" s="126"/>
      <c r="Q425" s="126"/>
      <c r="R425" s="126"/>
      <c r="S425" s="126"/>
      <c r="T425" s="126"/>
      <c r="U425" s="126"/>
      <c r="V425" s="126"/>
      <c r="W425" s="126"/>
      <c r="X425" s="126"/>
      <c r="Y425" s="126"/>
      <c r="Z425" s="126"/>
      <c r="AA425" s="126"/>
      <c r="AB425" s="126"/>
    </row>
    <row r="426" spans="1:28" ht="15.75" customHeight="1">
      <c r="A426" s="126"/>
      <c r="B426" s="126"/>
      <c r="C426" s="176"/>
      <c r="D426" s="176"/>
      <c r="E426" s="176"/>
      <c r="F426" s="176"/>
      <c r="G426" s="176"/>
      <c r="H426" s="176"/>
      <c r="I426" s="126"/>
      <c r="J426" s="126"/>
      <c r="K426" s="126"/>
      <c r="L426" s="126"/>
      <c r="M426" s="126"/>
      <c r="N426" s="126"/>
      <c r="O426" s="126"/>
      <c r="P426" s="126"/>
      <c r="Q426" s="126"/>
      <c r="R426" s="126"/>
      <c r="S426" s="126"/>
      <c r="T426" s="126"/>
      <c r="U426" s="126"/>
      <c r="V426" s="126"/>
      <c r="W426" s="126"/>
      <c r="X426" s="126"/>
      <c r="Y426" s="126"/>
      <c r="Z426" s="126"/>
      <c r="AA426" s="126"/>
      <c r="AB426" s="126"/>
    </row>
    <row r="427" spans="1:28" ht="15.75" customHeight="1">
      <c r="A427" s="126"/>
      <c r="B427" s="126"/>
      <c r="C427" s="176"/>
      <c r="D427" s="176"/>
      <c r="E427" s="176"/>
      <c r="F427" s="176"/>
      <c r="G427" s="176"/>
      <c r="H427" s="176"/>
      <c r="I427" s="126"/>
      <c r="J427" s="126"/>
      <c r="K427" s="126"/>
      <c r="L427" s="126"/>
      <c r="M427" s="126"/>
      <c r="N427" s="126"/>
      <c r="O427" s="126"/>
      <c r="P427" s="126"/>
      <c r="Q427" s="126"/>
      <c r="R427" s="126"/>
      <c r="S427" s="126"/>
      <c r="T427" s="126"/>
      <c r="U427" s="126"/>
      <c r="V427" s="126"/>
      <c r="W427" s="126"/>
      <c r="X427" s="126"/>
      <c r="Y427" s="126"/>
      <c r="Z427" s="126"/>
      <c r="AA427" s="126"/>
      <c r="AB427" s="126"/>
    </row>
    <row r="428" spans="1:28" ht="15.75" customHeight="1">
      <c r="A428" s="126"/>
      <c r="B428" s="126"/>
      <c r="C428" s="176"/>
      <c r="D428" s="176"/>
      <c r="E428" s="176"/>
      <c r="F428" s="176"/>
      <c r="G428" s="176"/>
      <c r="H428" s="176"/>
      <c r="I428" s="126"/>
      <c r="J428" s="126"/>
      <c r="K428" s="126"/>
      <c r="L428" s="126"/>
      <c r="M428" s="126"/>
      <c r="N428" s="126"/>
      <c r="O428" s="126"/>
      <c r="P428" s="126"/>
      <c r="Q428" s="126"/>
      <c r="R428" s="126"/>
      <c r="S428" s="126"/>
      <c r="T428" s="126"/>
      <c r="U428" s="126"/>
      <c r="V428" s="126"/>
      <c r="W428" s="126"/>
      <c r="X428" s="126"/>
      <c r="Y428" s="126"/>
      <c r="Z428" s="126"/>
      <c r="AA428" s="126"/>
      <c r="AB428" s="126"/>
    </row>
    <row r="429" spans="1:28" ht="15.75" customHeight="1">
      <c r="A429" s="126"/>
      <c r="B429" s="126"/>
      <c r="C429" s="176"/>
      <c r="D429" s="176"/>
      <c r="E429" s="176"/>
      <c r="F429" s="176"/>
      <c r="G429" s="176"/>
      <c r="H429" s="176"/>
      <c r="I429" s="126"/>
      <c r="J429" s="126"/>
      <c r="K429" s="126"/>
      <c r="L429" s="126"/>
      <c r="M429" s="126"/>
      <c r="N429" s="126"/>
      <c r="O429" s="126"/>
      <c r="P429" s="126"/>
      <c r="Q429" s="126"/>
      <c r="R429" s="126"/>
      <c r="S429" s="126"/>
      <c r="T429" s="126"/>
      <c r="U429" s="126"/>
      <c r="V429" s="126"/>
      <c r="W429" s="126"/>
      <c r="X429" s="126"/>
      <c r="Y429" s="126"/>
      <c r="Z429" s="126"/>
      <c r="AA429" s="126"/>
      <c r="AB429" s="126"/>
    </row>
    <row r="430" spans="1:28" ht="15.75" customHeight="1">
      <c r="A430" s="126"/>
      <c r="B430" s="126"/>
      <c r="C430" s="176"/>
      <c r="D430" s="176"/>
      <c r="E430" s="176"/>
      <c r="F430" s="176"/>
      <c r="G430" s="176"/>
      <c r="H430" s="176"/>
      <c r="I430" s="126"/>
      <c r="J430" s="126"/>
      <c r="K430" s="126"/>
      <c r="L430" s="126"/>
      <c r="M430" s="126"/>
      <c r="N430" s="126"/>
      <c r="O430" s="126"/>
      <c r="P430" s="126"/>
      <c r="Q430" s="126"/>
      <c r="R430" s="126"/>
      <c r="S430" s="126"/>
      <c r="T430" s="126"/>
      <c r="U430" s="126"/>
      <c r="V430" s="126"/>
      <c r="W430" s="126"/>
      <c r="X430" s="126"/>
      <c r="Y430" s="126"/>
      <c r="Z430" s="126"/>
      <c r="AA430" s="126"/>
      <c r="AB430" s="126"/>
    </row>
    <row r="431" spans="1:28" ht="15.75" customHeight="1">
      <c r="A431" s="126"/>
      <c r="B431" s="126"/>
      <c r="C431" s="176"/>
      <c r="D431" s="176"/>
      <c r="E431" s="176"/>
      <c r="F431" s="176"/>
      <c r="G431" s="176"/>
      <c r="H431" s="176"/>
      <c r="I431" s="126"/>
      <c r="J431" s="126"/>
      <c r="K431" s="126"/>
      <c r="L431" s="126"/>
      <c r="M431" s="126"/>
      <c r="N431" s="126"/>
      <c r="O431" s="126"/>
      <c r="P431" s="126"/>
      <c r="Q431" s="126"/>
      <c r="R431" s="126"/>
      <c r="S431" s="126"/>
      <c r="T431" s="126"/>
      <c r="U431" s="126"/>
      <c r="V431" s="126"/>
      <c r="W431" s="126"/>
      <c r="X431" s="126"/>
      <c r="Y431" s="126"/>
      <c r="Z431" s="126"/>
      <c r="AA431" s="126"/>
      <c r="AB431" s="126"/>
    </row>
    <row r="432" spans="1:28" ht="15.75" customHeight="1">
      <c r="A432" s="126"/>
      <c r="B432" s="126"/>
      <c r="C432" s="176"/>
      <c r="D432" s="176"/>
      <c r="E432" s="176"/>
      <c r="F432" s="176"/>
      <c r="G432" s="176"/>
      <c r="H432" s="176"/>
      <c r="I432" s="126"/>
      <c r="J432" s="126"/>
      <c r="K432" s="126"/>
      <c r="L432" s="126"/>
      <c r="M432" s="126"/>
      <c r="N432" s="126"/>
      <c r="O432" s="126"/>
      <c r="P432" s="126"/>
      <c r="Q432" s="126"/>
      <c r="R432" s="126"/>
      <c r="S432" s="126"/>
      <c r="T432" s="126"/>
      <c r="U432" s="126"/>
      <c r="V432" s="126"/>
      <c r="W432" s="126"/>
      <c r="X432" s="126"/>
      <c r="Y432" s="126"/>
      <c r="Z432" s="126"/>
      <c r="AA432" s="126"/>
      <c r="AB432" s="126"/>
    </row>
    <row r="433" spans="1:28" ht="15.75" customHeight="1">
      <c r="A433" s="126"/>
      <c r="B433" s="126"/>
      <c r="C433" s="176"/>
      <c r="D433" s="176"/>
      <c r="E433" s="176"/>
      <c r="F433" s="176"/>
      <c r="G433" s="176"/>
      <c r="H433" s="176"/>
      <c r="I433" s="126"/>
      <c r="J433" s="126"/>
      <c r="K433" s="126"/>
      <c r="L433" s="126"/>
      <c r="M433" s="126"/>
      <c r="N433" s="126"/>
      <c r="O433" s="126"/>
      <c r="P433" s="126"/>
      <c r="Q433" s="126"/>
      <c r="R433" s="126"/>
      <c r="S433" s="126"/>
      <c r="T433" s="126"/>
      <c r="U433" s="126"/>
      <c r="V433" s="126"/>
      <c r="W433" s="126"/>
      <c r="X433" s="126"/>
      <c r="Y433" s="126"/>
      <c r="Z433" s="126"/>
      <c r="AA433" s="126"/>
      <c r="AB433" s="126"/>
    </row>
    <row r="434" spans="1:28" ht="15.75" customHeight="1">
      <c r="A434" s="126"/>
      <c r="B434" s="126"/>
      <c r="C434" s="176"/>
      <c r="D434" s="176"/>
      <c r="E434" s="176"/>
      <c r="F434" s="176"/>
      <c r="G434" s="176"/>
      <c r="H434" s="176"/>
      <c r="I434" s="126"/>
      <c r="J434" s="126"/>
      <c r="K434" s="126"/>
      <c r="L434" s="126"/>
      <c r="M434" s="126"/>
      <c r="N434" s="126"/>
      <c r="O434" s="126"/>
      <c r="P434" s="126"/>
      <c r="Q434" s="126"/>
      <c r="R434" s="126"/>
      <c r="S434" s="126"/>
      <c r="T434" s="126"/>
      <c r="U434" s="126"/>
      <c r="V434" s="126"/>
      <c r="W434" s="126"/>
      <c r="X434" s="126"/>
      <c r="Y434" s="126"/>
      <c r="Z434" s="126"/>
      <c r="AA434" s="126"/>
      <c r="AB434" s="126"/>
    </row>
    <row r="435" spans="1:28" ht="15.75" customHeight="1">
      <c r="A435" s="126"/>
      <c r="B435" s="126"/>
      <c r="C435" s="176"/>
      <c r="D435" s="176"/>
      <c r="E435" s="176"/>
      <c r="F435" s="176"/>
      <c r="G435" s="176"/>
      <c r="H435" s="176"/>
      <c r="I435" s="126"/>
      <c r="J435" s="126"/>
      <c r="K435" s="126"/>
      <c r="L435" s="126"/>
      <c r="M435" s="126"/>
      <c r="N435" s="126"/>
      <c r="O435" s="126"/>
      <c r="P435" s="126"/>
      <c r="Q435" s="126"/>
      <c r="R435" s="126"/>
      <c r="S435" s="126"/>
      <c r="T435" s="126"/>
      <c r="U435" s="126"/>
      <c r="V435" s="126"/>
      <c r="W435" s="126"/>
      <c r="X435" s="126"/>
      <c r="Y435" s="126"/>
      <c r="Z435" s="126"/>
      <c r="AA435" s="126"/>
      <c r="AB435" s="126"/>
    </row>
    <row r="436" spans="1:28" ht="15.75" customHeight="1">
      <c r="A436" s="126"/>
      <c r="B436" s="126"/>
      <c r="C436" s="176"/>
      <c r="D436" s="176"/>
      <c r="E436" s="176"/>
      <c r="F436" s="176"/>
      <c r="G436" s="176"/>
      <c r="H436" s="176"/>
      <c r="I436" s="126"/>
      <c r="J436" s="126"/>
      <c r="K436" s="126"/>
      <c r="L436" s="126"/>
      <c r="M436" s="126"/>
      <c r="N436" s="126"/>
      <c r="O436" s="126"/>
      <c r="P436" s="126"/>
      <c r="Q436" s="126"/>
      <c r="R436" s="126"/>
      <c r="S436" s="126"/>
      <c r="T436" s="126"/>
      <c r="U436" s="126"/>
      <c r="V436" s="126"/>
      <c r="W436" s="126"/>
      <c r="X436" s="126"/>
      <c r="Y436" s="126"/>
      <c r="Z436" s="126"/>
      <c r="AA436" s="126"/>
      <c r="AB436" s="126"/>
    </row>
    <row r="437" spans="1:28" ht="15.75" customHeight="1">
      <c r="A437" s="126"/>
      <c r="B437" s="126"/>
      <c r="C437" s="176"/>
      <c r="D437" s="176"/>
      <c r="E437" s="176"/>
      <c r="F437" s="176"/>
      <c r="G437" s="176"/>
      <c r="H437" s="176"/>
      <c r="I437" s="126"/>
      <c r="J437" s="126"/>
      <c r="K437" s="126"/>
      <c r="L437" s="126"/>
      <c r="M437" s="126"/>
      <c r="N437" s="126"/>
      <c r="O437" s="126"/>
      <c r="P437" s="126"/>
      <c r="Q437" s="126"/>
      <c r="R437" s="126"/>
      <c r="S437" s="126"/>
      <c r="T437" s="126"/>
      <c r="U437" s="126"/>
      <c r="V437" s="126"/>
      <c r="W437" s="126"/>
      <c r="X437" s="126"/>
      <c r="Y437" s="126"/>
      <c r="Z437" s="126"/>
      <c r="AA437" s="126"/>
      <c r="AB437" s="126"/>
    </row>
    <row r="438" spans="1:28" ht="15.75" customHeight="1">
      <c r="A438" s="126"/>
      <c r="B438" s="126"/>
      <c r="C438" s="176"/>
      <c r="D438" s="176"/>
      <c r="E438" s="176"/>
      <c r="F438" s="176"/>
      <c r="G438" s="176"/>
      <c r="H438" s="176"/>
      <c r="I438" s="126"/>
      <c r="J438" s="126"/>
      <c r="K438" s="126"/>
      <c r="L438" s="126"/>
      <c r="M438" s="126"/>
      <c r="N438" s="126"/>
      <c r="O438" s="126"/>
      <c r="P438" s="126"/>
      <c r="Q438" s="126"/>
      <c r="R438" s="126"/>
      <c r="S438" s="126"/>
      <c r="T438" s="126"/>
      <c r="U438" s="126"/>
      <c r="V438" s="126"/>
      <c r="W438" s="126"/>
      <c r="X438" s="126"/>
      <c r="Y438" s="126"/>
      <c r="Z438" s="126"/>
      <c r="AA438" s="126"/>
      <c r="AB438" s="126"/>
    </row>
    <row r="439" spans="1:28" ht="15.75" customHeight="1">
      <c r="A439" s="126"/>
      <c r="B439" s="126"/>
      <c r="C439" s="176"/>
      <c r="D439" s="176"/>
      <c r="E439" s="176"/>
      <c r="F439" s="176"/>
      <c r="G439" s="176"/>
      <c r="H439" s="176"/>
      <c r="I439" s="126"/>
      <c r="J439" s="126"/>
      <c r="K439" s="126"/>
      <c r="L439" s="126"/>
      <c r="M439" s="126"/>
      <c r="N439" s="126"/>
      <c r="O439" s="126"/>
      <c r="P439" s="126"/>
      <c r="Q439" s="126"/>
      <c r="R439" s="126"/>
      <c r="S439" s="126"/>
      <c r="T439" s="126"/>
      <c r="U439" s="126"/>
      <c r="V439" s="126"/>
      <c r="W439" s="126"/>
      <c r="X439" s="126"/>
      <c r="Y439" s="126"/>
      <c r="Z439" s="126"/>
      <c r="AA439" s="126"/>
      <c r="AB439" s="126"/>
    </row>
    <row r="440" spans="1:28" ht="15.75" customHeight="1">
      <c r="A440" s="126"/>
      <c r="B440" s="126"/>
      <c r="C440" s="176"/>
      <c r="D440" s="176"/>
      <c r="E440" s="176"/>
      <c r="F440" s="176"/>
      <c r="G440" s="176"/>
      <c r="H440" s="176"/>
      <c r="I440" s="126"/>
      <c r="J440" s="126"/>
      <c r="K440" s="126"/>
      <c r="L440" s="126"/>
      <c r="M440" s="126"/>
      <c r="N440" s="126"/>
      <c r="O440" s="126"/>
      <c r="P440" s="126"/>
      <c r="Q440" s="126"/>
      <c r="R440" s="126"/>
      <c r="S440" s="126"/>
      <c r="T440" s="126"/>
      <c r="U440" s="126"/>
      <c r="V440" s="126"/>
      <c r="W440" s="126"/>
      <c r="X440" s="126"/>
      <c r="Y440" s="126"/>
      <c r="Z440" s="126"/>
      <c r="AA440" s="126"/>
      <c r="AB440" s="126"/>
    </row>
    <row r="441" spans="1:28" ht="15.75" customHeight="1">
      <c r="A441" s="126"/>
      <c r="B441" s="126"/>
      <c r="C441" s="176"/>
      <c r="D441" s="176"/>
      <c r="E441" s="176"/>
      <c r="F441" s="176"/>
      <c r="G441" s="176"/>
      <c r="H441" s="176"/>
      <c r="I441" s="126"/>
      <c r="J441" s="126"/>
      <c r="K441" s="126"/>
      <c r="L441" s="126"/>
      <c r="M441" s="126"/>
      <c r="N441" s="126"/>
      <c r="O441" s="126"/>
      <c r="P441" s="126"/>
      <c r="Q441" s="126"/>
      <c r="R441" s="126"/>
      <c r="S441" s="126"/>
      <c r="T441" s="126"/>
      <c r="U441" s="126"/>
      <c r="V441" s="126"/>
      <c r="W441" s="126"/>
      <c r="X441" s="126"/>
      <c r="Y441" s="126"/>
      <c r="Z441" s="126"/>
      <c r="AA441" s="126"/>
      <c r="AB441" s="126"/>
    </row>
    <row r="442" spans="1:28" ht="15.75" customHeight="1">
      <c r="A442" s="126"/>
      <c r="B442" s="126"/>
      <c r="C442" s="176"/>
      <c r="D442" s="176"/>
      <c r="E442" s="176"/>
      <c r="F442" s="176"/>
      <c r="G442" s="176"/>
      <c r="H442" s="176"/>
      <c r="I442" s="126"/>
      <c r="J442" s="126"/>
      <c r="K442" s="126"/>
      <c r="L442" s="126"/>
      <c r="M442" s="126"/>
      <c r="N442" s="126"/>
      <c r="O442" s="126"/>
      <c r="P442" s="126"/>
      <c r="Q442" s="126"/>
      <c r="R442" s="126"/>
      <c r="S442" s="126"/>
      <c r="T442" s="126"/>
      <c r="U442" s="126"/>
      <c r="V442" s="126"/>
      <c r="W442" s="126"/>
      <c r="X442" s="126"/>
      <c r="Y442" s="126"/>
      <c r="Z442" s="126"/>
      <c r="AA442" s="126"/>
      <c r="AB442" s="126"/>
    </row>
    <row r="443" spans="1:28" ht="15.75" customHeight="1">
      <c r="A443" s="126"/>
      <c r="B443" s="126"/>
      <c r="C443" s="176"/>
      <c r="D443" s="176"/>
      <c r="E443" s="176"/>
      <c r="F443" s="176"/>
      <c r="G443" s="176"/>
      <c r="H443" s="176"/>
      <c r="I443" s="126"/>
      <c r="J443" s="126"/>
      <c r="K443" s="126"/>
      <c r="L443" s="126"/>
      <c r="M443" s="126"/>
      <c r="N443" s="126"/>
      <c r="O443" s="126"/>
      <c r="P443" s="126"/>
      <c r="Q443" s="126"/>
      <c r="R443" s="126"/>
      <c r="S443" s="126"/>
      <c r="T443" s="126"/>
      <c r="U443" s="126"/>
      <c r="V443" s="126"/>
      <c r="W443" s="126"/>
      <c r="X443" s="126"/>
      <c r="Y443" s="126"/>
      <c r="Z443" s="126"/>
      <c r="AA443" s="126"/>
      <c r="AB443" s="126"/>
    </row>
    <row r="444" spans="1:28" ht="15.75" customHeight="1">
      <c r="A444" s="126"/>
      <c r="B444" s="126"/>
      <c r="C444" s="176"/>
      <c r="D444" s="176"/>
      <c r="E444" s="176"/>
      <c r="F444" s="176"/>
      <c r="G444" s="176"/>
      <c r="H444" s="176"/>
      <c r="I444" s="126"/>
      <c r="J444" s="126"/>
      <c r="K444" s="126"/>
      <c r="L444" s="126"/>
      <c r="M444" s="126"/>
      <c r="N444" s="126"/>
      <c r="O444" s="126"/>
      <c r="P444" s="126"/>
      <c r="Q444" s="126"/>
      <c r="R444" s="126"/>
      <c r="S444" s="126"/>
      <c r="T444" s="126"/>
      <c r="U444" s="126"/>
      <c r="V444" s="126"/>
      <c r="W444" s="126"/>
      <c r="X444" s="126"/>
      <c r="Y444" s="126"/>
      <c r="Z444" s="126"/>
      <c r="AA444" s="126"/>
      <c r="AB444" s="126"/>
    </row>
    <row r="445" spans="1:28" ht="15.75" customHeight="1">
      <c r="A445" s="126"/>
      <c r="B445" s="126"/>
      <c r="C445" s="176"/>
      <c r="D445" s="176"/>
      <c r="E445" s="176"/>
      <c r="F445" s="176"/>
      <c r="G445" s="176"/>
      <c r="H445" s="176"/>
      <c r="I445" s="126"/>
      <c r="J445" s="126"/>
      <c r="K445" s="126"/>
      <c r="L445" s="126"/>
      <c r="M445" s="126"/>
      <c r="N445" s="126"/>
      <c r="O445" s="126"/>
      <c r="P445" s="126"/>
      <c r="Q445" s="126"/>
      <c r="R445" s="126"/>
      <c r="S445" s="126"/>
      <c r="T445" s="126"/>
      <c r="U445" s="126"/>
      <c r="V445" s="126"/>
      <c r="W445" s="126"/>
      <c r="X445" s="126"/>
      <c r="Y445" s="126"/>
      <c r="Z445" s="126"/>
      <c r="AA445" s="126"/>
      <c r="AB445" s="126"/>
    </row>
    <row r="446" spans="1:28" ht="15.75" customHeight="1">
      <c r="A446" s="126"/>
      <c r="B446" s="126"/>
      <c r="C446" s="176"/>
      <c r="D446" s="176"/>
      <c r="E446" s="176"/>
      <c r="F446" s="176"/>
      <c r="G446" s="176"/>
      <c r="H446" s="176"/>
      <c r="I446" s="126"/>
      <c r="J446" s="126"/>
      <c r="K446" s="126"/>
      <c r="L446" s="126"/>
      <c r="M446" s="126"/>
      <c r="N446" s="126"/>
      <c r="O446" s="126"/>
      <c r="P446" s="126"/>
      <c r="Q446" s="126"/>
      <c r="R446" s="126"/>
      <c r="S446" s="126"/>
      <c r="T446" s="126"/>
      <c r="U446" s="126"/>
      <c r="V446" s="126"/>
      <c r="W446" s="126"/>
      <c r="X446" s="126"/>
      <c r="Y446" s="126"/>
      <c r="Z446" s="126"/>
      <c r="AA446" s="126"/>
      <c r="AB446" s="126"/>
    </row>
    <row r="447" spans="1:28" ht="15.75" customHeight="1">
      <c r="A447" s="126"/>
      <c r="B447" s="126"/>
      <c r="C447" s="176"/>
      <c r="D447" s="176"/>
      <c r="E447" s="176"/>
      <c r="F447" s="176"/>
      <c r="G447" s="176"/>
      <c r="H447" s="176"/>
      <c r="I447" s="126"/>
      <c r="J447" s="126"/>
      <c r="K447" s="126"/>
      <c r="L447" s="126"/>
      <c r="M447" s="126"/>
      <c r="N447" s="126"/>
      <c r="O447" s="126"/>
      <c r="P447" s="126"/>
      <c r="Q447" s="126"/>
      <c r="R447" s="126"/>
      <c r="S447" s="126"/>
      <c r="T447" s="126"/>
      <c r="U447" s="126"/>
      <c r="V447" s="126"/>
      <c r="W447" s="126"/>
      <c r="X447" s="126"/>
      <c r="Y447" s="126"/>
      <c r="Z447" s="126"/>
      <c r="AA447" s="126"/>
      <c r="AB447" s="126"/>
    </row>
    <row r="448" spans="1:28" ht="15.75" customHeight="1">
      <c r="A448" s="126"/>
      <c r="B448" s="126"/>
      <c r="C448" s="176"/>
      <c r="D448" s="176"/>
      <c r="E448" s="176"/>
      <c r="F448" s="176"/>
      <c r="G448" s="176"/>
      <c r="H448" s="176"/>
      <c r="I448" s="126"/>
      <c r="J448" s="126"/>
      <c r="K448" s="126"/>
      <c r="L448" s="126"/>
      <c r="M448" s="126"/>
      <c r="N448" s="126"/>
      <c r="O448" s="126"/>
      <c r="P448" s="126"/>
      <c r="Q448" s="126"/>
      <c r="R448" s="126"/>
      <c r="S448" s="126"/>
      <c r="T448" s="126"/>
      <c r="U448" s="126"/>
      <c r="V448" s="126"/>
      <c r="W448" s="126"/>
      <c r="X448" s="126"/>
      <c r="Y448" s="126"/>
      <c r="Z448" s="126"/>
      <c r="AA448" s="126"/>
      <c r="AB448" s="126"/>
    </row>
    <row r="449" spans="1:28" ht="15.75" customHeight="1">
      <c r="A449" s="126"/>
      <c r="B449" s="126"/>
      <c r="C449" s="176"/>
      <c r="D449" s="176"/>
      <c r="E449" s="176"/>
      <c r="F449" s="176"/>
      <c r="G449" s="176"/>
      <c r="H449" s="176"/>
      <c r="I449" s="126"/>
      <c r="J449" s="126"/>
      <c r="K449" s="126"/>
      <c r="L449" s="126"/>
      <c r="M449" s="126"/>
      <c r="N449" s="126"/>
      <c r="O449" s="126"/>
      <c r="P449" s="126"/>
      <c r="Q449" s="126"/>
      <c r="R449" s="126"/>
      <c r="S449" s="126"/>
      <c r="T449" s="126"/>
      <c r="U449" s="126"/>
      <c r="V449" s="126"/>
      <c r="W449" s="126"/>
      <c r="X449" s="126"/>
      <c r="Y449" s="126"/>
      <c r="Z449" s="126"/>
      <c r="AA449" s="126"/>
      <c r="AB449" s="126"/>
    </row>
    <row r="450" spans="1:28" ht="15.75" customHeight="1">
      <c r="A450" s="126"/>
      <c r="B450" s="126"/>
      <c r="C450" s="176"/>
      <c r="D450" s="176"/>
      <c r="E450" s="176"/>
      <c r="F450" s="176"/>
      <c r="G450" s="176"/>
      <c r="H450" s="176"/>
      <c r="I450" s="126"/>
      <c r="J450" s="126"/>
      <c r="K450" s="126"/>
      <c r="L450" s="126"/>
      <c r="M450" s="126"/>
      <c r="N450" s="126"/>
      <c r="O450" s="126"/>
      <c r="P450" s="126"/>
      <c r="Q450" s="126"/>
      <c r="R450" s="126"/>
      <c r="S450" s="126"/>
      <c r="T450" s="126"/>
      <c r="U450" s="126"/>
      <c r="V450" s="126"/>
      <c r="W450" s="126"/>
      <c r="X450" s="126"/>
      <c r="Y450" s="126"/>
      <c r="Z450" s="126"/>
      <c r="AA450" s="126"/>
      <c r="AB450" s="126"/>
    </row>
    <row r="451" spans="1:28" ht="15.75" customHeight="1">
      <c r="A451" s="126"/>
      <c r="B451" s="126"/>
      <c r="C451" s="176"/>
      <c r="D451" s="176"/>
      <c r="E451" s="176"/>
      <c r="F451" s="176"/>
      <c r="G451" s="176"/>
      <c r="H451" s="176"/>
      <c r="I451" s="126"/>
      <c r="J451" s="126"/>
      <c r="K451" s="126"/>
      <c r="L451" s="126"/>
      <c r="M451" s="126"/>
      <c r="N451" s="126"/>
      <c r="O451" s="126"/>
      <c r="P451" s="126"/>
      <c r="Q451" s="126"/>
      <c r="R451" s="126"/>
      <c r="S451" s="126"/>
      <c r="T451" s="126"/>
      <c r="U451" s="126"/>
      <c r="V451" s="126"/>
      <c r="W451" s="126"/>
      <c r="X451" s="126"/>
      <c r="Y451" s="126"/>
      <c r="Z451" s="126"/>
      <c r="AA451" s="126"/>
      <c r="AB451" s="126"/>
    </row>
    <row r="452" spans="1:28" ht="15.75" customHeight="1">
      <c r="A452" s="126"/>
      <c r="B452" s="126"/>
      <c r="C452" s="176"/>
      <c r="D452" s="176"/>
      <c r="E452" s="176"/>
      <c r="F452" s="176"/>
      <c r="G452" s="176"/>
      <c r="H452" s="176"/>
      <c r="I452" s="126"/>
      <c r="J452" s="126"/>
      <c r="K452" s="126"/>
      <c r="L452" s="126"/>
      <c r="M452" s="126"/>
      <c r="N452" s="126"/>
      <c r="O452" s="126"/>
      <c r="P452" s="126"/>
      <c r="Q452" s="126"/>
      <c r="R452" s="126"/>
      <c r="S452" s="126"/>
      <c r="T452" s="126"/>
      <c r="U452" s="126"/>
      <c r="V452" s="126"/>
      <c r="W452" s="126"/>
      <c r="X452" s="126"/>
      <c r="Y452" s="126"/>
      <c r="Z452" s="126"/>
      <c r="AA452" s="126"/>
      <c r="AB452" s="126"/>
    </row>
    <row r="453" spans="1:28" ht="15.75" customHeight="1">
      <c r="A453" s="126"/>
      <c r="B453" s="126"/>
      <c r="C453" s="176"/>
      <c r="D453" s="176"/>
      <c r="E453" s="176"/>
      <c r="F453" s="176"/>
      <c r="G453" s="176"/>
      <c r="H453" s="176"/>
      <c r="I453" s="126"/>
      <c r="J453" s="126"/>
      <c r="K453" s="126"/>
      <c r="L453" s="126"/>
      <c r="M453" s="126"/>
      <c r="N453" s="126"/>
      <c r="O453" s="126"/>
      <c r="P453" s="126"/>
      <c r="Q453" s="126"/>
      <c r="R453" s="126"/>
      <c r="S453" s="126"/>
      <c r="T453" s="126"/>
      <c r="U453" s="126"/>
      <c r="V453" s="126"/>
      <c r="W453" s="126"/>
      <c r="X453" s="126"/>
      <c r="Y453" s="126"/>
      <c r="Z453" s="126"/>
      <c r="AA453" s="126"/>
      <c r="AB453" s="126"/>
    </row>
    <row r="454" spans="1:28" ht="15.75" customHeight="1">
      <c r="A454" s="126"/>
      <c r="B454" s="126"/>
      <c r="C454" s="176"/>
      <c r="D454" s="176"/>
      <c r="E454" s="176"/>
      <c r="F454" s="176"/>
      <c r="G454" s="176"/>
      <c r="H454" s="176"/>
      <c r="I454" s="126"/>
      <c r="J454" s="126"/>
      <c r="K454" s="126"/>
      <c r="L454" s="126"/>
      <c r="M454" s="126"/>
      <c r="N454" s="126"/>
      <c r="O454" s="126"/>
      <c r="P454" s="126"/>
      <c r="Q454" s="126"/>
      <c r="R454" s="126"/>
      <c r="S454" s="126"/>
      <c r="T454" s="126"/>
      <c r="U454" s="126"/>
      <c r="V454" s="126"/>
      <c r="W454" s="126"/>
      <c r="X454" s="126"/>
      <c r="Y454" s="126"/>
      <c r="Z454" s="126"/>
      <c r="AA454" s="126"/>
      <c r="AB454" s="126"/>
    </row>
    <row r="455" spans="1:28" ht="15.75" customHeight="1">
      <c r="A455" s="126"/>
      <c r="B455" s="126"/>
      <c r="C455" s="176"/>
      <c r="D455" s="176"/>
      <c r="E455" s="176"/>
      <c r="F455" s="176"/>
      <c r="G455" s="176"/>
      <c r="H455" s="176"/>
      <c r="I455" s="126"/>
      <c r="J455" s="126"/>
      <c r="K455" s="126"/>
      <c r="L455" s="126"/>
      <c r="M455" s="126"/>
      <c r="N455" s="126"/>
      <c r="O455" s="126"/>
      <c r="P455" s="126"/>
      <c r="Q455" s="126"/>
      <c r="R455" s="126"/>
      <c r="S455" s="126"/>
      <c r="T455" s="126"/>
      <c r="U455" s="126"/>
      <c r="V455" s="126"/>
      <c r="W455" s="126"/>
      <c r="X455" s="126"/>
      <c r="Y455" s="126"/>
      <c r="Z455" s="126"/>
      <c r="AA455" s="126"/>
      <c r="AB455" s="126"/>
    </row>
    <row r="456" spans="1:28" ht="15.75" customHeight="1">
      <c r="A456" s="126"/>
      <c r="B456" s="126"/>
      <c r="C456" s="176"/>
      <c r="D456" s="176"/>
      <c r="E456" s="176"/>
      <c r="F456" s="176"/>
      <c r="G456" s="176"/>
      <c r="H456" s="176"/>
      <c r="I456" s="126"/>
      <c r="J456" s="126"/>
      <c r="K456" s="126"/>
      <c r="L456" s="126"/>
      <c r="M456" s="126"/>
      <c r="N456" s="126"/>
      <c r="O456" s="126"/>
      <c r="P456" s="126"/>
      <c r="Q456" s="126"/>
      <c r="R456" s="126"/>
      <c r="S456" s="126"/>
      <c r="T456" s="126"/>
      <c r="U456" s="126"/>
      <c r="V456" s="126"/>
      <c r="W456" s="126"/>
      <c r="X456" s="126"/>
      <c r="Y456" s="126"/>
      <c r="Z456" s="126"/>
      <c r="AA456" s="126"/>
      <c r="AB456" s="126"/>
    </row>
    <row r="457" spans="1:28" ht="15.75" customHeight="1">
      <c r="A457" s="126"/>
      <c r="B457" s="126"/>
      <c r="C457" s="176"/>
      <c r="D457" s="176"/>
      <c r="E457" s="176"/>
      <c r="F457" s="176"/>
      <c r="G457" s="176"/>
      <c r="H457" s="176"/>
      <c r="I457" s="126"/>
      <c r="J457" s="126"/>
      <c r="K457" s="126"/>
      <c r="L457" s="126"/>
      <c r="M457" s="126"/>
      <c r="N457" s="126"/>
      <c r="O457" s="126"/>
      <c r="P457" s="126"/>
      <c r="Q457" s="126"/>
      <c r="R457" s="126"/>
      <c r="S457" s="126"/>
      <c r="T457" s="126"/>
      <c r="U457" s="126"/>
      <c r="V457" s="126"/>
      <c r="W457" s="126"/>
      <c r="X457" s="126"/>
      <c r="Y457" s="126"/>
      <c r="Z457" s="126"/>
      <c r="AA457" s="126"/>
      <c r="AB457" s="126"/>
    </row>
    <row r="458" spans="1:28" ht="15.75" customHeight="1">
      <c r="A458" s="126"/>
      <c r="B458" s="126"/>
      <c r="C458" s="176"/>
      <c r="D458" s="176"/>
      <c r="E458" s="176"/>
      <c r="F458" s="176"/>
      <c r="G458" s="176"/>
      <c r="H458" s="176"/>
      <c r="I458" s="126"/>
      <c r="J458" s="126"/>
      <c r="K458" s="126"/>
      <c r="L458" s="126"/>
      <c r="M458" s="126"/>
      <c r="N458" s="126"/>
      <c r="O458" s="126"/>
      <c r="P458" s="126"/>
      <c r="Q458" s="126"/>
      <c r="R458" s="126"/>
      <c r="S458" s="126"/>
      <c r="T458" s="126"/>
      <c r="U458" s="126"/>
      <c r="V458" s="126"/>
      <c r="W458" s="126"/>
      <c r="X458" s="126"/>
      <c r="Y458" s="126"/>
      <c r="Z458" s="126"/>
      <c r="AA458" s="126"/>
      <c r="AB458" s="126"/>
    </row>
    <row r="459" spans="1:28" ht="15.75" customHeight="1">
      <c r="A459" s="126"/>
      <c r="B459" s="126"/>
      <c r="C459" s="176"/>
      <c r="D459" s="176"/>
      <c r="E459" s="176"/>
      <c r="F459" s="176"/>
      <c r="G459" s="176"/>
      <c r="H459" s="176"/>
      <c r="I459" s="126"/>
      <c r="J459" s="126"/>
      <c r="K459" s="126"/>
      <c r="L459" s="126"/>
      <c r="M459" s="126"/>
      <c r="N459" s="126"/>
      <c r="O459" s="126"/>
      <c r="P459" s="126"/>
      <c r="Q459" s="126"/>
      <c r="R459" s="126"/>
      <c r="S459" s="126"/>
      <c r="T459" s="126"/>
      <c r="U459" s="126"/>
      <c r="V459" s="126"/>
      <c r="W459" s="126"/>
      <c r="X459" s="126"/>
      <c r="Y459" s="126"/>
      <c r="Z459" s="126"/>
      <c r="AA459" s="126"/>
      <c r="AB459" s="126"/>
    </row>
    <row r="460" spans="1:28" ht="15.75" customHeight="1">
      <c r="A460" s="126"/>
      <c r="B460" s="126"/>
      <c r="C460" s="176"/>
      <c r="D460" s="176"/>
      <c r="E460" s="176"/>
      <c r="F460" s="176"/>
      <c r="G460" s="176"/>
      <c r="H460" s="176"/>
      <c r="I460" s="126"/>
      <c r="J460" s="126"/>
      <c r="K460" s="126"/>
      <c r="L460" s="126"/>
      <c r="M460" s="126"/>
      <c r="N460" s="126"/>
      <c r="O460" s="126"/>
      <c r="P460" s="126"/>
      <c r="Q460" s="126"/>
      <c r="R460" s="126"/>
      <c r="S460" s="126"/>
      <c r="T460" s="126"/>
      <c r="U460" s="126"/>
      <c r="V460" s="126"/>
      <c r="W460" s="126"/>
      <c r="X460" s="126"/>
      <c r="Y460" s="126"/>
      <c r="Z460" s="126"/>
      <c r="AA460" s="126"/>
      <c r="AB460" s="126"/>
    </row>
    <row r="461" spans="1:28" ht="15.75" customHeight="1">
      <c r="A461" s="126"/>
      <c r="B461" s="126"/>
      <c r="C461" s="176"/>
      <c r="D461" s="176"/>
      <c r="E461" s="176"/>
      <c r="F461" s="176"/>
      <c r="G461" s="176"/>
      <c r="H461" s="176"/>
      <c r="I461" s="126"/>
      <c r="J461" s="126"/>
      <c r="K461" s="126"/>
      <c r="L461" s="126"/>
      <c r="M461" s="126"/>
      <c r="N461" s="126"/>
      <c r="O461" s="126"/>
      <c r="P461" s="126"/>
      <c r="Q461" s="126"/>
      <c r="R461" s="126"/>
      <c r="S461" s="126"/>
      <c r="T461" s="126"/>
      <c r="U461" s="126"/>
      <c r="V461" s="126"/>
      <c r="W461" s="126"/>
      <c r="X461" s="126"/>
      <c r="Y461" s="126"/>
      <c r="Z461" s="126"/>
      <c r="AA461" s="126"/>
      <c r="AB461" s="126"/>
    </row>
    <row r="462" spans="1:28" ht="15.75" customHeight="1">
      <c r="A462" s="126"/>
      <c r="B462" s="126"/>
      <c r="C462" s="176"/>
      <c r="D462" s="176"/>
      <c r="E462" s="176"/>
      <c r="F462" s="176"/>
      <c r="G462" s="176"/>
      <c r="H462" s="176"/>
      <c r="I462" s="126"/>
      <c r="J462" s="126"/>
      <c r="K462" s="126"/>
      <c r="L462" s="126"/>
      <c r="M462" s="126"/>
      <c r="N462" s="126"/>
      <c r="O462" s="126"/>
      <c r="P462" s="126"/>
      <c r="Q462" s="126"/>
      <c r="R462" s="126"/>
      <c r="S462" s="126"/>
      <c r="T462" s="126"/>
      <c r="U462" s="126"/>
      <c r="V462" s="126"/>
      <c r="W462" s="126"/>
      <c r="X462" s="126"/>
      <c r="Y462" s="126"/>
      <c r="Z462" s="126"/>
      <c r="AA462" s="126"/>
      <c r="AB462" s="126"/>
    </row>
    <row r="463" spans="1:28" ht="15.75" customHeight="1">
      <c r="A463" s="126"/>
      <c r="B463" s="126"/>
      <c r="C463" s="176"/>
      <c r="D463" s="176"/>
      <c r="E463" s="176"/>
      <c r="F463" s="176"/>
      <c r="G463" s="176"/>
      <c r="H463" s="176"/>
      <c r="I463" s="126"/>
      <c r="J463" s="126"/>
      <c r="K463" s="126"/>
      <c r="L463" s="126"/>
      <c r="M463" s="126"/>
      <c r="N463" s="126"/>
      <c r="O463" s="126"/>
      <c r="P463" s="126"/>
      <c r="Q463" s="126"/>
      <c r="R463" s="126"/>
      <c r="S463" s="126"/>
      <c r="T463" s="126"/>
      <c r="U463" s="126"/>
      <c r="V463" s="126"/>
      <c r="W463" s="126"/>
      <c r="X463" s="126"/>
      <c r="Y463" s="126"/>
      <c r="Z463" s="126"/>
      <c r="AA463" s="126"/>
      <c r="AB463" s="126"/>
    </row>
    <row r="464" spans="1:28" ht="15.75" customHeight="1">
      <c r="A464" s="126"/>
      <c r="B464" s="126"/>
      <c r="C464" s="176"/>
      <c r="D464" s="176"/>
      <c r="E464" s="176"/>
      <c r="F464" s="176"/>
      <c r="G464" s="176"/>
      <c r="H464" s="176"/>
      <c r="I464" s="126"/>
      <c r="J464" s="126"/>
      <c r="K464" s="126"/>
      <c r="L464" s="126"/>
      <c r="M464" s="126"/>
      <c r="N464" s="126"/>
      <c r="O464" s="126"/>
      <c r="P464" s="126"/>
      <c r="Q464" s="126"/>
      <c r="R464" s="126"/>
      <c r="S464" s="126"/>
      <c r="T464" s="126"/>
      <c r="U464" s="126"/>
      <c r="V464" s="126"/>
      <c r="W464" s="126"/>
      <c r="X464" s="126"/>
      <c r="Y464" s="126"/>
      <c r="Z464" s="126"/>
      <c r="AA464" s="126"/>
      <c r="AB464" s="126"/>
    </row>
    <row r="465" spans="1:28" ht="15.75" customHeight="1">
      <c r="A465" s="126"/>
      <c r="B465" s="126"/>
      <c r="C465" s="176"/>
      <c r="D465" s="176"/>
      <c r="E465" s="176"/>
      <c r="F465" s="176"/>
      <c r="G465" s="176"/>
      <c r="H465" s="176"/>
      <c r="I465" s="126"/>
      <c r="J465" s="126"/>
      <c r="K465" s="126"/>
      <c r="L465" s="126"/>
      <c r="M465" s="126"/>
      <c r="N465" s="126"/>
      <c r="O465" s="126"/>
      <c r="P465" s="126"/>
      <c r="Q465" s="126"/>
      <c r="R465" s="126"/>
      <c r="S465" s="126"/>
      <c r="T465" s="126"/>
      <c r="U465" s="126"/>
      <c r="V465" s="126"/>
      <c r="W465" s="126"/>
      <c r="X465" s="126"/>
      <c r="Y465" s="126"/>
      <c r="Z465" s="126"/>
      <c r="AA465" s="126"/>
      <c r="AB465" s="126"/>
    </row>
    <row r="466" spans="1:28" ht="15.75" customHeight="1">
      <c r="A466" s="126"/>
      <c r="B466" s="126"/>
      <c r="C466" s="176"/>
      <c r="D466" s="176"/>
      <c r="E466" s="176"/>
      <c r="F466" s="176"/>
      <c r="G466" s="176"/>
      <c r="H466" s="176"/>
      <c r="I466" s="126"/>
      <c r="J466" s="126"/>
      <c r="K466" s="126"/>
      <c r="L466" s="126"/>
      <c r="M466" s="126"/>
      <c r="N466" s="126"/>
      <c r="O466" s="126"/>
      <c r="P466" s="126"/>
      <c r="Q466" s="126"/>
      <c r="R466" s="126"/>
      <c r="S466" s="126"/>
      <c r="T466" s="126"/>
      <c r="U466" s="126"/>
      <c r="V466" s="126"/>
      <c r="W466" s="126"/>
      <c r="X466" s="126"/>
      <c r="Y466" s="126"/>
      <c r="Z466" s="126"/>
      <c r="AA466" s="126"/>
      <c r="AB466" s="126"/>
    </row>
    <row r="467" spans="1:28" ht="15.75" customHeight="1">
      <c r="A467" s="126"/>
      <c r="B467" s="126"/>
      <c r="C467" s="176"/>
      <c r="D467" s="176"/>
      <c r="E467" s="176"/>
      <c r="F467" s="176"/>
      <c r="G467" s="176"/>
      <c r="H467" s="176"/>
      <c r="I467" s="126"/>
      <c r="J467" s="126"/>
      <c r="K467" s="126"/>
      <c r="L467" s="126"/>
      <c r="M467" s="126"/>
      <c r="N467" s="126"/>
      <c r="O467" s="126"/>
      <c r="P467" s="126"/>
      <c r="Q467" s="126"/>
      <c r="R467" s="126"/>
      <c r="S467" s="126"/>
      <c r="T467" s="126"/>
      <c r="U467" s="126"/>
      <c r="V467" s="126"/>
      <c r="W467" s="126"/>
      <c r="X467" s="126"/>
      <c r="Y467" s="126"/>
      <c r="Z467" s="126"/>
      <c r="AA467" s="126"/>
      <c r="AB467" s="126"/>
    </row>
    <row r="468" spans="1:28" ht="15.75" customHeight="1">
      <c r="A468" s="126"/>
      <c r="B468" s="126"/>
      <c r="C468" s="176"/>
      <c r="D468" s="176"/>
      <c r="E468" s="176"/>
      <c r="F468" s="176"/>
      <c r="G468" s="176"/>
      <c r="H468" s="176"/>
      <c r="I468" s="126"/>
      <c r="J468" s="126"/>
      <c r="K468" s="126"/>
      <c r="L468" s="126"/>
      <c r="M468" s="126"/>
      <c r="N468" s="126"/>
      <c r="O468" s="126"/>
      <c r="P468" s="126"/>
      <c r="Q468" s="126"/>
      <c r="R468" s="126"/>
      <c r="S468" s="126"/>
      <c r="T468" s="126"/>
      <c r="U468" s="126"/>
      <c r="V468" s="126"/>
      <c r="W468" s="126"/>
      <c r="X468" s="126"/>
      <c r="Y468" s="126"/>
      <c r="Z468" s="126"/>
      <c r="AA468" s="126"/>
      <c r="AB468" s="126"/>
    </row>
    <row r="469" spans="1:28" ht="15.75" customHeight="1">
      <c r="A469" s="126"/>
      <c r="B469" s="126"/>
      <c r="C469" s="176"/>
      <c r="D469" s="176"/>
      <c r="E469" s="176"/>
      <c r="F469" s="176"/>
      <c r="G469" s="176"/>
      <c r="H469" s="176"/>
      <c r="I469" s="126"/>
      <c r="J469" s="126"/>
      <c r="K469" s="126"/>
      <c r="L469" s="126"/>
      <c r="M469" s="126"/>
      <c r="N469" s="126"/>
      <c r="O469" s="126"/>
      <c r="P469" s="126"/>
      <c r="Q469" s="126"/>
      <c r="R469" s="126"/>
      <c r="S469" s="126"/>
      <c r="T469" s="126"/>
      <c r="U469" s="126"/>
      <c r="V469" s="126"/>
      <c r="W469" s="126"/>
      <c r="X469" s="126"/>
      <c r="Y469" s="126"/>
      <c r="Z469" s="126"/>
      <c r="AA469" s="126"/>
      <c r="AB469" s="126"/>
    </row>
    <row r="470" spans="1:28" ht="15.75" customHeight="1">
      <c r="A470" s="126"/>
      <c r="B470" s="126"/>
      <c r="C470" s="176"/>
      <c r="D470" s="176"/>
      <c r="E470" s="176"/>
      <c r="F470" s="176"/>
      <c r="G470" s="176"/>
      <c r="H470" s="176"/>
      <c r="I470" s="126"/>
      <c r="J470" s="126"/>
      <c r="K470" s="126"/>
      <c r="L470" s="126"/>
      <c r="M470" s="126"/>
      <c r="N470" s="126"/>
      <c r="O470" s="126"/>
      <c r="P470" s="126"/>
      <c r="Q470" s="126"/>
      <c r="R470" s="126"/>
      <c r="S470" s="126"/>
      <c r="T470" s="126"/>
      <c r="U470" s="126"/>
      <c r="V470" s="126"/>
      <c r="W470" s="126"/>
      <c r="X470" s="126"/>
      <c r="Y470" s="126"/>
      <c r="Z470" s="126"/>
      <c r="AA470" s="126"/>
      <c r="AB470" s="126"/>
    </row>
    <row r="471" spans="1:28" ht="15.75" customHeight="1">
      <c r="A471" s="126"/>
      <c r="B471" s="126"/>
      <c r="C471" s="176"/>
      <c r="D471" s="176"/>
      <c r="E471" s="176"/>
      <c r="F471" s="176"/>
      <c r="G471" s="176"/>
      <c r="H471" s="176"/>
      <c r="I471" s="126"/>
      <c r="J471" s="126"/>
      <c r="K471" s="126"/>
      <c r="L471" s="126"/>
      <c r="M471" s="126"/>
      <c r="N471" s="126"/>
      <c r="O471" s="126"/>
      <c r="P471" s="126"/>
      <c r="Q471" s="126"/>
      <c r="R471" s="126"/>
      <c r="S471" s="126"/>
      <c r="T471" s="126"/>
      <c r="U471" s="126"/>
      <c r="V471" s="126"/>
      <c r="W471" s="126"/>
      <c r="X471" s="126"/>
      <c r="Y471" s="126"/>
      <c r="Z471" s="126"/>
      <c r="AA471" s="126"/>
      <c r="AB471" s="126"/>
    </row>
    <row r="472" spans="1:28" ht="15.75" customHeight="1">
      <c r="A472" s="126"/>
      <c r="B472" s="126"/>
      <c r="C472" s="176"/>
      <c r="D472" s="176"/>
      <c r="E472" s="176"/>
      <c r="F472" s="176"/>
      <c r="G472" s="176"/>
      <c r="H472" s="176"/>
      <c r="I472" s="126"/>
      <c r="J472" s="126"/>
      <c r="K472" s="126"/>
      <c r="L472" s="126"/>
      <c r="M472" s="126"/>
      <c r="N472" s="126"/>
      <c r="O472" s="126"/>
      <c r="P472" s="126"/>
      <c r="Q472" s="126"/>
      <c r="R472" s="126"/>
      <c r="S472" s="126"/>
      <c r="T472" s="126"/>
      <c r="U472" s="126"/>
      <c r="V472" s="126"/>
      <c r="W472" s="126"/>
      <c r="X472" s="126"/>
      <c r="Y472" s="126"/>
      <c r="Z472" s="126"/>
      <c r="AA472" s="126"/>
      <c r="AB472" s="126"/>
    </row>
    <row r="473" spans="1:28" ht="15.75" customHeight="1">
      <c r="A473" s="126"/>
      <c r="B473" s="126"/>
      <c r="C473" s="176"/>
      <c r="D473" s="176"/>
      <c r="E473" s="176"/>
      <c r="F473" s="176"/>
      <c r="G473" s="176"/>
      <c r="H473" s="176"/>
      <c r="I473" s="126"/>
      <c r="J473" s="126"/>
      <c r="K473" s="126"/>
      <c r="L473" s="126"/>
      <c r="M473" s="126"/>
      <c r="N473" s="126"/>
      <c r="O473" s="126"/>
      <c r="P473" s="126"/>
      <c r="Q473" s="126"/>
      <c r="R473" s="126"/>
      <c r="S473" s="126"/>
      <c r="T473" s="126"/>
      <c r="U473" s="126"/>
      <c r="V473" s="126"/>
      <c r="W473" s="126"/>
      <c r="X473" s="126"/>
      <c r="Y473" s="126"/>
      <c r="Z473" s="126"/>
      <c r="AA473" s="126"/>
      <c r="AB473" s="126"/>
    </row>
    <row r="474" spans="1:28" ht="15.75" customHeight="1">
      <c r="A474" s="126"/>
      <c r="B474" s="126"/>
      <c r="C474" s="176"/>
      <c r="D474" s="176"/>
      <c r="E474" s="176"/>
      <c r="F474" s="176"/>
      <c r="G474" s="176"/>
      <c r="H474" s="176"/>
      <c r="I474" s="126"/>
      <c r="J474" s="126"/>
      <c r="K474" s="126"/>
      <c r="L474" s="126"/>
      <c r="M474" s="126"/>
      <c r="N474" s="126"/>
      <c r="O474" s="126"/>
      <c r="P474" s="126"/>
      <c r="Q474" s="126"/>
      <c r="R474" s="126"/>
      <c r="S474" s="126"/>
      <c r="T474" s="126"/>
      <c r="U474" s="126"/>
      <c r="V474" s="126"/>
      <c r="W474" s="126"/>
      <c r="X474" s="126"/>
      <c r="Y474" s="126"/>
      <c r="Z474" s="126"/>
      <c r="AA474" s="126"/>
      <c r="AB474" s="126"/>
    </row>
    <row r="475" spans="1:28" ht="15.75" customHeight="1">
      <c r="A475" s="126"/>
      <c r="B475" s="126"/>
      <c r="C475" s="176"/>
      <c r="D475" s="176"/>
      <c r="E475" s="176"/>
      <c r="F475" s="176"/>
      <c r="G475" s="176"/>
      <c r="H475" s="176"/>
      <c r="I475" s="126"/>
      <c r="J475" s="126"/>
      <c r="K475" s="126"/>
      <c r="L475" s="126"/>
      <c r="M475" s="126"/>
      <c r="N475" s="126"/>
      <c r="O475" s="126"/>
      <c r="P475" s="126"/>
      <c r="Q475" s="126"/>
      <c r="R475" s="126"/>
      <c r="S475" s="126"/>
      <c r="T475" s="126"/>
      <c r="U475" s="126"/>
      <c r="V475" s="126"/>
      <c r="W475" s="126"/>
      <c r="X475" s="126"/>
      <c r="Y475" s="126"/>
      <c r="Z475" s="126"/>
      <c r="AA475" s="126"/>
      <c r="AB475" s="126"/>
    </row>
    <row r="476" spans="1:28" ht="15.75" customHeight="1">
      <c r="A476" s="126"/>
      <c r="B476" s="126"/>
      <c r="C476" s="176"/>
      <c r="D476" s="176"/>
      <c r="E476" s="176"/>
      <c r="F476" s="176"/>
      <c r="G476" s="176"/>
      <c r="H476" s="176"/>
      <c r="I476" s="126"/>
      <c r="J476" s="126"/>
      <c r="K476" s="126"/>
      <c r="L476" s="126"/>
      <c r="M476" s="126"/>
      <c r="N476" s="126"/>
      <c r="O476" s="126"/>
      <c r="P476" s="126"/>
      <c r="Q476" s="126"/>
      <c r="R476" s="126"/>
      <c r="S476" s="126"/>
      <c r="T476" s="126"/>
      <c r="U476" s="126"/>
      <c r="V476" s="126"/>
      <c r="W476" s="126"/>
      <c r="X476" s="126"/>
      <c r="Y476" s="126"/>
      <c r="Z476" s="126"/>
      <c r="AA476" s="126"/>
      <c r="AB476" s="126"/>
    </row>
    <row r="477" spans="1:28" ht="15.75" customHeight="1">
      <c r="A477" s="126"/>
      <c r="B477" s="126"/>
      <c r="C477" s="176"/>
      <c r="D477" s="176"/>
      <c r="E477" s="176"/>
      <c r="F477" s="176"/>
      <c r="G477" s="176"/>
      <c r="H477" s="176"/>
      <c r="I477" s="126"/>
      <c r="J477" s="126"/>
      <c r="K477" s="126"/>
      <c r="L477" s="126"/>
      <c r="M477" s="126"/>
      <c r="N477" s="126"/>
      <c r="O477" s="126"/>
      <c r="P477" s="126"/>
      <c r="Q477" s="126"/>
      <c r="R477" s="126"/>
      <c r="S477" s="126"/>
      <c r="T477" s="126"/>
      <c r="U477" s="126"/>
      <c r="V477" s="126"/>
      <c r="W477" s="126"/>
      <c r="X477" s="126"/>
      <c r="Y477" s="126"/>
      <c r="Z477" s="126"/>
      <c r="AA477" s="126"/>
      <c r="AB477" s="126"/>
    </row>
    <row r="478" spans="1:28" ht="15.75" customHeight="1">
      <c r="A478" s="126"/>
      <c r="B478" s="126"/>
      <c r="C478" s="176"/>
      <c r="D478" s="176"/>
      <c r="E478" s="176"/>
      <c r="F478" s="176"/>
      <c r="G478" s="176"/>
      <c r="H478" s="176"/>
      <c r="I478" s="126"/>
      <c r="J478" s="126"/>
      <c r="K478" s="126"/>
      <c r="L478" s="126"/>
      <c r="M478" s="126"/>
      <c r="N478" s="126"/>
      <c r="O478" s="126"/>
      <c r="P478" s="126"/>
      <c r="Q478" s="126"/>
      <c r="R478" s="126"/>
      <c r="S478" s="126"/>
      <c r="T478" s="126"/>
      <c r="U478" s="126"/>
      <c r="V478" s="126"/>
      <c r="W478" s="126"/>
      <c r="X478" s="126"/>
      <c r="Y478" s="126"/>
      <c r="Z478" s="126"/>
      <c r="AA478" s="126"/>
      <c r="AB478" s="126"/>
    </row>
    <row r="479" spans="1:28" ht="15.75" customHeight="1">
      <c r="A479" s="126"/>
      <c r="B479" s="126"/>
      <c r="C479" s="176"/>
      <c r="D479" s="176"/>
      <c r="E479" s="176"/>
      <c r="F479" s="176"/>
      <c r="G479" s="176"/>
      <c r="H479" s="176"/>
      <c r="I479" s="126"/>
      <c r="J479" s="126"/>
      <c r="K479" s="126"/>
      <c r="L479" s="126"/>
      <c r="M479" s="126"/>
      <c r="N479" s="126"/>
      <c r="O479" s="126"/>
      <c r="P479" s="126"/>
      <c r="Q479" s="126"/>
      <c r="R479" s="126"/>
      <c r="S479" s="126"/>
      <c r="T479" s="126"/>
      <c r="U479" s="126"/>
      <c r="V479" s="126"/>
      <c r="W479" s="126"/>
      <c r="X479" s="126"/>
      <c r="Y479" s="126"/>
      <c r="Z479" s="126"/>
      <c r="AA479" s="126"/>
      <c r="AB479" s="126"/>
    </row>
    <row r="480" spans="1:28" ht="15.75" customHeight="1">
      <c r="A480" s="126"/>
      <c r="B480" s="126"/>
      <c r="C480" s="176"/>
      <c r="D480" s="176"/>
      <c r="E480" s="176"/>
      <c r="F480" s="176"/>
      <c r="G480" s="176"/>
      <c r="H480" s="176"/>
      <c r="I480" s="126"/>
      <c r="J480" s="126"/>
      <c r="K480" s="126"/>
      <c r="L480" s="126"/>
      <c r="M480" s="126"/>
      <c r="N480" s="126"/>
      <c r="O480" s="126"/>
      <c r="P480" s="126"/>
      <c r="Q480" s="126"/>
      <c r="R480" s="126"/>
      <c r="S480" s="126"/>
      <c r="T480" s="126"/>
      <c r="U480" s="126"/>
      <c r="V480" s="126"/>
      <c r="W480" s="126"/>
      <c r="X480" s="126"/>
      <c r="Y480" s="126"/>
      <c r="Z480" s="126"/>
      <c r="AA480" s="126"/>
      <c r="AB480" s="126"/>
    </row>
    <row r="481" spans="1:28" ht="15.75" customHeight="1">
      <c r="A481" s="126"/>
      <c r="B481" s="126"/>
      <c r="C481" s="176"/>
      <c r="D481" s="176"/>
      <c r="E481" s="176"/>
      <c r="F481" s="176"/>
      <c r="G481" s="176"/>
      <c r="H481" s="176"/>
      <c r="I481" s="126"/>
      <c r="J481" s="126"/>
      <c r="K481" s="126"/>
      <c r="L481" s="126"/>
      <c r="M481" s="126"/>
      <c r="N481" s="126"/>
      <c r="O481" s="126"/>
      <c r="P481" s="126"/>
      <c r="Q481" s="126"/>
      <c r="R481" s="126"/>
      <c r="S481" s="126"/>
      <c r="T481" s="126"/>
      <c r="U481" s="126"/>
      <c r="V481" s="126"/>
      <c r="W481" s="126"/>
      <c r="X481" s="126"/>
      <c r="Y481" s="126"/>
      <c r="Z481" s="126"/>
      <c r="AA481" s="126"/>
      <c r="AB481" s="126"/>
    </row>
    <row r="482" spans="1:28" ht="15.75" customHeight="1">
      <c r="A482" s="126"/>
      <c r="B482" s="126"/>
      <c r="C482" s="176"/>
      <c r="D482" s="176"/>
      <c r="E482" s="176"/>
      <c r="F482" s="176"/>
      <c r="G482" s="176"/>
      <c r="H482" s="176"/>
      <c r="I482" s="126"/>
      <c r="J482" s="126"/>
      <c r="K482" s="126"/>
      <c r="L482" s="126"/>
      <c r="M482" s="126"/>
      <c r="N482" s="126"/>
      <c r="O482" s="126"/>
      <c r="P482" s="126"/>
      <c r="Q482" s="126"/>
      <c r="R482" s="126"/>
      <c r="S482" s="126"/>
      <c r="T482" s="126"/>
      <c r="U482" s="126"/>
      <c r="V482" s="126"/>
      <c r="W482" s="126"/>
      <c r="X482" s="126"/>
      <c r="Y482" s="126"/>
      <c r="Z482" s="126"/>
      <c r="AA482" s="126"/>
      <c r="AB482" s="126"/>
    </row>
    <row r="483" spans="1:28" ht="15.75" customHeight="1">
      <c r="A483" s="126"/>
      <c r="B483" s="126"/>
      <c r="C483" s="176"/>
      <c r="D483" s="176"/>
      <c r="E483" s="176"/>
      <c r="F483" s="176"/>
      <c r="G483" s="176"/>
      <c r="H483" s="176"/>
      <c r="I483" s="126"/>
      <c r="J483" s="126"/>
      <c r="K483" s="126"/>
      <c r="L483" s="126"/>
      <c r="M483" s="126"/>
      <c r="N483" s="126"/>
      <c r="O483" s="126"/>
      <c r="P483" s="126"/>
      <c r="Q483" s="126"/>
      <c r="R483" s="126"/>
      <c r="S483" s="126"/>
      <c r="T483" s="126"/>
      <c r="U483" s="126"/>
      <c r="V483" s="126"/>
      <c r="W483" s="126"/>
      <c r="X483" s="126"/>
      <c r="Y483" s="126"/>
      <c r="Z483" s="126"/>
      <c r="AA483" s="126"/>
      <c r="AB483" s="126"/>
    </row>
    <row r="484" spans="1:28" ht="15.75" customHeight="1">
      <c r="A484" s="126"/>
      <c r="B484" s="126"/>
      <c r="C484" s="176"/>
      <c r="D484" s="176"/>
      <c r="E484" s="176"/>
      <c r="F484" s="176"/>
      <c r="G484" s="176"/>
      <c r="H484" s="176"/>
      <c r="I484" s="126"/>
      <c r="J484" s="126"/>
      <c r="K484" s="126"/>
      <c r="L484" s="126"/>
      <c r="M484" s="126"/>
      <c r="N484" s="126"/>
      <c r="O484" s="126"/>
      <c r="P484" s="126"/>
      <c r="Q484" s="126"/>
      <c r="R484" s="126"/>
      <c r="S484" s="126"/>
      <c r="T484" s="126"/>
      <c r="U484" s="126"/>
      <c r="V484" s="126"/>
      <c r="W484" s="126"/>
      <c r="X484" s="126"/>
      <c r="Y484" s="126"/>
      <c r="Z484" s="126"/>
      <c r="AA484" s="126"/>
      <c r="AB484" s="126"/>
    </row>
    <row r="485" spans="1:28" ht="15.75" customHeight="1">
      <c r="A485" s="126"/>
      <c r="B485" s="126"/>
      <c r="C485" s="176"/>
      <c r="D485" s="176"/>
      <c r="E485" s="176"/>
      <c r="F485" s="176"/>
      <c r="G485" s="176"/>
      <c r="H485" s="176"/>
      <c r="I485" s="126"/>
      <c r="J485" s="126"/>
      <c r="K485" s="126"/>
      <c r="L485" s="126"/>
      <c r="M485" s="126"/>
      <c r="N485" s="126"/>
      <c r="O485" s="126"/>
      <c r="P485" s="126"/>
      <c r="Q485" s="126"/>
      <c r="R485" s="126"/>
      <c r="S485" s="126"/>
      <c r="T485" s="126"/>
      <c r="U485" s="126"/>
      <c r="V485" s="126"/>
      <c r="W485" s="126"/>
      <c r="X485" s="126"/>
      <c r="Y485" s="126"/>
      <c r="Z485" s="126"/>
      <c r="AA485" s="126"/>
      <c r="AB485" s="126"/>
    </row>
    <row r="486" spans="1:28" ht="15.75" customHeight="1">
      <c r="A486" s="126"/>
      <c r="B486" s="126"/>
      <c r="C486" s="176"/>
      <c r="D486" s="176"/>
      <c r="E486" s="176"/>
      <c r="F486" s="176"/>
      <c r="G486" s="176"/>
      <c r="H486" s="176"/>
      <c r="I486" s="126"/>
      <c r="J486" s="126"/>
      <c r="K486" s="126"/>
      <c r="L486" s="126"/>
      <c r="M486" s="126"/>
      <c r="N486" s="126"/>
      <c r="O486" s="126"/>
      <c r="P486" s="126"/>
      <c r="Q486" s="126"/>
      <c r="R486" s="126"/>
      <c r="S486" s="126"/>
      <c r="T486" s="126"/>
      <c r="U486" s="126"/>
      <c r="V486" s="126"/>
      <c r="W486" s="126"/>
      <c r="X486" s="126"/>
      <c r="Y486" s="126"/>
      <c r="Z486" s="126"/>
      <c r="AA486" s="126"/>
      <c r="AB486" s="126"/>
    </row>
    <row r="487" spans="1:28" ht="15.75" customHeight="1">
      <c r="A487" s="126"/>
      <c r="B487" s="126"/>
      <c r="C487" s="176"/>
      <c r="D487" s="176"/>
      <c r="E487" s="176"/>
      <c r="F487" s="176"/>
      <c r="G487" s="176"/>
      <c r="H487" s="176"/>
      <c r="I487" s="126"/>
      <c r="J487" s="126"/>
      <c r="K487" s="126"/>
      <c r="L487" s="126"/>
      <c r="M487" s="126"/>
      <c r="N487" s="126"/>
      <c r="O487" s="126"/>
      <c r="P487" s="126"/>
      <c r="Q487" s="126"/>
      <c r="R487" s="126"/>
      <c r="S487" s="126"/>
      <c r="T487" s="126"/>
      <c r="U487" s="126"/>
      <c r="V487" s="126"/>
      <c r="W487" s="126"/>
      <c r="X487" s="126"/>
      <c r="Y487" s="126"/>
      <c r="Z487" s="126"/>
      <c r="AA487" s="126"/>
      <c r="AB487" s="126"/>
    </row>
    <row r="488" spans="1:28" ht="15.75" customHeight="1">
      <c r="A488" s="126"/>
      <c r="B488" s="126"/>
      <c r="C488" s="176"/>
      <c r="D488" s="176"/>
      <c r="E488" s="176"/>
      <c r="F488" s="176"/>
      <c r="G488" s="176"/>
      <c r="H488" s="176"/>
      <c r="I488" s="126"/>
      <c r="J488" s="126"/>
      <c r="K488" s="126"/>
      <c r="L488" s="126"/>
      <c r="M488" s="126"/>
      <c r="N488" s="126"/>
      <c r="O488" s="126"/>
      <c r="P488" s="126"/>
      <c r="Q488" s="126"/>
      <c r="R488" s="126"/>
      <c r="S488" s="126"/>
      <c r="T488" s="126"/>
      <c r="U488" s="126"/>
      <c r="V488" s="126"/>
      <c r="W488" s="126"/>
      <c r="X488" s="126"/>
      <c r="Y488" s="126"/>
      <c r="Z488" s="126"/>
      <c r="AA488" s="126"/>
      <c r="AB488" s="126"/>
    </row>
    <row r="489" spans="1:28" ht="15.75" customHeight="1">
      <c r="A489" s="126"/>
      <c r="B489" s="126"/>
      <c r="C489" s="176"/>
      <c r="D489" s="176"/>
      <c r="E489" s="176"/>
      <c r="F489" s="176"/>
      <c r="G489" s="176"/>
      <c r="H489" s="176"/>
      <c r="I489" s="126"/>
      <c r="J489" s="126"/>
      <c r="K489" s="126"/>
      <c r="L489" s="126"/>
      <c r="M489" s="126"/>
      <c r="N489" s="126"/>
      <c r="O489" s="126"/>
      <c r="P489" s="126"/>
      <c r="Q489" s="126"/>
      <c r="R489" s="126"/>
      <c r="S489" s="126"/>
      <c r="T489" s="126"/>
      <c r="U489" s="126"/>
      <c r="V489" s="126"/>
      <c r="W489" s="126"/>
      <c r="X489" s="126"/>
      <c r="Y489" s="126"/>
      <c r="Z489" s="126"/>
      <c r="AA489" s="126"/>
      <c r="AB489" s="126"/>
    </row>
    <row r="490" spans="1:28" ht="15.75" customHeight="1">
      <c r="A490" s="126"/>
      <c r="B490" s="126"/>
      <c r="C490" s="176"/>
      <c r="D490" s="176"/>
      <c r="E490" s="176"/>
      <c r="F490" s="176"/>
      <c r="G490" s="176"/>
      <c r="H490" s="176"/>
      <c r="I490" s="126"/>
      <c r="J490" s="126"/>
      <c r="K490" s="126"/>
      <c r="L490" s="126"/>
      <c r="M490" s="126"/>
      <c r="N490" s="126"/>
      <c r="O490" s="126"/>
      <c r="P490" s="126"/>
      <c r="Q490" s="126"/>
      <c r="R490" s="126"/>
      <c r="S490" s="126"/>
      <c r="T490" s="126"/>
      <c r="U490" s="126"/>
      <c r="V490" s="126"/>
      <c r="W490" s="126"/>
      <c r="X490" s="126"/>
      <c r="Y490" s="126"/>
      <c r="Z490" s="126"/>
      <c r="AA490" s="126"/>
      <c r="AB490" s="126"/>
    </row>
    <row r="491" spans="1:28" ht="15.75" customHeight="1">
      <c r="A491" s="126"/>
      <c r="B491" s="126"/>
      <c r="C491" s="176"/>
      <c r="D491" s="176"/>
      <c r="E491" s="176"/>
      <c r="F491" s="176"/>
      <c r="G491" s="176"/>
      <c r="H491" s="176"/>
      <c r="I491" s="126"/>
      <c r="J491" s="126"/>
      <c r="K491" s="126"/>
      <c r="L491" s="126"/>
      <c r="M491" s="126"/>
      <c r="N491" s="126"/>
      <c r="O491" s="126"/>
      <c r="P491" s="126"/>
      <c r="Q491" s="126"/>
      <c r="R491" s="126"/>
      <c r="S491" s="126"/>
      <c r="T491" s="126"/>
      <c r="U491" s="126"/>
      <c r="V491" s="126"/>
      <c r="W491" s="126"/>
      <c r="X491" s="126"/>
      <c r="Y491" s="126"/>
      <c r="Z491" s="126"/>
      <c r="AA491" s="126"/>
      <c r="AB491" s="126"/>
    </row>
    <row r="492" spans="1:28" ht="15.75" customHeight="1">
      <c r="A492" s="126"/>
      <c r="B492" s="126"/>
      <c r="C492" s="176"/>
      <c r="D492" s="176"/>
      <c r="E492" s="176"/>
      <c r="F492" s="176"/>
      <c r="G492" s="176"/>
      <c r="H492" s="176"/>
      <c r="I492" s="126"/>
      <c r="J492" s="126"/>
      <c r="K492" s="126"/>
      <c r="L492" s="126"/>
      <c r="M492" s="126"/>
      <c r="N492" s="126"/>
      <c r="O492" s="126"/>
      <c r="P492" s="126"/>
      <c r="Q492" s="126"/>
      <c r="R492" s="126"/>
      <c r="S492" s="126"/>
      <c r="T492" s="126"/>
      <c r="U492" s="126"/>
      <c r="V492" s="126"/>
      <c r="W492" s="126"/>
      <c r="X492" s="126"/>
      <c r="Y492" s="126"/>
      <c r="Z492" s="126"/>
      <c r="AA492" s="126"/>
      <c r="AB492" s="126"/>
    </row>
    <row r="493" spans="1:28" ht="15.75" customHeight="1">
      <c r="A493" s="126"/>
      <c r="B493" s="126"/>
      <c r="C493" s="176"/>
      <c r="D493" s="176"/>
      <c r="E493" s="176"/>
      <c r="F493" s="176"/>
      <c r="G493" s="176"/>
      <c r="H493" s="176"/>
      <c r="I493" s="126"/>
      <c r="J493" s="126"/>
      <c r="K493" s="126"/>
      <c r="L493" s="126"/>
      <c r="M493" s="126"/>
      <c r="N493" s="126"/>
      <c r="O493" s="126"/>
      <c r="P493" s="126"/>
      <c r="Q493" s="126"/>
      <c r="R493" s="126"/>
      <c r="S493" s="126"/>
      <c r="T493" s="126"/>
      <c r="U493" s="126"/>
      <c r="V493" s="126"/>
      <c r="W493" s="126"/>
      <c r="X493" s="126"/>
      <c r="Y493" s="126"/>
      <c r="Z493" s="126"/>
      <c r="AA493" s="126"/>
      <c r="AB493" s="126"/>
    </row>
    <row r="494" spans="1:28" ht="15.75" customHeight="1">
      <c r="A494" s="126"/>
      <c r="B494" s="126"/>
      <c r="C494" s="176"/>
      <c r="D494" s="176"/>
      <c r="E494" s="176"/>
      <c r="F494" s="176"/>
      <c r="G494" s="176"/>
      <c r="H494" s="176"/>
      <c r="I494" s="126"/>
      <c r="J494" s="126"/>
      <c r="K494" s="126"/>
      <c r="L494" s="126"/>
      <c r="M494" s="126"/>
      <c r="N494" s="126"/>
      <c r="O494" s="126"/>
      <c r="P494" s="126"/>
      <c r="Q494" s="126"/>
      <c r="R494" s="126"/>
      <c r="S494" s="126"/>
      <c r="T494" s="126"/>
      <c r="U494" s="126"/>
      <c r="V494" s="126"/>
      <c r="W494" s="126"/>
      <c r="X494" s="126"/>
      <c r="Y494" s="126"/>
      <c r="Z494" s="126"/>
      <c r="AA494" s="126"/>
      <c r="AB494" s="126"/>
    </row>
    <row r="495" spans="1:28" ht="15.75" customHeight="1">
      <c r="A495" s="126"/>
      <c r="B495" s="126"/>
      <c r="C495" s="176"/>
      <c r="D495" s="176"/>
      <c r="E495" s="176"/>
      <c r="F495" s="176"/>
      <c r="G495" s="176"/>
      <c r="H495" s="176"/>
      <c r="I495" s="126"/>
      <c r="J495" s="126"/>
      <c r="K495" s="126"/>
      <c r="L495" s="126"/>
      <c r="M495" s="126"/>
      <c r="N495" s="126"/>
      <c r="O495" s="126"/>
      <c r="P495" s="126"/>
      <c r="Q495" s="126"/>
      <c r="R495" s="126"/>
      <c r="S495" s="126"/>
      <c r="T495" s="126"/>
      <c r="U495" s="126"/>
      <c r="V495" s="126"/>
      <c r="W495" s="126"/>
      <c r="X495" s="126"/>
      <c r="Y495" s="126"/>
      <c r="Z495" s="126"/>
      <c r="AA495" s="126"/>
      <c r="AB495" s="126"/>
    </row>
    <row r="496" spans="1:28" ht="15.75" customHeight="1">
      <c r="A496" s="126"/>
      <c r="B496" s="126"/>
      <c r="C496" s="176"/>
      <c r="D496" s="176"/>
      <c r="E496" s="176"/>
      <c r="F496" s="176"/>
      <c r="G496" s="176"/>
      <c r="H496" s="176"/>
      <c r="I496" s="126"/>
      <c r="J496" s="126"/>
      <c r="K496" s="126"/>
      <c r="L496" s="126"/>
      <c r="M496" s="126"/>
      <c r="N496" s="126"/>
      <c r="O496" s="126"/>
      <c r="P496" s="126"/>
      <c r="Q496" s="126"/>
      <c r="R496" s="126"/>
      <c r="S496" s="126"/>
      <c r="T496" s="126"/>
      <c r="U496" s="126"/>
      <c r="V496" s="126"/>
      <c r="W496" s="126"/>
      <c r="X496" s="126"/>
      <c r="Y496" s="126"/>
      <c r="Z496" s="126"/>
      <c r="AA496" s="126"/>
      <c r="AB496" s="126"/>
    </row>
    <row r="497" spans="1:28" ht="15.75" customHeight="1">
      <c r="A497" s="126"/>
      <c r="B497" s="126"/>
      <c r="C497" s="176"/>
      <c r="D497" s="176"/>
      <c r="E497" s="176"/>
      <c r="F497" s="176"/>
      <c r="G497" s="176"/>
      <c r="H497" s="176"/>
      <c r="I497" s="126"/>
      <c r="J497" s="126"/>
      <c r="K497" s="126"/>
      <c r="L497" s="126"/>
      <c r="M497" s="126"/>
      <c r="N497" s="126"/>
      <c r="O497" s="126"/>
      <c r="P497" s="126"/>
      <c r="Q497" s="126"/>
      <c r="R497" s="126"/>
      <c r="S497" s="126"/>
      <c r="T497" s="126"/>
      <c r="U497" s="126"/>
      <c r="V497" s="126"/>
      <c r="W497" s="126"/>
      <c r="X497" s="126"/>
      <c r="Y497" s="126"/>
      <c r="Z497" s="126"/>
      <c r="AA497" s="126"/>
      <c r="AB497" s="126"/>
    </row>
    <row r="498" spans="1:28" ht="15.75" customHeight="1">
      <c r="A498" s="126"/>
      <c r="B498" s="126"/>
      <c r="C498" s="176"/>
      <c r="D498" s="176"/>
      <c r="E498" s="176"/>
      <c r="F498" s="176"/>
      <c r="G498" s="176"/>
      <c r="H498" s="176"/>
      <c r="I498" s="126"/>
      <c r="J498" s="126"/>
      <c r="K498" s="126"/>
      <c r="L498" s="126"/>
      <c r="M498" s="126"/>
      <c r="N498" s="126"/>
      <c r="O498" s="126"/>
      <c r="P498" s="126"/>
      <c r="Q498" s="126"/>
      <c r="R498" s="126"/>
      <c r="S498" s="126"/>
      <c r="T498" s="126"/>
      <c r="U498" s="126"/>
      <c r="V498" s="126"/>
      <c r="W498" s="126"/>
      <c r="X498" s="126"/>
      <c r="Y498" s="126"/>
      <c r="Z498" s="126"/>
      <c r="AA498" s="126"/>
      <c r="AB498" s="126"/>
    </row>
    <row r="499" spans="1:28" ht="15.75" customHeight="1">
      <c r="A499" s="126"/>
      <c r="B499" s="126"/>
      <c r="C499" s="176"/>
      <c r="D499" s="176"/>
      <c r="E499" s="176"/>
      <c r="F499" s="176"/>
      <c r="G499" s="176"/>
      <c r="H499" s="176"/>
      <c r="I499" s="126"/>
      <c r="J499" s="126"/>
      <c r="K499" s="126"/>
      <c r="L499" s="126"/>
      <c r="M499" s="126"/>
      <c r="N499" s="126"/>
      <c r="O499" s="126"/>
      <c r="P499" s="126"/>
      <c r="Q499" s="126"/>
      <c r="R499" s="126"/>
      <c r="S499" s="126"/>
      <c r="T499" s="126"/>
      <c r="U499" s="126"/>
      <c r="V499" s="126"/>
      <c r="W499" s="126"/>
      <c r="X499" s="126"/>
      <c r="Y499" s="126"/>
      <c r="Z499" s="126"/>
      <c r="AA499" s="126"/>
      <c r="AB499" s="126"/>
    </row>
    <row r="500" spans="1:28" ht="15.75" customHeight="1">
      <c r="A500" s="126"/>
      <c r="B500" s="126"/>
      <c r="C500" s="176"/>
      <c r="D500" s="176"/>
      <c r="E500" s="176"/>
      <c r="F500" s="176"/>
      <c r="G500" s="176"/>
      <c r="H500" s="176"/>
      <c r="I500" s="126"/>
      <c r="J500" s="126"/>
      <c r="K500" s="126"/>
      <c r="L500" s="126"/>
      <c r="M500" s="126"/>
      <c r="N500" s="126"/>
      <c r="O500" s="126"/>
      <c r="P500" s="126"/>
      <c r="Q500" s="126"/>
      <c r="R500" s="126"/>
      <c r="S500" s="126"/>
      <c r="T500" s="126"/>
      <c r="U500" s="126"/>
      <c r="V500" s="126"/>
      <c r="W500" s="126"/>
      <c r="X500" s="126"/>
      <c r="Y500" s="126"/>
      <c r="Z500" s="126"/>
      <c r="AA500" s="126"/>
      <c r="AB500" s="126"/>
    </row>
    <row r="501" spans="1:28" ht="15.75" customHeight="1">
      <c r="A501" s="126"/>
      <c r="B501" s="126"/>
      <c r="C501" s="176"/>
      <c r="D501" s="176"/>
      <c r="E501" s="176"/>
      <c r="F501" s="176"/>
      <c r="G501" s="176"/>
      <c r="H501" s="176"/>
      <c r="I501" s="126"/>
      <c r="J501" s="126"/>
      <c r="K501" s="126"/>
      <c r="L501" s="126"/>
      <c r="M501" s="126"/>
      <c r="N501" s="126"/>
      <c r="O501" s="126"/>
      <c r="P501" s="126"/>
      <c r="Q501" s="126"/>
      <c r="R501" s="126"/>
      <c r="S501" s="126"/>
      <c r="T501" s="126"/>
      <c r="U501" s="126"/>
      <c r="V501" s="126"/>
      <c r="W501" s="126"/>
      <c r="X501" s="126"/>
      <c r="Y501" s="126"/>
      <c r="Z501" s="126"/>
      <c r="AA501" s="126"/>
      <c r="AB501" s="126"/>
    </row>
    <row r="502" spans="1:28" ht="15.75" customHeight="1">
      <c r="A502" s="126"/>
      <c r="B502" s="126"/>
      <c r="C502" s="176"/>
      <c r="D502" s="176"/>
      <c r="E502" s="176"/>
      <c r="F502" s="176"/>
      <c r="G502" s="176"/>
      <c r="H502" s="176"/>
      <c r="I502" s="126"/>
      <c r="J502" s="126"/>
      <c r="K502" s="126"/>
      <c r="L502" s="126"/>
      <c r="M502" s="126"/>
      <c r="N502" s="126"/>
      <c r="O502" s="126"/>
      <c r="P502" s="126"/>
      <c r="Q502" s="126"/>
      <c r="R502" s="126"/>
      <c r="S502" s="126"/>
      <c r="T502" s="126"/>
      <c r="U502" s="126"/>
      <c r="V502" s="126"/>
      <c r="W502" s="126"/>
      <c r="X502" s="126"/>
      <c r="Y502" s="126"/>
      <c r="Z502" s="126"/>
      <c r="AA502" s="126"/>
      <c r="AB502" s="126"/>
    </row>
    <row r="503" spans="1:28" ht="15.75" customHeight="1">
      <c r="A503" s="126"/>
      <c r="B503" s="126"/>
      <c r="C503" s="176"/>
      <c r="D503" s="176"/>
      <c r="E503" s="176"/>
      <c r="F503" s="176"/>
      <c r="G503" s="176"/>
      <c r="H503" s="176"/>
      <c r="I503" s="126"/>
      <c r="J503" s="126"/>
      <c r="K503" s="126"/>
      <c r="L503" s="126"/>
      <c r="M503" s="126"/>
      <c r="N503" s="126"/>
      <c r="O503" s="126"/>
      <c r="P503" s="126"/>
      <c r="Q503" s="126"/>
      <c r="R503" s="126"/>
      <c r="S503" s="126"/>
      <c r="T503" s="126"/>
      <c r="U503" s="126"/>
      <c r="V503" s="126"/>
      <c r="W503" s="126"/>
      <c r="X503" s="126"/>
      <c r="Y503" s="126"/>
      <c r="Z503" s="126"/>
      <c r="AA503" s="126"/>
      <c r="AB503" s="126"/>
    </row>
    <row r="504" spans="1:28" ht="15.75" customHeight="1">
      <c r="A504" s="126"/>
      <c r="B504" s="126"/>
      <c r="C504" s="176"/>
      <c r="D504" s="176"/>
      <c r="E504" s="176"/>
      <c r="F504" s="176"/>
      <c r="G504" s="176"/>
      <c r="H504" s="176"/>
      <c r="I504" s="126"/>
      <c r="J504" s="126"/>
      <c r="K504" s="126"/>
      <c r="L504" s="126"/>
      <c r="M504" s="126"/>
      <c r="N504" s="126"/>
      <c r="O504" s="126"/>
      <c r="P504" s="126"/>
      <c r="Q504" s="126"/>
      <c r="R504" s="126"/>
      <c r="S504" s="126"/>
      <c r="T504" s="126"/>
      <c r="U504" s="126"/>
      <c r="V504" s="126"/>
      <c r="W504" s="126"/>
      <c r="X504" s="126"/>
      <c r="Y504" s="126"/>
      <c r="Z504" s="126"/>
      <c r="AA504" s="126"/>
      <c r="AB504" s="126"/>
    </row>
    <row r="505" spans="1:28" ht="15.75" customHeight="1">
      <c r="A505" s="126"/>
      <c r="B505" s="126"/>
      <c r="C505" s="176"/>
      <c r="D505" s="176"/>
      <c r="E505" s="176"/>
      <c r="F505" s="176"/>
      <c r="G505" s="176"/>
      <c r="H505" s="176"/>
      <c r="I505" s="126"/>
      <c r="J505" s="126"/>
      <c r="K505" s="126"/>
      <c r="L505" s="126"/>
      <c r="M505" s="126"/>
      <c r="N505" s="126"/>
      <c r="O505" s="126"/>
      <c r="P505" s="126"/>
      <c r="Q505" s="126"/>
      <c r="R505" s="126"/>
      <c r="S505" s="126"/>
      <c r="T505" s="126"/>
      <c r="U505" s="126"/>
      <c r="V505" s="126"/>
      <c r="W505" s="126"/>
      <c r="X505" s="126"/>
      <c r="Y505" s="126"/>
      <c r="Z505" s="126"/>
      <c r="AA505" s="126"/>
      <c r="AB505" s="126"/>
    </row>
    <row r="506" spans="1:28" ht="15.75" customHeight="1">
      <c r="A506" s="126"/>
      <c r="B506" s="126"/>
      <c r="C506" s="176"/>
      <c r="D506" s="176"/>
      <c r="E506" s="176"/>
      <c r="F506" s="176"/>
      <c r="G506" s="176"/>
      <c r="H506" s="176"/>
      <c r="I506" s="126"/>
      <c r="J506" s="126"/>
      <c r="K506" s="126"/>
      <c r="L506" s="126"/>
      <c r="M506" s="126"/>
      <c r="N506" s="126"/>
      <c r="O506" s="126"/>
      <c r="P506" s="126"/>
      <c r="Q506" s="126"/>
      <c r="R506" s="126"/>
      <c r="S506" s="126"/>
      <c r="T506" s="126"/>
      <c r="U506" s="126"/>
      <c r="V506" s="126"/>
      <c r="W506" s="126"/>
      <c r="X506" s="126"/>
      <c r="Y506" s="126"/>
      <c r="Z506" s="126"/>
      <c r="AA506" s="126"/>
      <c r="AB506" s="126"/>
    </row>
    <row r="507" spans="1:28" ht="15.75" customHeight="1">
      <c r="A507" s="126"/>
      <c r="B507" s="126"/>
      <c r="C507" s="176"/>
      <c r="D507" s="176"/>
      <c r="E507" s="176"/>
      <c r="F507" s="176"/>
      <c r="G507" s="176"/>
      <c r="H507" s="176"/>
      <c r="I507" s="126"/>
      <c r="J507" s="126"/>
      <c r="K507" s="126"/>
      <c r="L507" s="126"/>
      <c r="M507" s="126"/>
      <c r="N507" s="126"/>
      <c r="O507" s="126"/>
      <c r="P507" s="126"/>
      <c r="Q507" s="126"/>
      <c r="R507" s="126"/>
      <c r="S507" s="126"/>
      <c r="T507" s="126"/>
      <c r="U507" s="126"/>
      <c r="V507" s="126"/>
      <c r="W507" s="126"/>
      <c r="X507" s="126"/>
      <c r="Y507" s="126"/>
      <c r="Z507" s="126"/>
      <c r="AA507" s="126"/>
      <c r="AB507" s="126"/>
    </row>
    <row r="508" spans="1:28" ht="15.75" customHeight="1">
      <c r="A508" s="126"/>
      <c r="B508" s="126"/>
      <c r="C508" s="176"/>
      <c r="D508" s="176"/>
      <c r="E508" s="176"/>
      <c r="F508" s="176"/>
      <c r="G508" s="176"/>
      <c r="H508" s="176"/>
      <c r="I508" s="126"/>
      <c r="J508" s="126"/>
      <c r="K508" s="126"/>
      <c r="L508" s="126"/>
      <c r="M508" s="126"/>
      <c r="N508" s="126"/>
      <c r="O508" s="126"/>
      <c r="P508" s="126"/>
      <c r="Q508" s="126"/>
      <c r="R508" s="126"/>
      <c r="S508" s="126"/>
      <c r="T508" s="126"/>
      <c r="U508" s="126"/>
      <c r="V508" s="126"/>
      <c r="W508" s="126"/>
      <c r="X508" s="126"/>
      <c r="Y508" s="126"/>
      <c r="Z508" s="126"/>
      <c r="AA508" s="126"/>
      <c r="AB508" s="126"/>
    </row>
    <row r="509" spans="1:28" ht="15.75" customHeight="1">
      <c r="A509" s="126"/>
      <c r="B509" s="126"/>
      <c r="C509" s="176"/>
      <c r="D509" s="176"/>
      <c r="E509" s="176"/>
      <c r="F509" s="176"/>
      <c r="G509" s="176"/>
      <c r="H509" s="176"/>
      <c r="I509" s="126"/>
      <c r="J509" s="126"/>
      <c r="K509" s="126"/>
      <c r="L509" s="126"/>
      <c r="M509" s="126"/>
      <c r="N509" s="126"/>
      <c r="O509" s="126"/>
      <c r="P509" s="126"/>
      <c r="Q509" s="126"/>
      <c r="R509" s="126"/>
      <c r="S509" s="126"/>
      <c r="T509" s="126"/>
      <c r="U509" s="126"/>
      <c r="V509" s="126"/>
      <c r="W509" s="126"/>
      <c r="X509" s="126"/>
      <c r="Y509" s="126"/>
      <c r="Z509" s="126"/>
      <c r="AA509" s="126"/>
      <c r="AB509" s="126"/>
    </row>
    <row r="510" spans="1:28" ht="15.75" customHeight="1">
      <c r="A510" s="126"/>
      <c r="B510" s="126"/>
      <c r="C510" s="176"/>
      <c r="D510" s="176"/>
      <c r="E510" s="176"/>
      <c r="F510" s="176"/>
      <c r="G510" s="176"/>
      <c r="H510" s="176"/>
      <c r="I510" s="126"/>
      <c r="J510" s="126"/>
      <c r="K510" s="126"/>
      <c r="L510" s="126"/>
      <c r="M510" s="126"/>
      <c r="N510" s="126"/>
      <c r="O510" s="126"/>
      <c r="P510" s="126"/>
      <c r="Q510" s="126"/>
      <c r="R510" s="126"/>
      <c r="S510" s="126"/>
      <c r="T510" s="126"/>
      <c r="U510" s="126"/>
      <c r="V510" s="126"/>
      <c r="W510" s="126"/>
      <c r="X510" s="126"/>
      <c r="Y510" s="126"/>
      <c r="Z510" s="126"/>
      <c r="AA510" s="126"/>
      <c r="AB510" s="126"/>
    </row>
    <row r="511" spans="1:28" ht="15.75" customHeight="1">
      <c r="A511" s="126"/>
      <c r="B511" s="126"/>
      <c r="C511" s="176"/>
      <c r="D511" s="176"/>
      <c r="E511" s="176"/>
      <c r="F511" s="176"/>
      <c r="G511" s="176"/>
      <c r="H511" s="176"/>
      <c r="I511" s="126"/>
      <c r="J511" s="126"/>
      <c r="K511" s="126"/>
      <c r="L511" s="126"/>
      <c r="M511" s="126"/>
      <c r="N511" s="126"/>
      <c r="O511" s="126"/>
      <c r="P511" s="126"/>
      <c r="Q511" s="126"/>
      <c r="R511" s="126"/>
      <c r="S511" s="126"/>
      <c r="T511" s="126"/>
      <c r="U511" s="126"/>
      <c r="V511" s="126"/>
      <c r="W511" s="126"/>
      <c r="X511" s="126"/>
      <c r="Y511" s="126"/>
      <c r="Z511" s="126"/>
      <c r="AA511" s="126"/>
      <c r="AB511" s="126"/>
    </row>
    <row r="512" spans="1:28" ht="15.75" customHeight="1">
      <c r="A512" s="126"/>
      <c r="B512" s="126"/>
      <c r="C512" s="176"/>
      <c r="D512" s="176"/>
      <c r="E512" s="176"/>
      <c r="F512" s="176"/>
      <c r="G512" s="176"/>
      <c r="H512" s="176"/>
      <c r="I512" s="126"/>
      <c r="J512" s="126"/>
      <c r="K512" s="126"/>
      <c r="L512" s="126"/>
      <c r="M512" s="126"/>
      <c r="N512" s="126"/>
      <c r="O512" s="126"/>
      <c r="P512" s="126"/>
      <c r="Q512" s="126"/>
      <c r="R512" s="126"/>
      <c r="S512" s="126"/>
      <c r="T512" s="126"/>
      <c r="U512" s="126"/>
      <c r="V512" s="126"/>
      <c r="W512" s="126"/>
      <c r="X512" s="126"/>
      <c r="Y512" s="126"/>
      <c r="Z512" s="126"/>
      <c r="AA512" s="126"/>
      <c r="AB512" s="126"/>
    </row>
    <row r="513" spans="1:28" ht="15.75" customHeight="1">
      <c r="A513" s="126"/>
      <c r="B513" s="126"/>
      <c r="C513" s="176"/>
      <c r="D513" s="176"/>
      <c r="E513" s="176"/>
      <c r="F513" s="176"/>
      <c r="G513" s="176"/>
      <c r="H513" s="176"/>
      <c r="I513" s="126"/>
      <c r="J513" s="126"/>
      <c r="K513" s="126"/>
      <c r="L513" s="126"/>
      <c r="M513" s="126"/>
      <c r="N513" s="126"/>
      <c r="O513" s="126"/>
      <c r="P513" s="126"/>
      <c r="Q513" s="126"/>
      <c r="R513" s="126"/>
      <c r="S513" s="126"/>
      <c r="T513" s="126"/>
      <c r="U513" s="126"/>
      <c r="V513" s="126"/>
      <c r="W513" s="126"/>
      <c r="X513" s="126"/>
      <c r="Y513" s="126"/>
      <c r="Z513" s="126"/>
      <c r="AA513" s="126"/>
      <c r="AB513" s="126"/>
    </row>
    <row r="514" spans="1:28" ht="15.75" customHeight="1">
      <c r="A514" s="126"/>
      <c r="B514" s="126"/>
      <c r="C514" s="176"/>
      <c r="D514" s="176"/>
      <c r="E514" s="176"/>
      <c r="F514" s="176"/>
      <c r="G514" s="176"/>
      <c r="H514" s="176"/>
      <c r="I514" s="126"/>
      <c r="J514" s="126"/>
      <c r="K514" s="126"/>
      <c r="L514" s="126"/>
      <c r="M514" s="126"/>
      <c r="N514" s="126"/>
      <c r="O514" s="126"/>
      <c r="P514" s="126"/>
      <c r="Q514" s="126"/>
      <c r="R514" s="126"/>
      <c r="S514" s="126"/>
      <c r="T514" s="126"/>
      <c r="U514" s="126"/>
      <c r="V514" s="126"/>
      <c r="W514" s="126"/>
      <c r="X514" s="126"/>
      <c r="Y514" s="126"/>
      <c r="Z514" s="126"/>
      <c r="AA514" s="126"/>
      <c r="AB514" s="126"/>
    </row>
    <row r="515" spans="1:28" ht="15.75" customHeight="1">
      <c r="A515" s="126"/>
      <c r="B515" s="126"/>
      <c r="C515" s="176"/>
      <c r="D515" s="176"/>
      <c r="E515" s="176"/>
      <c r="F515" s="176"/>
      <c r="G515" s="176"/>
      <c r="H515" s="176"/>
      <c r="I515" s="126"/>
      <c r="J515" s="126"/>
      <c r="K515" s="126"/>
      <c r="L515" s="126"/>
      <c r="M515" s="126"/>
      <c r="N515" s="126"/>
      <c r="O515" s="126"/>
      <c r="P515" s="126"/>
      <c r="Q515" s="126"/>
      <c r="R515" s="126"/>
      <c r="S515" s="126"/>
      <c r="T515" s="126"/>
      <c r="U515" s="126"/>
      <c r="V515" s="126"/>
      <c r="W515" s="126"/>
      <c r="X515" s="126"/>
      <c r="Y515" s="126"/>
      <c r="Z515" s="126"/>
      <c r="AA515" s="126"/>
      <c r="AB515" s="126"/>
    </row>
    <row r="516" spans="1:28" ht="15.75" customHeight="1">
      <c r="A516" s="126"/>
      <c r="B516" s="126"/>
      <c r="C516" s="176"/>
      <c r="D516" s="176"/>
      <c r="E516" s="176"/>
      <c r="F516" s="176"/>
      <c r="G516" s="176"/>
      <c r="H516" s="176"/>
      <c r="I516" s="126"/>
      <c r="J516" s="126"/>
      <c r="K516" s="126"/>
      <c r="L516" s="126"/>
      <c r="M516" s="126"/>
      <c r="N516" s="126"/>
      <c r="O516" s="126"/>
      <c r="P516" s="126"/>
      <c r="Q516" s="126"/>
      <c r="R516" s="126"/>
      <c r="S516" s="126"/>
      <c r="T516" s="126"/>
      <c r="U516" s="126"/>
      <c r="V516" s="126"/>
      <c r="W516" s="126"/>
      <c r="X516" s="126"/>
      <c r="Y516" s="126"/>
      <c r="Z516" s="126"/>
      <c r="AA516" s="126"/>
      <c r="AB516" s="126"/>
    </row>
    <row r="517" spans="1:28" ht="15.75" customHeight="1">
      <c r="A517" s="126"/>
      <c r="B517" s="126"/>
      <c r="C517" s="176"/>
      <c r="D517" s="176"/>
      <c r="E517" s="176"/>
      <c r="F517" s="176"/>
      <c r="G517" s="176"/>
      <c r="H517" s="176"/>
      <c r="I517" s="126"/>
      <c r="J517" s="126"/>
      <c r="K517" s="126"/>
      <c r="L517" s="126"/>
      <c r="M517" s="126"/>
      <c r="N517" s="126"/>
      <c r="O517" s="126"/>
      <c r="P517" s="126"/>
      <c r="Q517" s="126"/>
      <c r="R517" s="126"/>
      <c r="S517" s="126"/>
      <c r="T517" s="126"/>
      <c r="U517" s="126"/>
      <c r="V517" s="126"/>
      <c r="W517" s="126"/>
      <c r="X517" s="126"/>
      <c r="Y517" s="126"/>
      <c r="Z517" s="126"/>
      <c r="AA517" s="126"/>
      <c r="AB517" s="126"/>
    </row>
    <row r="518" spans="1:28" ht="15.75" customHeight="1">
      <c r="A518" s="126"/>
      <c r="B518" s="126"/>
      <c r="C518" s="176"/>
      <c r="D518" s="176"/>
      <c r="E518" s="176"/>
      <c r="F518" s="176"/>
      <c r="G518" s="176"/>
      <c r="H518" s="176"/>
      <c r="I518" s="126"/>
      <c r="J518" s="126"/>
      <c r="K518" s="126"/>
      <c r="L518" s="126"/>
      <c r="M518" s="126"/>
      <c r="N518" s="126"/>
      <c r="O518" s="126"/>
      <c r="P518" s="126"/>
      <c r="Q518" s="126"/>
      <c r="R518" s="126"/>
      <c r="S518" s="126"/>
      <c r="T518" s="126"/>
      <c r="U518" s="126"/>
      <c r="V518" s="126"/>
      <c r="W518" s="126"/>
      <c r="X518" s="126"/>
      <c r="Y518" s="126"/>
      <c r="Z518" s="126"/>
      <c r="AA518" s="126"/>
      <c r="AB518" s="126"/>
    </row>
    <row r="519" spans="1:28" ht="15.75" customHeight="1">
      <c r="A519" s="126"/>
      <c r="B519" s="126"/>
      <c r="C519" s="176"/>
      <c r="D519" s="176"/>
      <c r="E519" s="176"/>
      <c r="F519" s="176"/>
      <c r="G519" s="176"/>
      <c r="H519" s="176"/>
      <c r="I519" s="126"/>
      <c r="J519" s="126"/>
      <c r="K519" s="126"/>
      <c r="L519" s="126"/>
      <c r="M519" s="126"/>
      <c r="N519" s="126"/>
      <c r="O519" s="126"/>
      <c r="P519" s="126"/>
      <c r="Q519" s="126"/>
      <c r="R519" s="126"/>
      <c r="S519" s="126"/>
      <c r="T519" s="126"/>
      <c r="U519" s="126"/>
      <c r="V519" s="126"/>
      <c r="W519" s="126"/>
      <c r="X519" s="126"/>
      <c r="Y519" s="126"/>
      <c r="Z519" s="126"/>
      <c r="AA519" s="126"/>
      <c r="AB519" s="126"/>
    </row>
    <row r="520" spans="1:28" ht="15.75" customHeight="1">
      <c r="A520" s="126"/>
      <c r="B520" s="126"/>
      <c r="C520" s="176"/>
      <c r="D520" s="176"/>
      <c r="E520" s="176"/>
      <c r="F520" s="176"/>
      <c r="G520" s="176"/>
      <c r="H520" s="176"/>
      <c r="I520" s="126"/>
      <c r="J520" s="126"/>
      <c r="K520" s="126"/>
      <c r="L520" s="126"/>
      <c r="M520" s="126"/>
      <c r="N520" s="126"/>
      <c r="O520" s="126"/>
      <c r="P520" s="126"/>
      <c r="Q520" s="126"/>
      <c r="R520" s="126"/>
      <c r="S520" s="126"/>
      <c r="T520" s="126"/>
      <c r="U520" s="126"/>
      <c r="V520" s="126"/>
      <c r="W520" s="126"/>
      <c r="X520" s="126"/>
      <c r="Y520" s="126"/>
      <c r="Z520" s="126"/>
      <c r="AA520" s="126"/>
      <c r="AB520" s="126"/>
    </row>
    <row r="521" spans="1:28" ht="15.75" customHeight="1">
      <c r="A521" s="126"/>
      <c r="B521" s="126"/>
      <c r="C521" s="176"/>
      <c r="D521" s="176"/>
      <c r="E521" s="176"/>
      <c r="F521" s="176"/>
      <c r="G521" s="176"/>
      <c r="H521" s="176"/>
      <c r="I521" s="126"/>
      <c r="J521" s="126"/>
      <c r="K521" s="126"/>
      <c r="L521" s="126"/>
      <c r="M521" s="126"/>
      <c r="N521" s="126"/>
      <c r="O521" s="126"/>
      <c r="P521" s="126"/>
      <c r="Q521" s="126"/>
      <c r="R521" s="126"/>
      <c r="S521" s="126"/>
      <c r="T521" s="126"/>
      <c r="U521" s="126"/>
      <c r="V521" s="126"/>
      <c r="W521" s="126"/>
      <c r="X521" s="126"/>
      <c r="Y521" s="126"/>
      <c r="Z521" s="126"/>
      <c r="AA521" s="126"/>
      <c r="AB521" s="126"/>
    </row>
    <row r="522" spans="1:28" ht="15.75" customHeight="1">
      <c r="A522" s="126"/>
      <c r="B522" s="126"/>
      <c r="C522" s="176"/>
      <c r="D522" s="176"/>
      <c r="E522" s="176"/>
      <c r="F522" s="176"/>
      <c r="G522" s="176"/>
      <c r="H522" s="176"/>
      <c r="I522" s="126"/>
      <c r="J522" s="126"/>
      <c r="K522" s="126"/>
      <c r="L522" s="126"/>
      <c r="M522" s="126"/>
      <c r="N522" s="126"/>
      <c r="O522" s="126"/>
      <c r="P522" s="126"/>
      <c r="Q522" s="126"/>
      <c r="R522" s="126"/>
      <c r="S522" s="126"/>
      <c r="T522" s="126"/>
      <c r="U522" s="126"/>
      <c r="V522" s="126"/>
      <c r="W522" s="126"/>
      <c r="X522" s="126"/>
      <c r="Y522" s="126"/>
      <c r="Z522" s="126"/>
      <c r="AA522" s="126"/>
      <c r="AB522" s="126"/>
    </row>
    <row r="523" spans="1:28" ht="15.75" customHeight="1">
      <c r="A523" s="126"/>
      <c r="B523" s="126"/>
      <c r="C523" s="176"/>
      <c r="D523" s="176"/>
      <c r="E523" s="176"/>
      <c r="F523" s="176"/>
      <c r="G523" s="176"/>
      <c r="H523" s="176"/>
      <c r="I523" s="126"/>
      <c r="J523" s="126"/>
      <c r="K523" s="126"/>
      <c r="L523" s="126"/>
      <c r="M523" s="126"/>
      <c r="N523" s="126"/>
      <c r="O523" s="126"/>
      <c r="P523" s="126"/>
      <c r="Q523" s="126"/>
      <c r="R523" s="126"/>
      <c r="S523" s="126"/>
      <c r="T523" s="126"/>
      <c r="U523" s="126"/>
      <c r="V523" s="126"/>
      <c r="W523" s="126"/>
      <c r="X523" s="126"/>
      <c r="Y523" s="126"/>
      <c r="Z523" s="126"/>
      <c r="AA523" s="126"/>
      <c r="AB523" s="126"/>
    </row>
    <row r="524" spans="1:28" ht="15.75" customHeight="1">
      <c r="A524" s="126"/>
      <c r="B524" s="126"/>
      <c r="C524" s="176"/>
      <c r="D524" s="176"/>
      <c r="E524" s="176"/>
      <c r="F524" s="176"/>
      <c r="G524" s="176"/>
      <c r="H524" s="176"/>
      <c r="I524" s="126"/>
      <c r="J524" s="126"/>
      <c r="K524" s="126"/>
      <c r="L524" s="126"/>
      <c r="M524" s="126"/>
      <c r="N524" s="126"/>
      <c r="O524" s="126"/>
      <c r="P524" s="126"/>
      <c r="Q524" s="126"/>
      <c r="R524" s="126"/>
      <c r="S524" s="126"/>
      <c r="T524" s="126"/>
      <c r="U524" s="126"/>
      <c r="V524" s="126"/>
      <c r="W524" s="126"/>
      <c r="X524" s="126"/>
      <c r="Y524" s="126"/>
      <c r="Z524" s="126"/>
      <c r="AA524" s="126"/>
      <c r="AB524" s="126"/>
    </row>
    <row r="525" spans="1:28" ht="15.75" customHeight="1">
      <c r="A525" s="126"/>
      <c r="B525" s="126"/>
      <c r="C525" s="176"/>
      <c r="D525" s="176"/>
      <c r="E525" s="176"/>
      <c r="F525" s="176"/>
      <c r="G525" s="176"/>
      <c r="H525" s="176"/>
      <c r="I525" s="126"/>
      <c r="J525" s="126"/>
      <c r="K525" s="126"/>
      <c r="L525" s="126"/>
      <c r="M525" s="126"/>
      <c r="N525" s="126"/>
      <c r="O525" s="126"/>
      <c r="P525" s="126"/>
      <c r="Q525" s="126"/>
      <c r="R525" s="126"/>
      <c r="S525" s="126"/>
      <c r="T525" s="126"/>
      <c r="U525" s="126"/>
      <c r="V525" s="126"/>
      <c r="W525" s="126"/>
      <c r="X525" s="126"/>
      <c r="Y525" s="126"/>
      <c r="Z525" s="126"/>
      <c r="AA525" s="126"/>
      <c r="AB525" s="126"/>
    </row>
    <row r="526" spans="1:28" ht="15.75" customHeight="1">
      <c r="A526" s="126"/>
      <c r="B526" s="126"/>
      <c r="C526" s="176"/>
      <c r="D526" s="176"/>
      <c r="E526" s="176"/>
      <c r="F526" s="176"/>
      <c r="G526" s="176"/>
      <c r="H526" s="176"/>
      <c r="I526" s="126"/>
      <c r="J526" s="126"/>
      <c r="K526" s="126"/>
      <c r="L526" s="126"/>
      <c r="M526" s="126"/>
      <c r="N526" s="126"/>
      <c r="O526" s="126"/>
      <c r="P526" s="126"/>
      <c r="Q526" s="126"/>
      <c r="R526" s="126"/>
      <c r="S526" s="126"/>
      <c r="T526" s="126"/>
      <c r="U526" s="126"/>
      <c r="V526" s="126"/>
      <c r="W526" s="126"/>
      <c r="X526" s="126"/>
      <c r="Y526" s="126"/>
      <c r="Z526" s="126"/>
      <c r="AA526" s="126"/>
      <c r="AB526" s="126"/>
    </row>
    <row r="527" spans="1:28" ht="15.75" customHeight="1">
      <c r="A527" s="126"/>
      <c r="B527" s="126"/>
      <c r="C527" s="176"/>
      <c r="D527" s="176"/>
      <c r="E527" s="176"/>
      <c r="F527" s="176"/>
      <c r="G527" s="176"/>
      <c r="H527" s="176"/>
      <c r="I527" s="126"/>
      <c r="J527" s="126"/>
      <c r="K527" s="126"/>
      <c r="L527" s="126"/>
      <c r="M527" s="126"/>
      <c r="N527" s="126"/>
      <c r="O527" s="126"/>
      <c r="P527" s="126"/>
      <c r="Q527" s="126"/>
      <c r="R527" s="126"/>
      <c r="S527" s="126"/>
      <c r="T527" s="126"/>
      <c r="U527" s="126"/>
      <c r="V527" s="126"/>
      <c r="W527" s="126"/>
      <c r="X527" s="126"/>
      <c r="Y527" s="126"/>
      <c r="Z527" s="126"/>
      <c r="AA527" s="126"/>
      <c r="AB527" s="126"/>
    </row>
    <row r="528" spans="1:28" ht="15.75" customHeight="1">
      <c r="A528" s="126"/>
      <c r="B528" s="126"/>
      <c r="C528" s="176"/>
      <c r="D528" s="176"/>
      <c r="E528" s="176"/>
      <c r="F528" s="176"/>
      <c r="G528" s="176"/>
      <c r="H528" s="176"/>
      <c r="I528" s="126"/>
      <c r="J528" s="126"/>
      <c r="K528" s="126"/>
      <c r="L528" s="126"/>
      <c r="M528" s="126"/>
      <c r="N528" s="126"/>
      <c r="O528" s="126"/>
      <c r="P528" s="126"/>
      <c r="Q528" s="126"/>
      <c r="R528" s="126"/>
      <c r="S528" s="126"/>
      <c r="T528" s="126"/>
      <c r="U528" s="126"/>
      <c r="V528" s="126"/>
      <c r="W528" s="126"/>
      <c r="X528" s="126"/>
      <c r="Y528" s="126"/>
      <c r="Z528" s="126"/>
      <c r="AA528" s="126"/>
      <c r="AB528" s="126"/>
    </row>
    <row r="529" spans="1:28" ht="15.75" customHeight="1">
      <c r="A529" s="126"/>
      <c r="B529" s="126"/>
      <c r="C529" s="176"/>
      <c r="D529" s="176"/>
      <c r="E529" s="176"/>
      <c r="F529" s="176"/>
      <c r="G529" s="176"/>
      <c r="H529" s="176"/>
      <c r="I529" s="126"/>
      <c r="J529" s="126"/>
      <c r="K529" s="126"/>
      <c r="L529" s="126"/>
      <c r="M529" s="126"/>
      <c r="N529" s="126"/>
      <c r="O529" s="126"/>
      <c r="P529" s="126"/>
      <c r="Q529" s="126"/>
      <c r="R529" s="126"/>
      <c r="S529" s="126"/>
      <c r="T529" s="126"/>
      <c r="U529" s="126"/>
      <c r="V529" s="126"/>
      <c r="W529" s="126"/>
      <c r="X529" s="126"/>
      <c r="Y529" s="126"/>
      <c r="Z529" s="126"/>
      <c r="AA529" s="126"/>
      <c r="AB529" s="126"/>
    </row>
    <row r="530" spans="1:28" ht="15.75" customHeight="1">
      <c r="A530" s="126"/>
      <c r="B530" s="126"/>
      <c r="C530" s="176"/>
      <c r="D530" s="176"/>
      <c r="E530" s="176"/>
      <c r="F530" s="176"/>
      <c r="G530" s="176"/>
      <c r="H530" s="176"/>
      <c r="I530" s="126"/>
      <c r="J530" s="126"/>
      <c r="K530" s="126"/>
      <c r="L530" s="126"/>
      <c r="M530" s="126"/>
      <c r="N530" s="126"/>
      <c r="O530" s="126"/>
      <c r="P530" s="126"/>
      <c r="Q530" s="126"/>
      <c r="R530" s="126"/>
      <c r="S530" s="126"/>
      <c r="T530" s="126"/>
      <c r="U530" s="126"/>
      <c r="V530" s="126"/>
      <c r="W530" s="126"/>
      <c r="X530" s="126"/>
      <c r="Y530" s="126"/>
      <c r="Z530" s="126"/>
      <c r="AA530" s="126"/>
      <c r="AB530" s="126"/>
    </row>
    <row r="531" spans="1:28" ht="15.75" customHeight="1">
      <c r="A531" s="126"/>
      <c r="B531" s="126"/>
      <c r="C531" s="176"/>
      <c r="D531" s="176"/>
      <c r="E531" s="176"/>
      <c r="F531" s="176"/>
      <c r="G531" s="176"/>
      <c r="H531" s="176"/>
      <c r="I531" s="126"/>
      <c r="J531" s="126"/>
      <c r="K531" s="126"/>
      <c r="L531" s="126"/>
      <c r="M531" s="126"/>
      <c r="N531" s="126"/>
      <c r="O531" s="126"/>
      <c r="P531" s="126"/>
      <c r="Q531" s="126"/>
      <c r="R531" s="126"/>
      <c r="S531" s="126"/>
      <c r="T531" s="126"/>
      <c r="U531" s="126"/>
      <c r="V531" s="126"/>
      <c r="W531" s="126"/>
      <c r="X531" s="126"/>
      <c r="Y531" s="126"/>
      <c r="Z531" s="126"/>
      <c r="AA531" s="126"/>
      <c r="AB531" s="126"/>
    </row>
    <row r="532" spans="1:28" ht="15.75" customHeight="1">
      <c r="A532" s="126"/>
      <c r="B532" s="126"/>
      <c r="C532" s="176"/>
      <c r="D532" s="176"/>
      <c r="E532" s="176"/>
      <c r="F532" s="176"/>
      <c r="G532" s="176"/>
      <c r="H532" s="176"/>
      <c r="I532" s="126"/>
      <c r="J532" s="126"/>
      <c r="K532" s="126"/>
      <c r="L532" s="126"/>
      <c r="M532" s="126"/>
      <c r="N532" s="126"/>
      <c r="O532" s="126"/>
      <c r="P532" s="126"/>
      <c r="Q532" s="126"/>
      <c r="R532" s="126"/>
      <c r="S532" s="126"/>
      <c r="T532" s="126"/>
      <c r="U532" s="126"/>
      <c r="V532" s="126"/>
      <c r="W532" s="126"/>
      <c r="X532" s="126"/>
      <c r="Y532" s="126"/>
      <c r="Z532" s="126"/>
      <c r="AA532" s="126"/>
      <c r="AB532" s="126"/>
    </row>
    <row r="533" spans="1:28" ht="15.75" customHeight="1">
      <c r="A533" s="126"/>
      <c r="B533" s="126"/>
      <c r="C533" s="176"/>
      <c r="D533" s="176"/>
      <c r="E533" s="176"/>
      <c r="F533" s="176"/>
      <c r="G533" s="176"/>
      <c r="H533" s="176"/>
      <c r="I533" s="126"/>
      <c r="J533" s="126"/>
      <c r="K533" s="126"/>
      <c r="L533" s="126"/>
      <c r="M533" s="126"/>
      <c r="N533" s="126"/>
      <c r="O533" s="126"/>
      <c r="P533" s="126"/>
      <c r="Q533" s="126"/>
      <c r="R533" s="126"/>
      <c r="S533" s="126"/>
      <c r="T533" s="126"/>
      <c r="U533" s="126"/>
      <c r="V533" s="126"/>
      <c r="W533" s="126"/>
      <c r="X533" s="126"/>
      <c r="Y533" s="126"/>
      <c r="Z533" s="126"/>
      <c r="AA533" s="126"/>
      <c r="AB533" s="126"/>
    </row>
    <row r="534" spans="1:28" ht="15.75" customHeight="1">
      <c r="A534" s="126"/>
      <c r="B534" s="126"/>
      <c r="C534" s="176"/>
      <c r="D534" s="176"/>
      <c r="E534" s="176"/>
      <c r="F534" s="176"/>
      <c r="G534" s="176"/>
      <c r="H534" s="176"/>
      <c r="I534" s="126"/>
      <c r="J534" s="126"/>
      <c r="K534" s="126"/>
      <c r="L534" s="126"/>
      <c r="M534" s="126"/>
      <c r="N534" s="126"/>
      <c r="O534" s="126"/>
      <c r="P534" s="126"/>
      <c r="Q534" s="126"/>
      <c r="R534" s="126"/>
      <c r="S534" s="126"/>
      <c r="T534" s="126"/>
      <c r="U534" s="126"/>
      <c r="V534" s="126"/>
      <c r="W534" s="126"/>
      <c r="X534" s="126"/>
      <c r="Y534" s="126"/>
      <c r="Z534" s="126"/>
      <c r="AA534" s="126"/>
      <c r="AB534" s="126"/>
    </row>
    <row r="535" spans="1:28" ht="15.75" customHeight="1">
      <c r="A535" s="126"/>
      <c r="B535" s="126"/>
      <c r="C535" s="176"/>
      <c r="D535" s="176"/>
      <c r="E535" s="176"/>
      <c r="F535" s="176"/>
      <c r="G535" s="176"/>
      <c r="H535" s="176"/>
      <c r="I535" s="126"/>
      <c r="J535" s="126"/>
      <c r="K535" s="126"/>
      <c r="L535" s="126"/>
      <c r="M535" s="126"/>
      <c r="N535" s="126"/>
      <c r="O535" s="126"/>
      <c r="P535" s="126"/>
      <c r="Q535" s="126"/>
      <c r="R535" s="126"/>
      <c r="S535" s="126"/>
      <c r="T535" s="126"/>
      <c r="U535" s="126"/>
      <c r="V535" s="126"/>
      <c r="W535" s="126"/>
      <c r="X535" s="126"/>
      <c r="Y535" s="126"/>
      <c r="Z535" s="126"/>
      <c r="AA535" s="126"/>
      <c r="AB535" s="126"/>
    </row>
    <row r="536" spans="1:28" ht="15.75" customHeight="1">
      <c r="A536" s="126"/>
      <c r="B536" s="126"/>
      <c r="C536" s="176"/>
      <c r="D536" s="176"/>
      <c r="E536" s="176"/>
      <c r="F536" s="176"/>
      <c r="G536" s="176"/>
      <c r="H536" s="176"/>
      <c r="I536" s="126"/>
      <c r="J536" s="126"/>
      <c r="K536" s="126"/>
      <c r="L536" s="126"/>
      <c r="M536" s="126"/>
      <c r="N536" s="126"/>
      <c r="O536" s="126"/>
      <c r="P536" s="126"/>
      <c r="Q536" s="126"/>
      <c r="R536" s="126"/>
      <c r="S536" s="126"/>
      <c r="T536" s="126"/>
      <c r="U536" s="126"/>
      <c r="V536" s="126"/>
      <c r="W536" s="126"/>
      <c r="X536" s="126"/>
      <c r="Y536" s="126"/>
      <c r="Z536" s="126"/>
      <c r="AA536" s="126"/>
      <c r="AB536" s="126"/>
    </row>
    <row r="537" spans="1:28" ht="15.75" customHeight="1">
      <c r="A537" s="126"/>
      <c r="B537" s="126"/>
      <c r="C537" s="176"/>
      <c r="D537" s="176"/>
      <c r="E537" s="176"/>
      <c r="F537" s="176"/>
      <c r="G537" s="176"/>
      <c r="H537" s="176"/>
      <c r="I537" s="126"/>
      <c r="J537" s="126"/>
      <c r="K537" s="126"/>
      <c r="L537" s="126"/>
      <c r="M537" s="126"/>
      <c r="N537" s="126"/>
      <c r="O537" s="126"/>
      <c r="P537" s="126"/>
      <c r="Q537" s="126"/>
      <c r="R537" s="126"/>
      <c r="S537" s="126"/>
      <c r="T537" s="126"/>
      <c r="U537" s="126"/>
      <c r="V537" s="126"/>
      <c r="W537" s="126"/>
      <c r="X537" s="126"/>
      <c r="Y537" s="126"/>
      <c r="Z537" s="126"/>
      <c r="AA537" s="126"/>
      <c r="AB537" s="126"/>
    </row>
    <row r="538" spans="1:28" ht="15.75" customHeight="1">
      <c r="A538" s="126"/>
      <c r="B538" s="126"/>
      <c r="C538" s="176"/>
      <c r="D538" s="176"/>
      <c r="E538" s="176"/>
      <c r="F538" s="176"/>
      <c r="G538" s="176"/>
      <c r="H538" s="176"/>
      <c r="I538" s="126"/>
      <c r="J538" s="126"/>
      <c r="K538" s="126"/>
      <c r="L538" s="126"/>
      <c r="M538" s="126"/>
      <c r="N538" s="126"/>
      <c r="O538" s="126"/>
      <c r="P538" s="126"/>
      <c r="Q538" s="126"/>
      <c r="R538" s="126"/>
      <c r="S538" s="126"/>
      <c r="T538" s="126"/>
      <c r="U538" s="126"/>
      <c r="V538" s="126"/>
      <c r="W538" s="126"/>
      <c r="X538" s="126"/>
      <c r="Y538" s="126"/>
      <c r="Z538" s="126"/>
      <c r="AA538" s="126"/>
      <c r="AB538" s="126"/>
    </row>
    <row r="539" spans="1:28" ht="15.75" customHeight="1">
      <c r="A539" s="126"/>
      <c r="B539" s="126"/>
      <c r="C539" s="176"/>
      <c r="D539" s="176"/>
      <c r="E539" s="176"/>
      <c r="F539" s="176"/>
      <c r="G539" s="176"/>
      <c r="H539" s="176"/>
      <c r="I539" s="126"/>
      <c r="J539" s="126"/>
      <c r="K539" s="126"/>
      <c r="L539" s="126"/>
      <c r="M539" s="126"/>
      <c r="N539" s="126"/>
      <c r="O539" s="126"/>
      <c r="P539" s="126"/>
      <c r="Q539" s="126"/>
      <c r="R539" s="126"/>
      <c r="S539" s="126"/>
      <c r="T539" s="126"/>
      <c r="U539" s="126"/>
      <c r="V539" s="126"/>
      <c r="W539" s="126"/>
      <c r="X539" s="126"/>
      <c r="Y539" s="126"/>
      <c r="Z539" s="126"/>
      <c r="AA539" s="126"/>
      <c r="AB539" s="126"/>
    </row>
    <row r="540" spans="1:28" ht="15.75" customHeight="1">
      <c r="A540" s="126"/>
      <c r="B540" s="126"/>
      <c r="C540" s="176"/>
      <c r="D540" s="176"/>
      <c r="E540" s="176"/>
      <c r="F540" s="176"/>
      <c r="G540" s="176"/>
      <c r="H540" s="176"/>
      <c r="I540" s="126"/>
      <c r="J540" s="126"/>
      <c r="K540" s="126"/>
      <c r="L540" s="126"/>
      <c r="M540" s="126"/>
      <c r="N540" s="126"/>
      <c r="O540" s="126"/>
      <c r="P540" s="126"/>
      <c r="Q540" s="126"/>
      <c r="R540" s="126"/>
      <c r="S540" s="126"/>
      <c r="T540" s="126"/>
      <c r="U540" s="126"/>
      <c r="V540" s="126"/>
      <c r="W540" s="126"/>
      <c r="X540" s="126"/>
      <c r="Y540" s="126"/>
      <c r="Z540" s="126"/>
      <c r="AA540" s="126"/>
      <c r="AB540" s="126"/>
    </row>
    <row r="541" spans="1:28" ht="15.75" customHeight="1">
      <c r="A541" s="126"/>
      <c r="B541" s="126"/>
      <c r="C541" s="176"/>
      <c r="D541" s="176"/>
      <c r="E541" s="176"/>
      <c r="F541" s="176"/>
      <c r="G541" s="176"/>
      <c r="H541" s="176"/>
      <c r="I541" s="126"/>
      <c r="J541" s="126"/>
      <c r="K541" s="126"/>
      <c r="L541" s="126"/>
      <c r="M541" s="126"/>
      <c r="N541" s="126"/>
      <c r="O541" s="126"/>
      <c r="P541" s="126"/>
      <c r="Q541" s="126"/>
      <c r="R541" s="126"/>
      <c r="S541" s="126"/>
      <c r="T541" s="126"/>
      <c r="U541" s="126"/>
      <c r="V541" s="126"/>
      <c r="W541" s="126"/>
      <c r="X541" s="126"/>
      <c r="Y541" s="126"/>
      <c r="Z541" s="126"/>
      <c r="AA541" s="126"/>
      <c r="AB541" s="126"/>
    </row>
    <row r="542" spans="1:28" ht="15.75" customHeight="1">
      <c r="A542" s="126"/>
      <c r="B542" s="126"/>
      <c r="C542" s="176"/>
      <c r="D542" s="176"/>
      <c r="E542" s="176"/>
      <c r="F542" s="176"/>
      <c r="G542" s="176"/>
      <c r="H542" s="176"/>
      <c r="I542" s="126"/>
      <c r="J542" s="126"/>
      <c r="K542" s="126"/>
      <c r="L542" s="126"/>
      <c r="M542" s="126"/>
      <c r="N542" s="126"/>
      <c r="O542" s="126"/>
      <c r="P542" s="126"/>
      <c r="Q542" s="126"/>
      <c r="R542" s="126"/>
      <c r="S542" s="126"/>
      <c r="T542" s="126"/>
      <c r="U542" s="126"/>
      <c r="V542" s="126"/>
      <c r="W542" s="126"/>
      <c r="X542" s="126"/>
      <c r="Y542" s="126"/>
      <c r="Z542" s="126"/>
      <c r="AA542" s="126"/>
      <c r="AB542" s="126"/>
    </row>
    <row r="543" spans="1:28" ht="15.75" customHeight="1">
      <c r="A543" s="126"/>
      <c r="B543" s="126"/>
      <c r="C543" s="176"/>
      <c r="D543" s="176"/>
      <c r="E543" s="176"/>
      <c r="F543" s="176"/>
      <c r="G543" s="176"/>
      <c r="H543" s="176"/>
      <c r="I543" s="126"/>
      <c r="J543" s="126"/>
      <c r="K543" s="126"/>
      <c r="L543" s="126"/>
      <c r="M543" s="126"/>
      <c r="N543" s="126"/>
      <c r="O543" s="126"/>
      <c r="P543" s="126"/>
      <c r="Q543" s="126"/>
      <c r="R543" s="126"/>
      <c r="S543" s="126"/>
      <c r="T543" s="126"/>
      <c r="U543" s="126"/>
      <c r="V543" s="126"/>
      <c r="W543" s="126"/>
      <c r="X543" s="126"/>
      <c r="Y543" s="126"/>
      <c r="Z543" s="126"/>
      <c r="AA543" s="126"/>
      <c r="AB543" s="126"/>
    </row>
    <row r="544" spans="1:28" ht="15.75" customHeight="1">
      <c r="A544" s="126"/>
      <c r="B544" s="126"/>
      <c r="C544" s="176"/>
      <c r="D544" s="176"/>
      <c r="E544" s="176"/>
      <c r="F544" s="176"/>
      <c r="G544" s="176"/>
      <c r="H544" s="176"/>
      <c r="I544" s="126"/>
      <c r="J544" s="126"/>
      <c r="K544" s="126"/>
      <c r="L544" s="126"/>
      <c r="M544" s="126"/>
      <c r="N544" s="126"/>
      <c r="O544" s="126"/>
      <c r="P544" s="126"/>
      <c r="Q544" s="126"/>
      <c r="R544" s="126"/>
      <c r="S544" s="126"/>
      <c r="T544" s="126"/>
      <c r="U544" s="126"/>
      <c r="V544" s="126"/>
      <c r="W544" s="126"/>
      <c r="X544" s="126"/>
      <c r="Y544" s="126"/>
      <c r="Z544" s="126"/>
      <c r="AA544" s="126"/>
      <c r="AB544" s="126"/>
    </row>
    <row r="545" spans="1:28" ht="15.75" customHeight="1">
      <c r="A545" s="126"/>
      <c r="B545" s="126"/>
      <c r="C545" s="176"/>
      <c r="D545" s="176"/>
      <c r="E545" s="176"/>
      <c r="F545" s="176"/>
      <c r="G545" s="176"/>
      <c r="H545" s="176"/>
      <c r="I545" s="126"/>
      <c r="J545" s="126"/>
      <c r="K545" s="126"/>
      <c r="L545" s="126"/>
      <c r="M545" s="126"/>
      <c r="N545" s="126"/>
      <c r="O545" s="126"/>
      <c r="P545" s="126"/>
      <c r="Q545" s="126"/>
      <c r="R545" s="126"/>
      <c r="S545" s="126"/>
      <c r="T545" s="126"/>
      <c r="U545" s="126"/>
      <c r="V545" s="126"/>
      <c r="W545" s="126"/>
      <c r="X545" s="126"/>
      <c r="Y545" s="126"/>
      <c r="Z545" s="126"/>
      <c r="AA545" s="126"/>
      <c r="AB545" s="126"/>
    </row>
    <row r="546" spans="1:28" ht="15.75" customHeight="1">
      <c r="A546" s="126"/>
      <c r="B546" s="126"/>
      <c r="C546" s="176"/>
      <c r="D546" s="176"/>
      <c r="E546" s="176"/>
      <c r="F546" s="176"/>
      <c r="G546" s="176"/>
      <c r="H546" s="176"/>
      <c r="I546" s="126"/>
      <c r="J546" s="126"/>
      <c r="K546" s="126"/>
      <c r="L546" s="126"/>
      <c r="M546" s="126"/>
      <c r="N546" s="126"/>
      <c r="O546" s="126"/>
      <c r="P546" s="126"/>
      <c r="Q546" s="126"/>
      <c r="R546" s="126"/>
      <c r="S546" s="126"/>
      <c r="T546" s="126"/>
      <c r="U546" s="126"/>
      <c r="V546" s="126"/>
      <c r="W546" s="126"/>
      <c r="X546" s="126"/>
      <c r="Y546" s="126"/>
      <c r="Z546" s="126"/>
      <c r="AA546" s="126"/>
      <c r="AB546" s="126"/>
    </row>
    <row r="547" spans="1:28" ht="15.75" customHeight="1">
      <c r="A547" s="126"/>
      <c r="B547" s="126"/>
      <c r="C547" s="176"/>
      <c r="D547" s="176"/>
      <c r="E547" s="176"/>
      <c r="F547" s="176"/>
      <c r="G547" s="176"/>
      <c r="H547" s="176"/>
      <c r="I547" s="126"/>
      <c r="J547" s="126"/>
      <c r="K547" s="126"/>
      <c r="L547" s="126"/>
      <c r="M547" s="126"/>
      <c r="N547" s="126"/>
      <c r="O547" s="126"/>
      <c r="P547" s="126"/>
      <c r="Q547" s="126"/>
      <c r="R547" s="126"/>
      <c r="S547" s="126"/>
      <c r="T547" s="126"/>
      <c r="U547" s="126"/>
      <c r="V547" s="126"/>
      <c r="W547" s="126"/>
      <c r="X547" s="126"/>
      <c r="Y547" s="126"/>
      <c r="Z547" s="126"/>
      <c r="AA547" s="126"/>
      <c r="AB547" s="126"/>
    </row>
    <row r="548" spans="1:28" ht="15.75" customHeight="1">
      <c r="A548" s="126"/>
      <c r="B548" s="126"/>
      <c r="C548" s="176"/>
      <c r="D548" s="176"/>
      <c r="E548" s="176"/>
      <c r="F548" s="176"/>
      <c r="G548" s="176"/>
      <c r="H548" s="176"/>
      <c r="I548" s="126"/>
      <c r="J548" s="126"/>
      <c r="K548" s="126"/>
      <c r="L548" s="126"/>
      <c r="M548" s="126"/>
      <c r="N548" s="126"/>
      <c r="O548" s="126"/>
      <c r="P548" s="126"/>
      <c r="Q548" s="126"/>
      <c r="R548" s="126"/>
      <c r="S548" s="126"/>
      <c r="T548" s="126"/>
      <c r="U548" s="126"/>
      <c r="V548" s="126"/>
      <c r="W548" s="126"/>
      <c r="X548" s="126"/>
      <c r="Y548" s="126"/>
      <c r="Z548" s="126"/>
      <c r="AA548" s="126"/>
      <c r="AB548" s="126"/>
    </row>
    <row r="549" spans="1:28" ht="15.75" customHeight="1">
      <c r="A549" s="126"/>
      <c r="B549" s="126"/>
      <c r="C549" s="176"/>
      <c r="D549" s="176"/>
      <c r="E549" s="176"/>
      <c r="F549" s="176"/>
      <c r="G549" s="176"/>
      <c r="H549" s="176"/>
      <c r="I549" s="126"/>
      <c r="J549" s="126"/>
      <c r="K549" s="126"/>
      <c r="L549" s="126"/>
      <c r="M549" s="126"/>
      <c r="N549" s="126"/>
      <c r="O549" s="126"/>
      <c r="P549" s="126"/>
      <c r="Q549" s="126"/>
      <c r="R549" s="126"/>
      <c r="S549" s="126"/>
      <c r="T549" s="126"/>
      <c r="U549" s="126"/>
      <c r="V549" s="126"/>
      <c r="W549" s="126"/>
      <c r="X549" s="126"/>
      <c r="Y549" s="126"/>
      <c r="Z549" s="126"/>
      <c r="AA549" s="126"/>
      <c r="AB549" s="126"/>
    </row>
    <row r="550" spans="1:28" ht="15.75" customHeight="1">
      <c r="A550" s="126"/>
      <c r="B550" s="126"/>
      <c r="C550" s="176"/>
      <c r="D550" s="176"/>
      <c r="E550" s="176"/>
      <c r="F550" s="176"/>
      <c r="G550" s="176"/>
      <c r="H550" s="176"/>
      <c r="I550" s="126"/>
      <c r="J550" s="126"/>
      <c r="K550" s="126"/>
      <c r="L550" s="126"/>
      <c r="M550" s="126"/>
      <c r="N550" s="126"/>
      <c r="O550" s="126"/>
      <c r="P550" s="126"/>
      <c r="Q550" s="126"/>
      <c r="R550" s="126"/>
      <c r="S550" s="126"/>
      <c r="T550" s="126"/>
      <c r="U550" s="126"/>
      <c r="V550" s="126"/>
      <c r="W550" s="126"/>
      <c r="X550" s="126"/>
      <c r="Y550" s="126"/>
      <c r="Z550" s="126"/>
      <c r="AA550" s="126"/>
      <c r="AB550" s="126"/>
    </row>
    <row r="551" spans="1:28" ht="15.75" customHeight="1">
      <c r="A551" s="126"/>
      <c r="B551" s="126"/>
      <c r="C551" s="176"/>
      <c r="D551" s="176"/>
      <c r="E551" s="176"/>
      <c r="F551" s="176"/>
      <c r="G551" s="176"/>
      <c r="H551" s="176"/>
      <c r="I551" s="126"/>
      <c r="J551" s="126"/>
      <c r="K551" s="126"/>
      <c r="L551" s="126"/>
      <c r="M551" s="126"/>
      <c r="N551" s="126"/>
      <c r="O551" s="126"/>
      <c r="P551" s="126"/>
      <c r="Q551" s="126"/>
      <c r="R551" s="126"/>
      <c r="S551" s="126"/>
      <c r="T551" s="126"/>
      <c r="U551" s="126"/>
      <c r="V551" s="126"/>
      <c r="W551" s="126"/>
      <c r="X551" s="126"/>
      <c r="Y551" s="126"/>
      <c r="Z551" s="126"/>
      <c r="AA551" s="126"/>
      <c r="AB551" s="126"/>
    </row>
    <row r="552" spans="1:28" ht="15.75" customHeight="1">
      <c r="A552" s="126"/>
      <c r="B552" s="126"/>
      <c r="C552" s="176"/>
      <c r="D552" s="176"/>
      <c r="E552" s="176"/>
      <c r="F552" s="176"/>
      <c r="G552" s="176"/>
      <c r="H552" s="176"/>
      <c r="I552" s="126"/>
      <c r="J552" s="126"/>
      <c r="K552" s="126"/>
      <c r="L552" s="126"/>
      <c r="M552" s="126"/>
      <c r="N552" s="126"/>
      <c r="O552" s="126"/>
      <c r="P552" s="126"/>
      <c r="Q552" s="126"/>
      <c r="R552" s="126"/>
      <c r="S552" s="126"/>
      <c r="T552" s="126"/>
      <c r="U552" s="126"/>
      <c r="V552" s="126"/>
      <c r="W552" s="126"/>
      <c r="X552" s="126"/>
      <c r="Y552" s="126"/>
      <c r="Z552" s="126"/>
      <c r="AA552" s="126"/>
      <c r="AB552" s="126"/>
    </row>
    <row r="553" spans="1:28" ht="15.75" customHeight="1">
      <c r="A553" s="126"/>
      <c r="B553" s="126"/>
      <c r="C553" s="176"/>
      <c r="D553" s="176"/>
      <c r="E553" s="176"/>
      <c r="F553" s="176"/>
      <c r="G553" s="176"/>
      <c r="H553" s="176"/>
      <c r="I553" s="126"/>
      <c r="J553" s="126"/>
      <c r="K553" s="126"/>
      <c r="L553" s="126"/>
      <c r="M553" s="126"/>
      <c r="N553" s="126"/>
      <c r="O553" s="126"/>
      <c r="P553" s="126"/>
      <c r="Q553" s="126"/>
      <c r="R553" s="126"/>
      <c r="S553" s="126"/>
      <c r="T553" s="126"/>
      <c r="U553" s="126"/>
      <c r="V553" s="126"/>
      <c r="W553" s="126"/>
      <c r="X553" s="126"/>
      <c r="Y553" s="126"/>
      <c r="Z553" s="126"/>
      <c r="AA553" s="126"/>
      <c r="AB553" s="126"/>
    </row>
    <row r="554" spans="1:28" ht="15.75" customHeight="1">
      <c r="A554" s="126"/>
      <c r="B554" s="126"/>
      <c r="C554" s="176"/>
      <c r="D554" s="176"/>
      <c r="E554" s="176"/>
      <c r="F554" s="176"/>
      <c r="G554" s="176"/>
      <c r="H554" s="176"/>
      <c r="I554" s="126"/>
      <c r="J554" s="126"/>
      <c r="K554" s="126"/>
      <c r="L554" s="126"/>
      <c r="M554" s="126"/>
      <c r="N554" s="126"/>
      <c r="O554" s="126"/>
      <c r="P554" s="126"/>
      <c r="Q554" s="126"/>
      <c r="R554" s="126"/>
      <c r="S554" s="126"/>
      <c r="T554" s="126"/>
      <c r="U554" s="126"/>
      <c r="V554" s="126"/>
      <c r="W554" s="126"/>
      <c r="X554" s="126"/>
      <c r="Y554" s="126"/>
      <c r="Z554" s="126"/>
      <c r="AA554" s="126"/>
      <c r="AB554" s="126"/>
    </row>
    <row r="555" spans="1:28" ht="15.75" customHeight="1">
      <c r="A555" s="126"/>
      <c r="B555" s="126"/>
      <c r="C555" s="176"/>
      <c r="D555" s="176"/>
      <c r="E555" s="176"/>
      <c r="F555" s="176"/>
      <c r="G555" s="176"/>
      <c r="H555" s="176"/>
      <c r="I555" s="126"/>
      <c r="J555" s="126"/>
      <c r="K555" s="126"/>
      <c r="L555" s="126"/>
      <c r="M555" s="126"/>
      <c r="N555" s="126"/>
      <c r="O555" s="126"/>
      <c r="P555" s="126"/>
      <c r="Q555" s="126"/>
      <c r="R555" s="126"/>
      <c r="S555" s="126"/>
      <c r="T555" s="126"/>
      <c r="U555" s="126"/>
      <c r="V555" s="126"/>
      <c r="W555" s="126"/>
      <c r="X555" s="126"/>
      <c r="Y555" s="126"/>
      <c r="Z555" s="126"/>
      <c r="AA555" s="126"/>
      <c r="AB555" s="126"/>
    </row>
    <row r="556" spans="1:28" ht="15.75" customHeight="1">
      <c r="A556" s="126"/>
      <c r="B556" s="126"/>
      <c r="C556" s="176"/>
      <c r="D556" s="176"/>
      <c r="E556" s="176"/>
      <c r="F556" s="176"/>
      <c r="G556" s="176"/>
      <c r="H556" s="176"/>
      <c r="I556" s="126"/>
      <c r="J556" s="126"/>
      <c r="K556" s="126"/>
      <c r="L556" s="126"/>
      <c r="M556" s="126"/>
      <c r="N556" s="126"/>
      <c r="O556" s="126"/>
      <c r="P556" s="126"/>
      <c r="Q556" s="126"/>
      <c r="R556" s="126"/>
      <c r="S556" s="126"/>
      <c r="T556" s="126"/>
      <c r="U556" s="126"/>
      <c r="V556" s="126"/>
      <c r="W556" s="126"/>
      <c r="X556" s="126"/>
      <c r="Y556" s="126"/>
      <c r="Z556" s="126"/>
      <c r="AA556" s="126"/>
      <c r="AB556" s="126"/>
    </row>
    <row r="557" spans="1:28" ht="15.75" customHeight="1">
      <c r="A557" s="126"/>
      <c r="B557" s="126"/>
      <c r="C557" s="176"/>
      <c r="D557" s="176"/>
      <c r="E557" s="176"/>
      <c r="F557" s="176"/>
      <c r="G557" s="176"/>
      <c r="H557" s="176"/>
      <c r="I557" s="126"/>
      <c r="J557" s="126"/>
      <c r="K557" s="126"/>
      <c r="L557" s="126"/>
      <c r="M557" s="126"/>
      <c r="N557" s="126"/>
      <c r="O557" s="126"/>
      <c r="P557" s="126"/>
      <c r="Q557" s="126"/>
      <c r="R557" s="126"/>
      <c r="S557" s="126"/>
      <c r="T557" s="126"/>
      <c r="U557" s="126"/>
      <c r="V557" s="126"/>
      <c r="W557" s="126"/>
      <c r="X557" s="126"/>
      <c r="Y557" s="126"/>
      <c r="Z557" s="126"/>
      <c r="AA557" s="126"/>
      <c r="AB557" s="126"/>
    </row>
    <row r="558" spans="1:28" ht="15.75" customHeight="1">
      <c r="A558" s="126"/>
      <c r="B558" s="126"/>
      <c r="C558" s="176"/>
      <c r="D558" s="176"/>
      <c r="E558" s="176"/>
      <c r="F558" s="176"/>
      <c r="G558" s="176"/>
      <c r="H558" s="176"/>
      <c r="I558" s="126"/>
      <c r="J558" s="126"/>
      <c r="K558" s="126"/>
      <c r="L558" s="126"/>
      <c r="M558" s="126"/>
      <c r="N558" s="126"/>
      <c r="O558" s="126"/>
      <c r="P558" s="126"/>
      <c r="Q558" s="126"/>
      <c r="R558" s="126"/>
      <c r="S558" s="126"/>
      <c r="T558" s="126"/>
      <c r="U558" s="126"/>
      <c r="V558" s="126"/>
      <c r="W558" s="126"/>
      <c r="X558" s="126"/>
      <c r="Y558" s="126"/>
      <c r="Z558" s="126"/>
      <c r="AA558" s="126"/>
      <c r="AB558" s="126"/>
    </row>
    <row r="559" spans="1:28" ht="15.75" customHeight="1">
      <c r="A559" s="126"/>
      <c r="B559" s="126"/>
      <c r="C559" s="176"/>
      <c r="D559" s="176"/>
      <c r="E559" s="176"/>
      <c r="F559" s="176"/>
      <c r="G559" s="176"/>
      <c r="H559" s="176"/>
      <c r="I559" s="126"/>
      <c r="J559" s="126"/>
      <c r="K559" s="126"/>
      <c r="L559" s="126"/>
      <c r="M559" s="126"/>
      <c r="N559" s="126"/>
      <c r="O559" s="126"/>
      <c r="P559" s="126"/>
      <c r="Q559" s="126"/>
      <c r="R559" s="126"/>
      <c r="S559" s="126"/>
      <c r="T559" s="126"/>
      <c r="U559" s="126"/>
      <c r="V559" s="126"/>
      <c r="W559" s="126"/>
      <c r="X559" s="126"/>
      <c r="Y559" s="126"/>
      <c r="Z559" s="126"/>
      <c r="AA559" s="126"/>
      <c r="AB559" s="126"/>
    </row>
    <row r="560" spans="1:28" ht="15.75" customHeight="1">
      <c r="A560" s="126"/>
      <c r="B560" s="126"/>
      <c r="C560" s="176"/>
      <c r="D560" s="176"/>
      <c r="E560" s="176"/>
      <c r="F560" s="176"/>
      <c r="G560" s="176"/>
      <c r="H560" s="176"/>
      <c r="I560" s="126"/>
      <c r="J560" s="126"/>
      <c r="K560" s="126"/>
      <c r="L560" s="126"/>
      <c r="M560" s="126"/>
      <c r="N560" s="126"/>
      <c r="O560" s="126"/>
      <c r="P560" s="126"/>
      <c r="Q560" s="126"/>
      <c r="R560" s="126"/>
      <c r="S560" s="126"/>
      <c r="T560" s="126"/>
      <c r="U560" s="126"/>
      <c r="V560" s="126"/>
      <c r="W560" s="126"/>
      <c r="X560" s="126"/>
      <c r="Y560" s="126"/>
      <c r="Z560" s="126"/>
      <c r="AA560" s="126"/>
      <c r="AB560" s="126"/>
    </row>
    <row r="561" spans="1:28" ht="15.75" customHeight="1">
      <c r="A561" s="126"/>
      <c r="B561" s="126"/>
      <c r="C561" s="176"/>
      <c r="D561" s="176"/>
      <c r="E561" s="176"/>
      <c r="F561" s="176"/>
      <c r="G561" s="176"/>
      <c r="H561" s="176"/>
      <c r="I561" s="126"/>
      <c r="J561" s="126"/>
      <c r="K561" s="126"/>
      <c r="L561" s="126"/>
      <c r="M561" s="126"/>
      <c r="N561" s="126"/>
      <c r="O561" s="126"/>
      <c r="P561" s="126"/>
      <c r="Q561" s="126"/>
      <c r="R561" s="126"/>
      <c r="S561" s="126"/>
      <c r="T561" s="126"/>
      <c r="U561" s="126"/>
      <c r="V561" s="126"/>
      <c r="W561" s="126"/>
      <c r="X561" s="126"/>
      <c r="Y561" s="126"/>
      <c r="Z561" s="126"/>
      <c r="AA561" s="126"/>
      <c r="AB561" s="126"/>
    </row>
    <row r="562" spans="1:28" ht="15.75" customHeight="1">
      <c r="A562" s="126"/>
      <c r="B562" s="126"/>
      <c r="C562" s="176"/>
      <c r="D562" s="176"/>
      <c r="E562" s="176"/>
      <c r="F562" s="176"/>
      <c r="G562" s="176"/>
      <c r="H562" s="176"/>
      <c r="I562" s="126"/>
      <c r="J562" s="126"/>
      <c r="K562" s="126"/>
      <c r="L562" s="126"/>
      <c r="M562" s="126"/>
      <c r="N562" s="126"/>
      <c r="O562" s="126"/>
      <c r="P562" s="126"/>
      <c r="Q562" s="126"/>
      <c r="R562" s="126"/>
      <c r="S562" s="126"/>
      <c r="T562" s="126"/>
      <c r="U562" s="126"/>
      <c r="V562" s="126"/>
      <c r="W562" s="126"/>
      <c r="X562" s="126"/>
      <c r="Y562" s="126"/>
      <c r="Z562" s="126"/>
      <c r="AA562" s="126"/>
      <c r="AB562" s="126"/>
    </row>
    <row r="563" spans="1:28" ht="15.75" customHeight="1">
      <c r="A563" s="126"/>
      <c r="B563" s="126"/>
      <c r="C563" s="176"/>
      <c r="D563" s="176"/>
      <c r="E563" s="176"/>
      <c r="F563" s="176"/>
      <c r="G563" s="176"/>
      <c r="H563" s="176"/>
      <c r="I563" s="126"/>
      <c r="J563" s="126"/>
      <c r="K563" s="126"/>
      <c r="L563" s="126"/>
      <c r="M563" s="126"/>
      <c r="N563" s="126"/>
      <c r="O563" s="126"/>
      <c r="P563" s="126"/>
      <c r="Q563" s="126"/>
      <c r="R563" s="126"/>
      <c r="S563" s="126"/>
      <c r="T563" s="126"/>
      <c r="U563" s="126"/>
      <c r="V563" s="126"/>
      <c r="W563" s="126"/>
      <c r="X563" s="126"/>
      <c r="Y563" s="126"/>
      <c r="Z563" s="126"/>
      <c r="AA563" s="126"/>
      <c r="AB563" s="126"/>
    </row>
    <row r="564" spans="1:28" ht="15.75" customHeight="1">
      <c r="A564" s="126"/>
      <c r="B564" s="126"/>
      <c r="C564" s="176"/>
      <c r="D564" s="176"/>
      <c r="E564" s="176"/>
      <c r="F564" s="176"/>
      <c r="G564" s="176"/>
      <c r="H564" s="176"/>
      <c r="I564" s="126"/>
      <c r="J564" s="126"/>
      <c r="K564" s="126"/>
      <c r="L564" s="126"/>
      <c r="M564" s="126"/>
      <c r="N564" s="126"/>
      <c r="O564" s="126"/>
      <c r="P564" s="126"/>
      <c r="Q564" s="126"/>
      <c r="R564" s="126"/>
      <c r="S564" s="126"/>
      <c r="T564" s="126"/>
      <c r="U564" s="126"/>
      <c r="V564" s="126"/>
      <c r="W564" s="126"/>
      <c r="X564" s="126"/>
      <c r="Y564" s="126"/>
      <c r="Z564" s="126"/>
      <c r="AA564" s="126"/>
      <c r="AB564" s="126"/>
    </row>
    <row r="565" spans="1:28" ht="15.75" customHeight="1">
      <c r="A565" s="126"/>
      <c r="B565" s="126"/>
      <c r="C565" s="176"/>
      <c r="D565" s="176"/>
      <c r="E565" s="176"/>
      <c r="F565" s="176"/>
      <c r="G565" s="176"/>
      <c r="H565" s="176"/>
      <c r="I565" s="126"/>
      <c r="J565" s="126"/>
      <c r="K565" s="126"/>
      <c r="L565" s="126"/>
      <c r="M565" s="126"/>
      <c r="N565" s="126"/>
      <c r="O565" s="126"/>
      <c r="P565" s="126"/>
      <c r="Q565" s="126"/>
      <c r="R565" s="126"/>
      <c r="S565" s="126"/>
      <c r="T565" s="126"/>
      <c r="U565" s="126"/>
      <c r="V565" s="126"/>
      <c r="W565" s="126"/>
      <c r="X565" s="126"/>
      <c r="Y565" s="126"/>
      <c r="Z565" s="126"/>
      <c r="AA565" s="126"/>
      <c r="AB565" s="126"/>
    </row>
    <row r="566" spans="1:28" ht="15.75" customHeight="1">
      <c r="A566" s="126"/>
      <c r="B566" s="126"/>
      <c r="C566" s="176"/>
      <c r="D566" s="176"/>
      <c r="E566" s="176"/>
      <c r="F566" s="176"/>
      <c r="G566" s="176"/>
      <c r="H566" s="176"/>
      <c r="I566" s="126"/>
      <c r="J566" s="126"/>
      <c r="K566" s="126"/>
      <c r="L566" s="126"/>
      <c r="M566" s="126"/>
      <c r="N566" s="126"/>
      <c r="O566" s="126"/>
      <c r="P566" s="126"/>
      <c r="Q566" s="126"/>
      <c r="R566" s="126"/>
      <c r="S566" s="126"/>
      <c r="T566" s="126"/>
      <c r="U566" s="126"/>
      <c r="V566" s="126"/>
      <c r="W566" s="126"/>
      <c r="X566" s="126"/>
      <c r="Y566" s="126"/>
      <c r="Z566" s="126"/>
      <c r="AA566" s="126"/>
      <c r="AB566" s="126"/>
    </row>
    <row r="567" spans="1:28" ht="15.75" customHeight="1">
      <c r="A567" s="126"/>
      <c r="B567" s="126"/>
      <c r="C567" s="176"/>
      <c r="D567" s="176"/>
      <c r="E567" s="176"/>
      <c r="F567" s="176"/>
      <c r="G567" s="176"/>
      <c r="H567" s="176"/>
      <c r="I567" s="126"/>
      <c r="J567" s="126"/>
      <c r="K567" s="126"/>
      <c r="L567" s="126"/>
      <c r="M567" s="126"/>
      <c r="N567" s="126"/>
      <c r="O567" s="126"/>
      <c r="P567" s="126"/>
      <c r="Q567" s="126"/>
      <c r="R567" s="126"/>
      <c r="S567" s="126"/>
      <c r="T567" s="126"/>
      <c r="U567" s="126"/>
      <c r="V567" s="126"/>
      <c r="W567" s="126"/>
      <c r="X567" s="126"/>
      <c r="Y567" s="126"/>
      <c r="Z567" s="126"/>
      <c r="AA567" s="126"/>
      <c r="AB567" s="126"/>
    </row>
    <row r="568" spans="1:28" ht="15.75" customHeight="1">
      <c r="A568" s="126"/>
      <c r="B568" s="126"/>
      <c r="C568" s="176"/>
      <c r="D568" s="176"/>
      <c r="E568" s="176"/>
      <c r="F568" s="176"/>
      <c r="G568" s="176"/>
      <c r="H568" s="176"/>
      <c r="I568" s="126"/>
      <c r="J568" s="126"/>
      <c r="K568" s="126"/>
      <c r="L568" s="126"/>
      <c r="M568" s="126"/>
      <c r="N568" s="126"/>
      <c r="O568" s="126"/>
      <c r="P568" s="126"/>
      <c r="Q568" s="126"/>
      <c r="R568" s="126"/>
      <c r="S568" s="126"/>
      <c r="T568" s="126"/>
      <c r="U568" s="126"/>
      <c r="V568" s="126"/>
      <c r="W568" s="126"/>
      <c r="X568" s="126"/>
      <c r="Y568" s="126"/>
      <c r="Z568" s="126"/>
      <c r="AA568" s="126"/>
      <c r="AB568" s="126"/>
    </row>
    <row r="569" spans="1:28" ht="15.75" customHeight="1">
      <c r="A569" s="126"/>
      <c r="B569" s="126"/>
      <c r="C569" s="176"/>
      <c r="D569" s="176"/>
      <c r="E569" s="176"/>
      <c r="F569" s="176"/>
      <c r="G569" s="176"/>
      <c r="H569" s="176"/>
      <c r="I569" s="126"/>
      <c r="J569" s="126"/>
      <c r="K569" s="126"/>
      <c r="L569" s="126"/>
      <c r="M569" s="126"/>
      <c r="N569" s="126"/>
      <c r="O569" s="126"/>
      <c r="P569" s="126"/>
      <c r="Q569" s="126"/>
      <c r="R569" s="126"/>
      <c r="S569" s="126"/>
      <c r="T569" s="126"/>
      <c r="U569" s="126"/>
      <c r="V569" s="126"/>
      <c r="W569" s="126"/>
      <c r="X569" s="126"/>
      <c r="Y569" s="126"/>
      <c r="Z569" s="126"/>
      <c r="AA569" s="126"/>
      <c r="AB569" s="126"/>
    </row>
    <row r="570" spans="1:28" ht="15.75" customHeight="1">
      <c r="A570" s="126"/>
      <c r="B570" s="126"/>
      <c r="C570" s="176"/>
      <c r="D570" s="176"/>
      <c r="E570" s="176"/>
      <c r="F570" s="176"/>
      <c r="G570" s="176"/>
      <c r="H570" s="176"/>
      <c r="I570" s="126"/>
      <c r="J570" s="126"/>
      <c r="K570" s="126"/>
      <c r="L570" s="126"/>
      <c r="M570" s="126"/>
      <c r="N570" s="126"/>
      <c r="O570" s="126"/>
      <c r="P570" s="126"/>
      <c r="Q570" s="126"/>
      <c r="R570" s="126"/>
      <c r="S570" s="126"/>
      <c r="T570" s="126"/>
      <c r="U570" s="126"/>
      <c r="V570" s="126"/>
      <c r="W570" s="126"/>
      <c r="X570" s="126"/>
      <c r="Y570" s="126"/>
      <c r="Z570" s="126"/>
      <c r="AA570" s="126"/>
      <c r="AB570" s="126"/>
    </row>
    <row r="571" spans="1:28" ht="15.75" customHeight="1">
      <c r="A571" s="126"/>
      <c r="B571" s="126"/>
      <c r="C571" s="176"/>
      <c r="D571" s="176"/>
      <c r="E571" s="176"/>
      <c r="F571" s="176"/>
      <c r="G571" s="176"/>
      <c r="H571" s="176"/>
      <c r="I571" s="126"/>
      <c r="J571" s="126"/>
      <c r="K571" s="126"/>
      <c r="L571" s="126"/>
      <c r="M571" s="126"/>
      <c r="N571" s="126"/>
      <c r="O571" s="126"/>
      <c r="P571" s="126"/>
      <c r="Q571" s="126"/>
      <c r="R571" s="126"/>
      <c r="S571" s="126"/>
      <c r="T571" s="126"/>
      <c r="U571" s="126"/>
      <c r="V571" s="126"/>
      <c r="W571" s="126"/>
      <c r="X571" s="126"/>
      <c r="Y571" s="126"/>
      <c r="Z571" s="126"/>
      <c r="AA571" s="126"/>
      <c r="AB571" s="126"/>
    </row>
    <row r="572" spans="1:28" ht="15.75" customHeight="1">
      <c r="A572" s="126"/>
      <c r="B572" s="126"/>
      <c r="C572" s="176"/>
      <c r="D572" s="176"/>
      <c r="E572" s="176"/>
      <c r="F572" s="176"/>
      <c r="G572" s="176"/>
      <c r="H572" s="176"/>
      <c r="I572" s="126"/>
      <c r="J572" s="126"/>
      <c r="K572" s="126"/>
      <c r="L572" s="126"/>
      <c r="M572" s="126"/>
      <c r="N572" s="126"/>
      <c r="O572" s="126"/>
      <c r="P572" s="126"/>
      <c r="Q572" s="126"/>
      <c r="R572" s="126"/>
      <c r="S572" s="126"/>
      <c r="T572" s="126"/>
      <c r="U572" s="126"/>
      <c r="V572" s="126"/>
      <c r="W572" s="126"/>
      <c r="X572" s="126"/>
      <c r="Y572" s="126"/>
      <c r="Z572" s="126"/>
      <c r="AA572" s="126"/>
      <c r="AB572" s="126"/>
    </row>
    <row r="573" spans="1:28" ht="15.75" customHeight="1">
      <c r="A573" s="126"/>
      <c r="B573" s="126"/>
      <c r="C573" s="176"/>
      <c r="D573" s="176"/>
      <c r="E573" s="176"/>
      <c r="F573" s="176"/>
      <c r="G573" s="176"/>
      <c r="H573" s="176"/>
      <c r="I573" s="126"/>
      <c r="J573" s="126"/>
      <c r="K573" s="126"/>
      <c r="L573" s="126"/>
      <c r="M573" s="126"/>
      <c r="N573" s="126"/>
      <c r="O573" s="126"/>
      <c r="P573" s="126"/>
      <c r="Q573" s="126"/>
      <c r="R573" s="126"/>
      <c r="S573" s="126"/>
      <c r="T573" s="126"/>
      <c r="U573" s="126"/>
      <c r="V573" s="126"/>
      <c r="W573" s="126"/>
      <c r="X573" s="126"/>
      <c r="Y573" s="126"/>
      <c r="Z573" s="126"/>
      <c r="AA573" s="126"/>
      <c r="AB573" s="126"/>
    </row>
    <row r="574" spans="1:28" ht="15.75" customHeight="1">
      <c r="A574" s="126"/>
      <c r="B574" s="126"/>
      <c r="C574" s="176"/>
      <c r="D574" s="176"/>
      <c r="E574" s="176"/>
      <c r="F574" s="176"/>
      <c r="G574" s="176"/>
      <c r="H574" s="176"/>
      <c r="I574" s="126"/>
      <c r="J574" s="126"/>
      <c r="K574" s="126"/>
      <c r="L574" s="126"/>
      <c r="M574" s="126"/>
      <c r="N574" s="126"/>
      <c r="O574" s="126"/>
      <c r="P574" s="126"/>
      <c r="Q574" s="126"/>
      <c r="R574" s="126"/>
      <c r="S574" s="126"/>
      <c r="T574" s="126"/>
      <c r="U574" s="126"/>
      <c r="V574" s="126"/>
      <c r="W574" s="126"/>
      <c r="X574" s="126"/>
      <c r="Y574" s="126"/>
      <c r="Z574" s="126"/>
      <c r="AA574" s="126"/>
      <c r="AB574" s="126"/>
    </row>
    <row r="575" spans="1:28" ht="15.75" customHeight="1">
      <c r="A575" s="126"/>
      <c r="B575" s="126"/>
      <c r="C575" s="176"/>
      <c r="D575" s="176"/>
      <c r="E575" s="176"/>
      <c r="F575" s="176"/>
      <c r="G575" s="176"/>
      <c r="H575" s="176"/>
      <c r="I575" s="126"/>
      <c r="J575" s="126"/>
      <c r="K575" s="126"/>
      <c r="L575" s="126"/>
      <c r="M575" s="126"/>
      <c r="N575" s="126"/>
      <c r="O575" s="126"/>
      <c r="P575" s="126"/>
      <c r="Q575" s="126"/>
      <c r="R575" s="126"/>
      <c r="S575" s="126"/>
      <c r="T575" s="126"/>
      <c r="U575" s="126"/>
      <c r="V575" s="126"/>
      <c r="W575" s="126"/>
      <c r="X575" s="126"/>
      <c r="Y575" s="126"/>
      <c r="Z575" s="126"/>
      <c r="AA575" s="126"/>
      <c r="AB575" s="126"/>
    </row>
    <row r="576" spans="1:28" ht="15.75" customHeight="1">
      <c r="A576" s="126"/>
      <c r="B576" s="126"/>
      <c r="C576" s="176"/>
      <c r="D576" s="176"/>
      <c r="E576" s="176"/>
      <c r="F576" s="176"/>
      <c r="G576" s="176"/>
      <c r="H576" s="176"/>
      <c r="I576" s="126"/>
      <c r="J576" s="126"/>
      <c r="K576" s="126"/>
      <c r="L576" s="126"/>
      <c r="M576" s="126"/>
      <c r="N576" s="126"/>
      <c r="O576" s="126"/>
      <c r="P576" s="126"/>
      <c r="Q576" s="126"/>
      <c r="R576" s="126"/>
      <c r="S576" s="126"/>
      <c r="T576" s="126"/>
      <c r="U576" s="126"/>
      <c r="V576" s="126"/>
      <c r="W576" s="126"/>
      <c r="X576" s="126"/>
      <c r="Y576" s="126"/>
      <c r="Z576" s="126"/>
      <c r="AA576" s="126"/>
      <c r="AB576" s="126"/>
    </row>
    <row r="577" spans="1:28" ht="15.75" customHeight="1">
      <c r="A577" s="126"/>
      <c r="B577" s="126"/>
      <c r="C577" s="176"/>
      <c r="D577" s="176"/>
      <c r="E577" s="176"/>
      <c r="F577" s="176"/>
      <c r="G577" s="176"/>
      <c r="H577" s="176"/>
      <c r="I577" s="126"/>
      <c r="J577" s="126"/>
      <c r="K577" s="126"/>
      <c r="L577" s="126"/>
      <c r="M577" s="126"/>
      <c r="N577" s="126"/>
      <c r="O577" s="126"/>
      <c r="P577" s="126"/>
      <c r="Q577" s="126"/>
      <c r="R577" s="126"/>
      <c r="S577" s="126"/>
      <c r="T577" s="126"/>
      <c r="U577" s="126"/>
      <c r="V577" s="126"/>
      <c r="W577" s="126"/>
      <c r="X577" s="126"/>
      <c r="Y577" s="126"/>
      <c r="Z577" s="126"/>
      <c r="AA577" s="126"/>
      <c r="AB577" s="126"/>
    </row>
    <row r="578" spans="1:28" ht="15.75" customHeight="1">
      <c r="A578" s="126"/>
      <c r="B578" s="126"/>
      <c r="C578" s="176"/>
      <c r="D578" s="176"/>
      <c r="E578" s="176"/>
      <c r="F578" s="176"/>
      <c r="G578" s="176"/>
      <c r="H578" s="176"/>
      <c r="I578" s="126"/>
      <c r="J578" s="126"/>
      <c r="K578" s="126"/>
      <c r="L578" s="126"/>
      <c r="M578" s="126"/>
      <c r="N578" s="126"/>
      <c r="O578" s="126"/>
      <c r="P578" s="126"/>
      <c r="Q578" s="126"/>
      <c r="R578" s="126"/>
      <c r="S578" s="126"/>
      <c r="T578" s="126"/>
      <c r="U578" s="126"/>
      <c r="V578" s="126"/>
      <c r="W578" s="126"/>
      <c r="X578" s="126"/>
      <c r="Y578" s="126"/>
      <c r="Z578" s="126"/>
      <c r="AA578" s="126"/>
      <c r="AB578" s="126"/>
    </row>
    <row r="579" spans="1:28" ht="15.75" customHeight="1">
      <c r="A579" s="126"/>
      <c r="B579" s="126"/>
      <c r="C579" s="176"/>
      <c r="D579" s="176"/>
      <c r="E579" s="176"/>
      <c r="F579" s="176"/>
      <c r="G579" s="176"/>
      <c r="H579" s="176"/>
      <c r="I579" s="126"/>
      <c r="J579" s="126"/>
      <c r="K579" s="126"/>
      <c r="L579" s="126"/>
      <c r="M579" s="126"/>
      <c r="N579" s="126"/>
      <c r="O579" s="126"/>
      <c r="P579" s="126"/>
      <c r="Q579" s="126"/>
      <c r="R579" s="126"/>
      <c r="S579" s="126"/>
      <c r="T579" s="126"/>
      <c r="U579" s="126"/>
      <c r="V579" s="126"/>
      <c r="W579" s="126"/>
      <c r="X579" s="126"/>
      <c r="Y579" s="126"/>
      <c r="Z579" s="126"/>
      <c r="AA579" s="126"/>
      <c r="AB579" s="126"/>
    </row>
    <row r="580" spans="1:28" ht="15.75" customHeight="1">
      <c r="A580" s="126"/>
      <c r="B580" s="126"/>
      <c r="C580" s="176"/>
      <c r="D580" s="176"/>
      <c r="E580" s="176"/>
      <c r="F580" s="176"/>
      <c r="G580" s="176"/>
      <c r="H580" s="176"/>
      <c r="I580" s="126"/>
      <c r="J580" s="126"/>
      <c r="K580" s="126"/>
      <c r="L580" s="126"/>
      <c r="M580" s="126"/>
      <c r="N580" s="126"/>
      <c r="O580" s="126"/>
      <c r="P580" s="126"/>
      <c r="Q580" s="126"/>
      <c r="R580" s="126"/>
      <c r="S580" s="126"/>
      <c r="T580" s="126"/>
      <c r="U580" s="126"/>
      <c r="V580" s="126"/>
      <c r="W580" s="126"/>
      <c r="X580" s="126"/>
      <c r="Y580" s="126"/>
      <c r="Z580" s="126"/>
      <c r="AA580" s="126"/>
      <c r="AB580" s="126"/>
    </row>
    <row r="581" spans="1:28" ht="15.75" customHeight="1">
      <c r="A581" s="126"/>
      <c r="B581" s="126"/>
      <c r="C581" s="176"/>
      <c r="D581" s="176"/>
      <c r="E581" s="176"/>
      <c r="F581" s="176"/>
      <c r="G581" s="176"/>
      <c r="H581" s="176"/>
      <c r="I581" s="126"/>
      <c r="J581" s="126"/>
      <c r="K581" s="126"/>
      <c r="L581" s="126"/>
      <c r="M581" s="126"/>
      <c r="N581" s="126"/>
      <c r="O581" s="126"/>
      <c r="P581" s="126"/>
      <c r="Q581" s="126"/>
      <c r="R581" s="126"/>
      <c r="S581" s="126"/>
      <c r="T581" s="126"/>
      <c r="U581" s="126"/>
      <c r="V581" s="126"/>
      <c r="W581" s="126"/>
      <c r="X581" s="126"/>
      <c r="Y581" s="126"/>
      <c r="Z581" s="126"/>
      <c r="AA581" s="126"/>
      <c r="AB581" s="126"/>
    </row>
    <row r="582" spans="1:28" ht="15.75" customHeight="1">
      <c r="A582" s="126"/>
      <c r="B582" s="126"/>
      <c r="C582" s="176"/>
      <c r="D582" s="176"/>
      <c r="E582" s="176"/>
      <c r="F582" s="176"/>
      <c r="G582" s="176"/>
      <c r="H582" s="176"/>
      <c r="I582" s="126"/>
      <c r="J582" s="126"/>
      <c r="K582" s="126"/>
      <c r="L582" s="126"/>
      <c r="M582" s="126"/>
      <c r="N582" s="126"/>
      <c r="O582" s="126"/>
      <c r="P582" s="126"/>
      <c r="Q582" s="126"/>
      <c r="R582" s="126"/>
      <c r="S582" s="126"/>
      <c r="T582" s="126"/>
      <c r="U582" s="126"/>
      <c r="V582" s="126"/>
      <c r="W582" s="126"/>
      <c r="X582" s="126"/>
      <c r="Y582" s="126"/>
      <c r="Z582" s="126"/>
      <c r="AA582" s="126"/>
      <c r="AB582" s="126"/>
    </row>
    <row r="583" spans="1:28" ht="15.75" customHeight="1">
      <c r="A583" s="126"/>
      <c r="B583" s="126"/>
      <c r="C583" s="176"/>
      <c r="D583" s="176"/>
      <c r="E583" s="176"/>
      <c r="F583" s="176"/>
      <c r="G583" s="176"/>
      <c r="H583" s="176"/>
      <c r="I583" s="126"/>
      <c r="J583" s="126"/>
      <c r="K583" s="126"/>
      <c r="L583" s="126"/>
      <c r="M583" s="126"/>
      <c r="N583" s="126"/>
      <c r="O583" s="126"/>
      <c r="P583" s="126"/>
      <c r="Q583" s="126"/>
      <c r="R583" s="126"/>
      <c r="S583" s="126"/>
      <c r="T583" s="126"/>
      <c r="U583" s="126"/>
      <c r="V583" s="126"/>
      <c r="W583" s="126"/>
      <c r="X583" s="126"/>
      <c r="Y583" s="126"/>
      <c r="Z583" s="126"/>
      <c r="AA583" s="126"/>
      <c r="AB583" s="126"/>
    </row>
    <row r="584" spans="1:28" ht="15.75" customHeight="1">
      <c r="A584" s="126"/>
      <c r="B584" s="126"/>
      <c r="C584" s="176"/>
      <c r="D584" s="176"/>
      <c r="E584" s="176"/>
      <c r="F584" s="176"/>
      <c r="G584" s="176"/>
      <c r="H584" s="176"/>
      <c r="I584" s="126"/>
      <c r="J584" s="126"/>
      <c r="K584" s="126"/>
      <c r="L584" s="126"/>
      <c r="M584" s="126"/>
      <c r="N584" s="126"/>
      <c r="O584" s="126"/>
      <c r="P584" s="126"/>
      <c r="Q584" s="126"/>
      <c r="R584" s="126"/>
      <c r="S584" s="126"/>
      <c r="T584" s="126"/>
      <c r="U584" s="126"/>
      <c r="V584" s="126"/>
      <c r="W584" s="126"/>
      <c r="X584" s="126"/>
      <c r="Y584" s="126"/>
      <c r="Z584" s="126"/>
      <c r="AA584" s="126"/>
      <c r="AB584" s="126"/>
    </row>
    <row r="585" spans="1:28" ht="15.75" customHeight="1">
      <c r="A585" s="126"/>
      <c r="B585" s="126"/>
      <c r="C585" s="176"/>
      <c r="D585" s="176"/>
      <c r="E585" s="176"/>
      <c r="F585" s="176"/>
      <c r="G585" s="176"/>
      <c r="H585" s="176"/>
      <c r="I585" s="126"/>
      <c r="J585" s="126"/>
      <c r="K585" s="126"/>
      <c r="L585" s="126"/>
      <c r="M585" s="126"/>
      <c r="N585" s="126"/>
      <c r="O585" s="126"/>
      <c r="P585" s="126"/>
      <c r="Q585" s="126"/>
      <c r="R585" s="126"/>
      <c r="S585" s="126"/>
      <c r="T585" s="126"/>
      <c r="U585" s="126"/>
      <c r="V585" s="126"/>
      <c r="W585" s="126"/>
      <c r="X585" s="126"/>
      <c r="Y585" s="126"/>
      <c r="Z585" s="126"/>
      <c r="AA585" s="126"/>
      <c r="AB585" s="126"/>
    </row>
    <row r="586" spans="1:28" ht="15.75" customHeight="1">
      <c r="A586" s="126"/>
      <c r="B586" s="126"/>
      <c r="C586" s="176"/>
      <c r="D586" s="176"/>
      <c r="E586" s="176"/>
      <c r="F586" s="176"/>
      <c r="G586" s="176"/>
      <c r="H586" s="176"/>
      <c r="I586" s="126"/>
      <c r="J586" s="126"/>
      <c r="K586" s="126"/>
      <c r="L586" s="126"/>
      <c r="M586" s="126"/>
      <c r="N586" s="126"/>
      <c r="O586" s="126"/>
      <c r="P586" s="126"/>
      <c r="Q586" s="126"/>
      <c r="R586" s="126"/>
      <c r="S586" s="126"/>
      <c r="T586" s="126"/>
      <c r="U586" s="126"/>
      <c r="V586" s="126"/>
      <c r="W586" s="126"/>
      <c r="X586" s="126"/>
      <c r="Y586" s="126"/>
      <c r="Z586" s="126"/>
      <c r="AA586" s="126"/>
      <c r="AB586" s="126"/>
    </row>
    <row r="587" spans="1:28" ht="15.75" customHeight="1">
      <c r="A587" s="126"/>
      <c r="B587" s="126"/>
      <c r="C587" s="176"/>
      <c r="D587" s="176"/>
      <c r="E587" s="176"/>
      <c r="F587" s="176"/>
      <c r="G587" s="176"/>
      <c r="H587" s="176"/>
      <c r="I587" s="126"/>
      <c r="J587" s="126"/>
      <c r="K587" s="126"/>
      <c r="L587" s="126"/>
      <c r="M587" s="126"/>
      <c r="N587" s="126"/>
      <c r="O587" s="126"/>
      <c r="P587" s="126"/>
      <c r="Q587" s="126"/>
      <c r="R587" s="126"/>
      <c r="S587" s="126"/>
      <c r="T587" s="126"/>
      <c r="U587" s="126"/>
      <c r="V587" s="126"/>
      <c r="W587" s="126"/>
      <c r="X587" s="126"/>
      <c r="Y587" s="126"/>
      <c r="Z587" s="126"/>
      <c r="AA587" s="126"/>
      <c r="AB587" s="126"/>
    </row>
    <row r="588" spans="1:28" ht="15.75" customHeight="1">
      <c r="A588" s="126"/>
      <c r="B588" s="126"/>
      <c r="C588" s="176"/>
      <c r="D588" s="176"/>
      <c r="E588" s="176"/>
      <c r="F588" s="176"/>
      <c r="G588" s="176"/>
      <c r="H588" s="176"/>
      <c r="I588" s="126"/>
      <c r="J588" s="126"/>
      <c r="K588" s="126"/>
      <c r="L588" s="126"/>
      <c r="M588" s="126"/>
      <c r="N588" s="126"/>
      <c r="O588" s="126"/>
      <c r="P588" s="126"/>
      <c r="Q588" s="126"/>
      <c r="R588" s="126"/>
      <c r="S588" s="126"/>
      <c r="T588" s="126"/>
      <c r="U588" s="126"/>
      <c r="V588" s="126"/>
      <c r="W588" s="126"/>
      <c r="X588" s="126"/>
      <c r="Y588" s="126"/>
      <c r="Z588" s="126"/>
      <c r="AA588" s="126"/>
      <c r="AB588" s="126"/>
    </row>
    <row r="589" spans="1:28" ht="15.75" customHeight="1">
      <c r="A589" s="126"/>
      <c r="B589" s="126"/>
      <c r="C589" s="176"/>
      <c r="D589" s="176"/>
      <c r="E589" s="176"/>
      <c r="F589" s="176"/>
      <c r="G589" s="176"/>
      <c r="H589" s="176"/>
      <c r="I589" s="126"/>
      <c r="J589" s="126"/>
      <c r="K589" s="126"/>
      <c r="L589" s="126"/>
      <c r="M589" s="126"/>
      <c r="N589" s="126"/>
      <c r="O589" s="126"/>
      <c r="P589" s="126"/>
      <c r="Q589" s="126"/>
      <c r="R589" s="126"/>
      <c r="S589" s="126"/>
      <c r="T589" s="126"/>
      <c r="U589" s="126"/>
      <c r="V589" s="126"/>
      <c r="W589" s="126"/>
      <c r="X589" s="126"/>
      <c r="Y589" s="126"/>
      <c r="Z589" s="126"/>
      <c r="AA589" s="126"/>
      <c r="AB589" s="126"/>
    </row>
    <row r="590" spans="1:28" ht="15.75" customHeight="1">
      <c r="A590" s="126"/>
      <c r="B590" s="126"/>
      <c r="C590" s="176"/>
      <c r="D590" s="176"/>
      <c r="E590" s="176"/>
      <c r="F590" s="176"/>
      <c r="G590" s="176"/>
      <c r="H590" s="176"/>
      <c r="I590" s="126"/>
      <c r="J590" s="126"/>
      <c r="K590" s="126"/>
      <c r="L590" s="126"/>
      <c r="M590" s="126"/>
      <c r="N590" s="126"/>
      <c r="O590" s="126"/>
      <c r="P590" s="126"/>
      <c r="Q590" s="126"/>
      <c r="R590" s="126"/>
      <c r="S590" s="126"/>
      <c r="T590" s="126"/>
      <c r="U590" s="126"/>
      <c r="V590" s="126"/>
      <c r="W590" s="126"/>
      <c r="X590" s="126"/>
      <c r="Y590" s="126"/>
      <c r="Z590" s="126"/>
      <c r="AA590" s="126"/>
      <c r="AB590" s="126"/>
    </row>
    <row r="591" spans="1:28" ht="15.75" customHeight="1">
      <c r="A591" s="126"/>
      <c r="B591" s="126"/>
      <c r="C591" s="176"/>
      <c r="D591" s="176"/>
      <c r="E591" s="176"/>
      <c r="F591" s="176"/>
      <c r="G591" s="176"/>
      <c r="H591" s="176"/>
      <c r="I591" s="126"/>
      <c r="J591" s="126"/>
      <c r="K591" s="126"/>
      <c r="L591" s="126"/>
      <c r="M591" s="126"/>
      <c r="N591" s="126"/>
      <c r="O591" s="126"/>
      <c r="P591" s="126"/>
      <c r="Q591" s="126"/>
      <c r="R591" s="126"/>
      <c r="S591" s="126"/>
      <c r="T591" s="126"/>
      <c r="U591" s="126"/>
      <c r="V591" s="126"/>
      <c r="W591" s="126"/>
      <c r="X591" s="126"/>
      <c r="Y591" s="126"/>
      <c r="Z591" s="126"/>
      <c r="AA591" s="126"/>
      <c r="AB591" s="126"/>
    </row>
    <row r="592" spans="1:28" ht="15.75" customHeight="1">
      <c r="A592" s="126"/>
      <c r="B592" s="126"/>
      <c r="C592" s="176"/>
      <c r="D592" s="176"/>
      <c r="E592" s="176"/>
      <c r="F592" s="176"/>
      <c r="G592" s="176"/>
      <c r="H592" s="176"/>
      <c r="I592" s="126"/>
      <c r="J592" s="126"/>
      <c r="K592" s="126"/>
      <c r="L592" s="126"/>
      <c r="M592" s="126"/>
      <c r="N592" s="126"/>
      <c r="O592" s="126"/>
      <c r="P592" s="126"/>
      <c r="Q592" s="126"/>
      <c r="R592" s="126"/>
      <c r="S592" s="126"/>
      <c r="T592" s="126"/>
      <c r="U592" s="126"/>
      <c r="V592" s="126"/>
      <c r="W592" s="126"/>
      <c r="X592" s="126"/>
      <c r="Y592" s="126"/>
      <c r="Z592" s="126"/>
      <c r="AA592" s="126"/>
      <c r="AB592" s="126"/>
    </row>
    <row r="593" spans="1:28" ht="15.75" customHeight="1">
      <c r="A593" s="126"/>
      <c r="B593" s="126"/>
      <c r="C593" s="176"/>
      <c r="D593" s="176"/>
      <c r="E593" s="176"/>
      <c r="F593" s="176"/>
      <c r="G593" s="176"/>
      <c r="H593" s="176"/>
      <c r="I593" s="126"/>
      <c r="J593" s="126"/>
      <c r="K593" s="126"/>
      <c r="L593" s="126"/>
      <c r="M593" s="126"/>
      <c r="N593" s="126"/>
      <c r="O593" s="126"/>
      <c r="P593" s="126"/>
      <c r="Q593" s="126"/>
      <c r="R593" s="126"/>
      <c r="S593" s="126"/>
      <c r="T593" s="126"/>
      <c r="U593" s="126"/>
      <c r="V593" s="126"/>
      <c r="W593" s="126"/>
      <c r="X593" s="126"/>
      <c r="Y593" s="126"/>
      <c r="Z593" s="126"/>
      <c r="AA593" s="126"/>
      <c r="AB593" s="126"/>
    </row>
    <row r="594" spans="1:28" ht="15.75" customHeight="1">
      <c r="A594" s="126"/>
      <c r="B594" s="126"/>
      <c r="C594" s="176"/>
      <c r="D594" s="176"/>
      <c r="E594" s="176"/>
      <c r="F594" s="176"/>
      <c r="G594" s="176"/>
      <c r="H594" s="176"/>
      <c r="I594" s="126"/>
      <c r="J594" s="126"/>
      <c r="K594" s="126"/>
      <c r="L594" s="126"/>
      <c r="M594" s="126"/>
      <c r="N594" s="126"/>
      <c r="O594" s="126"/>
      <c r="P594" s="126"/>
      <c r="Q594" s="126"/>
      <c r="R594" s="126"/>
      <c r="S594" s="126"/>
      <c r="T594" s="126"/>
      <c r="U594" s="126"/>
      <c r="V594" s="126"/>
      <c r="W594" s="126"/>
      <c r="X594" s="126"/>
      <c r="Y594" s="126"/>
      <c r="Z594" s="126"/>
      <c r="AA594" s="126"/>
      <c r="AB594" s="126"/>
    </row>
    <row r="595" spans="1:28" ht="15.75" customHeight="1">
      <c r="A595" s="126"/>
      <c r="B595" s="126"/>
      <c r="C595" s="176"/>
      <c r="D595" s="176"/>
      <c r="E595" s="176"/>
      <c r="F595" s="176"/>
      <c r="G595" s="176"/>
      <c r="H595" s="176"/>
      <c r="I595" s="126"/>
      <c r="J595" s="126"/>
      <c r="K595" s="126"/>
      <c r="L595" s="126"/>
      <c r="M595" s="126"/>
      <c r="N595" s="126"/>
      <c r="O595" s="126"/>
      <c r="P595" s="126"/>
      <c r="Q595" s="126"/>
      <c r="R595" s="126"/>
      <c r="S595" s="126"/>
      <c r="T595" s="126"/>
      <c r="U595" s="126"/>
      <c r="V595" s="126"/>
      <c r="W595" s="126"/>
      <c r="X595" s="126"/>
      <c r="Y595" s="126"/>
      <c r="Z595" s="126"/>
      <c r="AA595" s="126"/>
      <c r="AB595" s="126"/>
    </row>
    <row r="596" spans="1:28" ht="15.75" customHeight="1">
      <c r="A596" s="126"/>
      <c r="B596" s="126"/>
      <c r="C596" s="176"/>
      <c r="D596" s="176"/>
      <c r="E596" s="176"/>
      <c r="F596" s="176"/>
      <c r="G596" s="176"/>
      <c r="H596" s="176"/>
      <c r="I596" s="126"/>
      <c r="J596" s="126"/>
      <c r="K596" s="126"/>
      <c r="L596" s="126"/>
      <c r="M596" s="126"/>
      <c r="N596" s="126"/>
      <c r="O596" s="126"/>
      <c r="P596" s="126"/>
      <c r="Q596" s="126"/>
      <c r="R596" s="126"/>
      <c r="S596" s="126"/>
      <c r="T596" s="126"/>
      <c r="U596" s="126"/>
      <c r="V596" s="126"/>
      <c r="W596" s="126"/>
      <c r="X596" s="126"/>
      <c r="Y596" s="126"/>
      <c r="Z596" s="126"/>
      <c r="AA596" s="126"/>
      <c r="AB596" s="126"/>
    </row>
    <row r="597" spans="1:28" ht="15.75" customHeight="1">
      <c r="A597" s="126"/>
      <c r="B597" s="126"/>
      <c r="C597" s="176"/>
      <c r="D597" s="176"/>
      <c r="E597" s="176"/>
      <c r="F597" s="176"/>
      <c r="G597" s="176"/>
      <c r="H597" s="176"/>
      <c r="I597" s="126"/>
      <c r="J597" s="126"/>
      <c r="K597" s="126"/>
      <c r="L597" s="126"/>
      <c r="M597" s="126"/>
      <c r="N597" s="126"/>
      <c r="O597" s="126"/>
      <c r="P597" s="126"/>
      <c r="Q597" s="126"/>
      <c r="R597" s="126"/>
      <c r="S597" s="126"/>
      <c r="T597" s="126"/>
      <c r="U597" s="126"/>
      <c r="V597" s="126"/>
      <c r="W597" s="126"/>
      <c r="X597" s="126"/>
      <c r="Y597" s="126"/>
      <c r="Z597" s="126"/>
      <c r="AA597" s="126"/>
      <c r="AB597" s="126"/>
    </row>
    <row r="598" spans="1:28" ht="15.75" customHeight="1">
      <c r="A598" s="126"/>
      <c r="B598" s="126"/>
      <c r="C598" s="176"/>
      <c r="D598" s="176"/>
      <c r="E598" s="176"/>
      <c r="F598" s="176"/>
      <c r="G598" s="176"/>
      <c r="H598" s="176"/>
      <c r="I598" s="126"/>
      <c r="J598" s="126"/>
      <c r="K598" s="126"/>
      <c r="L598" s="126"/>
      <c r="M598" s="126"/>
      <c r="N598" s="126"/>
      <c r="O598" s="126"/>
      <c r="P598" s="126"/>
      <c r="Q598" s="126"/>
      <c r="R598" s="126"/>
      <c r="S598" s="126"/>
      <c r="T598" s="126"/>
      <c r="U598" s="126"/>
      <c r="V598" s="126"/>
      <c r="W598" s="126"/>
      <c r="X598" s="126"/>
      <c r="Y598" s="126"/>
      <c r="Z598" s="126"/>
      <c r="AA598" s="126"/>
      <c r="AB598" s="126"/>
    </row>
    <row r="599" spans="1:28" ht="15.75" customHeight="1">
      <c r="A599" s="126"/>
      <c r="B599" s="126"/>
      <c r="C599" s="176"/>
      <c r="D599" s="176"/>
      <c r="E599" s="176"/>
      <c r="F599" s="176"/>
      <c r="G599" s="176"/>
      <c r="H599" s="176"/>
      <c r="I599" s="126"/>
      <c r="J599" s="126"/>
      <c r="K599" s="126"/>
      <c r="L599" s="126"/>
      <c r="M599" s="126"/>
      <c r="N599" s="126"/>
      <c r="O599" s="126"/>
      <c r="P599" s="126"/>
      <c r="Q599" s="126"/>
      <c r="R599" s="126"/>
      <c r="S599" s="126"/>
      <c r="T599" s="126"/>
      <c r="U599" s="126"/>
      <c r="V599" s="126"/>
      <c r="W599" s="126"/>
      <c r="X599" s="126"/>
      <c r="Y599" s="126"/>
      <c r="Z599" s="126"/>
      <c r="AA599" s="126"/>
      <c r="AB599" s="126"/>
    </row>
    <row r="600" spans="1:28" ht="15.75" customHeight="1">
      <c r="A600" s="126"/>
      <c r="B600" s="126"/>
      <c r="C600" s="176"/>
      <c r="D600" s="176"/>
      <c r="E600" s="176"/>
      <c r="F600" s="176"/>
      <c r="G600" s="176"/>
      <c r="H600" s="176"/>
      <c r="I600" s="126"/>
      <c r="J600" s="126"/>
      <c r="K600" s="126"/>
      <c r="L600" s="126"/>
      <c r="M600" s="126"/>
      <c r="N600" s="126"/>
      <c r="O600" s="126"/>
      <c r="P600" s="126"/>
      <c r="Q600" s="126"/>
      <c r="R600" s="126"/>
      <c r="S600" s="126"/>
      <c r="T600" s="126"/>
      <c r="U600" s="126"/>
      <c r="V600" s="126"/>
      <c r="W600" s="126"/>
      <c r="X600" s="126"/>
      <c r="Y600" s="126"/>
      <c r="Z600" s="126"/>
      <c r="AA600" s="126"/>
      <c r="AB600" s="126"/>
    </row>
    <row r="601" spans="1:28" ht="15.75" customHeight="1">
      <c r="A601" s="126"/>
      <c r="B601" s="126"/>
      <c r="C601" s="176"/>
      <c r="D601" s="176"/>
      <c r="E601" s="176"/>
      <c r="F601" s="176"/>
      <c r="G601" s="176"/>
      <c r="H601" s="176"/>
      <c r="I601" s="126"/>
      <c r="J601" s="126"/>
      <c r="K601" s="126"/>
      <c r="L601" s="126"/>
      <c r="M601" s="126"/>
      <c r="N601" s="126"/>
      <c r="O601" s="126"/>
      <c r="P601" s="126"/>
      <c r="Q601" s="126"/>
      <c r="R601" s="126"/>
      <c r="S601" s="126"/>
      <c r="T601" s="126"/>
      <c r="U601" s="126"/>
      <c r="V601" s="126"/>
      <c r="W601" s="126"/>
      <c r="X601" s="126"/>
      <c r="Y601" s="126"/>
      <c r="Z601" s="126"/>
      <c r="AA601" s="126"/>
      <c r="AB601" s="126"/>
    </row>
    <row r="602" spans="1:28" ht="15.75" customHeight="1">
      <c r="A602" s="126"/>
      <c r="B602" s="126"/>
      <c r="C602" s="176"/>
      <c r="D602" s="176"/>
      <c r="E602" s="176"/>
      <c r="F602" s="176"/>
      <c r="G602" s="176"/>
      <c r="H602" s="176"/>
      <c r="I602" s="126"/>
      <c r="J602" s="126"/>
      <c r="K602" s="126"/>
      <c r="L602" s="126"/>
      <c r="M602" s="126"/>
      <c r="N602" s="126"/>
      <c r="O602" s="126"/>
      <c r="P602" s="126"/>
      <c r="Q602" s="126"/>
      <c r="R602" s="126"/>
      <c r="S602" s="126"/>
      <c r="T602" s="126"/>
      <c r="U602" s="126"/>
      <c r="V602" s="126"/>
      <c r="W602" s="126"/>
      <c r="X602" s="126"/>
      <c r="Y602" s="126"/>
      <c r="Z602" s="126"/>
      <c r="AA602" s="126"/>
      <c r="AB602" s="126"/>
    </row>
    <row r="603" spans="1:28" ht="15.75" customHeight="1">
      <c r="A603" s="126"/>
      <c r="B603" s="126"/>
      <c r="C603" s="176"/>
      <c r="D603" s="176"/>
      <c r="E603" s="176"/>
      <c r="F603" s="176"/>
      <c r="G603" s="176"/>
      <c r="H603" s="176"/>
      <c r="I603" s="126"/>
      <c r="J603" s="126"/>
      <c r="K603" s="126"/>
      <c r="L603" s="126"/>
      <c r="M603" s="126"/>
      <c r="N603" s="126"/>
      <c r="O603" s="126"/>
      <c r="P603" s="126"/>
      <c r="Q603" s="126"/>
      <c r="R603" s="126"/>
      <c r="S603" s="126"/>
      <c r="T603" s="126"/>
      <c r="U603" s="126"/>
      <c r="V603" s="126"/>
      <c r="W603" s="126"/>
      <c r="X603" s="126"/>
      <c r="Y603" s="126"/>
      <c r="Z603" s="126"/>
      <c r="AA603" s="126"/>
      <c r="AB603" s="126"/>
    </row>
    <row r="604" spans="1:28" ht="15.75" customHeight="1">
      <c r="A604" s="126"/>
      <c r="B604" s="126"/>
      <c r="C604" s="176"/>
      <c r="D604" s="176"/>
      <c r="E604" s="176"/>
      <c r="F604" s="176"/>
      <c r="G604" s="176"/>
      <c r="H604" s="176"/>
      <c r="I604" s="126"/>
      <c r="J604" s="126"/>
      <c r="K604" s="126"/>
      <c r="L604" s="126"/>
      <c r="M604" s="126"/>
      <c r="N604" s="126"/>
      <c r="O604" s="126"/>
      <c r="P604" s="126"/>
      <c r="Q604" s="126"/>
      <c r="R604" s="126"/>
      <c r="S604" s="126"/>
      <c r="T604" s="126"/>
      <c r="U604" s="126"/>
      <c r="V604" s="126"/>
      <c r="W604" s="126"/>
      <c r="X604" s="126"/>
      <c r="Y604" s="126"/>
      <c r="Z604" s="126"/>
      <c r="AA604" s="126"/>
      <c r="AB604" s="126"/>
    </row>
    <row r="605" spans="1:28" ht="15.75" customHeight="1">
      <c r="A605" s="126"/>
      <c r="B605" s="126"/>
      <c r="C605" s="176"/>
      <c r="D605" s="176"/>
      <c r="E605" s="176"/>
      <c r="F605" s="176"/>
      <c r="G605" s="176"/>
      <c r="H605" s="176"/>
      <c r="I605" s="126"/>
      <c r="J605" s="126"/>
      <c r="K605" s="126"/>
      <c r="L605" s="126"/>
      <c r="M605" s="126"/>
      <c r="N605" s="126"/>
      <c r="O605" s="126"/>
      <c r="P605" s="126"/>
      <c r="Q605" s="126"/>
      <c r="R605" s="126"/>
      <c r="S605" s="126"/>
      <c r="T605" s="126"/>
      <c r="U605" s="126"/>
      <c r="V605" s="126"/>
      <c r="W605" s="126"/>
      <c r="X605" s="126"/>
      <c r="Y605" s="126"/>
      <c r="Z605" s="126"/>
      <c r="AA605" s="126"/>
      <c r="AB605" s="126"/>
    </row>
    <row r="606" spans="1:28" ht="15.75" customHeight="1">
      <c r="A606" s="126"/>
      <c r="B606" s="126"/>
      <c r="C606" s="176"/>
      <c r="D606" s="176"/>
      <c r="E606" s="176"/>
      <c r="F606" s="176"/>
      <c r="G606" s="176"/>
      <c r="H606" s="176"/>
      <c r="I606" s="126"/>
      <c r="J606" s="126"/>
      <c r="K606" s="126"/>
      <c r="L606" s="126"/>
      <c r="M606" s="126"/>
      <c r="N606" s="126"/>
      <c r="O606" s="126"/>
      <c r="P606" s="126"/>
      <c r="Q606" s="126"/>
      <c r="R606" s="126"/>
      <c r="S606" s="126"/>
      <c r="T606" s="126"/>
      <c r="U606" s="126"/>
      <c r="V606" s="126"/>
      <c r="W606" s="126"/>
      <c r="X606" s="126"/>
      <c r="Y606" s="126"/>
      <c r="Z606" s="126"/>
      <c r="AA606" s="126"/>
      <c r="AB606" s="126"/>
    </row>
    <row r="607" spans="1:28" ht="15.75" customHeight="1">
      <c r="A607" s="126"/>
      <c r="B607" s="126"/>
      <c r="C607" s="176"/>
      <c r="D607" s="176"/>
      <c r="E607" s="176"/>
      <c r="F607" s="176"/>
      <c r="G607" s="176"/>
      <c r="H607" s="176"/>
      <c r="I607" s="126"/>
      <c r="J607" s="126"/>
      <c r="K607" s="126"/>
      <c r="L607" s="126"/>
      <c r="M607" s="126"/>
      <c r="N607" s="126"/>
      <c r="O607" s="126"/>
      <c r="P607" s="126"/>
      <c r="Q607" s="126"/>
      <c r="R607" s="126"/>
      <c r="S607" s="126"/>
      <c r="T607" s="126"/>
      <c r="U607" s="126"/>
      <c r="V607" s="126"/>
      <c r="W607" s="126"/>
      <c r="X607" s="126"/>
      <c r="Y607" s="126"/>
      <c r="Z607" s="126"/>
      <c r="AA607" s="126"/>
      <c r="AB607" s="126"/>
    </row>
    <row r="608" spans="1:28" ht="15.75" customHeight="1">
      <c r="A608" s="126"/>
      <c r="B608" s="126"/>
      <c r="C608" s="176"/>
      <c r="D608" s="176"/>
      <c r="E608" s="176"/>
      <c r="F608" s="176"/>
      <c r="G608" s="176"/>
      <c r="H608" s="176"/>
      <c r="I608" s="126"/>
      <c r="J608" s="126"/>
      <c r="K608" s="126"/>
      <c r="L608" s="126"/>
      <c r="M608" s="126"/>
      <c r="N608" s="126"/>
      <c r="O608" s="126"/>
      <c r="P608" s="126"/>
      <c r="Q608" s="126"/>
      <c r="R608" s="126"/>
      <c r="S608" s="126"/>
      <c r="T608" s="126"/>
      <c r="U608" s="126"/>
      <c r="V608" s="126"/>
      <c r="W608" s="126"/>
      <c r="X608" s="126"/>
      <c r="Y608" s="126"/>
      <c r="Z608" s="126"/>
      <c r="AA608" s="126"/>
      <c r="AB608" s="126"/>
    </row>
    <row r="609" spans="1:28" ht="15.75" customHeight="1">
      <c r="A609" s="126"/>
      <c r="B609" s="126"/>
      <c r="C609" s="176"/>
      <c r="D609" s="176"/>
      <c r="E609" s="176"/>
      <c r="F609" s="176"/>
      <c r="G609" s="176"/>
      <c r="H609" s="176"/>
      <c r="I609" s="126"/>
      <c r="J609" s="126"/>
      <c r="K609" s="126"/>
      <c r="L609" s="126"/>
      <c r="M609" s="126"/>
      <c r="N609" s="126"/>
      <c r="O609" s="126"/>
      <c r="P609" s="126"/>
      <c r="Q609" s="126"/>
      <c r="R609" s="126"/>
      <c r="S609" s="126"/>
      <c r="T609" s="126"/>
      <c r="U609" s="126"/>
      <c r="V609" s="126"/>
      <c r="W609" s="126"/>
      <c r="X609" s="126"/>
      <c r="Y609" s="126"/>
      <c r="Z609" s="126"/>
      <c r="AA609" s="126"/>
      <c r="AB609" s="126"/>
    </row>
    <row r="610" spans="1:28" ht="15.75" customHeight="1">
      <c r="A610" s="126"/>
      <c r="B610" s="126"/>
      <c r="C610" s="176"/>
      <c r="D610" s="176"/>
      <c r="E610" s="176"/>
      <c r="F610" s="176"/>
      <c r="G610" s="176"/>
      <c r="H610" s="176"/>
      <c r="I610" s="126"/>
      <c r="J610" s="126"/>
      <c r="K610" s="126"/>
      <c r="L610" s="126"/>
      <c r="M610" s="126"/>
      <c r="N610" s="126"/>
      <c r="O610" s="126"/>
      <c r="P610" s="126"/>
      <c r="Q610" s="126"/>
      <c r="R610" s="126"/>
      <c r="S610" s="126"/>
      <c r="T610" s="126"/>
      <c r="U610" s="126"/>
      <c r="V610" s="126"/>
      <c r="W610" s="126"/>
      <c r="X610" s="126"/>
      <c r="Y610" s="126"/>
      <c r="Z610" s="126"/>
      <c r="AA610" s="126"/>
      <c r="AB610" s="126"/>
    </row>
    <row r="611" spans="1:28" ht="15.75" customHeight="1">
      <c r="A611" s="126"/>
      <c r="B611" s="126"/>
      <c r="C611" s="176"/>
      <c r="D611" s="176"/>
      <c r="E611" s="176"/>
      <c r="F611" s="176"/>
      <c r="G611" s="176"/>
      <c r="H611" s="176"/>
      <c r="I611" s="126"/>
      <c r="J611" s="126"/>
      <c r="K611" s="126"/>
      <c r="L611" s="126"/>
      <c r="M611" s="126"/>
      <c r="N611" s="126"/>
      <c r="O611" s="126"/>
      <c r="P611" s="126"/>
      <c r="Q611" s="126"/>
      <c r="R611" s="126"/>
      <c r="S611" s="126"/>
      <c r="T611" s="126"/>
      <c r="U611" s="126"/>
      <c r="V611" s="126"/>
      <c r="W611" s="126"/>
      <c r="X611" s="126"/>
      <c r="Y611" s="126"/>
      <c r="Z611" s="126"/>
      <c r="AA611" s="126"/>
      <c r="AB611" s="126"/>
    </row>
    <row r="612" spans="1:28" ht="15.75" customHeight="1">
      <c r="A612" s="126"/>
      <c r="B612" s="126"/>
      <c r="C612" s="176"/>
      <c r="D612" s="176"/>
      <c r="E612" s="176"/>
      <c r="F612" s="176"/>
      <c r="G612" s="176"/>
      <c r="H612" s="176"/>
      <c r="I612" s="126"/>
      <c r="J612" s="126"/>
      <c r="K612" s="126"/>
      <c r="L612" s="126"/>
      <c r="M612" s="126"/>
      <c r="N612" s="126"/>
      <c r="O612" s="126"/>
      <c r="P612" s="126"/>
      <c r="Q612" s="126"/>
      <c r="R612" s="126"/>
      <c r="S612" s="126"/>
      <c r="T612" s="126"/>
      <c r="U612" s="126"/>
      <c r="V612" s="126"/>
      <c r="W612" s="126"/>
      <c r="X612" s="126"/>
      <c r="Y612" s="126"/>
      <c r="Z612" s="126"/>
      <c r="AA612" s="126"/>
      <c r="AB612" s="126"/>
    </row>
    <row r="613" spans="1:28" ht="15.75" customHeight="1">
      <c r="A613" s="126"/>
      <c r="B613" s="126"/>
      <c r="C613" s="176"/>
      <c r="D613" s="176"/>
      <c r="E613" s="176"/>
      <c r="F613" s="176"/>
      <c r="G613" s="176"/>
      <c r="H613" s="176"/>
      <c r="I613" s="126"/>
      <c r="J613" s="126"/>
      <c r="K613" s="126"/>
      <c r="L613" s="126"/>
      <c r="M613" s="126"/>
      <c r="N613" s="126"/>
      <c r="O613" s="126"/>
      <c r="P613" s="126"/>
      <c r="Q613" s="126"/>
      <c r="R613" s="126"/>
      <c r="S613" s="126"/>
      <c r="T613" s="126"/>
      <c r="U613" s="126"/>
      <c r="V613" s="126"/>
      <c r="W613" s="126"/>
      <c r="X613" s="126"/>
      <c r="Y613" s="126"/>
      <c r="Z613" s="126"/>
      <c r="AA613" s="126"/>
      <c r="AB613" s="126"/>
    </row>
    <row r="614" spans="1:28" ht="15.75" customHeight="1">
      <c r="A614" s="126"/>
      <c r="B614" s="126"/>
      <c r="C614" s="176"/>
      <c r="D614" s="176"/>
      <c r="E614" s="176"/>
      <c r="F614" s="176"/>
      <c r="G614" s="176"/>
      <c r="H614" s="176"/>
      <c r="I614" s="126"/>
      <c r="J614" s="126"/>
      <c r="K614" s="126"/>
      <c r="L614" s="126"/>
      <c r="M614" s="126"/>
      <c r="N614" s="126"/>
      <c r="O614" s="126"/>
      <c r="P614" s="126"/>
      <c r="Q614" s="126"/>
      <c r="R614" s="126"/>
      <c r="S614" s="126"/>
      <c r="T614" s="126"/>
      <c r="U614" s="126"/>
      <c r="V614" s="126"/>
      <c r="W614" s="126"/>
      <c r="X614" s="126"/>
      <c r="Y614" s="126"/>
      <c r="Z614" s="126"/>
      <c r="AA614" s="126"/>
      <c r="AB614" s="126"/>
    </row>
    <row r="615" spans="1:28" ht="15.75" customHeight="1">
      <c r="A615" s="126"/>
      <c r="B615" s="126"/>
      <c r="C615" s="176"/>
      <c r="D615" s="176"/>
      <c r="E615" s="176"/>
      <c r="F615" s="176"/>
      <c r="G615" s="176"/>
      <c r="H615" s="176"/>
      <c r="I615" s="126"/>
      <c r="J615" s="126"/>
      <c r="K615" s="126"/>
      <c r="L615" s="126"/>
      <c r="M615" s="126"/>
      <c r="N615" s="126"/>
      <c r="O615" s="126"/>
      <c r="P615" s="126"/>
      <c r="Q615" s="126"/>
      <c r="R615" s="126"/>
      <c r="S615" s="126"/>
      <c r="T615" s="126"/>
      <c r="U615" s="126"/>
      <c r="V615" s="126"/>
      <c r="W615" s="126"/>
      <c r="X615" s="126"/>
      <c r="Y615" s="126"/>
      <c r="Z615" s="126"/>
      <c r="AA615" s="126"/>
      <c r="AB615" s="126"/>
    </row>
    <row r="616" spans="1:28" ht="15.75" customHeight="1">
      <c r="A616" s="126"/>
      <c r="B616" s="126"/>
      <c r="C616" s="176"/>
      <c r="D616" s="176"/>
      <c r="E616" s="176"/>
      <c r="F616" s="176"/>
      <c r="G616" s="176"/>
      <c r="H616" s="176"/>
      <c r="I616" s="126"/>
      <c r="J616" s="126"/>
      <c r="K616" s="126"/>
      <c r="L616" s="126"/>
      <c r="M616" s="126"/>
      <c r="N616" s="126"/>
      <c r="O616" s="126"/>
      <c r="P616" s="126"/>
      <c r="Q616" s="126"/>
      <c r="R616" s="126"/>
      <c r="S616" s="126"/>
      <c r="T616" s="126"/>
      <c r="U616" s="126"/>
      <c r="V616" s="126"/>
      <c r="W616" s="126"/>
      <c r="X616" s="126"/>
      <c r="Y616" s="126"/>
      <c r="Z616" s="126"/>
      <c r="AA616" s="126"/>
      <c r="AB616" s="126"/>
    </row>
    <row r="617" spans="1:28" ht="15.75" customHeight="1">
      <c r="A617" s="126"/>
      <c r="B617" s="126"/>
      <c r="C617" s="176"/>
      <c r="D617" s="176"/>
      <c r="E617" s="176"/>
      <c r="F617" s="176"/>
      <c r="G617" s="176"/>
      <c r="H617" s="176"/>
      <c r="I617" s="126"/>
      <c r="J617" s="126"/>
      <c r="K617" s="126"/>
      <c r="L617" s="126"/>
      <c r="M617" s="126"/>
      <c r="N617" s="126"/>
      <c r="O617" s="126"/>
      <c r="P617" s="126"/>
      <c r="Q617" s="126"/>
      <c r="R617" s="126"/>
      <c r="S617" s="126"/>
      <c r="T617" s="126"/>
      <c r="U617" s="126"/>
      <c r="V617" s="126"/>
      <c r="W617" s="126"/>
      <c r="X617" s="126"/>
      <c r="Y617" s="126"/>
      <c r="Z617" s="126"/>
      <c r="AA617" s="126"/>
      <c r="AB617" s="126"/>
    </row>
    <row r="618" spans="1:28" ht="15.75" customHeight="1">
      <c r="A618" s="126"/>
      <c r="B618" s="126"/>
      <c r="C618" s="176"/>
      <c r="D618" s="176"/>
      <c r="E618" s="176"/>
      <c r="F618" s="176"/>
      <c r="G618" s="176"/>
      <c r="H618" s="176"/>
      <c r="I618" s="126"/>
      <c r="J618" s="126"/>
      <c r="K618" s="126"/>
      <c r="L618" s="126"/>
      <c r="M618" s="126"/>
      <c r="N618" s="126"/>
      <c r="O618" s="126"/>
      <c r="P618" s="126"/>
      <c r="Q618" s="126"/>
      <c r="R618" s="126"/>
      <c r="S618" s="126"/>
      <c r="T618" s="126"/>
      <c r="U618" s="126"/>
      <c r="V618" s="126"/>
      <c r="W618" s="126"/>
      <c r="X618" s="126"/>
      <c r="Y618" s="126"/>
      <c r="Z618" s="126"/>
      <c r="AA618" s="126"/>
      <c r="AB618" s="126"/>
    </row>
    <row r="619" spans="1:28" ht="15.75" customHeight="1">
      <c r="A619" s="126"/>
      <c r="B619" s="126"/>
      <c r="C619" s="176"/>
      <c r="D619" s="176"/>
      <c r="E619" s="176"/>
      <c r="F619" s="176"/>
      <c r="G619" s="176"/>
      <c r="H619" s="176"/>
      <c r="I619" s="126"/>
      <c r="J619" s="126"/>
      <c r="K619" s="126"/>
      <c r="L619" s="126"/>
      <c r="M619" s="126"/>
      <c r="N619" s="126"/>
      <c r="O619" s="126"/>
      <c r="P619" s="126"/>
      <c r="Q619" s="126"/>
      <c r="R619" s="126"/>
      <c r="S619" s="126"/>
      <c r="T619" s="126"/>
      <c r="U619" s="126"/>
      <c r="V619" s="126"/>
      <c r="W619" s="126"/>
      <c r="X619" s="126"/>
      <c r="Y619" s="126"/>
      <c r="Z619" s="126"/>
      <c r="AA619" s="126"/>
      <c r="AB619" s="126"/>
    </row>
    <row r="620" spans="1:28" ht="15.75" customHeight="1">
      <c r="A620" s="126"/>
      <c r="B620" s="126"/>
      <c r="C620" s="176"/>
      <c r="D620" s="176"/>
      <c r="E620" s="176"/>
      <c r="F620" s="176"/>
      <c r="G620" s="176"/>
      <c r="H620" s="176"/>
      <c r="I620" s="126"/>
      <c r="J620" s="126"/>
      <c r="K620" s="126"/>
      <c r="L620" s="126"/>
      <c r="M620" s="126"/>
      <c r="N620" s="126"/>
      <c r="O620" s="126"/>
      <c r="P620" s="126"/>
      <c r="Q620" s="126"/>
      <c r="R620" s="126"/>
      <c r="S620" s="126"/>
      <c r="T620" s="126"/>
      <c r="U620" s="126"/>
      <c r="V620" s="126"/>
      <c r="W620" s="126"/>
      <c r="X620" s="126"/>
      <c r="Y620" s="126"/>
      <c r="Z620" s="126"/>
      <c r="AA620" s="126"/>
      <c r="AB620" s="126"/>
    </row>
    <row r="621" spans="1:28" ht="15.75" customHeight="1">
      <c r="A621" s="126"/>
      <c r="B621" s="126"/>
      <c r="C621" s="176"/>
      <c r="D621" s="176"/>
      <c r="E621" s="176"/>
      <c r="F621" s="176"/>
      <c r="G621" s="176"/>
      <c r="H621" s="176"/>
      <c r="I621" s="126"/>
      <c r="J621" s="126"/>
      <c r="K621" s="126"/>
      <c r="L621" s="126"/>
      <c r="M621" s="126"/>
      <c r="N621" s="126"/>
      <c r="O621" s="126"/>
      <c r="P621" s="126"/>
      <c r="Q621" s="126"/>
      <c r="R621" s="126"/>
      <c r="S621" s="126"/>
      <c r="T621" s="126"/>
      <c r="U621" s="126"/>
      <c r="V621" s="126"/>
      <c r="W621" s="126"/>
      <c r="X621" s="126"/>
      <c r="Y621" s="126"/>
      <c r="Z621" s="126"/>
      <c r="AA621" s="126"/>
      <c r="AB621" s="126"/>
    </row>
    <row r="622" spans="1:28" ht="15.75" customHeight="1">
      <c r="A622" s="126"/>
      <c r="B622" s="126"/>
      <c r="C622" s="176"/>
      <c r="D622" s="176"/>
      <c r="E622" s="176"/>
      <c r="F622" s="176"/>
      <c r="G622" s="176"/>
      <c r="H622" s="176"/>
      <c r="I622" s="126"/>
      <c r="J622" s="126"/>
      <c r="K622" s="126"/>
      <c r="L622" s="126"/>
      <c r="M622" s="126"/>
      <c r="N622" s="126"/>
      <c r="O622" s="126"/>
      <c r="P622" s="126"/>
      <c r="Q622" s="126"/>
      <c r="R622" s="126"/>
      <c r="S622" s="126"/>
      <c r="T622" s="126"/>
      <c r="U622" s="126"/>
      <c r="V622" s="126"/>
      <c r="W622" s="126"/>
      <c r="X622" s="126"/>
      <c r="Y622" s="126"/>
      <c r="Z622" s="126"/>
      <c r="AA622" s="126"/>
      <c r="AB622" s="126"/>
    </row>
    <row r="623" spans="1:28" ht="15.75" customHeight="1">
      <c r="A623" s="126"/>
      <c r="B623" s="126"/>
      <c r="C623" s="176"/>
      <c r="D623" s="176"/>
      <c r="E623" s="176"/>
      <c r="F623" s="176"/>
      <c r="G623" s="176"/>
      <c r="H623" s="176"/>
      <c r="I623" s="126"/>
      <c r="J623" s="126"/>
      <c r="K623" s="126"/>
      <c r="L623" s="126"/>
      <c r="M623" s="126"/>
      <c r="N623" s="126"/>
      <c r="O623" s="126"/>
      <c r="P623" s="126"/>
      <c r="Q623" s="126"/>
      <c r="R623" s="126"/>
      <c r="S623" s="126"/>
      <c r="T623" s="126"/>
      <c r="U623" s="126"/>
      <c r="V623" s="126"/>
      <c r="W623" s="126"/>
      <c r="X623" s="126"/>
      <c r="Y623" s="126"/>
      <c r="Z623" s="126"/>
      <c r="AA623" s="126"/>
      <c r="AB623" s="126"/>
    </row>
    <row r="624" spans="1:28" ht="15.75" customHeight="1">
      <c r="A624" s="126"/>
      <c r="B624" s="126"/>
      <c r="C624" s="176"/>
      <c r="D624" s="176"/>
      <c r="E624" s="176"/>
      <c r="F624" s="176"/>
      <c r="G624" s="176"/>
      <c r="H624" s="176"/>
      <c r="I624" s="126"/>
      <c r="J624" s="126"/>
      <c r="K624" s="126"/>
      <c r="L624" s="126"/>
      <c r="M624" s="126"/>
      <c r="N624" s="126"/>
      <c r="O624" s="126"/>
      <c r="P624" s="126"/>
      <c r="Q624" s="126"/>
      <c r="R624" s="126"/>
      <c r="S624" s="126"/>
      <c r="T624" s="126"/>
      <c r="U624" s="126"/>
      <c r="V624" s="126"/>
      <c r="W624" s="126"/>
      <c r="X624" s="126"/>
      <c r="Y624" s="126"/>
      <c r="Z624" s="126"/>
      <c r="AA624" s="126"/>
      <c r="AB624" s="126"/>
    </row>
    <row r="625" spans="1:28" ht="15.75" customHeight="1">
      <c r="A625" s="126"/>
      <c r="B625" s="126"/>
      <c r="C625" s="176"/>
      <c r="D625" s="176"/>
      <c r="E625" s="176"/>
      <c r="F625" s="176"/>
      <c r="G625" s="176"/>
      <c r="H625" s="176"/>
      <c r="I625" s="126"/>
      <c r="J625" s="126"/>
      <c r="K625" s="126"/>
      <c r="L625" s="126"/>
      <c r="M625" s="126"/>
      <c r="N625" s="126"/>
      <c r="O625" s="126"/>
      <c r="P625" s="126"/>
      <c r="Q625" s="126"/>
      <c r="R625" s="126"/>
      <c r="S625" s="126"/>
      <c r="T625" s="126"/>
      <c r="U625" s="126"/>
      <c r="V625" s="126"/>
      <c r="W625" s="126"/>
      <c r="X625" s="126"/>
      <c r="Y625" s="126"/>
      <c r="Z625" s="126"/>
      <c r="AA625" s="126"/>
      <c r="AB625" s="126"/>
    </row>
    <row r="626" spans="1:28" ht="15.75" customHeight="1">
      <c r="A626" s="126"/>
      <c r="B626" s="126"/>
      <c r="C626" s="176"/>
      <c r="D626" s="176"/>
      <c r="E626" s="176"/>
      <c r="F626" s="176"/>
      <c r="G626" s="176"/>
      <c r="H626" s="176"/>
      <c r="I626" s="126"/>
      <c r="J626" s="126"/>
      <c r="K626" s="126"/>
      <c r="L626" s="126"/>
      <c r="M626" s="126"/>
      <c r="N626" s="126"/>
      <c r="O626" s="126"/>
      <c r="P626" s="126"/>
      <c r="Q626" s="126"/>
      <c r="R626" s="126"/>
      <c r="S626" s="126"/>
      <c r="T626" s="126"/>
      <c r="U626" s="126"/>
      <c r="V626" s="126"/>
      <c r="W626" s="126"/>
      <c r="X626" s="126"/>
      <c r="Y626" s="126"/>
      <c r="Z626" s="126"/>
      <c r="AA626" s="126"/>
      <c r="AB626" s="126"/>
    </row>
    <row r="627" spans="1:28" ht="15.75" customHeight="1">
      <c r="A627" s="126"/>
      <c r="B627" s="126"/>
      <c r="C627" s="176"/>
      <c r="D627" s="176"/>
      <c r="E627" s="176"/>
      <c r="F627" s="176"/>
      <c r="G627" s="176"/>
      <c r="H627" s="176"/>
      <c r="I627" s="126"/>
      <c r="J627" s="126"/>
      <c r="K627" s="126"/>
      <c r="L627" s="126"/>
      <c r="M627" s="126"/>
      <c r="N627" s="126"/>
      <c r="O627" s="126"/>
      <c r="P627" s="126"/>
      <c r="Q627" s="126"/>
      <c r="R627" s="126"/>
      <c r="S627" s="126"/>
      <c r="T627" s="126"/>
      <c r="U627" s="126"/>
      <c r="V627" s="126"/>
      <c r="W627" s="126"/>
      <c r="X627" s="126"/>
      <c r="Y627" s="126"/>
      <c r="Z627" s="126"/>
      <c r="AA627" s="126"/>
      <c r="AB627" s="126"/>
    </row>
    <row r="628" spans="1:28" ht="15.75" customHeight="1">
      <c r="A628" s="126"/>
      <c r="B628" s="126"/>
      <c r="C628" s="176"/>
      <c r="D628" s="176"/>
      <c r="E628" s="176"/>
      <c r="F628" s="176"/>
      <c r="G628" s="176"/>
      <c r="H628" s="176"/>
      <c r="I628" s="126"/>
      <c r="J628" s="126"/>
      <c r="K628" s="126"/>
      <c r="L628" s="126"/>
      <c r="M628" s="126"/>
      <c r="N628" s="126"/>
      <c r="O628" s="126"/>
      <c r="P628" s="126"/>
      <c r="Q628" s="126"/>
      <c r="R628" s="126"/>
      <c r="S628" s="126"/>
      <c r="T628" s="126"/>
      <c r="U628" s="126"/>
      <c r="V628" s="126"/>
      <c r="W628" s="126"/>
      <c r="X628" s="126"/>
      <c r="Y628" s="126"/>
      <c r="Z628" s="126"/>
      <c r="AA628" s="126"/>
      <c r="AB628" s="126"/>
    </row>
    <row r="629" spans="1:28" ht="15.75" customHeight="1">
      <c r="A629" s="126"/>
      <c r="B629" s="126"/>
      <c r="C629" s="176"/>
      <c r="D629" s="176"/>
      <c r="E629" s="176"/>
      <c r="F629" s="176"/>
      <c r="G629" s="176"/>
      <c r="H629" s="176"/>
      <c r="I629" s="126"/>
      <c r="J629" s="126"/>
      <c r="K629" s="126"/>
      <c r="L629" s="126"/>
      <c r="M629" s="126"/>
      <c r="N629" s="126"/>
      <c r="O629" s="126"/>
      <c r="P629" s="126"/>
      <c r="Q629" s="126"/>
      <c r="R629" s="126"/>
      <c r="S629" s="126"/>
      <c r="T629" s="126"/>
      <c r="U629" s="126"/>
      <c r="V629" s="126"/>
      <c r="W629" s="126"/>
      <c r="X629" s="126"/>
      <c r="Y629" s="126"/>
      <c r="Z629" s="126"/>
      <c r="AA629" s="126"/>
      <c r="AB629" s="126"/>
    </row>
    <row r="630" spans="1:28" ht="15.75" customHeight="1">
      <c r="A630" s="126"/>
      <c r="B630" s="126"/>
      <c r="C630" s="176"/>
      <c r="D630" s="176"/>
      <c r="E630" s="176"/>
      <c r="F630" s="176"/>
      <c r="G630" s="176"/>
      <c r="H630" s="176"/>
      <c r="I630" s="126"/>
      <c r="J630" s="126"/>
      <c r="K630" s="126"/>
      <c r="L630" s="126"/>
      <c r="M630" s="126"/>
      <c r="N630" s="126"/>
      <c r="O630" s="126"/>
      <c r="P630" s="126"/>
      <c r="Q630" s="126"/>
      <c r="R630" s="126"/>
      <c r="S630" s="126"/>
      <c r="T630" s="126"/>
      <c r="U630" s="126"/>
      <c r="V630" s="126"/>
      <c r="W630" s="126"/>
      <c r="X630" s="126"/>
      <c r="Y630" s="126"/>
      <c r="Z630" s="126"/>
      <c r="AA630" s="126"/>
      <c r="AB630" s="126"/>
    </row>
    <row r="631" spans="1:28" ht="15.75" customHeight="1">
      <c r="A631" s="126"/>
      <c r="B631" s="126"/>
      <c r="C631" s="176"/>
      <c r="D631" s="176"/>
      <c r="E631" s="176"/>
      <c r="F631" s="176"/>
      <c r="G631" s="176"/>
      <c r="H631" s="176"/>
      <c r="I631" s="126"/>
      <c r="J631" s="126"/>
      <c r="K631" s="126"/>
      <c r="L631" s="126"/>
      <c r="M631" s="126"/>
      <c r="N631" s="126"/>
      <c r="O631" s="126"/>
      <c r="P631" s="126"/>
      <c r="Q631" s="126"/>
      <c r="R631" s="126"/>
      <c r="S631" s="126"/>
      <c r="T631" s="126"/>
      <c r="U631" s="126"/>
      <c r="V631" s="126"/>
      <c r="W631" s="126"/>
      <c r="X631" s="126"/>
      <c r="Y631" s="126"/>
      <c r="Z631" s="126"/>
      <c r="AA631" s="126"/>
      <c r="AB631" s="126"/>
    </row>
    <row r="632" spans="1:28" ht="15.75" customHeight="1">
      <c r="A632" s="126"/>
      <c r="B632" s="126"/>
      <c r="C632" s="176"/>
      <c r="D632" s="176"/>
      <c r="E632" s="176"/>
      <c r="F632" s="176"/>
      <c r="G632" s="176"/>
      <c r="H632" s="176"/>
      <c r="I632" s="126"/>
      <c r="J632" s="126"/>
      <c r="K632" s="126"/>
      <c r="L632" s="126"/>
      <c r="M632" s="126"/>
      <c r="N632" s="126"/>
      <c r="O632" s="126"/>
      <c r="P632" s="126"/>
      <c r="Q632" s="126"/>
      <c r="R632" s="126"/>
      <c r="S632" s="126"/>
      <c r="T632" s="126"/>
      <c r="U632" s="126"/>
      <c r="V632" s="126"/>
      <c r="W632" s="126"/>
      <c r="X632" s="126"/>
      <c r="Y632" s="126"/>
      <c r="Z632" s="126"/>
      <c r="AA632" s="126"/>
      <c r="AB632" s="126"/>
    </row>
    <row r="633" spans="1:28" ht="15.75" customHeight="1">
      <c r="A633" s="126"/>
      <c r="B633" s="126"/>
      <c r="C633" s="176"/>
      <c r="D633" s="176"/>
      <c r="E633" s="176"/>
      <c r="F633" s="176"/>
      <c r="G633" s="176"/>
      <c r="H633" s="176"/>
      <c r="I633" s="126"/>
      <c r="J633" s="126"/>
      <c r="K633" s="126"/>
      <c r="L633" s="126"/>
      <c r="M633" s="126"/>
      <c r="N633" s="126"/>
      <c r="O633" s="126"/>
      <c r="P633" s="126"/>
      <c r="Q633" s="126"/>
      <c r="R633" s="126"/>
      <c r="S633" s="126"/>
      <c r="T633" s="126"/>
      <c r="U633" s="126"/>
      <c r="V633" s="126"/>
      <c r="W633" s="126"/>
      <c r="X633" s="126"/>
      <c r="Y633" s="126"/>
      <c r="Z633" s="126"/>
      <c r="AA633" s="126"/>
      <c r="AB633" s="126"/>
    </row>
    <row r="634" spans="1:28" ht="15.75" customHeight="1">
      <c r="A634" s="126"/>
      <c r="B634" s="126"/>
      <c r="C634" s="176"/>
      <c r="D634" s="176"/>
      <c r="E634" s="176"/>
      <c r="F634" s="176"/>
      <c r="G634" s="176"/>
      <c r="H634" s="176"/>
      <c r="I634" s="126"/>
      <c r="J634" s="126"/>
      <c r="K634" s="126"/>
      <c r="L634" s="126"/>
      <c r="M634" s="126"/>
      <c r="N634" s="126"/>
      <c r="O634" s="126"/>
      <c r="P634" s="126"/>
      <c r="Q634" s="126"/>
      <c r="R634" s="126"/>
      <c r="S634" s="126"/>
      <c r="T634" s="126"/>
      <c r="U634" s="126"/>
      <c r="V634" s="126"/>
      <c r="W634" s="126"/>
      <c r="X634" s="126"/>
      <c r="Y634" s="126"/>
      <c r="Z634" s="126"/>
      <c r="AA634" s="126"/>
      <c r="AB634" s="126"/>
    </row>
    <row r="635" spans="1:28" ht="15.75" customHeight="1">
      <c r="A635" s="126"/>
      <c r="B635" s="126"/>
      <c r="C635" s="176"/>
      <c r="D635" s="176"/>
      <c r="E635" s="176"/>
      <c r="F635" s="176"/>
      <c r="G635" s="176"/>
      <c r="H635" s="176"/>
      <c r="I635" s="126"/>
      <c r="J635" s="126"/>
      <c r="K635" s="126"/>
      <c r="L635" s="126"/>
      <c r="M635" s="126"/>
      <c r="N635" s="126"/>
      <c r="O635" s="126"/>
      <c r="P635" s="126"/>
      <c r="Q635" s="126"/>
      <c r="R635" s="126"/>
      <c r="S635" s="126"/>
      <c r="T635" s="126"/>
      <c r="U635" s="126"/>
      <c r="V635" s="126"/>
      <c r="W635" s="126"/>
      <c r="X635" s="126"/>
      <c r="Y635" s="126"/>
      <c r="Z635" s="126"/>
      <c r="AA635" s="126"/>
      <c r="AB635" s="126"/>
    </row>
    <row r="636" spans="1:28" ht="15.75" customHeight="1">
      <c r="A636" s="126"/>
      <c r="B636" s="126"/>
      <c r="C636" s="176"/>
      <c r="D636" s="176"/>
      <c r="E636" s="176"/>
      <c r="F636" s="176"/>
      <c r="G636" s="176"/>
      <c r="H636" s="176"/>
      <c r="I636" s="126"/>
      <c r="J636" s="126"/>
      <c r="K636" s="126"/>
      <c r="L636" s="126"/>
      <c r="M636" s="126"/>
      <c r="N636" s="126"/>
      <c r="O636" s="126"/>
      <c r="P636" s="126"/>
      <c r="Q636" s="126"/>
      <c r="R636" s="126"/>
      <c r="S636" s="126"/>
      <c r="T636" s="126"/>
      <c r="U636" s="126"/>
      <c r="V636" s="126"/>
      <c r="W636" s="126"/>
      <c r="X636" s="126"/>
      <c r="Y636" s="126"/>
      <c r="Z636" s="126"/>
      <c r="AA636" s="126"/>
      <c r="AB636" s="126"/>
    </row>
    <row r="637" spans="1:28" ht="15.75" customHeight="1">
      <c r="A637" s="126"/>
      <c r="B637" s="126"/>
      <c r="C637" s="176"/>
      <c r="D637" s="176"/>
      <c r="E637" s="176"/>
      <c r="F637" s="176"/>
      <c r="G637" s="176"/>
      <c r="H637" s="176"/>
      <c r="I637" s="126"/>
      <c r="J637" s="126"/>
      <c r="K637" s="126"/>
      <c r="L637" s="126"/>
      <c r="M637" s="126"/>
      <c r="N637" s="126"/>
      <c r="O637" s="126"/>
      <c r="P637" s="126"/>
      <c r="Q637" s="126"/>
      <c r="R637" s="126"/>
      <c r="S637" s="126"/>
      <c r="T637" s="126"/>
      <c r="U637" s="126"/>
      <c r="V637" s="126"/>
      <c r="W637" s="126"/>
      <c r="X637" s="126"/>
      <c r="Y637" s="126"/>
      <c r="Z637" s="126"/>
      <c r="AA637" s="126"/>
      <c r="AB637" s="126"/>
    </row>
    <row r="638" spans="1:28" ht="15.75" customHeight="1">
      <c r="A638" s="126"/>
      <c r="B638" s="126"/>
      <c r="C638" s="176"/>
      <c r="D638" s="176"/>
      <c r="E638" s="176"/>
      <c r="F638" s="176"/>
      <c r="G638" s="176"/>
      <c r="H638" s="176"/>
      <c r="I638" s="126"/>
      <c r="J638" s="126"/>
      <c r="K638" s="126"/>
      <c r="L638" s="126"/>
      <c r="M638" s="126"/>
      <c r="N638" s="126"/>
      <c r="O638" s="126"/>
      <c r="P638" s="126"/>
      <c r="Q638" s="126"/>
      <c r="R638" s="126"/>
      <c r="S638" s="126"/>
      <c r="T638" s="126"/>
      <c r="U638" s="126"/>
      <c r="V638" s="126"/>
      <c r="W638" s="126"/>
      <c r="X638" s="126"/>
      <c r="Y638" s="126"/>
      <c r="Z638" s="126"/>
      <c r="AA638" s="126"/>
      <c r="AB638" s="126"/>
    </row>
    <row r="639" spans="1:28" ht="15.75" customHeight="1">
      <c r="A639" s="126"/>
      <c r="B639" s="126"/>
      <c r="C639" s="176"/>
      <c r="D639" s="176"/>
      <c r="E639" s="176"/>
      <c r="F639" s="176"/>
      <c r="G639" s="176"/>
      <c r="H639" s="176"/>
      <c r="I639" s="126"/>
      <c r="J639" s="126"/>
      <c r="K639" s="126"/>
      <c r="L639" s="126"/>
      <c r="M639" s="126"/>
      <c r="N639" s="126"/>
      <c r="O639" s="126"/>
      <c r="P639" s="126"/>
      <c r="Q639" s="126"/>
      <c r="R639" s="126"/>
      <c r="S639" s="126"/>
      <c r="T639" s="126"/>
      <c r="U639" s="126"/>
      <c r="V639" s="126"/>
      <c r="W639" s="126"/>
      <c r="X639" s="126"/>
      <c r="Y639" s="126"/>
      <c r="Z639" s="126"/>
      <c r="AA639" s="126"/>
      <c r="AB639" s="126"/>
    </row>
    <row r="640" spans="1:28" ht="15.75" customHeight="1">
      <c r="A640" s="126"/>
      <c r="B640" s="126"/>
      <c r="C640" s="176"/>
      <c r="D640" s="176"/>
      <c r="E640" s="176"/>
      <c r="F640" s="176"/>
      <c r="G640" s="176"/>
      <c r="H640" s="176"/>
      <c r="I640" s="126"/>
      <c r="J640" s="126"/>
      <c r="K640" s="126"/>
      <c r="L640" s="126"/>
      <c r="M640" s="126"/>
      <c r="N640" s="126"/>
      <c r="O640" s="126"/>
      <c r="P640" s="126"/>
      <c r="Q640" s="126"/>
      <c r="R640" s="126"/>
      <c r="S640" s="126"/>
      <c r="T640" s="126"/>
      <c r="U640" s="126"/>
      <c r="V640" s="126"/>
      <c r="W640" s="126"/>
      <c r="X640" s="126"/>
      <c r="Y640" s="126"/>
      <c r="Z640" s="126"/>
      <c r="AA640" s="126"/>
      <c r="AB640" s="126"/>
    </row>
    <row r="641" spans="1:28" ht="15.75" customHeight="1">
      <c r="A641" s="126"/>
      <c r="B641" s="126"/>
      <c r="C641" s="176"/>
      <c r="D641" s="176"/>
      <c r="E641" s="176"/>
      <c r="F641" s="176"/>
      <c r="G641" s="176"/>
      <c r="H641" s="176"/>
      <c r="I641" s="126"/>
      <c r="J641" s="126"/>
      <c r="K641" s="126"/>
      <c r="L641" s="126"/>
      <c r="M641" s="126"/>
      <c r="N641" s="126"/>
      <c r="O641" s="126"/>
      <c r="P641" s="126"/>
      <c r="Q641" s="126"/>
      <c r="R641" s="126"/>
      <c r="S641" s="126"/>
      <c r="T641" s="126"/>
      <c r="U641" s="126"/>
      <c r="V641" s="126"/>
      <c r="W641" s="126"/>
      <c r="X641" s="126"/>
      <c r="Y641" s="126"/>
      <c r="Z641" s="126"/>
      <c r="AA641" s="126"/>
      <c r="AB641" s="126"/>
    </row>
    <row r="642" spans="1:28" ht="15.75" customHeight="1">
      <c r="A642" s="126"/>
      <c r="B642" s="126"/>
      <c r="C642" s="176"/>
      <c r="D642" s="176"/>
      <c r="E642" s="176"/>
      <c r="F642" s="176"/>
      <c r="G642" s="176"/>
      <c r="H642" s="176"/>
      <c r="I642" s="126"/>
      <c r="J642" s="126"/>
      <c r="K642" s="126"/>
      <c r="L642" s="126"/>
      <c r="M642" s="126"/>
      <c r="N642" s="126"/>
      <c r="O642" s="126"/>
      <c r="P642" s="126"/>
      <c r="Q642" s="126"/>
      <c r="R642" s="126"/>
      <c r="S642" s="126"/>
      <c r="T642" s="126"/>
      <c r="U642" s="126"/>
      <c r="V642" s="126"/>
      <c r="W642" s="126"/>
      <c r="X642" s="126"/>
      <c r="Y642" s="126"/>
      <c r="Z642" s="126"/>
      <c r="AA642" s="126"/>
      <c r="AB642" s="126"/>
    </row>
    <row r="643" spans="1:28" ht="15.75" customHeight="1">
      <c r="A643" s="126"/>
      <c r="B643" s="126"/>
      <c r="C643" s="176"/>
      <c r="D643" s="176"/>
      <c r="E643" s="176"/>
      <c r="F643" s="176"/>
      <c r="G643" s="176"/>
      <c r="H643" s="176"/>
      <c r="I643" s="126"/>
      <c r="J643" s="126"/>
      <c r="K643" s="126"/>
      <c r="L643" s="126"/>
      <c r="M643" s="126"/>
      <c r="N643" s="126"/>
      <c r="O643" s="126"/>
      <c r="P643" s="126"/>
      <c r="Q643" s="126"/>
      <c r="R643" s="126"/>
      <c r="S643" s="126"/>
      <c r="T643" s="126"/>
      <c r="U643" s="126"/>
      <c r="V643" s="126"/>
      <c r="W643" s="126"/>
      <c r="X643" s="126"/>
      <c r="Y643" s="126"/>
      <c r="Z643" s="126"/>
      <c r="AA643" s="126"/>
      <c r="AB643" s="126"/>
    </row>
    <row r="644" spans="1:28" ht="15.75" customHeight="1">
      <c r="A644" s="126"/>
      <c r="B644" s="126"/>
      <c r="C644" s="176"/>
      <c r="D644" s="176"/>
      <c r="E644" s="176"/>
      <c r="F644" s="176"/>
      <c r="G644" s="176"/>
      <c r="H644" s="176"/>
      <c r="I644" s="126"/>
      <c r="J644" s="126"/>
      <c r="K644" s="126"/>
      <c r="L644" s="126"/>
      <c r="M644" s="126"/>
      <c r="N644" s="126"/>
      <c r="O644" s="126"/>
      <c r="P644" s="126"/>
      <c r="Q644" s="126"/>
      <c r="R644" s="126"/>
      <c r="S644" s="126"/>
      <c r="T644" s="126"/>
      <c r="U644" s="126"/>
      <c r="V644" s="126"/>
      <c r="W644" s="126"/>
      <c r="X644" s="126"/>
      <c r="Y644" s="126"/>
      <c r="Z644" s="126"/>
      <c r="AA644" s="126"/>
      <c r="AB644" s="126"/>
    </row>
    <row r="645" spans="1:28" ht="15.75" customHeight="1">
      <c r="A645" s="126"/>
      <c r="B645" s="126"/>
      <c r="C645" s="176"/>
      <c r="D645" s="176"/>
      <c r="E645" s="176"/>
      <c r="F645" s="176"/>
      <c r="G645" s="176"/>
      <c r="H645" s="176"/>
      <c r="I645" s="126"/>
      <c r="J645" s="126"/>
      <c r="K645" s="126"/>
      <c r="L645" s="126"/>
      <c r="M645" s="126"/>
      <c r="N645" s="126"/>
      <c r="O645" s="126"/>
      <c r="P645" s="126"/>
      <c r="Q645" s="126"/>
      <c r="R645" s="126"/>
      <c r="S645" s="126"/>
      <c r="T645" s="126"/>
      <c r="U645" s="126"/>
      <c r="V645" s="126"/>
      <c r="W645" s="126"/>
      <c r="X645" s="126"/>
      <c r="Y645" s="126"/>
      <c r="Z645" s="126"/>
      <c r="AA645" s="126"/>
      <c r="AB645" s="126"/>
    </row>
    <row r="646" spans="1:28" ht="15.75" customHeight="1">
      <c r="A646" s="126"/>
      <c r="B646" s="126"/>
      <c r="C646" s="176"/>
      <c r="D646" s="176"/>
      <c r="E646" s="176"/>
      <c r="F646" s="176"/>
      <c r="G646" s="176"/>
      <c r="H646" s="176"/>
      <c r="I646" s="126"/>
      <c r="J646" s="126"/>
      <c r="K646" s="126"/>
      <c r="L646" s="126"/>
      <c r="M646" s="126"/>
      <c r="N646" s="126"/>
      <c r="O646" s="126"/>
      <c r="P646" s="126"/>
      <c r="Q646" s="126"/>
      <c r="R646" s="126"/>
      <c r="S646" s="126"/>
      <c r="T646" s="126"/>
      <c r="U646" s="126"/>
      <c r="V646" s="126"/>
      <c r="W646" s="126"/>
      <c r="X646" s="126"/>
      <c r="Y646" s="126"/>
      <c r="Z646" s="126"/>
      <c r="AA646" s="126"/>
      <c r="AB646" s="126"/>
    </row>
    <row r="647" spans="1:28" ht="15.75" customHeight="1">
      <c r="A647" s="126"/>
      <c r="B647" s="126"/>
      <c r="C647" s="176"/>
      <c r="D647" s="176"/>
      <c r="E647" s="176"/>
      <c r="F647" s="176"/>
      <c r="G647" s="176"/>
      <c r="H647" s="176"/>
      <c r="I647" s="126"/>
      <c r="J647" s="126"/>
      <c r="K647" s="126"/>
      <c r="L647" s="126"/>
      <c r="M647" s="126"/>
      <c r="N647" s="126"/>
      <c r="O647" s="126"/>
      <c r="P647" s="126"/>
      <c r="Q647" s="126"/>
      <c r="R647" s="126"/>
      <c r="S647" s="126"/>
      <c r="T647" s="126"/>
      <c r="U647" s="126"/>
      <c r="V647" s="126"/>
      <c r="W647" s="126"/>
      <c r="X647" s="126"/>
      <c r="Y647" s="126"/>
      <c r="Z647" s="126"/>
      <c r="AA647" s="126"/>
      <c r="AB647" s="126"/>
    </row>
    <row r="648" spans="1:28" ht="15.75" customHeight="1">
      <c r="A648" s="126"/>
      <c r="B648" s="126"/>
      <c r="C648" s="176"/>
      <c r="D648" s="176"/>
      <c r="E648" s="176"/>
      <c r="F648" s="176"/>
      <c r="G648" s="176"/>
      <c r="H648" s="176"/>
      <c r="I648" s="126"/>
      <c r="J648" s="126"/>
      <c r="K648" s="126"/>
      <c r="L648" s="126"/>
      <c r="M648" s="126"/>
      <c r="N648" s="126"/>
      <c r="O648" s="126"/>
      <c r="P648" s="126"/>
      <c r="Q648" s="126"/>
      <c r="R648" s="126"/>
      <c r="S648" s="126"/>
      <c r="T648" s="126"/>
      <c r="U648" s="126"/>
      <c r="V648" s="126"/>
      <c r="W648" s="126"/>
      <c r="X648" s="126"/>
      <c r="Y648" s="126"/>
      <c r="Z648" s="126"/>
      <c r="AA648" s="126"/>
      <c r="AB648" s="126"/>
    </row>
    <row r="649" spans="1:28" ht="15.75" customHeight="1">
      <c r="A649" s="126"/>
      <c r="B649" s="126"/>
      <c r="C649" s="176"/>
      <c r="D649" s="176"/>
      <c r="E649" s="176"/>
      <c r="F649" s="176"/>
      <c r="G649" s="176"/>
      <c r="H649" s="176"/>
      <c r="I649" s="126"/>
      <c r="J649" s="126"/>
      <c r="K649" s="126"/>
      <c r="L649" s="126"/>
      <c r="M649" s="126"/>
      <c r="N649" s="126"/>
      <c r="O649" s="126"/>
      <c r="P649" s="126"/>
      <c r="Q649" s="126"/>
      <c r="R649" s="126"/>
      <c r="S649" s="126"/>
      <c r="T649" s="126"/>
      <c r="U649" s="126"/>
      <c r="V649" s="126"/>
      <c r="W649" s="126"/>
      <c r="X649" s="126"/>
      <c r="Y649" s="126"/>
      <c r="Z649" s="126"/>
      <c r="AA649" s="126"/>
      <c r="AB649" s="126"/>
    </row>
    <row r="650" spans="1:28" ht="15.75" customHeight="1">
      <c r="A650" s="126"/>
      <c r="B650" s="126"/>
      <c r="C650" s="176"/>
      <c r="D650" s="176"/>
      <c r="E650" s="176"/>
      <c r="F650" s="176"/>
      <c r="G650" s="176"/>
      <c r="H650" s="176"/>
      <c r="I650" s="126"/>
      <c r="J650" s="126"/>
      <c r="K650" s="126"/>
      <c r="L650" s="126"/>
      <c r="M650" s="126"/>
      <c r="N650" s="126"/>
      <c r="O650" s="126"/>
      <c r="P650" s="126"/>
      <c r="Q650" s="126"/>
      <c r="R650" s="126"/>
      <c r="S650" s="126"/>
      <c r="T650" s="126"/>
      <c r="U650" s="126"/>
      <c r="V650" s="126"/>
      <c r="W650" s="126"/>
      <c r="X650" s="126"/>
      <c r="Y650" s="126"/>
      <c r="Z650" s="126"/>
      <c r="AA650" s="126"/>
      <c r="AB650" s="126"/>
    </row>
    <row r="651" spans="1:28" ht="15.75" customHeight="1">
      <c r="A651" s="126"/>
      <c r="B651" s="126"/>
      <c r="C651" s="176"/>
      <c r="D651" s="176"/>
      <c r="E651" s="176"/>
      <c r="F651" s="176"/>
      <c r="G651" s="176"/>
      <c r="H651" s="176"/>
      <c r="I651" s="126"/>
      <c r="J651" s="126"/>
      <c r="K651" s="126"/>
      <c r="L651" s="126"/>
      <c r="M651" s="126"/>
      <c r="N651" s="126"/>
      <c r="O651" s="126"/>
      <c r="P651" s="126"/>
      <c r="Q651" s="126"/>
      <c r="R651" s="126"/>
      <c r="S651" s="126"/>
      <c r="T651" s="126"/>
      <c r="U651" s="126"/>
      <c r="V651" s="126"/>
      <c r="W651" s="126"/>
      <c r="X651" s="126"/>
      <c r="Y651" s="126"/>
      <c r="Z651" s="126"/>
      <c r="AA651" s="126"/>
      <c r="AB651" s="126"/>
    </row>
    <row r="652" spans="1:28" ht="15.75" customHeight="1">
      <c r="A652" s="126"/>
      <c r="B652" s="126"/>
      <c r="C652" s="176"/>
      <c r="D652" s="176"/>
      <c r="E652" s="176"/>
      <c r="F652" s="176"/>
      <c r="G652" s="176"/>
      <c r="H652" s="176"/>
      <c r="I652" s="126"/>
      <c r="J652" s="126"/>
      <c r="K652" s="126"/>
      <c r="L652" s="126"/>
      <c r="M652" s="126"/>
      <c r="N652" s="126"/>
      <c r="O652" s="126"/>
      <c r="P652" s="126"/>
      <c r="Q652" s="126"/>
      <c r="R652" s="126"/>
      <c r="S652" s="126"/>
      <c r="T652" s="126"/>
      <c r="U652" s="126"/>
      <c r="V652" s="126"/>
      <c r="W652" s="126"/>
      <c r="X652" s="126"/>
      <c r="Y652" s="126"/>
      <c r="Z652" s="126"/>
      <c r="AA652" s="126"/>
      <c r="AB652" s="126"/>
    </row>
    <row r="653" spans="1:28" ht="15.75" customHeight="1">
      <c r="A653" s="126"/>
      <c r="B653" s="126"/>
      <c r="C653" s="176"/>
      <c r="D653" s="176"/>
      <c r="E653" s="176"/>
      <c r="F653" s="176"/>
      <c r="G653" s="176"/>
      <c r="H653" s="176"/>
      <c r="I653" s="126"/>
      <c r="J653" s="126"/>
      <c r="K653" s="126"/>
      <c r="L653" s="126"/>
      <c r="M653" s="126"/>
      <c r="N653" s="126"/>
      <c r="O653" s="126"/>
      <c r="P653" s="126"/>
      <c r="Q653" s="126"/>
      <c r="R653" s="126"/>
      <c r="S653" s="126"/>
      <c r="T653" s="126"/>
      <c r="U653" s="126"/>
      <c r="V653" s="126"/>
      <c r="W653" s="126"/>
      <c r="X653" s="126"/>
      <c r="Y653" s="126"/>
      <c r="Z653" s="126"/>
      <c r="AA653" s="126"/>
      <c r="AB653" s="126"/>
    </row>
    <row r="654" spans="1:28" ht="15.75" customHeight="1">
      <c r="A654" s="126"/>
      <c r="B654" s="126"/>
      <c r="C654" s="176"/>
      <c r="D654" s="176"/>
      <c r="E654" s="176"/>
      <c r="F654" s="176"/>
      <c r="G654" s="176"/>
      <c r="H654" s="176"/>
      <c r="I654" s="126"/>
      <c r="J654" s="126"/>
      <c r="K654" s="126"/>
      <c r="L654" s="126"/>
      <c r="M654" s="126"/>
      <c r="N654" s="126"/>
      <c r="O654" s="126"/>
      <c r="P654" s="126"/>
      <c r="Q654" s="126"/>
      <c r="R654" s="126"/>
      <c r="S654" s="126"/>
      <c r="T654" s="126"/>
      <c r="U654" s="126"/>
      <c r="V654" s="126"/>
      <c r="W654" s="126"/>
      <c r="X654" s="126"/>
      <c r="Y654" s="126"/>
      <c r="Z654" s="126"/>
      <c r="AA654" s="126"/>
      <c r="AB654" s="126"/>
    </row>
    <row r="655" spans="1:28" ht="15.75" customHeight="1">
      <c r="A655" s="126"/>
      <c r="B655" s="126"/>
      <c r="C655" s="176"/>
      <c r="D655" s="176"/>
      <c r="E655" s="176"/>
      <c r="F655" s="176"/>
      <c r="G655" s="176"/>
      <c r="H655" s="176"/>
      <c r="I655" s="126"/>
      <c r="J655" s="126"/>
      <c r="K655" s="126"/>
      <c r="L655" s="126"/>
      <c r="M655" s="126"/>
      <c r="N655" s="126"/>
      <c r="O655" s="126"/>
      <c r="P655" s="126"/>
      <c r="Q655" s="126"/>
      <c r="R655" s="126"/>
      <c r="S655" s="126"/>
      <c r="T655" s="126"/>
      <c r="U655" s="126"/>
      <c r="V655" s="126"/>
      <c r="W655" s="126"/>
      <c r="X655" s="126"/>
      <c r="Y655" s="126"/>
      <c r="Z655" s="126"/>
      <c r="AA655" s="126"/>
      <c r="AB655" s="126"/>
    </row>
    <row r="656" spans="1:28" ht="15.75" customHeight="1">
      <c r="A656" s="126"/>
      <c r="B656" s="126"/>
      <c r="C656" s="176"/>
      <c r="D656" s="176"/>
      <c r="E656" s="176"/>
      <c r="F656" s="176"/>
      <c r="G656" s="176"/>
      <c r="H656" s="176"/>
      <c r="I656" s="126"/>
      <c r="J656" s="126"/>
      <c r="K656" s="126"/>
      <c r="L656" s="126"/>
      <c r="M656" s="126"/>
      <c r="N656" s="126"/>
      <c r="O656" s="126"/>
      <c r="P656" s="126"/>
      <c r="Q656" s="126"/>
      <c r="R656" s="126"/>
      <c r="S656" s="126"/>
      <c r="T656" s="126"/>
      <c r="U656" s="126"/>
      <c r="V656" s="126"/>
      <c r="W656" s="126"/>
      <c r="X656" s="126"/>
      <c r="Y656" s="126"/>
      <c r="Z656" s="126"/>
      <c r="AA656" s="126"/>
      <c r="AB656" s="126"/>
    </row>
    <row r="657" spans="1:28" ht="15.75" customHeight="1">
      <c r="A657" s="126"/>
      <c r="B657" s="126"/>
      <c r="C657" s="176"/>
      <c r="D657" s="176"/>
      <c r="E657" s="176"/>
      <c r="F657" s="176"/>
      <c r="G657" s="176"/>
      <c r="H657" s="176"/>
      <c r="I657" s="126"/>
      <c r="J657" s="126"/>
      <c r="K657" s="126"/>
      <c r="L657" s="126"/>
      <c r="M657" s="126"/>
      <c r="N657" s="126"/>
      <c r="O657" s="126"/>
      <c r="P657" s="126"/>
      <c r="Q657" s="126"/>
      <c r="R657" s="126"/>
      <c r="S657" s="126"/>
      <c r="T657" s="126"/>
      <c r="U657" s="126"/>
      <c r="V657" s="126"/>
      <c r="W657" s="126"/>
      <c r="X657" s="126"/>
      <c r="Y657" s="126"/>
      <c r="Z657" s="126"/>
      <c r="AA657" s="126"/>
      <c r="AB657" s="126"/>
    </row>
    <row r="658" spans="1:28" ht="15.75" customHeight="1">
      <c r="A658" s="126"/>
      <c r="B658" s="126"/>
      <c r="C658" s="176"/>
      <c r="D658" s="176"/>
      <c r="E658" s="176"/>
      <c r="F658" s="176"/>
      <c r="G658" s="176"/>
      <c r="H658" s="176"/>
      <c r="I658" s="126"/>
      <c r="J658" s="126"/>
      <c r="K658" s="126"/>
      <c r="L658" s="126"/>
      <c r="M658" s="126"/>
      <c r="N658" s="126"/>
      <c r="O658" s="126"/>
      <c r="P658" s="126"/>
      <c r="Q658" s="126"/>
      <c r="R658" s="126"/>
      <c r="S658" s="126"/>
      <c r="T658" s="126"/>
      <c r="U658" s="126"/>
      <c r="V658" s="126"/>
      <c r="W658" s="126"/>
      <c r="X658" s="126"/>
      <c r="Y658" s="126"/>
      <c r="Z658" s="126"/>
      <c r="AA658" s="126"/>
      <c r="AB658" s="126"/>
    </row>
    <row r="659" spans="1:28" ht="15.75" customHeight="1">
      <c r="A659" s="126"/>
      <c r="B659" s="126"/>
      <c r="C659" s="176"/>
      <c r="D659" s="176"/>
      <c r="E659" s="176"/>
      <c r="F659" s="176"/>
      <c r="G659" s="176"/>
      <c r="H659" s="176"/>
      <c r="I659" s="126"/>
      <c r="J659" s="126"/>
      <c r="K659" s="126"/>
      <c r="L659" s="126"/>
      <c r="M659" s="126"/>
      <c r="N659" s="126"/>
      <c r="O659" s="126"/>
      <c r="P659" s="126"/>
      <c r="Q659" s="126"/>
      <c r="R659" s="126"/>
      <c r="S659" s="126"/>
      <c r="T659" s="126"/>
      <c r="U659" s="126"/>
      <c r="V659" s="126"/>
      <c r="W659" s="126"/>
      <c r="X659" s="126"/>
      <c r="Y659" s="126"/>
      <c r="Z659" s="126"/>
      <c r="AA659" s="126"/>
      <c r="AB659" s="126"/>
    </row>
    <row r="660" spans="1:28" ht="15.75" customHeight="1">
      <c r="A660" s="126"/>
      <c r="B660" s="126"/>
      <c r="C660" s="176"/>
      <c r="D660" s="176"/>
      <c r="E660" s="176"/>
      <c r="F660" s="176"/>
      <c r="G660" s="176"/>
      <c r="H660" s="176"/>
      <c r="I660" s="126"/>
      <c r="J660" s="126"/>
      <c r="K660" s="126"/>
      <c r="L660" s="126"/>
      <c r="M660" s="126"/>
      <c r="N660" s="126"/>
      <c r="O660" s="126"/>
      <c r="P660" s="126"/>
      <c r="Q660" s="126"/>
      <c r="R660" s="126"/>
      <c r="S660" s="126"/>
      <c r="T660" s="126"/>
      <c r="U660" s="126"/>
      <c r="V660" s="126"/>
      <c r="W660" s="126"/>
      <c r="X660" s="126"/>
      <c r="Y660" s="126"/>
      <c r="Z660" s="126"/>
      <c r="AA660" s="126"/>
      <c r="AB660" s="126"/>
    </row>
    <row r="661" spans="1:28" ht="15.75" customHeight="1">
      <c r="A661" s="126"/>
      <c r="B661" s="126"/>
      <c r="C661" s="176"/>
      <c r="D661" s="176"/>
      <c r="E661" s="176"/>
      <c r="F661" s="176"/>
      <c r="G661" s="176"/>
      <c r="H661" s="176"/>
      <c r="I661" s="126"/>
      <c r="J661" s="126"/>
      <c r="K661" s="126"/>
      <c r="L661" s="126"/>
      <c r="M661" s="126"/>
      <c r="N661" s="126"/>
      <c r="O661" s="126"/>
      <c r="P661" s="126"/>
      <c r="Q661" s="126"/>
      <c r="R661" s="126"/>
      <c r="S661" s="126"/>
      <c r="T661" s="126"/>
      <c r="U661" s="126"/>
      <c r="V661" s="126"/>
      <c r="W661" s="126"/>
      <c r="X661" s="126"/>
      <c r="Y661" s="126"/>
      <c r="Z661" s="126"/>
      <c r="AA661" s="126"/>
      <c r="AB661" s="126"/>
    </row>
    <row r="662" spans="1:28" ht="15.75" customHeight="1">
      <c r="A662" s="126"/>
      <c r="B662" s="126"/>
      <c r="C662" s="176"/>
      <c r="D662" s="176"/>
      <c r="E662" s="176"/>
      <c r="F662" s="176"/>
      <c r="G662" s="176"/>
      <c r="H662" s="176"/>
      <c r="I662" s="126"/>
      <c r="J662" s="126"/>
      <c r="K662" s="126"/>
      <c r="L662" s="126"/>
      <c r="M662" s="126"/>
      <c r="N662" s="126"/>
      <c r="O662" s="126"/>
      <c r="P662" s="126"/>
      <c r="Q662" s="126"/>
      <c r="R662" s="126"/>
      <c r="S662" s="126"/>
      <c r="T662" s="126"/>
      <c r="U662" s="126"/>
      <c r="V662" s="126"/>
      <c r="W662" s="126"/>
      <c r="X662" s="126"/>
      <c r="Y662" s="126"/>
      <c r="Z662" s="126"/>
      <c r="AA662" s="126"/>
      <c r="AB662" s="126"/>
    </row>
    <row r="663" spans="1:28" ht="15.75" customHeight="1">
      <c r="A663" s="126"/>
      <c r="B663" s="126"/>
      <c r="C663" s="176"/>
      <c r="D663" s="176"/>
      <c r="E663" s="176"/>
      <c r="F663" s="176"/>
      <c r="G663" s="176"/>
      <c r="H663" s="176"/>
      <c r="I663" s="126"/>
      <c r="J663" s="126"/>
      <c r="K663" s="126"/>
      <c r="L663" s="126"/>
      <c r="M663" s="126"/>
      <c r="N663" s="126"/>
      <c r="O663" s="126"/>
      <c r="P663" s="126"/>
      <c r="Q663" s="126"/>
      <c r="R663" s="126"/>
      <c r="S663" s="126"/>
      <c r="T663" s="126"/>
      <c r="U663" s="126"/>
      <c r="V663" s="126"/>
      <c r="W663" s="126"/>
      <c r="X663" s="126"/>
      <c r="Y663" s="126"/>
      <c r="Z663" s="126"/>
      <c r="AA663" s="126"/>
      <c r="AB663" s="126"/>
    </row>
    <row r="664" spans="1:28" ht="15.75" customHeight="1">
      <c r="A664" s="126"/>
      <c r="B664" s="126"/>
      <c r="C664" s="176"/>
      <c r="D664" s="176"/>
      <c r="E664" s="176"/>
      <c r="F664" s="176"/>
      <c r="G664" s="176"/>
      <c r="H664" s="176"/>
      <c r="I664" s="126"/>
      <c r="J664" s="126"/>
      <c r="K664" s="126"/>
      <c r="L664" s="126"/>
      <c r="M664" s="126"/>
      <c r="N664" s="126"/>
      <c r="O664" s="126"/>
      <c r="P664" s="126"/>
      <c r="Q664" s="126"/>
      <c r="R664" s="126"/>
      <c r="S664" s="126"/>
      <c r="T664" s="126"/>
      <c r="U664" s="126"/>
      <c r="V664" s="126"/>
      <c r="W664" s="126"/>
      <c r="X664" s="126"/>
      <c r="Y664" s="126"/>
      <c r="Z664" s="126"/>
      <c r="AA664" s="126"/>
      <c r="AB664" s="126"/>
    </row>
    <row r="665" spans="1:28" ht="15.75" customHeight="1">
      <c r="A665" s="126"/>
      <c r="B665" s="126"/>
      <c r="C665" s="176"/>
      <c r="D665" s="176"/>
      <c r="E665" s="176"/>
      <c r="F665" s="176"/>
      <c r="G665" s="176"/>
      <c r="H665" s="176"/>
      <c r="I665" s="126"/>
      <c r="J665" s="126"/>
      <c r="K665" s="126"/>
      <c r="L665" s="126"/>
      <c r="M665" s="126"/>
      <c r="N665" s="126"/>
      <c r="O665" s="126"/>
      <c r="P665" s="126"/>
      <c r="Q665" s="126"/>
      <c r="R665" s="126"/>
      <c r="S665" s="126"/>
      <c r="T665" s="126"/>
      <c r="U665" s="126"/>
      <c r="V665" s="126"/>
      <c r="W665" s="126"/>
      <c r="X665" s="126"/>
      <c r="Y665" s="126"/>
      <c r="Z665" s="126"/>
      <c r="AA665" s="126"/>
      <c r="AB665" s="126"/>
    </row>
    <row r="666" spans="1:28" ht="15.75" customHeight="1">
      <c r="A666" s="126"/>
      <c r="B666" s="126"/>
      <c r="C666" s="176"/>
      <c r="D666" s="176"/>
      <c r="E666" s="176"/>
      <c r="F666" s="176"/>
      <c r="G666" s="176"/>
      <c r="H666" s="176"/>
      <c r="I666" s="126"/>
      <c r="J666" s="126"/>
      <c r="K666" s="126"/>
      <c r="L666" s="126"/>
      <c r="M666" s="126"/>
      <c r="N666" s="126"/>
      <c r="O666" s="126"/>
      <c r="P666" s="126"/>
      <c r="Q666" s="126"/>
      <c r="R666" s="126"/>
      <c r="S666" s="126"/>
      <c r="T666" s="126"/>
      <c r="U666" s="126"/>
      <c r="V666" s="126"/>
      <c r="W666" s="126"/>
      <c r="X666" s="126"/>
      <c r="Y666" s="126"/>
      <c r="Z666" s="126"/>
      <c r="AA666" s="126"/>
      <c r="AB666" s="126"/>
    </row>
    <row r="667" spans="1:28" ht="15.75" customHeight="1">
      <c r="A667" s="126"/>
      <c r="B667" s="126"/>
      <c r="C667" s="176"/>
      <c r="D667" s="176"/>
      <c r="E667" s="176"/>
      <c r="F667" s="176"/>
      <c r="G667" s="176"/>
      <c r="H667" s="176"/>
      <c r="I667" s="126"/>
      <c r="J667" s="126"/>
      <c r="K667" s="126"/>
      <c r="L667" s="126"/>
      <c r="M667" s="126"/>
      <c r="N667" s="126"/>
      <c r="O667" s="126"/>
      <c r="P667" s="126"/>
      <c r="Q667" s="126"/>
      <c r="R667" s="126"/>
      <c r="S667" s="126"/>
      <c r="T667" s="126"/>
      <c r="U667" s="126"/>
      <c r="V667" s="126"/>
      <c r="W667" s="126"/>
      <c r="X667" s="126"/>
      <c r="Y667" s="126"/>
      <c r="Z667" s="126"/>
      <c r="AA667" s="126"/>
      <c r="AB667" s="126"/>
    </row>
    <row r="668" spans="1:28" ht="15.75" customHeight="1">
      <c r="A668" s="126"/>
      <c r="B668" s="126"/>
      <c r="C668" s="176"/>
      <c r="D668" s="176"/>
      <c r="E668" s="176"/>
      <c r="F668" s="176"/>
      <c r="G668" s="176"/>
      <c r="H668" s="176"/>
      <c r="I668" s="126"/>
      <c r="J668" s="126"/>
      <c r="K668" s="126"/>
      <c r="L668" s="126"/>
      <c r="M668" s="126"/>
      <c r="N668" s="126"/>
      <c r="O668" s="126"/>
      <c r="P668" s="126"/>
      <c r="Q668" s="126"/>
      <c r="R668" s="126"/>
      <c r="S668" s="126"/>
      <c r="T668" s="126"/>
      <c r="U668" s="126"/>
      <c r="V668" s="126"/>
      <c r="W668" s="126"/>
      <c r="X668" s="126"/>
      <c r="Y668" s="126"/>
      <c r="Z668" s="126"/>
      <c r="AA668" s="126"/>
      <c r="AB668" s="126"/>
    </row>
    <row r="669" spans="1:28" ht="15.75" customHeight="1">
      <c r="A669" s="126"/>
      <c r="B669" s="126"/>
      <c r="C669" s="176"/>
      <c r="D669" s="176"/>
      <c r="E669" s="176"/>
      <c r="F669" s="176"/>
      <c r="G669" s="176"/>
      <c r="H669" s="176"/>
      <c r="I669" s="126"/>
      <c r="J669" s="126"/>
      <c r="K669" s="126"/>
      <c r="L669" s="126"/>
      <c r="M669" s="126"/>
      <c r="N669" s="126"/>
      <c r="O669" s="126"/>
      <c r="P669" s="126"/>
      <c r="Q669" s="126"/>
      <c r="R669" s="126"/>
      <c r="S669" s="126"/>
      <c r="T669" s="126"/>
      <c r="U669" s="126"/>
      <c r="V669" s="126"/>
      <c r="W669" s="126"/>
      <c r="X669" s="126"/>
      <c r="Y669" s="126"/>
      <c r="Z669" s="126"/>
      <c r="AA669" s="126"/>
      <c r="AB669" s="126"/>
    </row>
    <row r="670" spans="1:28" ht="15.75" customHeight="1">
      <c r="A670" s="126"/>
      <c r="B670" s="126"/>
      <c r="C670" s="176"/>
      <c r="D670" s="176"/>
      <c r="E670" s="176"/>
      <c r="F670" s="176"/>
      <c r="G670" s="176"/>
      <c r="H670" s="176"/>
      <c r="I670" s="126"/>
      <c r="J670" s="126"/>
      <c r="K670" s="126"/>
      <c r="L670" s="126"/>
      <c r="M670" s="126"/>
      <c r="N670" s="126"/>
      <c r="O670" s="126"/>
      <c r="P670" s="126"/>
      <c r="Q670" s="126"/>
      <c r="R670" s="126"/>
      <c r="S670" s="126"/>
      <c r="T670" s="126"/>
      <c r="U670" s="126"/>
      <c r="V670" s="126"/>
      <c r="W670" s="126"/>
      <c r="X670" s="126"/>
      <c r="Y670" s="126"/>
      <c r="Z670" s="126"/>
      <c r="AA670" s="126"/>
      <c r="AB670" s="126"/>
    </row>
    <row r="671" spans="1:28" ht="15.75" customHeight="1">
      <c r="A671" s="126"/>
      <c r="B671" s="126"/>
      <c r="C671" s="176"/>
      <c r="D671" s="176"/>
      <c r="E671" s="176"/>
      <c r="F671" s="176"/>
      <c r="G671" s="176"/>
      <c r="H671" s="176"/>
      <c r="I671" s="126"/>
      <c r="J671" s="126"/>
      <c r="K671" s="126"/>
      <c r="L671" s="126"/>
      <c r="M671" s="126"/>
      <c r="N671" s="126"/>
      <c r="O671" s="126"/>
      <c r="P671" s="126"/>
      <c r="Q671" s="126"/>
      <c r="R671" s="126"/>
      <c r="S671" s="126"/>
      <c r="T671" s="126"/>
      <c r="U671" s="126"/>
      <c r="V671" s="126"/>
      <c r="W671" s="126"/>
      <c r="X671" s="126"/>
      <c r="Y671" s="126"/>
      <c r="Z671" s="126"/>
      <c r="AA671" s="126"/>
      <c r="AB671" s="126"/>
    </row>
    <row r="672" spans="1:28" ht="15.75" customHeight="1">
      <c r="A672" s="126"/>
      <c r="B672" s="126"/>
      <c r="C672" s="176"/>
      <c r="D672" s="176"/>
      <c r="E672" s="176"/>
      <c r="F672" s="176"/>
      <c r="G672" s="176"/>
      <c r="H672" s="176"/>
      <c r="I672" s="126"/>
      <c r="J672" s="126"/>
      <c r="K672" s="126"/>
      <c r="L672" s="126"/>
      <c r="M672" s="126"/>
      <c r="N672" s="126"/>
      <c r="O672" s="126"/>
      <c r="P672" s="126"/>
      <c r="Q672" s="126"/>
      <c r="R672" s="126"/>
      <c r="S672" s="126"/>
      <c r="T672" s="126"/>
      <c r="U672" s="126"/>
      <c r="V672" s="126"/>
      <c r="W672" s="126"/>
      <c r="X672" s="126"/>
      <c r="Y672" s="126"/>
      <c r="Z672" s="126"/>
      <c r="AA672" s="126"/>
      <c r="AB672" s="126"/>
    </row>
    <row r="673" spans="1:28" ht="15.75" customHeight="1">
      <c r="A673" s="126"/>
      <c r="B673" s="126"/>
      <c r="C673" s="176"/>
      <c r="D673" s="176"/>
      <c r="E673" s="176"/>
      <c r="F673" s="176"/>
      <c r="G673" s="176"/>
      <c r="H673" s="176"/>
      <c r="I673" s="126"/>
      <c r="J673" s="126"/>
      <c r="K673" s="126"/>
      <c r="L673" s="126"/>
      <c r="M673" s="126"/>
      <c r="N673" s="126"/>
      <c r="O673" s="126"/>
      <c r="P673" s="126"/>
      <c r="Q673" s="126"/>
      <c r="R673" s="126"/>
      <c r="S673" s="126"/>
      <c r="T673" s="126"/>
      <c r="U673" s="126"/>
      <c r="V673" s="126"/>
      <c r="W673" s="126"/>
      <c r="X673" s="126"/>
      <c r="Y673" s="126"/>
      <c r="Z673" s="126"/>
      <c r="AA673" s="126"/>
      <c r="AB673" s="126"/>
    </row>
    <row r="674" spans="1:28" ht="15.75" customHeight="1">
      <c r="A674" s="126"/>
      <c r="B674" s="126"/>
      <c r="C674" s="176"/>
      <c r="D674" s="176"/>
      <c r="E674" s="176"/>
      <c r="F674" s="176"/>
      <c r="G674" s="176"/>
      <c r="H674" s="176"/>
      <c r="I674" s="126"/>
      <c r="J674" s="126"/>
      <c r="K674" s="126"/>
      <c r="L674" s="126"/>
      <c r="M674" s="126"/>
      <c r="N674" s="126"/>
      <c r="O674" s="126"/>
      <c r="P674" s="126"/>
      <c r="Q674" s="126"/>
      <c r="R674" s="126"/>
      <c r="S674" s="126"/>
      <c r="T674" s="126"/>
      <c r="U674" s="126"/>
      <c r="V674" s="126"/>
      <c r="W674" s="126"/>
      <c r="X674" s="126"/>
      <c r="Y674" s="126"/>
      <c r="Z674" s="126"/>
      <c r="AA674" s="126"/>
      <c r="AB674" s="126"/>
    </row>
    <row r="675" spans="1:28" ht="15.75" customHeight="1">
      <c r="A675" s="126"/>
      <c r="B675" s="126"/>
      <c r="C675" s="176"/>
      <c r="D675" s="176"/>
      <c r="E675" s="176"/>
      <c r="F675" s="176"/>
      <c r="G675" s="176"/>
      <c r="H675" s="176"/>
      <c r="I675" s="126"/>
      <c r="J675" s="126"/>
      <c r="K675" s="126"/>
      <c r="L675" s="126"/>
      <c r="M675" s="126"/>
      <c r="N675" s="126"/>
      <c r="O675" s="126"/>
      <c r="P675" s="126"/>
      <c r="Q675" s="126"/>
      <c r="R675" s="126"/>
      <c r="S675" s="126"/>
      <c r="T675" s="126"/>
      <c r="U675" s="126"/>
      <c r="V675" s="126"/>
      <c r="W675" s="126"/>
      <c r="X675" s="126"/>
      <c r="Y675" s="126"/>
      <c r="Z675" s="126"/>
      <c r="AA675" s="126"/>
      <c r="AB675" s="126"/>
    </row>
    <row r="676" spans="1:28" ht="15.75" customHeight="1">
      <c r="A676" s="126"/>
      <c r="B676" s="126"/>
      <c r="C676" s="176"/>
      <c r="D676" s="176"/>
      <c r="E676" s="176"/>
      <c r="F676" s="176"/>
      <c r="G676" s="176"/>
      <c r="H676" s="176"/>
      <c r="I676" s="126"/>
      <c r="J676" s="126"/>
      <c r="K676" s="126"/>
      <c r="L676" s="126"/>
      <c r="M676" s="126"/>
      <c r="N676" s="126"/>
      <c r="O676" s="126"/>
      <c r="P676" s="126"/>
      <c r="Q676" s="126"/>
      <c r="R676" s="126"/>
      <c r="S676" s="126"/>
      <c r="T676" s="126"/>
      <c r="U676" s="126"/>
      <c r="V676" s="126"/>
      <c r="W676" s="126"/>
      <c r="X676" s="126"/>
      <c r="Y676" s="126"/>
      <c r="Z676" s="126"/>
      <c r="AA676" s="126"/>
      <c r="AB676" s="126"/>
    </row>
    <row r="677" spans="1:28" ht="15.75" customHeight="1">
      <c r="A677" s="126"/>
      <c r="B677" s="126"/>
      <c r="C677" s="176"/>
      <c r="D677" s="176"/>
      <c r="E677" s="176"/>
      <c r="F677" s="176"/>
      <c r="G677" s="176"/>
      <c r="H677" s="176"/>
      <c r="I677" s="126"/>
      <c r="J677" s="126"/>
      <c r="K677" s="126"/>
      <c r="L677" s="126"/>
      <c r="M677" s="126"/>
      <c r="N677" s="126"/>
      <c r="O677" s="126"/>
      <c r="P677" s="126"/>
      <c r="Q677" s="126"/>
      <c r="R677" s="126"/>
      <c r="S677" s="126"/>
      <c r="T677" s="126"/>
      <c r="U677" s="126"/>
      <c r="V677" s="126"/>
      <c r="W677" s="126"/>
      <c r="X677" s="126"/>
      <c r="Y677" s="126"/>
      <c r="Z677" s="126"/>
      <c r="AA677" s="126"/>
      <c r="AB677" s="126"/>
    </row>
    <row r="678" spans="1:28" ht="15.75" customHeight="1">
      <c r="A678" s="126"/>
      <c r="B678" s="126"/>
      <c r="C678" s="176"/>
      <c r="D678" s="176"/>
      <c r="E678" s="176"/>
      <c r="F678" s="176"/>
      <c r="G678" s="176"/>
      <c r="H678" s="176"/>
      <c r="I678" s="126"/>
      <c r="J678" s="126"/>
      <c r="K678" s="126"/>
      <c r="L678" s="126"/>
      <c r="M678" s="126"/>
      <c r="N678" s="126"/>
      <c r="O678" s="126"/>
      <c r="P678" s="126"/>
      <c r="Q678" s="126"/>
      <c r="R678" s="126"/>
      <c r="S678" s="126"/>
      <c r="T678" s="126"/>
      <c r="U678" s="126"/>
      <c r="V678" s="126"/>
      <c r="W678" s="126"/>
      <c r="X678" s="126"/>
      <c r="Y678" s="126"/>
      <c r="Z678" s="126"/>
      <c r="AA678" s="126"/>
      <c r="AB678" s="126"/>
    </row>
    <row r="679" spans="1:28" ht="15.75" customHeight="1">
      <c r="A679" s="126"/>
      <c r="B679" s="126"/>
      <c r="C679" s="176"/>
      <c r="D679" s="176"/>
      <c r="E679" s="176"/>
      <c r="F679" s="176"/>
      <c r="G679" s="176"/>
      <c r="H679" s="176"/>
      <c r="I679" s="126"/>
      <c r="J679" s="126"/>
      <c r="K679" s="126"/>
      <c r="L679" s="126"/>
      <c r="M679" s="126"/>
      <c r="N679" s="126"/>
      <c r="O679" s="126"/>
      <c r="P679" s="126"/>
      <c r="Q679" s="126"/>
      <c r="R679" s="126"/>
      <c r="S679" s="126"/>
      <c r="T679" s="126"/>
      <c r="U679" s="126"/>
      <c r="V679" s="126"/>
      <c r="W679" s="126"/>
      <c r="X679" s="126"/>
      <c r="Y679" s="126"/>
      <c r="Z679" s="126"/>
      <c r="AA679" s="126"/>
      <c r="AB679" s="126"/>
    </row>
    <row r="680" spans="1:28" ht="15.75" customHeight="1">
      <c r="A680" s="126"/>
      <c r="B680" s="126"/>
      <c r="C680" s="176"/>
      <c r="D680" s="176"/>
      <c r="E680" s="176"/>
      <c r="F680" s="176"/>
      <c r="G680" s="176"/>
      <c r="H680" s="176"/>
      <c r="I680" s="126"/>
      <c r="J680" s="126"/>
      <c r="K680" s="126"/>
      <c r="L680" s="126"/>
      <c r="M680" s="126"/>
      <c r="N680" s="126"/>
      <c r="O680" s="126"/>
      <c r="P680" s="126"/>
      <c r="Q680" s="126"/>
      <c r="R680" s="126"/>
      <c r="S680" s="126"/>
      <c r="T680" s="126"/>
      <c r="U680" s="126"/>
      <c r="V680" s="126"/>
      <c r="W680" s="126"/>
      <c r="X680" s="126"/>
      <c r="Y680" s="126"/>
      <c r="Z680" s="126"/>
      <c r="AA680" s="126"/>
      <c r="AB680" s="126"/>
    </row>
    <row r="681" spans="1:28" ht="15.75" customHeight="1">
      <c r="A681" s="126"/>
      <c r="B681" s="126"/>
      <c r="C681" s="176"/>
      <c r="D681" s="176"/>
      <c r="E681" s="176"/>
      <c r="F681" s="176"/>
      <c r="G681" s="176"/>
      <c r="H681" s="176"/>
      <c r="I681" s="126"/>
      <c r="J681" s="126"/>
      <c r="K681" s="126"/>
      <c r="L681" s="126"/>
      <c r="M681" s="126"/>
      <c r="N681" s="126"/>
      <c r="O681" s="126"/>
      <c r="P681" s="126"/>
      <c r="Q681" s="126"/>
      <c r="R681" s="126"/>
      <c r="S681" s="126"/>
      <c r="T681" s="126"/>
      <c r="U681" s="126"/>
      <c r="V681" s="126"/>
      <c r="W681" s="126"/>
      <c r="X681" s="126"/>
      <c r="Y681" s="126"/>
      <c r="Z681" s="126"/>
      <c r="AA681" s="126"/>
      <c r="AB681" s="126"/>
    </row>
    <row r="682" spans="1:28" ht="15.75" customHeight="1">
      <c r="A682" s="126"/>
      <c r="B682" s="126"/>
      <c r="C682" s="176"/>
      <c r="D682" s="176"/>
      <c r="E682" s="176"/>
      <c r="F682" s="176"/>
      <c r="G682" s="176"/>
      <c r="H682" s="176"/>
      <c r="I682" s="126"/>
      <c r="J682" s="126"/>
      <c r="K682" s="126"/>
      <c r="L682" s="126"/>
      <c r="M682" s="126"/>
      <c r="N682" s="126"/>
      <c r="O682" s="126"/>
      <c r="P682" s="126"/>
      <c r="Q682" s="126"/>
      <c r="R682" s="126"/>
      <c r="S682" s="126"/>
      <c r="T682" s="126"/>
      <c r="U682" s="126"/>
      <c r="V682" s="126"/>
      <c r="W682" s="126"/>
      <c r="X682" s="126"/>
      <c r="Y682" s="126"/>
      <c r="Z682" s="126"/>
      <c r="AA682" s="126"/>
      <c r="AB682" s="126"/>
    </row>
    <row r="683" spans="1:28" ht="15.75" customHeight="1">
      <c r="A683" s="126"/>
      <c r="B683" s="126"/>
      <c r="C683" s="176"/>
      <c r="D683" s="176"/>
      <c r="E683" s="176"/>
      <c r="F683" s="176"/>
      <c r="G683" s="176"/>
      <c r="H683" s="176"/>
      <c r="I683" s="126"/>
      <c r="J683" s="126"/>
      <c r="K683" s="126"/>
      <c r="L683" s="126"/>
      <c r="M683" s="126"/>
      <c r="N683" s="126"/>
      <c r="O683" s="126"/>
      <c r="P683" s="126"/>
      <c r="Q683" s="126"/>
      <c r="R683" s="126"/>
      <c r="S683" s="126"/>
      <c r="T683" s="126"/>
      <c r="U683" s="126"/>
      <c r="V683" s="126"/>
      <c r="W683" s="126"/>
      <c r="X683" s="126"/>
      <c r="Y683" s="126"/>
      <c r="Z683" s="126"/>
      <c r="AA683" s="126"/>
      <c r="AB683" s="126"/>
    </row>
    <row r="684" spans="1:28" ht="15.75" customHeight="1">
      <c r="A684" s="126"/>
      <c r="B684" s="126"/>
      <c r="C684" s="176"/>
      <c r="D684" s="176"/>
      <c r="E684" s="176"/>
      <c r="F684" s="176"/>
      <c r="G684" s="176"/>
      <c r="H684" s="176"/>
      <c r="I684" s="126"/>
      <c r="J684" s="126"/>
      <c r="K684" s="126"/>
      <c r="L684" s="126"/>
      <c r="M684" s="126"/>
      <c r="N684" s="126"/>
      <c r="O684" s="126"/>
      <c r="P684" s="126"/>
      <c r="Q684" s="126"/>
      <c r="R684" s="126"/>
      <c r="S684" s="126"/>
      <c r="T684" s="126"/>
      <c r="U684" s="126"/>
      <c r="V684" s="126"/>
      <c r="W684" s="126"/>
      <c r="X684" s="126"/>
      <c r="Y684" s="126"/>
      <c r="Z684" s="126"/>
      <c r="AA684" s="126"/>
      <c r="AB684" s="126"/>
    </row>
    <row r="685" spans="1:28" ht="15.75" customHeight="1">
      <c r="A685" s="126"/>
      <c r="B685" s="126"/>
      <c r="C685" s="176"/>
      <c r="D685" s="176"/>
      <c r="E685" s="176"/>
      <c r="F685" s="176"/>
      <c r="G685" s="176"/>
      <c r="H685" s="176"/>
      <c r="I685" s="126"/>
      <c r="J685" s="126"/>
      <c r="K685" s="126"/>
      <c r="L685" s="126"/>
      <c r="M685" s="126"/>
      <c r="N685" s="126"/>
      <c r="O685" s="126"/>
      <c r="P685" s="126"/>
      <c r="Q685" s="126"/>
      <c r="R685" s="126"/>
      <c r="S685" s="126"/>
      <c r="T685" s="126"/>
      <c r="U685" s="126"/>
      <c r="V685" s="126"/>
      <c r="W685" s="126"/>
      <c r="X685" s="126"/>
      <c r="Y685" s="126"/>
      <c r="Z685" s="126"/>
      <c r="AA685" s="126"/>
      <c r="AB685" s="126"/>
    </row>
    <row r="686" spans="1:28" ht="15.75" customHeight="1">
      <c r="A686" s="126"/>
      <c r="B686" s="126"/>
      <c r="C686" s="176"/>
      <c r="D686" s="176"/>
      <c r="E686" s="176"/>
      <c r="F686" s="176"/>
      <c r="G686" s="176"/>
      <c r="H686" s="176"/>
      <c r="I686" s="126"/>
      <c r="J686" s="126"/>
      <c r="K686" s="126"/>
      <c r="L686" s="126"/>
      <c r="M686" s="126"/>
      <c r="N686" s="126"/>
      <c r="O686" s="126"/>
      <c r="P686" s="126"/>
      <c r="Q686" s="126"/>
      <c r="R686" s="126"/>
      <c r="S686" s="126"/>
      <c r="T686" s="126"/>
      <c r="U686" s="126"/>
      <c r="V686" s="126"/>
      <c r="W686" s="126"/>
      <c r="X686" s="126"/>
      <c r="Y686" s="126"/>
      <c r="Z686" s="126"/>
      <c r="AA686" s="126"/>
      <c r="AB686" s="126"/>
    </row>
    <row r="687" spans="1:28" ht="15.75" customHeight="1">
      <c r="A687" s="126"/>
      <c r="B687" s="126"/>
      <c r="C687" s="176"/>
      <c r="D687" s="176"/>
      <c r="E687" s="176"/>
      <c r="F687" s="176"/>
      <c r="G687" s="176"/>
      <c r="H687" s="176"/>
      <c r="I687" s="126"/>
      <c r="J687" s="126"/>
      <c r="K687" s="126"/>
      <c r="L687" s="126"/>
      <c r="M687" s="126"/>
      <c r="N687" s="126"/>
      <c r="O687" s="126"/>
      <c r="P687" s="126"/>
      <c r="Q687" s="126"/>
      <c r="R687" s="126"/>
      <c r="S687" s="126"/>
      <c r="T687" s="126"/>
      <c r="U687" s="126"/>
      <c r="V687" s="126"/>
      <c r="W687" s="126"/>
      <c r="X687" s="126"/>
      <c r="Y687" s="126"/>
      <c r="Z687" s="126"/>
      <c r="AA687" s="126"/>
      <c r="AB687" s="126"/>
    </row>
    <row r="688" spans="1:28" ht="15.75" customHeight="1">
      <c r="A688" s="126"/>
      <c r="B688" s="126"/>
      <c r="C688" s="176"/>
      <c r="D688" s="176"/>
      <c r="E688" s="176"/>
      <c r="F688" s="176"/>
      <c r="G688" s="176"/>
      <c r="H688" s="176"/>
      <c r="I688" s="126"/>
      <c r="J688" s="126"/>
      <c r="K688" s="126"/>
      <c r="L688" s="126"/>
      <c r="M688" s="126"/>
      <c r="N688" s="126"/>
      <c r="O688" s="126"/>
      <c r="P688" s="126"/>
      <c r="Q688" s="126"/>
      <c r="R688" s="126"/>
      <c r="S688" s="126"/>
      <c r="T688" s="126"/>
      <c r="U688" s="126"/>
      <c r="V688" s="126"/>
      <c r="W688" s="126"/>
      <c r="X688" s="126"/>
      <c r="Y688" s="126"/>
      <c r="Z688" s="126"/>
      <c r="AA688" s="126"/>
      <c r="AB688" s="126"/>
    </row>
    <row r="689" spans="1:28" ht="15.75" customHeight="1">
      <c r="A689" s="126"/>
      <c r="B689" s="126"/>
      <c r="C689" s="176"/>
      <c r="D689" s="176"/>
      <c r="E689" s="176"/>
      <c r="F689" s="176"/>
      <c r="G689" s="176"/>
      <c r="H689" s="176"/>
      <c r="I689" s="126"/>
      <c r="J689" s="126"/>
      <c r="K689" s="126"/>
      <c r="L689" s="126"/>
      <c r="M689" s="126"/>
      <c r="N689" s="126"/>
      <c r="O689" s="126"/>
      <c r="P689" s="126"/>
      <c r="Q689" s="126"/>
      <c r="R689" s="126"/>
      <c r="S689" s="126"/>
      <c r="T689" s="126"/>
      <c r="U689" s="126"/>
      <c r="V689" s="126"/>
      <c r="W689" s="126"/>
      <c r="X689" s="126"/>
      <c r="Y689" s="126"/>
      <c r="Z689" s="126"/>
      <c r="AA689" s="126"/>
      <c r="AB689" s="126"/>
    </row>
    <row r="690" spans="1:28" ht="15.75" customHeight="1">
      <c r="A690" s="126"/>
      <c r="B690" s="126"/>
      <c r="C690" s="176"/>
      <c r="D690" s="176"/>
      <c r="E690" s="176"/>
      <c r="F690" s="176"/>
      <c r="G690" s="176"/>
      <c r="H690" s="176"/>
      <c r="I690" s="126"/>
      <c r="J690" s="126"/>
      <c r="K690" s="126"/>
      <c r="L690" s="126"/>
      <c r="M690" s="126"/>
      <c r="N690" s="126"/>
      <c r="O690" s="126"/>
      <c r="P690" s="126"/>
      <c r="Q690" s="126"/>
      <c r="R690" s="126"/>
      <c r="S690" s="126"/>
      <c r="T690" s="126"/>
      <c r="U690" s="126"/>
      <c r="V690" s="126"/>
      <c r="W690" s="126"/>
      <c r="X690" s="126"/>
      <c r="Y690" s="126"/>
      <c r="Z690" s="126"/>
      <c r="AA690" s="126"/>
      <c r="AB690" s="126"/>
    </row>
    <row r="691" spans="1:28" ht="15.75" customHeight="1">
      <c r="A691" s="126"/>
      <c r="B691" s="126"/>
      <c r="C691" s="176"/>
      <c r="D691" s="176"/>
      <c r="E691" s="176"/>
      <c r="F691" s="176"/>
      <c r="G691" s="176"/>
      <c r="H691" s="176"/>
      <c r="I691" s="126"/>
      <c r="J691" s="126"/>
      <c r="K691" s="126"/>
      <c r="L691" s="126"/>
      <c r="M691" s="126"/>
      <c r="N691" s="126"/>
      <c r="O691" s="126"/>
      <c r="P691" s="126"/>
      <c r="Q691" s="126"/>
      <c r="R691" s="126"/>
      <c r="S691" s="126"/>
      <c r="T691" s="126"/>
      <c r="U691" s="126"/>
      <c r="V691" s="126"/>
      <c r="W691" s="126"/>
      <c r="X691" s="126"/>
      <c r="Y691" s="126"/>
      <c r="Z691" s="126"/>
      <c r="AA691" s="126"/>
      <c r="AB691" s="126"/>
    </row>
    <row r="692" spans="1:28" ht="15.75" customHeight="1">
      <c r="A692" s="126"/>
      <c r="B692" s="126"/>
      <c r="C692" s="176"/>
      <c r="D692" s="176"/>
      <c r="E692" s="176"/>
      <c r="F692" s="176"/>
      <c r="G692" s="176"/>
      <c r="H692" s="176"/>
      <c r="I692" s="126"/>
      <c r="J692" s="126"/>
      <c r="K692" s="126"/>
      <c r="L692" s="126"/>
      <c r="M692" s="126"/>
      <c r="N692" s="126"/>
      <c r="O692" s="126"/>
      <c r="P692" s="126"/>
      <c r="Q692" s="126"/>
      <c r="R692" s="126"/>
      <c r="S692" s="126"/>
      <c r="T692" s="126"/>
      <c r="U692" s="126"/>
      <c r="V692" s="126"/>
      <c r="W692" s="126"/>
      <c r="X692" s="126"/>
      <c r="Y692" s="126"/>
      <c r="Z692" s="126"/>
      <c r="AA692" s="126"/>
      <c r="AB692" s="126"/>
    </row>
    <row r="693" spans="1:28" ht="15.75" customHeight="1">
      <c r="A693" s="126"/>
      <c r="B693" s="126"/>
      <c r="C693" s="176"/>
      <c r="D693" s="176"/>
      <c r="E693" s="176"/>
      <c r="F693" s="176"/>
      <c r="G693" s="176"/>
      <c r="H693" s="176"/>
      <c r="I693" s="126"/>
      <c r="J693" s="126"/>
      <c r="K693" s="126"/>
      <c r="L693" s="126"/>
      <c r="M693" s="126"/>
      <c r="N693" s="126"/>
      <c r="O693" s="126"/>
      <c r="P693" s="126"/>
      <c r="Q693" s="126"/>
      <c r="R693" s="126"/>
      <c r="S693" s="126"/>
      <c r="T693" s="126"/>
      <c r="U693" s="126"/>
      <c r="V693" s="126"/>
      <c r="W693" s="126"/>
      <c r="X693" s="126"/>
      <c r="Y693" s="126"/>
      <c r="Z693" s="126"/>
      <c r="AA693" s="126"/>
      <c r="AB693" s="126"/>
    </row>
    <row r="694" spans="1:28" ht="15.75" customHeight="1">
      <c r="A694" s="126"/>
      <c r="B694" s="126"/>
      <c r="C694" s="176"/>
      <c r="D694" s="176"/>
      <c r="E694" s="176"/>
      <c r="F694" s="176"/>
      <c r="G694" s="176"/>
      <c r="H694" s="176"/>
      <c r="I694" s="126"/>
      <c r="J694" s="126"/>
      <c r="K694" s="126"/>
      <c r="L694" s="126"/>
      <c r="M694" s="126"/>
      <c r="N694" s="126"/>
      <c r="O694" s="126"/>
      <c r="P694" s="126"/>
      <c r="Q694" s="126"/>
      <c r="R694" s="126"/>
      <c r="S694" s="126"/>
      <c r="T694" s="126"/>
      <c r="U694" s="126"/>
      <c r="V694" s="126"/>
      <c r="W694" s="126"/>
      <c r="X694" s="126"/>
      <c r="Y694" s="126"/>
      <c r="Z694" s="126"/>
      <c r="AA694" s="126"/>
      <c r="AB694" s="126"/>
    </row>
    <row r="695" spans="1:28" ht="15.75" customHeight="1">
      <c r="A695" s="126"/>
      <c r="B695" s="126"/>
      <c r="C695" s="176"/>
      <c r="D695" s="176"/>
      <c r="E695" s="176"/>
      <c r="F695" s="176"/>
      <c r="G695" s="176"/>
      <c r="H695" s="176"/>
      <c r="I695" s="126"/>
      <c r="J695" s="126"/>
      <c r="K695" s="126"/>
      <c r="L695" s="126"/>
      <c r="M695" s="126"/>
      <c r="N695" s="126"/>
      <c r="O695" s="126"/>
      <c r="P695" s="126"/>
      <c r="Q695" s="126"/>
      <c r="R695" s="126"/>
      <c r="S695" s="126"/>
      <c r="T695" s="126"/>
      <c r="U695" s="126"/>
      <c r="V695" s="126"/>
      <c r="W695" s="126"/>
      <c r="X695" s="126"/>
      <c r="Y695" s="126"/>
      <c r="Z695" s="126"/>
      <c r="AA695" s="126"/>
      <c r="AB695" s="126"/>
    </row>
    <row r="696" spans="1:28" ht="15.75" customHeight="1">
      <c r="A696" s="126"/>
      <c r="B696" s="126"/>
      <c r="C696" s="176"/>
      <c r="D696" s="176"/>
      <c r="E696" s="176"/>
      <c r="F696" s="176"/>
      <c r="G696" s="176"/>
      <c r="H696" s="176"/>
      <c r="I696" s="126"/>
      <c r="J696" s="126"/>
      <c r="K696" s="126"/>
      <c r="L696" s="126"/>
      <c r="M696" s="126"/>
      <c r="N696" s="126"/>
      <c r="O696" s="126"/>
      <c r="P696" s="126"/>
      <c r="Q696" s="126"/>
      <c r="R696" s="126"/>
      <c r="S696" s="126"/>
      <c r="T696" s="126"/>
      <c r="U696" s="126"/>
      <c r="V696" s="126"/>
      <c r="W696" s="126"/>
      <c r="X696" s="126"/>
      <c r="Y696" s="126"/>
      <c r="Z696" s="126"/>
      <c r="AA696" s="126"/>
      <c r="AB696" s="126"/>
    </row>
    <row r="697" spans="1:28" ht="15.75" customHeight="1">
      <c r="A697" s="126"/>
      <c r="B697" s="126"/>
      <c r="C697" s="176"/>
      <c r="D697" s="176"/>
      <c r="E697" s="176"/>
      <c r="F697" s="176"/>
      <c r="G697" s="176"/>
      <c r="H697" s="176"/>
      <c r="I697" s="126"/>
      <c r="J697" s="126"/>
      <c r="K697" s="126"/>
      <c r="L697" s="126"/>
      <c r="M697" s="126"/>
      <c r="N697" s="126"/>
      <c r="O697" s="126"/>
      <c r="P697" s="126"/>
      <c r="Q697" s="126"/>
      <c r="R697" s="126"/>
      <c r="S697" s="126"/>
      <c r="T697" s="126"/>
      <c r="U697" s="126"/>
      <c r="V697" s="126"/>
      <c r="W697" s="126"/>
      <c r="X697" s="126"/>
      <c r="Y697" s="126"/>
      <c r="Z697" s="126"/>
      <c r="AA697" s="126"/>
      <c r="AB697" s="126"/>
    </row>
    <row r="698" spans="1:28" ht="15.75" customHeight="1">
      <c r="A698" s="126"/>
      <c r="B698" s="126"/>
      <c r="C698" s="176"/>
      <c r="D698" s="176"/>
      <c r="E698" s="176"/>
      <c r="F698" s="176"/>
      <c r="G698" s="176"/>
      <c r="H698" s="176"/>
      <c r="I698" s="126"/>
      <c r="J698" s="126"/>
      <c r="K698" s="126"/>
      <c r="L698" s="126"/>
      <c r="M698" s="126"/>
      <c r="N698" s="126"/>
      <c r="O698" s="126"/>
      <c r="P698" s="126"/>
      <c r="Q698" s="126"/>
      <c r="R698" s="126"/>
      <c r="S698" s="126"/>
      <c r="T698" s="126"/>
      <c r="U698" s="126"/>
      <c r="V698" s="126"/>
      <c r="W698" s="126"/>
      <c r="X698" s="126"/>
      <c r="Y698" s="126"/>
      <c r="Z698" s="126"/>
      <c r="AA698" s="126"/>
      <c r="AB698" s="126"/>
    </row>
    <row r="699" spans="1:28" ht="15.75" customHeight="1">
      <c r="A699" s="126"/>
      <c r="B699" s="126"/>
      <c r="C699" s="176"/>
      <c r="D699" s="176"/>
      <c r="E699" s="176"/>
      <c r="F699" s="176"/>
      <c r="G699" s="176"/>
      <c r="H699" s="176"/>
      <c r="I699" s="126"/>
      <c r="J699" s="126"/>
      <c r="K699" s="126"/>
      <c r="L699" s="126"/>
      <c r="M699" s="126"/>
      <c r="N699" s="126"/>
      <c r="O699" s="126"/>
      <c r="P699" s="126"/>
      <c r="Q699" s="126"/>
      <c r="R699" s="126"/>
      <c r="S699" s="126"/>
      <c r="T699" s="126"/>
      <c r="U699" s="126"/>
      <c r="V699" s="126"/>
      <c r="W699" s="126"/>
      <c r="X699" s="126"/>
      <c r="Y699" s="126"/>
      <c r="Z699" s="126"/>
      <c r="AA699" s="126"/>
      <c r="AB699" s="126"/>
    </row>
    <row r="700" spans="1:28" ht="15.75" customHeight="1">
      <c r="A700" s="126"/>
      <c r="B700" s="126"/>
      <c r="C700" s="176"/>
      <c r="D700" s="176"/>
      <c r="E700" s="176"/>
      <c r="F700" s="176"/>
      <c r="G700" s="176"/>
      <c r="H700" s="176"/>
      <c r="I700" s="126"/>
      <c r="J700" s="126"/>
      <c r="K700" s="126"/>
      <c r="L700" s="126"/>
      <c r="M700" s="126"/>
      <c r="N700" s="126"/>
      <c r="O700" s="126"/>
      <c r="P700" s="126"/>
      <c r="Q700" s="126"/>
      <c r="R700" s="126"/>
      <c r="S700" s="126"/>
      <c r="T700" s="126"/>
      <c r="U700" s="126"/>
      <c r="V700" s="126"/>
      <c r="W700" s="126"/>
      <c r="X700" s="126"/>
      <c r="Y700" s="126"/>
      <c r="Z700" s="126"/>
      <c r="AA700" s="126"/>
      <c r="AB700" s="126"/>
    </row>
    <row r="701" spans="1:28" ht="15.75" customHeight="1">
      <c r="A701" s="126"/>
      <c r="B701" s="126"/>
      <c r="C701" s="176"/>
      <c r="D701" s="176"/>
      <c r="E701" s="176"/>
      <c r="F701" s="176"/>
      <c r="G701" s="176"/>
      <c r="H701" s="176"/>
      <c r="I701" s="126"/>
      <c r="J701" s="126"/>
      <c r="K701" s="126"/>
      <c r="L701" s="126"/>
      <c r="M701" s="126"/>
      <c r="N701" s="126"/>
      <c r="O701" s="126"/>
      <c r="P701" s="126"/>
      <c r="Q701" s="126"/>
      <c r="R701" s="126"/>
      <c r="S701" s="126"/>
      <c r="T701" s="126"/>
      <c r="U701" s="126"/>
      <c r="V701" s="126"/>
      <c r="W701" s="126"/>
      <c r="X701" s="126"/>
      <c r="Y701" s="126"/>
      <c r="Z701" s="126"/>
      <c r="AA701" s="126"/>
      <c r="AB701" s="126"/>
    </row>
    <row r="702" spans="1:28" ht="15.75" customHeight="1">
      <c r="A702" s="126"/>
      <c r="B702" s="126"/>
      <c r="C702" s="176"/>
      <c r="D702" s="176"/>
      <c r="E702" s="176"/>
      <c r="F702" s="176"/>
      <c r="G702" s="176"/>
      <c r="H702" s="176"/>
      <c r="I702" s="126"/>
      <c r="J702" s="126"/>
      <c r="K702" s="126"/>
      <c r="L702" s="126"/>
      <c r="M702" s="126"/>
      <c r="N702" s="126"/>
      <c r="O702" s="126"/>
      <c r="P702" s="126"/>
      <c r="Q702" s="126"/>
      <c r="R702" s="126"/>
      <c r="S702" s="126"/>
      <c r="T702" s="126"/>
      <c r="U702" s="126"/>
      <c r="V702" s="126"/>
      <c r="W702" s="126"/>
      <c r="X702" s="126"/>
      <c r="Y702" s="126"/>
      <c r="Z702" s="126"/>
      <c r="AA702" s="126"/>
      <c r="AB702" s="126"/>
    </row>
    <row r="703" spans="1:28" ht="15.75" customHeight="1">
      <c r="A703" s="126"/>
      <c r="B703" s="126"/>
      <c r="C703" s="176"/>
      <c r="D703" s="176"/>
      <c r="E703" s="176"/>
      <c r="F703" s="176"/>
      <c r="G703" s="176"/>
      <c r="H703" s="176"/>
      <c r="I703" s="126"/>
      <c r="J703" s="126"/>
      <c r="K703" s="126"/>
      <c r="L703" s="126"/>
      <c r="M703" s="126"/>
      <c r="N703" s="126"/>
      <c r="O703" s="126"/>
      <c r="P703" s="126"/>
      <c r="Q703" s="126"/>
      <c r="R703" s="126"/>
      <c r="S703" s="126"/>
      <c r="T703" s="126"/>
      <c r="U703" s="126"/>
      <c r="V703" s="126"/>
      <c r="W703" s="126"/>
      <c r="X703" s="126"/>
      <c r="Y703" s="126"/>
      <c r="Z703" s="126"/>
      <c r="AA703" s="126"/>
      <c r="AB703" s="126"/>
    </row>
    <row r="704" spans="1:28" ht="15.75" customHeight="1">
      <c r="A704" s="126"/>
      <c r="B704" s="126"/>
      <c r="C704" s="176"/>
      <c r="D704" s="176"/>
      <c r="E704" s="176"/>
      <c r="F704" s="176"/>
      <c r="G704" s="176"/>
      <c r="H704" s="176"/>
      <c r="I704" s="126"/>
      <c r="J704" s="126"/>
      <c r="K704" s="126"/>
      <c r="L704" s="126"/>
      <c r="M704" s="126"/>
      <c r="N704" s="126"/>
      <c r="O704" s="126"/>
      <c r="P704" s="126"/>
      <c r="Q704" s="126"/>
      <c r="R704" s="126"/>
      <c r="S704" s="126"/>
      <c r="T704" s="126"/>
      <c r="U704" s="126"/>
      <c r="V704" s="126"/>
      <c r="W704" s="126"/>
      <c r="X704" s="126"/>
      <c r="Y704" s="126"/>
      <c r="Z704" s="126"/>
      <c r="AA704" s="126"/>
      <c r="AB704" s="126"/>
    </row>
    <row r="705" spans="1:28" ht="15.75" customHeight="1">
      <c r="A705" s="126"/>
      <c r="B705" s="126"/>
      <c r="C705" s="176"/>
      <c r="D705" s="176"/>
      <c r="E705" s="176"/>
      <c r="F705" s="176"/>
      <c r="G705" s="176"/>
      <c r="H705" s="176"/>
      <c r="I705" s="126"/>
      <c r="J705" s="126"/>
      <c r="K705" s="126"/>
      <c r="L705" s="126"/>
      <c r="M705" s="126"/>
      <c r="N705" s="126"/>
      <c r="O705" s="126"/>
      <c r="P705" s="126"/>
      <c r="Q705" s="126"/>
      <c r="R705" s="126"/>
      <c r="S705" s="126"/>
      <c r="T705" s="126"/>
      <c r="U705" s="126"/>
      <c r="V705" s="126"/>
      <c r="W705" s="126"/>
      <c r="X705" s="126"/>
      <c r="Y705" s="126"/>
      <c r="Z705" s="126"/>
      <c r="AA705" s="126"/>
      <c r="AB705" s="126"/>
    </row>
    <row r="706" spans="1:28" ht="15.75" customHeight="1">
      <c r="A706" s="126"/>
      <c r="B706" s="126"/>
      <c r="C706" s="176"/>
      <c r="D706" s="176"/>
      <c r="E706" s="176"/>
      <c r="F706" s="176"/>
      <c r="G706" s="176"/>
      <c r="H706" s="176"/>
      <c r="I706" s="126"/>
      <c r="J706" s="126"/>
      <c r="K706" s="126"/>
      <c r="L706" s="126"/>
      <c r="M706" s="126"/>
      <c r="N706" s="126"/>
      <c r="O706" s="126"/>
      <c r="P706" s="126"/>
      <c r="Q706" s="126"/>
      <c r="R706" s="126"/>
      <c r="S706" s="126"/>
      <c r="T706" s="126"/>
      <c r="U706" s="126"/>
      <c r="V706" s="126"/>
      <c r="W706" s="126"/>
      <c r="X706" s="126"/>
      <c r="Y706" s="126"/>
      <c r="Z706" s="126"/>
      <c r="AA706" s="126"/>
      <c r="AB706" s="126"/>
    </row>
    <row r="707" spans="1:28" ht="15.75" customHeight="1">
      <c r="A707" s="126"/>
      <c r="B707" s="126"/>
      <c r="C707" s="176"/>
      <c r="D707" s="176"/>
      <c r="E707" s="176"/>
      <c r="F707" s="176"/>
      <c r="G707" s="176"/>
      <c r="H707" s="176"/>
      <c r="I707" s="126"/>
      <c r="J707" s="126"/>
      <c r="K707" s="126"/>
      <c r="L707" s="126"/>
      <c r="M707" s="126"/>
      <c r="N707" s="126"/>
      <c r="O707" s="126"/>
      <c r="P707" s="126"/>
      <c r="Q707" s="126"/>
      <c r="R707" s="126"/>
      <c r="S707" s="126"/>
      <c r="T707" s="126"/>
      <c r="U707" s="126"/>
      <c r="V707" s="126"/>
      <c r="W707" s="126"/>
      <c r="X707" s="126"/>
      <c r="Y707" s="126"/>
      <c r="Z707" s="126"/>
      <c r="AA707" s="126"/>
      <c r="AB707" s="126"/>
    </row>
    <row r="708" spans="1:28" ht="15.75" customHeight="1">
      <c r="A708" s="126"/>
      <c r="B708" s="126"/>
      <c r="C708" s="176"/>
      <c r="D708" s="176"/>
      <c r="E708" s="176"/>
      <c r="F708" s="176"/>
      <c r="G708" s="176"/>
      <c r="H708" s="176"/>
      <c r="I708" s="126"/>
      <c r="J708" s="126"/>
      <c r="K708" s="126"/>
      <c r="L708" s="126"/>
      <c r="M708" s="126"/>
      <c r="N708" s="126"/>
      <c r="O708" s="126"/>
      <c r="P708" s="126"/>
      <c r="Q708" s="126"/>
      <c r="R708" s="126"/>
      <c r="S708" s="126"/>
      <c r="T708" s="126"/>
      <c r="U708" s="126"/>
      <c r="V708" s="126"/>
      <c r="W708" s="126"/>
      <c r="X708" s="126"/>
      <c r="Y708" s="126"/>
      <c r="Z708" s="126"/>
      <c r="AA708" s="126"/>
      <c r="AB708" s="126"/>
    </row>
    <row r="709" spans="1:28" ht="15.75" customHeight="1">
      <c r="A709" s="126"/>
      <c r="B709" s="126"/>
      <c r="C709" s="176"/>
      <c r="D709" s="176"/>
      <c r="E709" s="176"/>
      <c r="F709" s="176"/>
      <c r="G709" s="176"/>
      <c r="H709" s="176"/>
      <c r="I709" s="126"/>
      <c r="J709" s="126"/>
      <c r="K709" s="126"/>
      <c r="L709" s="126"/>
      <c r="M709" s="126"/>
      <c r="N709" s="126"/>
      <c r="O709" s="126"/>
      <c r="P709" s="126"/>
      <c r="Q709" s="126"/>
      <c r="R709" s="126"/>
      <c r="S709" s="126"/>
      <c r="T709" s="126"/>
      <c r="U709" s="126"/>
      <c r="V709" s="126"/>
      <c r="W709" s="126"/>
      <c r="X709" s="126"/>
      <c r="Y709" s="126"/>
      <c r="Z709" s="126"/>
      <c r="AA709" s="126"/>
      <c r="AB709" s="126"/>
    </row>
    <row r="710" spans="1:28" ht="15.75" customHeight="1">
      <c r="A710" s="126"/>
      <c r="B710" s="126"/>
      <c r="C710" s="176"/>
      <c r="D710" s="176"/>
      <c r="E710" s="176"/>
      <c r="F710" s="176"/>
      <c r="G710" s="176"/>
      <c r="H710" s="176"/>
      <c r="I710" s="126"/>
      <c r="J710" s="126"/>
      <c r="K710" s="126"/>
      <c r="L710" s="126"/>
      <c r="M710" s="126"/>
      <c r="N710" s="126"/>
      <c r="O710" s="126"/>
      <c r="P710" s="126"/>
      <c r="Q710" s="126"/>
      <c r="R710" s="126"/>
      <c r="S710" s="126"/>
      <c r="T710" s="126"/>
      <c r="U710" s="126"/>
      <c r="V710" s="126"/>
      <c r="W710" s="126"/>
      <c r="X710" s="126"/>
      <c r="Y710" s="126"/>
      <c r="Z710" s="126"/>
      <c r="AA710" s="126"/>
      <c r="AB710" s="126"/>
    </row>
    <row r="711" spans="1:28" ht="15.75" customHeight="1">
      <c r="A711" s="126"/>
      <c r="B711" s="126"/>
      <c r="C711" s="176"/>
      <c r="D711" s="176"/>
      <c r="E711" s="176"/>
      <c r="F711" s="176"/>
      <c r="G711" s="176"/>
      <c r="H711" s="176"/>
      <c r="I711" s="126"/>
      <c r="J711" s="126"/>
      <c r="K711" s="126"/>
      <c r="L711" s="126"/>
      <c r="M711" s="126"/>
      <c r="N711" s="126"/>
      <c r="O711" s="126"/>
      <c r="P711" s="126"/>
      <c r="Q711" s="126"/>
      <c r="R711" s="126"/>
      <c r="S711" s="126"/>
      <c r="T711" s="126"/>
      <c r="U711" s="126"/>
      <c r="V711" s="126"/>
      <c r="W711" s="126"/>
      <c r="X711" s="126"/>
      <c r="Y711" s="126"/>
      <c r="Z711" s="126"/>
      <c r="AA711" s="126"/>
      <c r="AB711" s="126"/>
    </row>
    <row r="712" spans="1:28" ht="15.75" customHeight="1">
      <c r="A712" s="126"/>
      <c r="B712" s="126"/>
      <c r="C712" s="176"/>
      <c r="D712" s="176"/>
      <c r="E712" s="176"/>
      <c r="F712" s="176"/>
      <c r="G712" s="176"/>
      <c r="H712" s="176"/>
      <c r="I712" s="126"/>
      <c r="J712" s="126"/>
      <c r="K712" s="126"/>
      <c r="L712" s="126"/>
      <c r="M712" s="126"/>
      <c r="N712" s="126"/>
      <c r="O712" s="126"/>
      <c r="P712" s="126"/>
      <c r="Q712" s="126"/>
      <c r="R712" s="126"/>
      <c r="S712" s="126"/>
      <c r="T712" s="126"/>
      <c r="U712" s="126"/>
      <c r="V712" s="126"/>
      <c r="W712" s="126"/>
      <c r="X712" s="126"/>
      <c r="Y712" s="126"/>
      <c r="Z712" s="126"/>
      <c r="AA712" s="126"/>
      <c r="AB712" s="126"/>
    </row>
    <row r="713" spans="1:28" ht="15.75" customHeight="1">
      <c r="A713" s="126"/>
      <c r="B713" s="126"/>
      <c r="C713" s="176"/>
      <c r="D713" s="176"/>
      <c r="E713" s="176"/>
      <c r="F713" s="176"/>
      <c r="G713" s="176"/>
      <c r="H713" s="176"/>
      <c r="I713" s="126"/>
      <c r="J713" s="126"/>
      <c r="K713" s="126"/>
      <c r="L713" s="126"/>
      <c r="M713" s="126"/>
      <c r="N713" s="126"/>
      <c r="O713" s="126"/>
      <c r="P713" s="126"/>
      <c r="Q713" s="126"/>
      <c r="R713" s="126"/>
      <c r="S713" s="126"/>
      <c r="T713" s="126"/>
      <c r="U713" s="126"/>
      <c r="V713" s="126"/>
      <c r="W713" s="126"/>
      <c r="X713" s="126"/>
      <c r="Y713" s="126"/>
      <c r="Z713" s="126"/>
      <c r="AA713" s="126"/>
      <c r="AB713" s="126"/>
    </row>
    <row r="714" spans="1:28" ht="15.75" customHeight="1">
      <c r="A714" s="126"/>
      <c r="B714" s="126"/>
      <c r="C714" s="176"/>
      <c r="D714" s="176"/>
      <c r="E714" s="176"/>
      <c r="F714" s="176"/>
      <c r="G714" s="176"/>
      <c r="H714" s="176"/>
      <c r="I714" s="126"/>
      <c r="J714" s="126"/>
      <c r="K714" s="126"/>
      <c r="L714" s="126"/>
      <c r="M714" s="126"/>
      <c r="N714" s="126"/>
      <c r="O714" s="126"/>
      <c r="P714" s="126"/>
      <c r="Q714" s="126"/>
      <c r="R714" s="126"/>
      <c r="S714" s="126"/>
      <c r="T714" s="126"/>
      <c r="U714" s="126"/>
      <c r="V714" s="126"/>
      <c r="W714" s="126"/>
      <c r="X714" s="126"/>
      <c r="Y714" s="126"/>
      <c r="Z714" s="126"/>
      <c r="AA714" s="126"/>
      <c r="AB714" s="126"/>
    </row>
    <row r="715" spans="1:28" ht="15.75" customHeight="1">
      <c r="A715" s="126"/>
      <c r="B715" s="126"/>
      <c r="C715" s="176"/>
      <c r="D715" s="176"/>
      <c r="E715" s="176"/>
      <c r="F715" s="176"/>
      <c r="G715" s="176"/>
      <c r="H715" s="176"/>
      <c r="I715" s="126"/>
      <c r="J715" s="126"/>
      <c r="K715" s="126"/>
      <c r="L715" s="126"/>
      <c r="M715" s="126"/>
      <c r="N715" s="126"/>
      <c r="O715" s="126"/>
      <c r="P715" s="126"/>
      <c r="Q715" s="126"/>
      <c r="R715" s="126"/>
      <c r="S715" s="126"/>
      <c r="T715" s="126"/>
      <c r="U715" s="126"/>
      <c r="V715" s="126"/>
      <c r="W715" s="126"/>
      <c r="X715" s="126"/>
      <c r="Y715" s="126"/>
      <c r="Z715" s="126"/>
      <c r="AA715" s="126"/>
      <c r="AB715" s="126"/>
    </row>
    <row r="716" spans="1:28" ht="15.75" customHeight="1">
      <c r="A716" s="126"/>
      <c r="B716" s="126"/>
      <c r="C716" s="176"/>
      <c r="D716" s="176"/>
      <c r="E716" s="176"/>
      <c r="F716" s="176"/>
      <c r="G716" s="176"/>
      <c r="H716" s="176"/>
      <c r="I716" s="126"/>
      <c r="J716" s="126"/>
      <c r="K716" s="126"/>
      <c r="L716" s="126"/>
      <c r="M716" s="126"/>
      <c r="N716" s="126"/>
      <c r="O716" s="126"/>
      <c r="P716" s="126"/>
      <c r="Q716" s="126"/>
      <c r="R716" s="126"/>
      <c r="S716" s="126"/>
      <c r="T716" s="126"/>
      <c r="U716" s="126"/>
      <c r="V716" s="126"/>
      <c r="W716" s="126"/>
      <c r="X716" s="126"/>
      <c r="Y716" s="126"/>
      <c r="Z716" s="126"/>
      <c r="AA716" s="126"/>
      <c r="AB716" s="126"/>
    </row>
    <row r="717" spans="1:28" ht="15.75" customHeight="1">
      <c r="A717" s="126"/>
      <c r="B717" s="126"/>
      <c r="C717" s="176"/>
      <c r="D717" s="176"/>
      <c r="E717" s="176"/>
      <c r="F717" s="176"/>
      <c r="G717" s="176"/>
      <c r="H717" s="176"/>
      <c r="I717" s="126"/>
      <c r="J717" s="126"/>
      <c r="K717" s="126"/>
      <c r="L717" s="126"/>
      <c r="M717" s="126"/>
      <c r="N717" s="126"/>
      <c r="O717" s="126"/>
      <c r="P717" s="126"/>
      <c r="Q717" s="126"/>
      <c r="R717" s="126"/>
      <c r="S717" s="126"/>
      <c r="T717" s="126"/>
      <c r="U717" s="126"/>
      <c r="V717" s="126"/>
      <c r="W717" s="126"/>
      <c r="X717" s="126"/>
      <c r="Y717" s="126"/>
      <c r="Z717" s="126"/>
      <c r="AA717" s="126"/>
      <c r="AB717" s="126"/>
    </row>
    <row r="718" spans="1:28" ht="15.75" customHeight="1">
      <c r="A718" s="126"/>
      <c r="B718" s="126"/>
      <c r="C718" s="176"/>
      <c r="D718" s="176"/>
      <c r="E718" s="176"/>
      <c r="F718" s="176"/>
      <c r="G718" s="176"/>
      <c r="H718" s="176"/>
      <c r="I718" s="126"/>
      <c r="J718" s="126"/>
      <c r="K718" s="126"/>
      <c r="L718" s="126"/>
      <c r="M718" s="126"/>
      <c r="N718" s="126"/>
      <c r="O718" s="126"/>
      <c r="P718" s="126"/>
      <c r="Q718" s="126"/>
      <c r="R718" s="126"/>
      <c r="S718" s="126"/>
      <c r="T718" s="126"/>
      <c r="U718" s="126"/>
      <c r="V718" s="126"/>
      <c r="W718" s="126"/>
      <c r="X718" s="126"/>
      <c r="Y718" s="126"/>
      <c r="Z718" s="126"/>
      <c r="AA718" s="126"/>
      <c r="AB718" s="126"/>
    </row>
    <row r="719" spans="1:28" ht="15.75" customHeight="1">
      <c r="A719" s="126"/>
      <c r="B719" s="126"/>
      <c r="C719" s="176"/>
      <c r="D719" s="176"/>
      <c r="E719" s="176"/>
      <c r="F719" s="176"/>
      <c r="G719" s="176"/>
      <c r="H719" s="176"/>
      <c r="I719" s="126"/>
      <c r="J719" s="126"/>
      <c r="K719" s="126"/>
      <c r="L719" s="126"/>
      <c r="M719" s="126"/>
      <c r="N719" s="126"/>
      <c r="O719" s="126"/>
      <c r="P719" s="126"/>
      <c r="Q719" s="126"/>
      <c r="R719" s="126"/>
      <c r="S719" s="126"/>
      <c r="T719" s="126"/>
      <c r="U719" s="126"/>
      <c r="V719" s="126"/>
      <c r="W719" s="126"/>
      <c r="X719" s="126"/>
      <c r="Y719" s="126"/>
      <c r="Z719" s="126"/>
      <c r="AA719" s="126"/>
      <c r="AB719" s="126"/>
    </row>
    <row r="720" spans="1:28" ht="15.75" customHeight="1">
      <c r="A720" s="126"/>
      <c r="B720" s="126"/>
      <c r="C720" s="176"/>
      <c r="D720" s="176"/>
      <c r="E720" s="176"/>
      <c r="F720" s="176"/>
      <c r="G720" s="176"/>
      <c r="H720" s="176"/>
      <c r="I720" s="126"/>
      <c r="J720" s="126"/>
      <c r="K720" s="126"/>
      <c r="L720" s="126"/>
      <c r="M720" s="126"/>
      <c r="N720" s="126"/>
      <c r="O720" s="126"/>
      <c r="P720" s="126"/>
      <c r="Q720" s="126"/>
      <c r="R720" s="126"/>
      <c r="S720" s="126"/>
      <c r="T720" s="126"/>
      <c r="U720" s="126"/>
      <c r="V720" s="126"/>
      <c r="W720" s="126"/>
      <c r="X720" s="126"/>
      <c r="Y720" s="126"/>
      <c r="Z720" s="126"/>
      <c r="AA720" s="126"/>
      <c r="AB720" s="126"/>
    </row>
    <row r="721" spans="1:28" ht="15.75" customHeight="1">
      <c r="A721" s="126"/>
      <c r="B721" s="126"/>
      <c r="C721" s="176"/>
      <c r="D721" s="176"/>
      <c r="E721" s="176"/>
      <c r="F721" s="176"/>
      <c r="G721" s="176"/>
      <c r="H721" s="176"/>
      <c r="I721" s="126"/>
      <c r="J721" s="126"/>
      <c r="K721" s="126"/>
      <c r="L721" s="126"/>
      <c r="M721" s="126"/>
      <c r="N721" s="126"/>
      <c r="O721" s="126"/>
      <c r="P721" s="126"/>
      <c r="Q721" s="126"/>
      <c r="R721" s="126"/>
      <c r="S721" s="126"/>
      <c r="T721" s="126"/>
      <c r="U721" s="126"/>
      <c r="V721" s="126"/>
      <c r="W721" s="126"/>
      <c r="X721" s="126"/>
      <c r="Y721" s="126"/>
      <c r="Z721" s="126"/>
      <c r="AA721" s="126"/>
      <c r="AB721" s="126"/>
    </row>
    <row r="722" spans="1:28" ht="15.75" customHeight="1">
      <c r="A722" s="126"/>
      <c r="B722" s="126"/>
      <c r="C722" s="176"/>
      <c r="D722" s="176"/>
      <c r="E722" s="176"/>
      <c r="F722" s="176"/>
      <c r="G722" s="176"/>
      <c r="H722" s="176"/>
      <c r="I722" s="126"/>
      <c r="J722" s="126"/>
      <c r="K722" s="126"/>
      <c r="L722" s="126"/>
      <c r="M722" s="126"/>
      <c r="N722" s="126"/>
      <c r="O722" s="126"/>
      <c r="P722" s="126"/>
      <c r="Q722" s="126"/>
      <c r="R722" s="126"/>
      <c r="S722" s="126"/>
      <c r="T722" s="126"/>
      <c r="U722" s="126"/>
      <c r="V722" s="126"/>
      <c r="W722" s="126"/>
      <c r="X722" s="126"/>
      <c r="Y722" s="126"/>
      <c r="Z722" s="126"/>
      <c r="AA722" s="126"/>
      <c r="AB722" s="126"/>
    </row>
    <row r="723" spans="1:28" ht="15.75" customHeight="1">
      <c r="A723" s="126"/>
      <c r="B723" s="126"/>
      <c r="C723" s="176"/>
      <c r="D723" s="176"/>
      <c r="E723" s="176"/>
      <c r="F723" s="176"/>
      <c r="G723" s="176"/>
      <c r="H723" s="176"/>
      <c r="I723" s="126"/>
      <c r="J723" s="126"/>
      <c r="K723" s="126"/>
      <c r="L723" s="126"/>
      <c r="M723" s="126"/>
      <c r="N723" s="126"/>
      <c r="O723" s="126"/>
      <c r="P723" s="126"/>
      <c r="Q723" s="126"/>
      <c r="R723" s="126"/>
      <c r="S723" s="126"/>
      <c r="T723" s="126"/>
      <c r="U723" s="126"/>
      <c r="V723" s="126"/>
      <c r="W723" s="126"/>
      <c r="X723" s="126"/>
      <c r="Y723" s="126"/>
      <c r="Z723" s="126"/>
      <c r="AA723" s="126"/>
      <c r="AB723" s="126"/>
    </row>
    <row r="724" spans="1:28" ht="15.75" customHeight="1">
      <c r="A724" s="126"/>
      <c r="B724" s="126"/>
      <c r="C724" s="176"/>
      <c r="D724" s="176"/>
      <c r="E724" s="176"/>
      <c r="F724" s="176"/>
      <c r="G724" s="176"/>
      <c r="H724" s="176"/>
      <c r="I724" s="126"/>
      <c r="J724" s="126"/>
      <c r="K724" s="126"/>
      <c r="L724" s="126"/>
      <c r="M724" s="126"/>
      <c r="N724" s="126"/>
      <c r="O724" s="126"/>
      <c r="P724" s="126"/>
      <c r="Q724" s="126"/>
      <c r="R724" s="126"/>
      <c r="S724" s="126"/>
      <c r="T724" s="126"/>
      <c r="U724" s="126"/>
      <c r="V724" s="126"/>
      <c r="W724" s="126"/>
      <c r="X724" s="126"/>
      <c r="Y724" s="126"/>
      <c r="Z724" s="126"/>
      <c r="AA724" s="126"/>
      <c r="AB724" s="126"/>
    </row>
    <row r="725" spans="1:28" ht="15.75" customHeight="1">
      <c r="A725" s="126"/>
      <c r="B725" s="126"/>
      <c r="C725" s="176"/>
      <c r="D725" s="176"/>
      <c r="E725" s="176"/>
      <c r="F725" s="176"/>
      <c r="G725" s="176"/>
      <c r="H725" s="176"/>
      <c r="I725" s="126"/>
      <c r="J725" s="126"/>
      <c r="K725" s="126"/>
      <c r="L725" s="126"/>
      <c r="M725" s="126"/>
      <c r="N725" s="126"/>
      <c r="O725" s="126"/>
      <c r="P725" s="126"/>
      <c r="Q725" s="126"/>
      <c r="R725" s="126"/>
      <c r="S725" s="126"/>
      <c r="T725" s="126"/>
      <c r="U725" s="126"/>
      <c r="V725" s="126"/>
      <c r="W725" s="126"/>
      <c r="X725" s="126"/>
      <c r="Y725" s="126"/>
      <c r="Z725" s="126"/>
      <c r="AA725" s="126"/>
      <c r="AB725" s="126"/>
    </row>
    <row r="726" spans="1:28" ht="15.75" customHeight="1">
      <c r="A726" s="126"/>
      <c r="B726" s="126"/>
      <c r="C726" s="176"/>
      <c r="D726" s="176"/>
      <c r="E726" s="176"/>
      <c r="F726" s="176"/>
      <c r="G726" s="176"/>
      <c r="H726" s="176"/>
      <c r="I726" s="126"/>
      <c r="J726" s="126"/>
      <c r="K726" s="126"/>
      <c r="L726" s="126"/>
      <c r="M726" s="126"/>
      <c r="N726" s="126"/>
      <c r="O726" s="126"/>
      <c r="P726" s="126"/>
      <c r="Q726" s="126"/>
      <c r="R726" s="126"/>
      <c r="S726" s="126"/>
      <c r="T726" s="126"/>
      <c r="U726" s="126"/>
      <c r="V726" s="126"/>
      <c r="W726" s="126"/>
      <c r="X726" s="126"/>
      <c r="Y726" s="126"/>
      <c r="Z726" s="126"/>
      <c r="AA726" s="126"/>
      <c r="AB726" s="126"/>
    </row>
    <row r="727" spans="1:28" ht="15.75" customHeight="1">
      <c r="A727" s="126"/>
      <c r="B727" s="126"/>
      <c r="C727" s="176"/>
      <c r="D727" s="176"/>
      <c r="E727" s="176"/>
      <c r="F727" s="176"/>
      <c r="G727" s="176"/>
      <c r="H727" s="176"/>
      <c r="I727" s="126"/>
      <c r="J727" s="126"/>
      <c r="K727" s="126"/>
      <c r="L727" s="126"/>
      <c r="M727" s="126"/>
      <c r="N727" s="126"/>
      <c r="O727" s="126"/>
      <c r="P727" s="126"/>
      <c r="Q727" s="126"/>
      <c r="R727" s="126"/>
      <c r="S727" s="126"/>
      <c r="T727" s="126"/>
      <c r="U727" s="126"/>
      <c r="V727" s="126"/>
      <c r="W727" s="126"/>
      <c r="X727" s="126"/>
      <c r="Y727" s="126"/>
      <c r="Z727" s="126"/>
      <c r="AA727" s="126"/>
      <c r="AB727" s="126"/>
    </row>
    <row r="728" spans="1:28" ht="15.75" customHeight="1">
      <c r="A728" s="126"/>
      <c r="B728" s="126"/>
      <c r="C728" s="176"/>
      <c r="D728" s="176"/>
      <c r="E728" s="176"/>
      <c r="F728" s="176"/>
      <c r="G728" s="176"/>
      <c r="H728" s="176"/>
      <c r="I728" s="126"/>
      <c r="J728" s="126"/>
      <c r="K728" s="126"/>
      <c r="L728" s="126"/>
      <c r="M728" s="126"/>
      <c r="N728" s="126"/>
      <c r="O728" s="126"/>
      <c r="P728" s="126"/>
      <c r="Q728" s="126"/>
      <c r="R728" s="126"/>
      <c r="S728" s="126"/>
      <c r="T728" s="126"/>
      <c r="U728" s="126"/>
      <c r="V728" s="126"/>
      <c r="W728" s="126"/>
      <c r="X728" s="126"/>
      <c r="Y728" s="126"/>
      <c r="Z728" s="126"/>
      <c r="AA728" s="126"/>
      <c r="AB728" s="126"/>
    </row>
    <row r="729" spans="1:28" ht="15.75" customHeight="1">
      <c r="A729" s="126"/>
      <c r="B729" s="126"/>
      <c r="C729" s="176"/>
      <c r="D729" s="176"/>
      <c r="E729" s="176"/>
      <c r="F729" s="176"/>
      <c r="G729" s="176"/>
      <c r="H729" s="176"/>
      <c r="I729" s="126"/>
      <c r="J729" s="126"/>
      <c r="K729" s="126"/>
      <c r="L729" s="126"/>
      <c r="M729" s="126"/>
      <c r="N729" s="126"/>
      <c r="O729" s="126"/>
      <c r="P729" s="126"/>
      <c r="Q729" s="126"/>
      <c r="R729" s="126"/>
      <c r="S729" s="126"/>
      <c r="T729" s="126"/>
      <c r="U729" s="126"/>
      <c r="V729" s="126"/>
      <c r="W729" s="126"/>
      <c r="X729" s="126"/>
      <c r="Y729" s="126"/>
      <c r="Z729" s="126"/>
      <c r="AA729" s="126"/>
      <c r="AB729" s="126"/>
    </row>
    <row r="730" spans="1:28" ht="15.75" customHeight="1">
      <c r="A730" s="126"/>
      <c r="B730" s="126"/>
      <c r="C730" s="176"/>
      <c r="D730" s="176"/>
      <c r="E730" s="176"/>
      <c r="F730" s="176"/>
      <c r="G730" s="176"/>
      <c r="H730" s="176"/>
      <c r="I730" s="126"/>
      <c r="J730" s="126"/>
      <c r="K730" s="126"/>
      <c r="L730" s="126"/>
      <c r="M730" s="126"/>
      <c r="N730" s="126"/>
      <c r="O730" s="126"/>
      <c r="P730" s="126"/>
      <c r="Q730" s="126"/>
      <c r="R730" s="126"/>
      <c r="S730" s="126"/>
      <c r="T730" s="126"/>
      <c r="U730" s="126"/>
      <c r="V730" s="126"/>
      <c r="W730" s="126"/>
      <c r="X730" s="126"/>
      <c r="Y730" s="126"/>
      <c r="Z730" s="126"/>
      <c r="AA730" s="126"/>
      <c r="AB730" s="126"/>
    </row>
    <row r="731" spans="1:28" ht="15.75" customHeight="1">
      <c r="A731" s="126"/>
      <c r="B731" s="126"/>
      <c r="C731" s="176"/>
      <c r="D731" s="176"/>
      <c r="E731" s="176"/>
      <c r="F731" s="176"/>
      <c r="G731" s="176"/>
      <c r="H731" s="176"/>
      <c r="I731" s="126"/>
      <c r="J731" s="126"/>
      <c r="K731" s="126"/>
      <c r="L731" s="126"/>
      <c r="M731" s="126"/>
      <c r="N731" s="126"/>
      <c r="O731" s="126"/>
      <c r="P731" s="126"/>
      <c r="Q731" s="126"/>
      <c r="R731" s="126"/>
      <c r="S731" s="126"/>
      <c r="T731" s="126"/>
      <c r="U731" s="126"/>
      <c r="V731" s="126"/>
      <c r="W731" s="126"/>
      <c r="X731" s="126"/>
      <c r="Y731" s="126"/>
      <c r="Z731" s="126"/>
      <c r="AA731" s="126"/>
      <c r="AB731" s="126"/>
    </row>
    <row r="732" spans="1:28" ht="15.75" customHeight="1">
      <c r="A732" s="126"/>
      <c r="B732" s="126"/>
      <c r="C732" s="176"/>
      <c r="D732" s="176"/>
      <c r="E732" s="176"/>
      <c r="F732" s="176"/>
      <c r="G732" s="176"/>
      <c r="H732" s="176"/>
      <c r="I732" s="126"/>
      <c r="J732" s="126"/>
      <c r="K732" s="126"/>
      <c r="L732" s="126"/>
      <c r="M732" s="126"/>
      <c r="N732" s="126"/>
      <c r="O732" s="126"/>
      <c r="P732" s="126"/>
      <c r="Q732" s="126"/>
      <c r="R732" s="126"/>
      <c r="S732" s="126"/>
      <c r="T732" s="126"/>
      <c r="U732" s="126"/>
      <c r="V732" s="126"/>
      <c r="W732" s="126"/>
      <c r="X732" s="126"/>
      <c r="Y732" s="126"/>
      <c r="Z732" s="126"/>
      <c r="AA732" s="126"/>
      <c r="AB732" s="126"/>
    </row>
    <row r="733" spans="1:28" ht="15.75" customHeight="1">
      <c r="A733" s="126"/>
      <c r="B733" s="126"/>
      <c r="C733" s="176"/>
      <c r="D733" s="176"/>
      <c r="E733" s="176"/>
      <c r="F733" s="176"/>
      <c r="G733" s="176"/>
      <c r="H733" s="176"/>
      <c r="I733" s="126"/>
      <c r="J733" s="126"/>
      <c r="K733" s="126"/>
      <c r="L733" s="126"/>
      <c r="M733" s="126"/>
      <c r="N733" s="126"/>
      <c r="O733" s="126"/>
      <c r="P733" s="126"/>
      <c r="Q733" s="126"/>
      <c r="R733" s="126"/>
      <c r="S733" s="126"/>
      <c r="T733" s="126"/>
      <c r="U733" s="126"/>
      <c r="V733" s="126"/>
      <c r="W733" s="126"/>
      <c r="X733" s="126"/>
      <c r="Y733" s="126"/>
      <c r="Z733" s="126"/>
      <c r="AA733" s="126"/>
      <c r="AB733" s="126"/>
    </row>
    <row r="734" spans="1:28" ht="15.75" customHeight="1">
      <c r="A734" s="126"/>
      <c r="B734" s="126"/>
      <c r="C734" s="176"/>
      <c r="D734" s="176"/>
      <c r="E734" s="176"/>
      <c r="F734" s="176"/>
      <c r="G734" s="176"/>
      <c r="H734" s="176"/>
      <c r="I734" s="126"/>
      <c r="J734" s="126"/>
      <c r="K734" s="126"/>
      <c r="L734" s="126"/>
      <c r="M734" s="126"/>
      <c r="N734" s="126"/>
      <c r="O734" s="126"/>
      <c r="P734" s="126"/>
      <c r="Q734" s="126"/>
      <c r="R734" s="126"/>
      <c r="S734" s="126"/>
      <c r="T734" s="126"/>
      <c r="U734" s="126"/>
      <c r="V734" s="126"/>
      <c r="W734" s="126"/>
      <c r="X734" s="126"/>
      <c r="Y734" s="126"/>
      <c r="Z734" s="126"/>
      <c r="AA734" s="126"/>
      <c r="AB734" s="126"/>
    </row>
    <row r="735" spans="1:28" ht="15.75" customHeight="1">
      <c r="A735" s="126"/>
      <c r="B735" s="126"/>
      <c r="C735" s="176"/>
      <c r="D735" s="176"/>
      <c r="E735" s="176"/>
      <c r="F735" s="176"/>
      <c r="G735" s="176"/>
      <c r="H735" s="176"/>
      <c r="I735" s="126"/>
      <c r="J735" s="126"/>
      <c r="K735" s="126"/>
      <c r="L735" s="126"/>
      <c r="M735" s="126"/>
      <c r="N735" s="126"/>
      <c r="O735" s="126"/>
      <c r="P735" s="126"/>
      <c r="Q735" s="126"/>
      <c r="R735" s="126"/>
      <c r="S735" s="126"/>
      <c r="T735" s="126"/>
      <c r="U735" s="126"/>
      <c r="V735" s="126"/>
      <c r="W735" s="126"/>
      <c r="X735" s="126"/>
      <c r="Y735" s="126"/>
      <c r="Z735" s="126"/>
      <c r="AA735" s="126"/>
      <c r="AB735" s="126"/>
    </row>
    <row r="736" spans="1:28" ht="15.75" customHeight="1">
      <c r="A736" s="126"/>
      <c r="B736" s="126"/>
      <c r="C736" s="176"/>
      <c r="D736" s="176"/>
      <c r="E736" s="176"/>
      <c r="F736" s="176"/>
      <c r="G736" s="176"/>
      <c r="H736" s="176"/>
      <c r="I736" s="126"/>
      <c r="J736" s="126"/>
      <c r="K736" s="126"/>
      <c r="L736" s="126"/>
      <c r="M736" s="126"/>
      <c r="N736" s="126"/>
      <c r="O736" s="126"/>
      <c r="P736" s="126"/>
      <c r="Q736" s="126"/>
      <c r="R736" s="126"/>
      <c r="S736" s="126"/>
      <c r="T736" s="126"/>
      <c r="U736" s="126"/>
      <c r="V736" s="126"/>
      <c r="W736" s="126"/>
      <c r="X736" s="126"/>
      <c r="Y736" s="126"/>
      <c r="Z736" s="126"/>
      <c r="AA736" s="126"/>
      <c r="AB736" s="126"/>
    </row>
    <row r="737" spans="1:28" ht="15.75" customHeight="1">
      <c r="A737" s="126"/>
      <c r="B737" s="126"/>
      <c r="C737" s="176"/>
      <c r="D737" s="176"/>
      <c r="E737" s="176"/>
      <c r="F737" s="176"/>
      <c r="G737" s="176"/>
      <c r="H737" s="176"/>
      <c r="I737" s="126"/>
      <c r="J737" s="126"/>
      <c r="K737" s="126"/>
      <c r="L737" s="126"/>
      <c r="M737" s="126"/>
      <c r="N737" s="126"/>
      <c r="O737" s="126"/>
      <c r="P737" s="126"/>
      <c r="Q737" s="126"/>
      <c r="R737" s="126"/>
      <c r="S737" s="126"/>
      <c r="T737" s="126"/>
      <c r="U737" s="126"/>
      <c r="V737" s="126"/>
      <c r="W737" s="126"/>
      <c r="X737" s="126"/>
      <c r="Y737" s="126"/>
      <c r="Z737" s="126"/>
      <c r="AA737" s="126"/>
      <c r="AB737" s="126"/>
    </row>
    <row r="738" spans="1:28" ht="15.75" customHeight="1">
      <c r="A738" s="126"/>
      <c r="B738" s="126"/>
      <c r="C738" s="176"/>
      <c r="D738" s="176"/>
      <c r="E738" s="176"/>
      <c r="F738" s="176"/>
      <c r="G738" s="176"/>
      <c r="H738" s="176"/>
      <c r="I738" s="126"/>
      <c r="J738" s="126"/>
      <c r="K738" s="126"/>
      <c r="L738" s="126"/>
      <c r="M738" s="126"/>
      <c r="N738" s="126"/>
      <c r="O738" s="126"/>
      <c r="P738" s="126"/>
      <c r="Q738" s="126"/>
      <c r="R738" s="126"/>
      <c r="S738" s="126"/>
      <c r="T738" s="126"/>
      <c r="U738" s="126"/>
      <c r="V738" s="126"/>
      <c r="W738" s="126"/>
      <c r="X738" s="126"/>
      <c r="Y738" s="126"/>
      <c r="Z738" s="126"/>
      <c r="AA738" s="126"/>
      <c r="AB738" s="126"/>
    </row>
    <row r="739" spans="1:28" ht="15.75" customHeight="1">
      <c r="A739" s="126"/>
      <c r="B739" s="126"/>
      <c r="C739" s="176"/>
      <c r="D739" s="176"/>
      <c r="E739" s="176"/>
      <c r="F739" s="176"/>
      <c r="G739" s="176"/>
      <c r="H739" s="176"/>
      <c r="I739" s="126"/>
      <c r="J739" s="126"/>
      <c r="K739" s="126"/>
      <c r="L739" s="126"/>
      <c r="M739" s="126"/>
      <c r="N739" s="126"/>
      <c r="O739" s="126"/>
      <c r="P739" s="126"/>
      <c r="Q739" s="126"/>
      <c r="R739" s="126"/>
      <c r="S739" s="126"/>
      <c r="T739" s="126"/>
      <c r="U739" s="126"/>
      <c r="V739" s="126"/>
      <c r="W739" s="126"/>
      <c r="X739" s="126"/>
      <c r="Y739" s="126"/>
      <c r="Z739" s="126"/>
      <c r="AA739" s="126"/>
      <c r="AB739" s="126"/>
    </row>
    <row r="740" spans="1:28" ht="15.75" customHeight="1">
      <c r="A740" s="126"/>
      <c r="B740" s="126"/>
      <c r="C740" s="176"/>
      <c r="D740" s="176"/>
      <c r="E740" s="176"/>
      <c r="F740" s="176"/>
      <c r="G740" s="176"/>
      <c r="H740" s="176"/>
      <c r="I740" s="126"/>
      <c r="J740" s="126"/>
      <c r="K740" s="126"/>
      <c r="L740" s="126"/>
      <c r="M740" s="126"/>
      <c r="N740" s="126"/>
      <c r="O740" s="126"/>
      <c r="P740" s="126"/>
      <c r="Q740" s="126"/>
      <c r="R740" s="126"/>
      <c r="S740" s="126"/>
      <c r="T740" s="126"/>
      <c r="U740" s="126"/>
      <c r="V740" s="126"/>
      <c r="W740" s="126"/>
      <c r="X740" s="126"/>
      <c r="Y740" s="126"/>
      <c r="Z740" s="126"/>
      <c r="AA740" s="126"/>
      <c r="AB740" s="126"/>
    </row>
    <row r="741" spans="1:28" ht="15.75" customHeight="1">
      <c r="A741" s="126"/>
      <c r="B741" s="126"/>
      <c r="C741" s="176"/>
      <c r="D741" s="176"/>
      <c r="E741" s="176"/>
      <c r="F741" s="176"/>
      <c r="G741" s="176"/>
      <c r="H741" s="176"/>
      <c r="I741" s="126"/>
      <c r="J741" s="126"/>
      <c r="K741" s="126"/>
      <c r="L741" s="126"/>
      <c r="M741" s="126"/>
      <c r="N741" s="126"/>
      <c r="O741" s="126"/>
      <c r="P741" s="126"/>
      <c r="Q741" s="126"/>
      <c r="R741" s="126"/>
      <c r="S741" s="126"/>
      <c r="T741" s="126"/>
      <c r="U741" s="126"/>
      <c r="V741" s="126"/>
      <c r="W741" s="126"/>
      <c r="X741" s="126"/>
      <c r="Y741" s="126"/>
      <c r="Z741" s="126"/>
      <c r="AA741" s="126"/>
      <c r="AB741" s="126"/>
    </row>
    <row r="742" spans="1:28" ht="15.75" customHeight="1">
      <c r="A742" s="126"/>
      <c r="B742" s="126"/>
      <c r="C742" s="176"/>
      <c r="D742" s="176"/>
      <c r="E742" s="176"/>
      <c r="F742" s="176"/>
      <c r="G742" s="176"/>
      <c r="H742" s="176"/>
      <c r="I742" s="126"/>
      <c r="J742" s="126"/>
      <c r="K742" s="126"/>
      <c r="L742" s="126"/>
      <c r="M742" s="126"/>
      <c r="N742" s="126"/>
      <c r="O742" s="126"/>
      <c r="P742" s="126"/>
      <c r="Q742" s="126"/>
      <c r="R742" s="126"/>
      <c r="S742" s="126"/>
      <c r="T742" s="126"/>
      <c r="U742" s="126"/>
      <c r="V742" s="126"/>
      <c r="W742" s="126"/>
      <c r="X742" s="126"/>
      <c r="Y742" s="126"/>
      <c r="Z742" s="126"/>
      <c r="AA742" s="126"/>
      <c r="AB742" s="126"/>
    </row>
    <row r="743" spans="1:28" ht="15.75" customHeight="1">
      <c r="A743" s="126"/>
      <c r="B743" s="126"/>
      <c r="C743" s="176"/>
      <c r="D743" s="176"/>
      <c r="E743" s="176"/>
      <c r="F743" s="176"/>
      <c r="G743" s="176"/>
      <c r="H743" s="176"/>
      <c r="I743" s="126"/>
      <c r="J743" s="126"/>
      <c r="K743" s="126"/>
      <c r="L743" s="126"/>
      <c r="M743" s="126"/>
      <c r="N743" s="126"/>
      <c r="O743" s="126"/>
      <c r="P743" s="126"/>
      <c r="Q743" s="126"/>
      <c r="R743" s="126"/>
      <c r="S743" s="126"/>
      <c r="T743" s="126"/>
      <c r="U743" s="126"/>
      <c r="V743" s="126"/>
      <c r="W743" s="126"/>
      <c r="X743" s="126"/>
      <c r="Y743" s="126"/>
      <c r="Z743" s="126"/>
      <c r="AA743" s="126"/>
      <c r="AB743" s="126"/>
    </row>
    <row r="744" spans="1:28" ht="15.75" customHeight="1">
      <c r="A744" s="126"/>
      <c r="B744" s="126"/>
      <c r="C744" s="176"/>
      <c r="D744" s="176"/>
      <c r="E744" s="176"/>
      <c r="F744" s="176"/>
      <c r="G744" s="176"/>
      <c r="H744" s="176"/>
      <c r="I744" s="126"/>
      <c r="J744" s="126"/>
      <c r="K744" s="126"/>
      <c r="L744" s="126"/>
      <c r="M744" s="126"/>
      <c r="N744" s="126"/>
      <c r="O744" s="126"/>
      <c r="P744" s="126"/>
      <c r="Q744" s="126"/>
      <c r="R744" s="126"/>
      <c r="S744" s="126"/>
      <c r="T744" s="126"/>
      <c r="U744" s="126"/>
      <c r="V744" s="126"/>
      <c r="W744" s="126"/>
      <c r="X744" s="126"/>
      <c r="Y744" s="126"/>
      <c r="Z744" s="126"/>
      <c r="AA744" s="126"/>
      <c r="AB744" s="126"/>
    </row>
    <row r="745" spans="1:28" ht="15.75" customHeight="1">
      <c r="A745" s="126"/>
      <c r="B745" s="126"/>
      <c r="C745" s="176"/>
      <c r="D745" s="176"/>
      <c r="E745" s="176"/>
      <c r="F745" s="176"/>
      <c r="G745" s="176"/>
      <c r="H745" s="176"/>
      <c r="I745" s="126"/>
      <c r="J745" s="126"/>
      <c r="K745" s="126"/>
      <c r="L745" s="126"/>
      <c r="M745" s="126"/>
      <c r="N745" s="126"/>
      <c r="O745" s="126"/>
      <c r="P745" s="126"/>
      <c r="Q745" s="126"/>
      <c r="R745" s="126"/>
      <c r="S745" s="126"/>
      <c r="T745" s="126"/>
      <c r="U745" s="126"/>
      <c r="V745" s="126"/>
      <c r="W745" s="126"/>
      <c r="X745" s="126"/>
      <c r="Y745" s="126"/>
      <c r="Z745" s="126"/>
      <c r="AA745" s="126"/>
      <c r="AB745" s="126"/>
    </row>
    <row r="746" spans="1:28" ht="15.75" customHeight="1">
      <c r="A746" s="126"/>
      <c r="B746" s="126"/>
      <c r="C746" s="176"/>
      <c r="D746" s="176"/>
      <c r="E746" s="176"/>
      <c r="F746" s="176"/>
      <c r="G746" s="176"/>
      <c r="H746" s="176"/>
      <c r="I746" s="126"/>
      <c r="J746" s="126"/>
      <c r="K746" s="126"/>
      <c r="L746" s="126"/>
      <c r="M746" s="126"/>
      <c r="N746" s="126"/>
      <c r="O746" s="126"/>
      <c r="P746" s="126"/>
      <c r="Q746" s="126"/>
      <c r="R746" s="126"/>
      <c r="S746" s="126"/>
      <c r="T746" s="126"/>
      <c r="U746" s="126"/>
      <c r="V746" s="126"/>
      <c r="W746" s="126"/>
      <c r="X746" s="126"/>
      <c r="Y746" s="126"/>
      <c r="Z746" s="126"/>
      <c r="AA746" s="126"/>
      <c r="AB746" s="126"/>
    </row>
    <row r="747" spans="1:28" ht="15.75" customHeight="1">
      <c r="A747" s="126"/>
      <c r="B747" s="126"/>
      <c r="C747" s="176"/>
      <c r="D747" s="176"/>
      <c r="E747" s="176"/>
      <c r="F747" s="176"/>
      <c r="G747" s="176"/>
      <c r="H747" s="176"/>
      <c r="I747" s="126"/>
      <c r="J747" s="126"/>
      <c r="K747" s="126"/>
      <c r="L747" s="126"/>
      <c r="M747" s="126"/>
      <c r="N747" s="126"/>
      <c r="O747" s="126"/>
      <c r="P747" s="126"/>
      <c r="Q747" s="126"/>
      <c r="R747" s="126"/>
      <c r="S747" s="126"/>
      <c r="T747" s="126"/>
      <c r="U747" s="126"/>
      <c r="V747" s="126"/>
      <c r="W747" s="126"/>
      <c r="X747" s="126"/>
      <c r="Y747" s="126"/>
      <c r="Z747" s="126"/>
      <c r="AA747" s="126"/>
      <c r="AB747" s="126"/>
    </row>
    <row r="748" spans="1:28" ht="15.75" customHeight="1">
      <c r="A748" s="126"/>
      <c r="B748" s="126"/>
      <c r="C748" s="176"/>
      <c r="D748" s="176"/>
      <c r="E748" s="176"/>
      <c r="F748" s="176"/>
      <c r="G748" s="176"/>
      <c r="H748" s="176"/>
      <c r="I748" s="126"/>
      <c r="J748" s="126"/>
      <c r="K748" s="126"/>
      <c r="L748" s="126"/>
      <c r="M748" s="126"/>
      <c r="N748" s="126"/>
      <c r="O748" s="126"/>
      <c r="P748" s="126"/>
      <c r="Q748" s="126"/>
      <c r="R748" s="126"/>
      <c r="S748" s="126"/>
      <c r="T748" s="126"/>
      <c r="U748" s="126"/>
      <c r="V748" s="126"/>
      <c r="W748" s="126"/>
      <c r="X748" s="126"/>
      <c r="Y748" s="126"/>
      <c r="Z748" s="126"/>
      <c r="AA748" s="126"/>
      <c r="AB748" s="126"/>
    </row>
    <row r="749" spans="1:28" ht="15.75" customHeight="1">
      <c r="A749" s="126"/>
      <c r="B749" s="126"/>
      <c r="C749" s="176"/>
      <c r="D749" s="176"/>
      <c r="E749" s="176"/>
      <c r="F749" s="176"/>
      <c r="G749" s="176"/>
      <c r="H749" s="176"/>
      <c r="I749" s="126"/>
      <c r="J749" s="126"/>
      <c r="K749" s="126"/>
      <c r="L749" s="126"/>
      <c r="M749" s="126"/>
      <c r="N749" s="126"/>
      <c r="O749" s="126"/>
      <c r="P749" s="126"/>
      <c r="Q749" s="126"/>
      <c r="R749" s="126"/>
      <c r="S749" s="126"/>
      <c r="T749" s="126"/>
      <c r="U749" s="126"/>
      <c r="V749" s="126"/>
      <c r="W749" s="126"/>
      <c r="X749" s="126"/>
      <c r="Y749" s="126"/>
      <c r="Z749" s="126"/>
      <c r="AA749" s="126"/>
      <c r="AB749" s="126"/>
    </row>
    <row r="750" spans="1:28" ht="15.75" customHeight="1">
      <c r="A750" s="126"/>
      <c r="B750" s="126"/>
      <c r="C750" s="176"/>
      <c r="D750" s="176"/>
      <c r="E750" s="176"/>
      <c r="F750" s="176"/>
      <c r="G750" s="176"/>
      <c r="H750" s="176"/>
      <c r="I750" s="126"/>
      <c r="J750" s="126"/>
      <c r="K750" s="126"/>
      <c r="L750" s="126"/>
      <c r="M750" s="126"/>
      <c r="N750" s="126"/>
      <c r="O750" s="126"/>
      <c r="P750" s="126"/>
      <c r="Q750" s="126"/>
      <c r="R750" s="126"/>
      <c r="S750" s="126"/>
      <c r="T750" s="126"/>
      <c r="U750" s="126"/>
      <c r="V750" s="126"/>
      <c r="W750" s="126"/>
      <c r="X750" s="126"/>
      <c r="Y750" s="126"/>
      <c r="Z750" s="126"/>
      <c r="AA750" s="126"/>
      <c r="AB750" s="126"/>
    </row>
    <row r="751" spans="1:28" ht="15.75" customHeight="1">
      <c r="A751" s="126"/>
      <c r="B751" s="126"/>
      <c r="C751" s="176"/>
      <c r="D751" s="176"/>
      <c r="E751" s="176"/>
      <c r="F751" s="176"/>
      <c r="G751" s="176"/>
      <c r="H751" s="176"/>
      <c r="I751" s="126"/>
      <c r="J751" s="126"/>
      <c r="K751" s="126"/>
      <c r="L751" s="126"/>
      <c r="M751" s="126"/>
      <c r="N751" s="126"/>
      <c r="O751" s="126"/>
      <c r="P751" s="126"/>
      <c r="Q751" s="126"/>
      <c r="R751" s="126"/>
      <c r="S751" s="126"/>
      <c r="T751" s="126"/>
      <c r="U751" s="126"/>
      <c r="V751" s="126"/>
      <c r="W751" s="126"/>
      <c r="X751" s="126"/>
      <c r="Y751" s="126"/>
      <c r="Z751" s="126"/>
      <c r="AA751" s="126"/>
      <c r="AB751" s="126"/>
    </row>
    <row r="752" spans="1:28" ht="15.75" customHeight="1">
      <c r="A752" s="126"/>
      <c r="B752" s="126"/>
      <c r="C752" s="176"/>
      <c r="D752" s="176"/>
      <c r="E752" s="176"/>
      <c r="F752" s="176"/>
      <c r="G752" s="176"/>
      <c r="H752" s="176"/>
      <c r="I752" s="126"/>
      <c r="J752" s="126"/>
      <c r="K752" s="126"/>
      <c r="L752" s="126"/>
      <c r="M752" s="126"/>
      <c r="N752" s="126"/>
      <c r="O752" s="126"/>
      <c r="P752" s="126"/>
      <c r="Q752" s="126"/>
      <c r="R752" s="126"/>
      <c r="S752" s="126"/>
      <c r="T752" s="126"/>
      <c r="U752" s="126"/>
      <c r="V752" s="126"/>
      <c r="W752" s="126"/>
      <c r="X752" s="126"/>
      <c r="Y752" s="126"/>
      <c r="Z752" s="126"/>
      <c r="AA752" s="126"/>
      <c r="AB752" s="126"/>
    </row>
    <row r="753" spans="1:28" ht="15.75" customHeight="1">
      <c r="A753" s="126"/>
      <c r="B753" s="126"/>
      <c r="C753" s="176"/>
      <c r="D753" s="176"/>
      <c r="E753" s="176"/>
      <c r="F753" s="176"/>
      <c r="G753" s="176"/>
      <c r="H753" s="176"/>
      <c r="I753" s="126"/>
      <c r="J753" s="126"/>
      <c r="K753" s="126"/>
      <c r="L753" s="126"/>
      <c r="M753" s="126"/>
      <c r="N753" s="126"/>
      <c r="O753" s="126"/>
      <c r="P753" s="126"/>
      <c r="Q753" s="126"/>
      <c r="R753" s="126"/>
      <c r="S753" s="126"/>
      <c r="T753" s="126"/>
      <c r="U753" s="126"/>
      <c r="V753" s="126"/>
      <c r="W753" s="126"/>
      <c r="X753" s="126"/>
      <c r="Y753" s="126"/>
      <c r="Z753" s="126"/>
      <c r="AA753" s="126"/>
      <c r="AB753" s="126"/>
    </row>
    <row r="754" spans="1:28" ht="15.75" customHeight="1">
      <c r="A754" s="126"/>
      <c r="B754" s="126"/>
      <c r="C754" s="176"/>
      <c r="D754" s="176"/>
      <c r="E754" s="176"/>
      <c r="F754" s="176"/>
      <c r="G754" s="176"/>
      <c r="H754" s="176"/>
      <c r="I754" s="126"/>
      <c r="J754" s="126"/>
      <c r="K754" s="126"/>
      <c r="L754" s="126"/>
      <c r="M754" s="126"/>
      <c r="N754" s="126"/>
      <c r="O754" s="126"/>
      <c r="P754" s="126"/>
      <c r="Q754" s="126"/>
      <c r="R754" s="126"/>
      <c r="S754" s="126"/>
      <c r="T754" s="126"/>
      <c r="U754" s="126"/>
      <c r="V754" s="126"/>
      <c r="W754" s="126"/>
      <c r="X754" s="126"/>
      <c r="Y754" s="126"/>
      <c r="Z754" s="126"/>
      <c r="AA754" s="126"/>
      <c r="AB754" s="126"/>
    </row>
    <row r="755" spans="1:28" ht="15.75" customHeight="1">
      <c r="A755" s="126"/>
      <c r="B755" s="126"/>
      <c r="C755" s="176"/>
      <c r="D755" s="176"/>
      <c r="E755" s="176"/>
      <c r="F755" s="176"/>
      <c r="G755" s="176"/>
      <c r="H755" s="176"/>
      <c r="I755" s="126"/>
      <c r="J755" s="126"/>
      <c r="K755" s="126"/>
      <c r="L755" s="126"/>
      <c r="M755" s="126"/>
      <c r="N755" s="126"/>
      <c r="O755" s="126"/>
      <c r="P755" s="126"/>
      <c r="Q755" s="126"/>
      <c r="R755" s="126"/>
      <c r="S755" s="126"/>
      <c r="T755" s="126"/>
      <c r="U755" s="126"/>
      <c r="V755" s="126"/>
      <c r="W755" s="126"/>
      <c r="X755" s="126"/>
      <c r="Y755" s="126"/>
      <c r="Z755" s="126"/>
      <c r="AA755" s="126"/>
      <c r="AB755" s="126"/>
    </row>
    <row r="756" spans="1:28" ht="15.75" customHeight="1">
      <c r="A756" s="126"/>
      <c r="B756" s="126"/>
      <c r="C756" s="176"/>
      <c r="D756" s="176"/>
      <c r="E756" s="176"/>
      <c r="F756" s="176"/>
      <c r="G756" s="176"/>
      <c r="H756" s="176"/>
      <c r="I756" s="126"/>
      <c r="J756" s="126"/>
      <c r="K756" s="126"/>
      <c r="L756" s="126"/>
      <c r="M756" s="126"/>
      <c r="N756" s="126"/>
      <c r="O756" s="126"/>
      <c r="P756" s="126"/>
      <c r="Q756" s="126"/>
      <c r="R756" s="126"/>
      <c r="S756" s="126"/>
      <c r="T756" s="126"/>
      <c r="U756" s="126"/>
      <c r="V756" s="126"/>
      <c r="W756" s="126"/>
      <c r="X756" s="126"/>
      <c r="Y756" s="126"/>
      <c r="Z756" s="126"/>
      <c r="AA756" s="126"/>
      <c r="AB756" s="126"/>
    </row>
    <row r="757" spans="1:28" ht="15.75" customHeight="1">
      <c r="A757" s="126"/>
      <c r="B757" s="126"/>
      <c r="C757" s="176"/>
      <c r="D757" s="176"/>
      <c r="E757" s="176"/>
      <c r="F757" s="176"/>
      <c r="G757" s="176"/>
      <c r="H757" s="176"/>
      <c r="I757" s="126"/>
      <c r="J757" s="126"/>
      <c r="K757" s="126"/>
      <c r="L757" s="126"/>
      <c r="M757" s="126"/>
      <c r="N757" s="126"/>
      <c r="O757" s="126"/>
      <c r="P757" s="126"/>
      <c r="Q757" s="126"/>
      <c r="R757" s="126"/>
      <c r="S757" s="126"/>
      <c r="T757" s="126"/>
      <c r="U757" s="126"/>
      <c r="V757" s="126"/>
      <c r="W757" s="126"/>
      <c r="X757" s="126"/>
      <c r="Y757" s="126"/>
      <c r="Z757" s="126"/>
      <c r="AA757" s="126"/>
      <c r="AB757" s="126"/>
    </row>
    <row r="758" spans="1:28" ht="15.75" customHeight="1">
      <c r="A758" s="126"/>
      <c r="B758" s="126"/>
      <c r="C758" s="176"/>
      <c r="D758" s="176"/>
      <c r="E758" s="176"/>
      <c r="F758" s="176"/>
      <c r="G758" s="176"/>
      <c r="H758" s="176"/>
      <c r="I758" s="126"/>
      <c r="J758" s="126"/>
      <c r="K758" s="126"/>
      <c r="L758" s="126"/>
      <c r="M758" s="126"/>
      <c r="N758" s="126"/>
      <c r="O758" s="126"/>
      <c r="P758" s="126"/>
      <c r="Q758" s="126"/>
      <c r="R758" s="126"/>
      <c r="S758" s="126"/>
      <c r="T758" s="126"/>
      <c r="U758" s="126"/>
      <c r="V758" s="126"/>
      <c r="W758" s="126"/>
      <c r="X758" s="126"/>
      <c r="Y758" s="126"/>
      <c r="Z758" s="126"/>
      <c r="AA758" s="126"/>
      <c r="AB758" s="126"/>
    </row>
    <row r="759" spans="1:28" ht="15.75" customHeight="1">
      <c r="A759" s="126"/>
      <c r="B759" s="126"/>
      <c r="C759" s="176"/>
      <c r="D759" s="176"/>
      <c r="E759" s="176"/>
      <c r="F759" s="176"/>
      <c r="G759" s="176"/>
      <c r="H759" s="176"/>
      <c r="I759" s="126"/>
      <c r="J759" s="126"/>
      <c r="K759" s="126"/>
      <c r="L759" s="126"/>
      <c r="M759" s="126"/>
      <c r="N759" s="126"/>
      <c r="O759" s="126"/>
      <c r="P759" s="126"/>
      <c r="Q759" s="126"/>
      <c r="R759" s="126"/>
      <c r="S759" s="126"/>
      <c r="T759" s="126"/>
      <c r="U759" s="126"/>
      <c r="V759" s="126"/>
      <c r="W759" s="126"/>
      <c r="X759" s="126"/>
      <c r="Y759" s="126"/>
      <c r="Z759" s="126"/>
      <c r="AA759" s="126"/>
      <c r="AB759" s="126"/>
    </row>
    <row r="760" spans="1:28" ht="15.75" customHeight="1">
      <c r="A760" s="126"/>
      <c r="B760" s="126"/>
      <c r="C760" s="176"/>
      <c r="D760" s="176"/>
      <c r="E760" s="176"/>
      <c r="F760" s="176"/>
      <c r="G760" s="176"/>
      <c r="H760" s="176"/>
      <c r="I760" s="126"/>
      <c r="J760" s="126"/>
      <c r="K760" s="126"/>
      <c r="L760" s="126"/>
      <c r="M760" s="126"/>
      <c r="N760" s="126"/>
      <c r="O760" s="126"/>
      <c r="P760" s="126"/>
      <c r="Q760" s="126"/>
      <c r="R760" s="126"/>
      <c r="S760" s="126"/>
      <c r="T760" s="126"/>
      <c r="U760" s="126"/>
      <c r="V760" s="126"/>
      <c r="W760" s="126"/>
      <c r="X760" s="126"/>
      <c r="Y760" s="126"/>
      <c r="Z760" s="126"/>
      <c r="AA760" s="126"/>
      <c r="AB760" s="126"/>
    </row>
    <row r="761" spans="1:28" ht="15.75" customHeight="1">
      <c r="A761" s="126"/>
      <c r="B761" s="126"/>
      <c r="C761" s="176"/>
      <c r="D761" s="176"/>
      <c r="E761" s="176"/>
      <c r="F761" s="176"/>
      <c r="G761" s="176"/>
      <c r="H761" s="176"/>
      <c r="I761" s="126"/>
      <c r="J761" s="126"/>
      <c r="K761" s="126"/>
      <c r="L761" s="126"/>
      <c r="M761" s="126"/>
      <c r="N761" s="126"/>
      <c r="O761" s="126"/>
      <c r="P761" s="126"/>
      <c r="Q761" s="126"/>
      <c r="R761" s="126"/>
      <c r="S761" s="126"/>
      <c r="T761" s="126"/>
      <c r="U761" s="126"/>
      <c r="V761" s="126"/>
      <c r="W761" s="126"/>
      <c r="X761" s="126"/>
      <c r="Y761" s="126"/>
      <c r="Z761" s="126"/>
      <c r="AA761" s="126"/>
      <c r="AB761" s="126"/>
    </row>
    <row r="762" spans="1:28" ht="15.75" customHeight="1">
      <c r="A762" s="126"/>
      <c r="B762" s="126"/>
      <c r="C762" s="176"/>
      <c r="D762" s="176"/>
      <c r="E762" s="176"/>
      <c r="F762" s="176"/>
      <c r="G762" s="176"/>
      <c r="H762" s="176"/>
      <c r="I762" s="126"/>
      <c r="J762" s="126"/>
      <c r="K762" s="126"/>
      <c r="L762" s="126"/>
      <c r="M762" s="126"/>
      <c r="N762" s="126"/>
      <c r="O762" s="126"/>
      <c r="P762" s="126"/>
      <c r="Q762" s="126"/>
      <c r="R762" s="126"/>
      <c r="S762" s="126"/>
      <c r="T762" s="126"/>
      <c r="U762" s="126"/>
      <c r="V762" s="126"/>
      <c r="W762" s="126"/>
      <c r="X762" s="126"/>
      <c r="Y762" s="126"/>
      <c r="Z762" s="126"/>
      <c r="AA762" s="126"/>
      <c r="AB762" s="126"/>
    </row>
    <row r="763" spans="1:28" ht="15.75" customHeight="1">
      <c r="A763" s="126"/>
      <c r="B763" s="126"/>
      <c r="C763" s="176"/>
      <c r="D763" s="176"/>
      <c r="E763" s="176"/>
      <c r="F763" s="176"/>
      <c r="G763" s="176"/>
      <c r="H763" s="176"/>
      <c r="I763" s="126"/>
      <c r="J763" s="126"/>
      <c r="K763" s="126"/>
      <c r="L763" s="126"/>
      <c r="M763" s="126"/>
      <c r="N763" s="126"/>
      <c r="O763" s="126"/>
      <c r="P763" s="126"/>
      <c r="Q763" s="126"/>
      <c r="R763" s="126"/>
      <c r="S763" s="126"/>
      <c r="T763" s="126"/>
      <c r="U763" s="126"/>
      <c r="V763" s="126"/>
      <c r="W763" s="126"/>
      <c r="X763" s="126"/>
      <c r="Y763" s="126"/>
      <c r="Z763" s="126"/>
      <c r="AA763" s="126"/>
      <c r="AB763" s="126"/>
    </row>
    <row r="764" spans="1:28" ht="15.75" customHeight="1">
      <c r="A764" s="126"/>
      <c r="B764" s="126"/>
      <c r="C764" s="176"/>
      <c r="D764" s="176"/>
      <c r="E764" s="176"/>
      <c r="F764" s="176"/>
      <c r="G764" s="176"/>
      <c r="H764" s="176"/>
      <c r="I764" s="126"/>
      <c r="J764" s="126"/>
      <c r="K764" s="126"/>
      <c r="L764" s="126"/>
      <c r="M764" s="126"/>
      <c r="N764" s="126"/>
      <c r="O764" s="126"/>
      <c r="P764" s="126"/>
      <c r="Q764" s="126"/>
      <c r="R764" s="126"/>
      <c r="S764" s="126"/>
      <c r="T764" s="126"/>
      <c r="U764" s="126"/>
      <c r="V764" s="126"/>
      <c r="W764" s="126"/>
      <c r="X764" s="126"/>
      <c r="Y764" s="126"/>
      <c r="Z764" s="126"/>
      <c r="AA764" s="126"/>
      <c r="AB764" s="126"/>
    </row>
    <row r="765" spans="1:28" ht="15.75" customHeight="1">
      <c r="A765" s="126"/>
      <c r="B765" s="126"/>
      <c r="C765" s="176"/>
      <c r="D765" s="176"/>
      <c r="E765" s="176"/>
      <c r="F765" s="176"/>
      <c r="G765" s="176"/>
      <c r="H765" s="176"/>
      <c r="I765" s="126"/>
      <c r="J765" s="126"/>
      <c r="K765" s="126"/>
      <c r="L765" s="126"/>
      <c r="M765" s="126"/>
      <c r="N765" s="126"/>
      <c r="O765" s="126"/>
      <c r="P765" s="126"/>
      <c r="Q765" s="126"/>
      <c r="R765" s="126"/>
      <c r="S765" s="126"/>
      <c r="T765" s="126"/>
      <c r="U765" s="126"/>
      <c r="V765" s="126"/>
      <c r="W765" s="126"/>
      <c r="X765" s="126"/>
      <c r="Y765" s="126"/>
      <c r="Z765" s="126"/>
      <c r="AA765" s="126"/>
      <c r="AB765" s="126"/>
    </row>
    <row r="766" spans="1:28" ht="15.75" customHeight="1">
      <c r="A766" s="126"/>
      <c r="B766" s="126"/>
      <c r="C766" s="176"/>
      <c r="D766" s="176"/>
      <c r="E766" s="176"/>
      <c r="F766" s="176"/>
      <c r="G766" s="176"/>
      <c r="H766" s="176"/>
      <c r="I766" s="126"/>
      <c r="J766" s="126"/>
      <c r="K766" s="126"/>
      <c r="L766" s="126"/>
      <c r="M766" s="126"/>
      <c r="N766" s="126"/>
      <c r="O766" s="126"/>
      <c r="P766" s="126"/>
      <c r="Q766" s="126"/>
      <c r="R766" s="126"/>
      <c r="S766" s="126"/>
      <c r="T766" s="126"/>
      <c r="U766" s="126"/>
      <c r="V766" s="126"/>
      <c r="W766" s="126"/>
      <c r="X766" s="126"/>
      <c r="Y766" s="126"/>
      <c r="Z766" s="126"/>
      <c r="AA766" s="126"/>
      <c r="AB766" s="126"/>
    </row>
    <row r="767" spans="1:28" ht="15.75" customHeight="1">
      <c r="A767" s="126"/>
      <c r="B767" s="126"/>
      <c r="C767" s="176"/>
      <c r="D767" s="176"/>
      <c r="E767" s="176"/>
      <c r="F767" s="176"/>
      <c r="G767" s="176"/>
      <c r="H767" s="176"/>
      <c r="I767" s="126"/>
      <c r="J767" s="126"/>
      <c r="K767" s="126"/>
      <c r="L767" s="126"/>
      <c r="M767" s="126"/>
      <c r="N767" s="126"/>
      <c r="O767" s="126"/>
      <c r="P767" s="126"/>
      <c r="Q767" s="126"/>
      <c r="R767" s="126"/>
      <c r="S767" s="126"/>
      <c r="T767" s="126"/>
      <c r="U767" s="126"/>
      <c r="V767" s="126"/>
      <c r="W767" s="126"/>
      <c r="X767" s="126"/>
      <c r="Y767" s="126"/>
      <c r="Z767" s="126"/>
      <c r="AA767" s="126"/>
      <c r="AB767" s="126"/>
    </row>
    <row r="768" spans="1:28" ht="15.75" customHeight="1">
      <c r="A768" s="126"/>
      <c r="B768" s="126"/>
      <c r="C768" s="176"/>
      <c r="D768" s="176"/>
      <c r="E768" s="176"/>
      <c r="F768" s="176"/>
      <c r="G768" s="176"/>
      <c r="H768" s="176"/>
      <c r="I768" s="126"/>
      <c r="J768" s="126"/>
      <c r="K768" s="126"/>
      <c r="L768" s="126"/>
      <c r="M768" s="126"/>
      <c r="N768" s="126"/>
      <c r="O768" s="126"/>
      <c r="P768" s="126"/>
      <c r="Q768" s="126"/>
      <c r="R768" s="126"/>
      <c r="S768" s="126"/>
      <c r="T768" s="126"/>
      <c r="U768" s="126"/>
      <c r="V768" s="126"/>
      <c r="W768" s="126"/>
      <c r="X768" s="126"/>
      <c r="Y768" s="126"/>
      <c r="Z768" s="126"/>
      <c r="AA768" s="126"/>
      <c r="AB768" s="126"/>
    </row>
    <row r="769" spans="1:28" ht="15.75" customHeight="1">
      <c r="A769" s="126"/>
      <c r="B769" s="126"/>
      <c r="C769" s="176"/>
      <c r="D769" s="176"/>
      <c r="E769" s="176"/>
      <c r="F769" s="176"/>
      <c r="G769" s="176"/>
      <c r="H769" s="176"/>
      <c r="I769" s="126"/>
      <c r="J769" s="126"/>
      <c r="K769" s="126"/>
      <c r="L769" s="126"/>
      <c r="M769" s="126"/>
      <c r="N769" s="126"/>
      <c r="O769" s="126"/>
      <c r="P769" s="126"/>
      <c r="Q769" s="126"/>
      <c r="R769" s="126"/>
      <c r="S769" s="126"/>
      <c r="T769" s="126"/>
      <c r="U769" s="126"/>
      <c r="V769" s="126"/>
      <c r="W769" s="126"/>
      <c r="X769" s="126"/>
      <c r="Y769" s="126"/>
      <c r="Z769" s="126"/>
      <c r="AA769" s="126"/>
      <c r="AB769" s="126"/>
    </row>
    <row r="770" spans="1:28" ht="15.75" customHeight="1">
      <c r="A770" s="126"/>
      <c r="B770" s="126"/>
      <c r="C770" s="176"/>
      <c r="D770" s="176"/>
      <c r="E770" s="176"/>
      <c r="F770" s="176"/>
      <c r="G770" s="176"/>
      <c r="H770" s="176"/>
      <c r="I770" s="126"/>
      <c r="J770" s="126"/>
      <c r="K770" s="126"/>
      <c r="L770" s="126"/>
      <c r="M770" s="126"/>
      <c r="N770" s="126"/>
      <c r="O770" s="126"/>
      <c r="P770" s="126"/>
      <c r="Q770" s="126"/>
      <c r="R770" s="126"/>
      <c r="S770" s="126"/>
      <c r="T770" s="126"/>
      <c r="U770" s="126"/>
      <c r="V770" s="126"/>
      <c r="W770" s="126"/>
      <c r="X770" s="126"/>
      <c r="Y770" s="126"/>
      <c r="Z770" s="126"/>
      <c r="AA770" s="126"/>
      <c r="AB770" s="126"/>
    </row>
    <row r="771" spans="1:28" ht="15.75" customHeight="1">
      <c r="A771" s="126"/>
      <c r="B771" s="126"/>
      <c r="C771" s="176"/>
      <c r="D771" s="176"/>
      <c r="E771" s="176"/>
      <c r="F771" s="176"/>
      <c r="G771" s="176"/>
      <c r="H771" s="176"/>
      <c r="I771" s="126"/>
      <c r="J771" s="126"/>
      <c r="K771" s="126"/>
      <c r="L771" s="126"/>
      <c r="M771" s="126"/>
      <c r="N771" s="126"/>
      <c r="O771" s="126"/>
      <c r="P771" s="126"/>
      <c r="Q771" s="126"/>
      <c r="R771" s="126"/>
      <c r="S771" s="126"/>
      <c r="T771" s="126"/>
      <c r="U771" s="126"/>
      <c r="V771" s="126"/>
      <c r="W771" s="126"/>
      <c r="X771" s="126"/>
      <c r="Y771" s="126"/>
      <c r="Z771" s="126"/>
      <c r="AA771" s="126"/>
      <c r="AB771" s="126"/>
    </row>
    <row r="772" spans="1:28" ht="15.75" customHeight="1">
      <c r="A772" s="126"/>
      <c r="B772" s="126"/>
      <c r="C772" s="176"/>
      <c r="D772" s="176"/>
      <c r="E772" s="176"/>
      <c r="F772" s="176"/>
      <c r="G772" s="176"/>
      <c r="H772" s="176"/>
      <c r="I772" s="126"/>
      <c r="J772" s="126"/>
      <c r="K772" s="126"/>
      <c r="L772" s="126"/>
      <c r="M772" s="126"/>
      <c r="N772" s="126"/>
      <c r="O772" s="126"/>
      <c r="P772" s="126"/>
      <c r="Q772" s="126"/>
      <c r="R772" s="126"/>
      <c r="S772" s="126"/>
      <c r="T772" s="126"/>
      <c r="U772" s="126"/>
      <c r="V772" s="126"/>
      <c r="W772" s="126"/>
      <c r="X772" s="126"/>
      <c r="Y772" s="126"/>
      <c r="Z772" s="126"/>
      <c r="AA772" s="126"/>
      <c r="AB772" s="126"/>
    </row>
    <row r="773" spans="1:28" ht="15.75" customHeight="1">
      <c r="A773" s="126"/>
      <c r="B773" s="126"/>
      <c r="C773" s="176"/>
      <c r="D773" s="176"/>
      <c r="E773" s="176"/>
      <c r="F773" s="176"/>
      <c r="G773" s="176"/>
      <c r="H773" s="176"/>
      <c r="I773" s="126"/>
      <c r="J773" s="126"/>
      <c r="K773" s="126"/>
      <c r="L773" s="126"/>
      <c r="M773" s="126"/>
      <c r="N773" s="126"/>
      <c r="O773" s="126"/>
      <c r="P773" s="126"/>
      <c r="Q773" s="126"/>
      <c r="R773" s="126"/>
      <c r="S773" s="126"/>
      <c r="T773" s="126"/>
      <c r="U773" s="126"/>
      <c r="V773" s="126"/>
      <c r="W773" s="126"/>
      <c r="X773" s="126"/>
      <c r="Y773" s="126"/>
      <c r="Z773" s="126"/>
      <c r="AA773" s="126"/>
      <c r="AB773" s="126"/>
    </row>
    <row r="774" spans="1:28" ht="15.75" customHeight="1">
      <c r="A774" s="126"/>
      <c r="B774" s="126"/>
      <c r="C774" s="176"/>
      <c r="D774" s="176"/>
      <c r="E774" s="176"/>
      <c r="F774" s="176"/>
      <c r="G774" s="176"/>
      <c r="H774" s="176"/>
      <c r="I774" s="126"/>
      <c r="J774" s="126"/>
      <c r="K774" s="126"/>
      <c r="L774" s="126"/>
      <c r="M774" s="126"/>
      <c r="N774" s="126"/>
      <c r="O774" s="126"/>
      <c r="P774" s="126"/>
      <c r="Q774" s="126"/>
      <c r="R774" s="126"/>
      <c r="S774" s="126"/>
      <c r="T774" s="126"/>
      <c r="U774" s="126"/>
      <c r="V774" s="126"/>
      <c r="W774" s="126"/>
      <c r="X774" s="126"/>
      <c r="Y774" s="126"/>
      <c r="Z774" s="126"/>
      <c r="AA774" s="126"/>
      <c r="AB774" s="126"/>
    </row>
    <row r="775" spans="1:28" ht="15.75" customHeight="1">
      <c r="A775" s="126"/>
      <c r="B775" s="126"/>
      <c r="C775" s="176"/>
      <c r="D775" s="176"/>
      <c r="E775" s="176"/>
      <c r="F775" s="176"/>
      <c r="G775" s="176"/>
      <c r="H775" s="176"/>
      <c r="I775" s="126"/>
      <c r="J775" s="126"/>
      <c r="K775" s="126"/>
      <c r="L775" s="126"/>
      <c r="M775" s="126"/>
      <c r="N775" s="126"/>
      <c r="O775" s="126"/>
      <c r="P775" s="126"/>
      <c r="Q775" s="126"/>
      <c r="R775" s="126"/>
      <c r="S775" s="126"/>
      <c r="T775" s="126"/>
      <c r="U775" s="126"/>
      <c r="V775" s="126"/>
      <c r="W775" s="126"/>
      <c r="X775" s="126"/>
      <c r="Y775" s="126"/>
      <c r="Z775" s="126"/>
      <c r="AA775" s="126"/>
      <c r="AB775" s="126"/>
    </row>
    <row r="776" spans="1:28" ht="15.75" customHeight="1">
      <c r="A776" s="126"/>
      <c r="B776" s="126"/>
      <c r="C776" s="176"/>
      <c r="D776" s="176"/>
      <c r="E776" s="176"/>
      <c r="F776" s="176"/>
      <c r="G776" s="176"/>
      <c r="H776" s="176"/>
      <c r="I776" s="126"/>
      <c r="J776" s="126"/>
      <c r="K776" s="126"/>
      <c r="L776" s="126"/>
      <c r="M776" s="126"/>
      <c r="N776" s="126"/>
      <c r="O776" s="126"/>
      <c r="P776" s="126"/>
      <c r="Q776" s="126"/>
      <c r="R776" s="126"/>
      <c r="S776" s="126"/>
      <c r="T776" s="126"/>
      <c r="U776" s="126"/>
      <c r="V776" s="126"/>
      <c r="W776" s="126"/>
      <c r="X776" s="126"/>
      <c r="Y776" s="126"/>
      <c r="Z776" s="126"/>
      <c r="AA776" s="126"/>
      <c r="AB776" s="126"/>
    </row>
    <row r="777" spans="1:28" ht="15.75" customHeight="1">
      <c r="A777" s="126"/>
      <c r="B777" s="126"/>
      <c r="C777" s="176"/>
      <c r="D777" s="176"/>
      <c r="E777" s="176"/>
      <c r="F777" s="176"/>
      <c r="G777" s="176"/>
      <c r="H777" s="176"/>
      <c r="I777" s="126"/>
      <c r="J777" s="126"/>
      <c r="K777" s="126"/>
      <c r="L777" s="126"/>
      <c r="M777" s="126"/>
      <c r="N777" s="126"/>
      <c r="O777" s="126"/>
      <c r="P777" s="126"/>
      <c r="Q777" s="126"/>
      <c r="R777" s="126"/>
      <c r="S777" s="126"/>
      <c r="T777" s="126"/>
      <c r="U777" s="126"/>
      <c r="V777" s="126"/>
      <c r="W777" s="126"/>
      <c r="X777" s="126"/>
      <c r="Y777" s="126"/>
      <c r="Z777" s="126"/>
      <c r="AA777" s="126"/>
      <c r="AB777" s="126"/>
    </row>
    <row r="778" spans="1:28" ht="15.75" customHeight="1">
      <c r="A778" s="126"/>
      <c r="B778" s="126"/>
      <c r="C778" s="176"/>
      <c r="D778" s="176"/>
      <c r="E778" s="176"/>
      <c r="F778" s="176"/>
      <c r="G778" s="176"/>
      <c r="H778" s="176"/>
      <c r="I778" s="126"/>
      <c r="J778" s="126"/>
      <c r="K778" s="126"/>
      <c r="L778" s="126"/>
      <c r="M778" s="126"/>
      <c r="N778" s="126"/>
      <c r="O778" s="126"/>
      <c r="P778" s="126"/>
      <c r="Q778" s="126"/>
      <c r="R778" s="126"/>
      <c r="S778" s="126"/>
      <c r="T778" s="126"/>
      <c r="U778" s="126"/>
      <c r="V778" s="126"/>
      <c r="W778" s="126"/>
      <c r="X778" s="126"/>
      <c r="Y778" s="126"/>
      <c r="Z778" s="126"/>
      <c r="AA778" s="126"/>
      <c r="AB778" s="126"/>
    </row>
    <row r="779" spans="1:28" ht="15.75" customHeight="1">
      <c r="A779" s="126"/>
      <c r="B779" s="126"/>
      <c r="C779" s="176"/>
      <c r="D779" s="176"/>
      <c r="E779" s="176"/>
      <c r="F779" s="176"/>
      <c r="G779" s="176"/>
      <c r="H779" s="176"/>
      <c r="I779" s="126"/>
      <c r="J779" s="126"/>
      <c r="K779" s="126"/>
      <c r="L779" s="126"/>
      <c r="M779" s="126"/>
      <c r="N779" s="126"/>
      <c r="O779" s="126"/>
      <c r="P779" s="126"/>
      <c r="Q779" s="126"/>
      <c r="R779" s="126"/>
      <c r="S779" s="126"/>
      <c r="T779" s="126"/>
      <c r="U779" s="126"/>
      <c r="V779" s="126"/>
      <c r="W779" s="126"/>
      <c r="X779" s="126"/>
      <c r="Y779" s="126"/>
      <c r="Z779" s="126"/>
      <c r="AA779" s="126"/>
      <c r="AB779" s="126"/>
    </row>
    <row r="780" spans="1:28" ht="15.75" customHeight="1">
      <c r="A780" s="126"/>
      <c r="B780" s="126"/>
      <c r="C780" s="176"/>
      <c r="D780" s="176"/>
      <c r="E780" s="176"/>
      <c r="F780" s="176"/>
      <c r="G780" s="176"/>
      <c r="H780" s="176"/>
      <c r="I780" s="126"/>
      <c r="J780" s="126"/>
      <c r="K780" s="126"/>
      <c r="L780" s="126"/>
      <c r="M780" s="126"/>
      <c r="N780" s="126"/>
      <c r="O780" s="126"/>
      <c r="P780" s="126"/>
      <c r="Q780" s="126"/>
      <c r="R780" s="126"/>
      <c r="S780" s="126"/>
      <c r="T780" s="126"/>
      <c r="U780" s="126"/>
      <c r="V780" s="126"/>
      <c r="W780" s="126"/>
      <c r="X780" s="126"/>
      <c r="Y780" s="126"/>
      <c r="Z780" s="126"/>
      <c r="AA780" s="126"/>
      <c r="AB780" s="126"/>
    </row>
    <row r="781" spans="1:28" ht="15.75" customHeight="1">
      <c r="A781" s="126"/>
      <c r="B781" s="126"/>
      <c r="C781" s="176"/>
      <c r="D781" s="176"/>
      <c r="E781" s="176"/>
      <c r="F781" s="176"/>
      <c r="G781" s="176"/>
      <c r="H781" s="176"/>
      <c r="I781" s="126"/>
      <c r="J781" s="126"/>
      <c r="K781" s="126"/>
      <c r="L781" s="126"/>
      <c r="M781" s="126"/>
      <c r="N781" s="126"/>
      <c r="O781" s="126"/>
      <c r="P781" s="126"/>
      <c r="Q781" s="126"/>
      <c r="R781" s="126"/>
      <c r="S781" s="126"/>
      <c r="T781" s="126"/>
      <c r="U781" s="126"/>
      <c r="V781" s="126"/>
      <c r="W781" s="126"/>
      <c r="X781" s="126"/>
      <c r="Y781" s="126"/>
      <c r="Z781" s="126"/>
      <c r="AA781" s="126"/>
      <c r="AB781" s="126"/>
    </row>
    <row r="782" spans="1:28" ht="15.75" customHeight="1">
      <c r="A782" s="126"/>
      <c r="B782" s="126"/>
      <c r="C782" s="176"/>
      <c r="D782" s="176"/>
      <c r="E782" s="176"/>
      <c r="F782" s="176"/>
      <c r="G782" s="176"/>
      <c r="H782" s="176"/>
      <c r="I782" s="126"/>
      <c r="J782" s="126"/>
      <c r="K782" s="126"/>
      <c r="L782" s="126"/>
      <c r="M782" s="126"/>
      <c r="N782" s="126"/>
      <c r="O782" s="126"/>
      <c r="P782" s="126"/>
      <c r="Q782" s="126"/>
      <c r="R782" s="126"/>
      <c r="S782" s="126"/>
      <c r="T782" s="126"/>
      <c r="U782" s="126"/>
      <c r="V782" s="126"/>
      <c r="W782" s="126"/>
      <c r="X782" s="126"/>
      <c r="Y782" s="126"/>
      <c r="Z782" s="126"/>
      <c r="AA782" s="126"/>
      <c r="AB782" s="126"/>
    </row>
    <row r="783" spans="1:28" ht="15.75" customHeight="1">
      <c r="A783" s="126"/>
      <c r="B783" s="126"/>
      <c r="C783" s="176"/>
      <c r="D783" s="176"/>
      <c r="E783" s="176"/>
      <c r="F783" s="176"/>
      <c r="G783" s="176"/>
      <c r="H783" s="176"/>
      <c r="I783" s="126"/>
      <c r="J783" s="126"/>
      <c r="K783" s="126"/>
      <c r="L783" s="126"/>
      <c r="M783" s="126"/>
      <c r="N783" s="126"/>
      <c r="O783" s="126"/>
      <c r="P783" s="126"/>
      <c r="Q783" s="126"/>
      <c r="R783" s="126"/>
      <c r="S783" s="126"/>
      <c r="T783" s="126"/>
      <c r="U783" s="126"/>
      <c r="V783" s="126"/>
      <c r="W783" s="126"/>
      <c r="X783" s="126"/>
      <c r="Y783" s="126"/>
      <c r="Z783" s="126"/>
      <c r="AA783" s="126"/>
      <c r="AB783" s="126"/>
    </row>
    <row r="784" spans="1:28" ht="15.75" customHeight="1">
      <c r="A784" s="126"/>
      <c r="B784" s="126"/>
      <c r="C784" s="176"/>
      <c r="D784" s="176"/>
      <c r="E784" s="176"/>
      <c r="F784" s="176"/>
      <c r="G784" s="176"/>
      <c r="H784" s="176"/>
      <c r="I784" s="126"/>
      <c r="J784" s="126"/>
      <c r="K784" s="126"/>
      <c r="L784" s="126"/>
      <c r="M784" s="126"/>
      <c r="N784" s="126"/>
      <c r="O784" s="126"/>
      <c r="P784" s="126"/>
      <c r="Q784" s="126"/>
      <c r="R784" s="126"/>
      <c r="S784" s="126"/>
      <c r="T784" s="126"/>
      <c r="U784" s="126"/>
      <c r="V784" s="126"/>
      <c r="W784" s="126"/>
      <c r="X784" s="126"/>
      <c r="Y784" s="126"/>
      <c r="Z784" s="126"/>
      <c r="AA784" s="126"/>
      <c r="AB784" s="126"/>
    </row>
    <row r="785" spans="1:28" ht="15.75" customHeight="1">
      <c r="A785" s="126"/>
      <c r="B785" s="126"/>
      <c r="C785" s="176"/>
      <c r="D785" s="176"/>
      <c r="E785" s="176"/>
      <c r="F785" s="176"/>
      <c r="G785" s="176"/>
      <c r="H785" s="176"/>
      <c r="I785" s="126"/>
      <c r="J785" s="126"/>
      <c r="K785" s="126"/>
      <c r="L785" s="126"/>
      <c r="M785" s="126"/>
      <c r="N785" s="126"/>
      <c r="O785" s="126"/>
      <c r="P785" s="126"/>
      <c r="Q785" s="126"/>
      <c r="R785" s="126"/>
      <c r="S785" s="126"/>
      <c r="T785" s="126"/>
      <c r="U785" s="126"/>
      <c r="V785" s="126"/>
      <c r="W785" s="126"/>
      <c r="X785" s="126"/>
      <c r="Y785" s="126"/>
      <c r="Z785" s="126"/>
      <c r="AA785" s="126"/>
      <c r="AB785" s="126"/>
    </row>
    <row r="786" spans="1:28" ht="15.75" customHeight="1">
      <c r="A786" s="126"/>
      <c r="B786" s="126"/>
      <c r="C786" s="176"/>
      <c r="D786" s="176"/>
      <c r="E786" s="176"/>
      <c r="F786" s="176"/>
      <c r="G786" s="176"/>
      <c r="H786" s="176"/>
      <c r="I786" s="126"/>
      <c r="J786" s="126"/>
      <c r="K786" s="126"/>
      <c r="L786" s="126"/>
      <c r="M786" s="126"/>
      <c r="N786" s="126"/>
      <c r="O786" s="126"/>
      <c r="P786" s="126"/>
      <c r="Q786" s="126"/>
      <c r="R786" s="126"/>
      <c r="S786" s="126"/>
      <c r="T786" s="126"/>
      <c r="U786" s="126"/>
      <c r="V786" s="126"/>
      <c r="W786" s="126"/>
      <c r="X786" s="126"/>
      <c r="Y786" s="126"/>
      <c r="Z786" s="126"/>
      <c r="AA786" s="126"/>
      <c r="AB786" s="126"/>
    </row>
    <row r="787" spans="1:28" ht="15.75" customHeight="1">
      <c r="A787" s="126"/>
      <c r="B787" s="126"/>
      <c r="C787" s="176"/>
      <c r="D787" s="176"/>
      <c r="E787" s="176"/>
      <c r="F787" s="176"/>
      <c r="G787" s="176"/>
      <c r="H787" s="176"/>
      <c r="I787" s="126"/>
      <c r="J787" s="126"/>
      <c r="K787" s="126"/>
      <c r="L787" s="126"/>
      <c r="M787" s="126"/>
      <c r="N787" s="126"/>
      <c r="O787" s="126"/>
      <c r="P787" s="126"/>
      <c r="Q787" s="126"/>
      <c r="R787" s="126"/>
      <c r="S787" s="126"/>
      <c r="T787" s="126"/>
      <c r="U787" s="126"/>
      <c r="V787" s="126"/>
      <c r="W787" s="126"/>
      <c r="X787" s="126"/>
      <c r="Y787" s="126"/>
      <c r="Z787" s="126"/>
      <c r="AA787" s="126"/>
      <c r="AB787" s="126"/>
    </row>
    <row r="788" spans="1:28" ht="15.75" customHeight="1">
      <c r="A788" s="126"/>
      <c r="B788" s="126"/>
      <c r="C788" s="176"/>
      <c r="D788" s="176"/>
      <c r="E788" s="176"/>
      <c r="F788" s="176"/>
      <c r="G788" s="176"/>
      <c r="H788" s="176"/>
      <c r="I788" s="126"/>
      <c r="J788" s="126"/>
      <c r="K788" s="126"/>
      <c r="L788" s="126"/>
      <c r="M788" s="126"/>
      <c r="N788" s="126"/>
      <c r="O788" s="126"/>
      <c r="P788" s="126"/>
      <c r="Q788" s="126"/>
      <c r="R788" s="126"/>
      <c r="S788" s="126"/>
      <c r="T788" s="126"/>
      <c r="U788" s="126"/>
      <c r="V788" s="126"/>
      <c r="W788" s="126"/>
      <c r="X788" s="126"/>
      <c r="Y788" s="126"/>
      <c r="Z788" s="126"/>
      <c r="AA788" s="126"/>
      <c r="AB788" s="126"/>
    </row>
    <row r="789" spans="1:28" ht="15.75" customHeight="1">
      <c r="A789" s="126"/>
      <c r="B789" s="126"/>
      <c r="C789" s="176"/>
      <c r="D789" s="176"/>
      <c r="E789" s="176"/>
      <c r="F789" s="176"/>
      <c r="G789" s="176"/>
      <c r="H789" s="176"/>
      <c r="I789" s="126"/>
      <c r="J789" s="126"/>
      <c r="K789" s="126"/>
      <c r="L789" s="126"/>
      <c r="M789" s="126"/>
      <c r="N789" s="126"/>
      <c r="O789" s="126"/>
      <c r="P789" s="126"/>
      <c r="Q789" s="126"/>
      <c r="R789" s="126"/>
      <c r="S789" s="126"/>
      <c r="T789" s="126"/>
      <c r="U789" s="126"/>
      <c r="V789" s="126"/>
      <c r="W789" s="126"/>
      <c r="X789" s="126"/>
      <c r="Y789" s="126"/>
      <c r="Z789" s="126"/>
      <c r="AA789" s="126"/>
      <c r="AB789" s="126"/>
    </row>
    <row r="790" spans="1:28" ht="15.75" customHeight="1">
      <c r="A790" s="126"/>
      <c r="B790" s="126"/>
      <c r="C790" s="176"/>
      <c r="D790" s="176"/>
      <c r="E790" s="176"/>
      <c r="F790" s="176"/>
      <c r="G790" s="176"/>
      <c r="H790" s="176"/>
      <c r="I790" s="126"/>
      <c r="J790" s="126"/>
      <c r="K790" s="126"/>
      <c r="L790" s="126"/>
      <c r="M790" s="126"/>
      <c r="N790" s="126"/>
      <c r="O790" s="126"/>
      <c r="P790" s="126"/>
      <c r="Q790" s="126"/>
      <c r="R790" s="126"/>
      <c r="S790" s="126"/>
      <c r="T790" s="126"/>
      <c r="U790" s="126"/>
      <c r="V790" s="126"/>
      <c r="W790" s="126"/>
      <c r="X790" s="126"/>
      <c r="Y790" s="126"/>
      <c r="Z790" s="126"/>
      <c r="AA790" s="126"/>
      <c r="AB790" s="126"/>
    </row>
    <row r="791" spans="1:28" ht="15.75" customHeight="1">
      <c r="A791" s="126"/>
      <c r="B791" s="126"/>
      <c r="C791" s="176"/>
      <c r="D791" s="176"/>
      <c r="E791" s="176"/>
      <c r="F791" s="176"/>
      <c r="G791" s="176"/>
      <c r="H791" s="176"/>
      <c r="I791" s="126"/>
      <c r="J791" s="126"/>
      <c r="K791" s="126"/>
      <c r="L791" s="126"/>
      <c r="M791" s="126"/>
      <c r="N791" s="126"/>
      <c r="O791" s="126"/>
      <c r="P791" s="126"/>
      <c r="Q791" s="126"/>
      <c r="R791" s="126"/>
      <c r="S791" s="126"/>
      <c r="T791" s="126"/>
      <c r="U791" s="126"/>
      <c r="V791" s="126"/>
      <c r="W791" s="126"/>
      <c r="X791" s="126"/>
      <c r="Y791" s="126"/>
      <c r="Z791" s="126"/>
      <c r="AA791" s="126"/>
      <c r="AB791" s="126"/>
    </row>
    <row r="792" spans="1:28" ht="15.75" customHeight="1">
      <c r="A792" s="126"/>
      <c r="B792" s="126"/>
      <c r="C792" s="176"/>
      <c r="D792" s="176"/>
      <c r="E792" s="176"/>
      <c r="F792" s="176"/>
      <c r="G792" s="176"/>
      <c r="H792" s="176"/>
      <c r="I792" s="126"/>
      <c r="J792" s="126"/>
      <c r="K792" s="126"/>
      <c r="L792" s="126"/>
      <c r="M792" s="126"/>
      <c r="N792" s="126"/>
      <c r="O792" s="126"/>
      <c r="P792" s="126"/>
      <c r="Q792" s="126"/>
      <c r="R792" s="126"/>
      <c r="S792" s="126"/>
      <c r="T792" s="126"/>
      <c r="U792" s="126"/>
      <c r="V792" s="126"/>
      <c r="W792" s="126"/>
      <c r="X792" s="126"/>
      <c r="Y792" s="126"/>
      <c r="Z792" s="126"/>
      <c r="AA792" s="126"/>
      <c r="AB792" s="126"/>
    </row>
    <row r="793" spans="1:28" ht="15.75" customHeight="1">
      <c r="A793" s="126"/>
      <c r="B793" s="126"/>
      <c r="C793" s="176"/>
      <c r="D793" s="176"/>
      <c r="E793" s="176"/>
      <c r="F793" s="176"/>
      <c r="G793" s="176"/>
      <c r="H793" s="176"/>
      <c r="I793" s="126"/>
      <c r="J793" s="126"/>
      <c r="K793" s="126"/>
      <c r="L793" s="126"/>
      <c r="M793" s="126"/>
      <c r="N793" s="126"/>
      <c r="O793" s="126"/>
      <c r="P793" s="126"/>
      <c r="Q793" s="126"/>
      <c r="R793" s="126"/>
      <c r="S793" s="126"/>
      <c r="T793" s="126"/>
      <c r="U793" s="126"/>
      <c r="V793" s="126"/>
      <c r="W793" s="126"/>
      <c r="X793" s="126"/>
      <c r="Y793" s="126"/>
      <c r="Z793" s="126"/>
      <c r="AA793" s="126"/>
      <c r="AB793" s="126"/>
    </row>
    <row r="794" spans="1:28" ht="15.75" customHeight="1">
      <c r="A794" s="126"/>
      <c r="B794" s="126"/>
      <c r="C794" s="176"/>
      <c r="D794" s="176"/>
      <c r="E794" s="176"/>
      <c r="F794" s="176"/>
      <c r="G794" s="176"/>
      <c r="H794" s="176"/>
      <c r="I794" s="126"/>
      <c r="J794" s="126"/>
      <c r="K794" s="126"/>
      <c r="L794" s="126"/>
      <c r="M794" s="126"/>
      <c r="N794" s="126"/>
      <c r="O794" s="126"/>
      <c r="P794" s="126"/>
      <c r="Q794" s="126"/>
      <c r="R794" s="126"/>
      <c r="S794" s="126"/>
      <c r="T794" s="126"/>
      <c r="U794" s="126"/>
      <c r="V794" s="126"/>
      <c r="W794" s="126"/>
      <c r="X794" s="126"/>
      <c r="Y794" s="126"/>
      <c r="Z794" s="126"/>
      <c r="AA794" s="126"/>
      <c r="AB794" s="126"/>
    </row>
    <row r="795" spans="1:28" ht="15.75" customHeight="1">
      <c r="A795" s="126"/>
      <c r="B795" s="126"/>
      <c r="C795" s="176"/>
      <c r="D795" s="176"/>
      <c r="E795" s="176"/>
      <c r="F795" s="176"/>
      <c r="G795" s="176"/>
      <c r="H795" s="176"/>
      <c r="I795" s="126"/>
      <c r="J795" s="126"/>
      <c r="K795" s="126"/>
      <c r="L795" s="126"/>
      <c r="M795" s="126"/>
      <c r="N795" s="126"/>
      <c r="O795" s="126"/>
      <c r="P795" s="126"/>
      <c r="Q795" s="126"/>
      <c r="R795" s="126"/>
      <c r="S795" s="126"/>
      <c r="T795" s="126"/>
      <c r="U795" s="126"/>
      <c r="V795" s="126"/>
      <c r="W795" s="126"/>
      <c r="X795" s="126"/>
      <c r="Y795" s="126"/>
      <c r="Z795" s="126"/>
      <c r="AA795" s="126"/>
      <c r="AB795" s="126"/>
    </row>
    <row r="796" spans="1:28" ht="15.75" customHeight="1">
      <c r="A796" s="126"/>
      <c r="B796" s="126"/>
      <c r="C796" s="176"/>
      <c r="D796" s="176"/>
      <c r="E796" s="176"/>
      <c r="F796" s="176"/>
      <c r="G796" s="176"/>
      <c r="H796" s="176"/>
      <c r="I796" s="126"/>
      <c r="J796" s="126"/>
      <c r="K796" s="126"/>
      <c r="L796" s="126"/>
      <c r="M796" s="126"/>
      <c r="N796" s="126"/>
      <c r="O796" s="126"/>
      <c r="P796" s="126"/>
      <c r="Q796" s="126"/>
      <c r="R796" s="126"/>
      <c r="S796" s="126"/>
      <c r="T796" s="126"/>
      <c r="U796" s="126"/>
      <c r="V796" s="126"/>
      <c r="W796" s="126"/>
      <c r="X796" s="126"/>
      <c r="Y796" s="126"/>
      <c r="Z796" s="126"/>
      <c r="AA796" s="126"/>
      <c r="AB796" s="126"/>
    </row>
    <row r="797" spans="1:28" ht="15.75" customHeight="1">
      <c r="A797" s="126"/>
      <c r="B797" s="126"/>
      <c r="C797" s="176"/>
      <c r="D797" s="176"/>
      <c r="E797" s="176"/>
      <c r="F797" s="176"/>
      <c r="G797" s="176"/>
      <c r="H797" s="176"/>
      <c r="I797" s="126"/>
      <c r="J797" s="126"/>
      <c r="K797" s="126"/>
      <c r="L797" s="126"/>
      <c r="M797" s="126"/>
      <c r="N797" s="126"/>
      <c r="O797" s="126"/>
      <c r="P797" s="126"/>
      <c r="Q797" s="126"/>
      <c r="R797" s="126"/>
      <c r="S797" s="126"/>
      <c r="T797" s="126"/>
      <c r="U797" s="126"/>
      <c r="V797" s="126"/>
      <c r="W797" s="126"/>
      <c r="X797" s="126"/>
      <c r="Y797" s="126"/>
      <c r="Z797" s="126"/>
      <c r="AA797" s="126"/>
      <c r="AB797" s="126"/>
    </row>
    <row r="798" spans="1:28" ht="15.75" customHeight="1">
      <c r="A798" s="126"/>
      <c r="B798" s="126"/>
      <c r="C798" s="176"/>
      <c r="D798" s="176"/>
      <c r="E798" s="176"/>
      <c r="F798" s="176"/>
      <c r="G798" s="176"/>
      <c r="H798" s="176"/>
      <c r="I798" s="126"/>
      <c r="J798" s="126"/>
      <c r="K798" s="126"/>
      <c r="L798" s="126"/>
      <c r="M798" s="126"/>
      <c r="N798" s="126"/>
      <c r="O798" s="126"/>
      <c r="P798" s="126"/>
      <c r="Q798" s="126"/>
      <c r="R798" s="126"/>
      <c r="S798" s="126"/>
      <c r="T798" s="126"/>
      <c r="U798" s="126"/>
      <c r="V798" s="126"/>
      <c r="W798" s="126"/>
      <c r="X798" s="126"/>
      <c r="Y798" s="126"/>
      <c r="Z798" s="126"/>
      <c r="AA798" s="126"/>
      <c r="AB798" s="126"/>
    </row>
    <row r="799" spans="1:28" ht="15.75" customHeight="1">
      <c r="A799" s="126"/>
      <c r="B799" s="126"/>
      <c r="C799" s="176"/>
      <c r="D799" s="176"/>
      <c r="E799" s="176"/>
      <c r="F799" s="176"/>
      <c r="G799" s="176"/>
      <c r="H799" s="176"/>
      <c r="I799" s="126"/>
      <c r="J799" s="126"/>
      <c r="K799" s="126"/>
      <c r="L799" s="126"/>
      <c r="M799" s="126"/>
      <c r="N799" s="126"/>
      <c r="O799" s="126"/>
      <c r="P799" s="126"/>
      <c r="Q799" s="126"/>
      <c r="R799" s="126"/>
      <c r="S799" s="126"/>
      <c r="T799" s="126"/>
      <c r="U799" s="126"/>
      <c r="V799" s="126"/>
      <c r="W799" s="126"/>
      <c r="X799" s="126"/>
      <c r="Y799" s="126"/>
      <c r="Z799" s="126"/>
      <c r="AA799" s="126"/>
      <c r="AB799" s="126"/>
    </row>
    <row r="800" spans="1:28" ht="15.75" customHeight="1">
      <c r="A800" s="126"/>
      <c r="B800" s="126"/>
      <c r="C800" s="176"/>
      <c r="D800" s="176"/>
      <c r="E800" s="176"/>
      <c r="F800" s="176"/>
      <c r="G800" s="176"/>
      <c r="H800" s="176"/>
      <c r="I800" s="126"/>
      <c r="J800" s="126"/>
      <c r="K800" s="126"/>
      <c r="L800" s="126"/>
      <c r="M800" s="126"/>
      <c r="N800" s="126"/>
      <c r="O800" s="126"/>
      <c r="P800" s="126"/>
      <c r="Q800" s="126"/>
      <c r="R800" s="126"/>
      <c r="S800" s="126"/>
      <c r="T800" s="126"/>
      <c r="U800" s="126"/>
      <c r="V800" s="126"/>
      <c r="W800" s="126"/>
      <c r="X800" s="126"/>
      <c r="Y800" s="126"/>
      <c r="Z800" s="126"/>
      <c r="AA800" s="126"/>
      <c r="AB800" s="126"/>
    </row>
    <row r="801" spans="1:28" ht="15.75" customHeight="1">
      <c r="A801" s="126"/>
      <c r="B801" s="126"/>
      <c r="C801" s="176"/>
      <c r="D801" s="176"/>
      <c r="E801" s="176"/>
      <c r="F801" s="176"/>
      <c r="G801" s="176"/>
      <c r="H801" s="176"/>
      <c r="I801" s="126"/>
      <c r="J801" s="126"/>
      <c r="K801" s="126"/>
      <c r="L801" s="126"/>
      <c r="M801" s="126"/>
      <c r="N801" s="126"/>
      <c r="O801" s="126"/>
      <c r="P801" s="126"/>
      <c r="Q801" s="126"/>
      <c r="R801" s="126"/>
      <c r="S801" s="126"/>
      <c r="T801" s="126"/>
      <c r="U801" s="126"/>
      <c r="V801" s="126"/>
      <c r="W801" s="126"/>
      <c r="X801" s="126"/>
      <c r="Y801" s="126"/>
      <c r="Z801" s="126"/>
      <c r="AA801" s="126"/>
      <c r="AB801" s="126"/>
    </row>
    <row r="802" spans="1:28" ht="15.75" customHeight="1">
      <c r="A802" s="126"/>
      <c r="B802" s="126"/>
      <c r="C802" s="176"/>
      <c r="D802" s="176"/>
      <c r="E802" s="176"/>
      <c r="F802" s="176"/>
      <c r="G802" s="176"/>
      <c r="H802" s="176"/>
      <c r="I802" s="126"/>
      <c r="J802" s="126"/>
      <c r="K802" s="126"/>
      <c r="L802" s="126"/>
      <c r="M802" s="126"/>
      <c r="N802" s="126"/>
      <c r="O802" s="126"/>
      <c r="P802" s="126"/>
      <c r="Q802" s="126"/>
      <c r="R802" s="126"/>
      <c r="S802" s="126"/>
      <c r="T802" s="126"/>
      <c r="U802" s="126"/>
      <c r="V802" s="126"/>
      <c r="W802" s="126"/>
      <c r="X802" s="126"/>
      <c r="Y802" s="126"/>
      <c r="Z802" s="126"/>
      <c r="AA802" s="126"/>
      <c r="AB802" s="126"/>
    </row>
    <row r="803" spans="1:28" ht="15.75" customHeight="1">
      <c r="A803" s="126"/>
      <c r="B803" s="126"/>
      <c r="C803" s="176"/>
      <c r="D803" s="176"/>
      <c r="E803" s="176"/>
      <c r="F803" s="176"/>
      <c r="G803" s="176"/>
      <c r="H803" s="176"/>
      <c r="I803" s="126"/>
      <c r="J803" s="126"/>
      <c r="K803" s="126"/>
      <c r="L803" s="126"/>
      <c r="M803" s="126"/>
      <c r="N803" s="126"/>
      <c r="O803" s="126"/>
      <c r="P803" s="126"/>
      <c r="Q803" s="126"/>
      <c r="R803" s="126"/>
      <c r="S803" s="126"/>
      <c r="T803" s="126"/>
      <c r="U803" s="126"/>
      <c r="V803" s="126"/>
      <c r="W803" s="126"/>
      <c r="X803" s="126"/>
      <c r="Y803" s="126"/>
      <c r="Z803" s="126"/>
      <c r="AA803" s="126"/>
      <c r="AB803" s="126"/>
    </row>
    <row r="804" spans="1:28" ht="15.75" customHeight="1">
      <c r="A804" s="126"/>
      <c r="B804" s="126"/>
      <c r="C804" s="176"/>
      <c r="D804" s="176"/>
      <c r="E804" s="176"/>
      <c r="F804" s="176"/>
      <c r="G804" s="176"/>
      <c r="H804" s="176"/>
      <c r="I804" s="126"/>
      <c r="J804" s="126"/>
      <c r="K804" s="126"/>
      <c r="L804" s="126"/>
      <c r="M804" s="126"/>
      <c r="N804" s="126"/>
      <c r="O804" s="126"/>
      <c r="P804" s="126"/>
      <c r="Q804" s="126"/>
      <c r="R804" s="126"/>
      <c r="S804" s="126"/>
      <c r="T804" s="126"/>
      <c r="U804" s="126"/>
      <c r="V804" s="126"/>
      <c r="W804" s="126"/>
      <c r="X804" s="126"/>
      <c r="Y804" s="126"/>
      <c r="Z804" s="126"/>
      <c r="AA804" s="126"/>
      <c r="AB804" s="126"/>
    </row>
    <row r="805" spans="1:28" ht="15.75" customHeight="1">
      <c r="A805" s="126"/>
      <c r="B805" s="126"/>
      <c r="C805" s="176"/>
      <c r="D805" s="176"/>
      <c r="E805" s="176"/>
      <c r="F805" s="176"/>
      <c r="G805" s="176"/>
      <c r="H805" s="176"/>
      <c r="I805" s="126"/>
      <c r="J805" s="126"/>
      <c r="K805" s="126"/>
      <c r="L805" s="126"/>
      <c r="M805" s="126"/>
      <c r="N805" s="126"/>
      <c r="O805" s="126"/>
      <c r="P805" s="126"/>
      <c r="Q805" s="126"/>
      <c r="R805" s="126"/>
      <c r="S805" s="126"/>
      <c r="T805" s="126"/>
      <c r="U805" s="126"/>
      <c r="V805" s="126"/>
      <c r="W805" s="126"/>
      <c r="X805" s="126"/>
      <c r="Y805" s="126"/>
      <c r="Z805" s="126"/>
      <c r="AA805" s="126"/>
      <c r="AB805" s="126"/>
    </row>
    <row r="806" spans="1:28" ht="15.75" customHeight="1">
      <c r="A806" s="126"/>
      <c r="B806" s="126"/>
      <c r="C806" s="176"/>
      <c r="D806" s="176"/>
      <c r="E806" s="176"/>
      <c r="F806" s="176"/>
      <c r="G806" s="176"/>
      <c r="H806" s="176"/>
      <c r="I806" s="126"/>
      <c r="J806" s="126"/>
      <c r="K806" s="126"/>
      <c r="L806" s="126"/>
      <c r="M806" s="126"/>
      <c r="N806" s="126"/>
      <c r="O806" s="126"/>
      <c r="P806" s="126"/>
      <c r="Q806" s="126"/>
      <c r="R806" s="126"/>
      <c r="S806" s="126"/>
      <c r="T806" s="126"/>
      <c r="U806" s="126"/>
      <c r="V806" s="126"/>
      <c r="W806" s="126"/>
      <c r="X806" s="126"/>
      <c r="Y806" s="126"/>
      <c r="Z806" s="126"/>
      <c r="AA806" s="126"/>
      <c r="AB806" s="126"/>
    </row>
    <row r="807" spans="1:28" ht="15.75" customHeight="1">
      <c r="A807" s="126"/>
      <c r="B807" s="126"/>
      <c r="C807" s="176"/>
      <c r="D807" s="176"/>
      <c r="E807" s="176"/>
      <c r="F807" s="176"/>
      <c r="G807" s="176"/>
      <c r="H807" s="176"/>
      <c r="I807" s="126"/>
      <c r="J807" s="126"/>
      <c r="K807" s="126"/>
      <c r="L807" s="126"/>
      <c r="M807" s="126"/>
      <c r="N807" s="126"/>
      <c r="O807" s="126"/>
      <c r="P807" s="126"/>
      <c r="Q807" s="126"/>
      <c r="R807" s="126"/>
      <c r="S807" s="126"/>
      <c r="T807" s="126"/>
      <c r="U807" s="126"/>
      <c r="V807" s="126"/>
      <c r="W807" s="126"/>
      <c r="X807" s="126"/>
      <c r="Y807" s="126"/>
      <c r="Z807" s="126"/>
      <c r="AA807" s="126"/>
      <c r="AB807" s="126"/>
    </row>
    <row r="808" spans="1:28" ht="15.75" customHeight="1">
      <c r="A808" s="126"/>
      <c r="B808" s="126"/>
      <c r="C808" s="176"/>
      <c r="D808" s="176"/>
      <c r="E808" s="176"/>
      <c r="F808" s="176"/>
      <c r="G808" s="176"/>
      <c r="H808" s="176"/>
      <c r="I808" s="126"/>
      <c r="J808" s="126"/>
      <c r="K808" s="126"/>
      <c r="L808" s="126"/>
      <c r="M808" s="126"/>
      <c r="N808" s="126"/>
      <c r="O808" s="126"/>
      <c r="P808" s="126"/>
      <c r="Q808" s="126"/>
      <c r="R808" s="126"/>
      <c r="S808" s="126"/>
      <c r="T808" s="126"/>
      <c r="U808" s="126"/>
      <c r="V808" s="126"/>
      <c r="W808" s="126"/>
      <c r="X808" s="126"/>
      <c r="Y808" s="126"/>
      <c r="Z808" s="126"/>
      <c r="AA808" s="126"/>
      <c r="AB808" s="126"/>
    </row>
    <row r="809" spans="1:28" ht="15.75" customHeight="1">
      <c r="A809" s="126"/>
      <c r="B809" s="126"/>
      <c r="C809" s="176"/>
      <c r="D809" s="176"/>
      <c r="E809" s="176"/>
      <c r="F809" s="176"/>
      <c r="G809" s="176"/>
      <c r="H809" s="176"/>
      <c r="I809" s="126"/>
      <c r="J809" s="126"/>
      <c r="K809" s="126"/>
      <c r="L809" s="126"/>
      <c r="M809" s="126"/>
      <c r="N809" s="126"/>
      <c r="O809" s="126"/>
      <c r="P809" s="126"/>
      <c r="Q809" s="126"/>
      <c r="R809" s="126"/>
      <c r="S809" s="126"/>
      <c r="T809" s="126"/>
      <c r="U809" s="126"/>
      <c r="V809" s="126"/>
      <c r="W809" s="126"/>
      <c r="X809" s="126"/>
      <c r="Y809" s="126"/>
      <c r="Z809" s="126"/>
      <c r="AA809" s="126"/>
      <c r="AB809" s="126"/>
    </row>
    <row r="810" spans="1:28" ht="15.75" customHeight="1">
      <c r="A810" s="126"/>
      <c r="B810" s="126"/>
      <c r="C810" s="176"/>
      <c r="D810" s="176"/>
      <c r="E810" s="176"/>
      <c r="F810" s="176"/>
      <c r="G810" s="176"/>
      <c r="H810" s="176"/>
      <c r="I810" s="126"/>
      <c r="J810" s="126"/>
      <c r="K810" s="126"/>
      <c r="L810" s="126"/>
      <c r="M810" s="126"/>
      <c r="N810" s="126"/>
      <c r="O810" s="126"/>
      <c r="P810" s="126"/>
      <c r="Q810" s="126"/>
      <c r="R810" s="126"/>
      <c r="S810" s="126"/>
      <c r="T810" s="126"/>
      <c r="U810" s="126"/>
      <c r="V810" s="126"/>
      <c r="W810" s="126"/>
      <c r="X810" s="126"/>
      <c r="Y810" s="126"/>
      <c r="Z810" s="126"/>
      <c r="AA810" s="126"/>
      <c r="AB810" s="126"/>
    </row>
    <row r="811" spans="1:28" ht="15.75" customHeight="1">
      <c r="A811" s="126"/>
      <c r="B811" s="126"/>
      <c r="C811" s="176"/>
      <c r="D811" s="176"/>
      <c r="E811" s="176"/>
      <c r="F811" s="176"/>
      <c r="G811" s="176"/>
      <c r="H811" s="176"/>
      <c r="I811" s="126"/>
      <c r="J811" s="126"/>
      <c r="K811" s="126"/>
      <c r="L811" s="126"/>
      <c r="M811" s="126"/>
      <c r="N811" s="126"/>
      <c r="O811" s="126"/>
      <c r="P811" s="126"/>
      <c r="Q811" s="126"/>
      <c r="R811" s="126"/>
      <c r="S811" s="126"/>
      <c r="T811" s="126"/>
      <c r="U811" s="126"/>
      <c r="V811" s="126"/>
      <c r="W811" s="126"/>
      <c r="X811" s="126"/>
      <c r="Y811" s="126"/>
      <c r="Z811" s="126"/>
      <c r="AA811" s="126"/>
      <c r="AB811" s="126"/>
    </row>
    <row r="812" spans="1:28" ht="15.75" customHeight="1">
      <c r="A812" s="126"/>
      <c r="B812" s="126"/>
      <c r="C812" s="176"/>
      <c r="D812" s="176"/>
      <c r="E812" s="176"/>
      <c r="F812" s="176"/>
      <c r="G812" s="176"/>
      <c r="H812" s="176"/>
      <c r="I812" s="126"/>
      <c r="J812" s="126"/>
      <c r="K812" s="126"/>
      <c r="L812" s="126"/>
      <c r="M812" s="126"/>
      <c r="N812" s="126"/>
      <c r="O812" s="126"/>
      <c r="P812" s="126"/>
      <c r="Q812" s="126"/>
      <c r="R812" s="126"/>
      <c r="S812" s="126"/>
      <c r="T812" s="126"/>
      <c r="U812" s="126"/>
      <c r="V812" s="126"/>
      <c r="W812" s="126"/>
      <c r="X812" s="126"/>
      <c r="Y812" s="126"/>
      <c r="Z812" s="126"/>
      <c r="AA812" s="126"/>
      <c r="AB812" s="126"/>
    </row>
    <row r="813" spans="1:28" ht="15.75" customHeight="1">
      <c r="A813" s="126"/>
      <c r="B813" s="126"/>
      <c r="C813" s="176"/>
      <c r="D813" s="176"/>
      <c r="E813" s="176"/>
      <c r="F813" s="176"/>
      <c r="G813" s="176"/>
      <c r="H813" s="176"/>
      <c r="I813" s="126"/>
      <c r="J813" s="126"/>
      <c r="K813" s="126"/>
      <c r="L813" s="126"/>
      <c r="M813" s="126"/>
      <c r="N813" s="126"/>
      <c r="O813" s="126"/>
      <c r="P813" s="126"/>
      <c r="Q813" s="126"/>
      <c r="R813" s="126"/>
      <c r="S813" s="126"/>
      <c r="T813" s="126"/>
      <c r="U813" s="126"/>
      <c r="V813" s="126"/>
      <c r="W813" s="126"/>
      <c r="X813" s="126"/>
      <c r="Y813" s="126"/>
      <c r="Z813" s="126"/>
      <c r="AA813" s="126"/>
      <c r="AB813" s="126"/>
    </row>
    <row r="814" spans="1:28" ht="15.75" customHeight="1">
      <c r="A814" s="126"/>
      <c r="B814" s="126"/>
      <c r="C814" s="176"/>
      <c r="D814" s="176"/>
      <c r="E814" s="176"/>
      <c r="F814" s="176"/>
      <c r="G814" s="176"/>
      <c r="H814" s="176"/>
      <c r="I814" s="126"/>
      <c r="J814" s="126"/>
      <c r="K814" s="126"/>
      <c r="L814" s="126"/>
      <c r="M814" s="126"/>
      <c r="N814" s="126"/>
      <c r="O814" s="126"/>
      <c r="P814" s="126"/>
      <c r="Q814" s="126"/>
      <c r="R814" s="126"/>
      <c r="S814" s="126"/>
      <c r="T814" s="126"/>
      <c r="U814" s="126"/>
      <c r="V814" s="126"/>
      <c r="W814" s="126"/>
      <c r="X814" s="126"/>
      <c r="Y814" s="126"/>
      <c r="Z814" s="126"/>
      <c r="AA814" s="126"/>
      <c r="AB814" s="126"/>
    </row>
    <row r="815" spans="1:28" ht="15.75" customHeight="1">
      <c r="A815" s="126"/>
      <c r="B815" s="126"/>
      <c r="C815" s="176"/>
      <c r="D815" s="176"/>
      <c r="E815" s="176"/>
      <c r="F815" s="176"/>
      <c r="G815" s="176"/>
      <c r="H815" s="176"/>
      <c r="I815" s="126"/>
      <c r="J815" s="126"/>
      <c r="K815" s="126"/>
      <c r="L815" s="126"/>
      <c r="M815" s="126"/>
      <c r="N815" s="126"/>
      <c r="O815" s="126"/>
      <c r="P815" s="126"/>
      <c r="Q815" s="126"/>
      <c r="R815" s="126"/>
      <c r="S815" s="126"/>
      <c r="T815" s="126"/>
      <c r="U815" s="126"/>
      <c r="V815" s="126"/>
      <c r="W815" s="126"/>
      <c r="X815" s="126"/>
      <c r="Y815" s="126"/>
      <c r="Z815" s="126"/>
      <c r="AA815" s="126"/>
      <c r="AB815" s="126"/>
    </row>
    <row r="816" spans="1:28" ht="15.75" customHeight="1">
      <c r="A816" s="126"/>
      <c r="B816" s="126"/>
      <c r="C816" s="176"/>
      <c r="D816" s="176"/>
      <c r="E816" s="176"/>
      <c r="F816" s="176"/>
      <c r="G816" s="176"/>
      <c r="H816" s="176"/>
      <c r="I816" s="126"/>
      <c r="J816" s="126"/>
      <c r="K816" s="126"/>
      <c r="L816" s="126"/>
      <c r="M816" s="126"/>
      <c r="N816" s="126"/>
      <c r="O816" s="126"/>
      <c r="P816" s="126"/>
      <c r="Q816" s="126"/>
      <c r="R816" s="126"/>
      <c r="S816" s="126"/>
      <c r="T816" s="126"/>
      <c r="U816" s="126"/>
      <c r="V816" s="126"/>
      <c r="W816" s="126"/>
      <c r="X816" s="126"/>
      <c r="Y816" s="126"/>
      <c r="Z816" s="126"/>
      <c r="AA816" s="126"/>
      <c r="AB816" s="126"/>
    </row>
    <row r="817" spans="1:28" ht="15.75" customHeight="1">
      <c r="A817" s="126"/>
      <c r="B817" s="126"/>
      <c r="C817" s="176"/>
      <c r="D817" s="176"/>
      <c r="E817" s="176"/>
      <c r="F817" s="176"/>
      <c r="G817" s="176"/>
      <c r="H817" s="176"/>
      <c r="I817" s="126"/>
      <c r="J817" s="126"/>
      <c r="K817" s="126"/>
      <c r="L817" s="126"/>
      <c r="M817" s="126"/>
      <c r="N817" s="126"/>
      <c r="O817" s="126"/>
      <c r="P817" s="126"/>
      <c r="Q817" s="126"/>
      <c r="R817" s="126"/>
      <c r="S817" s="126"/>
      <c r="T817" s="126"/>
      <c r="U817" s="126"/>
      <c r="V817" s="126"/>
      <c r="W817" s="126"/>
      <c r="X817" s="126"/>
      <c r="Y817" s="126"/>
      <c r="Z817" s="126"/>
      <c r="AA817" s="126"/>
      <c r="AB817" s="126"/>
    </row>
    <row r="818" spans="1:28" ht="15.75" customHeight="1">
      <c r="A818" s="126"/>
      <c r="B818" s="126"/>
      <c r="C818" s="176"/>
      <c r="D818" s="176"/>
      <c r="E818" s="176"/>
      <c r="F818" s="176"/>
      <c r="G818" s="176"/>
      <c r="H818" s="176"/>
      <c r="I818" s="126"/>
      <c r="J818" s="126"/>
      <c r="K818" s="126"/>
      <c r="L818" s="126"/>
      <c r="M818" s="126"/>
      <c r="N818" s="126"/>
      <c r="O818" s="126"/>
      <c r="P818" s="126"/>
      <c r="Q818" s="126"/>
      <c r="R818" s="126"/>
      <c r="S818" s="126"/>
      <c r="T818" s="126"/>
      <c r="U818" s="126"/>
      <c r="V818" s="126"/>
      <c r="W818" s="126"/>
      <c r="X818" s="126"/>
      <c r="Y818" s="126"/>
      <c r="Z818" s="126"/>
      <c r="AA818" s="126"/>
      <c r="AB818" s="126"/>
    </row>
    <row r="819" spans="1:28" ht="15.75" customHeight="1">
      <c r="A819" s="126"/>
      <c r="B819" s="126"/>
      <c r="C819" s="176"/>
      <c r="D819" s="176"/>
      <c r="E819" s="176"/>
      <c r="F819" s="176"/>
      <c r="G819" s="176"/>
      <c r="H819" s="176"/>
      <c r="I819" s="126"/>
      <c r="J819" s="126"/>
      <c r="K819" s="126"/>
      <c r="L819" s="126"/>
      <c r="M819" s="126"/>
      <c r="N819" s="126"/>
      <c r="O819" s="126"/>
      <c r="P819" s="126"/>
      <c r="Q819" s="126"/>
      <c r="R819" s="126"/>
      <c r="S819" s="126"/>
      <c r="T819" s="126"/>
      <c r="U819" s="126"/>
      <c r="V819" s="126"/>
      <c r="W819" s="126"/>
      <c r="X819" s="126"/>
      <c r="Y819" s="126"/>
      <c r="Z819" s="126"/>
      <c r="AA819" s="126"/>
      <c r="AB819" s="126"/>
    </row>
    <row r="820" spans="1:28" ht="15.75" customHeight="1">
      <c r="A820" s="126"/>
      <c r="B820" s="126"/>
      <c r="C820" s="176"/>
      <c r="D820" s="176"/>
      <c r="E820" s="176"/>
      <c r="F820" s="176"/>
      <c r="G820" s="176"/>
      <c r="H820" s="176"/>
      <c r="I820" s="126"/>
      <c r="J820" s="126"/>
      <c r="K820" s="126"/>
      <c r="L820" s="126"/>
      <c r="M820" s="126"/>
      <c r="N820" s="126"/>
      <c r="O820" s="126"/>
      <c r="P820" s="126"/>
      <c r="Q820" s="126"/>
      <c r="R820" s="126"/>
      <c r="S820" s="126"/>
      <c r="T820" s="126"/>
      <c r="U820" s="126"/>
      <c r="V820" s="126"/>
      <c r="W820" s="126"/>
      <c r="X820" s="126"/>
      <c r="Y820" s="126"/>
      <c r="Z820" s="126"/>
      <c r="AA820" s="126"/>
      <c r="AB820" s="126"/>
    </row>
    <row r="821" spans="1:28" ht="15.75" customHeight="1">
      <c r="A821" s="126"/>
      <c r="B821" s="126"/>
      <c r="C821" s="176"/>
      <c r="D821" s="176"/>
      <c r="E821" s="176"/>
      <c r="F821" s="176"/>
      <c r="G821" s="176"/>
      <c r="H821" s="176"/>
      <c r="I821" s="126"/>
      <c r="J821" s="126"/>
      <c r="K821" s="126"/>
      <c r="L821" s="126"/>
      <c r="M821" s="126"/>
      <c r="N821" s="126"/>
      <c r="O821" s="126"/>
      <c r="P821" s="126"/>
      <c r="Q821" s="126"/>
      <c r="R821" s="126"/>
      <c r="S821" s="126"/>
      <c r="T821" s="126"/>
      <c r="U821" s="126"/>
      <c r="V821" s="126"/>
      <c r="W821" s="126"/>
      <c r="X821" s="126"/>
      <c r="Y821" s="126"/>
      <c r="Z821" s="126"/>
      <c r="AA821" s="126"/>
      <c r="AB821" s="126"/>
    </row>
    <row r="822" spans="1:28" ht="15.75" customHeight="1">
      <c r="A822" s="126"/>
      <c r="B822" s="126"/>
      <c r="C822" s="176"/>
      <c r="D822" s="176"/>
      <c r="E822" s="176"/>
      <c r="F822" s="176"/>
      <c r="G822" s="176"/>
      <c r="H822" s="176"/>
      <c r="I822" s="126"/>
      <c r="J822" s="126"/>
      <c r="K822" s="126"/>
      <c r="L822" s="126"/>
      <c r="M822" s="126"/>
      <c r="N822" s="126"/>
      <c r="O822" s="126"/>
      <c r="P822" s="126"/>
      <c r="Q822" s="126"/>
      <c r="R822" s="126"/>
      <c r="S822" s="126"/>
      <c r="T822" s="126"/>
      <c r="U822" s="126"/>
      <c r="V822" s="126"/>
      <c r="W822" s="126"/>
      <c r="X822" s="126"/>
      <c r="Y822" s="126"/>
      <c r="Z822" s="126"/>
      <c r="AA822" s="126"/>
      <c r="AB822" s="126"/>
    </row>
    <row r="823" spans="1:28" ht="15.75" customHeight="1">
      <c r="A823" s="126"/>
      <c r="B823" s="126"/>
      <c r="C823" s="176"/>
      <c r="D823" s="176"/>
      <c r="E823" s="176"/>
      <c r="F823" s="176"/>
      <c r="G823" s="176"/>
      <c r="H823" s="176"/>
      <c r="I823" s="126"/>
      <c r="J823" s="126"/>
      <c r="K823" s="126"/>
      <c r="L823" s="126"/>
      <c r="M823" s="126"/>
      <c r="N823" s="126"/>
      <c r="O823" s="126"/>
      <c r="P823" s="126"/>
      <c r="Q823" s="126"/>
      <c r="R823" s="126"/>
      <c r="S823" s="126"/>
      <c r="T823" s="126"/>
      <c r="U823" s="126"/>
      <c r="V823" s="126"/>
      <c r="W823" s="126"/>
      <c r="X823" s="126"/>
      <c r="Y823" s="126"/>
      <c r="Z823" s="126"/>
      <c r="AA823" s="126"/>
      <c r="AB823" s="126"/>
    </row>
    <row r="824" spans="1:28" ht="15.75" customHeight="1">
      <c r="A824" s="126"/>
      <c r="B824" s="126"/>
      <c r="C824" s="176"/>
      <c r="D824" s="176"/>
      <c r="E824" s="176"/>
      <c r="F824" s="176"/>
      <c r="G824" s="176"/>
      <c r="H824" s="176"/>
      <c r="I824" s="126"/>
      <c r="J824" s="126"/>
      <c r="K824" s="126"/>
      <c r="L824" s="126"/>
      <c r="M824" s="126"/>
      <c r="N824" s="126"/>
      <c r="O824" s="126"/>
      <c r="P824" s="126"/>
      <c r="Q824" s="126"/>
      <c r="R824" s="126"/>
      <c r="S824" s="126"/>
      <c r="T824" s="126"/>
      <c r="U824" s="126"/>
      <c r="V824" s="126"/>
      <c r="W824" s="126"/>
      <c r="X824" s="126"/>
      <c r="Y824" s="126"/>
      <c r="Z824" s="126"/>
      <c r="AA824" s="126"/>
      <c r="AB824" s="126"/>
    </row>
    <row r="825" spans="1:28" ht="15.75" customHeight="1">
      <c r="A825" s="126"/>
      <c r="B825" s="126"/>
      <c r="C825" s="176"/>
      <c r="D825" s="176"/>
      <c r="E825" s="176"/>
      <c r="F825" s="176"/>
      <c r="G825" s="176"/>
      <c r="H825" s="176"/>
      <c r="I825" s="126"/>
      <c r="J825" s="126"/>
      <c r="K825" s="126"/>
      <c r="L825" s="126"/>
      <c r="M825" s="126"/>
      <c r="N825" s="126"/>
      <c r="O825" s="126"/>
      <c r="P825" s="126"/>
      <c r="Q825" s="126"/>
      <c r="R825" s="126"/>
      <c r="S825" s="126"/>
      <c r="T825" s="126"/>
      <c r="U825" s="126"/>
      <c r="V825" s="126"/>
      <c r="W825" s="126"/>
      <c r="X825" s="126"/>
      <c r="Y825" s="126"/>
      <c r="Z825" s="126"/>
      <c r="AA825" s="126"/>
      <c r="AB825" s="126"/>
    </row>
    <row r="826" spans="1:28" ht="15.75" customHeight="1">
      <c r="A826" s="126"/>
      <c r="B826" s="126"/>
      <c r="C826" s="176"/>
      <c r="D826" s="176"/>
      <c r="E826" s="176"/>
      <c r="F826" s="176"/>
      <c r="G826" s="176"/>
      <c r="H826" s="176"/>
      <c r="I826" s="126"/>
      <c r="J826" s="126"/>
      <c r="K826" s="126"/>
      <c r="L826" s="126"/>
      <c r="M826" s="126"/>
      <c r="N826" s="126"/>
      <c r="O826" s="126"/>
      <c r="P826" s="126"/>
      <c r="Q826" s="126"/>
      <c r="R826" s="126"/>
      <c r="S826" s="126"/>
      <c r="T826" s="126"/>
      <c r="U826" s="126"/>
      <c r="V826" s="126"/>
      <c r="W826" s="126"/>
      <c r="X826" s="126"/>
      <c r="Y826" s="126"/>
      <c r="Z826" s="126"/>
      <c r="AA826" s="126"/>
      <c r="AB826" s="126"/>
    </row>
    <row r="827" spans="1:28" ht="15.75" customHeight="1">
      <c r="A827" s="126"/>
      <c r="B827" s="126"/>
      <c r="C827" s="176"/>
      <c r="D827" s="176"/>
      <c r="E827" s="176"/>
      <c r="F827" s="176"/>
      <c r="G827" s="176"/>
      <c r="H827" s="176"/>
      <c r="I827" s="126"/>
      <c r="J827" s="126"/>
      <c r="K827" s="126"/>
      <c r="L827" s="126"/>
      <c r="M827" s="126"/>
      <c r="N827" s="126"/>
      <c r="O827" s="126"/>
      <c r="P827" s="126"/>
      <c r="Q827" s="126"/>
      <c r="R827" s="126"/>
      <c r="S827" s="126"/>
      <c r="T827" s="126"/>
      <c r="U827" s="126"/>
      <c r="V827" s="126"/>
      <c r="W827" s="126"/>
      <c r="X827" s="126"/>
      <c r="Y827" s="126"/>
      <c r="Z827" s="126"/>
      <c r="AA827" s="126"/>
      <c r="AB827" s="126"/>
    </row>
    <row r="828" spans="1:28" ht="15.75" customHeight="1">
      <c r="A828" s="126"/>
      <c r="B828" s="126"/>
      <c r="C828" s="176"/>
      <c r="D828" s="176"/>
      <c r="E828" s="176"/>
      <c r="F828" s="176"/>
      <c r="G828" s="176"/>
      <c r="H828" s="176"/>
      <c r="I828" s="126"/>
      <c r="J828" s="126"/>
      <c r="K828" s="126"/>
      <c r="L828" s="126"/>
      <c r="M828" s="126"/>
      <c r="N828" s="126"/>
      <c r="O828" s="126"/>
      <c r="P828" s="126"/>
      <c r="Q828" s="126"/>
      <c r="R828" s="126"/>
      <c r="S828" s="126"/>
      <c r="T828" s="126"/>
      <c r="U828" s="126"/>
      <c r="V828" s="126"/>
      <c r="W828" s="126"/>
      <c r="X828" s="126"/>
      <c r="Y828" s="126"/>
      <c r="Z828" s="126"/>
      <c r="AA828" s="126"/>
      <c r="AB828" s="126"/>
    </row>
    <row r="829" spans="1:28" ht="15.75" customHeight="1">
      <c r="A829" s="126"/>
      <c r="B829" s="126"/>
      <c r="C829" s="176"/>
      <c r="D829" s="176"/>
      <c r="E829" s="176"/>
      <c r="F829" s="176"/>
      <c r="G829" s="176"/>
      <c r="H829" s="176"/>
      <c r="I829" s="126"/>
      <c r="J829" s="126"/>
      <c r="K829" s="126"/>
      <c r="L829" s="126"/>
      <c r="M829" s="126"/>
      <c r="N829" s="126"/>
      <c r="O829" s="126"/>
      <c r="P829" s="126"/>
      <c r="Q829" s="126"/>
      <c r="R829" s="126"/>
      <c r="S829" s="126"/>
      <c r="T829" s="126"/>
      <c r="U829" s="126"/>
      <c r="V829" s="126"/>
      <c r="W829" s="126"/>
      <c r="X829" s="126"/>
      <c r="Y829" s="126"/>
      <c r="Z829" s="126"/>
      <c r="AA829" s="126"/>
      <c r="AB829" s="126"/>
    </row>
    <row r="830" spans="1:28" ht="15.75" customHeight="1">
      <c r="A830" s="126"/>
      <c r="B830" s="126"/>
      <c r="C830" s="176"/>
      <c r="D830" s="176"/>
      <c r="E830" s="176"/>
      <c r="F830" s="176"/>
      <c r="G830" s="176"/>
      <c r="H830" s="176"/>
      <c r="I830" s="126"/>
      <c r="J830" s="126"/>
      <c r="K830" s="126"/>
      <c r="L830" s="126"/>
      <c r="M830" s="126"/>
      <c r="N830" s="126"/>
      <c r="O830" s="126"/>
      <c r="P830" s="126"/>
      <c r="Q830" s="126"/>
      <c r="R830" s="126"/>
      <c r="S830" s="126"/>
      <c r="T830" s="126"/>
      <c r="U830" s="126"/>
      <c r="V830" s="126"/>
      <c r="W830" s="126"/>
      <c r="X830" s="126"/>
      <c r="Y830" s="126"/>
      <c r="Z830" s="126"/>
      <c r="AA830" s="126"/>
      <c r="AB830" s="126"/>
    </row>
    <row r="831" spans="1:28" ht="15.75" customHeight="1">
      <c r="A831" s="126"/>
      <c r="B831" s="126"/>
      <c r="C831" s="176"/>
      <c r="D831" s="176"/>
      <c r="E831" s="176"/>
      <c r="F831" s="176"/>
      <c r="G831" s="176"/>
      <c r="H831" s="176"/>
      <c r="I831" s="126"/>
      <c r="J831" s="126"/>
      <c r="K831" s="126"/>
      <c r="L831" s="126"/>
      <c r="M831" s="126"/>
      <c r="N831" s="126"/>
      <c r="O831" s="126"/>
      <c r="P831" s="126"/>
      <c r="Q831" s="126"/>
      <c r="R831" s="126"/>
      <c r="S831" s="126"/>
      <c r="T831" s="126"/>
      <c r="U831" s="126"/>
      <c r="V831" s="126"/>
      <c r="W831" s="126"/>
      <c r="X831" s="126"/>
      <c r="Y831" s="126"/>
      <c r="Z831" s="126"/>
      <c r="AA831" s="126"/>
      <c r="AB831" s="126"/>
    </row>
    <row r="832" spans="1:28" ht="15.75" customHeight="1">
      <c r="A832" s="126"/>
      <c r="B832" s="126"/>
      <c r="C832" s="176"/>
      <c r="D832" s="176"/>
      <c r="E832" s="176"/>
      <c r="F832" s="176"/>
      <c r="G832" s="176"/>
      <c r="H832" s="176"/>
      <c r="I832" s="126"/>
      <c r="J832" s="126"/>
      <c r="K832" s="126"/>
      <c r="L832" s="126"/>
      <c r="M832" s="126"/>
      <c r="N832" s="126"/>
      <c r="O832" s="126"/>
      <c r="P832" s="126"/>
      <c r="Q832" s="126"/>
      <c r="R832" s="126"/>
      <c r="S832" s="126"/>
      <c r="T832" s="126"/>
      <c r="U832" s="126"/>
      <c r="V832" s="126"/>
      <c r="W832" s="126"/>
      <c r="X832" s="126"/>
      <c r="Y832" s="126"/>
      <c r="Z832" s="126"/>
      <c r="AA832" s="126"/>
      <c r="AB832" s="126"/>
    </row>
    <row r="833" spans="1:28" ht="15.75" customHeight="1">
      <c r="A833" s="126"/>
      <c r="B833" s="126"/>
      <c r="C833" s="176"/>
      <c r="D833" s="176"/>
      <c r="E833" s="176"/>
      <c r="F833" s="176"/>
      <c r="G833" s="176"/>
      <c r="H833" s="176"/>
      <c r="I833" s="126"/>
      <c r="J833" s="126"/>
      <c r="K833" s="126"/>
      <c r="L833" s="126"/>
      <c r="M833" s="126"/>
      <c r="N833" s="126"/>
      <c r="O833" s="126"/>
      <c r="P833" s="126"/>
      <c r="Q833" s="126"/>
      <c r="R833" s="126"/>
      <c r="S833" s="126"/>
      <c r="T833" s="126"/>
      <c r="U833" s="126"/>
      <c r="V833" s="126"/>
      <c r="W833" s="126"/>
      <c r="X833" s="126"/>
      <c r="Y833" s="126"/>
      <c r="Z833" s="126"/>
      <c r="AA833" s="126"/>
      <c r="AB833" s="126"/>
    </row>
    <row r="834" spans="1:28" ht="15.75" customHeight="1">
      <c r="A834" s="126"/>
      <c r="B834" s="126"/>
      <c r="C834" s="176"/>
      <c r="D834" s="176"/>
      <c r="E834" s="176"/>
      <c r="F834" s="176"/>
      <c r="G834" s="176"/>
      <c r="H834" s="176"/>
      <c r="I834" s="126"/>
      <c r="J834" s="126"/>
      <c r="K834" s="126"/>
      <c r="L834" s="126"/>
      <c r="M834" s="126"/>
      <c r="N834" s="126"/>
      <c r="O834" s="126"/>
      <c r="P834" s="126"/>
      <c r="Q834" s="126"/>
      <c r="R834" s="126"/>
      <c r="S834" s="126"/>
      <c r="T834" s="126"/>
      <c r="U834" s="126"/>
      <c r="V834" s="126"/>
      <c r="W834" s="126"/>
      <c r="X834" s="126"/>
      <c r="Y834" s="126"/>
      <c r="Z834" s="126"/>
      <c r="AA834" s="126"/>
      <c r="AB834" s="126"/>
    </row>
    <row r="835" spans="1:28" ht="15.75" customHeight="1">
      <c r="A835" s="126"/>
      <c r="B835" s="126"/>
      <c r="C835" s="176"/>
      <c r="D835" s="176"/>
      <c r="E835" s="176"/>
      <c r="F835" s="176"/>
      <c r="G835" s="176"/>
      <c r="H835" s="176"/>
      <c r="I835" s="126"/>
      <c r="J835" s="126"/>
      <c r="K835" s="126"/>
      <c r="L835" s="126"/>
      <c r="M835" s="126"/>
      <c r="N835" s="126"/>
      <c r="O835" s="126"/>
      <c r="P835" s="126"/>
      <c r="Q835" s="126"/>
      <c r="R835" s="126"/>
      <c r="S835" s="126"/>
      <c r="T835" s="126"/>
      <c r="U835" s="126"/>
      <c r="V835" s="126"/>
      <c r="W835" s="126"/>
      <c r="X835" s="126"/>
      <c r="Y835" s="126"/>
      <c r="Z835" s="126"/>
      <c r="AA835" s="126"/>
      <c r="AB835" s="126"/>
    </row>
    <row r="836" spans="1:28" ht="15.75" customHeight="1">
      <c r="A836" s="126"/>
      <c r="B836" s="126"/>
      <c r="C836" s="176"/>
      <c r="D836" s="176"/>
      <c r="E836" s="176"/>
      <c r="F836" s="176"/>
      <c r="G836" s="176"/>
      <c r="H836" s="176"/>
      <c r="I836" s="126"/>
      <c r="J836" s="126"/>
      <c r="K836" s="126"/>
      <c r="L836" s="126"/>
      <c r="M836" s="126"/>
      <c r="N836" s="126"/>
      <c r="O836" s="126"/>
      <c r="P836" s="126"/>
      <c r="Q836" s="126"/>
      <c r="R836" s="126"/>
      <c r="S836" s="126"/>
      <c r="T836" s="126"/>
      <c r="U836" s="126"/>
      <c r="V836" s="126"/>
      <c r="W836" s="126"/>
      <c r="X836" s="126"/>
      <c r="Y836" s="126"/>
      <c r="Z836" s="126"/>
      <c r="AA836" s="126"/>
      <c r="AB836" s="126"/>
    </row>
    <row r="837" spans="1:28" ht="15.75" customHeight="1">
      <c r="A837" s="126"/>
      <c r="B837" s="126"/>
      <c r="C837" s="176"/>
      <c r="D837" s="176"/>
      <c r="E837" s="176"/>
      <c r="F837" s="176"/>
      <c r="G837" s="176"/>
      <c r="H837" s="176"/>
      <c r="I837" s="126"/>
      <c r="J837" s="126"/>
      <c r="K837" s="126"/>
      <c r="L837" s="126"/>
      <c r="M837" s="126"/>
      <c r="N837" s="126"/>
      <c r="O837" s="126"/>
      <c r="P837" s="126"/>
      <c r="Q837" s="126"/>
      <c r="R837" s="126"/>
      <c r="S837" s="126"/>
      <c r="T837" s="126"/>
      <c r="U837" s="126"/>
      <c r="V837" s="126"/>
      <c r="W837" s="126"/>
      <c r="X837" s="126"/>
      <c r="Y837" s="126"/>
      <c r="Z837" s="126"/>
      <c r="AA837" s="126"/>
      <c r="AB837" s="126"/>
    </row>
    <row r="838" spans="1:28" ht="15.75" customHeight="1">
      <c r="A838" s="126"/>
      <c r="B838" s="126"/>
      <c r="C838" s="176"/>
      <c r="D838" s="176"/>
      <c r="E838" s="176"/>
      <c r="F838" s="176"/>
      <c r="G838" s="176"/>
      <c r="H838" s="176"/>
      <c r="I838" s="126"/>
      <c r="J838" s="126"/>
      <c r="K838" s="126"/>
      <c r="L838" s="126"/>
      <c r="M838" s="126"/>
      <c r="N838" s="126"/>
      <c r="O838" s="126"/>
      <c r="P838" s="126"/>
      <c r="Q838" s="126"/>
      <c r="R838" s="126"/>
      <c r="S838" s="126"/>
      <c r="T838" s="126"/>
      <c r="U838" s="126"/>
      <c r="V838" s="126"/>
      <c r="W838" s="126"/>
      <c r="X838" s="126"/>
      <c r="Y838" s="126"/>
      <c r="Z838" s="126"/>
      <c r="AA838" s="126"/>
      <c r="AB838" s="126"/>
    </row>
    <row r="839" spans="1:28" ht="15.75" customHeight="1">
      <c r="A839" s="126"/>
      <c r="B839" s="126"/>
      <c r="C839" s="176"/>
      <c r="D839" s="176"/>
      <c r="E839" s="176"/>
      <c r="F839" s="176"/>
      <c r="G839" s="176"/>
      <c r="H839" s="176"/>
      <c r="I839" s="126"/>
      <c r="J839" s="126"/>
      <c r="K839" s="126"/>
      <c r="L839" s="126"/>
      <c r="M839" s="126"/>
      <c r="N839" s="126"/>
      <c r="O839" s="126"/>
      <c r="P839" s="126"/>
      <c r="Q839" s="126"/>
      <c r="R839" s="126"/>
      <c r="S839" s="126"/>
      <c r="T839" s="126"/>
      <c r="U839" s="126"/>
      <c r="V839" s="126"/>
      <c r="W839" s="126"/>
      <c r="X839" s="126"/>
      <c r="Y839" s="126"/>
      <c r="Z839" s="126"/>
      <c r="AA839" s="126"/>
      <c r="AB839" s="126"/>
    </row>
    <row r="840" spans="1:28" ht="15.75" customHeight="1">
      <c r="A840" s="126"/>
      <c r="B840" s="126"/>
      <c r="C840" s="176"/>
      <c r="D840" s="176"/>
      <c r="E840" s="176"/>
      <c r="F840" s="176"/>
      <c r="G840" s="176"/>
      <c r="H840" s="176"/>
      <c r="I840" s="126"/>
      <c r="J840" s="126"/>
      <c r="K840" s="126"/>
      <c r="L840" s="126"/>
      <c r="M840" s="126"/>
      <c r="N840" s="126"/>
      <c r="O840" s="126"/>
      <c r="P840" s="126"/>
      <c r="Q840" s="126"/>
      <c r="R840" s="126"/>
      <c r="S840" s="126"/>
      <c r="T840" s="126"/>
      <c r="U840" s="126"/>
      <c r="V840" s="126"/>
      <c r="W840" s="126"/>
      <c r="X840" s="126"/>
      <c r="Y840" s="126"/>
      <c r="Z840" s="126"/>
      <c r="AA840" s="126"/>
      <c r="AB840" s="126"/>
    </row>
    <row r="841" spans="1:28" ht="15.75" customHeight="1">
      <c r="A841" s="126"/>
      <c r="B841" s="126"/>
      <c r="C841" s="176"/>
      <c r="D841" s="176"/>
      <c r="E841" s="176"/>
      <c r="F841" s="176"/>
      <c r="G841" s="176"/>
      <c r="H841" s="176"/>
      <c r="I841" s="126"/>
      <c r="J841" s="126"/>
      <c r="K841" s="126"/>
      <c r="L841" s="126"/>
      <c r="M841" s="126"/>
      <c r="N841" s="126"/>
      <c r="O841" s="126"/>
      <c r="P841" s="126"/>
      <c r="Q841" s="126"/>
      <c r="R841" s="126"/>
      <c r="S841" s="126"/>
      <c r="T841" s="126"/>
      <c r="U841" s="126"/>
      <c r="V841" s="126"/>
      <c r="W841" s="126"/>
      <c r="X841" s="126"/>
      <c r="Y841" s="126"/>
      <c r="Z841" s="126"/>
      <c r="AA841" s="126"/>
      <c r="AB841" s="126"/>
    </row>
    <row r="842" spans="1:28" ht="15.75" customHeight="1">
      <c r="A842" s="126"/>
      <c r="B842" s="126"/>
      <c r="C842" s="176"/>
      <c r="D842" s="176"/>
      <c r="E842" s="176"/>
      <c r="F842" s="176"/>
      <c r="G842" s="176"/>
      <c r="H842" s="176"/>
      <c r="I842" s="126"/>
      <c r="J842" s="126"/>
      <c r="K842" s="126"/>
      <c r="L842" s="126"/>
      <c r="M842" s="126"/>
      <c r="N842" s="126"/>
      <c r="O842" s="126"/>
      <c r="P842" s="126"/>
      <c r="Q842" s="126"/>
      <c r="R842" s="126"/>
      <c r="S842" s="126"/>
      <c r="T842" s="126"/>
      <c r="U842" s="126"/>
      <c r="V842" s="126"/>
      <c r="W842" s="126"/>
      <c r="X842" s="126"/>
      <c r="Y842" s="126"/>
      <c r="Z842" s="126"/>
      <c r="AA842" s="126"/>
      <c r="AB842" s="126"/>
    </row>
    <row r="843" spans="1:28" ht="15.75" customHeight="1">
      <c r="A843" s="126"/>
      <c r="B843" s="126"/>
      <c r="C843" s="176"/>
      <c r="D843" s="176"/>
      <c r="E843" s="176"/>
      <c r="F843" s="176"/>
      <c r="G843" s="176"/>
      <c r="H843" s="176"/>
      <c r="I843" s="126"/>
      <c r="J843" s="126"/>
      <c r="K843" s="126"/>
      <c r="L843" s="126"/>
      <c r="M843" s="126"/>
      <c r="N843" s="126"/>
      <c r="O843" s="126"/>
      <c r="P843" s="126"/>
      <c r="Q843" s="126"/>
      <c r="R843" s="126"/>
      <c r="S843" s="126"/>
      <c r="T843" s="126"/>
      <c r="U843" s="126"/>
      <c r="V843" s="126"/>
      <c r="W843" s="126"/>
      <c r="X843" s="126"/>
      <c r="Y843" s="126"/>
      <c r="Z843" s="126"/>
      <c r="AA843" s="126"/>
      <c r="AB843" s="126"/>
    </row>
    <row r="844" spans="1:28" ht="15.75" customHeight="1">
      <c r="A844" s="126"/>
      <c r="B844" s="126"/>
      <c r="C844" s="176"/>
      <c r="D844" s="176"/>
      <c r="E844" s="176"/>
      <c r="F844" s="176"/>
      <c r="G844" s="176"/>
      <c r="H844" s="176"/>
      <c r="I844" s="126"/>
      <c r="J844" s="126"/>
      <c r="K844" s="126"/>
      <c r="L844" s="126"/>
      <c r="M844" s="126"/>
      <c r="N844" s="126"/>
      <c r="O844" s="126"/>
      <c r="P844" s="126"/>
      <c r="Q844" s="126"/>
      <c r="R844" s="126"/>
      <c r="S844" s="126"/>
      <c r="T844" s="126"/>
      <c r="U844" s="126"/>
      <c r="V844" s="126"/>
      <c r="W844" s="126"/>
      <c r="X844" s="126"/>
      <c r="Y844" s="126"/>
      <c r="Z844" s="126"/>
      <c r="AA844" s="126"/>
      <c r="AB844" s="126"/>
    </row>
    <row r="845" spans="1:28" ht="15.75" customHeight="1">
      <c r="A845" s="126"/>
      <c r="B845" s="126"/>
      <c r="C845" s="176"/>
      <c r="D845" s="176"/>
      <c r="E845" s="176"/>
      <c r="F845" s="176"/>
      <c r="G845" s="176"/>
      <c r="H845" s="176"/>
      <c r="I845" s="126"/>
      <c r="J845" s="126"/>
      <c r="K845" s="126"/>
      <c r="L845" s="126"/>
      <c r="M845" s="126"/>
      <c r="N845" s="126"/>
      <c r="O845" s="126"/>
      <c r="P845" s="126"/>
      <c r="Q845" s="126"/>
      <c r="R845" s="126"/>
      <c r="S845" s="126"/>
      <c r="T845" s="126"/>
      <c r="U845" s="126"/>
      <c r="V845" s="126"/>
      <c r="W845" s="126"/>
      <c r="X845" s="126"/>
      <c r="Y845" s="126"/>
      <c r="Z845" s="126"/>
      <c r="AA845" s="126"/>
      <c r="AB845" s="126"/>
    </row>
    <row r="846" spans="1:28" ht="15.75" customHeight="1">
      <c r="A846" s="126"/>
      <c r="B846" s="126"/>
      <c r="C846" s="176"/>
      <c r="D846" s="176"/>
      <c r="E846" s="176"/>
      <c r="F846" s="176"/>
      <c r="G846" s="176"/>
      <c r="H846" s="176"/>
      <c r="I846" s="126"/>
      <c r="J846" s="126"/>
      <c r="K846" s="126"/>
      <c r="L846" s="126"/>
      <c r="M846" s="126"/>
      <c r="N846" s="126"/>
      <c r="O846" s="126"/>
      <c r="P846" s="126"/>
      <c r="Q846" s="126"/>
      <c r="R846" s="126"/>
      <c r="S846" s="126"/>
      <c r="T846" s="126"/>
      <c r="U846" s="126"/>
      <c r="V846" s="126"/>
      <c r="W846" s="126"/>
      <c r="X846" s="126"/>
      <c r="Y846" s="126"/>
      <c r="Z846" s="126"/>
      <c r="AA846" s="126"/>
      <c r="AB846" s="126"/>
    </row>
    <row r="847" spans="1:28" ht="15.75" customHeight="1">
      <c r="A847" s="126"/>
      <c r="B847" s="126"/>
      <c r="C847" s="176"/>
      <c r="D847" s="176"/>
      <c r="E847" s="176"/>
      <c r="F847" s="176"/>
      <c r="G847" s="176"/>
      <c r="H847" s="176"/>
      <c r="I847" s="126"/>
      <c r="J847" s="126"/>
      <c r="K847" s="126"/>
      <c r="L847" s="126"/>
      <c r="M847" s="126"/>
      <c r="N847" s="126"/>
      <c r="O847" s="126"/>
      <c r="P847" s="126"/>
      <c r="Q847" s="126"/>
      <c r="R847" s="126"/>
      <c r="S847" s="126"/>
      <c r="T847" s="126"/>
      <c r="U847" s="126"/>
      <c r="V847" s="126"/>
      <c r="W847" s="126"/>
      <c r="X847" s="126"/>
      <c r="Y847" s="126"/>
      <c r="Z847" s="126"/>
      <c r="AA847" s="126"/>
      <c r="AB847" s="126"/>
    </row>
    <row r="848" spans="1:28" ht="15.75" customHeight="1">
      <c r="A848" s="126"/>
      <c r="B848" s="126"/>
      <c r="C848" s="176"/>
      <c r="D848" s="176"/>
      <c r="E848" s="176"/>
      <c r="F848" s="176"/>
      <c r="G848" s="176"/>
      <c r="H848" s="176"/>
      <c r="I848" s="126"/>
      <c r="J848" s="126"/>
      <c r="K848" s="126"/>
      <c r="L848" s="126"/>
      <c r="M848" s="126"/>
      <c r="N848" s="126"/>
      <c r="O848" s="126"/>
      <c r="P848" s="126"/>
      <c r="Q848" s="126"/>
      <c r="R848" s="126"/>
      <c r="S848" s="126"/>
      <c r="T848" s="126"/>
      <c r="U848" s="126"/>
      <c r="V848" s="126"/>
      <c r="W848" s="126"/>
      <c r="X848" s="126"/>
      <c r="Y848" s="126"/>
      <c r="Z848" s="126"/>
      <c r="AA848" s="126"/>
      <c r="AB848" s="126"/>
    </row>
    <row r="849" spans="1:28" ht="15.75" customHeight="1">
      <c r="A849" s="126"/>
      <c r="B849" s="126"/>
      <c r="C849" s="176"/>
      <c r="D849" s="176"/>
      <c r="E849" s="176"/>
      <c r="F849" s="176"/>
      <c r="G849" s="176"/>
      <c r="H849" s="176"/>
      <c r="I849" s="126"/>
      <c r="J849" s="126"/>
      <c r="K849" s="126"/>
      <c r="L849" s="126"/>
      <c r="M849" s="126"/>
      <c r="N849" s="126"/>
      <c r="O849" s="126"/>
      <c r="P849" s="126"/>
      <c r="Q849" s="126"/>
      <c r="R849" s="126"/>
      <c r="S849" s="126"/>
      <c r="T849" s="126"/>
      <c r="U849" s="126"/>
      <c r="V849" s="126"/>
      <c r="W849" s="126"/>
      <c r="X849" s="126"/>
      <c r="Y849" s="126"/>
      <c r="Z849" s="126"/>
      <c r="AA849" s="126"/>
      <c r="AB849" s="126"/>
    </row>
    <row r="850" spans="1:28" ht="15.75" customHeight="1">
      <c r="A850" s="126"/>
      <c r="B850" s="126"/>
      <c r="C850" s="176"/>
      <c r="D850" s="176"/>
      <c r="E850" s="176"/>
      <c r="F850" s="176"/>
      <c r="G850" s="176"/>
      <c r="H850" s="176"/>
      <c r="I850" s="126"/>
      <c r="J850" s="126"/>
      <c r="K850" s="126"/>
      <c r="L850" s="126"/>
      <c r="M850" s="126"/>
      <c r="N850" s="126"/>
      <c r="O850" s="126"/>
      <c r="P850" s="126"/>
      <c r="Q850" s="126"/>
      <c r="R850" s="126"/>
      <c r="S850" s="126"/>
      <c r="T850" s="126"/>
      <c r="U850" s="126"/>
      <c r="V850" s="126"/>
      <c r="W850" s="126"/>
      <c r="X850" s="126"/>
      <c r="Y850" s="126"/>
      <c r="Z850" s="126"/>
      <c r="AA850" s="126"/>
      <c r="AB850" s="126"/>
    </row>
    <row r="851" spans="1:28" ht="15.75" customHeight="1">
      <c r="A851" s="126"/>
      <c r="B851" s="126"/>
      <c r="C851" s="176"/>
      <c r="D851" s="176"/>
      <c r="E851" s="176"/>
      <c r="F851" s="176"/>
      <c r="G851" s="176"/>
      <c r="H851" s="176"/>
      <c r="I851" s="126"/>
      <c r="J851" s="126"/>
      <c r="K851" s="126"/>
      <c r="L851" s="126"/>
      <c r="M851" s="126"/>
      <c r="N851" s="126"/>
      <c r="O851" s="126"/>
      <c r="P851" s="126"/>
      <c r="Q851" s="126"/>
      <c r="R851" s="126"/>
      <c r="S851" s="126"/>
      <c r="T851" s="126"/>
      <c r="U851" s="126"/>
      <c r="V851" s="126"/>
      <c r="W851" s="126"/>
      <c r="X851" s="126"/>
      <c r="Y851" s="126"/>
      <c r="Z851" s="126"/>
      <c r="AA851" s="126"/>
      <c r="AB851" s="126"/>
    </row>
    <row r="852" spans="1:28" ht="15.75" customHeight="1">
      <c r="A852" s="126"/>
      <c r="B852" s="126"/>
      <c r="C852" s="176"/>
      <c r="D852" s="176"/>
      <c r="E852" s="176"/>
      <c r="F852" s="176"/>
      <c r="G852" s="176"/>
      <c r="H852" s="176"/>
      <c r="I852" s="126"/>
      <c r="J852" s="126"/>
      <c r="K852" s="126"/>
      <c r="L852" s="126"/>
      <c r="M852" s="126"/>
      <c r="N852" s="126"/>
      <c r="O852" s="126"/>
      <c r="P852" s="126"/>
      <c r="Q852" s="126"/>
      <c r="R852" s="126"/>
      <c r="S852" s="126"/>
      <c r="T852" s="126"/>
      <c r="U852" s="126"/>
      <c r="V852" s="126"/>
      <c r="W852" s="126"/>
      <c r="X852" s="126"/>
      <c r="Y852" s="126"/>
      <c r="Z852" s="126"/>
      <c r="AA852" s="126"/>
      <c r="AB852" s="126"/>
    </row>
    <row r="853" spans="1:28" ht="15.75" customHeight="1">
      <c r="A853" s="126"/>
      <c r="B853" s="126"/>
      <c r="C853" s="176"/>
      <c r="D853" s="176"/>
      <c r="E853" s="176"/>
      <c r="F853" s="176"/>
      <c r="G853" s="176"/>
      <c r="H853" s="176"/>
      <c r="I853" s="126"/>
      <c r="J853" s="126"/>
      <c r="K853" s="126"/>
      <c r="L853" s="126"/>
      <c r="M853" s="126"/>
      <c r="N853" s="126"/>
      <c r="O853" s="126"/>
      <c r="P853" s="126"/>
      <c r="Q853" s="126"/>
      <c r="R853" s="126"/>
      <c r="S853" s="126"/>
      <c r="T853" s="126"/>
      <c r="U853" s="126"/>
      <c r="V853" s="126"/>
      <c r="W853" s="126"/>
      <c r="X853" s="126"/>
      <c r="Y853" s="126"/>
      <c r="Z853" s="126"/>
      <c r="AA853" s="126"/>
      <c r="AB853" s="126"/>
    </row>
    <row r="854" spans="1:28" ht="15.75" customHeight="1">
      <c r="A854" s="126"/>
      <c r="B854" s="126"/>
      <c r="C854" s="176"/>
      <c r="D854" s="176"/>
      <c r="E854" s="176"/>
      <c r="F854" s="176"/>
      <c r="G854" s="176"/>
      <c r="H854" s="176"/>
      <c r="I854" s="126"/>
      <c r="J854" s="126"/>
      <c r="K854" s="126"/>
      <c r="L854" s="126"/>
      <c r="M854" s="126"/>
      <c r="N854" s="126"/>
      <c r="O854" s="126"/>
      <c r="P854" s="126"/>
      <c r="Q854" s="126"/>
      <c r="R854" s="126"/>
      <c r="S854" s="126"/>
      <c r="T854" s="126"/>
      <c r="U854" s="126"/>
      <c r="V854" s="126"/>
      <c r="W854" s="126"/>
      <c r="X854" s="126"/>
      <c r="Y854" s="126"/>
      <c r="Z854" s="126"/>
      <c r="AA854" s="126"/>
      <c r="AB854" s="126"/>
    </row>
    <row r="855" spans="1:28" ht="15.75" customHeight="1">
      <c r="A855" s="126"/>
      <c r="B855" s="126"/>
      <c r="C855" s="176"/>
      <c r="D855" s="176"/>
      <c r="E855" s="176"/>
      <c r="F855" s="176"/>
      <c r="G855" s="176"/>
      <c r="H855" s="176"/>
      <c r="I855" s="126"/>
      <c r="J855" s="126"/>
      <c r="K855" s="126"/>
      <c r="L855" s="126"/>
      <c r="M855" s="126"/>
      <c r="N855" s="126"/>
      <c r="O855" s="126"/>
      <c r="P855" s="126"/>
      <c r="Q855" s="126"/>
      <c r="R855" s="126"/>
      <c r="S855" s="126"/>
      <c r="T855" s="126"/>
      <c r="U855" s="126"/>
      <c r="V855" s="126"/>
      <c r="W855" s="126"/>
      <c r="X855" s="126"/>
      <c r="Y855" s="126"/>
      <c r="Z855" s="126"/>
      <c r="AA855" s="126"/>
      <c r="AB855" s="126"/>
    </row>
    <row r="856" spans="1:28" ht="15.75" customHeight="1">
      <c r="A856" s="126"/>
      <c r="B856" s="126"/>
      <c r="C856" s="176"/>
      <c r="D856" s="176"/>
      <c r="E856" s="176"/>
      <c r="F856" s="176"/>
      <c r="G856" s="176"/>
      <c r="H856" s="176"/>
      <c r="I856" s="126"/>
      <c r="J856" s="126"/>
      <c r="K856" s="126"/>
      <c r="L856" s="126"/>
      <c r="M856" s="126"/>
      <c r="N856" s="126"/>
      <c r="O856" s="126"/>
      <c r="P856" s="126"/>
      <c r="Q856" s="126"/>
      <c r="R856" s="126"/>
      <c r="S856" s="126"/>
      <c r="T856" s="126"/>
      <c r="U856" s="126"/>
      <c r="V856" s="126"/>
      <c r="W856" s="126"/>
      <c r="X856" s="126"/>
      <c r="Y856" s="126"/>
      <c r="Z856" s="126"/>
      <c r="AA856" s="126"/>
      <c r="AB856" s="126"/>
    </row>
    <row r="857" spans="1:28" ht="15.75" customHeight="1">
      <c r="A857" s="126"/>
      <c r="B857" s="126"/>
      <c r="C857" s="176"/>
      <c r="D857" s="176"/>
      <c r="E857" s="176"/>
      <c r="F857" s="176"/>
      <c r="G857" s="176"/>
      <c r="H857" s="176"/>
      <c r="I857" s="126"/>
      <c r="J857" s="126"/>
      <c r="K857" s="126"/>
      <c r="L857" s="126"/>
      <c r="M857" s="126"/>
      <c r="N857" s="126"/>
      <c r="O857" s="126"/>
      <c r="P857" s="126"/>
      <c r="Q857" s="126"/>
      <c r="R857" s="126"/>
      <c r="S857" s="126"/>
      <c r="T857" s="126"/>
      <c r="U857" s="126"/>
      <c r="V857" s="126"/>
      <c r="W857" s="126"/>
      <c r="X857" s="126"/>
      <c r="Y857" s="126"/>
      <c r="Z857" s="126"/>
      <c r="AA857" s="126"/>
      <c r="AB857" s="126"/>
    </row>
    <row r="858" spans="1:28" ht="15.75" customHeight="1">
      <c r="A858" s="126"/>
      <c r="B858" s="126"/>
      <c r="C858" s="176"/>
      <c r="D858" s="176"/>
      <c r="E858" s="176"/>
      <c r="F858" s="176"/>
      <c r="G858" s="176"/>
      <c r="H858" s="176"/>
      <c r="I858" s="126"/>
      <c r="J858" s="126"/>
      <c r="K858" s="126"/>
      <c r="L858" s="126"/>
      <c r="M858" s="126"/>
      <c r="N858" s="126"/>
      <c r="O858" s="126"/>
      <c r="P858" s="126"/>
      <c r="Q858" s="126"/>
      <c r="R858" s="126"/>
      <c r="S858" s="126"/>
      <c r="T858" s="126"/>
      <c r="U858" s="126"/>
      <c r="V858" s="126"/>
      <c r="W858" s="126"/>
      <c r="X858" s="126"/>
      <c r="Y858" s="126"/>
      <c r="Z858" s="126"/>
      <c r="AA858" s="126"/>
      <c r="AB858" s="126"/>
    </row>
    <row r="859" spans="1:28" ht="15.75" customHeight="1">
      <c r="A859" s="126"/>
      <c r="B859" s="126"/>
      <c r="C859" s="176"/>
      <c r="D859" s="176"/>
      <c r="E859" s="176"/>
      <c r="F859" s="176"/>
      <c r="G859" s="176"/>
      <c r="H859" s="176"/>
      <c r="I859" s="126"/>
      <c r="J859" s="126"/>
      <c r="K859" s="126"/>
      <c r="L859" s="126"/>
      <c r="M859" s="126"/>
      <c r="N859" s="126"/>
      <c r="O859" s="126"/>
      <c r="P859" s="126"/>
      <c r="Q859" s="126"/>
      <c r="R859" s="126"/>
      <c r="S859" s="126"/>
      <c r="T859" s="126"/>
      <c r="U859" s="126"/>
      <c r="V859" s="126"/>
      <c r="W859" s="126"/>
      <c r="X859" s="126"/>
      <c r="Y859" s="126"/>
      <c r="Z859" s="126"/>
      <c r="AA859" s="126"/>
      <c r="AB859" s="126"/>
    </row>
    <row r="860" spans="1:28" ht="15.75" customHeight="1">
      <c r="A860" s="126"/>
      <c r="B860" s="126"/>
      <c r="C860" s="176"/>
      <c r="D860" s="176"/>
      <c r="E860" s="176"/>
      <c r="F860" s="176"/>
      <c r="G860" s="176"/>
      <c r="H860" s="176"/>
      <c r="I860" s="126"/>
      <c r="J860" s="126"/>
      <c r="K860" s="126"/>
      <c r="L860" s="126"/>
      <c r="M860" s="126"/>
      <c r="N860" s="126"/>
      <c r="O860" s="126"/>
      <c r="P860" s="126"/>
      <c r="Q860" s="126"/>
      <c r="R860" s="126"/>
      <c r="S860" s="126"/>
      <c r="T860" s="126"/>
      <c r="U860" s="126"/>
      <c r="V860" s="126"/>
      <c r="W860" s="126"/>
      <c r="X860" s="126"/>
      <c r="Y860" s="126"/>
      <c r="Z860" s="126"/>
      <c r="AA860" s="126"/>
      <c r="AB860" s="126"/>
    </row>
    <row r="861" spans="1:28" ht="15.75" customHeight="1">
      <c r="A861" s="126"/>
      <c r="B861" s="126"/>
      <c r="C861" s="176"/>
      <c r="D861" s="176"/>
      <c r="E861" s="176"/>
      <c r="F861" s="176"/>
      <c r="G861" s="176"/>
      <c r="H861" s="176"/>
      <c r="I861" s="126"/>
      <c r="J861" s="126"/>
      <c r="K861" s="126"/>
      <c r="L861" s="126"/>
      <c r="M861" s="126"/>
      <c r="N861" s="126"/>
      <c r="O861" s="126"/>
      <c r="P861" s="126"/>
      <c r="Q861" s="126"/>
      <c r="R861" s="126"/>
      <c r="S861" s="126"/>
      <c r="T861" s="126"/>
      <c r="U861" s="126"/>
      <c r="V861" s="126"/>
      <c r="W861" s="126"/>
      <c r="X861" s="126"/>
      <c r="Y861" s="126"/>
      <c r="Z861" s="126"/>
      <c r="AA861" s="126"/>
      <c r="AB861" s="126"/>
    </row>
    <row r="862" spans="1:28" ht="15.75" customHeight="1">
      <c r="A862" s="126"/>
      <c r="B862" s="126"/>
      <c r="C862" s="176"/>
      <c r="D862" s="176"/>
      <c r="E862" s="176"/>
      <c r="F862" s="176"/>
      <c r="G862" s="176"/>
      <c r="H862" s="176"/>
      <c r="I862" s="126"/>
      <c r="J862" s="126"/>
      <c r="K862" s="126"/>
      <c r="L862" s="126"/>
      <c r="M862" s="126"/>
      <c r="N862" s="126"/>
      <c r="O862" s="126"/>
      <c r="P862" s="126"/>
      <c r="Q862" s="126"/>
      <c r="R862" s="126"/>
      <c r="S862" s="126"/>
      <c r="T862" s="126"/>
      <c r="U862" s="126"/>
      <c r="V862" s="126"/>
      <c r="W862" s="126"/>
      <c r="X862" s="126"/>
      <c r="Y862" s="126"/>
      <c r="Z862" s="126"/>
      <c r="AA862" s="126"/>
      <c r="AB862" s="126"/>
    </row>
    <row r="863" spans="1:28" ht="15.75" customHeight="1">
      <c r="A863" s="126"/>
      <c r="B863" s="126"/>
      <c r="C863" s="176"/>
      <c r="D863" s="176"/>
      <c r="E863" s="176"/>
      <c r="F863" s="176"/>
      <c r="G863" s="176"/>
      <c r="H863" s="176"/>
      <c r="I863" s="126"/>
      <c r="J863" s="126"/>
      <c r="K863" s="126"/>
      <c r="L863" s="126"/>
      <c r="M863" s="126"/>
      <c r="N863" s="126"/>
      <c r="O863" s="126"/>
      <c r="P863" s="126"/>
      <c r="Q863" s="126"/>
      <c r="R863" s="126"/>
      <c r="S863" s="126"/>
      <c r="T863" s="126"/>
      <c r="U863" s="126"/>
      <c r="V863" s="126"/>
      <c r="W863" s="126"/>
      <c r="X863" s="126"/>
      <c r="Y863" s="126"/>
      <c r="Z863" s="126"/>
      <c r="AA863" s="126"/>
      <c r="AB863" s="126"/>
    </row>
    <row r="864" spans="1:28" ht="15.75" customHeight="1">
      <c r="A864" s="126"/>
      <c r="B864" s="126"/>
      <c r="C864" s="176"/>
      <c r="D864" s="176"/>
      <c r="E864" s="176"/>
      <c r="F864" s="176"/>
      <c r="G864" s="176"/>
      <c r="H864" s="176"/>
      <c r="I864" s="126"/>
      <c r="J864" s="126"/>
      <c r="K864" s="126"/>
      <c r="L864" s="126"/>
      <c r="M864" s="126"/>
      <c r="N864" s="126"/>
      <c r="O864" s="126"/>
      <c r="P864" s="126"/>
      <c r="Q864" s="126"/>
      <c r="R864" s="126"/>
      <c r="S864" s="126"/>
      <c r="T864" s="126"/>
      <c r="U864" s="126"/>
      <c r="V864" s="126"/>
      <c r="W864" s="126"/>
      <c r="X864" s="126"/>
      <c r="Y864" s="126"/>
      <c r="Z864" s="126"/>
      <c r="AA864" s="126"/>
      <c r="AB864" s="126"/>
    </row>
    <row r="865" spans="1:28" ht="15.75" customHeight="1">
      <c r="A865" s="126"/>
      <c r="B865" s="126"/>
      <c r="C865" s="176"/>
      <c r="D865" s="176"/>
      <c r="E865" s="176"/>
      <c r="F865" s="176"/>
      <c r="G865" s="176"/>
      <c r="H865" s="176"/>
      <c r="I865" s="126"/>
      <c r="J865" s="126"/>
      <c r="K865" s="126"/>
      <c r="L865" s="126"/>
      <c r="M865" s="126"/>
      <c r="N865" s="126"/>
      <c r="O865" s="126"/>
      <c r="P865" s="126"/>
      <c r="Q865" s="126"/>
      <c r="R865" s="126"/>
      <c r="S865" s="126"/>
      <c r="T865" s="126"/>
      <c r="U865" s="126"/>
      <c r="V865" s="126"/>
      <c r="W865" s="126"/>
      <c r="X865" s="126"/>
      <c r="Y865" s="126"/>
      <c r="Z865" s="126"/>
      <c r="AA865" s="126"/>
      <c r="AB865" s="126"/>
    </row>
    <row r="866" spans="1:28" ht="15.75" customHeight="1">
      <c r="A866" s="126"/>
      <c r="B866" s="126"/>
      <c r="C866" s="176"/>
      <c r="D866" s="176"/>
      <c r="E866" s="176"/>
      <c r="F866" s="176"/>
      <c r="G866" s="176"/>
      <c r="H866" s="176"/>
      <c r="I866" s="126"/>
      <c r="J866" s="126"/>
      <c r="K866" s="126"/>
      <c r="L866" s="126"/>
      <c r="M866" s="126"/>
      <c r="N866" s="126"/>
      <c r="O866" s="126"/>
      <c r="P866" s="126"/>
      <c r="Q866" s="126"/>
      <c r="R866" s="126"/>
      <c r="S866" s="126"/>
      <c r="T866" s="126"/>
      <c r="U866" s="126"/>
      <c r="V866" s="126"/>
      <c r="W866" s="126"/>
      <c r="X866" s="126"/>
      <c r="Y866" s="126"/>
      <c r="Z866" s="126"/>
      <c r="AA866" s="126"/>
      <c r="AB866" s="126"/>
    </row>
    <row r="867" spans="1:28" ht="15.75" customHeight="1">
      <c r="A867" s="126"/>
      <c r="B867" s="126"/>
      <c r="C867" s="176"/>
      <c r="D867" s="176"/>
      <c r="E867" s="176"/>
      <c r="F867" s="176"/>
      <c r="G867" s="176"/>
      <c r="H867" s="176"/>
      <c r="I867" s="126"/>
      <c r="J867" s="126"/>
      <c r="K867" s="126"/>
      <c r="L867" s="126"/>
      <c r="M867" s="126"/>
      <c r="N867" s="126"/>
      <c r="O867" s="126"/>
      <c r="P867" s="126"/>
      <c r="Q867" s="126"/>
      <c r="R867" s="126"/>
      <c r="S867" s="126"/>
      <c r="T867" s="126"/>
      <c r="U867" s="126"/>
      <c r="V867" s="126"/>
      <c r="W867" s="126"/>
      <c r="X867" s="126"/>
      <c r="Y867" s="126"/>
      <c r="Z867" s="126"/>
      <c r="AA867" s="126"/>
      <c r="AB867" s="126"/>
    </row>
    <row r="868" spans="1:28" ht="15.75" customHeight="1">
      <c r="A868" s="126"/>
      <c r="B868" s="126"/>
      <c r="C868" s="176"/>
      <c r="D868" s="176"/>
      <c r="E868" s="176"/>
      <c r="F868" s="176"/>
      <c r="G868" s="176"/>
      <c r="H868" s="176"/>
      <c r="I868" s="126"/>
      <c r="J868" s="126"/>
      <c r="K868" s="126"/>
      <c r="L868" s="126"/>
      <c r="M868" s="126"/>
      <c r="N868" s="126"/>
      <c r="O868" s="126"/>
      <c r="P868" s="126"/>
      <c r="Q868" s="126"/>
      <c r="R868" s="126"/>
      <c r="S868" s="126"/>
      <c r="T868" s="126"/>
      <c r="U868" s="126"/>
      <c r="V868" s="126"/>
      <c r="W868" s="126"/>
      <c r="X868" s="126"/>
      <c r="Y868" s="126"/>
      <c r="Z868" s="126"/>
      <c r="AA868" s="126"/>
      <c r="AB868" s="126"/>
    </row>
    <row r="869" spans="1:28" ht="15.75" customHeight="1">
      <c r="A869" s="126"/>
      <c r="B869" s="126"/>
      <c r="C869" s="176"/>
      <c r="D869" s="176"/>
      <c r="E869" s="176"/>
      <c r="F869" s="176"/>
      <c r="G869" s="176"/>
      <c r="H869" s="176"/>
      <c r="I869" s="126"/>
      <c r="J869" s="126"/>
      <c r="K869" s="126"/>
      <c r="L869" s="126"/>
      <c r="M869" s="126"/>
      <c r="N869" s="126"/>
      <c r="O869" s="126"/>
      <c r="P869" s="126"/>
      <c r="Q869" s="126"/>
      <c r="R869" s="126"/>
      <c r="S869" s="126"/>
      <c r="T869" s="126"/>
      <c r="U869" s="126"/>
      <c r="V869" s="126"/>
      <c r="W869" s="126"/>
      <c r="X869" s="126"/>
      <c r="Y869" s="126"/>
      <c r="Z869" s="126"/>
      <c r="AA869" s="126"/>
      <c r="AB869" s="126"/>
    </row>
    <row r="870" spans="1:28" ht="15.75" customHeight="1">
      <c r="A870" s="126"/>
      <c r="B870" s="126"/>
      <c r="C870" s="176"/>
      <c r="D870" s="176"/>
      <c r="E870" s="176"/>
      <c r="F870" s="176"/>
      <c r="G870" s="176"/>
      <c r="H870" s="176"/>
      <c r="I870" s="126"/>
      <c r="J870" s="126"/>
      <c r="K870" s="126"/>
      <c r="L870" s="126"/>
      <c r="M870" s="126"/>
      <c r="N870" s="126"/>
      <c r="O870" s="126"/>
      <c r="P870" s="126"/>
      <c r="Q870" s="126"/>
      <c r="R870" s="126"/>
      <c r="S870" s="126"/>
      <c r="T870" s="126"/>
      <c r="U870" s="126"/>
      <c r="V870" s="126"/>
      <c r="W870" s="126"/>
      <c r="X870" s="126"/>
      <c r="Y870" s="126"/>
      <c r="Z870" s="126"/>
      <c r="AA870" s="126"/>
      <c r="AB870" s="126"/>
    </row>
    <row r="871" spans="1:28" ht="15.75" customHeight="1">
      <c r="A871" s="126"/>
      <c r="B871" s="126"/>
      <c r="C871" s="176"/>
      <c r="D871" s="176"/>
      <c r="E871" s="176"/>
      <c r="F871" s="176"/>
      <c r="G871" s="176"/>
      <c r="H871" s="176"/>
      <c r="I871" s="126"/>
      <c r="J871" s="126"/>
      <c r="K871" s="126"/>
      <c r="L871" s="126"/>
      <c r="M871" s="126"/>
      <c r="N871" s="126"/>
      <c r="O871" s="126"/>
      <c r="P871" s="126"/>
      <c r="Q871" s="126"/>
      <c r="R871" s="126"/>
      <c r="S871" s="126"/>
      <c r="T871" s="126"/>
      <c r="U871" s="126"/>
      <c r="V871" s="126"/>
      <c r="W871" s="126"/>
      <c r="X871" s="126"/>
      <c r="Y871" s="126"/>
      <c r="Z871" s="126"/>
      <c r="AA871" s="126"/>
      <c r="AB871" s="126"/>
    </row>
    <row r="872" spans="1:28" ht="15.75" customHeight="1">
      <c r="A872" s="126"/>
      <c r="B872" s="126"/>
      <c r="C872" s="176"/>
      <c r="D872" s="176"/>
      <c r="E872" s="176"/>
      <c r="F872" s="176"/>
      <c r="G872" s="176"/>
      <c r="H872" s="176"/>
      <c r="I872" s="126"/>
      <c r="J872" s="126"/>
      <c r="K872" s="126"/>
      <c r="L872" s="126"/>
      <c r="M872" s="126"/>
      <c r="N872" s="126"/>
      <c r="O872" s="126"/>
      <c r="P872" s="126"/>
      <c r="Q872" s="126"/>
      <c r="R872" s="126"/>
      <c r="S872" s="126"/>
      <c r="T872" s="126"/>
      <c r="U872" s="126"/>
      <c r="V872" s="126"/>
      <c r="W872" s="126"/>
      <c r="X872" s="126"/>
      <c r="Y872" s="126"/>
      <c r="Z872" s="126"/>
      <c r="AA872" s="126"/>
      <c r="AB872" s="126"/>
    </row>
    <row r="873" spans="1:28" ht="15.75" customHeight="1">
      <c r="A873" s="126"/>
      <c r="B873" s="126"/>
      <c r="C873" s="176"/>
      <c r="D873" s="176"/>
      <c r="E873" s="176"/>
      <c r="F873" s="176"/>
      <c r="G873" s="176"/>
      <c r="H873" s="176"/>
      <c r="I873" s="126"/>
      <c r="J873" s="126"/>
      <c r="K873" s="126"/>
      <c r="L873" s="126"/>
      <c r="M873" s="126"/>
      <c r="N873" s="126"/>
      <c r="O873" s="126"/>
      <c r="P873" s="126"/>
      <c r="Q873" s="126"/>
      <c r="R873" s="126"/>
      <c r="S873" s="126"/>
      <c r="T873" s="126"/>
      <c r="U873" s="126"/>
      <c r="V873" s="126"/>
      <c r="W873" s="126"/>
      <c r="X873" s="126"/>
      <c r="Y873" s="126"/>
      <c r="Z873" s="126"/>
      <c r="AA873" s="126"/>
      <c r="AB873" s="126"/>
    </row>
    <row r="874" spans="1:28" ht="15.75" customHeight="1">
      <c r="A874" s="126"/>
      <c r="B874" s="126"/>
      <c r="C874" s="176"/>
      <c r="D874" s="176"/>
      <c r="E874" s="176"/>
      <c r="F874" s="176"/>
      <c r="G874" s="176"/>
      <c r="H874" s="176"/>
      <c r="I874" s="126"/>
      <c r="J874" s="126"/>
      <c r="K874" s="126"/>
      <c r="L874" s="126"/>
      <c r="M874" s="126"/>
      <c r="N874" s="126"/>
      <c r="O874" s="126"/>
      <c r="P874" s="126"/>
      <c r="Q874" s="126"/>
      <c r="R874" s="126"/>
      <c r="S874" s="126"/>
      <c r="T874" s="126"/>
      <c r="U874" s="126"/>
      <c r="V874" s="126"/>
      <c r="W874" s="126"/>
      <c r="X874" s="126"/>
      <c r="Y874" s="126"/>
      <c r="Z874" s="126"/>
      <c r="AA874" s="126"/>
      <c r="AB874" s="126"/>
    </row>
    <row r="875" spans="1:28" ht="15.75" customHeight="1">
      <c r="A875" s="126"/>
      <c r="B875" s="126"/>
      <c r="C875" s="176"/>
      <c r="D875" s="176"/>
      <c r="E875" s="176"/>
      <c r="F875" s="176"/>
      <c r="G875" s="176"/>
      <c r="H875" s="176"/>
      <c r="I875" s="126"/>
      <c r="J875" s="126"/>
      <c r="K875" s="126"/>
      <c r="L875" s="126"/>
      <c r="M875" s="126"/>
      <c r="N875" s="126"/>
      <c r="O875" s="126"/>
      <c r="P875" s="126"/>
      <c r="Q875" s="126"/>
      <c r="R875" s="126"/>
      <c r="S875" s="126"/>
      <c r="T875" s="126"/>
      <c r="U875" s="126"/>
      <c r="V875" s="126"/>
      <c r="W875" s="126"/>
      <c r="X875" s="126"/>
      <c r="Y875" s="126"/>
      <c r="Z875" s="126"/>
      <c r="AA875" s="126"/>
      <c r="AB875" s="126"/>
    </row>
    <row r="876" spans="1:28" ht="15.75" customHeight="1">
      <c r="A876" s="126"/>
      <c r="B876" s="126"/>
      <c r="C876" s="176"/>
      <c r="D876" s="176"/>
      <c r="E876" s="176"/>
      <c r="F876" s="176"/>
      <c r="G876" s="176"/>
      <c r="H876" s="176"/>
      <c r="I876" s="126"/>
      <c r="J876" s="126"/>
      <c r="K876" s="126"/>
      <c r="L876" s="126"/>
      <c r="M876" s="126"/>
      <c r="N876" s="126"/>
      <c r="O876" s="126"/>
      <c r="P876" s="126"/>
      <c r="Q876" s="126"/>
      <c r="R876" s="126"/>
      <c r="S876" s="126"/>
      <c r="T876" s="126"/>
      <c r="U876" s="126"/>
      <c r="V876" s="126"/>
      <c r="W876" s="126"/>
      <c r="X876" s="126"/>
      <c r="Y876" s="126"/>
      <c r="Z876" s="126"/>
      <c r="AA876" s="126"/>
      <c r="AB876" s="126"/>
    </row>
    <row r="877" spans="1:28" ht="15.75" customHeight="1">
      <c r="A877" s="126"/>
      <c r="B877" s="126"/>
      <c r="C877" s="176"/>
      <c r="D877" s="176"/>
      <c r="E877" s="176"/>
      <c r="F877" s="176"/>
      <c r="G877" s="176"/>
      <c r="H877" s="176"/>
      <c r="I877" s="126"/>
      <c r="J877" s="126"/>
      <c r="K877" s="126"/>
      <c r="L877" s="126"/>
      <c r="M877" s="126"/>
      <c r="N877" s="126"/>
      <c r="O877" s="126"/>
      <c r="P877" s="126"/>
      <c r="Q877" s="126"/>
      <c r="R877" s="126"/>
      <c r="S877" s="126"/>
      <c r="T877" s="126"/>
      <c r="U877" s="126"/>
      <c r="V877" s="126"/>
      <c r="W877" s="126"/>
      <c r="X877" s="126"/>
      <c r="Y877" s="126"/>
      <c r="Z877" s="126"/>
      <c r="AA877" s="126"/>
      <c r="AB877" s="126"/>
    </row>
    <row r="878" spans="1:28" ht="15.75" customHeight="1">
      <c r="A878" s="126"/>
      <c r="B878" s="126"/>
      <c r="C878" s="176"/>
      <c r="D878" s="176"/>
      <c r="E878" s="176"/>
      <c r="F878" s="176"/>
      <c r="G878" s="176"/>
      <c r="H878" s="176"/>
      <c r="I878" s="126"/>
      <c r="J878" s="126"/>
      <c r="K878" s="126"/>
      <c r="L878" s="126"/>
      <c r="M878" s="126"/>
      <c r="N878" s="126"/>
      <c r="O878" s="126"/>
      <c r="P878" s="126"/>
      <c r="Q878" s="126"/>
      <c r="R878" s="126"/>
      <c r="S878" s="126"/>
      <c r="T878" s="126"/>
      <c r="U878" s="126"/>
      <c r="V878" s="126"/>
      <c r="W878" s="126"/>
      <c r="X878" s="126"/>
      <c r="Y878" s="126"/>
      <c r="Z878" s="126"/>
      <c r="AA878" s="126"/>
      <c r="AB878" s="126"/>
    </row>
    <row r="879" spans="1:28" ht="15.75" customHeight="1">
      <c r="A879" s="126"/>
      <c r="B879" s="126"/>
      <c r="C879" s="176"/>
      <c r="D879" s="176"/>
      <c r="E879" s="176"/>
      <c r="F879" s="176"/>
      <c r="G879" s="176"/>
      <c r="H879" s="176"/>
      <c r="I879" s="126"/>
      <c r="J879" s="126"/>
      <c r="K879" s="126"/>
      <c r="L879" s="126"/>
      <c r="M879" s="126"/>
      <c r="N879" s="126"/>
      <c r="O879" s="126"/>
      <c r="P879" s="126"/>
      <c r="Q879" s="126"/>
      <c r="R879" s="126"/>
      <c r="S879" s="126"/>
      <c r="T879" s="126"/>
      <c r="U879" s="126"/>
      <c r="V879" s="126"/>
      <c r="W879" s="126"/>
      <c r="X879" s="126"/>
      <c r="Y879" s="126"/>
      <c r="Z879" s="126"/>
      <c r="AA879" s="126"/>
      <c r="AB879" s="126"/>
    </row>
    <row r="880" spans="1:28" ht="15.75" customHeight="1">
      <c r="A880" s="126"/>
      <c r="B880" s="126"/>
      <c r="C880" s="176"/>
      <c r="D880" s="176"/>
      <c r="E880" s="176"/>
      <c r="F880" s="176"/>
      <c r="G880" s="176"/>
      <c r="H880" s="176"/>
      <c r="I880" s="126"/>
      <c r="J880" s="126"/>
      <c r="K880" s="126"/>
      <c r="L880" s="126"/>
      <c r="M880" s="126"/>
      <c r="N880" s="126"/>
      <c r="O880" s="126"/>
      <c r="P880" s="126"/>
      <c r="Q880" s="126"/>
      <c r="R880" s="126"/>
      <c r="S880" s="126"/>
      <c r="T880" s="126"/>
      <c r="U880" s="126"/>
      <c r="V880" s="126"/>
      <c r="W880" s="126"/>
      <c r="X880" s="126"/>
      <c r="Y880" s="126"/>
      <c r="Z880" s="126"/>
      <c r="AA880" s="126"/>
      <c r="AB880" s="126"/>
    </row>
    <row r="881" spans="1:28" ht="15.75" customHeight="1">
      <c r="A881" s="126"/>
      <c r="B881" s="126"/>
      <c r="C881" s="176"/>
      <c r="D881" s="176"/>
      <c r="E881" s="176"/>
      <c r="F881" s="176"/>
      <c r="G881" s="176"/>
      <c r="H881" s="176"/>
      <c r="I881" s="126"/>
      <c r="J881" s="126"/>
      <c r="K881" s="126"/>
      <c r="L881" s="126"/>
      <c r="M881" s="126"/>
      <c r="N881" s="126"/>
      <c r="O881" s="126"/>
      <c r="P881" s="126"/>
      <c r="Q881" s="126"/>
      <c r="R881" s="126"/>
      <c r="S881" s="126"/>
      <c r="T881" s="126"/>
      <c r="U881" s="126"/>
      <c r="V881" s="126"/>
      <c r="W881" s="126"/>
      <c r="X881" s="126"/>
      <c r="Y881" s="126"/>
      <c r="Z881" s="126"/>
      <c r="AA881" s="126"/>
      <c r="AB881" s="126"/>
    </row>
    <row r="882" spans="1:28" ht="15.75" customHeight="1">
      <c r="A882" s="126"/>
      <c r="B882" s="126"/>
      <c r="C882" s="176"/>
      <c r="D882" s="176"/>
      <c r="E882" s="176"/>
      <c r="F882" s="176"/>
      <c r="G882" s="176"/>
      <c r="H882" s="176"/>
      <c r="I882" s="126"/>
      <c r="J882" s="126"/>
      <c r="K882" s="126"/>
      <c r="L882" s="126"/>
      <c r="M882" s="126"/>
      <c r="N882" s="126"/>
      <c r="O882" s="126"/>
      <c r="P882" s="126"/>
      <c r="Q882" s="126"/>
      <c r="R882" s="126"/>
      <c r="S882" s="126"/>
      <c r="T882" s="126"/>
      <c r="U882" s="126"/>
      <c r="V882" s="126"/>
      <c r="W882" s="126"/>
      <c r="X882" s="126"/>
      <c r="Y882" s="126"/>
      <c r="Z882" s="126"/>
      <c r="AA882" s="126"/>
      <c r="AB882" s="126"/>
    </row>
    <row r="883" spans="1:28" ht="15.75" customHeight="1">
      <c r="A883" s="126"/>
      <c r="B883" s="126"/>
      <c r="C883" s="176"/>
      <c r="D883" s="176"/>
      <c r="E883" s="176"/>
      <c r="F883" s="176"/>
      <c r="G883" s="176"/>
      <c r="H883" s="176"/>
      <c r="I883" s="126"/>
      <c r="J883" s="126"/>
      <c r="K883" s="126"/>
      <c r="L883" s="126"/>
      <c r="M883" s="126"/>
      <c r="N883" s="126"/>
      <c r="O883" s="126"/>
      <c r="P883" s="126"/>
      <c r="Q883" s="126"/>
      <c r="R883" s="126"/>
      <c r="S883" s="126"/>
      <c r="T883" s="126"/>
      <c r="U883" s="126"/>
      <c r="V883" s="126"/>
      <c r="W883" s="126"/>
      <c r="X883" s="126"/>
      <c r="Y883" s="126"/>
      <c r="Z883" s="126"/>
      <c r="AA883" s="126"/>
      <c r="AB883" s="126"/>
    </row>
    <row r="884" spans="1:28" ht="15.75" customHeight="1">
      <c r="A884" s="126"/>
      <c r="B884" s="126"/>
      <c r="C884" s="176"/>
      <c r="D884" s="176"/>
      <c r="E884" s="176"/>
      <c r="F884" s="176"/>
      <c r="G884" s="176"/>
      <c r="H884" s="176"/>
      <c r="I884" s="126"/>
      <c r="J884" s="126"/>
      <c r="K884" s="126"/>
      <c r="L884" s="126"/>
      <c r="M884" s="126"/>
      <c r="N884" s="126"/>
      <c r="O884" s="126"/>
      <c r="P884" s="126"/>
      <c r="Q884" s="126"/>
      <c r="R884" s="126"/>
      <c r="S884" s="126"/>
      <c r="T884" s="126"/>
      <c r="U884" s="126"/>
      <c r="V884" s="126"/>
      <c r="W884" s="126"/>
      <c r="X884" s="126"/>
      <c r="Y884" s="126"/>
      <c r="Z884" s="126"/>
      <c r="AA884" s="126"/>
      <c r="AB884" s="126"/>
    </row>
    <row r="885" spans="1:28" ht="15.75" customHeight="1">
      <c r="A885" s="126"/>
      <c r="B885" s="126"/>
      <c r="C885" s="176"/>
      <c r="D885" s="176"/>
      <c r="E885" s="176"/>
      <c r="F885" s="176"/>
      <c r="G885" s="176"/>
      <c r="H885" s="176"/>
      <c r="I885" s="126"/>
      <c r="J885" s="126"/>
      <c r="K885" s="126"/>
      <c r="L885" s="126"/>
      <c r="M885" s="126"/>
      <c r="N885" s="126"/>
      <c r="O885" s="126"/>
      <c r="P885" s="126"/>
      <c r="Q885" s="126"/>
      <c r="R885" s="126"/>
      <c r="S885" s="126"/>
      <c r="T885" s="126"/>
      <c r="U885" s="126"/>
      <c r="V885" s="126"/>
      <c r="W885" s="126"/>
      <c r="X885" s="126"/>
      <c r="Y885" s="126"/>
      <c r="Z885" s="126"/>
      <c r="AA885" s="126"/>
      <c r="AB885" s="126"/>
    </row>
    <row r="886" spans="1:28" ht="15.75" customHeight="1">
      <c r="A886" s="126"/>
      <c r="B886" s="126"/>
      <c r="C886" s="176"/>
      <c r="D886" s="176"/>
      <c r="E886" s="176"/>
      <c r="F886" s="176"/>
      <c r="G886" s="176"/>
      <c r="H886" s="176"/>
      <c r="I886" s="126"/>
      <c r="J886" s="126"/>
      <c r="K886" s="126"/>
      <c r="L886" s="126"/>
      <c r="M886" s="126"/>
      <c r="N886" s="126"/>
      <c r="O886" s="126"/>
      <c r="P886" s="126"/>
      <c r="Q886" s="126"/>
      <c r="R886" s="126"/>
      <c r="S886" s="126"/>
      <c r="T886" s="126"/>
      <c r="U886" s="126"/>
      <c r="V886" s="126"/>
      <c r="W886" s="126"/>
      <c r="X886" s="126"/>
      <c r="Y886" s="126"/>
      <c r="Z886" s="126"/>
      <c r="AA886" s="126"/>
      <c r="AB886" s="126"/>
    </row>
    <row r="887" spans="1:28" ht="15.75" customHeight="1">
      <c r="A887" s="126"/>
      <c r="B887" s="126"/>
      <c r="C887" s="176"/>
      <c r="D887" s="176"/>
      <c r="E887" s="176"/>
      <c r="F887" s="176"/>
      <c r="G887" s="176"/>
      <c r="H887" s="176"/>
      <c r="I887" s="126"/>
      <c r="J887" s="126"/>
      <c r="K887" s="126"/>
      <c r="L887" s="126"/>
      <c r="M887" s="126"/>
      <c r="N887" s="126"/>
      <c r="O887" s="126"/>
      <c r="P887" s="126"/>
      <c r="Q887" s="126"/>
      <c r="R887" s="126"/>
      <c r="S887" s="126"/>
      <c r="T887" s="126"/>
      <c r="U887" s="126"/>
      <c r="V887" s="126"/>
      <c r="W887" s="126"/>
      <c r="X887" s="126"/>
      <c r="Y887" s="126"/>
      <c r="Z887" s="126"/>
      <c r="AA887" s="126"/>
      <c r="AB887" s="126"/>
    </row>
    <row r="888" spans="1:28" ht="15.75" customHeight="1">
      <c r="A888" s="126"/>
      <c r="B888" s="126"/>
      <c r="C888" s="176"/>
      <c r="D888" s="176"/>
      <c r="E888" s="176"/>
      <c r="F888" s="176"/>
      <c r="G888" s="176"/>
      <c r="H888" s="176"/>
      <c r="I888" s="126"/>
      <c r="J888" s="126"/>
      <c r="K888" s="126"/>
      <c r="L888" s="126"/>
      <c r="M888" s="126"/>
      <c r="N888" s="126"/>
      <c r="O888" s="126"/>
      <c r="P888" s="126"/>
      <c r="Q888" s="126"/>
      <c r="R888" s="126"/>
      <c r="S888" s="126"/>
      <c r="T888" s="126"/>
      <c r="U888" s="126"/>
      <c r="V888" s="126"/>
      <c r="W888" s="126"/>
      <c r="X888" s="126"/>
      <c r="Y888" s="126"/>
      <c r="Z888" s="126"/>
      <c r="AA888" s="126"/>
      <c r="AB888" s="126"/>
    </row>
    <row r="889" spans="1:28" ht="15.75" customHeight="1">
      <c r="A889" s="126"/>
      <c r="B889" s="126"/>
      <c r="C889" s="176"/>
      <c r="D889" s="176"/>
      <c r="E889" s="176"/>
      <c r="F889" s="176"/>
      <c r="G889" s="176"/>
      <c r="H889" s="176"/>
      <c r="I889" s="126"/>
      <c r="J889" s="126"/>
      <c r="K889" s="126"/>
      <c r="L889" s="126"/>
      <c r="M889" s="126"/>
      <c r="N889" s="126"/>
      <c r="O889" s="126"/>
      <c r="P889" s="126"/>
      <c r="Q889" s="126"/>
      <c r="R889" s="126"/>
      <c r="S889" s="126"/>
      <c r="T889" s="126"/>
      <c r="U889" s="126"/>
      <c r="V889" s="126"/>
      <c r="W889" s="126"/>
      <c r="X889" s="126"/>
      <c r="Y889" s="126"/>
      <c r="Z889" s="126"/>
      <c r="AA889" s="126"/>
      <c r="AB889" s="126"/>
    </row>
    <row r="890" spans="1:28" ht="15.75" customHeight="1">
      <c r="A890" s="126"/>
      <c r="B890" s="126"/>
      <c r="C890" s="176"/>
      <c r="D890" s="176"/>
      <c r="E890" s="176"/>
      <c r="F890" s="176"/>
      <c r="G890" s="176"/>
      <c r="H890" s="176"/>
      <c r="I890" s="126"/>
      <c r="J890" s="126"/>
      <c r="K890" s="126"/>
      <c r="L890" s="126"/>
      <c r="M890" s="126"/>
      <c r="N890" s="126"/>
      <c r="O890" s="126"/>
      <c r="P890" s="126"/>
      <c r="Q890" s="126"/>
      <c r="R890" s="126"/>
      <c r="S890" s="126"/>
      <c r="T890" s="126"/>
      <c r="U890" s="126"/>
      <c r="V890" s="126"/>
      <c r="W890" s="126"/>
      <c r="X890" s="126"/>
      <c r="Y890" s="126"/>
      <c r="Z890" s="126"/>
      <c r="AA890" s="126"/>
      <c r="AB890" s="126"/>
    </row>
    <row r="891" spans="1:28" ht="15.75" customHeight="1">
      <c r="A891" s="126"/>
      <c r="B891" s="126"/>
      <c r="C891" s="176"/>
      <c r="D891" s="176"/>
      <c r="E891" s="176"/>
      <c r="F891" s="176"/>
      <c r="G891" s="176"/>
      <c r="H891" s="176"/>
      <c r="I891" s="126"/>
      <c r="J891" s="126"/>
      <c r="K891" s="126"/>
      <c r="L891" s="126"/>
      <c r="M891" s="126"/>
      <c r="N891" s="126"/>
      <c r="O891" s="126"/>
      <c r="P891" s="126"/>
      <c r="Q891" s="126"/>
      <c r="R891" s="126"/>
      <c r="S891" s="126"/>
      <c r="T891" s="126"/>
      <c r="U891" s="126"/>
      <c r="V891" s="126"/>
      <c r="W891" s="126"/>
      <c r="X891" s="126"/>
      <c r="Y891" s="126"/>
      <c r="Z891" s="126"/>
      <c r="AA891" s="126"/>
      <c r="AB891" s="126"/>
    </row>
    <row r="892" spans="1:28" ht="15.75" customHeight="1">
      <c r="A892" s="126"/>
      <c r="B892" s="126"/>
      <c r="C892" s="176"/>
      <c r="D892" s="176"/>
      <c r="E892" s="176"/>
      <c r="F892" s="176"/>
      <c r="G892" s="176"/>
      <c r="H892" s="176"/>
      <c r="I892" s="126"/>
      <c r="J892" s="126"/>
      <c r="K892" s="126"/>
      <c r="L892" s="126"/>
      <c r="M892" s="126"/>
      <c r="N892" s="126"/>
      <c r="O892" s="126"/>
      <c r="P892" s="126"/>
      <c r="Q892" s="126"/>
      <c r="R892" s="126"/>
      <c r="S892" s="126"/>
      <c r="T892" s="126"/>
      <c r="U892" s="126"/>
      <c r="V892" s="126"/>
      <c r="W892" s="126"/>
      <c r="X892" s="126"/>
      <c r="Y892" s="126"/>
      <c r="Z892" s="126"/>
      <c r="AA892" s="126"/>
      <c r="AB892" s="126"/>
    </row>
    <row r="893" spans="1:28" ht="15.75" customHeight="1">
      <c r="A893" s="126"/>
      <c r="B893" s="126"/>
      <c r="C893" s="176"/>
      <c r="D893" s="176"/>
      <c r="E893" s="176"/>
      <c r="F893" s="176"/>
      <c r="G893" s="176"/>
      <c r="H893" s="176"/>
      <c r="I893" s="126"/>
      <c r="J893" s="126"/>
      <c r="K893" s="126"/>
      <c r="L893" s="126"/>
      <c r="M893" s="126"/>
      <c r="N893" s="126"/>
      <c r="O893" s="126"/>
      <c r="P893" s="126"/>
      <c r="Q893" s="126"/>
      <c r="R893" s="126"/>
      <c r="S893" s="126"/>
      <c r="T893" s="126"/>
      <c r="U893" s="126"/>
      <c r="V893" s="126"/>
      <c r="W893" s="126"/>
      <c r="X893" s="126"/>
      <c r="Y893" s="126"/>
      <c r="Z893" s="126"/>
      <c r="AA893" s="126"/>
      <c r="AB893" s="126"/>
    </row>
    <row r="894" spans="1:28" ht="15.75" customHeight="1">
      <c r="A894" s="126"/>
      <c r="B894" s="126"/>
      <c r="C894" s="176"/>
      <c r="D894" s="176"/>
      <c r="E894" s="176"/>
      <c r="F894" s="176"/>
      <c r="G894" s="176"/>
      <c r="H894" s="176"/>
      <c r="I894" s="126"/>
      <c r="J894" s="126"/>
      <c r="K894" s="126"/>
      <c r="L894" s="126"/>
      <c r="M894" s="126"/>
      <c r="N894" s="126"/>
      <c r="O894" s="126"/>
      <c r="P894" s="126"/>
      <c r="Q894" s="126"/>
      <c r="R894" s="126"/>
      <c r="S894" s="126"/>
      <c r="T894" s="126"/>
      <c r="U894" s="126"/>
      <c r="V894" s="126"/>
      <c r="W894" s="126"/>
      <c r="X894" s="126"/>
      <c r="Y894" s="126"/>
      <c r="Z894" s="126"/>
      <c r="AA894" s="126"/>
      <c r="AB894" s="126"/>
    </row>
    <row r="895" spans="1:28" ht="15.75" customHeight="1">
      <c r="A895" s="126"/>
      <c r="B895" s="126"/>
      <c r="C895" s="176"/>
      <c r="D895" s="176"/>
      <c r="E895" s="176"/>
      <c r="F895" s="176"/>
      <c r="G895" s="176"/>
      <c r="H895" s="176"/>
      <c r="I895" s="126"/>
      <c r="J895" s="126"/>
      <c r="K895" s="126"/>
      <c r="L895" s="126"/>
      <c r="M895" s="126"/>
      <c r="N895" s="126"/>
      <c r="O895" s="126"/>
      <c r="P895" s="126"/>
      <c r="Q895" s="126"/>
      <c r="R895" s="126"/>
      <c r="S895" s="126"/>
      <c r="T895" s="126"/>
      <c r="U895" s="126"/>
      <c r="V895" s="126"/>
      <c r="W895" s="126"/>
      <c r="X895" s="126"/>
      <c r="Y895" s="126"/>
      <c r="Z895" s="126"/>
      <c r="AA895" s="126"/>
      <c r="AB895" s="126"/>
    </row>
    <row r="896" spans="1:28" ht="15.75" customHeight="1">
      <c r="A896" s="126"/>
      <c r="B896" s="126"/>
      <c r="C896" s="176"/>
      <c r="D896" s="176"/>
      <c r="E896" s="176"/>
      <c r="F896" s="176"/>
      <c r="G896" s="176"/>
      <c r="H896" s="176"/>
      <c r="I896" s="126"/>
      <c r="J896" s="126"/>
      <c r="K896" s="126"/>
      <c r="L896" s="126"/>
      <c r="M896" s="126"/>
      <c r="N896" s="126"/>
      <c r="O896" s="126"/>
      <c r="P896" s="126"/>
      <c r="Q896" s="126"/>
      <c r="R896" s="126"/>
      <c r="S896" s="126"/>
      <c r="T896" s="126"/>
      <c r="U896" s="126"/>
      <c r="V896" s="126"/>
      <c r="W896" s="126"/>
      <c r="X896" s="126"/>
      <c r="Y896" s="126"/>
      <c r="Z896" s="126"/>
      <c r="AA896" s="126"/>
      <c r="AB896" s="126"/>
    </row>
    <row r="897" spans="1:28" ht="15.75" customHeight="1">
      <c r="A897" s="126"/>
      <c r="B897" s="126"/>
      <c r="C897" s="176"/>
      <c r="D897" s="176"/>
      <c r="E897" s="176"/>
      <c r="F897" s="176"/>
      <c r="G897" s="176"/>
      <c r="H897" s="176"/>
      <c r="I897" s="126"/>
      <c r="J897" s="126"/>
      <c r="K897" s="126"/>
      <c r="L897" s="126"/>
      <c r="M897" s="126"/>
      <c r="N897" s="126"/>
      <c r="O897" s="126"/>
      <c r="P897" s="126"/>
      <c r="Q897" s="126"/>
      <c r="R897" s="126"/>
      <c r="S897" s="126"/>
      <c r="T897" s="126"/>
      <c r="U897" s="126"/>
      <c r="V897" s="126"/>
      <c r="W897" s="126"/>
      <c r="X897" s="126"/>
      <c r="Y897" s="126"/>
      <c r="Z897" s="126"/>
      <c r="AA897" s="126"/>
      <c r="AB897" s="126"/>
    </row>
    <row r="898" spans="1:28" ht="15.75" customHeight="1">
      <c r="A898" s="126"/>
      <c r="B898" s="126"/>
      <c r="C898" s="176"/>
      <c r="D898" s="176"/>
      <c r="E898" s="176"/>
      <c r="F898" s="176"/>
      <c r="G898" s="176"/>
      <c r="H898" s="176"/>
      <c r="I898" s="126"/>
      <c r="J898" s="126"/>
      <c r="K898" s="126"/>
      <c r="L898" s="126"/>
      <c r="M898" s="126"/>
      <c r="N898" s="126"/>
      <c r="O898" s="126"/>
      <c r="P898" s="126"/>
      <c r="Q898" s="126"/>
      <c r="R898" s="126"/>
      <c r="S898" s="126"/>
      <c r="T898" s="126"/>
      <c r="U898" s="126"/>
      <c r="V898" s="126"/>
      <c r="W898" s="126"/>
      <c r="X898" s="126"/>
      <c r="Y898" s="126"/>
      <c r="Z898" s="126"/>
      <c r="AA898" s="126"/>
      <c r="AB898" s="126"/>
    </row>
    <row r="899" spans="1:28" ht="15.75" customHeight="1">
      <c r="A899" s="126"/>
      <c r="B899" s="126"/>
      <c r="C899" s="176"/>
      <c r="D899" s="176"/>
      <c r="E899" s="176"/>
      <c r="F899" s="176"/>
      <c r="G899" s="176"/>
      <c r="H899" s="176"/>
      <c r="I899" s="126"/>
      <c r="J899" s="126"/>
      <c r="K899" s="126"/>
      <c r="L899" s="126"/>
      <c r="M899" s="126"/>
      <c r="N899" s="126"/>
      <c r="O899" s="126"/>
      <c r="P899" s="126"/>
      <c r="Q899" s="126"/>
      <c r="R899" s="126"/>
      <c r="S899" s="126"/>
      <c r="T899" s="126"/>
      <c r="U899" s="126"/>
      <c r="V899" s="126"/>
      <c r="W899" s="126"/>
      <c r="X899" s="126"/>
      <c r="Y899" s="126"/>
      <c r="Z899" s="126"/>
      <c r="AA899" s="126"/>
      <c r="AB899" s="126"/>
    </row>
    <row r="900" spans="1:28" ht="15.75" customHeight="1">
      <c r="A900" s="126"/>
      <c r="B900" s="126"/>
      <c r="C900" s="176"/>
      <c r="D900" s="176"/>
      <c r="E900" s="176"/>
      <c r="F900" s="176"/>
      <c r="G900" s="176"/>
      <c r="H900" s="176"/>
      <c r="I900" s="126"/>
      <c r="J900" s="126"/>
      <c r="K900" s="126"/>
      <c r="L900" s="126"/>
      <c r="M900" s="126"/>
      <c r="N900" s="126"/>
      <c r="O900" s="126"/>
      <c r="P900" s="126"/>
      <c r="Q900" s="126"/>
      <c r="R900" s="126"/>
      <c r="S900" s="126"/>
      <c r="T900" s="126"/>
      <c r="U900" s="126"/>
      <c r="V900" s="126"/>
      <c r="W900" s="126"/>
      <c r="X900" s="126"/>
      <c r="Y900" s="126"/>
      <c r="Z900" s="126"/>
      <c r="AA900" s="126"/>
      <c r="AB900" s="126"/>
    </row>
    <row r="901" spans="1:28" ht="15.75" customHeight="1">
      <c r="A901" s="126"/>
      <c r="B901" s="126"/>
      <c r="C901" s="176"/>
      <c r="D901" s="176"/>
      <c r="E901" s="176"/>
      <c r="F901" s="176"/>
      <c r="G901" s="176"/>
      <c r="H901" s="176"/>
      <c r="I901" s="126"/>
      <c r="J901" s="126"/>
      <c r="K901" s="126"/>
      <c r="L901" s="126"/>
      <c r="M901" s="126"/>
      <c r="N901" s="126"/>
      <c r="O901" s="126"/>
      <c r="P901" s="126"/>
      <c r="Q901" s="126"/>
      <c r="R901" s="126"/>
      <c r="S901" s="126"/>
      <c r="T901" s="126"/>
      <c r="U901" s="126"/>
      <c r="V901" s="126"/>
      <c r="W901" s="126"/>
      <c r="X901" s="126"/>
      <c r="Y901" s="126"/>
      <c r="Z901" s="126"/>
      <c r="AA901" s="126"/>
      <c r="AB901" s="126"/>
    </row>
    <row r="902" spans="1:28" ht="15.75" customHeight="1">
      <c r="A902" s="126"/>
      <c r="B902" s="126"/>
      <c r="C902" s="176"/>
      <c r="D902" s="176"/>
      <c r="E902" s="176"/>
      <c r="F902" s="176"/>
      <c r="G902" s="176"/>
      <c r="H902" s="176"/>
      <c r="I902" s="126"/>
      <c r="J902" s="126"/>
      <c r="K902" s="126"/>
      <c r="L902" s="126"/>
      <c r="M902" s="126"/>
      <c r="N902" s="126"/>
      <c r="O902" s="126"/>
      <c r="P902" s="126"/>
      <c r="Q902" s="126"/>
      <c r="R902" s="126"/>
      <c r="S902" s="126"/>
      <c r="T902" s="126"/>
      <c r="U902" s="126"/>
      <c r="V902" s="126"/>
      <c r="W902" s="126"/>
      <c r="X902" s="126"/>
      <c r="Y902" s="126"/>
      <c r="Z902" s="126"/>
      <c r="AA902" s="126"/>
      <c r="AB902" s="126"/>
    </row>
    <row r="903" spans="1:28" ht="15.75" customHeight="1">
      <c r="A903" s="126"/>
      <c r="B903" s="126"/>
      <c r="C903" s="176"/>
      <c r="D903" s="176"/>
      <c r="E903" s="176"/>
      <c r="F903" s="176"/>
      <c r="G903" s="176"/>
      <c r="H903" s="176"/>
      <c r="I903" s="126"/>
      <c r="J903" s="126"/>
      <c r="K903" s="126"/>
      <c r="L903" s="126"/>
      <c r="M903" s="126"/>
      <c r="N903" s="126"/>
      <c r="O903" s="126"/>
      <c r="P903" s="126"/>
      <c r="Q903" s="126"/>
      <c r="R903" s="126"/>
      <c r="S903" s="126"/>
      <c r="T903" s="126"/>
      <c r="U903" s="126"/>
      <c r="V903" s="126"/>
      <c r="W903" s="126"/>
      <c r="X903" s="126"/>
      <c r="Y903" s="126"/>
      <c r="Z903" s="126"/>
      <c r="AA903" s="126"/>
      <c r="AB903" s="126"/>
    </row>
    <row r="904" spans="1:28" ht="15.75" customHeight="1">
      <c r="A904" s="126"/>
      <c r="B904" s="126"/>
      <c r="C904" s="176"/>
      <c r="D904" s="176"/>
      <c r="E904" s="176"/>
      <c r="F904" s="176"/>
      <c r="G904" s="176"/>
      <c r="H904" s="176"/>
      <c r="I904" s="126"/>
      <c r="J904" s="126"/>
      <c r="K904" s="126"/>
      <c r="L904" s="126"/>
      <c r="M904" s="126"/>
      <c r="N904" s="126"/>
      <c r="O904" s="126"/>
      <c r="P904" s="126"/>
      <c r="Q904" s="126"/>
      <c r="R904" s="126"/>
      <c r="S904" s="126"/>
      <c r="T904" s="126"/>
      <c r="U904" s="126"/>
      <c r="V904" s="126"/>
      <c r="W904" s="126"/>
      <c r="X904" s="126"/>
      <c r="Y904" s="126"/>
      <c r="Z904" s="126"/>
      <c r="AA904" s="126"/>
      <c r="AB904" s="126"/>
    </row>
    <row r="905" spans="1:28" ht="15.75" customHeight="1">
      <c r="A905" s="126"/>
      <c r="B905" s="126"/>
      <c r="C905" s="176"/>
      <c r="D905" s="176"/>
      <c r="E905" s="176"/>
      <c r="F905" s="176"/>
      <c r="G905" s="176"/>
      <c r="H905" s="176"/>
      <c r="I905" s="126"/>
      <c r="J905" s="126"/>
      <c r="K905" s="126"/>
      <c r="L905" s="126"/>
      <c r="M905" s="126"/>
      <c r="N905" s="126"/>
      <c r="O905" s="126"/>
      <c r="P905" s="126"/>
      <c r="Q905" s="126"/>
      <c r="R905" s="126"/>
      <c r="S905" s="126"/>
      <c r="T905" s="126"/>
      <c r="U905" s="126"/>
      <c r="V905" s="126"/>
      <c r="W905" s="126"/>
      <c r="X905" s="126"/>
      <c r="Y905" s="126"/>
      <c r="Z905" s="126"/>
      <c r="AA905" s="126"/>
      <c r="AB905" s="126"/>
    </row>
    <row r="906" spans="1:28" ht="15.75" customHeight="1">
      <c r="A906" s="126"/>
      <c r="B906" s="126"/>
      <c r="C906" s="176"/>
      <c r="D906" s="176"/>
      <c r="E906" s="176"/>
      <c r="F906" s="176"/>
      <c r="G906" s="176"/>
      <c r="H906" s="176"/>
      <c r="I906" s="126"/>
      <c r="J906" s="126"/>
      <c r="K906" s="126"/>
      <c r="L906" s="126"/>
      <c r="M906" s="126"/>
      <c r="N906" s="126"/>
      <c r="O906" s="126"/>
      <c r="P906" s="126"/>
      <c r="Q906" s="126"/>
      <c r="R906" s="126"/>
      <c r="S906" s="126"/>
      <c r="T906" s="126"/>
      <c r="U906" s="126"/>
      <c r="V906" s="126"/>
      <c r="W906" s="126"/>
      <c r="X906" s="126"/>
      <c r="Y906" s="126"/>
      <c r="Z906" s="126"/>
      <c r="AA906" s="126"/>
      <c r="AB906" s="126"/>
    </row>
    <row r="907" spans="1:28" ht="15.75" customHeight="1">
      <c r="A907" s="126"/>
      <c r="B907" s="126"/>
      <c r="C907" s="176"/>
      <c r="D907" s="176"/>
      <c r="E907" s="176"/>
      <c r="F907" s="176"/>
      <c r="G907" s="176"/>
      <c r="H907" s="176"/>
      <c r="I907" s="126"/>
      <c r="J907" s="126"/>
      <c r="K907" s="126"/>
      <c r="L907" s="126"/>
      <c r="M907" s="126"/>
      <c r="N907" s="126"/>
      <c r="O907" s="126"/>
      <c r="P907" s="126"/>
      <c r="Q907" s="126"/>
      <c r="R907" s="126"/>
      <c r="S907" s="126"/>
      <c r="T907" s="126"/>
      <c r="U907" s="126"/>
      <c r="V907" s="126"/>
      <c r="W907" s="126"/>
      <c r="X907" s="126"/>
      <c r="Y907" s="126"/>
      <c r="Z907" s="126"/>
      <c r="AA907" s="126"/>
      <c r="AB907" s="126"/>
    </row>
    <row r="908" spans="1:28" ht="15.75" customHeight="1">
      <c r="A908" s="126"/>
      <c r="B908" s="126"/>
      <c r="C908" s="176"/>
      <c r="D908" s="176"/>
      <c r="E908" s="176"/>
      <c r="F908" s="176"/>
      <c r="G908" s="176"/>
      <c r="H908" s="176"/>
      <c r="I908" s="126"/>
      <c r="J908" s="126"/>
      <c r="K908" s="126"/>
      <c r="L908" s="126"/>
      <c r="M908" s="126"/>
      <c r="N908" s="126"/>
      <c r="O908" s="126"/>
      <c r="P908" s="126"/>
      <c r="Q908" s="126"/>
      <c r="R908" s="126"/>
      <c r="S908" s="126"/>
      <c r="T908" s="126"/>
      <c r="U908" s="126"/>
      <c r="V908" s="126"/>
      <c r="W908" s="126"/>
      <c r="X908" s="126"/>
      <c r="Y908" s="126"/>
      <c r="Z908" s="126"/>
      <c r="AA908" s="126"/>
      <c r="AB908" s="126"/>
    </row>
    <row r="909" spans="1:28" ht="15.75" customHeight="1">
      <c r="A909" s="126"/>
      <c r="B909" s="126"/>
      <c r="C909" s="176"/>
      <c r="D909" s="176"/>
      <c r="E909" s="176"/>
      <c r="F909" s="176"/>
      <c r="G909" s="176"/>
      <c r="H909" s="176"/>
      <c r="I909" s="126"/>
      <c r="J909" s="126"/>
      <c r="K909" s="126"/>
      <c r="L909" s="126"/>
      <c r="M909" s="126"/>
      <c r="N909" s="126"/>
      <c r="O909" s="126"/>
      <c r="P909" s="126"/>
      <c r="Q909" s="126"/>
      <c r="R909" s="126"/>
      <c r="S909" s="126"/>
      <c r="T909" s="126"/>
      <c r="U909" s="126"/>
      <c r="V909" s="126"/>
      <c r="W909" s="126"/>
      <c r="X909" s="126"/>
      <c r="Y909" s="126"/>
      <c r="Z909" s="126"/>
      <c r="AA909" s="126"/>
      <c r="AB909" s="126"/>
    </row>
    <row r="910" spans="1:28" ht="15.75" customHeight="1">
      <c r="A910" s="126"/>
      <c r="B910" s="126"/>
      <c r="C910" s="176"/>
      <c r="D910" s="176"/>
      <c r="E910" s="176"/>
      <c r="F910" s="176"/>
      <c r="G910" s="176"/>
      <c r="H910" s="176"/>
      <c r="I910" s="126"/>
      <c r="J910" s="126"/>
      <c r="K910" s="126"/>
      <c r="L910" s="126"/>
      <c r="M910" s="126"/>
      <c r="N910" s="126"/>
      <c r="O910" s="126"/>
      <c r="P910" s="126"/>
      <c r="Q910" s="126"/>
      <c r="R910" s="126"/>
      <c r="S910" s="126"/>
      <c r="T910" s="126"/>
      <c r="U910" s="126"/>
      <c r="V910" s="126"/>
      <c r="W910" s="126"/>
      <c r="X910" s="126"/>
      <c r="Y910" s="126"/>
      <c r="Z910" s="126"/>
      <c r="AA910" s="126"/>
      <c r="AB910" s="126"/>
    </row>
    <row r="911" spans="1:28" ht="15.75" customHeight="1">
      <c r="A911" s="126"/>
      <c r="B911" s="126"/>
      <c r="C911" s="176"/>
      <c r="D911" s="176"/>
      <c r="E911" s="176"/>
      <c r="F911" s="176"/>
      <c r="G911" s="176"/>
      <c r="H911" s="176"/>
      <c r="I911" s="126"/>
      <c r="J911" s="126"/>
      <c r="K911" s="126"/>
      <c r="L911" s="126"/>
      <c r="M911" s="126"/>
      <c r="N911" s="126"/>
      <c r="O911" s="126"/>
      <c r="P911" s="126"/>
      <c r="Q911" s="126"/>
      <c r="R911" s="126"/>
      <c r="S911" s="126"/>
      <c r="T911" s="126"/>
      <c r="U911" s="126"/>
      <c r="V911" s="126"/>
      <c r="W911" s="126"/>
      <c r="X911" s="126"/>
      <c r="Y911" s="126"/>
      <c r="Z911" s="126"/>
      <c r="AA911" s="126"/>
      <c r="AB911" s="126"/>
    </row>
    <row r="912" spans="1:28" ht="15.75" customHeight="1">
      <c r="A912" s="126"/>
      <c r="B912" s="126"/>
      <c r="C912" s="176"/>
      <c r="D912" s="176"/>
      <c r="E912" s="176"/>
      <c r="F912" s="176"/>
      <c r="G912" s="176"/>
      <c r="H912" s="176"/>
      <c r="I912" s="126"/>
      <c r="J912" s="126"/>
      <c r="K912" s="126"/>
      <c r="L912" s="126"/>
      <c r="M912" s="126"/>
      <c r="N912" s="126"/>
      <c r="O912" s="126"/>
      <c r="P912" s="126"/>
      <c r="Q912" s="126"/>
      <c r="R912" s="126"/>
      <c r="S912" s="126"/>
      <c r="T912" s="126"/>
      <c r="U912" s="126"/>
      <c r="V912" s="126"/>
      <c r="W912" s="126"/>
      <c r="X912" s="126"/>
      <c r="Y912" s="126"/>
      <c r="Z912" s="126"/>
      <c r="AA912" s="126"/>
      <c r="AB912" s="126"/>
    </row>
    <row r="913" spans="1:28" ht="15.75" customHeight="1">
      <c r="A913" s="126"/>
      <c r="B913" s="126"/>
      <c r="C913" s="176"/>
      <c r="D913" s="176"/>
      <c r="E913" s="176"/>
      <c r="F913" s="176"/>
      <c r="G913" s="176"/>
      <c r="H913" s="176"/>
      <c r="I913" s="126"/>
      <c r="J913" s="126"/>
      <c r="K913" s="126"/>
      <c r="L913" s="126"/>
      <c r="M913" s="126"/>
      <c r="N913" s="126"/>
      <c r="O913" s="126"/>
      <c r="P913" s="126"/>
      <c r="Q913" s="126"/>
      <c r="R913" s="126"/>
      <c r="S913" s="126"/>
      <c r="T913" s="126"/>
      <c r="U913" s="126"/>
      <c r="V913" s="126"/>
      <c r="W913" s="126"/>
      <c r="X913" s="126"/>
      <c r="Y913" s="126"/>
      <c r="Z913" s="126"/>
      <c r="AA913" s="126"/>
      <c r="AB913" s="126"/>
    </row>
    <row r="914" spans="1:28" ht="15.75" customHeight="1">
      <c r="A914" s="126"/>
      <c r="B914" s="126"/>
      <c r="C914" s="176"/>
      <c r="D914" s="176"/>
      <c r="E914" s="176"/>
      <c r="F914" s="176"/>
      <c r="G914" s="176"/>
      <c r="H914" s="176"/>
      <c r="I914" s="126"/>
      <c r="J914" s="126"/>
      <c r="K914" s="126"/>
      <c r="L914" s="126"/>
      <c r="M914" s="126"/>
      <c r="N914" s="126"/>
      <c r="O914" s="126"/>
      <c r="P914" s="126"/>
      <c r="Q914" s="126"/>
      <c r="R914" s="126"/>
      <c r="S914" s="126"/>
      <c r="T914" s="126"/>
      <c r="U914" s="126"/>
      <c r="V914" s="126"/>
      <c r="W914" s="126"/>
      <c r="X914" s="126"/>
      <c r="Y914" s="126"/>
      <c r="Z914" s="126"/>
      <c r="AA914" s="126"/>
      <c r="AB914" s="126"/>
    </row>
    <row r="915" spans="1:28" ht="15.75" customHeight="1">
      <c r="A915" s="126"/>
      <c r="B915" s="126"/>
      <c r="C915" s="176"/>
      <c r="D915" s="176"/>
      <c r="E915" s="176"/>
      <c r="F915" s="176"/>
      <c r="G915" s="176"/>
      <c r="H915" s="176"/>
      <c r="I915" s="126"/>
      <c r="J915" s="126"/>
      <c r="K915" s="126"/>
      <c r="L915" s="126"/>
      <c r="M915" s="126"/>
      <c r="N915" s="126"/>
      <c r="O915" s="126"/>
      <c r="P915" s="126"/>
      <c r="Q915" s="126"/>
      <c r="R915" s="126"/>
      <c r="S915" s="126"/>
      <c r="T915" s="126"/>
      <c r="U915" s="126"/>
      <c r="V915" s="126"/>
      <c r="W915" s="126"/>
      <c r="X915" s="126"/>
      <c r="Y915" s="126"/>
      <c r="Z915" s="126"/>
      <c r="AA915" s="126"/>
      <c r="AB915" s="126"/>
    </row>
    <row r="916" spans="1:28" ht="15.75" customHeight="1">
      <c r="A916" s="126"/>
      <c r="B916" s="126"/>
      <c r="C916" s="176"/>
      <c r="D916" s="176"/>
      <c r="E916" s="176"/>
      <c r="F916" s="176"/>
      <c r="G916" s="176"/>
      <c r="H916" s="176"/>
      <c r="I916" s="126"/>
      <c r="J916" s="126"/>
      <c r="K916" s="126"/>
      <c r="L916" s="126"/>
      <c r="M916" s="126"/>
      <c r="N916" s="126"/>
      <c r="O916" s="126"/>
      <c r="P916" s="126"/>
      <c r="Q916" s="126"/>
      <c r="R916" s="126"/>
      <c r="S916" s="126"/>
      <c r="T916" s="126"/>
      <c r="U916" s="126"/>
      <c r="V916" s="126"/>
      <c r="W916" s="126"/>
      <c r="X916" s="126"/>
      <c r="Y916" s="126"/>
      <c r="Z916" s="126"/>
      <c r="AA916" s="126"/>
      <c r="AB916" s="126"/>
    </row>
    <row r="917" spans="1:28" ht="15.75" customHeight="1">
      <c r="A917" s="126"/>
      <c r="B917" s="126"/>
      <c r="C917" s="176"/>
      <c r="D917" s="176"/>
      <c r="E917" s="176"/>
      <c r="F917" s="176"/>
      <c r="G917" s="176"/>
      <c r="H917" s="176"/>
      <c r="I917" s="126"/>
      <c r="J917" s="126"/>
      <c r="K917" s="126"/>
      <c r="L917" s="126"/>
      <c r="M917" s="126"/>
      <c r="N917" s="126"/>
      <c r="O917" s="126"/>
      <c r="P917" s="126"/>
      <c r="Q917" s="126"/>
      <c r="R917" s="126"/>
      <c r="S917" s="126"/>
      <c r="T917" s="126"/>
      <c r="U917" s="126"/>
      <c r="V917" s="126"/>
      <c r="W917" s="126"/>
      <c r="X917" s="126"/>
      <c r="Y917" s="126"/>
      <c r="Z917" s="126"/>
      <c r="AA917" s="126"/>
      <c r="AB917" s="126"/>
    </row>
    <row r="918" spans="1:28" ht="15.75" customHeight="1">
      <c r="A918" s="126"/>
      <c r="B918" s="126"/>
      <c r="C918" s="176"/>
      <c r="D918" s="176"/>
      <c r="E918" s="176"/>
      <c r="F918" s="176"/>
      <c r="G918" s="176"/>
      <c r="H918" s="176"/>
      <c r="I918" s="126"/>
      <c r="J918" s="126"/>
      <c r="K918" s="126"/>
      <c r="L918" s="126"/>
      <c r="M918" s="126"/>
      <c r="N918" s="126"/>
      <c r="O918" s="126"/>
      <c r="P918" s="126"/>
      <c r="Q918" s="126"/>
      <c r="R918" s="126"/>
      <c r="S918" s="126"/>
      <c r="T918" s="126"/>
      <c r="U918" s="126"/>
      <c r="V918" s="126"/>
      <c r="W918" s="126"/>
      <c r="X918" s="126"/>
      <c r="Y918" s="126"/>
      <c r="Z918" s="126"/>
      <c r="AA918" s="126"/>
      <c r="AB918" s="126"/>
    </row>
    <row r="919" spans="1:28" ht="15.75" customHeight="1">
      <c r="A919" s="126"/>
      <c r="B919" s="126"/>
      <c r="C919" s="176"/>
      <c r="D919" s="176"/>
      <c r="E919" s="176"/>
      <c r="F919" s="176"/>
      <c r="G919" s="176"/>
      <c r="H919" s="176"/>
      <c r="I919" s="126"/>
      <c r="J919" s="126"/>
      <c r="K919" s="126"/>
      <c r="L919" s="126"/>
      <c r="M919" s="126"/>
      <c r="N919" s="126"/>
      <c r="O919" s="126"/>
      <c r="P919" s="126"/>
      <c r="Q919" s="126"/>
      <c r="R919" s="126"/>
      <c r="S919" s="126"/>
      <c r="T919" s="126"/>
      <c r="U919" s="126"/>
      <c r="V919" s="126"/>
      <c r="W919" s="126"/>
      <c r="X919" s="126"/>
      <c r="Y919" s="126"/>
      <c r="Z919" s="126"/>
      <c r="AA919" s="126"/>
      <c r="AB919" s="126"/>
    </row>
    <row r="920" spans="1:28" ht="15.75" customHeight="1">
      <c r="A920" s="126"/>
      <c r="B920" s="126"/>
      <c r="C920" s="176"/>
      <c r="D920" s="176"/>
      <c r="E920" s="176"/>
      <c r="F920" s="176"/>
      <c r="G920" s="176"/>
      <c r="H920" s="176"/>
      <c r="I920" s="126"/>
      <c r="J920" s="126"/>
      <c r="K920" s="126"/>
      <c r="L920" s="126"/>
      <c r="M920" s="126"/>
      <c r="N920" s="126"/>
      <c r="O920" s="126"/>
      <c r="P920" s="126"/>
      <c r="Q920" s="126"/>
      <c r="R920" s="126"/>
      <c r="S920" s="126"/>
      <c r="T920" s="126"/>
      <c r="U920" s="126"/>
      <c r="V920" s="126"/>
      <c r="W920" s="126"/>
      <c r="X920" s="126"/>
      <c r="Y920" s="126"/>
      <c r="Z920" s="126"/>
      <c r="AA920" s="126"/>
      <c r="AB920" s="126"/>
    </row>
    <row r="921" spans="1:28" ht="15.75" customHeight="1">
      <c r="A921" s="126"/>
      <c r="B921" s="126"/>
      <c r="C921" s="176"/>
      <c r="D921" s="176"/>
      <c r="E921" s="176"/>
      <c r="F921" s="176"/>
      <c r="G921" s="176"/>
      <c r="H921" s="176"/>
      <c r="I921" s="126"/>
      <c r="J921" s="126"/>
      <c r="K921" s="126"/>
      <c r="L921" s="126"/>
      <c r="M921" s="126"/>
      <c r="N921" s="126"/>
      <c r="O921" s="126"/>
      <c r="P921" s="126"/>
      <c r="Q921" s="126"/>
      <c r="R921" s="126"/>
      <c r="S921" s="126"/>
      <c r="T921" s="126"/>
      <c r="U921" s="126"/>
      <c r="V921" s="126"/>
      <c r="W921" s="126"/>
      <c r="X921" s="126"/>
      <c r="Y921" s="126"/>
      <c r="Z921" s="126"/>
      <c r="AA921" s="126"/>
      <c r="AB921" s="126"/>
    </row>
    <row r="922" spans="1:28" ht="15.75" customHeight="1">
      <c r="A922" s="126"/>
      <c r="B922" s="126"/>
      <c r="C922" s="176"/>
      <c r="D922" s="176"/>
      <c r="E922" s="176"/>
      <c r="F922" s="176"/>
      <c r="G922" s="176"/>
      <c r="H922" s="176"/>
      <c r="I922" s="126"/>
      <c r="J922" s="126"/>
      <c r="K922" s="126"/>
      <c r="L922" s="126"/>
      <c r="M922" s="126"/>
      <c r="N922" s="126"/>
      <c r="O922" s="126"/>
      <c r="P922" s="126"/>
      <c r="Q922" s="126"/>
      <c r="R922" s="126"/>
      <c r="S922" s="126"/>
      <c r="T922" s="126"/>
      <c r="U922" s="126"/>
      <c r="V922" s="126"/>
      <c r="W922" s="126"/>
      <c r="X922" s="126"/>
      <c r="Y922" s="126"/>
      <c r="Z922" s="126"/>
      <c r="AA922" s="126"/>
      <c r="AB922" s="126"/>
    </row>
    <row r="923" spans="1:28" ht="15.75" customHeight="1">
      <c r="A923" s="126"/>
      <c r="B923" s="126"/>
      <c r="C923" s="176"/>
      <c r="D923" s="176"/>
      <c r="E923" s="176"/>
      <c r="F923" s="176"/>
      <c r="G923" s="176"/>
      <c r="H923" s="176"/>
      <c r="I923" s="126"/>
      <c r="J923" s="126"/>
      <c r="K923" s="126"/>
      <c r="L923" s="126"/>
      <c r="M923" s="126"/>
      <c r="N923" s="126"/>
      <c r="O923" s="126"/>
      <c r="P923" s="126"/>
      <c r="Q923" s="126"/>
      <c r="R923" s="126"/>
      <c r="S923" s="126"/>
      <c r="T923" s="126"/>
      <c r="U923" s="126"/>
      <c r="V923" s="126"/>
      <c r="W923" s="126"/>
      <c r="X923" s="126"/>
      <c r="Y923" s="126"/>
      <c r="Z923" s="126"/>
      <c r="AA923" s="126"/>
      <c r="AB923" s="126"/>
    </row>
    <row r="924" spans="1:28" ht="15.75" customHeight="1">
      <c r="A924" s="126"/>
      <c r="B924" s="126"/>
      <c r="C924" s="176"/>
      <c r="D924" s="176"/>
      <c r="E924" s="176"/>
      <c r="F924" s="176"/>
      <c r="G924" s="176"/>
      <c r="H924" s="176"/>
      <c r="I924" s="126"/>
      <c r="J924" s="126"/>
      <c r="K924" s="126"/>
      <c r="L924" s="126"/>
      <c r="M924" s="126"/>
      <c r="N924" s="126"/>
      <c r="O924" s="126"/>
      <c r="P924" s="126"/>
      <c r="Q924" s="126"/>
      <c r="R924" s="126"/>
      <c r="S924" s="126"/>
      <c r="T924" s="126"/>
      <c r="U924" s="126"/>
      <c r="V924" s="126"/>
      <c r="W924" s="126"/>
      <c r="X924" s="126"/>
      <c r="Y924" s="126"/>
      <c r="Z924" s="126"/>
      <c r="AA924" s="126"/>
      <c r="AB924" s="126"/>
    </row>
    <row r="925" spans="1:28" ht="15.75" customHeight="1">
      <c r="A925" s="126"/>
      <c r="B925" s="126"/>
      <c r="C925" s="176"/>
      <c r="D925" s="176"/>
      <c r="E925" s="176"/>
      <c r="F925" s="176"/>
      <c r="G925" s="176"/>
      <c r="H925" s="176"/>
      <c r="I925" s="126"/>
      <c r="J925" s="126"/>
      <c r="K925" s="126"/>
      <c r="L925" s="126"/>
      <c r="M925" s="126"/>
      <c r="N925" s="126"/>
      <c r="O925" s="126"/>
      <c r="P925" s="126"/>
      <c r="Q925" s="126"/>
      <c r="R925" s="126"/>
      <c r="S925" s="126"/>
      <c r="T925" s="126"/>
      <c r="U925" s="126"/>
      <c r="V925" s="126"/>
      <c r="W925" s="126"/>
      <c r="X925" s="126"/>
      <c r="Y925" s="126"/>
      <c r="Z925" s="126"/>
      <c r="AA925" s="126"/>
      <c r="AB925" s="126"/>
    </row>
    <row r="926" spans="1:28" ht="15.75" customHeight="1">
      <c r="A926" s="126"/>
      <c r="B926" s="126"/>
      <c r="C926" s="176"/>
      <c r="D926" s="176"/>
      <c r="E926" s="176"/>
      <c r="F926" s="176"/>
      <c r="G926" s="176"/>
      <c r="H926" s="176"/>
      <c r="I926" s="126"/>
      <c r="J926" s="126"/>
      <c r="K926" s="126"/>
      <c r="L926" s="126"/>
      <c r="M926" s="126"/>
      <c r="N926" s="126"/>
      <c r="O926" s="126"/>
      <c r="P926" s="126"/>
      <c r="Q926" s="126"/>
      <c r="R926" s="126"/>
      <c r="S926" s="126"/>
      <c r="T926" s="126"/>
      <c r="U926" s="126"/>
      <c r="V926" s="126"/>
      <c r="W926" s="126"/>
      <c r="X926" s="126"/>
      <c r="Y926" s="126"/>
      <c r="Z926" s="126"/>
      <c r="AA926" s="126"/>
      <c r="AB926" s="126"/>
    </row>
    <row r="927" spans="1:28" ht="15.75" customHeight="1">
      <c r="A927" s="126"/>
      <c r="B927" s="126"/>
      <c r="C927" s="176"/>
      <c r="D927" s="176"/>
      <c r="E927" s="176"/>
      <c r="F927" s="176"/>
      <c r="G927" s="176"/>
      <c r="H927" s="176"/>
      <c r="I927" s="126"/>
      <c r="J927" s="126"/>
      <c r="K927" s="126"/>
      <c r="L927" s="126"/>
      <c r="M927" s="126"/>
      <c r="N927" s="126"/>
      <c r="O927" s="126"/>
      <c r="P927" s="126"/>
      <c r="Q927" s="126"/>
      <c r="R927" s="126"/>
      <c r="S927" s="126"/>
      <c r="T927" s="126"/>
      <c r="U927" s="126"/>
      <c r="V927" s="126"/>
      <c r="W927" s="126"/>
      <c r="X927" s="126"/>
      <c r="Y927" s="126"/>
      <c r="Z927" s="126"/>
      <c r="AA927" s="126"/>
      <c r="AB927" s="126"/>
    </row>
    <row r="928" spans="1:28" ht="15.75" customHeight="1">
      <c r="A928" s="126"/>
      <c r="B928" s="126"/>
      <c r="C928" s="176"/>
      <c r="D928" s="176"/>
      <c r="E928" s="176"/>
      <c r="F928" s="176"/>
      <c r="G928" s="176"/>
      <c r="H928" s="176"/>
      <c r="I928" s="126"/>
      <c r="J928" s="126"/>
      <c r="K928" s="126"/>
      <c r="L928" s="126"/>
      <c r="M928" s="126"/>
      <c r="N928" s="126"/>
      <c r="O928" s="126"/>
      <c r="P928" s="126"/>
      <c r="Q928" s="126"/>
      <c r="R928" s="126"/>
      <c r="S928" s="126"/>
      <c r="T928" s="126"/>
      <c r="U928" s="126"/>
      <c r="V928" s="126"/>
      <c r="W928" s="126"/>
      <c r="X928" s="126"/>
      <c r="Y928" s="126"/>
      <c r="Z928" s="126"/>
      <c r="AA928" s="126"/>
      <c r="AB928" s="126"/>
    </row>
    <row r="929" spans="1:28" ht="15.75" customHeight="1">
      <c r="A929" s="126"/>
      <c r="B929" s="126"/>
      <c r="C929" s="176"/>
      <c r="D929" s="176"/>
      <c r="E929" s="176"/>
      <c r="F929" s="176"/>
      <c r="G929" s="176"/>
      <c r="H929" s="176"/>
      <c r="I929" s="126"/>
      <c r="J929" s="126"/>
      <c r="K929" s="126"/>
      <c r="L929" s="126"/>
      <c r="M929" s="126"/>
      <c r="N929" s="126"/>
      <c r="O929" s="126"/>
      <c r="P929" s="126"/>
      <c r="Q929" s="126"/>
      <c r="R929" s="126"/>
      <c r="S929" s="126"/>
      <c r="T929" s="126"/>
      <c r="U929" s="126"/>
      <c r="V929" s="126"/>
      <c r="W929" s="126"/>
      <c r="X929" s="126"/>
      <c r="Y929" s="126"/>
      <c r="Z929" s="126"/>
      <c r="AA929" s="126"/>
      <c r="AB929" s="126"/>
    </row>
    <row r="930" spans="1:28" ht="15.75" customHeight="1">
      <c r="A930" s="126"/>
      <c r="B930" s="126"/>
      <c r="C930" s="176"/>
      <c r="D930" s="176"/>
      <c r="E930" s="176"/>
      <c r="F930" s="176"/>
      <c r="G930" s="176"/>
      <c r="H930" s="176"/>
      <c r="I930" s="126"/>
      <c r="J930" s="126"/>
      <c r="K930" s="126"/>
      <c r="L930" s="126"/>
      <c r="M930" s="126"/>
      <c r="N930" s="126"/>
      <c r="O930" s="126"/>
      <c r="P930" s="126"/>
      <c r="Q930" s="126"/>
      <c r="R930" s="126"/>
      <c r="S930" s="126"/>
      <c r="T930" s="126"/>
      <c r="U930" s="126"/>
      <c r="V930" s="126"/>
      <c r="W930" s="126"/>
      <c r="X930" s="126"/>
      <c r="Y930" s="126"/>
      <c r="Z930" s="126"/>
      <c r="AA930" s="126"/>
      <c r="AB930" s="126"/>
    </row>
    <row r="931" spans="1:28" ht="15.75" customHeight="1">
      <c r="A931" s="126"/>
      <c r="B931" s="126"/>
      <c r="C931" s="176"/>
      <c r="D931" s="176"/>
      <c r="E931" s="176"/>
      <c r="F931" s="176"/>
      <c r="G931" s="176"/>
      <c r="H931" s="176"/>
      <c r="I931" s="126"/>
      <c r="J931" s="126"/>
      <c r="K931" s="126"/>
      <c r="L931" s="126"/>
      <c r="M931" s="126"/>
      <c r="N931" s="126"/>
      <c r="O931" s="126"/>
      <c r="P931" s="126"/>
      <c r="Q931" s="126"/>
      <c r="R931" s="126"/>
      <c r="S931" s="126"/>
      <c r="T931" s="126"/>
      <c r="U931" s="126"/>
      <c r="V931" s="126"/>
      <c r="W931" s="126"/>
      <c r="X931" s="126"/>
      <c r="Y931" s="126"/>
      <c r="Z931" s="126"/>
      <c r="AA931" s="126"/>
      <c r="AB931" s="126"/>
    </row>
    <row r="932" spans="1:28" ht="15.75" customHeight="1">
      <c r="A932" s="126"/>
      <c r="B932" s="126"/>
      <c r="C932" s="176"/>
      <c r="D932" s="176"/>
      <c r="E932" s="176"/>
      <c r="F932" s="176"/>
      <c r="G932" s="176"/>
      <c r="H932" s="176"/>
      <c r="I932" s="126"/>
      <c r="J932" s="126"/>
      <c r="K932" s="126"/>
      <c r="L932" s="126"/>
      <c r="M932" s="126"/>
      <c r="N932" s="126"/>
      <c r="O932" s="126"/>
      <c r="P932" s="126"/>
      <c r="Q932" s="126"/>
      <c r="R932" s="126"/>
      <c r="S932" s="126"/>
      <c r="T932" s="126"/>
      <c r="U932" s="126"/>
      <c r="V932" s="126"/>
      <c r="W932" s="126"/>
      <c r="X932" s="126"/>
      <c r="Y932" s="126"/>
      <c r="Z932" s="126"/>
      <c r="AA932" s="126"/>
      <c r="AB932" s="126"/>
    </row>
    <row r="933" spans="1:28" ht="15.75" customHeight="1">
      <c r="A933" s="126"/>
      <c r="B933" s="126"/>
      <c r="C933" s="176"/>
      <c r="D933" s="176"/>
      <c r="E933" s="176"/>
      <c r="F933" s="176"/>
      <c r="G933" s="176"/>
      <c r="H933" s="176"/>
      <c r="I933" s="126"/>
      <c r="J933" s="126"/>
      <c r="K933" s="126"/>
      <c r="L933" s="126"/>
      <c r="M933" s="126"/>
      <c r="N933" s="126"/>
      <c r="O933" s="126"/>
      <c r="P933" s="126"/>
      <c r="Q933" s="126"/>
      <c r="R933" s="126"/>
      <c r="S933" s="126"/>
      <c r="T933" s="126"/>
      <c r="U933" s="126"/>
      <c r="V933" s="126"/>
      <c r="W933" s="126"/>
      <c r="X933" s="126"/>
      <c r="Y933" s="126"/>
      <c r="Z933" s="126"/>
      <c r="AA933" s="126"/>
      <c r="AB933" s="126"/>
    </row>
    <row r="934" spans="1:28" ht="15.75" customHeight="1">
      <c r="A934" s="126"/>
      <c r="B934" s="126"/>
      <c r="C934" s="176"/>
      <c r="D934" s="176"/>
      <c r="E934" s="176"/>
      <c r="F934" s="176"/>
      <c r="G934" s="176"/>
      <c r="H934" s="176"/>
      <c r="I934" s="126"/>
      <c r="J934" s="126"/>
      <c r="K934" s="126"/>
      <c r="L934" s="126"/>
      <c r="M934" s="126"/>
      <c r="N934" s="126"/>
      <c r="O934" s="126"/>
      <c r="P934" s="126"/>
      <c r="Q934" s="126"/>
      <c r="R934" s="126"/>
      <c r="S934" s="126"/>
      <c r="T934" s="126"/>
      <c r="U934" s="126"/>
      <c r="V934" s="126"/>
      <c r="W934" s="126"/>
      <c r="X934" s="126"/>
      <c r="Y934" s="126"/>
      <c r="Z934" s="126"/>
      <c r="AA934" s="126"/>
      <c r="AB934" s="126"/>
    </row>
    <row r="935" spans="1:28" ht="15.75" customHeight="1">
      <c r="A935" s="126"/>
      <c r="B935" s="126"/>
      <c r="C935" s="176"/>
      <c r="D935" s="176"/>
      <c r="E935" s="176"/>
      <c r="F935" s="176"/>
      <c r="G935" s="176"/>
      <c r="H935" s="176"/>
      <c r="I935" s="126"/>
      <c r="J935" s="126"/>
      <c r="K935" s="126"/>
      <c r="L935" s="126"/>
      <c r="M935" s="126"/>
      <c r="N935" s="126"/>
      <c r="O935" s="126"/>
      <c r="P935" s="126"/>
      <c r="Q935" s="126"/>
      <c r="R935" s="126"/>
      <c r="S935" s="126"/>
      <c r="T935" s="126"/>
      <c r="U935" s="126"/>
      <c r="V935" s="126"/>
      <c r="W935" s="126"/>
      <c r="X935" s="126"/>
      <c r="Y935" s="126"/>
      <c r="Z935" s="126"/>
      <c r="AA935" s="126"/>
      <c r="AB935" s="126"/>
    </row>
    <row r="936" spans="1:28" ht="15.75" customHeight="1">
      <c r="A936" s="126"/>
      <c r="B936" s="126"/>
      <c r="C936" s="176"/>
      <c r="D936" s="176"/>
      <c r="E936" s="176"/>
      <c r="F936" s="176"/>
      <c r="G936" s="176"/>
      <c r="H936" s="176"/>
      <c r="I936" s="126"/>
      <c r="J936" s="126"/>
      <c r="K936" s="126"/>
      <c r="L936" s="126"/>
      <c r="M936" s="126"/>
      <c r="N936" s="126"/>
      <c r="O936" s="126"/>
      <c r="P936" s="126"/>
      <c r="Q936" s="126"/>
      <c r="R936" s="126"/>
      <c r="S936" s="126"/>
      <c r="T936" s="126"/>
      <c r="U936" s="126"/>
      <c r="V936" s="126"/>
      <c r="W936" s="126"/>
      <c r="X936" s="126"/>
      <c r="Y936" s="126"/>
      <c r="Z936" s="126"/>
      <c r="AA936" s="126"/>
      <c r="AB936" s="126"/>
    </row>
    <row r="937" spans="1:28" ht="15.75" customHeight="1">
      <c r="A937" s="126"/>
      <c r="B937" s="126"/>
      <c r="C937" s="176"/>
      <c r="D937" s="176"/>
      <c r="E937" s="176"/>
      <c r="F937" s="176"/>
      <c r="G937" s="176"/>
      <c r="H937" s="176"/>
      <c r="I937" s="126"/>
      <c r="J937" s="126"/>
      <c r="K937" s="126"/>
      <c r="L937" s="126"/>
      <c r="M937" s="126"/>
      <c r="N937" s="126"/>
      <c r="O937" s="126"/>
      <c r="P937" s="126"/>
      <c r="Q937" s="126"/>
      <c r="R937" s="126"/>
      <c r="S937" s="126"/>
      <c r="T937" s="126"/>
      <c r="U937" s="126"/>
      <c r="V937" s="126"/>
      <c r="W937" s="126"/>
      <c r="X937" s="126"/>
      <c r="Y937" s="126"/>
      <c r="Z937" s="126"/>
      <c r="AA937" s="126"/>
      <c r="AB937" s="126"/>
    </row>
    <row r="938" spans="1:28" ht="15.75" customHeight="1">
      <c r="A938" s="126"/>
      <c r="B938" s="126"/>
      <c r="C938" s="176"/>
      <c r="D938" s="176"/>
      <c r="E938" s="176"/>
      <c r="F938" s="176"/>
      <c r="G938" s="176"/>
      <c r="H938" s="176"/>
      <c r="I938" s="126"/>
      <c r="J938" s="126"/>
      <c r="K938" s="126"/>
      <c r="L938" s="126"/>
      <c r="M938" s="126"/>
      <c r="N938" s="126"/>
      <c r="O938" s="126"/>
      <c r="P938" s="126"/>
      <c r="Q938" s="126"/>
      <c r="R938" s="126"/>
      <c r="S938" s="126"/>
      <c r="T938" s="126"/>
      <c r="U938" s="126"/>
      <c r="V938" s="126"/>
      <c r="W938" s="126"/>
      <c r="X938" s="126"/>
      <c r="Y938" s="126"/>
      <c r="Z938" s="126"/>
      <c r="AA938" s="126"/>
      <c r="AB938" s="126"/>
    </row>
    <row r="939" spans="1:28" ht="15.75" customHeight="1">
      <c r="A939" s="126"/>
      <c r="B939" s="126"/>
      <c r="C939" s="176"/>
      <c r="D939" s="176"/>
      <c r="E939" s="176"/>
      <c r="F939" s="176"/>
      <c r="G939" s="176"/>
      <c r="H939" s="176"/>
      <c r="I939" s="126"/>
      <c r="J939" s="126"/>
      <c r="K939" s="126"/>
      <c r="L939" s="126"/>
      <c r="M939" s="126"/>
      <c r="N939" s="126"/>
      <c r="O939" s="126"/>
      <c r="P939" s="126"/>
      <c r="Q939" s="126"/>
      <c r="R939" s="126"/>
      <c r="S939" s="126"/>
      <c r="T939" s="126"/>
      <c r="U939" s="126"/>
      <c r="V939" s="126"/>
      <c r="W939" s="126"/>
      <c r="X939" s="126"/>
      <c r="Y939" s="126"/>
      <c r="Z939" s="126"/>
      <c r="AA939" s="126"/>
      <c r="AB939" s="126"/>
    </row>
    <row r="940" spans="1:28" ht="15.75" customHeight="1">
      <c r="A940" s="126"/>
      <c r="B940" s="126"/>
      <c r="C940" s="176"/>
      <c r="D940" s="176"/>
      <c r="E940" s="176"/>
      <c r="F940" s="176"/>
      <c r="G940" s="176"/>
      <c r="H940" s="176"/>
      <c r="I940" s="126"/>
      <c r="J940" s="126"/>
      <c r="K940" s="126"/>
      <c r="L940" s="126"/>
      <c r="M940" s="126"/>
      <c r="N940" s="126"/>
      <c r="O940" s="126"/>
      <c r="P940" s="126"/>
      <c r="Q940" s="126"/>
      <c r="R940" s="126"/>
      <c r="S940" s="126"/>
      <c r="T940" s="126"/>
      <c r="U940" s="126"/>
      <c r="V940" s="126"/>
      <c r="W940" s="126"/>
      <c r="X940" s="126"/>
      <c r="Y940" s="126"/>
      <c r="Z940" s="126"/>
      <c r="AA940" s="126"/>
      <c r="AB940" s="126"/>
    </row>
    <row r="941" spans="1:28" ht="15.75" customHeight="1">
      <c r="A941" s="126"/>
      <c r="B941" s="126"/>
      <c r="C941" s="176"/>
      <c r="D941" s="176"/>
      <c r="E941" s="176"/>
      <c r="F941" s="176"/>
      <c r="G941" s="176"/>
      <c r="H941" s="176"/>
      <c r="I941" s="126"/>
      <c r="J941" s="126"/>
      <c r="K941" s="126"/>
      <c r="L941" s="126"/>
      <c r="M941" s="126"/>
      <c r="N941" s="126"/>
      <c r="O941" s="126"/>
      <c r="P941" s="126"/>
      <c r="Q941" s="126"/>
      <c r="R941" s="126"/>
      <c r="S941" s="126"/>
      <c r="T941" s="126"/>
      <c r="U941" s="126"/>
      <c r="V941" s="126"/>
      <c r="W941" s="126"/>
      <c r="X941" s="126"/>
      <c r="Y941" s="126"/>
      <c r="Z941" s="126"/>
      <c r="AA941" s="126"/>
      <c r="AB941" s="126"/>
    </row>
    <row r="942" spans="1:28" ht="15.75" customHeight="1">
      <c r="A942" s="126"/>
      <c r="B942" s="126"/>
      <c r="C942" s="176"/>
      <c r="D942" s="176"/>
      <c r="E942" s="176"/>
      <c r="F942" s="176"/>
      <c r="G942" s="176"/>
      <c r="H942" s="176"/>
      <c r="I942" s="126"/>
      <c r="J942" s="126"/>
      <c r="K942" s="126"/>
      <c r="L942" s="126"/>
      <c r="M942" s="126"/>
      <c r="N942" s="126"/>
      <c r="O942" s="126"/>
      <c r="P942" s="126"/>
      <c r="Q942" s="126"/>
      <c r="R942" s="126"/>
      <c r="S942" s="126"/>
      <c r="T942" s="126"/>
      <c r="U942" s="126"/>
      <c r="V942" s="126"/>
      <c r="W942" s="126"/>
      <c r="X942" s="126"/>
      <c r="Y942" s="126"/>
      <c r="Z942" s="126"/>
      <c r="AA942" s="126"/>
      <c r="AB942" s="126"/>
    </row>
    <row r="943" spans="1:28" ht="15.75" customHeight="1">
      <c r="A943" s="126"/>
      <c r="B943" s="126"/>
      <c r="C943" s="176"/>
      <c r="D943" s="176"/>
      <c r="E943" s="176"/>
      <c r="F943" s="176"/>
      <c r="G943" s="176"/>
      <c r="H943" s="176"/>
      <c r="I943" s="126"/>
      <c r="J943" s="126"/>
      <c r="K943" s="126"/>
      <c r="L943" s="126"/>
      <c r="M943" s="126"/>
      <c r="N943" s="126"/>
      <c r="O943" s="126"/>
      <c r="P943" s="126"/>
      <c r="Q943" s="126"/>
      <c r="R943" s="126"/>
      <c r="S943" s="126"/>
      <c r="T943" s="126"/>
      <c r="U943" s="126"/>
      <c r="V943" s="126"/>
      <c r="W943" s="126"/>
      <c r="X943" s="126"/>
      <c r="Y943" s="126"/>
      <c r="Z943" s="126"/>
      <c r="AA943" s="126"/>
      <c r="AB943" s="126"/>
    </row>
    <row r="944" spans="1:28" ht="15.75" customHeight="1">
      <c r="A944" s="126"/>
      <c r="B944" s="126"/>
      <c r="C944" s="176"/>
      <c r="D944" s="176"/>
      <c r="E944" s="176"/>
      <c r="F944" s="176"/>
      <c r="G944" s="176"/>
      <c r="H944" s="176"/>
      <c r="I944" s="126"/>
      <c r="J944" s="126"/>
      <c r="K944" s="126"/>
      <c r="L944" s="126"/>
      <c r="M944" s="126"/>
      <c r="N944" s="126"/>
      <c r="O944" s="126"/>
      <c r="P944" s="126"/>
      <c r="Q944" s="126"/>
      <c r="R944" s="126"/>
      <c r="S944" s="126"/>
      <c r="T944" s="126"/>
      <c r="U944" s="126"/>
      <c r="V944" s="126"/>
      <c r="W944" s="126"/>
      <c r="X944" s="126"/>
      <c r="Y944" s="126"/>
      <c r="Z944" s="126"/>
      <c r="AA944" s="126"/>
      <c r="AB944" s="126"/>
    </row>
    <row r="945" spans="1:28" ht="15.75" customHeight="1">
      <c r="A945" s="126"/>
      <c r="B945" s="126"/>
      <c r="C945" s="176"/>
      <c r="D945" s="176"/>
      <c r="E945" s="176"/>
      <c r="F945" s="176"/>
      <c r="G945" s="176"/>
      <c r="H945" s="176"/>
      <c r="I945" s="126"/>
      <c r="J945" s="126"/>
      <c r="K945" s="126"/>
      <c r="L945" s="126"/>
      <c r="M945" s="126"/>
      <c r="N945" s="126"/>
      <c r="O945" s="126"/>
      <c r="P945" s="126"/>
      <c r="Q945" s="126"/>
      <c r="R945" s="126"/>
      <c r="S945" s="126"/>
      <c r="T945" s="126"/>
      <c r="U945" s="126"/>
      <c r="V945" s="126"/>
      <c r="W945" s="126"/>
      <c r="X945" s="126"/>
      <c r="Y945" s="126"/>
      <c r="Z945" s="126"/>
      <c r="AA945" s="126"/>
      <c r="AB945" s="126"/>
    </row>
    <row r="946" spans="1:28" ht="15.75" customHeight="1">
      <c r="A946" s="126"/>
      <c r="B946" s="126"/>
      <c r="C946" s="176"/>
      <c r="D946" s="176"/>
      <c r="E946" s="176"/>
      <c r="F946" s="176"/>
      <c r="G946" s="176"/>
      <c r="H946" s="176"/>
      <c r="I946" s="126"/>
      <c r="J946" s="126"/>
      <c r="K946" s="126"/>
      <c r="L946" s="126"/>
      <c r="M946" s="126"/>
      <c r="N946" s="126"/>
      <c r="O946" s="126"/>
      <c r="P946" s="126"/>
      <c r="Q946" s="126"/>
      <c r="R946" s="126"/>
      <c r="S946" s="126"/>
      <c r="T946" s="126"/>
      <c r="U946" s="126"/>
      <c r="V946" s="126"/>
      <c r="W946" s="126"/>
      <c r="X946" s="126"/>
      <c r="Y946" s="126"/>
      <c r="Z946" s="126"/>
      <c r="AA946" s="126"/>
      <c r="AB946" s="126"/>
    </row>
    <row r="947" spans="1:28" ht="15.75" customHeight="1">
      <c r="A947" s="126"/>
      <c r="B947" s="126"/>
      <c r="C947" s="176"/>
      <c r="D947" s="176"/>
      <c r="E947" s="176"/>
      <c r="F947" s="176"/>
      <c r="G947" s="176"/>
      <c r="H947" s="176"/>
      <c r="I947" s="126"/>
      <c r="J947" s="126"/>
      <c r="K947" s="126"/>
      <c r="L947" s="126"/>
      <c r="M947" s="126"/>
      <c r="N947" s="126"/>
      <c r="O947" s="126"/>
      <c r="P947" s="126"/>
      <c r="Q947" s="126"/>
      <c r="R947" s="126"/>
      <c r="S947" s="126"/>
      <c r="T947" s="126"/>
      <c r="U947" s="126"/>
      <c r="V947" s="126"/>
      <c r="W947" s="126"/>
      <c r="X947" s="126"/>
      <c r="Y947" s="126"/>
      <c r="Z947" s="126"/>
      <c r="AA947" s="126"/>
      <c r="AB947" s="126"/>
    </row>
    <row r="948" spans="1:28" ht="15.75" customHeight="1">
      <c r="A948" s="126"/>
      <c r="B948" s="126"/>
      <c r="C948" s="176"/>
      <c r="D948" s="176"/>
      <c r="E948" s="176"/>
      <c r="F948" s="176"/>
      <c r="G948" s="176"/>
      <c r="H948" s="176"/>
      <c r="I948" s="126"/>
      <c r="J948" s="126"/>
      <c r="K948" s="126"/>
      <c r="L948" s="126"/>
      <c r="M948" s="126"/>
      <c r="N948" s="126"/>
      <c r="O948" s="126"/>
      <c r="P948" s="126"/>
      <c r="Q948" s="126"/>
      <c r="R948" s="126"/>
      <c r="S948" s="126"/>
      <c r="T948" s="126"/>
      <c r="U948" s="126"/>
      <c r="V948" s="126"/>
      <c r="W948" s="126"/>
      <c r="X948" s="126"/>
      <c r="Y948" s="126"/>
      <c r="Z948" s="126"/>
      <c r="AA948" s="126"/>
      <c r="AB948" s="126"/>
    </row>
    <row r="949" spans="1:28" ht="15.75" customHeight="1">
      <c r="A949" s="126"/>
      <c r="B949" s="126"/>
      <c r="C949" s="176"/>
      <c r="D949" s="176"/>
      <c r="E949" s="176"/>
      <c r="F949" s="176"/>
      <c r="G949" s="176"/>
      <c r="H949" s="176"/>
      <c r="I949" s="126"/>
      <c r="J949" s="126"/>
      <c r="K949" s="126"/>
      <c r="L949" s="126"/>
      <c r="M949" s="126"/>
      <c r="N949" s="126"/>
      <c r="O949" s="126"/>
      <c r="P949" s="126"/>
      <c r="Q949" s="126"/>
      <c r="R949" s="126"/>
      <c r="S949" s="126"/>
      <c r="T949" s="126"/>
      <c r="U949" s="126"/>
      <c r="V949" s="126"/>
      <c r="W949" s="126"/>
      <c r="X949" s="126"/>
      <c r="Y949" s="126"/>
      <c r="Z949" s="126"/>
      <c r="AA949" s="126"/>
      <c r="AB949" s="126"/>
    </row>
    <row r="950" spans="1:28" ht="15.75" customHeight="1">
      <c r="A950" s="126"/>
      <c r="B950" s="126"/>
      <c r="C950" s="176"/>
      <c r="D950" s="176"/>
      <c r="E950" s="176"/>
      <c r="F950" s="176"/>
      <c r="G950" s="176"/>
      <c r="H950" s="176"/>
      <c r="I950" s="126"/>
      <c r="J950" s="126"/>
      <c r="K950" s="126"/>
      <c r="L950" s="126"/>
      <c r="M950" s="126"/>
      <c r="N950" s="126"/>
      <c r="O950" s="126"/>
      <c r="P950" s="126"/>
      <c r="Q950" s="126"/>
      <c r="R950" s="126"/>
      <c r="S950" s="126"/>
      <c r="T950" s="126"/>
      <c r="U950" s="126"/>
      <c r="V950" s="126"/>
      <c r="W950" s="126"/>
      <c r="X950" s="126"/>
      <c r="Y950" s="126"/>
      <c r="Z950" s="126"/>
      <c r="AA950" s="126"/>
      <c r="AB950" s="126"/>
    </row>
    <row r="951" spans="1:28" ht="15.75" customHeight="1">
      <c r="A951" s="126"/>
      <c r="B951" s="126"/>
      <c r="C951" s="176"/>
      <c r="D951" s="176"/>
      <c r="E951" s="176"/>
      <c r="F951" s="176"/>
      <c r="G951" s="176"/>
      <c r="H951" s="176"/>
      <c r="I951" s="126"/>
      <c r="J951" s="126"/>
      <c r="K951" s="126"/>
      <c r="L951" s="126"/>
      <c r="M951" s="126"/>
      <c r="N951" s="126"/>
      <c r="O951" s="126"/>
      <c r="P951" s="126"/>
      <c r="Q951" s="126"/>
      <c r="R951" s="126"/>
      <c r="S951" s="126"/>
      <c r="T951" s="126"/>
      <c r="U951" s="126"/>
      <c r="V951" s="126"/>
      <c r="W951" s="126"/>
      <c r="X951" s="126"/>
      <c r="Y951" s="126"/>
      <c r="Z951" s="126"/>
      <c r="AA951" s="126"/>
      <c r="AB951" s="126"/>
    </row>
    <row r="952" spans="1:28" ht="15.75" customHeight="1">
      <c r="A952" s="126"/>
      <c r="B952" s="126"/>
      <c r="C952" s="176"/>
      <c r="D952" s="176"/>
      <c r="E952" s="176"/>
      <c r="F952" s="176"/>
      <c r="G952" s="176"/>
      <c r="H952" s="176"/>
      <c r="I952" s="126"/>
      <c r="J952" s="126"/>
      <c r="K952" s="126"/>
      <c r="L952" s="126"/>
      <c r="M952" s="126"/>
      <c r="N952" s="126"/>
      <c r="O952" s="126"/>
      <c r="P952" s="126"/>
      <c r="Q952" s="126"/>
      <c r="R952" s="126"/>
      <c r="S952" s="126"/>
      <c r="T952" s="126"/>
      <c r="U952" s="126"/>
      <c r="V952" s="126"/>
      <c r="W952" s="126"/>
      <c r="X952" s="126"/>
      <c r="Y952" s="126"/>
      <c r="Z952" s="126"/>
      <c r="AA952" s="126"/>
      <c r="AB952" s="126"/>
    </row>
    <row r="953" spans="1:28" ht="15.75" customHeight="1">
      <c r="A953" s="126"/>
      <c r="B953" s="126"/>
      <c r="C953" s="176"/>
      <c r="D953" s="176"/>
      <c r="E953" s="176"/>
      <c r="F953" s="176"/>
      <c r="G953" s="176"/>
      <c r="H953" s="176"/>
      <c r="I953" s="126"/>
      <c r="J953" s="126"/>
      <c r="K953" s="126"/>
      <c r="L953" s="126"/>
      <c r="M953" s="126"/>
      <c r="N953" s="126"/>
      <c r="O953" s="126"/>
      <c r="P953" s="126"/>
      <c r="Q953" s="126"/>
      <c r="R953" s="126"/>
      <c r="S953" s="126"/>
      <c r="T953" s="126"/>
      <c r="U953" s="126"/>
      <c r="V953" s="126"/>
      <c r="W953" s="126"/>
      <c r="X953" s="126"/>
      <c r="Y953" s="126"/>
      <c r="Z953" s="126"/>
      <c r="AA953" s="126"/>
      <c r="AB953" s="126"/>
    </row>
    <row r="954" spans="1:28" ht="15.75" customHeight="1">
      <c r="A954" s="126"/>
      <c r="B954" s="126"/>
      <c r="C954" s="176"/>
      <c r="D954" s="176"/>
      <c r="E954" s="176"/>
      <c r="F954" s="176"/>
      <c r="G954" s="176"/>
      <c r="H954" s="176"/>
      <c r="I954" s="126"/>
      <c r="J954" s="126"/>
      <c r="K954" s="126"/>
      <c r="L954" s="126"/>
      <c r="M954" s="126"/>
      <c r="N954" s="126"/>
      <c r="O954" s="126"/>
      <c r="P954" s="126"/>
      <c r="Q954" s="126"/>
      <c r="R954" s="126"/>
      <c r="S954" s="126"/>
      <c r="T954" s="126"/>
      <c r="U954" s="126"/>
      <c r="V954" s="126"/>
      <c r="W954" s="126"/>
      <c r="X954" s="126"/>
      <c r="Y954" s="126"/>
      <c r="Z954" s="126"/>
      <c r="AA954" s="126"/>
      <c r="AB954" s="126"/>
    </row>
    <row r="955" spans="1:28" ht="15.75" customHeight="1">
      <c r="A955" s="126"/>
      <c r="B955" s="126"/>
      <c r="C955" s="176"/>
      <c r="D955" s="176"/>
      <c r="E955" s="176"/>
      <c r="F955" s="176"/>
      <c r="G955" s="176"/>
      <c r="H955" s="176"/>
      <c r="I955" s="126"/>
      <c r="J955" s="126"/>
      <c r="K955" s="126"/>
      <c r="L955" s="126"/>
      <c r="M955" s="126"/>
      <c r="N955" s="126"/>
      <c r="O955" s="126"/>
      <c r="P955" s="126"/>
      <c r="Q955" s="126"/>
      <c r="R955" s="126"/>
      <c r="S955" s="126"/>
      <c r="T955" s="126"/>
      <c r="U955" s="126"/>
      <c r="V955" s="126"/>
      <c r="W955" s="126"/>
      <c r="X955" s="126"/>
      <c r="Y955" s="126"/>
      <c r="Z955" s="126"/>
      <c r="AA955" s="126"/>
      <c r="AB955" s="126"/>
    </row>
    <row r="956" spans="1:28" ht="15.75" customHeight="1">
      <c r="A956" s="126"/>
      <c r="B956" s="126"/>
      <c r="C956" s="176"/>
      <c r="D956" s="176"/>
      <c r="E956" s="176"/>
      <c r="F956" s="176"/>
      <c r="G956" s="176"/>
      <c r="H956" s="176"/>
      <c r="I956" s="126"/>
      <c r="J956" s="126"/>
      <c r="K956" s="126"/>
      <c r="L956" s="126"/>
      <c r="M956" s="126"/>
      <c r="N956" s="126"/>
      <c r="O956" s="126"/>
      <c r="P956" s="126"/>
      <c r="Q956" s="126"/>
      <c r="R956" s="126"/>
      <c r="S956" s="126"/>
      <c r="T956" s="126"/>
      <c r="U956" s="126"/>
      <c r="V956" s="126"/>
      <c r="W956" s="126"/>
      <c r="X956" s="126"/>
      <c r="Y956" s="126"/>
      <c r="Z956" s="126"/>
      <c r="AA956" s="126"/>
      <c r="AB956" s="126"/>
    </row>
    <row r="957" spans="1:28" ht="15.75" customHeight="1">
      <c r="A957" s="126"/>
      <c r="B957" s="126"/>
      <c r="C957" s="176"/>
      <c r="D957" s="176"/>
      <c r="E957" s="176"/>
      <c r="F957" s="176"/>
      <c r="G957" s="176"/>
      <c r="H957" s="176"/>
      <c r="I957" s="126"/>
      <c r="J957" s="126"/>
      <c r="K957" s="126"/>
      <c r="L957" s="126"/>
      <c r="M957" s="126"/>
      <c r="N957" s="126"/>
      <c r="O957" s="126"/>
      <c r="P957" s="126"/>
      <c r="Q957" s="126"/>
      <c r="R957" s="126"/>
      <c r="S957" s="126"/>
      <c r="T957" s="126"/>
      <c r="U957" s="126"/>
      <c r="V957" s="126"/>
      <c r="W957" s="126"/>
      <c r="X957" s="126"/>
      <c r="Y957" s="126"/>
      <c r="Z957" s="126"/>
      <c r="AA957" s="126"/>
      <c r="AB957" s="126"/>
    </row>
    <row r="958" spans="1:28" ht="15.75" customHeight="1">
      <c r="A958" s="126"/>
      <c r="B958" s="126"/>
      <c r="C958" s="176"/>
      <c r="D958" s="176"/>
      <c r="E958" s="176"/>
      <c r="F958" s="176"/>
      <c r="G958" s="176"/>
      <c r="H958" s="176"/>
      <c r="I958" s="126"/>
      <c r="J958" s="126"/>
      <c r="K958" s="126"/>
      <c r="L958" s="126"/>
      <c r="M958" s="126"/>
      <c r="N958" s="126"/>
      <c r="O958" s="126"/>
      <c r="P958" s="126"/>
      <c r="Q958" s="126"/>
      <c r="R958" s="126"/>
      <c r="S958" s="126"/>
      <c r="T958" s="126"/>
      <c r="U958" s="126"/>
      <c r="V958" s="126"/>
      <c r="W958" s="126"/>
      <c r="X958" s="126"/>
      <c r="Y958" s="126"/>
      <c r="Z958" s="126"/>
      <c r="AA958" s="126"/>
      <c r="AB958" s="126"/>
    </row>
    <row r="959" spans="1:28" ht="15.75" customHeight="1">
      <c r="A959" s="126"/>
      <c r="B959" s="126"/>
      <c r="C959" s="176"/>
      <c r="D959" s="176"/>
      <c r="E959" s="176"/>
      <c r="F959" s="176"/>
      <c r="G959" s="176"/>
      <c r="H959" s="176"/>
      <c r="I959" s="126"/>
      <c r="J959" s="126"/>
      <c r="K959" s="126"/>
      <c r="L959" s="126"/>
      <c r="M959" s="126"/>
      <c r="N959" s="126"/>
      <c r="O959" s="126"/>
      <c r="P959" s="126"/>
      <c r="Q959" s="126"/>
      <c r="R959" s="126"/>
      <c r="S959" s="126"/>
      <c r="T959" s="126"/>
      <c r="U959" s="126"/>
      <c r="V959" s="126"/>
      <c r="W959" s="126"/>
      <c r="X959" s="126"/>
      <c r="Y959" s="126"/>
      <c r="Z959" s="126"/>
      <c r="AA959" s="126"/>
      <c r="AB959" s="126"/>
    </row>
    <row r="960" spans="1:28" ht="15.75" customHeight="1">
      <c r="A960" s="126"/>
      <c r="B960" s="126"/>
      <c r="C960" s="176"/>
      <c r="D960" s="176"/>
      <c r="E960" s="176"/>
      <c r="F960" s="176"/>
      <c r="G960" s="176"/>
      <c r="H960" s="176"/>
      <c r="I960" s="126"/>
      <c r="J960" s="126"/>
      <c r="K960" s="126"/>
      <c r="L960" s="126"/>
      <c r="M960" s="126"/>
      <c r="N960" s="126"/>
      <c r="O960" s="126"/>
      <c r="P960" s="126"/>
      <c r="Q960" s="126"/>
      <c r="R960" s="126"/>
      <c r="S960" s="126"/>
      <c r="T960" s="126"/>
      <c r="U960" s="126"/>
      <c r="V960" s="126"/>
      <c r="W960" s="126"/>
      <c r="X960" s="126"/>
      <c r="Y960" s="126"/>
      <c r="Z960" s="126"/>
      <c r="AA960" s="126"/>
      <c r="AB960" s="126"/>
    </row>
    <row r="961" spans="1:28" ht="15.75" customHeight="1">
      <c r="A961" s="126"/>
      <c r="B961" s="126"/>
      <c r="C961" s="176"/>
      <c r="D961" s="176"/>
      <c r="E961" s="176"/>
      <c r="F961" s="176"/>
      <c r="G961" s="176"/>
      <c r="H961" s="176"/>
      <c r="I961" s="126"/>
      <c r="J961" s="126"/>
      <c r="K961" s="126"/>
      <c r="L961" s="126"/>
      <c r="M961" s="126"/>
      <c r="N961" s="126"/>
      <c r="O961" s="126"/>
      <c r="P961" s="126"/>
      <c r="Q961" s="126"/>
      <c r="R961" s="126"/>
      <c r="S961" s="126"/>
      <c r="T961" s="126"/>
      <c r="U961" s="126"/>
      <c r="V961" s="126"/>
      <c r="W961" s="126"/>
      <c r="X961" s="126"/>
      <c r="Y961" s="126"/>
      <c r="Z961" s="126"/>
      <c r="AA961" s="126"/>
      <c r="AB961" s="126"/>
    </row>
    <row r="962" spans="1:28" ht="15.75" customHeight="1">
      <c r="A962" s="126"/>
      <c r="B962" s="126"/>
      <c r="C962" s="176"/>
      <c r="D962" s="176"/>
      <c r="E962" s="176"/>
      <c r="F962" s="176"/>
      <c r="G962" s="176"/>
      <c r="H962" s="176"/>
      <c r="I962" s="126"/>
      <c r="J962" s="126"/>
      <c r="K962" s="126"/>
      <c r="L962" s="126"/>
      <c r="M962" s="126"/>
      <c r="N962" s="126"/>
      <c r="O962" s="126"/>
      <c r="P962" s="126"/>
      <c r="Q962" s="126"/>
      <c r="R962" s="126"/>
      <c r="S962" s="126"/>
      <c r="T962" s="126"/>
      <c r="U962" s="126"/>
      <c r="V962" s="126"/>
      <c r="W962" s="126"/>
      <c r="X962" s="126"/>
      <c r="Y962" s="126"/>
      <c r="Z962" s="126"/>
      <c r="AA962" s="126"/>
      <c r="AB962" s="126"/>
    </row>
    <row r="963" spans="1:28" ht="15.75" customHeight="1">
      <c r="A963" s="126"/>
      <c r="B963" s="126"/>
      <c r="C963" s="176"/>
      <c r="D963" s="176"/>
      <c r="E963" s="176"/>
      <c r="F963" s="176"/>
      <c r="G963" s="176"/>
      <c r="H963" s="176"/>
      <c r="I963" s="126"/>
      <c r="J963" s="126"/>
      <c r="K963" s="126"/>
      <c r="L963" s="126"/>
      <c r="M963" s="126"/>
      <c r="N963" s="126"/>
      <c r="O963" s="126"/>
      <c r="P963" s="126"/>
      <c r="Q963" s="126"/>
      <c r="R963" s="126"/>
      <c r="S963" s="126"/>
      <c r="T963" s="126"/>
      <c r="U963" s="126"/>
      <c r="V963" s="126"/>
      <c r="W963" s="126"/>
      <c r="X963" s="126"/>
      <c r="Y963" s="126"/>
      <c r="Z963" s="126"/>
      <c r="AA963" s="126"/>
      <c r="AB963" s="126"/>
    </row>
    <row r="964" spans="1:28" ht="15.75" customHeight="1">
      <c r="A964" s="126"/>
      <c r="B964" s="126"/>
      <c r="C964" s="176"/>
      <c r="D964" s="176"/>
      <c r="E964" s="176"/>
      <c r="F964" s="176"/>
      <c r="G964" s="176"/>
      <c r="H964" s="176"/>
      <c r="I964" s="126"/>
      <c r="J964" s="126"/>
      <c r="K964" s="126"/>
      <c r="L964" s="126"/>
      <c r="M964" s="126"/>
      <c r="N964" s="126"/>
      <c r="O964" s="126"/>
      <c r="P964" s="126"/>
      <c r="Q964" s="126"/>
      <c r="R964" s="126"/>
      <c r="S964" s="126"/>
      <c r="T964" s="126"/>
      <c r="U964" s="126"/>
      <c r="V964" s="126"/>
      <c r="W964" s="126"/>
      <c r="X964" s="126"/>
      <c r="Y964" s="126"/>
      <c r="Z964" s="126"/>
      <c r="AA964" s="126"/>
      <c r="AB964" s="126"/>
    </row>
    <row r="965" spans="1:28" ht="15.75" customHeight="1">
      <c r="A965" s="126"/>
      <c r="B965" s="126"/>
      <c r="C965" s="176"/>
      <c r="D965" s="176"/>
      <c r="E965" s="176"/>
      <c r="F965" s="176"/>
      <c r="G965" s="176"/>
      <c r="H965" s="176"/>
      <c r="I965" s="126"/>
      <c r="J965" s="126"/>
      <c r="K965" s="126"/>
      <c r="L965" s="126"/>
      <c r="M965" s="126"/>
      <c r="N965" s="126"/>
      <c r="O965" s="126"/>
      <c r="P965" s="126"/>
      <c r="Q965" s="126"/>
      <c r="R965" s="126"/>
      <c r="S965" s="126"/>
      <c r="T965" s="126"/>
      <c r="U965" s="126"/>
      <c r="V965" s="126"/>
      <c r="W965" s="126"/>
      <c r="X965" s="126"/>
      <c r="Y965" s="126"/>
      <c r="Z965" s="126"/>
      <c r="AA965" s="126"/>
      <c r="AB965" s="126"/>
    </row>
    <row r="966" spans="1:28" ht="15.75" customHeight="1">
      <c r="A966" s="126"/>
      <c r="B966" s="126"/>
      <c r="C966" s="176"/>
      <c r="D966" s="176"/>
      <c r="E966" s="176"/>
      <c r="F966" s="176"/>
      <c r="G966" s="176"/>
      <c r="H966" s="176"/>
      <c r="I966" s="126"/>
      <c r="J966" s="126"/>
      <c r="K966" s="126"/>
      <c r="L966" s="126"/>
      <c r="M966" s="126"/>
      <c r="N966" s="126"/>
      <c r="O966" s="126"/>
      <c r="P966" s="126"/>
      <c r="Q966" s="126"/>
      <c r="R966" s="126"/>
      <c r="S966" s="126"/>
      <c r="T966" s="126"/>
      <c r="U966" s="126"/>
      <c r="V966" s="126"/>
      <c r="W966" s="126"/>
      <c r="X966" s="126"/>
      <c r="Y966" s="126"/>
      <c r="Z966" s="126"/>
      <c r="AA966" s="126"/>
      <c r="AB966" s="126"/>
    </row>
    <row r="967" spans="1:28" ht="15.75" customHeight="1">
      <c r="A967" s="126"/>
      <c r="B967" s="126"/>
      <c r="C967" s="176"/>
      <c r="D967" s="176"/>
      <c r="E967" s="176"/>
      <c r="F967" s="176"/>
      <c r="G967" s="176"/>
      <c r="H967" s="176"/>
      <c r="I967" s="126"/>
      <c r="J967" s="126"/>
      <c r="K967" s="126"/>
      <c r="L967" s="126"/>
      <c r="M967" s="126"/>
      <c r="N967" s="126"/>
      <c r="O967" s="126"/>
      <c r="P967" s="126"/>
      <c r="Q967" s="126"/>
      <c r="R967" s="126"/>
      <c r="S967" s="126"/>
      <c r="T967" s="126"/>
      <c r="U967" s="126"/>
      <c r="V967" s="126"/>
      <c r="W967" s="126"/>
      <c r="X967" s="126"/>
      <c r="Y967" s="126"/>
      <c r="Z967" s="126"/>
      <c r="AA967" s="126"/>
      <c r="AB967" s="126"/>
    </row>
    <row r="968" spans="1:28" ht="15.75" customHeight="1">
      <c r="A968" s="126"/>
      <c r="B968" s="126"/>
      <c r="C968" s="176"/>
      <c r="D968" s="176"/>
      <c r="E968" s="176"/>
      <c r="F968" s="176"/>
      <c r="G968" s="176"/>
      <c r="H968" s="176"/>
      <c r="I968" s="126"/>
      <c r="J968" s="126"/>
      <c r="K968" s="126"/>
      <c r="L968" s="126"/>
      <c r="M968" s="126"/>
      <c r="N968" s="126"/>
      <c r="O968" s="126"/>
      <c r="P968" s="126"/>
      <c r="Q968" s="126"/>
      <c r="R968" s="126"/>
      <c r="S968" s="126"/>
      <c r="T968" s="126"/>
      <c r="U968" s="126"/>
      <c r="V968" s="126"/>
      <c r="W968" s="126"/>
      <c r="X968" s="126"/>
      <c r="Y968" s="126"/>
      <c r="Z968" s="126"/>
      <c r="AA968" s="126"/>
      <c r="AB968" s="126"/>
    </row>
    <row r="969" spans="1:28" ht="15.75" customHeight="1">
      <c r="A969" s="126"/>
      <c r="B969" s="126"/>
      <c r="C969" s="176"/>
      <c r="D969" s="176"/>
      <c r="E969" s="176"/>
      <c r="F969" s="176"/>
      <c r="G969" s="176"/>
      <c r="H969" s="176"/>
      <c r="I969" s="126"/>
      <c r="J969" s="126"/>
      <c r="K969" s="126"/>
      <c r="L969" s="126"/>
      <c r="M969" s="126"/>
      <c r="N969" s="126"/>
      <c r="O969" s="126"/>
      <c r="P969" s="126"/>
      <c r="Q969" s="126"/>
      <c r="R969" s="126"/>
      <c r="S969" s="126"/>
      <c r="T969" s="126"/>
      <c r="U969" s="126"/>
      <c r="V969" s="126"/>
      <c r="W969" s="126"/>
      <c r="X969" s="126"/>
      <c r="Y969" s="126"/>
      <c r="Z969" s="126"/>
      <c r="AA969" s="126"/>
      <c r="AB969" s="126"/>
    </row>
    <row r="970" spans="1:28" ht="15.75" customHeight="1">
      <c r="A970" s="126"/>
      <c r="B970" s="126"/>
      <c r="C970" s="176"/>
      <c r="D970" s="176"/>
      <c r="E970" s="176"/>
      <c r="F970" s="176"/>
      <c r="G970" s="176"/>
      <c r="H970" s="176"/>
      <c r="I970" s="126"/>
      <c r="J970" s="126"/>
      <c r="K970" s="126"/>
      <c r="L970" s="126"/>
      <c r="M970" s="126"/>
      <c r="N970" s="126"/>
      <c r="O970" s="126"/>
      <c r="P970" s="126"/>
      <c r="Q970" s="126"/>
      <c r="R970" s="126"/>
      <c r="S970" s="126"/>
      <c r="T970" s="126"/>
      <c r="U970" s="126"/>
      <c r="V970" s="126"/>
      <c r="W970" s="126"/>
      <c r="X970" s="126"/>
      <c r="Y970" s="126"/>
      <c r="Z970" s="126"/>
      <c r="AA970" s="126"/>
      <c r="AB970" s="126"/>
    </row>
    <row r="971" spans="1:28" ht="15.75" customHeight="1">
      <c r="A971" s="126"/>
      <c r="B971" s="126"/>
      <c r="C971" s="176"/>
      <c r="D971" s="176"/>
      <c r="E971" s="176"/>
      <c r="F971" s="176"/>
      <c r="G971" s="176"/>
      <c r="H971" s="176"/>
      <c r="I971" s="126"/>
      <c r="J971" s="126"/>
      <c r="K971" s="126"/>
      <c r="L971" s="126"/>
      <c r="M971" s="126"/>
      <c r="N971" s="126"/>
      <c r="O971" s="126"/>
      <c r="P971" s="126"/>
      <c r="Q971" s="126"/>
      <c r="R971" s="126"/>
      <c r="S971" s="126"/>
      <c r="T971" s="126"/>
      <c r="U971" s="126"/>
      <c r="V971" s="126"/>
      <c r="W971" s="126"/>
      <c r="X971" s="126"/>
      <c r="Y971" s="126"/>
      <c r="Z971" s="126"/>
      <c r="AA971" s="126"/>
      <c r="AB971" s="126"/>
    </row>
    <row r="972" spans="1:28" ht="15.75" customHeight="1">
      <c r="A972" s="126"/>
      <c r="B972" s="126"/>
      <c r="C972" s="176"/>
      <c r="D972" s="176"/>
      <c r="E972" s="176"/>
      <c r="F972" s="176"/>
      <c r="G972" s="176"/>
      <c r="H972" s="176"/>
      <c r="I972" s="126"/>
      <c r="J972" s="126"/>
      <c r="K972" s="126"/>
      <c r="L972" s="126"/>
      <c r="M972" s="126"/>
      <c r="N972" s="126"/>
      <c r="O972" s="126"/>
      <c r="P972" s="126"/>
      <c r="Q972" s="126"/>
      <c r="R972" s="126"/>
      <c r="S972" s="126"/>
      <c r="T972" s="126"/>
      <c r="U972" s="126"/>
      <c r="V972" s="126"/>
      <c r="W972" s="126"/>
      <c r="X972" s="126"/>
      <c r="Y972" s="126"/>
      <c r="Z972" s="126"/>
      <c r="AA972" s="126"/>
      <c r="AB972" s="126"/>
    </row>
    <row r="973" spans="1:28" ht="15.75" customHeight="1">
      <c r="A973" s="126"/>
      <c r="B973" s="126"/>
      <c r="C973" s="176"/>
      <c r="D973" s="176"/>
      <c r="E973" s="176"/>
      <c r="F973" s="176"/>
      <c r="G973" s="176"/>
      <c r="H973" s="176"/>
      <c r="I973" s="126"/>
      <c r="J973" s="126"/>
      <c r="K973" s="126"/>
      <c r="L973" s="126"/>
      <c r="M973" s="126"/>
      <c r="N973" s="126"/>
      <c r="O973" s="126"/>
      <c r="P973" s="126"/>
      <c r="Q973" s="126"/>
      <c r="R973" s="126"/>
      <c r="S973" s="126"/>
      <c r="T973" s="126"/>
      <c r="U973" s="126"/>
      <c r="V973" s="126"/>
      <c r="W973" s="126"/>
      <c r="X973" s="126"/>
      <c r="Y973" s="126"/>
      <c r="Z973" s="126"/>
      <c r="AA973" s="126"/>
      <c r="AB973" s="126"/>
    </row>
    <row r="974" spans="1:28" ht="15.75" customHeight="1">
      <c r="A974" s="126"/>
      <c r="B974" s="126"/>
      <c r="C974" s="176"/>
      <c r="D974" s="176"/>
      <c r="E974" s="176"/>
      <c r="F974" s="176"/>
      <c r="G974" s="176"/>
      <c r="H974" s="176"/>
      <c r="I974" s="126"/>
      <c r="J974" s="126"/>
      <c r="K974" s="126"/>
      <c r="L974" s="126"/>
      <c r="M974" s="126"/>
      <c r="N974" s="126"/>
      <c r="O974" s="126"/>
      <c r="P974" s="126"/>
      <c r="Q974" s="126"/>
      <c r="R974" s="126"/>
      <c r="S974" s="126"/>
      <c r="T974" s="126"/>
      <c r="U974" s="126"/>
      <c r="V974" s="126"/>
      <c r="W974" s="126"/>
      <c r="X974" s="126"/>
      <c r="Y974" s="126"/>
      <c r="Z974" s="126"/>
      <c r="AA974" s="126"/>
      <c r="AB974" s="126"/>
    </row>
    <row r="975" spans="1:28" ht="15.75" customHeight="1">
      <c r="A975" s="126"/>
      <c r="B975" s="126"/>
      <c r="C975" s="176"/>
      <c r="D975" s="176"/>
      <c r="E975" s="176"/>
      <c r="F975" s="176"/>
      <c r="G975" s="176"/>
      <c r="H975" s="176"/>
      <c r="I975" s="126"/>
      <c r="J975" s="126"/>
      <c r="K975" s="126"/>
      <c r="L975" s="126"/>
      <c r="M975" s="126"/>
      <c r="N975" s="126"/>
      <c r="O975" s="126"/>
      <c r="P975" s="126"/>
      <c r="Q975" s="126"/>
      <c r="R975" s="126"/>
      <c r="S975" s="126"/>
      <c r="T975" s="126"/>
      <c r="U975" s="126"/>
      <c r="V975" s="126"/>
      <c r="W975" s="126"/>
      <c r="X975" s="126"/>
      <c r="Y975" s="126"/>
      <c r="Z975" s="126"/>
      <c r="AA975" s="126"/>
      <c r="AB975" s="126"/>
    </row>
    <row r="976" spans="1:28" ht="15.75" customHeight="1">
      <c r="A976" s="126"/>
      <c r="B976" s="126"/>
      <c r="C976" s="176"/>
      <c r="D976" s="176"/>
      <c r="E976" s="176"/>
      <c r="F976" s="176"/>
      <c r="G976" s="176"/>
      <c r="H976" s="176"/>
      <c r="I976" s="126"/>
      <c r="J976" s="126"/>
      <c r="K976" s="126"/>
      <c r="L976" s="126"/>
      <c r="M976" s="126"/>
      <c r="N976" s="126"/>
      <c r="O976" s="126"/>
      <c r="P976" s="126"/>
      <c r="Q976" s="126"/>
      <c r="R976" s="126"/>
      <c r="S976" s="126"/>
      <c r="T976" s="126"/>
      <c r="U976" s="126"/>
      <c r="V976" s="126"/>
      <c r="W976" s="126"/>
      <c r="X976" s="126"/>
      <c r="Y976" s="126"/>
      <c r="Z976" s="126"/>
      <c r="AA976" s="126"/>
      <c r="AB976" s="126"/>
    </row>
    <row r="977" spans="1:28" ht="15.75" customHeight="1">
      <c r="A977" s="126"/>
      <c r="B977" s="126"/>
      <c r="C977" s="176"/>
      <c r="D977" s="176"/>
      <c r="E977" s="176"/>
      <c r="F977" s="176"/>
      <c r="G977" s="176"/>
      <c r="H977" s="176"/>
      <c r="I977" s="126"/>
      <c r="J977" s="126"/>
      <c r="K977" s="126"/>
      <c r="L977" s="126"/>
      <c r="M977" s="126"/>
      <c r="N977" s="126"/>
      <c r="O977" s="126"/>
      <c r="P977" s="126"/>
      <c r="Q977" s="126"/>
      <c r="R977" s="126"/>
      <c r="S977" s="126"/>
      <c r="T977" s="126"/>
      <c r="U977" s="126"/>
      <c r="V977" s="126"/>
      <c r="W977" s="126"/>
      <c r="X977" s="126"/>
      <c r="Y977" s="126"/>
      <c r="Z977" s="126"/>
      <c r="AA977" s="126"/>
      <c r="AB977" s="126"/>
    </row>
    <row r="978" spans="1:28" ht="15.75" customHeight="1">
      <c r="A978" s="126"/>
      <c r="B978" s="126"/>
      <c r="C978" s="176"/>
      <c r="D978" s="176"/>
      <c r="E978" s="176"/>
      <c r="F978" s="176"/>
      <c r="G978" s="176"/>
      <c r="H978" s="176"/>
      <c r="I978" s="126"/>
      <c r="J978" s="126"/>
      <c r="K978" s="126"/>
      <c r="L978" s="126"/>
      <c r="M978" s="126"/>
      <c r="N978" s="126"/>
      <c r="O978" s="126"/>
      <c r="P978" s="126"/>
      <c r="Q978" s="126"/>
      <c r="R978" s="126"/>
      <c r="S978" s="126"/>
      <c r="T978" s="126"/>
      <c r="U978" s="126"/>
      <c r="V978" s="126"/>
      <c r="W978" s="126"/>
      <c r="X978" s="126"/>
      <c r="Y978" s="126"/>
      <c r="Z978" s="126"/>
      <c r="AA978" s="126"/>
      <c r="AB978" s="126"/>
    </row>
    <row r="979" spans="1:28" ht="15.75" customHeight="1">
      <c r="A979" s="126"/>
      <c r="B979" s="126"/>
      <c r="C979" s="176"/>
      <c r="D979" s="176"/>
      <c r="E979" s="176"/>
      <c r="F979" s="176"/>
      <c r="G979" s="176"/>
      <c r="H979" s="176"/>
      <c r="I979" s="126"/>
      <c r="J979" s="126"/>
      <c r="K979" s="126"/>
      <c r="L979" s="126"/>
      <c r="M979" s="126"/>
      <c r="N979" s="126"/>
      <c r="O979" s="126"/>
      <c r="P979" s="126"/>
      <c r="Q979" s="126"/>
      <c r="R979" s="126"/>
      <c r="S979" s="126"/>
      <c r="T979" s="126"/>
      <c r="U979" s="126"/>
      <c r="V979" s="126"/>
      <c r="W979" s="126"/>
      <c r="X979" s="126"/>
      <c r="Y979" s="126"/>
      <c r="Z979" s="126"/>
      <c r="AA979" s="126"/>
      <c r="AB979" s="126"/>
    </row>
    <row r="980" spans="1:28" ht="15.75" customHeight="1">
      <c r="A980" s="126"/>
      <c r="B980" s="126"/>
      <c r="C980" s="176"/>
      <c r="D980" s="176"/>
      <c r="E980" s="176"/>
      <c r="F980" s="176"/>
      <c r="G980" s="176"/>
      <c r="H980" s="176"/>
      <c r="I980" s="126"/>
      <c r="J980" s="126"/>
      <c r="K980" s="126"/>
      <c r="L980" s="126"/>
      <c r="M980" s="126"/>
      <c r="N980" s="126"/>
      <c r="O980" s="126"/>
      <c r="P980" s="126"/>
      <c r="Q980" s="126"/>
      <c r="R980" s="126"/>
      <c r="S980" s="126"/>
      <c r="T980" s="126"/>
      <c r="U980" s="126"/>
      <c r="V980" s="126"/>
      <c r="W980" s="126"/>
      <c r="X980" s="126"/>
      <c r="Y980" s="126"/>
      <c r="Z980" s="126"/>
      <c r="AA980" s="126"/>
      <c r="AB980" s="126"/>
    </row>
    <row r="981" spans="1:28" ht="15.75" customHeight="1">
      <c r="A981" s="126"/>
      <c r="B981" s="126"/>
      <c r="C981" s="176"/>
      <c r="D981" s="176"/>
      <c r="E981" s="176"/>
      <c r="F981" s="176"/>
      <c r="G981" s="176"/>
      <c r="H981" s="176"/>
      <c r="I981" s="126"/>
      <c r="J981" s="126"/>
      <c r="K981" s="126"/>
      <c r="L981" s="126"/>
      <c r="M981" s="126"/>
      <c r="N981" s="126"/>
      <c r="O981" s="126"/>
      <c r="P981" s="126"/>
      <c r="Q981" s="126"/>
      <c r="R981" s="126"/>
      <c r="S981" s="126"/>
      <c r="T981" s="126"/>
      <c r="U981" s="126"/>
      <c r="V981" s="126"/>
      <c r="W981" s="126"/>
      <c r="X981" s="126"/>
      <c r="Y981" s="126"/>
      <c r="Z981" s="126"/>
      <c r="AA981" s="126"/>
      <c r="AB981" s="126"/>
    </row>
    <row r="982" spans="1:28" ht="15.75" customHeight="1">
      <c r="A982" s="126"/>
      <c r="B982" s="126"/>
      <c r="C982" s="176"/>
      <c r="D982" s="176"/>
      <c r="E982" s="176"/>
      <c r="F982" s="176"/>
      <c r="G982" s="176"/>
      <c r="H982" s="176"/>
      <c r="I982" s="126"/>
      <c r="J982" s="126"/>
      <c r="K982" s="126"/>
      <c r="L982" s="126"/>
      <c r="M982" s="126"/>
      <c r="N982" s="126"/>
      <c r="O982" s="126"/>
      <c r="P982" s="126"/>
      <c r="Q982" s="126"/>
      <c r="R982" s="126"/>
      <c r="S982" s="126"/>
      <c r="T982" s="126"/>
      <c r="U982" s="126"/>
      <c r="V982" s="126"/>
      <c r="W982" s="126"/>
      <c r="X982" s="126"/>
      <c r="Y982" s="126"/>
      <c r="Z982" s="126"/>
      <c r="AA982" s="126"/>
      <c r="AB982" s="126"/>
    </row>
    <row r="983" spans="1:28" ht="15.75" customHeight="1">
      <c r="A983" s="126"/>
      <c r="B983" s="126"/>
      <c r="C983" s="176"/>
      <c r="D983" s="176"/>
      <c r="E983" s="176"/>
      <c r="F983" s="176"/>
      <c r="G983" s="176"/>
      <c r="H983" s="176"/>
      <c r="I983" s="126"/>
      <c r="J983" s="126"/>
      <c r="K983" s="126"/>
      <c r="L983" s="126"/>
      <c r="M983" s="126"/>
      <c r="N983" s="126"/>
      <c r="O983" s="126"/>
      <c r="P983" s="126"/>
      <c r="Q983" s="126"/>
      <c r="R983" s="126"/>
      <c r="S983" s="126"/>
      <c r="T983" s="126"/>
      <c r="U983" s="126"/>
      <c r="V983" s="126"/>
      <c r="W983" s="126"/>
      <c r="X983" s="126"/>
      <c r="Y983" s="126"/>
      <c r="Z983" s="126"/>
      <c r="AA983" s="126"/>
      <c r="AB983" s="126"/>
    </row>
    <row r="984" spans="1:28" ht="15.75" customHeight="1">
      <c r="A984" s="126"/>
      <c r="B984" s="126"/>
      <c r="C984" s="176"/>
      <c r="D984" s="176"/>
      <c r="E984" s="176"/>
      <c r="F984" s="176"/>
      <c r="G984" s="176"/>
      <c r="H984" s="176"/>
      <c r="I984" s="126"/>
      <c r="J984" s="126"/>
      <c r="K984" s="126"/>
      <c r="L984" s="126"/>
      <c r="M984" s="126"/>
      <c r="N984" s="126"/>
      <c r="O984" s="126"/>
      <c r="P984" s="126"/>
      <c r="Q984" s="126"/>
      <c r="R984" s="126"/>
      <c r="S984" s="126"/>
      <c r="T984" s="126"/>
      <c r="U984" s="126"/>
      <c r="V984" s="126"/>
      <c r="W984" s="126"/>
      <c r="X984" s="126"/>
      <c r="Y984" s="126"/>
      <c r="Z984" s="126"/>
      <c r="AA984" s="126"/>
      <c r="AB984" s="126"/>
    </row>
    <row r="985" spans="1:28" ht="15.75" customHeight="1">
      <c r="A985" s="126"/>
      <c r="B985" s="126"/>
      <c r="C985" s="176"/>
      <c r="D985" s="176"/>
      <c r="E985" s="176"/>
      <c r="F985" s="176"/>
      <c r="G985" s="176"/>
      <c r="H985" s="176"/>
      <c r="I985" s="126"/>
      <c r="J985" s="126"/>
      <c r="K985" s="126"/>
      <c r="L985" s="126"/>
      <c r="M985" s="126"/>
      <c r="N985" s="126"/>
      <c r="O985" s="126"/>
      <c r="P985" s="126"/>
      <c r="Q985" s="126"/>
      <c r="R985" s="126"/>
      <c r="S985" s="126"/>
      <c r="T985" s="126"/>
      <c r="U985" s="126"/>
      <c r="V985" s="126"/>
      <c r="W985" s="126"/>
      <c r="X985" s="126"/>
      <c r="Y985" s="126"/>
      <c r="Z985" s="126"/>
      <c r="AA985" s="126"/>
      <c r="AB985" s="126"/>
    </row>
    <row r="986" spans="1:28" ht="15.75" customHeight="1">
      <c r="A986" s="126"/>
      <c r="B986" s="126"/>
      <c r="C986" s="176"/>
      <c r="D986" s="176"/>
      <c r="E986" s="176"/>
      <c r="F986" s="176"/>
      <c r="G986" s="176"/>
      <c r="H986" s="176"/>
      <c r="I986" s="126"/>
      <c r="J986" s="126"/>
      <c r="K986" s="126"/>
      <c r="L986" s="126"/>
      <c r="M986" s="126"/>
      <c r="N986" s="126"/>
      <c r="O986" s="126"/>
      <c r="P986" s="126"/>
      <c r="Q986" s="126"/>
      <c r="R986" s="126"/>
      <c r="S986" s="126"/>
      <c r="T986" s="126"/>
      <c r="U986" s="126"/>
      <c r="V986" s="126"/>
      <c r="W986" s="126"/>
      <c r="X986" s="126"/>
      <c r="Y986" s="126"/>
      <c r="Z986" s="126"/>
      <c r="AA986" s="126"/>
      <c r="AB986" s="126"/>
    </row>
    <row r="987" spans="1:28" ht="15.75" customHeight="1">
      <c r="A987" s="126"/>
      <c r="B987" s="126"/>
      <c r="C987" s="176"/>
      <c r="D987" s="176"/>
      <c r="E987" s="176"/>
      <c r="F987" s="176"/>
      <c r="G987" s="176"/>
      <c r="H987" s="176"/>
      <c r="I987" s="126"/>
      <c r="J987" s="126"/>
      <c r="K987" s="126"/>
      <c r="L987" s="126"/>
      <c r="M987" s="126"/>
      <c r="N987" s="126"/>
      <c r="O987" s="126"/>
      <c r="P987" s="126"/>
      <c r="Q987" s="126"/>
      <c r="R987" s="126"/>
      <c r="S987" s="126"/>
      <c r="T987" s="126"/>
      <c r="U987" s="126"/>
      <c r="V987" s="126"/>
      <c r="W987" s="126"/>
      <c r="X987" s="126"/>
      <c r="Y987" s="126"/>
      <c r="Z987" s="126"/>
      <c r="AA987" s="126"/>
      <c r="AB987" s="126"/>
    </row>
    <row r="988" spans="1:28" ht="15.75" customHeight="1">
      <c r="A988" s="126"/>
      <c r="B988" s="126"/>
      <c r="C988" s="176"/>
      <c r="D988" s="176"/>
      <c r="E988" s="176"/>
      <c r="F988" s="176"/>
      <c r="G988" s="176"/>
      <c r="H988" s="176"/>
      <c r="I988" s="126"/>
      <c r="J988" s="126"/>
      <c r="K988" s="126"/>
      <c r="L988" s="126"/>
      <c r="M988" s="126"/>
      <c r="N988" s="126"/>
      <c r="O988" s="126"/>
      <c r="P988" s="126"/>
      <c r="Q988" s="126"/>
      <c r="R988" s="126"/>
      <c r="S988" s="126"/>
      <c r="T988" s="126"/>
      <c r="U988" s="126"/>
      <c r="V988" s="126"/>
      <c r="W988" s="126"/>
      <c r="X988" s="126"/>
      <c r="Y988" s="126"/>
      <c r="Z988" s="126"/>
      <c r="AA988" s="126"/>
      <c r="AB988" s="126"/>
    </row>
    <row r="989" spans="1:28" ht="15.75" customHeight="1">
      <c r="A989" s="126"/>
      <c r="B989" s="126"/>
      <c r="C989" s="176"/>
      <c r="D989" s="176"/>
      <c r="E989" s="176"/>
      <c r="F989" s="176"/>
      <c r="G989" s="176"/>
      <c r="H989" s="176"/>
      <c r="I989" s="126"/>
      <c r="J989" s="126"/>
      <c r="K989" s="126"/>
      <c r="L989" s="126"/>
      <c r="M989" s="126"/>
      <c r="N989" s="126"/>
      <c r="O989" s="126"/>
      <c r="P989" s="126"/>
      <c r="Q989" s="126"/>
      <c r="R989" s="126"/>
      <c r="S989" s="126"/>
      <c r="T989" s="126"/>
      <c r="U989" s="126"/>
      <c r="V989" s="126"/>
      <c r="W989" s="126"/>
      <c r="X989" s="126"/>
      <c r="Y989" s="126"/>
      <c r="Z989" s="126"/>
      <c r="AA989" s="126"/>
      <c r="AB989" s="126"/>
    </row>
    <row r="990" spans="1:28" ht="15.75" customHeight="1">
      <c r="A990" s="126"/>
      <c r="B990" s="126"/>
      <c r="C990" s="176"/>
      <c r="D990" s="176"/>
      <c r="E990" s="176"/>
      <c r="F990" s="176"/>
      <c r="G990" s="176"/>
      <c r="H990" s="176"/>
      <c r="I990" s="126"/>
      <c r="J990" s="126"/>
      <c r="K990" s="126"/>
      <c r="L990" s="126"/>
      <c r="M990" s="126"/>
      <c r="N990" s="126"/>
      <c r="O990" s="126"/>
      <c r="P990" s="126"/>
      <c r="Q990" s="126"/>
      <c r="R990" s="126"/>
      <c r="S990" s="126"/>
      <c r="T990" s="126"/>
      <c r="U990" s="126"/>
      <c r="V990" s="126"/>
      <c r="W990" s="126"/>
      <c r="X990" s="126"/>
      <c r="Y990" s="126"/>
      <c r="Z990" s="126"/>
      <c r="AA990" s="126"/>
      <c r="AB990" s="126"/>
    </row>
    <row r="991" spans="1:28" ht="15.75" customHeight="1">
      <c r="A991" s="126"/>
      <c r="B991" s="126"/>
      <c r="C991" s="176"/>
      <c r="D991" s="176"/>
      <c r="E991" s="176"/>
      <c r="F991" s="176"/>
      <c r="G991" s="176"/>
      <c r="H991" s="176"/>
      <c r="I991" s="126"/>
      <c r="J991" s="126"/>
      <c r="K991" s="126"/>
      <c r="L991" s="126"/>
      <c r="M991" s="126"/>
      <c r="N991" s="126"/>
      <c r="O991" s="126"/>
      <c r="P991" s="126"/>
      <c r="Q991" s="126"/>
      <c r="R991" s="126"/>
      <c r="S991" s="126"/>
      <c r="T991" s="126"/>
      <c r="U991" s="126"/>
      <c r="V991" s="126"/>
      <c r="W991" s="126"/>
      <c r="X991" s="126"/>
      <c r="Y991" s="126"/>
      <c r="Z991" s="126"/>
      <c r="AA991" s="126"/>
      <c r="AB991" s="126"/>
    </row>
    <row r="992" spans="1:28" ht="15.75" customHeight="1">
      <c r="A992" s="126"/>
      <c r="B992" s="126"/>
      <c r="C992" s="176"/>
      <c r="D992" s="176"/>
      <c r="E992" s="176"/>
      <c r="F992" s="176"/>
      <c r="G992" s="176"/>
      <c r="H992" s="176"/>
      <c r="I992" s="126"/>
      <c r="J992" s="126"/>
      <c r="K992" s="126"/>
      <c r="L992" s="126"/>
      <c r="M992" s="126"/>
      <c r="N992" s="126"/>
      <c r="O992" s="126"/>
      <c r="P992" s="126"/>
      <c r="Q992" s="126"/>
      <c r="R992" s="126"/>
      <c r="S992" s="126"/>
      <c r="T992" s="126"/>
      <c r="U992" s="126"/>
      <c r="V992" s="126"/>
      <c r="W992" s="126"/>
      <c r="X992" s="126"/>
      <c r="Y992" s="126"/>
      <c r="Z992" s="126"/>
      <c r="AA992" s="126"/>
      <c r="AB992" s="126"/>
    </row>
    <row r="993" spans="1:28" ht="15.75" customHeight="1">
      <c r="A993" s="126"/>
      <c r="B993" s="126"/>
      <c r="C993" s="176"/>
      <c r="D993" s="176"/>
      <c r="E993" s="176"/>
      <c r="F993" s="176"/>
      <c r="G993" s="176"/>
      <c r="H993" s="176"/>
      <c r="I993" s="126"/>
      <c r="J993" s="126"/>
      <c r="K993" s="126"/>
      <c r="L993" s="126"/>
      <c r="M993" s="126"/>
      <c r="N993" s="126"/>
      <c r="O993" s="126"/>
      <c r="P993" s="126"/>
      <c r="Q993" s="126"/>
      <c r="R993" s="126"/>
      <c r="S993" s="126"/>
      <c r="T993" s="126"/>
      <c r="U993" s="126"/>
      <c r="V993" s="126"/>
      <c r="W993" s="126"/>
      <c r="X993" s="126"/>
      <c r="Y993" s="126"/>
      <c r="Z993" s="126"/>
      <c r="AA993" s="126"/>
      <c r="AB993" s="126"/>
    </row>
    <row r="994" spans="1:28" ht="15.75" customHeight="1">
      <c r="A994" s="126"/>
      <c r="B994" s="126"/>
      <c r="C994" s="176"/>
      <c r="D994" s="176"/>
      <c r="E994" s="176"/>
      <c r="F994" s="176"/>
      <c r="G994" s="176"/>
      <c r="H994" s="176"/>
      <c r="I994" s="126"/>
      <c r="J994" s="126"/>
      <c r="K994" s="126"/>
      <c r="L994" s="126"/>
      <c r="M994" s="126"/>
      <c r="N994" s="126"/>
      <c r="O994" s="126"/>
      <c r="P994" s="126"/>
      <c r="Q994" s="126"/>
      <c r="R994" s="126"/>
      <c r="S994" s="126"/>
      <c r="T994" s="126"/>
      <c r="U994" s="126"/>
      <c r="V994" s="126"/>
      <c r="W994" s="126"/>
      <c r="X994" s="126"/>
      <c r="Y994" s="126"/>
      <c r="Z994" s="126"/>
      <c r="AA994" s="126"/>
      <c r="AB994" s="126"/>
    </row>
    <row r="995" spans="1:28" ht="15.75" customHeight="1">
      <c r="A995" s="126"/>
      <c r="B995" s="126"/>
      <c r="C995" s="176"/>
      <c r="D995" s="176"/>
      <c r="E995" s="176"/>
      <c r="F995" s="176"/>
      <c r="G995" s="176"/>
      <c r="H995" s="176"/>
      <c r="I995" s="126"/>
      <c r="J995" s="126"/>
      <c r="K995" s="126"/>
      <c r="L995" s="126"/>
      <c r="M995" s="126"/>
      <c r="N995" s="126"/>
      <c r="O995" s="126"/>
      <c r="P995" s="126"/>
      <c r="Q995" s="126"/>
      <c r="R995" s="126"/>
      <c r="S995" s="126"/>
      <c r="T995" s="126"/>
      <c r="U995" s="126"/>
      <c r="V995" s="126"/>
      <c r="W995" s="126"/>
      <c r="X995" s="126"/>
      <c r="Y995" s="126"/>
      <c r="Z995" s="126"/>
      <c r="AA995" s="126"/>
      <c r="AB995" s="126"/>
    </row>
    <row r="996" spans="1:28" ht="15.75" customHeight="1">
      <c r="A996" s="126"/>
      <c r="B996" s="126"/>
      <c r="C996" s="176"/>
      <c r="D996" s="176"/>
      <c r="E996" s="176"/>
      <c r="F996" s="176"/>
      <c r="G996" s="176"/>
      <c r="H996" s="176"/>
      <c r="I996" s="126"/>
      <c r="J996" s="126"/>
      <c r="K996" s="126"/>
      <c r="L996" s="126"/>
      <c r="M996" s="126"/>
      <c r="N996" s="126"/>
      <c r="O996" s="126"/>
      <c r="P996" s="126"/>
      <c r="Q996" s="126"/>
      <c r="R996" s="126"/>
      <c r="S996" s="126"/>
      <c r="T996" s="126"/>
      <c r="U996" s="126"/>
      <c r="V996" s="126"/>
      <c r="W996" s="126"/>
      <c r="X996" s="126"/>
      <c r="Y996" s="126"/>
      <c r="Z996" s="126"/>
      <c r="AA996" s="126"/>
      <c r="AB996" s="126"/>
    </row>
    <row r="997" spans="1:28" ht="15.75" customHeight="1">
      <c r="A997" s="126"/>
      <c r="B997" s="126"/>
      <c r="C997" s="176"/>
      <c r="D997" s="176"/>
      <c r="E997" s="176"/>
      <c r="F997" s="176"/>
      <c r="G997" s="176"/>
      <c r="H997" s="176"/>
      <c r="I997" s="126"/>
      <c r="J997" s="126"/>
      <c r="K997" s="126"/>
      <c r="L997" s="126"/>
      <c r="M997" s="126"/>
      <c r="N997" s="126"/>
      <c r="O997" s="126"/>
      <c r="P997" s="126"/>
      <c r="Q997" s="126"/>
      <c r="R997" s="126"/>
      <c r="S997" s="126"/>
      <c r="T997" s="126"/>
      <c r="U997" s="126"/>
      <c r="V997" s="126"/>
      <c r="W997" s="126"/>
      <c r="X997" s="126"/>
      <c r="Y997" s="126"/>
      <c r="Z997" s="126"/>
      <c r="AA997" s="126"/>
      <c r="AB997" s="126"/>
    </row>
    <row r="998" spans="1:28" ht="15.75" customHeight="1">
      <c r="A998" s="126"/>
      <c r="B998" s="126"/>
      <c r="C998" s="176"/>
      <c r="D998" s="176"/>
      <c r="E998" s="176"/>
      <c r="F998" s="176"/>
      <c r="G998" s="176"/>
      <c r="H998" s="176"/>
      <c r="I998" s="126"/>
      <c r="J998" s="126"/>
      <c r="K998" s="126"/>
      <c r="L998" s="126"/>
      <c r="M998" s="126"/>
      <c r="N998" s="126"/>
      <c r="O998" s="126"/>
      <c r="P998" s="126"/>
      <c r="Q998" s="126"/>
      <c r="R998" s="126"/>
      <c r="S998" s="126"/>
      <c r="T998" s="126"/>
      <c r="U998" s="126"/>
      <c r="V998" s="126"/>
      <c r="W998" s="126"/>
      <c r="X998" s="126"/>
      <c r="Y998" s="126"/>
      <c r="Z998" s="126"/>
      <c r="AA998" s="126"/>
      <c r="AB998" s="126"/>
    </row>
    <row r="999" spans="1:28" ht="15.75" customHeight="1">
      <c r="A999" s="126"/>
      <c r="B999" s="126"/>
      <c r="C999" s="176"/>
      <c r="D999" s="176"/>
      <c r="E999" s="176"/>
      <c r="F999" s="176"/>
      <c r="G999" s="176"/>
      <c r="H999" s="176"/>
      <c r="I999" s="126"/>
      <c r="J999" s="126"/>
      <c r="K999" s="126"/>
      <c r="L999" s="126"/>
      <c r="M999" s="126"/>
      <c r="N999" s="126"/>
      <c r="O999" s="126"/>
      <c r="P999" s="126"/>
      <c r="Q999" s="126"/>
      <c r="R999" s="126"/>
      <c r="S999" s="126"/>
      <c r="T999" s="126"/>
      <c r="U999" s="126"/>
      <c r="V999" s="126"/>
      <c r="W999" s="126"/>
      <c r="X999" s="126"/>
      <c r="Y999" s="126"/>
      <c r="Z999" s="126"/>
      <c r="AA999" s="126"/>
      <c r="AB999" s="126"/>
    </row>
    <row r="1000" spans="1:28" ht="15.75" customHeight="1">
      <c r="A1000" s="126"/>
      <c r="B1000" s="126"/>
      <c r="C1000" s="176"/>
      <c r="D1000" s="176"/>
      <c r="E1000" s="176"/>
      <c r="F1000" s="176"/>
      <c r="G1000" s="176"/>
      <c r="H1000" s="17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row>
  </sheetData>
  <mergeCells count="11">
    <mergeCell ref="B76:B77"/>
    <mergeCell ref="E76:H77"/>
    <mergeCell ref="B78:B79"/>
    <mergeCell ref="E78:H79"/>
    <mergeCell ref="A1:H1"/>
    <mergeCell ref="A2:H2"/>
    <mergeCell ref="A3:H3"/>
    <mergeCell ref="A5:B6"/>
    <mergeCell ref="C5:G5"/>
    <mergeCell ref="H5:H6"/>
    <mergeCell ref="A52:B52"/>
  </mergeCells>
  <dataValidations count="1">
    <dataValidation type="decimal" allowBlank="1" showErrorMessage="1" sqref="C8:D16 F8:G16 C18:D22 F18:G22 C24:D25 F24:G25 C27:D32 F27:G32 C34:D36 F34:G36 C38:D41 F38:G41 C43:D51 F43:G51 C53:D53 D54:D57 F53:G57 D59 F59:G59 D61 F61:G61 C67 F67:G67 C69 F69:G69">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&amp;RInforme Analítico del Clasificador por Rubro de Ingresos Página &amp;P de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D8D8D8"/>
    <pageSetUpPr fitToPage="1"/>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2.140625" customWidth="1"/>
    <col min="2" max="2" width="61.5703125" customWidth="1"/>
    <col min="3" max="8" width="18" customWidth="1"/>
    <col min="9" max="26" width="10.7109375" customWidth="1"/>
  </cols>
  <sheetData>
    <row r="1" spans="1:26" ht="44.25" customHeight="1">
      <c r="A1" s="892" t="str">
        <f>"NOMBRE DEL ENTE PÚBLICO: "&amp;Validacion!A2</f>
        <v>NOMBRE DEL ENTE PÚBLICO: Guadalajara</v>
      </c>
      <c r="B1" s="746"/>
      <c r="C1" s="746"/>
      <c r="D1" s="746"/>
      <c r="E1" s="746"/>
      <c r="F1" s="746"/>
      <c r="G1" s="746"/>
      <c r="H1" s="747"/>
      <c r="I1" s="131"/>
      <c r="J1" s="131"/>
      <c r="K1" s="131"/>
      <c r="L1" s="131"/>
      <c r="M1" s="131"/>
      <c r="N1" s="131"/>
      <c r="O1" s="131"/>
      <c r="P1" s="131"/>
      <c r="Q1" s="131"/>
      <c r="R1" s="131"/>
      <c r="S1" s="131"/>
      <c r="T1" s="131"/>
      <c r="U1" s="131"/>
      <c r="V1" s="131"/>
      <c r="W1" s="131"/>
      <c r="X1" s="131"/>
      <c r="Y1" s="131"/>
      <c r="Z1" s="131"/>
    </row>
    <row r="2" spans="1:26" ht="18.75">
      <c r="A2" s="751" t="s">
        <v>7204</v>
      </c>
      <c r="B2" s="749"/>
      <c r="C2" s="749"/>
      <c r="D2" s="749"/>
      <c r="E2" s="749"/>
      <c r="F2" s="749"/>
      <c r="G2" s="749"/>
      <c r="H2" s="750"/>
      <c r="I2" s="131"/>
      <c r="J2" s="131"/>
      <c r="K2" s="131"/>
      <c r="L2" s="131"/>
      <c r="M2" s="131"/>
      <c r="N2" s="131"/>
      <c r="O2" s="131"/>
      <c r="P2" s="131"/>
      <c r="Q2" s="131"/>
      <c r="R2" s="131"/>
      <c r="S2" s="131"/>
      <c r="T2" s="131"/>
      <c r="U2" s="131"/>
      <c r="V2" s="131"/>
      <c r="W2" s="131"/>
      <c r="X2" s="131"/>
      <c r="Y2" s="131"/>
      <c r="Z2" s="131"/>
    </row>
    <row r="3" spans="1:26" ht="15.75">
      <c r="A3" s="812" t="e">
        <f>'F6'!A3</f>
        <v>#REF!</v>
      </c>
      <c r="B3" s="749"/>
      <c r="C3" s="749"/>
      <c r="D3" s="749"/>
      <c r="E3" s="749"/>
      <c r="F3" s="749"/>
      <c r="G3" s="749"/>
      <c r="H3" s="750"/>
      <c r="I3" s="131"/>
      <c r="J3" s="131"/>
      <c r="K3" s="131"/>
      <c r="L3" s="131"/>
      <c r="M3" s="131"/>
      <c r="N3" s="131"/>
      <c r="O3" s="131"/>
      <c r="P3" s="131"/>
      <c r="Q3" s="131"/>
      <c r="R3" s="131"/>
      <c r="S3" s="131"/>
      <c r="T3" s="131"/>
      <c r="U3" s="131"/>
      <c r="V3" s="131"/>
      <c r="W3" s="131"/>
      <c r="X3" s="131"/>
      <c r="Y3" s="131"/>
      <c r="Z3" s="131"/>
    </row>
    <row r="4" spans="1:26" ht="15.75">
      <c r="A4" s="813" t="s">
        <v>4447</v>
      </c>
      <c r="B4" s="753"/>
      <c r="C4" s="753"/>
      <c r="D4" s="753"/>
      <c r="E4" s="753"/>
      <c r="F4" s="753"/>
      <c r="G4" s="753"/>
      <c r="H4" s="754"/>
      <c r="I4" s="131"/>
      <c r="J4" s="131"/>
      <c r="K4" s="131"/>
      <c r="L4" s="131"/>
      <c r="M4" s="131"/>
      <c r="N4" s="131"/>
      <c r="O4" s="131"/>
      <c r="P4" s="131"/>
      <c r="Q4" s="131"/>
      <c r="R4" s="131"/>
      <c r="S4" s="131"/>
      <c r="T4" s="131"/>
      <c r="U4" s="131"/>
      <c r="V4" s="131"/>
      <c r="W4" s="131"/>
      <c r="X4" s="131"/>
      <c r="Y4" s="131"/>
      <c r="Z4" s="131"/>
    </row>
    <row r="5" spans="1:26" ht="21">
      <c r="A5" s="930" t="s">
        <v>4379</v>
      </c>
      <c r="B5" s="778"/>
      <c r="C5" s="931" t="s">
        <v>4428</v>
      </c>
      <c r="D5" s="756"/>
      <c r="E5" s="756"/>
      <c r="F5" s="756"/>
      <c r="G5" s="733"/>
      <c r="H5" s="784" t="s">
        <v>4429</v>
      </c>
      <c r="I5" s="131"/>
      <c r="J5" s="131"/>
      <c r="K5" s="131"/>
      <c r="L5" s="131"/>
      <c r="M5" s="131"/>
      <c r="N5" s="131"/>
      <c r="O5" s="131"/>
      <c r="P5" s="131"/>
      <c r="Q5" s="131"/>
      <c r="R5" s="131"/>
      <c r="S5" s="131"/>
      <c r="T5" s="131"/>
      <c r="U5" s="131"/>
      <c r="V5" s="131"/>
      <c r="W5" s="131"/>
      <c r="X5" s="131"/>
      <c r="Y5" s="131"/>
      <c r="Z5" s="131"/>
    </row>
    <row r="6" spans="1:26" ht="31.5">
      <c r="A6" s="779"/>
      <c r="B6" s="780"/>
      <c r="C6" s="127" t="s">
        <v>4430</v>
      </c>
      <c r="D6" s="127" t="s">
        <v>7205</v>
      </c>
      <c r="E6" s="127" t="s">
        <v>4432</v>
      </c>
      <c r="F6" s="127" t="s">
        <v>4433</v>
      </c>
      <c r="G6" s="127" t="s">
        <v>4434</v>
      </c>
      <c r="H6" s="730"/>
      <c r="I6" s="131"/>
      <c r="J6" s="131"/>
      <c r="K6" s="131"/>
      <c r="L6" s="131"/>
      <c r="M6" s="131"/>
      <c r="N6" s="131"/>
      <c r="O6" s="131"/>
      <c r="P6" s="131"/>
      <c r="Q6" s="131"/>
      <c r="R6" s="131"/>
      <c r="S6" s="131"/>
      <c r="T6" s="131"/>
      <c r="U6" s="131"/>
      <c r="V6" s="131"/>
      <c r="W6" s="131"/>
      <c r="X6" s="131"/>
      <c r="Y6" s="131"/>
      <c r="Z6" s="131"/>
    </row>
    <row r="7" spans="1:26">
      <c r="A7" s="594" t="s">
        <v>7206</v>
      </c>
      <c r="B7" s="595"/>
      <c r="C7" s="596"/>
      <c r="D7" s="596"/>
      <c r="E7" s="596"/>
      <c r="F7" s="596"/>
      <c r="G7" s="596"/>
      <c r="H7" s="596"/>
      <c r="I7" s="131"/>
      <c r="J7" s="131"/>
      <c r="K7" s="131"/>
      <c r="L7" s="131"/>
      <c r="M7" s="131"/>
      <c r="N7" s="131"/>
      <c r="O7" s="131"/>
      <c r="P7" s="131"/>
      <c r="Q7" s="131"/>
      <c r="R7" s="131"/>
      <c r="S7" s="131"/>
      <c r="T7" s="131"/>
      <c r="U7" s="131"/>
      <c r="V7" s="131"/>
      <c r="W7" s="131"/>
      <c r="X7" s="131"/>
      <c r="Y7" s="131"/>
      <c r="Z7" s="131"/>
    </row>
    <row r="8" spans="1:26">
      <c r="A8" s="597" t="s">
        <v>7207</v>
      </c>
      <c r="B8" s="387"/>
      <c r="C8" s="323">
        <f>Balanza!G797</f>
        <v>3098766955.1999998</v>
      </c>
      <c r="D8" s="323">
        <f>Balanza!G985</f>
        <v>0</v>
      </c>
      <c r="E8" s="323">
        <f t="shared" ref="E8:E14" si="0">C8+D8</f>
        <v>3098766955.1999998</v>
      </c>
      <c r="F8" s="323">
        <f>Balanza!F1079</f>
        <v>2369059661.6899996</v>
      </c>
      <c r="G8" s="323">
        <f>Balanza!H1173</f>
        <v>2369059661.6899996</v>
      </c>
      <c r="H8" s="323">
        <f t="shared" ref="H8:H14" si="1">G8-C8</f>
        <v>-729707293.51000023</v>
      </c>
      <c r="I8" s="144"/>
      <c r="J8" s="144"/>
      <c r="K8" s="144"/>
      <c r="L8" s="144"/>
      <c r="M8" s="144"/>
      <c r="N8" s="144"/>
      <c r="O8" s="144"/>
      <c r="P8" s="144"/>
      <c r="Q8" s="144"/>
      <c r="R8" s="144"/>
      <c r="S8" s="144"/>
      <c r="T8" s="144"/>
      <c r="U8" s="144"/>
      <c r="V8" s="144"/>
      <c r="W8" s="144"/>
      <c r="X8" s="144"/>
      <c r="Y8" s="144"/>
      <c r="Z8" s="144"/>
    </row>
    <row r="9" spans="1:26">
      <c r="A9" s="598" t="s">
        <v>7208</v>
      </c>
      <c r="B9" s="387"/>
      <c r="C9" s="323">
        <f>Balanza!G807</f>
        <v>0</v>
      </c>
      <c r="D9" s="323">
        <f>Balanza!G995</f>
        <v>0</v>
      </c>
      <c r="E9" s="323">
        <f t="shared" si="0"/>
        <v>0</v>
      </c>
      <c r="F9" s="323">
        <f>Balanza!F1089</f>
        <v>0</v>
      </c>
      <c r="G9" s="323">
        <f>Balanza!H1183</f>
        <v>0</v>
      </c>
      <c r="H9" s="323">
        <f t="shared" si="1"/>
        <v>0</v>
      </c>
      <c r="I9" s="144"/>
      <c r="J9" s="144"/>
      <c r="K9" s="144"/>
      <c r="L9" s="144"/>
      <c r="M9" s="144"/>
      <c r="N9" s="144"/>
      <c r="O9" s="144"/>
      <c r="P9" s="144"/>
      <c r="Q9" s="144"/>
      <c r="R9" s="144"/>
      <c r="S9" s="144"/>
      <c r="T9" s="144"/>
      <c r="U9" s="144"/>
      <c r="V9" s="144"/>
      <c r="W9" s="144"/>
      <c r="X9" s="144"/>
      <c r="Y9" s="144"/>
      <c r="Z9" s="144"/>
    </row>
    <row r="10" spans="1:26">
      <c r="A10" s="598" t="s">
        <v>7209</v>
      </c>
      <c r="B10" s="387"/>
      <c r="C10" s="323">
        <f>Balanza!G813</f>
        <v>0</v>
      </c>
      <c r="D10" s="323">
        <f>Balanza!G1001</f>
        <v>0</v>
      </c>
      <c r="E10" s="323">
        <f t="shared" si="0"/>
        <v>0</v>
      </c>
      <c r="F10" s="323">
        <f>Balanza!F1095</f>
        <v>0</v>
      </c>
      <c r="G10" s="323">
        <f>Balanza!H1189</f>
        <v>0</v>
      </c>
      <c r="H10" s="323">
        <f t="shared" si="1"/>
        <v>0</v>
      </c>
      <c r="I10" s="144"/>
      <c r="J10" s="144"/>
      <c r="K10" s="144"/>
      <c r="L10" s="144"/>
      <c r="M10" s="144"/>
      <c r="N10" s="144"/>
      <c r="O10" s="144"/>
      <c r="P10" s="144"/>
      <c r="Q10" s="144"/>
      <c r="R10" s="144"/>
      <c r="S10" s="144"/>
      <c r="T10" s="144"/>
      <c r="U10" s="144"/>
      <c r="V10" s="144"/>
      <c r="W10" s="144"/>
      <c r="X10" s="144"/>
      <c r="Y10" s="144"/>
      <c r="Z10" s="144"/>
    </row>
    <row r="11" spans="1:26">
      <c r="A11" s="598" t="s">
        <v>7210</v>
      </c>
      <c r="B11" s="387"/>
      <c r="C11" s="323">
        <f>Balanza!G816</f>
        <v>1614044241.5100002</v>
      </c>
      <c r="D11" s="323">
        <f>Balanza!G1004</f>
        <v>0</v>
      </c>
      <c r="E11" s="323">
        <f t="shared" si="0"/>
        <v>1614044241.5100002</v>
      </c>
      <c r="F11" s="323">
        <f>Balanza!F1098</f>
        <v>677173940.41000009</v>
      </c>
      <c r="G11" s="323">
        <f>Balanza!H1192</f>
        <v>677173940.41000009</v>
      </c>
      <c r="H11" s="323">
        <f t="shared" si="1"/>
        <v>-936870301.10000014</v>
      </c>
      <c r="I11" s="144"/>
      <c r="J11" s="144"/>
      <c r="K11" s="144"/>
      <c r="L11" s="144"/>
      <c r="M11" s="144"/>
      <c r="N11" s="144"/>
      <c r="O11" s="144"/>
      <c r="P11" s="144"/>
      <c r="Q11" s="144"/>
      <c r="R11" s="144"/>
      <c r="S11" s="144"/>
      <c r="T11" s="144"/>
      <c r="U11" s="144"/>
      <c r="V11" s="144"/>
      <c r="W11" s="144"/>
      <c r="X11" s="144"/>
      <c r="Y11" s="144"/>
      <c r="Z11" s="144"/>
    </row>
    <row r="12" spans="1:26">
      <c r="A12" s="598" t="s">
        <v>7211</v>
      </c>
      <c r="B12" s="387"/>
      <c r="C12" s="323">
        <f>Balanza!G823</f>
        <v>178061060.72</v>
      </c>
      <c r="D12" s="323">
        <f>Balanza!G1011</f>
        <v>0</v>
      </c>
      <c r="E12" s="323">
        <f t="shared" si="0"/>
        <v>178061060.72</v>
      </c>
      <c r="F12" s="323">
        <f>Balanza!F1105</f>
        <v>100037434.66</v>
      </c>
      <c r="G12" s="323">
        <f>Balanza!H1199</f>
        <v>100037434.66</v>
      </c>
      <c r="H12" s="323">
        <f t="shared" si="1"/>
        <v>-78023626.060000002</v>
      </c>
      <c r="I12" s="144"/>
      <c r="J12" s="144"/>
      <c r="K12" s="144"/>
      <c r="L12" s="144"/>
      <c r="M12" s="144"/>
      <c r="N12" s="144"/>
      <c r="O12" s="144"/>
      <c r="P12" s="144"/>
      <c r="Q12" s="144"/>
      <c r="R12" s="144"/>
      <c r="S12" s="144"/>
      <c r="T12" s="144"/>
      <c r="U12" s="144"/>
      <c r="V12" s="144"/>
      <c r="W12" s="144"/>
      <c r="X12" s="144"/>
      <c r="Y12" s="144"/>
      <c r="Z12" s="144"/>
    </row>
    <row r="13" spans="1:26">
      <c r="A13" s="598" t="s">
        <v>7212</v>
      </c>
      <c r="B13" s="387"/>
      <c r="C13" s="323">
        <f>Balanza!G827</f>
        <v>112985915.93000001</v>
      </c>
      <c r="D13" s="323">
        <f>Balanza!G1015</f>
        <v>0</v>
      </c>
      <c r="E13" s="323">
        <f t="shared" si="0"/>
        <v>112985915.93000001</v>
      </c>
      <c r="F13" s="323">
        <f>Balanza!F1109</f>
        <v>87159634.730000004</v>
      </c>
      <c r="G13" s="323">
        <f>Balanza!H1203</f>
        <v>87159634.730000004</v>
      </c>
      <c r="H13" s="323">
        <f t="shared" si="1"/>
        <v>-25826281.200000003</v>
      </c>
      <c r="I13" s="144"/>
      <c r="J13" s="144"/>
      <c r="K13" s="144"/>
      <c r="L13" s="144"/>
      <c r="M13" s="144"/>
      <c r="N13" s="144"/>
      <c r="O13" s="144"/>
      <c r="P13" s="144"/>
      <c r="Q13" s="144"/>
      <c r="R13" s="144"/>
      <c r="S13" s="144"/>
      <c r="T13" s="144"/>
      <c r="U13" s="144"/>
      <c r="V13" s="144"/>
      <c r="W13" s="144"/>
      <c r="X13" s="144"/>
      <c r="Y13" s="144"/>
      <c r="Z13" s="144"/>
    </row>
    <row r="14" spans="1:26">
      <c r="A14" s="598" t="s">
        <v>7213</v>
      </c>
      <c r="B14" s="387"/>
      <c r="C14" s="323">
        <f>Balanza!G832</f>
        <v>0</v>
      </c>
      <c r="D14" s="323">
        <f>Balanza!G1020</f>
        <v>0</v>
      </c>
      <c r="E14" s="323">
        <f t="shared" si="0"/>
        <v>0</v>
      </c>
      <c r="F14" s="323">
        <f>Balanza!F1114</f>
        <v>0</v>
      </c>
      <c r="G14" s="323">
        <f>Balanza!H1208</f>
        <v>0</v>
      </c>
      <c r="H14" s="323">
        <f t="shared" si="1"/>
        <v>0</v>
      </c>
      <c r="I14" s="144"/>
      <c r="J14" s="144"/>
      <c r="K14" s="144"/>
      <c r="L14" s="144"/>
      <c r="M14" s="144"/>
      <c r="N14" s="144"/>
      <c r="O14" s="144"/>
      <c r="P14" s="144"/>
      <c r="Q14" s="144"/>
      <c r="R14" s="144"/>
      <c r="S14" s="144"/>
      <c r="T14" s="144"/>
      <c r="U14" s="144"/>
      <c r="V14" s="144"/>
      <c r="W14" s="144"/>
      <c r="X14" s="144"/>
      <c r="Y14" s="144"/>
      <c r="Z14" s="144"/>
    </row>
    <row r="15" spans="1:26">
      <c r="A15" s="598" t="s">
        <v>7214</v>
      </c>
      <c r="B15" s="387"/>
      <c r="C15" s="323">
        <f t="shared" ref="C15:H15" si="2">SUM(C16:C26)</f>
        <v>4706649813.54</v>
      </c>
      <c r="D15" s="323">
        <f t="shared" si="2"/>
        <v>0</v>
      </c>
      <c r="E15" s="323">
        <f t="shared" si="2"/>
        <v>4706649813.54</v>
      </c>
      <c r="F15" s="323">
        <f t="shared" si="2"/>
        <v>2381027323.5099998</v>
      </c>
      <c r="G15" s="323">
        <f t="shared" si="2"/>
        <v>2381027323.5099998</v>
      </c>
      <c r="H15" s="323">
        <f t="shared" si="2"/>
        <v>-2325622490.0299993</v>
      </c>
      <c r="I15" s="144"/>
      <c r="J15" s="144"/>
      <c r="K15" s="144"/>
      <c r="L15" s="144"/>
      <c r="M15" s="144"/>
      <c r="N15" s="144"/>
      <c r="O15" s="144"/>
      <c r="P15" s="144"/>
      <c r="Q15" s="144"/>
      <c r="R15" s="144"/>
      <c r="S15" s="144"/>
      <c r="T15" s="144"/>
      <c r="U15" s="144"/>
      <c r="V15" s="144"/>
      <c r="W15" s="144"/>
      <c r="X15" s="144"/>
      <c r="Y15" s="144"/>
      <c r="Z15" s="144"/>
    </row>
    <row r="16" spans="1:26">
      <c r="A16" s="599"/>
      <c r="B16" s="600" t="s">
        <v>7215</v>
      </c>
      <c r="C16" s="256">
        <f>Balanza!G844</f>
        <v>2813192265.6599998</v>
      </c>
      <c r="D16" s="256">
        <f>Balanza!G1032</f>
        <v>0</v>
      </c>
      <c r="E16" s="323">
        <f t="shared" ref="E16:E26" si="3">C16+D16</f>
        <v>2813192265.6599998</v>
      </c>
      <c r="F16" s="256">
        <f>Balanza!F1126</f>
        <v>1467777654.4000001</v>
      </c>
      <c r="G16" s="256">
        <f>Balanza!H1220</f>
        <v>1467777654.4000001</v>
      </c>
      <c r="H16" s="323">
        <f t="shared" ref="H16:H26" si="4">G16-C16</f>
        <v>-1345414611.2599998</v>
      </c>
      <c r="I16" s="144"/>
      <c r="J16" s="144"/>
      <c r="K16" s="144"/>
      <c r="L16" s="144"/>
      <c r="M16" s="144"/>
      <c r="N16" s="144"/>
      <c r="O16" s="144"/>
      <c r="P16" s="144"/>
      <c r="Q16" s="144"/>
      <c r="R16" s="144"/>
      <c r="S16" s="144"/>
      <c r="T16" s="144"/>
      <c r="U16" s="144"/>
      <c r="V16" s="144"/>
      <c r="W16" s="144"/>
      <c r="X16" s="144"/>
      <c r="Y16" s="144"/>
      <c r="Z16" s="144"/>
    </row>
    <row r="17" spans="1:26">
      <c r="A17" s="601"/>
      <c r="B17" s="600" t="s">
        <v>7216</v>
      </c>
      <c r="C17" s="256">
        <f>Balanza!G845</f>
        <v>430724110.88999999</v>
      </c>
      <c r="D17" s="256">
        <f>Balanza!G1033</f>
        <v>0</v>
      </c>
      <c r="E17" s="323">
        <f t="shared" si="3"/>
        <v>430724110.88999999</v>
      </c>
      <c r="F17" s="256">
        <f>Balanza!F1127</f>
        <v>246873957.37</v>
      </c>
      <c r="G17" s="256">
        <f>Balanza!H1221</f>
        <v>246873957.37</v>
      </c>
      <c r="H17" s="323">
        <f t="shared" si="4"/>
        <v>-183850153.51999998</v>
      </c>
      <c r="I17" s="144"/>
      <c r="J17" s="144"/>
      <c r="K17" s="144"/>
      <c r="L17" s="144"/>
      <c r="M17" s="144"/>
      <c r="N17" s="144"/>
      <c r="O17" s="144"/>
      <c r="P17" s="144"/>
      <c r="Q17" s="144"/>
      <c r="R17" s="144"/>
      <c r="S17" s="144"/>
      <c r="T17" s="144"/>
      <c r="U17" s="144"/>
      <c r="V17" s="144"/>
      <c r="W17" s="144"/>
      <c r="X17" s="144"/>
      <c r="Y17" s="144"/>
      <c r="Z17" s="144"/>
    </row>
    <row r="18" spans="1:26">
      <c r="A18" s="601"/>
      <c r="B18" s="600" t="s">
        <v>7217</v>
      </c>
      <c r="C18" s="256">
        <f>Balanza!G846</f>
        <v>550823964.02999997</v>
      </c>
      <c r="D18" s="256">
        <f>Balanza!G1034</f>
        <v>0</v>
      </c>
      <c r="E18" s="323">
        <f t="shared" si="3"/>
        <v>550823964.02999997</v>
      </c>
      <c r="F18" s="256">
        <f>Balanza!F1128</f>
        <v>261553212.03</v>
      </c>
      <c r="G18" s="256">
        <f>Balanza!H1222</f>
        <v>261553212.03</v>
      </c>
      <c r="H18" s="323">
        <f t="shared" si="4"/>
        <v>-289270752</v>
      </c>
      <c r="I18" s="144"/>
      <c r="J18" s="144"/>
      <c r="K18" s="144"/>
      <c r="L18" s="144"/>
      <c r="M18" s="144"/>
      <c r="N18" s="144"/>
      <c r="O18" s="144"/>
      <c r="P18" s="144"/>
      <c r="Q18" s="144"/>
      <c r="R18" s="144"/>
      <c r="S18" s="144"/>
      <c r="T18" s="144"/>
      <c r="U18" s="144"/>
      <c r="V18" s="144"/>
      <c r="W18" s="144"/>
      <c r="X18" s="144"/>
      <c r="Y18" s="144"/>
      <c r="Z18" s="144"/>
    </row>
    <row r="19" spans="1:26">
      <c r="A19" s="601"/>
      <c r="B19" s="600" t="s">
        <v>7218</v>
      </c>
      <c r="C19" s="256">
        <f>Balanza!G847</f>
        <v>0</v>
      </c>
      <c r="D19" s="256">
        <f>Balanza!G1035</f>
        <v>0</v>
      </c>
      <c r="E19" s="323">
        <f t="shared" si="3"/>
        <v>0</v>
      </c>
      <c r="F19" s="256">
        <f>Balanza!F1129</f>
        <v>0</v>
      </c>
      <c r="G19" s="256">
        <f>Balanza!H1223</f>
        <v>0</v>
      </c>
      <c r="H19" s="323">
        <f t="shared" si="4"/>
        <v>0</v>
      </c>
      <c r="I19" s="144"/>
      <c r="J19" s="144"/>
      <c r="K19" s="144"/>
      <c r="L19" s="144"/>
      <c r="M19" s="144"/>
      <c r="N19" s="144"/>
      <c r="O19" s="144"/>
      <c r="P19" s="144"/>
      <c r="Q19" s="144"/>
      <c r="R19" s="144"/>
      <c r="S19" s="144"/>
      <c r="T19" s="144"/>
      <c r="U19" s="144"/>
      <c r="V19" s="144"/>
      <c r="W19" s="144"/>
      <c r="X19" s="144"/>
      <c r="Y19" s="144"/>
      <c r="Z19" s="144"/>
    </row>
    <row r="20" spans="1:26">
      <c r="A20" s="601"/>
      <c r="B20" s="600" t="s">
        <v>7219</v>
      </c>
      <c r="C20" s="256">
        <f>Balanza!G848</f>
        <v>0</v>
      </c>
      <c r="D20" s="256">
        <f>Balanza!G1036</f>
        <v>0</v>
      </c>
      <c r="E20" s="323">
        <f t="shared" si="3"/>
        <v>0</v>
      </c>
      <c r="F20" s="256">
        <f>Balanza!F1130</f>
        <v>0</v>
      </c>
      <c r="G20" s="256">
        <f>Balanza!H1224</f>
        <v>0</v>
      </c>
      <c r="H20" s="323">
        <f t="shared" si="4"/>
        <v>0</v>
      </c>
      <c r="I20" s="144"/>
      <c r="J20" s="144"/>
      <c r="K20" s="144"/>
      <c r="L20" s="144"/>
      <c r="M20" s="144"/>
      <c r="N20" s="144"/>
      <c r="O20" s="144"/>
      <c r="P20" s="144"/>
      <c r="Q20" s="144"/>
      <c r="R20" s="144"/>
      <c r="S20" s="144"/>
      <c r="T20" s="144"/>
      <c r="U20" s="144"/>
      <c r="V20" s="144"/>
      <c r="W20" s="144"/>
      <c r="X20" s="144"/>
      <c r="Y20" s="144"/>
      <c r="Z20" s="144"/>
    </row>
    <row r="21" spans="1:26" ht="15.75" customHeight="1">
      <c r="A21" s="601"/>
      <c r="B21" s="600" t="s">
        <v>7220</v>
      </c>
      <c r="C21" s="256">
        <f>Balanza!G849</f>
        <v>70903102.590000004</v>
      </c>
      <c r="D21" s="256">
        <f>Balanza!G1037</f>
        <v>0</v>
      </c>
      <c r="E21" s="323">
        <f t="shared" si="3"/>
        <v>70903102.590000004</v>
      </c>
      <c r="F21" s="256">
        <f>Balanza!F1131</f>
        <v>36467989.840000004</v>
      </c>
      <c r="G21" s="256">
        <f>Balanza!H1225</f>
        <v>36467989.840000004</v>
      </c>
      <c r="H21" s="323">
        <f t="shared" si="4"/>
        <v>-34435112.75</v>
      </c>
      <c r="I21" s="144"/>
      <c r="J21" s="144"/>
      <c r="K21" s="144"/>
      <c r="L21" s="144"/>
      <c r="M21" s="144"/>
      <c r="N21" s="144"/>
      <c r="O21" s="144"/>
      <c r="P21" s="144"/>
      <c r="Q21" s="144"/>
      <c r="R21" s="144"/>
      <c r="S21" s="144"/>
      <c r="T21" s="144"/>
      <c r="U21" s="144"/>
      <c r="V21" s="144"/>
      <c r="W21" s="144"/>
      <c r="X21" s="144"/>
      <c r="Y21" s="144"/>
      <c r="Z21" s="144"/>
    </row>
    <row r="22" spans="1:26" ht="15.75" customHeight="1">
      <c r="A22" s="601"/>
      <c r="B22" s="600" t="s">
        <v>7221</v>
      </c>
      <c r="C22" s="256">
        <f>Balanza!G850</f>
        <v>0</v>
      </c>
      <c r="D22" s="256">
        <f>Balanza!G1038</f>
        <v>0</v>
      </c>
      <c r="E22" s="323">
        <f t="shared" si="3"/>
        <v>0</v>
      </c>
      <c r="F22" s="256">
        <f>Balanza!F1132</f>
        <v>0</v>
      </c>
      <c r="G22" s="256">
        <f>Balanza!H1226</f>
        <v>0</v>
      </c>
      <c r="H22" s="323">
        <f t="shared" si="4"/>
        <v>0</v>
      </c>
      <c r="I22" s="144"/>
      <c r="J22" s="144"/>
      <c r="K22" s="144"/>
      <c r="L22" s="144"/>
      <c r="M22" s="144"/>
      <c r="N22" s="144"/>
      <c r="O22" s="144"/>
      <c r="P22" s="144"/>
      <c r="Q22" s="144"/>
      <c r="R22" s="144"/>
      <c r="S22" s="144"/>
      <c r="T22" s="144"/>
      <c r="U22" s="144"/>
      <c r="V22" s="144"/>
      <c r="W22" s="144"/>
      <c r="X22" s="144"/>
      <c r="Y22" s="144"/>
      <c r="Z22" s="144"/>
    </row>
    <row r="23" spans="1:26" ht="15.75" customHeight="1">
      <c r="A23" s="601"/>
      <c r="B23" s="600" t="s">
        <v>7222</v>
      </c>
      <c r="C23" s="256">
        <f>Balanza!G851</f>
        <v>0</v>
      </c>
      <c r="D23" s="256">
        <f>Balanza!G1039</f>
        <v>0</v>
      </c>
      <c r="E23" s="323">
        <f t="shared" si="3"/>
        <v>0</v>
      </c>
      <c r="F23" s="256">
        <f>Balanza!F1133</f>
        <v>0</v>
      </c>
      <c r="G23" s="256">
        <f>Balanza!H1227</f>
        <v>0</v>
      </c>
      <c r="H23" s="323">
        <f t="shared" si="4"/>
        <v>0</v>
      </c>
      <c r="I23" s="144"/>
      <c r="J23" s="144"/>
      <c r="K23" s="144"/>
      <c r="L23" s="144"/>
      <c r="M23" s="144"/>
      <c r="N23" s="144"/>
      <c r="O23" s="144"/>
      <c r="P23" s="144"/>
      <c r="Q23" s="144"/>
      <c r="R23" s="144"/>
      <c r="S23" s="144"/>
      <c r="T23" s="144"/>
      <c r="U23" s="144"/>
      <c r="V23" s="144"/>
      <c r="W23" s="144"/>
      <c r="X23" s="144"/>
      <c r="Y23" s="144"/>
      <c r="Z23" s="144"/>
    </row>
    <row r="24" spans="1:26" ht="15.75" customHeight="1">
      <c r="A24" s="601"/>
      <c r="B24" s="600" t="s">
        <v>7223</v>
      </c>
      <c r="C24" s="256">
        <f>Balanza!G852</f>
        <v>36878564.920000002</v>
      </c>
      <c r="D24" s="256">
        <f>Balanza!G1040</f>
        <v>0</v>
      </c>
      <c r="E24" s="323">
        <f t="shared" si="3"/>
        <v>36878564.920000002</v>
      </c>
      <c r="F24" s="256">
        <f>Balanza!F1134</f>
        <v>19708541.100000001</v>
      </c>
      <c r="G24" s="256">
        <f>Balanza!H1228</f>
        <v>19708541.100000001</v>
      </c>
      <c r="H24" s="323">
        <f t="shared" si="4"/>
        <v>-17170023.82</v>
      </c>
      <c r="I24" s="144"/>
      <c r="J24" s="144"/>
      <c r="K24" s="144"/>
      <c r="L24" s="144"/>
      <c r="M24" s="144"/>
      <c r="N24" s="144"/>
      <c r="O24" s="144"/>
      <c r="P24" s="144"/>
      <c r="Q24" s="144"/>
      <c r="R24" s="144"/>
      <c r="S24" s="144"/>
      <c r="T24" s="144"/>
      <c r="U24" s="144"/>
      <c r="V24" s="144"/>
      <c r="W24" s="144"/>
      <c r="X24" s="144"/>
      <c r="Y24" s="144"/>
      <c r="Z24" s="144"/>
    </row>
    <row r="25" spans="1:26" ht="15.75" customHeight="1">
      <c r="A25" s="601"/>
      <c r="B25" s="600" t="s">
        <v>7224</v>
      </c>
      <c r="C25" s="256">
        <f>Balanza!G853</f>
        <v>799805146.89999998</v>
      </c>
      <c r="D25" s="256">
        <f>Balanza!G1041</f>
        <v>0</v>
      </c>
      <c r="E25" s="323">
        <f t="shared" si="3"/>
        <v>799805146.89999998</v>
      </c>
      <c r="F25" s="256">
        <f>Balanza!F1135</f>
        <v>348957351.20999998</v>
      </c>
      <c r="G25" s="256">
        <f>Balanza!H1229</f>
        <v>348957351.20999998</v>
      </c>
      <c r="H25" s="323">
        <f t="shared" si="4"/>
        <v>-450847795.69</v>
      </c>
      <c r="I25" s="144"/>
      <c r="J25" s="144"/>
      <c r="K25" s="144"/>
      <c r="L25" s="144"/>
      <c r="M25" s="144"/>
      <c r="N25" s="144"/>
      <c r="O25" s="144"/>
      <c r="P25" s="144"/>
      <c r="Q25" s="144"/>
      <c r="R25" s="144"/>
      <c r="S25" s="144"/>
      <c r="T25" s="144"/>
      <c r="U25" s="144"/>
      <c r="V25" s="144"/>
      <c r="W25" s="144"/>
      <c r="X25" s="144"/>
      <c r="Y25" s="144"/>
      <c r="Z25" s="144"/>
    </row>
    <row r="26" spans="1:26" ht="15.75" customHeight="1">
      <c r="A26" s="601"/>
      <c r="B26" s="133" t="s">
        <v>7225</v>
      </c>
      <c r="C26" s="256">
        <f>Balanza!G854</f>
        <v>4322658.55</v>
      </c>
      <c r="D26" s="256">
        <f>Balanza!G1042</f>
        <v>0</v>
      </c>
      <c r="E26" s="323">
        <f t="shared" si="3"/>
        <v>4322658.55</v>
      </c>
      <c r="F26" s="256">
        <f>Balanza!F1136</f>
        <v>-311382.44</v>
      </c>
      <c r="G26" s="256">
        <f>Balanza!H1230</f>
        <v>-311382.44</v>
      </c>
      <c r="H26" s="323">
        <f t="shared" si="4"/>
        <v>-4634040.99</v>
      </c>
      <c r="I26" s="144"/>
      <c r="J26" s="144"/>
      <c r="K26" s="144"/>
      <c r="L26" s="144"/>
      <c r="M26" s="144"/>
      <c r="N26" s="144"/>
      <c r="O26" s="144"/>
      <c r="P26" s="144"/>
      <c r="Q26" s="144"/>
      <c r="R26" s="144"/>
      <c r="S26" s="144"/>
      <c r="T26" s="144"/>
      <c r="U26" s="144"/>
      <c r="V26" s="144"/>
      <c r="W26" s="144"/>
      <c r="X26" s="144"/>
      <c r="Y26" s="144"/>
      <c r="Z26" s="144"/>
    </row>
    <row r="27" spans="1:26" ht="15.75" customHeight="1">
      <c r="A27" s="597" t="s">
        <v>7226</v>
      </c>
      <c r="B27" s="387"/>
      <c r="C27" s="323">
        <f t="shared" ref="C27:H27" si="5">SUM(C28:C32)</f>
        <v>110458305.82000001</v>
      </c>
      <c r="D27" s="323">
        <f t="shared" si="5"/>
        <v>0</v>
      </c>
      <c r="E27" s="323">
        <f t="shared" si="5"/>
        <v>110458305.82000001</v>
      </c>
      <c r="F27" s="323">
        <f t="shared" si="5"/>
        <v>40501443.759999998</v>
      </c>
      <c r="G27" s="323">
        <f t="shared" si="5"/>
        <v>40501443.759999998</v>
      </c>
      <c r="H27" s="323">
        <f t="shared" si="5"/>
        <v>-69956862.060000002</v>
      </c>
      <c r="I27" s="144"/>
      <c r="J27" s="144"/>
      <c r="K27" s="144"/>
      <c r="L27" s="144"/>
      <c r="M27" s="144"/>
      <c r="N27" s="144"/>
      <c r="O27" s="144"/>
      <c r="P27" s="144"/>
      <c r="Q27" s="144"/>
      <c r="R27" s="144"/>
      <c r="S27" s="144"/>
      <c r="T27" s="144"/>
      <c r="U27" s="144"/>
      <c r="V27" s="144"/>
      <c r="W27" s="144"/>
      <c r="X27" s="144"/>
      <c r="Y27" s="144"/>
      <c r="Z27" s="144"/>
    </row>
    <row r="28" spans="1:26" ht="15.75" customHeight="1">
      <c r="A28" s="599"/>
      <c r="B28" s="602" t="s">
        <v>7227</v>
      </c>
      <c r="C28" s="256">
        <f>Balanza!G866</f>
        <v>555.66999999999996</v>
      </c>
      <c r="D28" s="256">
        <f>Balanza!G1054</f>
        <v>0</v>
      </c>
      <c r="E28" s="323">
        <f t="shared" ref="E28:E33" si="6">C28+D28</f>
        <v>555.66999999999996</v>
      </c>
      <c r="F28" s="256">
        <f>Balanza!F1148</f>
        <v>174.68</v>
      </c>
      <c r="G28" s="256">
        <f>Balanza!H1242</f>
        <v>174.68</v>
      </c>
      <c r="H28" s="323">
        <f t="shared" ref="H28:H32" si="7">G28-C28</f>
        <v>-380.98999999999995</v>
      </c>
      <c r="I28" s="144"/>
      <c r="J28" s="144"/>
      <c r="K28" s="144"/>
      <c r="L28" s="144"/>
      <c r="M28" s="144"/>
      <c r="N28" s="144"/>
      <c r="O28" s="144"/>
      <c r="P28" s="144"/>
      <c r="Q28" s="144"/>
      <c r="R28" s="144"/>
      <c r="S28" s="144"/>
      <c r="T28" s="144"/>
      <c r="U28" s="144"/>
      <c r="V28" s="144"/>
      <c r="W28" s="144"/>
      <c r="X28" s="144"/>
      <c r="Y28" s="144"/>
      <c r="Z28" s="144"/>
    </row>
    <row r="29" spans="1:26" ht="15.75" customHeight="1">
      <c r="A29" s="601"/>
      <c r="B29" s="602" t="s">
        <v>7228</v>
      </c>
      <c r="C29" s="256">
        <f>Balanza!G867</f>
        <v>12646691.640000001</v>
      </c>
      <c r="D29" s="256">
        <f>Balanza!G1055</f>
        <v>0</v>
      </c>
      <c r="E29" s="323">
        <f t="shared" si="6"/>
        <v>12646691.640000001</v>
      </c>
      <c r="F29" s="256">
        <f>Balanza!F1149</f>
        <v>4805794.68</v>
      </c>
      <c r="G29" s="256">
        <f>Balanza!H1243</f>
        <v>4805794.68</v>
      </c>
      <c r="H29" s="323">
        <f t="shared" si="7"/>
        <v>-7840896.9600000009</v>
      </c>
      <c r="I29" s="144"/>
      <c r="J29" s="144"/>
      <c r="K29" s="144"/>
      <c r="L29" s="144"/>
      <c r="M29" s="144"/>
      <c r="N29" s="144"/>
      <c r="O29" s="144"/>
      <c r="P29" s="144"/>
      <c r="Q29" s="144"/>
      <c r="R29" s="144"/>
      <c r="S29" s="144"/>
      <c r="T29" s="144"/>
      <c r="U29" s="144"/>
      <c r="V29" s="144"/>
      <c r="W29" s="144"/>
      <c r="X29" s="144"/>
      <c r="Y29" s="144"/>
      <c r="Z29" s="144"/>
    </row>
    <row r="30" spans="1:26" ht="15.75" customHeight="1">
      <c r="A30" s="601"/>
      <c r="B30" s="602" t="s">
        <v>7229</v>
      </c>
      <c r="C30" s="256">
        <f>Balanza!G868</f>
        <v>97811058.510000005</v>
      </c>
      <c r="D30" s="256">
        <f>Balanza!G1056</f>
        <v>0</v>
      </c>
      <c r="E30" s="323">
        <f t="shared" si="6"/>
        <v>97811058.510000005</v>
      </c>
      <c r="F30" s="256">
        <f>Balanza!F1150</f>
        <v>35695474.399999999</v>
      </c>
      <c r="G30" s="256">
        <f>Balanza!H1244</f>
        <v>35695474.399999999</v>
      </c>
      <c r="H30" s="323">
        <f t="shared" si="7"/>
        <v>-62115584.110000007</v>
      </c>
      <c r="I30" s="144"/>
      <c r="J30" s="144"/>
      <c r="K30" s="144"/>
      <c r="L30" s="144"/>
      <c r="M30" s="144"/>
      <c r="N30" s="144"/>
      <c r="O30" s="144"/>
      <c r="P30" s="144"/>
      <c r="Q30" s="144"/>
      <c r="R30" s="144"/>
      <c r="S30" s="144"/>
      <c r="T30" s="144"/>
      <c r="U30" s="144"/>
      <c r="V30" s="144"/>
      <c r="W30" s="144"/>
      <c r="X30" s="144"/>
      <c r="Y30" s="144"/>
      <c r="Z30" s="144"/>
    </row>
    <row r="31" spans="1:26" ht="15.75" customHeight="1">
      <c r="A31" s="601"/>
      <c r="B31" s="602" t="s">
        <v>7230</v>
      </c>
      <c r="C31" s="256">
        <f>Balanza!G869</f>
        <v>0</v>
      </c>
      <c r="D31" s="256">
        <f>Balanza!G1057</f>
        <v>0</v>
      </c>
      <c r="E31" s="323">
        <f t="shared" si="6"/>
        <v>0</v>
      </c>
      <c r="F31" s="256">
        <f>Balanza!F1151</f>
        <v>0</v>
      </c>
      <c r="G31" s="256">
        <f>Balanza!H1245</f>
        <v>0</v>
      </c>
      <c r="H31" s="323">
        <f t="shared" si="7"/>
        <v>0</v>
      </c>
      <c r="I31" s="144"/>
      <c r="J31" s="144"/>
      <c r="K31" s="144"/>
      <c r="L31" s="144"/>
      <c r="M31" s="144"/>
      <c r="N31" s="144"/>
      <c r="O31" s="144"/>
      <c r="P31" s="144"/>
      <c r="Q31" s="144"/>
      <c r="R31" s="144"/>
      <c r="S31" s="144"/>
      <c r="T31" s="144"/>
      <c r="U31" s="144"/>
      <c r="V31" s="144"/>
      <c r="W31" s="144"/>
      <c r="X31" s="144"/>
      <c r="Y31" s="144"/>
      <c r="Z31" s="144"/>
    </row>
    <row r="32" spans="1:26" ht="15.75" customHeight="1">
      <c r="A32" s="601"/>
      <c r="B32" s="602" t="s">
        <v>7231</v>
      </c>
      <c r="C32" s="256">
        <f>Balanza!G870</f>
        <v>0</v>
      </c>
      <c r="D32" s="256">
        <f>Balanza!G1058</f>
        <v>0</v>
      </c>
      <c r="E32" s="323">
        <f t="shared" si="6"/>
        <v>0</v>
      </c>
      <c r="F32" s="256">
        <f>Balanza!F1152</f>
        <v>0</v>
      </c>
      <c r="G32" s="256">
        <f>Balanza!H1246</f>
        <v>0</v>
      </c>
      <c r="H32" s="323">
        <f t="shared" si="7"/>
        <v>0</v>
      </c>
      <c r="I32" s="144"/>
      <c r="J32" s="144"/>
      <c r="K32" s="144"/>
      <c r="L32" s="144"/>
      <c r="M32" s="144"/>
      <c r="N32" s="144"/>
      <c r="O32" s="144"/>
      <c r="P32" s="144"/>
      <c r="Q32" s="144"/>
      <c r="R32" s="144"/>
      <c r="S32" s="144"/>
      <c r="T32" s="144"/>
      <c r="U32" s="144"/>
      <c r="V32" s="144"/>
      <c r="W32" s="144"/>
      <c r="X32" s="144"/>
      <c r="Y32" s="144"/>
      <c r="Z32" s="144"/>
    </row>
    <row r="33" spans="1:26" ht="15.75" customHeight="1">
      <c r="A33" s="603" t="s">
        <v>7232</v>
      </c>
      <c r="B33" s="381"/>
      <c r="C33" s="323">
        <f>Balanza!G875+Balanza!G883</f>
        <v>0</v>
      </c>
      <c r="D33" s="323">
        <f>Balanza!G1063+Balanza!G1071</f>
        <v>0</v>
      </c>
      <c r="E33" s="323">
        <f t="shared" si="6"/>
        <v>0</v>
      </c>
      <c r="F33" s="323">
        <f>Balanza!F1157+Balanza!F1165</f>
        <v>0</v>
      </c>
      <c r="G33" s="323">
        <f>Balanza!H1251+Balanza!H1259</f>
        <v>0</v>
      </c>
      <c r="H33" s="323">
        <f>C33-G33</f>
        <v>0</v>
      </c>
      <c r="I33" s="144"/>
      <c r="J33" s="144"/>
      <c r="K33" s="144"/>
      <c r="L33" s="144"/>
      <c r="M33" s="144"/>
      <c r="N33" s="144"/>
      <c r="O33" s="144"/>
      <c r="P33" s="144"/>
      <c r="Q33" s="144"/>
      <c r="R33" s="144"/>
      <c r="S33" s="144"/>
      <c r="T33" s="144"/>
      <c r="U33" s="144"/>
      <c r="V33" s="144"/>
      <c r="W33" s="144"/>
      <c r="X33" s="144"/>
      <c r="Y33" s="144"/>
      <c r="Z33" s="144"/>
    </row>
    <row r="34" spans="1:26" ht="15.75" customHeight="1">
      <c r="A34" s="604" t="s">
        <v>7233</v>
      </c>
      <c r="B34" s="381"/>
      <c r="C34" s="323">
        <f t="shared" ref="C34:G34" si="8">C35</f>
        <v>0</v>
      </c>
      <c r="D34" s="323">
        <f t="shared" si="8"/>
        <v>0</v>
      </c>
      <c r="E34" s="323">
        <f t="shared" si="8"/>
        <v>0</v>
      </c>
      <c r="F34" s="323">
        <f t="shared" si="8"/>
        <v>0</v>
      </c>
      <c r="G34" s="323">
        <f t="shared" si="8"/>
        <v>0</v>
      </c>
      <c r="H34" s="323">
        <f t="shared" ref="H34:H35" si="9">G34-C34</f>
        <v>0</v>
      </c>
      <c r="I34" s="144"/>
      <c r="J34" s="144"/>
      <c r="K34" s="144"/>
      <c r="L34" s="144"/>
      <c r="M34" s="144"/>
      <c r="N34" s="144"/>
      <c r="O34" s="144"/>
      <c r="P34" s="144"/>
      <c r="Q34" s="144"/>
      <c r="R34" s="144"/>
      <c r="S34" s="144"/>
      <c r="T34" s="144"/>
      <c r="U34" s="144"/>
      <c r="V34" s="144"/>
      <c r="W34" s="144"/>
      <c r="X34" s="144"/>
      <c r="Y34" s="144"/>
      <c r="Z34" s="144"/>
    </row>
    <row r="35" spans="1:26" ht="15.75" customHeight="1">
      <c r="A35" s="599"/>
      <c r="B35" s="602" t="s">
        <v>7234</v>
      </c>
      <c r="C35" s="256">
        <f>Balanza!G859+Balanza!G878</f>
        <v>0</v>
      </c>
      <c r="D35" s="256">
        <f>Balanza!G1047+Balanza!G1066</f>
        <v>0</v>
      </c>
      <c r="E35" s="323">
        <f>C35+D35</f>
        <v>0</v>
      </c>
      <c r="F35" s="256">
        <f>Balanza!F1141+Balanza!F1160</f>
        <v>0</v>
      </c>
      <c r="G35" s="256">
        <f>Balanza!H1235+Balanza!H1254</f>
        <v>0</v>
      </c>
      <c r="H35" s="323">
        <f t="shared" si="9"/>
        <v>0</v>
      </c>
      <c r="I35" s="144"/>
      <c r="J35" s="144"/>
      <c r="K35" s="144"/>
      <c r="L35" s="144"/>
      <c r="M35" s="144"/>
      <c r="N35" s="144"/>
      <c r="O35" s="144"/>
      <c r="P35" s="144"/>
      <c r="Q35" s="144"/>
      <c r="R35" s="144"/>
      <c r="S35" s="144"/>
      <c r="T35" s="144"/>
      <c r="U35" s="144"/>
      <c r="V35" s="144"/>
      <c r="W35" s="144"/>
      <c r="X35" s="144"/>
      <c r="Y35" s="144"/>
      <c r="Z35" s="144"/>
    </row>
    <row r="36" spans="1:26" ht="15.75" customHeight="1">
      <c r="A36" s="603" t="s">
        <v>7235</v>
      </c>
      <c r="B36" s="381"/>
      <c r="C36" s="323">
        <f t="shared" ref="C36:H36" si="10">SUM(C37:C38)</f>
        <v>1162463599.4400001</v>
      </c>
      <c r="D36" s="323">
        <f t="shared" si="10"/>
        <v>0</v>
      </c>
      <c r="E36" s="323">
        <f t="shared" si="10"/>
        <v>1162463599.4400001</v>
      </c>
      <c r="F36" s="323">
        <f t="shared" si="10"/>
        <v>631325492.71000004</v>
      </c>
      <c r="G36" s="323">
        <f t="shared" si="10"/>
        <v>631325492.71000004</v>
      </c>
      <c r="H36" s="323">
        <f t="shared" si="10"/>
        <v>-531138106.73000002</v>
      </c>
      <c r="I36" s="144"/>
      <c r="J36" s="144"/>
      <c r="K36" s="144"/>
      <c r="L36" s="144"/>
      <c r="M36" s="144"/>
      <c r="N36" s="144"/>
      <c r="O36" s="144"/>
      <c r="P36" s="144"/>
      <c r="Q36" s="144"/>
      <c r="R36" s="144"/>
      <c r="S36" s="144"/>
      <c r="T36" s="144"/>
      <c r="U36" s="144"/>
      <c r="V36" s="144"/>
      <c r="W36" s="144"/>
      <c r="X36" s="144"/>
      <c r="Y36" s="144"/>
      <c r="Z36" s="144"/>
    </row>
    <row r="37" spans="1:26" ht="15.75" customHeight="1">
      <c r="A37" s="599"/>
      <c r="B37" s="602" t="s">
        <v>7236</v>
      </c>
      <c r="C37" s="256">
        <f>Balanza!G855</f>
        <v>1162463599.4400001</v>
      </c>
      <c r="D37" s="256">
        <f>Balanza!G1043</f>
        <v>0</v>
      </c>
      <c r="E37" s="323">
        <f t="shared" ref="E37:E38" si="11">C37+D37</f>
        <v>1162463599.4400001</v>
      </c>
      <c r="F37" s="256">
        <f>Balanza!F1137</f>
        <v>631325492.71000004</v>
      </c>
      <c r="G37" s="256">
        <f>Balanza!H1231</f>
        <v>631325492.71000004</v>
      </c>
      <c r="H37" s="323">
        <f t="shared" ref="H37:H39" si="12">G37-C37</f>
        <v>-531138106.73000002</v>
      </c>
      <c r="I37" s="144"/>
      <c r="J37" s="144"/>
      <c r="K37" s="144"/>
      <c r="L37" s="144"/>
      <c r="M37" s="144"/>
      <c r="N37" s="144"/>
      <c r="O37" s="144"/>
      <c r="P37" s="144"/>
      <c r="Q37" s="144"/>
      <c r="R37" s="144"/>
      <c r="S37" s="144"/>
      <c r="T37" s="144"/>
      <c r="U37" s="144"/>
      <c r="V37" s="144"/>
      <c r="W37" s="144"/>
      <c r="X37" s="144"/>
      <c r="Y37" s="144"/>
      <c r="Z37" s="144"/>
    </row>
    <row r="38" spans="1:26" ht="15.75" customHeight="1">
      <c r="A38" s="601"/>
      <c r="B38" s="602" t="s">
        <v>7237</v>
      </c>
      <c r="C38" s="256">
        <f>Balanza!G881</f>
        <v>0</v>
      </c>
      <c r="D38" s="256">
        <f>Balanza!G1069</f>
        <v>0</v>
      </c>
      <c r="E38" s="323">
        <f t="shared" si="11"/>
        <v>0</v>
      </c>
      <c r="F38" s="256">
        <f>Balanza!F1163</f>
        <v>0</v>
      </c>
      <c r="G38" s="256">
        <f>Balanza!H1257</f>
        <v>0</v>
      </c>
      <c r="H38" s="323">
        <f t="shared" si="12"/>
        <v>0</v>
      </c>
      <c r="I38" s="144"/>
      <c r="J38" s="144"/>
      <c r="K38" s="144"/>
      <c r="L38" s="144"/>
      <c r="M38" s="144"/>
      <c r="N38" s="144"/>
      <c r="O38" s="144"/>
      <c r="P38" s="144"/>
      <c r="Q38" s="144"/>
      <c r="R38" s="144"/>
      <c r="S38" s="144"/>
      <c r="T38" s="144"/>
      <c r="U38" s="144"/>
      <c r="V38" s="144"/>
      <c r="W38" s="144"/>
      <c r="X38" s="144"/>
      <c r="Y38" s="144"/>
      <c r="Z38" s="144"/>
    </row>
    <row r="39" spans="1:26" ht="15.75" customHeight="1">
      <c r="A39" s="927" t="s">
        <v>7238</v>
      </c>
      <c r="B39" s="783"/>
      <c r="C39" s="323">
        <f t="shared" ref="C39:G39" si="13">C8+C9+C10+C11+C12+C13+C14+C15+C27+C33+C34+C36</f>
        <v>10983429892.160002</v>
      </c>
      <c r="D39" s="323">
        <f t="shared" si="13"/>
        <v>0</v>
      </c>
      <c r="E39" s="323">
        <f t="shared" si="13"/>
        <v>10983429892.160002</v>
      </c>
      <c r="F39" s="323">
        <f t="shared" si="13"/>
        <v>6286284931.4699993</v>
      </c>
      <c r="G39" s="323">
        <f t="shared" si="13"/>
        <v>6286284931.4699993</v>
      </c>
      <c r="H39" s="323">
        <f t="shared" si="12"/>
        <v>-4697144960.6900024</v>
      </c>
      <c r="I39" s="131"/>
      <c r="J39" s="131"/>
      <c r="K39" s="131"/>
      <c r="L39" s="131"/>
      <c r="M39" s="131"/>
      <c r="N39" s="131"/>
      <c r="O39" s="131"/>
      <c r="P39" s="131"/>
      <c r="Q39" s="131"/>
      <c r="R39" s="131"/>
      <c r="S39" s="131"/>
      <c r="T39" s="131"/>
      <c r="U39" s="131"/>
      <c r="V39" s="131"/>
      <c r="W39" s="131"/>
      <c r="X39" s="131"/>
      <c r="Y39" s="131"/>
      <c r="Z39" s="131"/>
    </row>
    <row r="40" spans="1:26" ht="15.75" customHeight="1">
      <c r="A40" s="605" t="s">
        <v>7239</v>
      </c>
      <c r="B40" s="202"/>
      <c r="C40" s="606"/>
      <c r="D40" s="606"/>
      <c r="E40" s="607"/>
      <c r="F40" s="607"/>
      <c r="G40" s="607"/>
      <c r="H40" s="608">
        <f>H8+H9+H10+H11+H12+H13+H14+H15+H27+H33+H34+H36</f>
        <v>-4697144960.6899996</v>
      </c>
      <c r="I40" s="131"/>
      <c r="J40" s="131"/>
      <c r="K40" s="131"/>
      <c r="L40" s="131"/>
      <c r="M40" s="131"/>
      <c r="N40" s="131"/>
      <c r="O40" s="131"/>
      <c r="P40" s="131"/>
      <c r="Q40" s="131"/>
      <c r="R40" s="131"/>
      <c r="S40" s="131"/>
      <c r="T40" s="131"/>
      <c r="U40" s="131"/>
      <c r="V40" s="131"/>
      <c r="W40" s="131"/>
      <c r="X40" s="131"/>
      <c r="Y40" s="131"/>
      <c r="Z40" s="131"/>
    </row>
    <row r="41" spans="1:26" ht="15.75" customHeight="1">
      <c r="A41" s="199" t="s">
        <v>7240</v>
      </c>
      <c r="B41" s="202"/>
      <c r="C41" s="609"/>
      <c r="D41" s="609"/>
      <c r="E41" s="609"/>
      <c r="F41" s="609"/>
      <c r="G41" s="609"/>
      <c r="H41" s="609"/>
      <c r="I41" s="131"/>
      <c r="J41" s="131"/>
      <c r="K41" s="131"/>
      <c r="L41" s="131"/>
      <c r="M41" s="131"/>
      <c r="N41" s="131"/>
      <c r="O41" s="131"/>
      <c r="P41" s="131"/>
      <c r="Q41" s="131"/>
      <c r="R41" s="131"/>
      <c r="S41" s="131"/>
      <c r="T41" s="131"/>
      <c r="U41" s="131"/>
      <c r="V41" s="131"/>
      <c r="W41" s="131"/>
      <c r="X41" s="131"/>
      <c r="Y41" s="131"/>
      <c r="Z41" s="131"/>
    </row>
    <row r="42" spans="1:26" ht="15.75" customHeight="1">
      <c r="A42" s="604" t="s">
        <v>7241</v>
      </c>
      <c r="B42" s="381"/>
      <c r="C42" s="323">
        <f t="shared" ref="C42:H42" si="14">SUM(C43:C50)</f>
        <v>1507710011.28</v>
      </c>
      <c r="D42" s="323">
        <f t="shared" si="14"/>
        <v>6332505.5599999987</v>
      </c>
      <c r="E42" s="323">
        <f t="shared" si="14"/>
        <v>1514042516.8400002</v>
      </c>
      <c r="F42" s="323">
        <f t="shared" si="14"/>
        <v>771436616.57999992</v>
      </c>
      <c r="G42" s="323">
        <f t="shared" si="14"/>
        <v>771436616.57999992</v>
      </c>
      <c r="H42" s="323">
        <f t="shared" si="14"/>
        <v>-736273394.70000005</v>
      </c>
      <c r="I42" s="131"/>
      <c r="J42" s="131"/>
      <c r="K42" s="131"/>
      <c r="L42" s="131"/>
      <c r="M42" s="131"/>
      <c r="N42" s="131"/>
      <c r="O42" s="131"/>
      <c r="P42" s="131"/>
      <c r="Q42" s="131"/>
      <c r="R42" s="131"/>
      <c r="S42" s="131"/>
      <c r="T42" s="131"/>
      <c r="U42" s="131"/>
      <c r="V42" s="131"/>
      <c r="W42" s="131"/>
      <c r="X42" s="131"/>
      <c r="Y42" s="131"/>
      <c r="Z42" s="131"/>
    </row>
    <row r="43" spans="1:26" ht="15.75" customHeight="1">
      <c r="A43" s="599"/>
      <c r="B43" s="602" t="s">
        <v>7242</v>
      </c>
      <c r="C43" s="256">
        <v>0</v>
      </c>
      <c r="D43" s="256">
        <v>0</v>
      </c>
      <c r="E43" s="323">
        <f t="shared" ref="E43:E50" si="15">C43+D43</f>
        <v>0</v>
      </c>
      <c r="F43" s="256">
        <v>0</v>
      </c>
      <c r="G43" s="256">
        <v>0</v>
      </c>
      <c r="H43" s="323">
        <f t="shared" ref="H43:H50" si="16">G43-C43</f>
        <v>0</v>
      </c>
      <c r="I43" s="131"/>
      <c r="J43" s="131"/>
      <c r="K43" s="131"/>
      <c r="L43" s="131"/>
      <c r="M43" s="131"/>
      <c r="N43" s="131"/>
      <c r="O43" s="131"/>
      <c r="P43" s="131"/>
      <c r="Q43" s="131"/>
      <c r="R43" s="131"/>
      <c r="S43" s="131"/>
      <c r="T43" s="131"/>
      <c r="U43" s="131"/>
      <c r="V43" s="131"/>
      <c r="W43" s="131"/>
      <c r="X43" s="131"/>
      <c r="Y43" s="131"/>
      <c r="Z43" s="131"/>
    </row>
    <row r="44" spans="1:26" ht="15.75" customHeight="1">
      <c r="A44" s="601"/>
      <c r="B44" s="602" t="s">
        <v>7243</v>
      </c>
      <c r="C44" s="256">
        <v>0</v>
      </c>
      <c r="D44" s="256">
        <v>0</v>
      </c>
      <c r="E44" s="323">
        <f t="shared" si="15"/>
        <v>0</v>
      </c>
      <c r="F44" s="256">
        <v>0</v>
      </c>
      <c r="G44" s="256">
        <v>0</v>
      </c>
      <c r="H44" s="323">
        <f t="shared" si="16"/>
        <v>0</v>
      </c>
      <c r="I44" s="131"/>
      <c r="J44" s="131"/>
      <c r="K44" s="131"/>
      <c r="L44" s="131"/>
      <c r="M44" s="131"/>
      <c r="N44" s="131"/>
      <c r="O44" s="131"/>
      <c r="P44" s="131"/>
      <c r="Q44" s="131"/>
      <c r="R44" s="131"/>
      <c r="S44" s="131"/>
      <c r="T44" s="131"/>
      <c r="U44" s="131"/>
      <c r="V44" s="131"/>
      <c r="W44" s="131"/>
      <c r="X44" s="131"/>
      <c r="Y44" s="131"/>
      <c r="Z44" s="131"/>
    </row>
    <row r="45" spans="1:26" ht="15.75" customHeight="1">
      <c r="A45" s="601"/>
      <c r="B45" s="602" t="s">
        <v>7244</v>
      </c>
      <c r="C45" s="256">
        <f>Balanza!G857</f>
        <v>146767398.31</v>
      </c>
      <c r="D45" s="256">
        <f>Balanza!G1045</f>
        <v>-13790359.41</v>
      </c>
      <c r="E45" s="323">
        <f t="shared" si="15"/>
        <v>132977038.90000001</v>
      </c>
      <c r="F45" s="256">
        <f>Balanza!F1139</f>
        <v>79610284.659999996</v>
      </c>
      <c r="G45" s="256">
        <f>Balanza!H1233</f>
        <v>79610284.659999996</v>
      </c>
      <c r="H45" s="323">
        <f t="shared" si="16"/>
        <v>-67157113.650000006</v>
      </c>
      <c r="I45" s="131"/>
      <c r="J45" s="131"/>
      <c r="K45" s="131"/>
      <c r="L45" s="131"/>
      <c r="M45" s="131"/>
      <c r="N45" s="131"/>
      <c r="O45" s="131"/>
      <c r="P45" s="131"/>
      <c r="Q45" s="131"/>
      <c r="R45" s="131"/>
      <c r="S45" s="131"/>
      <c r="T45" s="131"/>
      <c r="U45" s="131"/>
      <c r="V45" s="131"/>
      <c r="W45" s="131"/>
      <c r="X45" s="131"/>
      <c r="Y45" s="131"/>
      <c r="Z45" s="131"/>
    </row>
    <row r="46" spans="1:26" ht="15.75" customHeight="1">
      <c r="A46" s="601"/>
      <c r="B46" s="602" t="s">
        <v>7245</v>
      </c>
      <c r="C46" s="256">
        <f>Balanza!G858</f>
        <v>1360942612.97</v>
      </c>
      <c r="D46" s="256">
        <f>Balanza!G1046</f>
        <v>20122864.969999999</v>
      </c>
      <c r="E46" s="323">
        <f t="shared" si="15"/>
        <v>1381065477.9400001</v>
      </c>
      <c r="F46" s="256">
        <f>Balanza!F1140</f>
        <v>691826331.91999996</v>
      </c>
      <c r="G46" s="256">
        <f>Balanza!H1234</f>
        <v>691826331.91999996</v>
      </c>
      <c r="H46" s="323">
        <f t="shared" si="16"/>
        <v>-669116281.05000007</v>
      </c>
      <c r="I46" s="131"/>
      <c r="J46" s="131"/>
      <c r="K46" s="131"/>
      <c r="L46" s="131"/>
      <c r="M46" s="131"/>
      <c r="N46" s="131"/>
      <c r="O46" s="131"/>
      <c r="P46" s="131"/>
      <c r="Q46" s="131"/>
      <c r="R46" s="131"/>
      <c r="S46" s="131"/>
      <c r="T46" s="131"/>
      <c r="U46" s="131"/>
      <c r="V46" s="131"/>
      <c r="W46" s="131"/>
      <c r="X46" s="131"/>
      <c r="Y46" s="131"/>
      <c r="Z46" s="131"/>
    </row>
    <row r="47" spans="1:26" ht="15.75" customHeight="1">
      <c r="A47" s="601"/>
      <c r="B47" s="602" t="s">
        <v>7246</v>
      </c>
      <c r="C47" s="256">
        <v>0</v>
      </c>
      <c r="D47" s="256">
        <v>0</v>
      </c>
      <c r="E47" s="323">
        <f t="shared" si="15"/>
        <v>0</v>
      </c>
      <c r="F47" s="256">
        <v>0</v>
      </c>
      <c r="G47" s="256">
        <v>0</v>
      </c>
      <c r="H47" s="323">
        <f t="shared" si="16"/>
        <v>0</v>
      </c>
      <c r="I47" s="131"/>
      <c r="J47" s="131"/>
      <c r="K47" s="131"/>
      <c r="L47" s="131"/>
      <c r="M47" s="131"/>
      <c r="N47" s="131"/>
      <c r="O47" s="131"/>
      <c r="P47" s="131"/>
      <c r="Q47" s="131"/>
      <c r="R47" s="131"/>
      <c r="S47" s="131"/>
      <c r="T47" s="131"/>
      <c r="U47" s="131"/>
      <c r="V47" s="131"/>
      <c r="W47" s="131"/>
      <c r="X47" s="131"/>
      <c r="Y47" s="131"/>
      <c r="Z47" s="131"/>
    </row>
    <row r="48" spans="1:26" ht="15.75" customHeight="1">
      <c r="A48" s="601"/>
      <c r="B48" s="602" t="s">
        <v>7247</v>
      </c>
      <c r="C48" s="256">
        <v>0</v>
      </c>
      <c r="D48" s="256">
        <v>0</v>
      </c>
      <c r="E48" s="323">
        <f t="shared" si="15"/>
        <v>0</v>
      </c>
      <c r="F48" s="256">
        <v>0</v>
      </c>
      <c r="G48" s="256">
        <v>0</v>
      </c>
      <c r="H48" s="323">
        <f t="shared" si="16"/>
        <v>0</v>
      </c>
      <c r="I48" s="131"/>
      <c r="J48" s="131"/>
      <c r="K48" s="131"/>
      <c r="L48" s="131"/>
      <c r="M48" s="131"/>
      <c r="N48" s="131"/>
      <c r="O48" s="131"/>
      <c r="P48" s="131"/>
      <c r="Q48" s="131"/>
      <c r="R48" s="131"/>
      <c r="S48" s="131"/>
      <c r="T48" s="131"/>
      <c r="U48" s="131"/>
      <c r="V48" s="131"/>
      <c r="W48" s="131"/>
      <c r="X48" s="131"/>
      <c r="Y48" s="131"/>
      <c r="Z48" s="131"/>
    </row>
    <row r="49" spans="1:26" ht="15.75" customHeight="1">
      <c r="A49" s="601"/>
      <c r="B49" s="602" t="s">
        <v>7248</v>
      </c>
      <c r="C49" s="256">
        <v>0</v>
      </c>
      <c r="D49" s="256">
        <v>0</v>
      </c>
      <c r="E49" s="323">
        <f t="shared" si="15"/>
        <v>0</v>
      </c>
      <c r="F49" s="256">
        <v>0</v>
      </c>
      <c r="G49" s="256">
        <v>0</v>
      </c>
      <c r="H49" s="323">
        <f t="shared" si="16"/>
        <v>0</v>
      </c>
      <c r="I49" s="131"/>
      <c r="J49" s="131"/>
      <c r="K49" s="131"/>
      <c r="L49" s="131"/>
      <c r="M49" s="131"/>
      <c r="N49" s="131"/>
      <c r="O49" s="131"/>
      <c r="P49" s="131"/>
      <c r="Q49" s="131"/>
      <c r="R49" s="131"/>
      <c r="S49" s="131"/>
      <c r="T49" s="131"/>
      <c r="U49" s="131"/>
      <c r="V49" s="131"/>
      <c r="W49" s="131"/>
      <c r="X49" s="131"/>
      <c r="Y49" s="131"/>
      <c r="Z49" s="131"/>
    </row>
    <row r="50" spans="1:26" ht="15.75" customHeight="1">
      <c r="A50" s="601"/>
      <c r="B50" s="602" t="s">
        <v>7249</v>
      </c>
      <c r="C50" s="256">
        <v>0</v>
      </c>
      <c r="D50" s="256">
        <v>0</v>
      </c>
      <c r="E50" s="323">
        <f t="shared" si="15"/>
        <v>0</v>
      </c>
      <c r="F50" s="256">
        <v>0</v>
      </c>
      <c r="G50" s="256">
        <v>0</v>
      </c>
      <c r="H50" s="323">
        <f t="shared" si="16"/>
        <v>0</v>
      </c>
      <c r="I50" s="131"/>
      <c r="J50" s="131"/>
      <c r="K50" s="131"/>
      <c r="L50" s="131"/>
      <c r="M50" s="131"/>
      <c r="N50" s="131"/>
      <c r="O50" s="131"/>
      <c r="P50" s="131"/>
      <c r="Q50" s="131"/>
      <c r="R50" s="131"/>
      <c r="S50" s="131"/>
      <c r="T50" s="131"/>
      <c r="U50" s="131"/>
      <c r="V50" s="131"/>
      <c r="W50" s="131"/>
      <c r="X50" s="131"/>
      <c r="Y50" s="131"/>
      <c r="Z50" s="131"/>
    </row>
    <row r="51" spans="1:26" ht="15.75" customHeight="1">
      <c r="A51" s="604" t="s">
        <v>7250</v>
      </c>
      <c r="B51" s="381"/>
      <c r="C51" s="323">
        <f t="shared" ref="C51:H51" si="17">SUM(C52:C55)</f>
        <v>0</v>
      </c>
      <c r="D51" s="323">
        <f t="shared" si="17"/>
        <v>45251844.630000003</v>
      </c>
      <c r="E51" s="323">
        <f t="shared" si="17"/>
        <v>45251844.630000003</v>
      </c>
      <c r="F51" s="323">
        <f t="shared" si="17"/>
        <v>38183.359999999986</v>
      </c>
      <c r="G51" s="323">
        <f t="shared" si="17"/>
        <v>38183.359999999986</v>
      </c>
      <c r="H51" s="323">
        <f t="shared" si="17"/>
        <v>38183.359999999986</v>
      </c>
      <c r="I51" s="131"/>
      <c r="J51" s="131"/>
      <c r="K51" s="131"/>
      <c r="L51" s="131"/>
      <c r="M51" s="131"/>
      <c r="N51" s="131"/>
      <c r="O51" s="131"/>
      <c r="P51" s="131"/>
      <c r="Q51" s="131"/>
      <c r="R51" s="131"/>
      <c r="S51" s="131"/>
      <c r="T51" s="131"/>
      <c r="U51" s="131"/>
      <c r="V51" s="131"/>
      <c r="W51" s="131"/>
      <c r="X51" s="131"/>
      <c r="Y51" s="131"/>
      <c r="Z51" s="131"/>
    </row>
    <row r="52" spans="1:26" ht="15.75" customHeight="1">
      <c r="A52" s="599"/>
      <c r="B52" s="602" t="s">
        <v>7251</v>
      </c>
      <c r="C52" s="256">
        <f>Balanza!G861</f>
        <v>0</v>
      </c>
      <c r="D52" s="256">
        <f>Balanza!G1049</f>
        <v>489510</v>
      </c>
      <c r="E52" s="323">
        <f t="shared" ref="E52:E55" si="18">C52+D52</f>
        <v>489510</v>
      </c>
      <c r="F52" s="256">
        <f>Balanza!F1143</f>
        <v>1404.16</v>
      </c>
      <c r="G52" s="256">
        <f>Balanza!H1237</f>
        <v>1404.16</v>
      </c>
      <c r="H52" s="323">
        <f t="shared" ref="H52:H55" si="19">G52-C52</f>
        <v>1404.16</v>
      </c>
      <c r="I52" s="131"/>
      <c r="J52" s="131"/>
      <c r="K52" s="131"/>
      <c r="L52" s="131"/>
      <c r="M52" s="131"/>
      <c r="N52" s="131"/>
      <c r="O52" s="131"/>
      <c r="P52" s="131"/>
      <c r="Q52" s="131"/>
      <c r="R52" s="131"/>
      <c r="S52" s="131"/>
      <c r="T52" s="131"/>
      <c r="U52" s="131"/>
      <c r="V52" s="131"/>
      <c r="W52" s="131"/>
      <c r="X52" s="131"/>
      <c r="Y52" s="131"/>
      <c r="Z52" s="131"/>
    </row>
    <row r="53" spans="1:26" ht="15.75" customHeight="1">
      <c r="A53" s="601"/>
      <c r="B53" s="602" t="s">
        <v>7252</v>
      </c>
      <c r="C53" s="256">
        <f>Balanza!G862</f>
        <v>0</v>
      </c>
      <c r="D53" s="256">
        <f>Balanza!G1050</f>
        <v>44759100</v>
      </c>
      <c r="E53" s="323">
        <f t="shared" si="18"/>
        <v>44759100</v>
      </c>
      <c r="F53" s="256">
        <f>Balanza!F1144</f>
        <v>-110565.85</v>
      </c>
      <c r="G53" s="256">
        <f>Balanza!H1238</f>
        <v>-110565.85</v>
      </c>
      <c r="H53" s="323">
        <f t="shared" si="19"/>
        <v>-110565.85</v>
      </c>
      <c r="I53" s="131"/>
      <c r="J53" s="131"/>
      <c r="K53" s="131"/>
      <c r="L53" s="131"/>
      <c r="M53" s="131"/>
      <c r="N53" s="131"/>
      <c r="O53" s="131"/>
      <c r="P53" s="131"/>
      <c r="Q53" s="131"/>
      <c r="R53" s="131"/>
      <c r="S53" s="131"/>
      <c r="T53" s="131"/>
      <c r="U53" s="131"/>
      <c r="V53" s="131"/>
      <c r="W53" s="131"/>
      <c r="X53" s="131"/>
      <c r="Y53" s="131"/>
      <c r="Z53" s="131"/>
    </row>
    <row r="54" spans="1:26" ht="15.75" customHeight="1">
      <c r="A54" s="601"/>
      <c r="B54" s="602" t="s">
        <v>7253</v>
      </c>
      <c r="C54" s="256">
        <f>Balanza!G863</f>
        <v>0</v>
      </c>
      <c r="D54" s="256">
        <f>Balanza!G1051</f>
        <v>0</v>
      </c>
      <c r="E54" s="323">
        <f t="shared" si="18"/>
        <v>0</v>
      </c>
      <c r="F54" s="256">
        <f>Balanza!F1145</f>
        <v>0</v>
      </c>
      <c r="G54" s="256">
        <f>Balanza!H1239</f>
        <v>0</v>
      </c>
      <c r="H54" s="323">
        <f t="shared" si="19"/>
        <v>0</v>
      </c>
      <c r="I54" s="131"/>
      <c r="J54" s="131"/>
      <c r="K54" s="131"/>
      <c r="L54" s="131"/>
      <c r="M54" s="131"/>
      <c r="N54" s="131"/>
      <c r="O54" s="131"/>
      <c r="P54" s="131"/>
      <c r="Q54" s="131"/>
      <c r="R54" s="131"/>
      <c r="S54" s="131"/>
      <c r="T54" s="131"/>
      <c r="U54" s="131"/>
      <c r="V54" s="131"/>
      <c r="W54" s="131"/>
      <c r="X54" s="131"/>
      <c r="Y54" s="131"/>
      <c r="Z54" s="131"/>
    </row>
    <row r="55" spans="1:26" ht="15.75" customHeight="1">
      <c r="A55" s="601"/>
      <c r="B55" s="602" t="s">
        <v>7254</v>
      </c>
      <c r="C55" s="256">
        <f>Balanza!G864</f>
        <v>0</v>
      </c>
      <c r="D55" s="256">
        <f>Balanza!G1052</f>
        <v>3234.63</v>
      </c>
      <c r="E55" s="323">
        <f t="shared" si="18"/>
        <v>3234.63</v>
      </c>
      <c r="F55" s="256">
        <f>Balanza!F1146</f>
        <v>147345.04999999999</v>
      </c>
      <c r="G55" s="256">
        <f>Balanza!H1240</f>
        <v>147345.04999999999</v>
      </c>
      <c r="H55" s="323">
        <f t="shared" si="19"/>
        <v>147345.04999999999</v>
      </c>
      <c r="I55" s="131"/>
      <c r="J55" s="131"/>
      <c r="K55" s="131"/>
      <c r="L55" s="131"/>
      <c r="M55" s="131"/>
      <c r="N55" s="131"/>
      <c r="O55" s="131"/>
      <c r="P55" s="131"/>
      <c r="Q55" s="131"/>
      <c r="R55" s="131"/>
      <c r="S55" s="131"/>
      <c r="T55" s="131"/>
      <c r="U55" s="131"/>
      <c r="V55" s="131"/>
      <c r="W55" s="131"/>
      <c r="X55" s="131"/>
      <c r="Y55" s="131"/>
      <c r="Z55" s="131"/>
    </row>
    <row r="56" spans="1:26" ht="15.75" customHeight="1">
      <c r="A56" s="604" t="s">
        <v>7255</v>
      </c>
      <c r="B56" s="381"/>
      <c r="C56" s="323">
        <f t="shared" ref="C56:H56" si="20">C57+C58</f>
        <v>0</v>
      </c>
      <c r="D56" s="323">
        <f t="shared" si="20"/>
        <v>0</v>
      </c>
      <c r="E56" s="323">
        <f t="shared" si="20"/>
        <v>0</v>
      </c>
      <c r="F56" s="323">
        <f t="shared" si="20"/>
        <v>0</v>
      </c>
      <c r="G56" s="323">
        <f t="shared" si="20"/>
        <v>0</v>
      </c>
      <c r="H56" s="323">
        <f t="shared" si="20"/>
        <v>0</v>
      </c>
      <c r="I56" s="131"/>
      <c r="J56" s="131"/>
      <c r="K56" s="131"/>
      <c r="L56" s="131"/>
      <c r="M56" s="131"/>
      <c r="N56" s="131"/>
      <c r="O56" s="131"/>
      <c r="P56" s="131"/>
      <c r="Q56" s="131"/>
      <c r="R56" s="131"/>
      <c r="S56" s="131"/>
      <c r="T56" s="131"/>
      <c r="U56" s="131"/>
      <c r="V56" s="131"/>
      <c r="W56" s="131"/>
      <c r="X56" s="131"/>
      <c r="Y56" s="131"/>
      <c r="Z56" s="131"/>
    </row>
    <row r="57" spans="1:26" ht="15.75" customHeight="1">
      <c r="A57" s="601"/>
      <c r="B57" s="602" t="s">
        <v>7256</v>
      </c>
      <c r="C57" s="256">
        <f>Balanza!G872</f>
        <v>0</v>
      </c>
      <c r="D57" s="256">
        <f>Balanza!G1060</f>
        <v>0</v>
      </c>
      <c r="E57" s="323">
        <f t="shared" ref="E57:E60" si="21">C57+D57</f>
        <v>0</v>
      </c>
      <c r="F57" s="256">
        <f>Balanza!F1154</f>
        <v>0</v>
      </c>
      <c r="G57" s="256">
        <f>Balanza!H1248</f>
        <v>0</v>
      </c>
      <c r="H57" s="323">
        <f t="shared" ref="H57:H60" si="22">G57-C57</f>
        <v>0</v>
      </c>
      <c r="I57" s="131"/>
      <c r="J57" s="131"/>
      <c r="K57" s="131"/>
      <c r="L57" s="131"/>
      <c r="M57" s="131"/>
      <c r="N57" s="131"/>
      <c r="O57" s="131"/>
      <c r="P57" s="131"/>
      <c r="Q57" s="131"/>
      <c r="R57" s="131"/>
      <c r="S57" s="131"/>
      <c r="T57" s="131"/>
      <c r="U57" s="131"/>
      <c r="V57" s="131"/>
      <c r="W57" s="131"/>
      <c r="X57" s="131"/>
      <c r="Y57" s="131"/>
      <c r="Z57" s="131"/>
    </row>
    <row r="58" spans="1:26" ht="15.75" customHeight="1">
      <c r="A58" s="601"/>
      <c r="B58" s="602" t="s">
        <v>7257</v>
      </c>
      <c r="C58" s="256">
        <f>Balanza!G873</f>
        <v>0</v>
      </c>
      <c r="D58" s="256">
        <f>Balanza!G1061</f>
        <v>0</v>
      </c>
      <c r="E58" s="323">
        <f t="shared" si="21"/>
        <v>0</v>
      </c>
      <c r="F58" s="256">
        <f>Balanza!F1155</f>
        <v>0</v>
      </c>
      <c r="G58" s="256">
        <f>Balanza!H1249</f>
        <v>0</v>
      </c>
      <c r="H58" s="323">
        <f t="shared" si="22"/>
        <v>0</v>
      </c>
      <c r="I58" s="131"/>
      <c r="J58" s="131"/>
      <c r="K58" s="131"/>
      <c r="L58" s="131"/>
      <c r="M58" s="131"/>
      <c r="N58" s="131"/>
      <c r="O58" s="131"/>
      <c r="P58" s="131"/>
      <c r="Q58" s="131"/>
      <c r="R58" s="131"/>
      <c r="S58" s="131"/>
      <c r="T58" s="131"/>
      <c r="U58" s="131"/>
      <c r="V58" s="131"/>
      <c r="W58" s="131"/>
      <c r="X58" s="131"/>
      <c r="Y58" s="131"/>
      <c r="Z58" s="131"/>
    </row>
    <row r="59" spans="1:26" ht="29.25" customHeight="1">
      <c r="A59" s="928" t="s">
        <v>7258</v>
      </c>
      <c r="B59" s="798"/>
      <c r="C59" s="256">
        <f>Balanza!G876+Balanza!G879</f>
        <v>0</v>
      </c>
      <c r="D59" s="256">
        <f>Balanza!G1064+Balanza!G1067</f>
        <v>0</v>
      </c>
      <c r="E59" s="323">
        <f t="shared" si="21"/>
        <v>0</v>
      </c>
      <c r="F59" s="256">
        <f>Balanza!F1158+Balanza!F1161</f>
        <v>0</v>
      </c>
      <c r="G59" s="256">
        <f>Balanza!H1252+Balanza!H1255</f>
        <v>0</v>
      </c>
      <c r="H59" s="323">
        <f t="shared" si="22"/>
        <v>0</v>
      </c>
      <c r="I59" s="131"/>
      <c r="J59" s="131"/>
      <c r="K59" s="131"/>
      <c r="L59" s="131"/>
      <c r="M59" s="131"/>
      <c r="N59" s="131"/>
      <c r="O59" s="131"/>
      <c r="P59" s="131"/>
      <c r="Q59" s="131"/>
      <c r="R59" s="131"/>
      <c r="S59" s="131"/>
      <c r="T59" s="131"/>
      <c r="U59" s="131"/>
      <c r="V59" s="131"/>
      <c r="W59" s="131"/>
      <c r="X59" s="131"/>
      <c r="Y59" s="131"/>
      <c r="Z59" s="131"/>
    </row>
    <row r="60" spans="1:26" ht="15.75" customHeight="1">
      <c r="A60" s="604" t="s">
        <v>7259</v>
      </c>
      <c r="B60" s="381"/>
      <c r="C60" s="256">
        <v>0</v>
      </c>
      <c r="D60" s="256">
        <v>0</v>
      </c>
      <c r="E60" s="323">
        <f t="shared" si="21"/>
        <v>0</v>
      </c>
      <c r="F60" s="256">
        <v>0</v>
      </c>
      <c r="G60" s="256">
        <v>0</v>
      </c>
      <c r="H60" s="323">
        <f t="shared" si="22"/>
        <v>0</v>
      </c>
      <c r="I60" s="131"/>
      <c r="J60" s="131"/>
      <c r="K60" s="131"/>
      <c r="L60" s="131"/>
      <c r="M60" s="131"/>
      <c r="N60" s="131"/>
      <c r="O60" s="131"/>
      <c r="P60" s="131"/>
      <c r="Q60" s="131"/>
      <c r="R60" s="131"/>
      <c r="S60" s="131"/>
      <c r="T60" s="131"/>
      <c r="U60" s="131"/>
      <c r="V60" s="131"/>
      <c r="W60" s="131"/>
      <c r="X60" s="131"/>
      <c r="Y60" s="131"/>
      <c r="Z60" s="131"/>
    </row>
    <row r="61" spans="1:26" ht="15.75" customHeight="1">
      <c r="A61" s="797" t="s">
        <v>7260</v>
      </c>
      <c r="B61" s="798"/>
      <c r="C61" s="323">
        <f t="shared" ref="C61:H61" si="23">C42+C51+C56+C59+C60</f>
        <v>1507710011.28</v>
      </c>
      <c r="D61" s="323">
        <f t="shared" si="23"/>
        <v>51584350.189999998</v>
      </c>
      <c r="E61" s="323">
        <f t="shared" si="23"/>
        <v>1559294361.4700003</v>
      </c>
      <c r="F61" s="323">
        <f t="shared" si="23"/>
        <v>771474799.93999994</v>
      </c>
      <c r="G61" s="323">
        <f t="shared" si="23"/>
        <v>771474799.93999994</v>
      </c>
      <c r="H61" s="323">
        <f t="shared" si="23"/>
        <v>-736235211.34000003</v>
      </c>
      <c r="I61" s="131"/>
      <c r="J61" s="131"/>
      <c r="K61" s="131"/>
      <c r="L61" s="131"/>
      <c r="M61" s="131"/>
      <c r="N61" s="131"/>
      <c r="O61" s="131"/>
      <c r="P61" s="131"/>
      <c r="Q61" s="131"/>
      <c r="R61" s="131"/>
      <c r="S61" s="131"/>
      <c r="T61" s="131"/>
      <c r="U61" s="131"/>
      <c r="V61" s="131"/>
      <c r="W61" s="131"/>
      <c r="X61" s="131"/>
      <c r="Y61" s="131"/>
      <c r="Z61" s="131"/>
    </row>
    <row r="62" spans="1:26" ht="15.75" customHeight="1">
      <c r="A62" s="610" t="s">
        <v>7261</v>
      </c>
      <c r="B62" s="381"/>
      <c r="C62" s="323"/>
      <c r="D62" s="323"/>
      <c r="E62" s="323"/>
      <c r="F62" s="323"/>
      <c r="G62" s="323"/>
      <c r="H62" s="323"/>
      <c r="I62" s="131"/>
      <c r="J62" s="131"/>
      <c r="K62" s="131"/>
      <c r="L62" s="131"/>
      <c r="M62" s="131"/>
      <c r="N62" s="131"/>
      <c r="O62" s="131"/>
      <c r="P62" s="131"/>
      <c r="Q62" s="131"/>
      <c r="R62" s="131"/>
      <c r="S62" s="131"/>
      <c r="T62" s="131"/>
      <c r="U62" s="131"/>
      <c r="V62" s="131"/>
      <c r="W62" s="131"/>
      <c r="X62" s="131"/>
      <c r="Y62" s="131"/>
      <c r="Z62" s="131"/>
    </row>
    <row r="63" spans="1:26" ht="15.75" customHeight="1">
      <c r="A63" s="611"/>
      <c r="B63" s="602" t="s">
        <v>7262</v>
      </c>
      <c r="C63" s="256">
        <f t="shared" ref="C63:D63" si="24">C68</f>
        <v>0</v>
      </c>
      <c r="D63" s="256">
        <f t="shared" si="24"/>
        <v>0</v>
      </c>
      <c r="E63" s="323">
        <f>C63+D63</f>
        <v>0</v>
      </c>
      <c r="F63" s="256">
        <f t="shared" ref="F63:G63" si="25">F68</f>
        <v>0</v>
      </c>
      <c r="G63" s="256">
        <f t="shared" si="25"/>
        <v>0</v>
      </c>
      <c r="H63" s="323">
        <f>G63-C63</f>
        <v>0</v>
      </c>
      <c r="I63" s="131"/>
      <c r="J63" s="131"/>
      <c r="K63" s="131"/>
      <c r="L63" s="131"/>
      <c r="M63" s="131"/>
      <c r="N63" s="131"/>
      <c r="O63" s="131"/>
      <c r="P63" s="131"/>
      <c r="Q63" s="131"/>
      <c r="R63" s="131"/>
      <c r="S63" s="131"/>
      <c r="T63" s="131"/>
      <c r="U63" s="131"/>
      <c r="V63" s="131"/>
      <c r="W63" s="131"/>
      <c r="X63" s="131"/>
      <c r="Y63" s="131"/>
      <c r="Z63" s="131"/>
    </row>
    <row r="64" spans="1:26" ht="15.75" customHeight="1">
      <c r="A64" s="797" t="s">
        <v>7263</v>
      </c>
      <c r="B64" s="798"/>
      <c r="C64" s="612">
        <f t="shared" ref="C64:H64" si="26">C39+C61+C63</f>
        <v>12491139903.440002</v>
      </c>
      <c r="D64" s="612">
        <f t="shared" si="26"/>
        <v>51584350.189999998</v>
      </c>
      <c r="E64" s="612">
        <f t="shared" si="26"/>
        <v>12542724253.630001</v>
      </c>
      <c r="F64" s="612">
        <f t="shared" si="26"/>
        <v>7057759731.4099989</v>
      </c>
      <c r="G64" s="612">
        <f t="shared" si="26"/>
        <v>7057759731.4099989</v>
      </c>
      <c r="H64" s="612">
        <f t="shared" si="26"/>
        <v>-5433380172.0300026</v>
      </c>
      <c r="I64" s="131"/>
      <c r="J64" s="131"/>
      <c r="K64" s="131"/>
      <c r="L64" s="131"/>
      <c r="M64" s="131"/>
      <c r="N64" s="131"/>
      <c r="O64" s="131"/>
      <c r="P64" s="131"/>
      <c r="Q64" s="131"/>
      <c r="R64" s="131"/>
      <c r="S64" s="131"/>
      <c r="T64" s="131"/>
      <c r="U64" s="131"/>
      <c r="V64" s="131"/>
      <c r="W64" s="131"/>
      <c r="X64" s="131"/>
      <c r="Y64" s="131"/>
      <c r="Z64" s="131"/>
    </row>
    <row r="65" spans="1:26" ht="15.75" customHeight="1">
      <c r="A65" s="613" t="s">
        <v>7264</v>
      </c>
      <c r="B65" s="614"/>
      <c r="C65" s="615"/>
      <c r="D65" s="615"/>
      <c r="E65" s="323"/>
      <c r="F65" s="615"/>
      <c r="G65" s="615"/>
      <c r="H65" s="616"/>
      <c r="I65" s="131"/>
      <c r="J65" s="131"/>
      <c r="K65" s="131"/>
      <c r="L65" s="131"/>
      <c r="M65" s="131"/>
      <c r="N65" s="131"/>
      <c r="O65" s="131"/>
      <c r="P65" s="131"/>
      <c r="Q65" s="131"/>
      <c r="R65" s="131"/>
      <c r="S65" s="131"/>
      <c r="T65" s="131"/>
      <c r="U65" s="131"/>
      <c r="V65" s="131"/>
      <c r="W65" s="131"/>
      <c r="X65" s="131"/>
      <c r="Y65" s="131"/>
      <c r="Z65" s="131"/>
    </row>
    <row r="66" spans="1:26" ht="15.75" customHeight="1">
      <c r="A66" s="617"/>
      <c r="B66" s="602" t="s">
        <v>7265</v>
      </c>
      <c r="C66" s="256">
        <f>Balanza!G888</f>
        <v>0</v>
      </c>
      <c r="D66" s="256">
        <f>Balanza!G1076</f>
        <v>0</v>
      </c>
      <c r="E66" s="323">
        <f t="shared" ref="E66:E68" si="27">C66+D66</f>
        <v>0</v>
      </c>
      <c r="F66" s="256">
        <f>Balanza!F1170</f>
        <v>0</v>
      </c>
      <c r="G66" s="256">
        <f>Balanza!H1264</f>
        <v>0</v>
      </c>
      <c r="H66" s="323">
        <f t="shared" ref="H66:H68" si="28">G66-C66</f>
        <v>0</v>
      </c>
      <c r="I66" s="131"/>
      <c r="J66" s="131"/>
      <c r="K66" s="131"/>
      <c r="L66" s="131"/>
      <c r="M66" s="131"/>
      <c r="N66" s="131"/>
      <c r="O66" s="131"/>
      <c r="P66" s="131"/>
      <c r="Q66" s="131"/>
      <c r="R66" s="131"/>
      <c r="S66" s="131"/>
      <c r="T66" s="131"/>
      <c r="U66" s="131"/>
      <c r="V66" s="131"/>
      <c r="W66" s="131"/>
      <c r="X66" s="131"/>
      <c r="Y66" s="131"/>
      <c r="Z66" s="131"/>
    </row>
    <row r="67" spans="1:26" ht="15.75" customHeight="1">
      <c r="A67" s="617"/>
      <c r="B67" s="602" t="s">
        <v>7266</v>
      </c>
      <c r="C67" s="256">
        <f>Balanza!G889</f>
        <v>0</v>
      </c>
      <c r="D67" s="256">
        <f>Balanza!G1077</f>
        <v>0</v>
      </c>
      <c r="E67" s="323">
        <f t="shared" si="27"/>
        <v>0</v>
      </c>
      <c r="F67" s="256">
        <f>Balanza!F1171</f>
        <v>0</v>
      </c>
      <c r="G67" s="256">
        <f>Balanza!H1265</f>
        <v>0</v>
      </c>
      <c r="H67" s="323">
        <f t="shared" si="28"/>
        <v>0</v>
      </c>
      <c r="I67" s="131"/>
      <c r="J67" s="131"/>
      <c r="K67" s="131"/>
      <c r="L67" s="131"/>
      <c r="M67" s="131"/>
      <c r="N67" s="131"/>
      <c r="O67" s="131"/>
      <c r="P67" s="131"/>
      <c r="Q67" s="131"/>
      <c r="R67" s="131"/>
      <c r="S67" s="131"/>
      <c r="T67" s="131"/>
      <c r="U67" s="131"/>
      <c r="V67" s="131"/>
      <c r="W67" s="131"/>
      <c r="X67" s="131"/>
      <c r="Y67" s="131"/>
      <c r="Z67" s="131"/>
    </row>
    <row r="68" spans="1:26" ht="15.75" customHeight="1">
      <c r="A68" s="618"/>
      <c r="B68" s="396" t="s">
        <v>7267</v>
      </c>
      <c r="C68" s="325">
        <f t="shared" ref="C68:D68" si="29">SUM(C66:C67)</f>
        <v>0</v>
      </c>
      <c r="D68" s="325">
        <f t="shared" si="29"/>
        <v>0</v>
      </c>
      <c r="E68" s="325">
        <f t="shared" si="27"/>
        <v>0</v>
      </c>
      <c r="F68" s="325">
        <f t="shared" ref="F68:G68" si="30">SUM(F66:F67)</f>
        <v>0</v>
      </c>
      <c r="G68" s="325">
        <f t="shared" si="30"/>
        <v>0</v>
      </c>
      <c r="H68" s="325">
        <f t="shared" si="28"/>
        <v>0</v>
      </c>
      <c r="I68" s="131"/>
      <c r="J68" s="131"/>
      <c r="K68" s="131"/>
      <c r="L68" s="131"/>
      <c r="M68" s="131"/>
      <c r="N68" s="131"/>
      <c r="O68" s="131"/>
      <c r="P68" s="131"/>
      <c r="Q68" s="131"/>
      <c r="R68" s="131"/>
      <c r="S68" s="131"/>
      <c r="T68" s="131"/>
      <c r="U68" s="131"/>
      <c r="V68" s="131"/>
      <c r="W68" s="131"/>
      <c r="X68" s="131"/>
      <c r="Y68" s="131"/>
      <c r="Z68" s="131"/>
    </row>
    <row r="69" spans="1:26" ht="15.75" customHeight="1">
      <c r="A69" s="210"/>
      <c r="B69" s="198"/>
      <c r="C69" s="619"/>
      <c r="D69" s="619"/>
      <c r="E69" s="619"/>
      <c r="F69" s="619"/>
      <c r="G69" s="619"/>
      <c r="H69" s="590"/>
      <c r="I69" s="131"/>
      <c r="J69" s="131"/>
      <c r="K69" s="131"/>
      <c r="L69" s="131"/>
      <c r="M69" s="131"/>
      <c r="N69" s="131"/>
      <c r="O69" s="131"/>
      <c r="P69" s="131"/>
      <c r="Q69" s="131"/>
      <c r="R69" s="131"/>
      <c r="S69" s="131"/>
      <c r="T69" s="131"/>
      <c r="U69" s="131"/>
      <c r="V69" s="131"/>
      <c r="W69" s="131"/>
      <c r="X69" s="131"/>
      <c r="Y69" s="131"/>
      <c r="Z69" s="131"/>
    </row>
    <row r="70" spans="1:26" ht="18.75" customHeight="1">
      <c r="A70" s="929" t="s">
        <v>4422</v>
      </c>
      <c r="B70" s="725"/>
      <c r="C70" s="725"/>
      <c r="D70" s="725"/>
      <c r="E70" s="725"/>
      <c r="F70" s="725"/>
      <c r="G70" s="725"/>
      <c r="H70" s="725"/>
      <c r="I70" s="131"/>
      <c r="J70" s="131"/>
      <c r="K70" s="131"/>
      <c r="L70" s="131"/>
      <c r="M70" s="131"/>
      <c r="N70" s="131"/>
      <c r="O70" s="131"/>
      <c r="P70" s="131"/>
      <c r="Q70" s="131"/>
      <c r="R70" s="131"/>
      <c r="S70" s="131"/>
      <c r="T70" s="131"/>
      <c r="U70" s="131"/>
      <c r="V70" s="131"/>
      <c r="W70" s="131"/>
      <c r="X70" s="131"/>
      <c r="Y70" s="131"/>
      <c r="Z70" s="131"/>
    </row>
    <row r="71" spans="1:26" ht="15.75" customHeight="1">
      <c r="A71" s="725"/>
      <c r="B71" s="725"/>
      <c r="C71" s="725"/>
      <c r="D71" s="725"/>
      <c r="E71" s="725"/>
      <c r="F71" s="725"/>
      <c r="G71" s="725"/>
      <c r="H71" s="725"/>
      <c r="I71" s="131"/>
      <c r="J71" s="131"/>
      <c r="K71" s="131"/>
      <c r="L71" s="131"/>
      <c r="M71" s="131"/>
      <c r="N71" s="131"/>
      <c r="O71" s="131"/>
      <c r="P71" s="131"/>
      <c r="Q71" s="131"/>
      <c r="R71" s="131"/>
      <c r="S71" s="131"/>
      <c r="T71" s="131"/>
      <c r="U71" s="131"/>
      <c r="V71" s="131"/>
      <c r="W71" s="131"/>
      <c r="X71" s="131"/>
      <c r="Y71" s="131"/>
      <c r="Z71" s="131"/>
    </row>
    <row r="72" spans="1:26" ht="15.75" customHeight="1">
      <c r="A72" s="1"/>
      <c r="B72" s="1"/>
      <c r="C72" s="619"/>
      <c r="D72" s="619"/>
      <c r="E72" s="619"/>
      <c r="F72" s="619"/>
      <c r="G72" s="619"/>
      <c r="H72" s="590"/>
      <c r="I72" s="131"/>
      <c r="J72" s="131"/>
      <c r="K72" s="131"/>
      <c r="L72" s="131"/>
      <c r="M72" s="131"/>
      <c r="N72" s="131"/>
      <c r="O72" s="131"/>
      <c r="P72" s="131"/>
      <c r="Q72" s="131"/>
      <c r="R72" s="131"/>
      <c r="S72" s="131"/>
      <c r="T72" s="131"/>
      <c r="U72" s="131"/>
      <c r="V72" s="131"/>
      <c r="W72" s="131"/>
      <c r="X72" s="131"/>
      <c r="Y72" s="131"/>
      <c r="Z72" s="131"/>
    </row>
    <row r="73" spans="1:26" ht="15.75" customHeight="1">
      <c r="A73" s="131"/>
      <c r="B73" s="589"/>
      <c r="C73" s="592"/>
      <c r="D73" s="590"/>
      <c r="E73" s="591"/>
      <c r="F73" s="592"/>
      <c r="G73" s="592"/>
      <c r="H73" s="59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834" t="str">
        <f>Validacion!A7</f>
        <v>Vero</v>
      </c>
      <c r="C74" s="787"/>
      <c r="D74" s="620"/>
      <c r="E74" s="834" t="str">
        <f>Validacion!A9</f>
        <v>Irlanda</v>
      </c>
      <c r="F74" s="787"/>
      <c r="G74" s="787"/>
      <c r="H74" s="787"/>
      <c r="I74" s="131"/>
      <c r="J74" s="131"/>
      <c r="K74" s="131"/>
      <c r="L74" s="131"/>
      <c r="M74" s="131"/>
      <c r="N74" s="131"/>
      <c r="O74" s="131"/>
      <c r="P74" s="131"/>
      <c r="Q74" s="131"/>
      <c r="R74" s="131"/>
      <c r="S74" s="131"/>
      <c r="T74" s="131"/>
      <c r="U74" s="131"/>
      <c r="V74" s="131"/>
      <c r="W74" s="131"/>
      <c r="X74" s="131"/>
      <c r="Y74" s="131"/>
      <c r="Z74" s="131"/>
    </row>
    <row r="75" spans="1:26" ht="15.75" customHeight="1">
      <c r="A75" s="131"/>
      <c r="B75" s="725"/>
      <c r="C75" s="725"/>
      <c r="D75" s="620"/>
      <c r="E75" s="725"/>
      <c r="F75" s="725"/>
      <c r="G75" s="725"/>
      <c r="H75" s="725"/>
      <c r="I75" s="131"/>
      <c r="J75" s="131"/>
      <c r="K75" s="131"/>
      <c r="L75" s="131"/>
      <c r="M75" s="131"/>
      <c r="N75" s="131"/>
      <c r="O75" s="131"/>
      <c r="P75" s="131"/>
      <c r="Q75" s="131"/>
      <c r="R75" s="131"/>
      <c r="S75" s="131"/>
      <c r="T75" s="131"/>
      <c r="U75" s="131"/>
      <c r="V75" s="131"/>
      <c r="W75" s="131"/>
      <c r="X75" s="131"/>
      <c r="Y75" s="131"/>
      <c r="Z75" s="131"/>
    </row>
    <row r="76" spans="1:26" ht="15.75" customHeight="1">
      <c r="A76" s="131"/>
      <c r="B76" s="773" t="s">
        <v>4423</v>
      </c>
      <c r="C76" s="725"/>
      <c r="D76" s="620"/>
      <c r="E76" s="925" t="s">
        <v>6273</v>
      </c>
      <c r="F76" s="725"/>
      <c r="G76" s="725"/>
      <c r="H76" s="725"/>
      <c r="I76" s="131"/>
      <c r="J76" s="131"/>
      <c r="K76" s="131"/>
      <c r="L76" s="131"/>
      <c r="M76" s="131"/>
      <c r="N76" s="131"/>
      <c r="O76" s="131"/>
      <c r="P76" s="131"/>
      <c r="Q76" s="131"/>
      <c r="R76" s="131"/>
      <c r="S76" s="131"/>
      <c r="T76" s="131"/>
      <c r="U76" s="131"/>
      <c r="V76" s="131"/>
      <c r="W76" s="131"/>
      <c r="X76" s="131"/>
      <c r="Y76" s="131"/>
      <c r="Z76" s="131"/>
    </row>
    <row r="77" spans="1:26" ht="15.75" customHeight="1">
      <c r="A77" s="131"/>
      <c r="B77" s="725"/>
      <c r="C77" s="725"/>
      <c r="D77" s="620"/>
      <c r="E77" s="725"/>
      <c r="F77" s="725"/>
      <c r="G77" s="725"/>
      <c r="H77" s="725"/>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590"/>
      <c r="D78" s="590"/>
      <c r="E78" s="590"/>
      <c r="F78" s="590"/>
      <c r="G78" s="590"/>
      <c r="H78" s="590"/>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590"/>
      <c r="D79" s="590"/>
      <c r="E79" s="590"/>
      <c r="F79" s="590"/>
      <c r="G79" s="590"/>
      <c r="H79" s="590"/>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590"/>
      <c r="D80" s="590"/>
      <c r="E80" s="590"/>
      <c r="F80" s="590"/>
      <c r="G80" s="590"/>
      <c r="H80" s="590"/>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590"/>
      <c r="D81" s="590"/>
      <c r="E81" s="590"/>
      <c r="F81" s="590"/>
      <c r="G81" s="590"/>
      <c r="H81" s="590"/>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590"/>
      <c r="D82" s="590"/>
      <c r="E82" s="590"/>
      <c r="F82" s="590"/>
      <c r="G82" s="590"/>
      <c r="H82" s="590"/>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590"/>
      <c r="D83" s="590"/>
      <c r="E83" s="590"/>
      <c r="F83" s="590"/>
      <c r="G83" s="590"/>
      <c r="H83" s="590"/>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590"/>
      <c r="D84" s="590"/>
      <c r="E84" s="590"/>
      <c r="F84" s="590"/>
      <c r="G84" s="590"/>
      <c r="H84" s="590"/>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590"/>
      <c r="D85" s="590"/>
      <c r="E85" s="590"/>
      <c r="F85" s="590"/>
      <c r="G85" s="590"/>
      <c r="H85" s="590"/>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590"/>
      <c r="D86" s="590"/>
      <c r="E86" s="590"/>
      <c r="F86" s="590"/>
      <c r="G86" s="590"/>
      <c r="H86" s="590"/>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590"/>
      <c r="D87" s="590"/>
      <c r="E87" s="590"/>
      <c r="F87" s="590"/>
      <c r="G87" s="590"/>
      <c r="H87" s="590"/>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590"/>
      <c r="D88" s="590"/>
      <c r="E88" s="590"/>
      <c r="F88" s="590"/>
      <c r="G88" s="590"/>
      <c r="H88" s="590"/>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590"/>
      <c r="D89" s="590"/>
      <c r="E89" s="590"/>
      <c r="F89" s="590"/>
      <c r="G89" s="590"/>
      <c r="H89" s="590"/>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590"/>
      <c r="D90" s="590"/>
      <c r="E90" s="590"/>
      <c r="F90" s="590"/>
      <c r="G90" s="590"/>
      <c r="H90" s="590"/>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590"/>
      <c r="D91" s="590"/>
      <c r="E91" s="590"/>
      <c r="F91" s="590"/>
      <c r="G91" s="590"/>
      <c r="H91" s="590"/>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590"/>
      <c r="D92" s="590"/>
      <c r="E92" s="590"/>
      <c r="F92" s="590"/>
      <c r="G92" s="590"/>
      <c r="H92" s="590"/>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590"/>
      <c r="D93" s="590"/>
      <c r="E93" s="590"/>
      <c r="F93" s="590"/>
      <c r="G93" s="590"/>
      <c r="H93" s="590"/>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590"/>
      <c r="D94" s="590"/>
      <c r="E94" s="590"/>
      <c r="F94" s="590"/>
      <c r="G94" s="590"/>
      <c r="H94" s="590"/>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590"/>
      <c r="D95" s="590"/>
      <c r="E95" s="590"/>
      <c r="F95" s="590"/>
      <c r="G95" s="590"/>
      <c r="H95" s="590"/>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590"/>
      <c r="D96" s="590"/>
      <c r="E96" s="590"/>
      <c r="F96" s="590"/>
      <c r="G96" s="590"/>
      <c r="H96" s="590"/>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590"/>
      <c r="D97" s="590"/>
      <c r="E97" s="590"/>
      <c r="F97" s="590"/>
      <c r="G97" s="590"/>
      <c r="H97" s="590"/>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590"/>
      <c r="D98" s="590"/>
      <c r="E98" s="590"/>
      <c r="F98" s="590"/>
      <c r="G98" s="590"/>
      <c r="H98" s="590"/>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590"/>
      <c r="D99" s="590"/>
      <c r="E99" s="590"/>
      <c r="F99" s="590"/>
      <c r="G99" s="590"/>
      <c r="H99" s="590"/>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590"/>
      <c r="D100" s="590"/>
      <c r="E100" s="590"/>
      <c r="F100" s="590"/>
      <c r="G100" s="590"/>
      <c r="H100" s="590"/>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590"/>
      <c r="D101" s="590"/>
      <c r="E101" s="590"/>
      <c r="F101" s="590"/>
      <c r="G101" s="590"/>
      <c r="H101" s="590"/>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590"/>
      <c r="D102" s="590"/>
      <c r="E102" s="590"/>
      <c r="F102" s="590"/>
      <c r="G102" s="590"/>
      <c r="H102" s="590"/>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590"/>
      <c r="D103" s="590"/>
      <c r="E103" s="590"/>
      <c r="F103" s="590"/>
      <c r="G103" s="590"/>
      <c r="H103" s="590"/>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590"/>
      <c r="D104" s="590"/>
      <c r="E104" s="590"/>
      <c r="F104" s="590"/>
      <c r="G104" s="590"/>
      <c r="H104" s="590"/>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590"/>
      <c r="D105" s="590"/>
      <c r="E105" s="590"/>
      <c r="F105" s="590"/>
      <c r="G105" s="590"/>
      <c r="H105" s="590"/>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590"/>
      <c r="D106" s="590"/>
      <c r="E106" s="590"/>
      <c r="F106" s="590"/>
      <c r="G106" s="590"/>
      <c r="H106" s="590"/>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590"/>
      <c r="D107" s="590"/>
      <c r="E107" s="590"/>
      <c r="F107" s="590"/>
      <c r="G107" s="590"/>
      <c r="H107" s="590"/>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590"/>
      <c r="D108" s="590"/>
      <c r="E108" s="590"/>
      <c r="F108" s="590"/>
      <c r="G108" s="590"/>
      <c r="H108" s="590"/>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590"/>
      <c r="D109" s="590"/>
      <c r="E109" s="590"/>
      <c r="F109" s="590"/>
      <c r="G109" s="590"/>
      <c r="H109" s="590"/>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590"/>
      <c r="D110" s="590"/>
      <c r="E110" s="590"/>
      <c r="F110" s="590"/>
      <c r="G110" s="590"/>
      <c r="H110" s="590"/>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590"/>
      <c r="D111" s="590"/>
      <c r="E111" s="590"/>
      <c r="F111" s="590"/>
      <c r="G111" s="590"/>
      <c r="H111" s="590"/>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590"/>
      <c r="D112" s="590"/>
      <c r="E112" s="590"/>
      <c r="F112" s="590"/>
      <c r="G112" s="590"/>
      <c r="H112" s="590"/>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590"/>
      <c r="D113" s="590"/>
      <c r="E113" s="590"/>
      <c r="F113" s="590"/>
      <c r="G113" s="590"/>
      <c r="H113" s="590"/>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590"/>
      <c r="D114" s="590"/>
      <c r="E114" s="590"/>
      <c r="F114" s="590"/>
      <c r="G114" s="590"/>
      <c r="H114" s="590"/>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590"/>
      <c r="D115" s="590"/>
      <c r="E115" s="590"/>
      <c r="F115" s="590"/>
      <c r="G115" s="590"/>
      <c r="H115" s="590"/>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590"/>
      <c r="D116" s="590"/>
      <c r="E116" s="590"/>
      <c r="F116" s="590"/>
      <c r="G116" s="590"/>
      <c r="H116" s="590"/>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590"/>
      <c r="D117" s="590"/>
      <c r="E117" s="590"/>
      <c r="F117" s="590"/>
      <c r="G117" s="590"/>
      <c r="H117" s="590"/>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590"/>
      <c r="D118" s="590"/>
      <c r="E118" s="590"/>
      <c r="F118" s="590"/>
      <c r="G118" s="590"/>
      <c r="H118" s="590"/>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590"/>
      <c r="D119" s="590"/>
      <c r="E119" s="590"/>
      <c r="F119" s="590"/>
      <c r="G119" s="590"/>
      <c r="H119" s="590"/>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590"/>
      <c r="D120" s="590"/>
      <c r="E120" s="590"/>
      <c r="F120" s="590"/>
      <c r="G120" s="590"/>
      <c r="H120" s="590"/>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590"/>
      <c r="D121" s="590"/>
      <c r="E121" s="590"/>
      <c r="F121" s="590"/>
      <c r="G121" s="590"/>
      <c r="H121" s="590"/>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590"/>
      <c r="D122" s="590"/>
      <c r="E122" s="590"/>
      <c r="F122" s="590"/>
      <c r="G122" s="590"/>
      <c r="H122" s="590"/>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590"/>
      <c r="D123" s="590"/>
      <c r="E123" s="590"/>
      <c r="F123" s="590"/>
      <c r="G123" s="590"/>
      <c r="H123" s="590"/>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590"/>
      <c r="D124" s="590"/>
      <c r="E124" s="590"/>
      <c r="F124" s="590"/>
      <c r="G124" s="590"/>
      <c r="H124" s="590"/>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590"/>
      <c r="D125" s="590"/>
      <c r="E125" s="590"/>
      <c r="F125" s="590"/>
      <c r="G125" s="590"/>
      <c r="H125" s="590"/>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590"/>
      <c r="D126" s="590"/>
      <c r="E126" s="590"/>
      <c r="F126" s="590"/>
      <c r="G126" s="590"/>
      <c r="H126" s="590"/>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590"/>
      <c r="D127" s="590"/>
      <c r="E127" s="590"/>
      <c r="F127" s="590"/>
      <c r="G127" s="590"/>
      <c r="H127" s="590"/>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590"/>
      <c r="D128" s="590"/>
      <c r="E128" s="590"/>
      <c r="F128" s="590"/>
      <c r="G128" s="590"/>
      <c r="H128" s="590"/>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590"/>
      <c r="D129" s="590"/>
      <c r="E129" s="590"/>
      <c r="F129" s="590"/>
      <c r="G129" s="590"/>
      <c r="H129" s="590"/>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590"/>
      <c r="D130" s="590"/>
      <c r="E130" s="590"/>
      <c r="F130" s="590"/>
      <c r="G130" s="590"/>
      <c r="H130" s="590"/>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590"/>
      <c r="D131" s="590"/>
      <c r="E131" s="590"/>
      <c r="F131" s="590"/>
      <c r="G131" s="590"/>
      <c r="H131" s="590"/>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590"/>
      <c r="D132" s="590"/>
      <c r="E132" s="590"/>
      <c r="F132" s="590"/>
      <c r="G132" s="590"/>
      <c r="H132" s="590"/>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590"/>
      <c r="D133" s="590"/>
      <c r="E133" s="590"/>
      <c r="F133" s="590"/>
      <c r="G133" s="590"/>
      <c r="H133" s="590"/>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590"/>
      <c r="D134" s="590"/>
      <c r="E134" s="590"/>
      <c r="F134" s="590"/>
      <c r="G134" s="590"/>
      <c r="H134" s="590"/>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590"/>
      <c r="D135" s="590"/>
      <c r="E135" s="590"/>
      <c r="F135" s="590"/>
      <c r="G135" s="590"/>
      <c r="H135" s="590"/>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590"/>
      <c r="D136" s="590"/>
      <c r="E136" s="590"/>
      <c r="F136" s="590"/>
      <c r="G136" s="590"/>
      <c r="H136" s="590"/>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590"/>
      <c r="D137" s="590"/>
      <c r="E137" s="590"/>
      <c r="F137" s="590"/>
      <c r="G137" s="590"/>
      <c r="H137" s="590"/>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590"/>
      <c r="D138" s="590"/>
      <c r="E138" s="590"/>
      <c r="F138" s="590"/>
      <c r="G138" s="590"/>
      <c r="H138" s="590"/>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590"/>
      <c r="D139" s="590"/>
      <c r="E139" s="590"/>
      <c r="F139" s="590"/>
      <c r="G139" s="590"/>
      <c r="H139" s="590"/>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590"/>
      <c r="D140" s="590"/>
      <c r="E140" s="590"/>
      <c r="F140" s="590"/>
      <c r="G140" s="590"/>
      <c r="H140" s="590"/>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590"/>
      <c r="D141" s="590"/>
      <c r="E141" s="590"/>
      <c r="F141" s="590"/>
      <c r="G141" s="590"/>
      <c r="H141" s="590"/>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590"/>
      <c r="D142" s="590"/>
      <c r="E142" s="590"/>
      <c r="F142" s="590"/>
      <c r="G142" s="590"/>
      <c r="H142" s="590"/>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590"/>
      <c r="D143" s="590"/>
      <c r="E143" s="590"/>
      <c r="F143" s="590"/>
      <c r="G143" s="590"/>
      <c r="H143" s="590"/>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590"/>
      <c r="D144" s="590"/>
      <c r="E144" s="590"/>
      <c r="F144" s="590"/>
      <c r="G144" s="590"/>
      <c r="H144" s="590"/>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590"/>
      <c r="D145" s="590"/>
      <c r="E145" s="590"/>
      <c r="F145" s="590"/>
      <c r="G145" s="590"/>
      <c r="H145" s="590"/>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590"/>
      <c r="D146" s="590"/>
      <c r="E146" s="590"/>
      <c r="F146" s="590"/>
      <c r="G146" s="590"/>
      <c r="H146" s="590"/>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590"/>
      <c r="D147" s="590"/>
      <c r="E147" s="590"/>
      <c r="F147" s="590"/>
      <c r="G147" s="590"/>
      <c r="H147" s="590"/>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590"/>
      <c r="D148" s="590"/>
      <c r="E148" s="590"/>
      <c r="F148" s="590"/>
      <c r="G148" s="590"/>
      <c r="H148" s="590"/>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590"/>
      <c r="D149" s="590"/>
      <c r="E149" s="590"/>
      <c r="F149" s="590"/>
      <c r="G149" s="590"/>
      <c r="H149" s="590"/>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590"/>
      <c r="D150" s="590"/>
      <c r="E150" s="590"/>
      <c r="F150" s="590"/>
      <c r="G150" s="590"/>
      <c r="H150" s="590"/>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590"/>
      <c r="D151" s="590"/>
      <c r="E151" s="590"/>
      <c r="F151" s="590"/>
      <c r="G151" s="590"/>
      <c r="H151" s="590"/>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590"/>
      <c r="D152" s="590"/>
      <c r="E152" s="590"/>
      <c r="F152" s="590"/>
      <c r="G152" s="590"/>
      <c r="H152" s="590"/>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590"/>
      <c r="D153" s="590"/>
      <c r="E153" s="590"/>
      <c r="F153" s="590"/>
      <c r="G153" s="590"/>
      <c r="H153" s="590"/>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590"/>
      <c r="D154" s="590"/>
      <c r="E154" s="590"/>
      <c r="F154" s="590"/>
      <c r="G154" s="590"/>
      <c r="H154" s="590"/>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590"/>
      <c r="D155" s="590"/>
      <c r="E155" s="590"/>
      <c r="F155" s="590"/>
      <c r="G155" s="590"/>
      <c r="H155" s="590"/>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590"/>
      <c r="D156" s="590"/>
      <c r="E156" s="590"/>
      <c r="F156" s="590"/>
      <c r="G156" s="590"/>
      <c r="H156" s="590"/>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590"/>
      <c r="D157" s="590"/>
      <c r="E157" s="590"/>
      <c r="F157" s="590"/>
      <c r="G157" s="590"/>
      <c r="H157" s="590"/>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590"/>
      <c r="D158" s="590"/>
      <c r="E158" s="590"/>
      <c r="F158" s="590"/>
      <c r="G158" s="590"/>
      <c r="H158" s="590"/>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590"/>
      <c r="D159" s="590"/>
      <c r="E159" s="590"/>
      <c r="F159" s="590"/>
      <c r="G159" s="590"/>
      <c r="H159" s="590"/>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590"/>
      <c r="D160" s="590"/>
      <c r="E160" s="590"/>
      <c r="F160" s="590"/>
      <c r="G160" s="590"/>
      <c r="H160" s="590"/>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590"/>
      <c r="D161" s="590"/>
      <c r="E161" s="590"/>
      <c r="F161" s="590"/>
      <c r="G161" s="590"/>
      <c r="H161" s="590"/>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590"/>
      <c r="D162" s="590"/>
      <c r="E162" s="590"/>
      <c r="F162" s="590"/>
      <c r="G162" s="590"/>
      <c r="H162" s="590"/>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590"/>
      <c r="D163" s="590"/>
      <c r="E163" s="590"/>
      <c r="F163" s="590"/>
      <c r="G163" s="590"/>
      <c r="H163" s="590"/>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590"/>
      <c r="D164" s="590"/>
      <c r="E164" s="590"/>
      <c r="F164" s="590"/>
      <c r="G164" s="590"/>
      <c r="H164" s="590"/>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590"/>
      <c r="D165" s="590"/>
      <c r="E165" s="590"/>
      <c r="F165" s="590"/>
      <c r="G165" s="590"/>
      <c r="H165" s="590"/>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590"/>
      <c r="D166" s="590"/>
      <c r="E166" s="590"/>
      <c r="F166" s="590"/>
      <c r="G166" s="590"/>
      <c r="H166" s="590"/>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590"/>
      <c r="D167" s="590"/>
      <c r="E167" s="590"/>
      <c r="F167" s="590"/>
      <c r="G167" s="590"/>
      <c r="H167" s="590"/>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590"/>
      <c r="D168" s="590"/>
      <c r="E168" s="590"/>
      <c r="F168" s="590"/>
      <c r="G168" s="590"/>
      <c r="H168" s="590"/>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590"/>
      <c r="D169" s="590"/>
      <c r="E169" s="590"/>
      <c r="F169" s="590"/>
      <c r="G169" s="590"/>
      <c r="H169" s="590"/>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590"/>
      <c r="D170" s="590"/>
      <c r="E170" s="590"/>
      <c r="F170" s="590"/>
      <c r="G170" s="590"/>
      <c r="H170" s="590"/>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590"/>
      <c r="D171" s="590"/>
      <c r="E171" s="590"/>
      <c r="F171" s="590"/>
      <c r="G171" s="590"/>
      <c r="H171" s="590"/>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590"/>
      <c r="D172" s="590"/>
      <c r="E172" s="590"/>
      <c r="F172" s="590"/>
      <c r="G172" s="590"/>
      <c r="H172" s="590"/>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590"/>
      <c r="D173" s="590"/>
      <c r="E173" s="590"/>
      <c r="F173" s="590"/>
      <c r="G173" s="590"/>
      <c r="H173" s="590"/>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590"/>
      <c r="D174" s="590"/>
      <c r="E174" s="590"/>
      <c r="F174" s="590"/>
      <c r="G174" s="590"/>
      <c r="H174" s="590"/>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590"/>
      <c r="D175" s="590"/>
      <c r="E175" s="590"/>
      <c r="F175" s="590"/>
      <c r="G175" s="590"/>
      <c r="H175" s="590"/>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590"/>
      <c r="D176" s="590"/>
      <c r="E176" s="590"/>
      <c r="F176" s="590"/>
      <c r="G176" s="590"/>
      <c r="H176" s="590"/>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590"/>
      <c r="D177" s="590"/>
      <c r="E177" s="590"/>
      <c r="F177" s="590"/>
      <c r="G177" s="590"/>
      <c r="H177" s="590"/>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590"/>
      <c r="D178" s="590"/>
      <c r="E178" s="590"/>
      <c r="F178" s="590"/>
      <c r="G178" s="590"/>
      <c r="H178" s="590"/>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590"/>
      <c r="D179" s="590"/>
      <c r="E179" s="590"/>
      <c r="F179" s="590"/>
      <c r="G179" s="590"/>
      <c r="H179" s="590"/>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590"/>
      <c r="D180" s="590"/>
      <c r="E180" s="590"/>
      <c r="F180" s="590"/>
      <c r="G180" s="590"/>
      <c r="H180" s="590"/>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590"/>
      <c r="D181" s="590"/>
      <c r="E181" s="590"/>
      <c r="F181" s="590"/>
      <c r="G181" s="590"/>
      <c r="H181" s="590"/>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590"/>
      <c r="D182" s="590"/>
      <c r="E182" s="590"/>
      <c r="F182" s="590"/>
      <c r="G182" s="590"/>
      <c r="H182" s="590"/>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590"/>
      <c r="D183" s="590"/>
      <c r="E183" s="590"/>
      <c r="F183" s="590"/>
      <c r="G183" s="590"/>
      <c r="H183" s="590"/>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590"/>
      <c r="D184" s="590"/>
      <c r="E184" s="590"/>
      <c r="F184" s="590"/>
      <c r="G184" s="590"/>
      <c r="H184" s="590"/>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590"/>
      <c r="D185" s="590"/>
      <c r="E185" s="590"/>
      <c r="F185" s="590"/>
      <c r="G185" s="590"/>
      <c r="H185" s="590"/>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590"/>
      <c r="D186" s="590"/>
      <c r="E186" s="590"/>
      <c r="F186" s="590"/>
      <c r="G186" s="590"/>
      <c r="H186" s="590"/>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590"/>
      <c r="D187" s="590"/>
      <c r="E187" s="590"/>
      <c r="F187" s="590"/>
      <c r="G187" s="590"/>
      <c r="H187" s="590"/>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590"/>
      <c r="D188" s="590"/>
      <c r="E188" s="590"/>
      <c r="F188" s="590"/>
      <c r="G188" s="590"/>
      <c r="H188" s="590"/>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590"/>
      <c r="D189" s="590"/>
      <c r="E189" s="590"/>
      <c r="F189" s="590"/>
      <c r="G189" s="590"/>
      <c r="H189" s="590"/>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590"/>
      <c r="D190" s="590"/>
      <c r="E190" s="590"/>
      <c r="F190" s="590"/>
      <c r="G190" s="590"/>
      <c r="H190" s="590"/>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590"/>
      <c r="D191" s="590"/>
      <c r="E191" s="590"/>
      <c r="F191" s="590"/>
      <c r="G191" s="590"/>
      <c r="H191" s="590"/>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590"/>
      <c r="D192" s="590"/>
      <c r="E192" s="590"/>
      <c r="F192" s="590"/>
      <c r="G192" s="590"/>
      <c r="H192" s="590"/>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590"/>
      <c r="D193" s="590"/>
      <c r="E193" s="590"/>
      <c r="F193" s="590"/>
      <c r="G193" s="590"/>
      <c r="H193" s="590"/>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590"/>
      <c r="D194" s="590"/>
      <c r="E194" s="590"/>
      <c r="F194" s="590"/>
      <c r="G194" s="590"/>
      <c r="H194" s="590"/>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590"/>
      <c r="D195" s="590"/>
      <c r="E195" s="590"/>
      <c r="F195" s="590"/>
      <c r="G195" s="590"/>
      <c r="H195" s="590"/>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590"/>
      <c r="D196" s="590"/>
      <c r="E196" s="590"/>
      <c r="F196" s="590"/>
      <c r="G196" s="590"/>
      <c r="H196" s="590"/>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590"/>
      <c r="D197" s="590"/>
      <c r="E197" s="590"/>
      <c r="F197" s="590"/>
      <c r="G197" s="590"/>
      <c r="H197" s="590"/>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590"/>
      <c r="D198" s="590"/>
      <c r="E198" s="590"/>
      <c r="F198" s="590"/>
      <c r="G198" s="590"/>
      <c r="H198" s="590"/>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590"/>
      <c r="D199" s="590"/>
      <c r="E199" s="590"/>
      <c r="F199" s="590"/>
      <c r="G199" s="590"/>
      <c r="H199" s="590"/>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590"/>
      <c r="D200" s="590"/>
      <c r="E200" s="590"/>
      <c r="F200" s="590"/>
      <c r="G200" s="590"/>
      <c r="H200" s="590"/>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590"/>
      <c r="D201" s="590"/>
      <c r="E201" s="590"/>
      <c r="F201" s="590"/>
      <c r="G201" s="590"/>
      <c r="H201" s="590"/>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590"/>
      <c r="D202" s="590"/>
      <c r="E202" s="590"/>
      <c r="F202" s="590"/>
      <c r="G202" s="590"/>
      <c r="H202" s="590"/>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590"/>
      <c r="D203" s="590"/>
      <c r="E203" s="590"/>
      <c r="F203" s="590"/>
      <c r="G203" s="590"/>
      <c r="H203" s="590"/>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590"/>
      <c r="D204" s="590"/>
      <c r="E204" s="590"/>
      <c r="F204" s="590"/>
      <c r="G204" s="590"/>
      <c r="H204" s="590"/>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590"/>
      <c r="D205" s="590"/>
      <c r="E205" s="590"/>
      <c r="F205" s="590"/>
      <c r="G205" s="590"/>
      <c r="H205" s="590"/>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590"/>
      <c r="D206" s="590"/>
      <c r="E206" s="590"/>
      <c r="F206" s="590"/>
      <c r="G206" s="590"/>
      <c r="H206" s="590"/>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590"/>
      <c r="D207" s="590"/>
      <c r="E207" s="590"/>
      <c r="F207" s="590"/>
      <c r="G207" s="590"/>
      <c r="H207" s="590"/>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590"/>
      <c r="D208" s="590"/>
      <c r="E208" s="590"/>
      <c r="F208" s="590"/>
      <c r="G208" s="590"/>
      <c r="H208" s="590"/>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590"/>
      <c r="D209" s="590"/>
      <c r="E209" s="590"/>
      <c r="F209" s="590"/>
      <c r="G209" s="590"/>
      <c r="H209" s="590"/>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590"/>
      <c r="D210" s="590"/>
      <c r="E210" s="590"/>
      <c r="F210" s="590"/>
      <c r="G210" s="590"/>
      <c r="H210" s="590"/>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590"/>
      <c r="D211" s="590"/>
      <c r="E211" s="590"/>
      <c r="F211" s="590"/>
      <c r="G211" s="590"/>
      <c r="H211" s="590"/>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590"/>
      <c r="D212" s="590"/>
      <c r="E212" s="590"/>
      <c r="F212" s="590"/>
      <c r="G212" s="590"/>
      <c r="H212" s="590"/>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590"/>
      <c r="D213" s="590"/>
      <c r="E213" s="590"/>
      <c r="F213" s="590"/>
      <c r="G213" s="590"/>
      <c r="H213" s="590"/>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590"/>
      <c r="D214" s="590"/>
      <c r="E214" s="590"/>
      <c r="F214" s="590"/>
      <c r="G214" s="590"/>
      <c r="H214" s="590"/>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590"/>
      <c r="D215" s="590"/>
      <c r="E215" s="590"/>
      <c r="F215" s="590"/>
      <c r="G215" s="590"/>
      <c r="H215" s="590"/>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590"/>
      <c r="D216" s="590"/>
      <c r="E216" s="590"/>
      <c r="F216" s="590"/>
      <c r="G216" s="590"/>
      <c r="H216" s="590"/>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590"/>
      <c r="D217" s="590"/>
      <c r="E217" s="590"/>
      <c r="F217" s="590"/>
      <c r="G217" s="590"/>
      <c r="H217" s="590"/>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590"/>
      <c r="D218" s="590"/>
      <c r="E218" s="590"/>
      <c r="F218" s="590"/>
      <c r="G218" s="590"/>
      <c r="H218" s="590"/>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590"/>
      <c r="D219" s="590"/>
      <c r="E219" s="590"/>
      <c r="F219" s="590"/>
      <c r="G219" s="590"/>
      <c r="H219" s="590"/>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590"/>
      <c r="D220" s="590"/>
      <c r="E220" s="590"/>
      <c r="F220" s="590"/>
      <c r="G220" s="590"/>
      <c r="H220" s="590"/>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590"/>
      <c r="D221" s="590"/>
      <c r="E221" s="590"/>
      <c r="F221" s="590"/>
      <c r="G221" s="590"/>
      <c r="H221" s="590"/>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590"/>
      <c r="D222" s="590"/>
      <c r="E222" s="590"/>
      <c r="F222" s="590"/>
      <c r="G222" s="590"/>
      <c r="H222" s="590"/>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590"/>
      <c r="D223" s="590"/>
      <c r="E223" s="590"/>
      <c r="F223" s="590"/>
      <c r="G223" s="590"/>
      <c r="H223" s="590"/>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590"/>
      <c r="D224" s="590"/>
      <c r="E224" s="590"/>
      <c r="F224" s="590"/>
      <c r="G224" s="590"/>
      <c r="H224" s="590"/>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590"/>
      <c r="D225" s="590"/>
      <c r="E225" s="590"/>
      <c r="F225" s="590"/>
      <c r="G225" s="590"/>
      <c r="H225" s="590"/>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590"/>
      <c r="D226" s="590"/>
      <c r="E226" s="590"/>
      <c r="F226" s="590"/>
      <c r="G226" s="590"/>
      <c r="H226" s="590"/>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590"/>
      <c r="D227" s="590"/>
      <c r="E227" s="590"/>
      <c r="F227" s="590"/>
      <c r="G227" s="590"/>
      <c r="H227" s="590"/>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590"/>
      <c r="D228" s="590"/>
      <c r="E228" s="590"/>
      <c r="F228" s="590"/>
      <c r="G228" s="590"/>
      <c r="H228" s="590"/>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590"/>
      <c r="D229" s="590"/>
      <c r="E229" s="590"/>
      <c r="F229" s="590"/>
      <c r="G229" s="590"/>
      <c r="H229" s="590"/>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590"/>
      <c r="D230" s="590"/>
      <c r="E230" s="590"/>
      <c r="F230" s="590"/>
      <c r="G230" s="590"/>
      <c r="H230" s="590"/>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590"/>
      <c r="D231" s="590"/>
      <c r="E231" s="590"/>
      <c r="F231" s="590"/>
      <c r="G231" s="590"/>
      <c r="H231" s="590"/>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590"/>
      <c r="D232" s="590"/>
      <c r="E232" s="590"/>
      <c r="F232" s="590"/>
      <c r="G232" s="590"/>
      <c r="H232" s="590"/>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590"/>
      <c r="D233" s="590"/>
      <c r="E233" s="590"/>
      <c r="F233" s="590"/>
      <c r="G233" s="590"/>
      <c r="H233" s="590"/>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590"/>
      <c r="D234" s="590"/>
      <c r="E234" s="590"/>
      <c r="F234" s="590"/>
      <c r="G234" s="590"/>
      <c r="H234" s="590"/>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590"/>
      <c r="D235" s="590"/>
      <c r="E235" s="590"/>
      <c r="F235" s="590"/>
      <c r="G235" s="590"/>
      <c r="H235" s="590"/>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590"/>
      <c r="D236" s="590"/>
      <c r="E236" s="590"/>
      <c r="F236" s="590"/>
      <c r="G236" s="590"/>
      <c r="H236" s="590"/>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590"/>
      <c r="D237" s="590"/>
      <c r="E237" s="590"/>
      <c r="F237" s="590"/>
      <c r="G237" s="590"/>
      <c r="H237" s="590"/>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590"/>
      <c r="D238" s="590"/>
      <c r="E238" s="590"/>
      <c r="F238" s="590"/>
      <c r="G238" s="590"/>
      <c r="H238" s="590"/>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590"/>
      <c r="D239" s="590"/>
      <c r="E239" s="590"/>
      <c r="F239" s="590"/>
      <c r="G239" s="590"/>
      <c r="H239" s="590"/>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590"/>
      <c r="D240" s="590"/>
      <c r="E240" s="590"/>
      <c r="F240" s="590"/>
      <c r="G240" s="590"/>
      <c r="H240" s="590"/>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590"/>
      <c r="D241" s="590"/>
      <c r="E241" s="590"/>
      <c r="F241" s="590"/>
      <c r="G241" s="590"/>
      <c r="H241" s="590"/>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590"/>
      <c r="D242" s="590"/>
      <c r="E242" s="590"/>
      <c r="F242" s="590"/>
      <c r="G242" s="590"/>
      <c r="H242" s="590"/>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590"/>
      <c r="D243" s="590"/>
      <c r="E243" s="590"/>
      <c r="F243" s="590"/>
      <c r="G243" s="590"/>
      <c r="H243" s="590"/>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590"/>
      <c r="D244" s="590"/>
      <c r="E244" s="590"/>
      <c r="F244" s="590"/>
      <c r="G244" s="590"/>
      <c r="H244" s="590"/>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590"/>
      <c r="D245" s="590"/>
      <c r="E245" s="590"/>
      <c r="F245" s="590"/>
      <c r="G245" s="590"/>
      <c r="H245" s="590"/>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590"/>
      <c r="D246" s="590"/>
      <c r="E246" s="590"/>
      <c r="F246" s="590"/>
      <c r="G246" s="590"/>
      <c r="H246" s="590"/>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590"/>
      <c r="D247" s="590"/>
      <c r="E247" s="590"/>
      <c r="F247" s="590"/>
      <c r="G247" s="590"/>
      <c r="H247" s="590"/>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590"/>
      <c r="D248" s="590"/>
      <c r="E248" s="590"/>
      <c r="F248" s="590"/>
      <c r="G248" s="590"/>
      <c r="H248" s="590"/>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590"/>
      <c r="D249" s="590"/>
      <c r="E249" s="590"/>
      <c r="F249" s="590"/>
      <c r="G249" s="590"/>
      <c r="H249" s="590"/>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590"/>
      <c r="D250" s="590"/>
      <c r="E250" s="590"/>
      <c r="F250" s="590"/>
      <c r="G250" s="590"/>
      <c r="H250" s="590"/>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590"/>
      <c r="D251" s="590"/>
      <c r="E251" s="590"/>
      <c r="F251" s="590"/>
      <c r="G251" s="590"/>
      <c r="H251" s="590"/>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590"/>
      <c r="D252" s="590"/>
      <c r="E252" s="590"/>
      <c r="F252" s="590"/>
      <c r="G252" s="590"/>
      <c r="H252" s="590"/>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590"/>
      <c r="D253" s="590"/>
      <c r="E253" s="590"/>
      <c r="F253" s="590"/>
      <c r="G253" s="590"/>
      <c r="H253" s="590"/>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590"/>
      <c r="D254" s="590"/>
      <c r="E254" s="590"/>
      <c r="F254" s="590"/>
      <c r="G254" s="590"/>
      <c r="H254" s="590"/>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590"/>
      <c r="D255" s="590"/>
      <c r="E255" s="590"/>
      <c r="F255" s="590"/>
      <c r="G255" s="590"/>
      <c r="H255" s="590"/>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590"/>
      <c r="D256" s="590"/>
      <c r="E256" s="590"/>
      <c r="F256" s="590"/>
      <c r="G256" s="590"/>
      <c r="H256" s="590"/>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590"/>
      <c r="D257" s="590"/>
      <c r="E257" s="590"/>
      <c r="F257" s="590"/>
      <c r="G257" s="590"/>
      <c r="H257" s="590"/>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590"/>
      <c r="D258" s="590"/>
      <c r="E258" s="590"/>
      <c r="F258" s="590"/>
      <c r="G258" s="590"/>
      <c r="H258" s="590"/>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590"/>
      <c r="D259" s="590"/>
      <c r="E259" s="590"/>
      <c r="F259" s="590"/>
      <c r="G259" s="590"/>
      <c r="H259" s="590"/>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590"/>
      <c r="D260" s="590"/>
      <c r="E260" s="590"/>
      <c r="F260" s="590"/>
      <c r="G260" s="590"/>
      <c r="H260" s="590"/>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590"/>
      <c r="D261" s="590"/>
      <c r="E261" s="590"/>
      <c r="F261" s="590"/>
      <c r="G261" s="590"/>
      <c r="H261" s="590"/>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590"/>
      <c r="D262" s="590"/>
      <c r="E262" s="590"/>
      <c r="F262" s="590"/>
      <c r="G262" s="590"/>
      <c r="H262" s="590"/>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590"/>
      <c r="D263" s="590"/>
      <c r="E263" s="590"/>
      <c r="F263" s="590"/>
      <c r="G263" s="590"/>
      <c r="H263" s="590"/>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590"/>
      <c r="D264" s="590"/>
      <c r="E264" s="590"/>
      <c r="F264" s="590"/>
      <c r="G264" s="590"/>
      <c r="H264" s="590"/>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590"/>
      <c r="D265" s="590"/>
      <c r="E265" s="590"/>
      <c r="F265" s="590"/>
      <c r="G265" s="590"/>
      <c r="H265" s="590"/>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590"/>
      <c r="D266" s="590"/>
      <c r="E266" s="590"/>
      <c r="F266" s="590"/>
      <c r="G266" s="590"/>
      <c r="H266" s="590"/>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590"/>
      <c r="D267" s="590"/>
      <c r="E267" s="590"/>
      <c r="F267" s="590"/>
      <c r="G267" s="590"/>
      <c r="H267" s="590"/>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590"/>
      <c r="D268" s="590"/>
      <c r="E268" s="590"/>
      <c r="F268" s="590"/>
      <c r="G268" s="590"/>
      <c r="H268" s="590"/>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590"/>
      <c r="D269" s="590"/>
      <c r="E269" s="590"/>
      <c r="F269" s="590"/>
      <c r="G269" s="590"/>
      <c r="H269" s="590"/>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590"/>
      <c r="D270" s="590"/>
      <c r="E270" s="590"/>
      <c r="F270" s="590"/>
      <c r="G270" s="590"/>
      <c r="H270" s="590"/>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590"/>
      <c r="D271" s="590"/>
      <c r="E271" s="590"/>
      <c r="F271" s="590"/>
      <c r="G271" s="590"/>
      <c r="H271" s="590"/>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590"/>
      <c r="D272" s="590"/>
      <c r="E272" s="590"/>
      <c r="F272" s="590"/>
      <c r="G272" s="590"/>
      <c r="H272" s="590"/>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590"/>
      <c r="D273" s="590"/>
      <c r="E273" s="590"/>
      <c r="F273" s="590"/>
      <c r="G273" s="590"/>
      <c r="H273" s="590"/>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590"/>
      <c r="D274" s="590"/>
      <c r="E274" s="590"/>
      <c r="F274" s="590"/>
      <c r="G274" s="590"/>
      <c r="H274" s="590"/>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590"/>
      <c r="D275" s="590"/>
      <c r="E275" s="590"/>
      <c r="F275" s="590"/>
      <c r="G275" s="590"/>
      <c r="H275" s="590"/>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590"/>
      <c r="D276" s="590"/>
      <c r="E276" s="590"/>
      <c r="F276" s="590"/>
      <c r="G276" s="590"/>
      <c r="H276" s="590"/>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590"/>
      <c r="D277" s="590"/>
      <c r="E277" s="590"/>
      <c r="F277" s="590"/>
      <c r="G277" s="590"/>
      <c r="H277" s="590"/>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590"/>
      <c r="D278" s="590"/>
      <c r="E278" s="590"/>
      <c r="F278" s="590"/>
      <c r="G278" s="590"/>
      <c r="H278" s="590"/>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590"/>
      <c r="D279" s="590"/>
      <c r="E279" s="590"/>
      <c r="F279" s="590"/>
      <c r="G279" s="590"/>
      <c r="H279" s="590"/>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590"/>
      <c r="D280" s="590"/>
      <c r="E280" s="590"/>
      <c r="F280" s="590"/>
      <c r="G280" s="590"/>
      <c r="H280" s="590"/>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590"/>
      <c r="D281" s="590"/>
      <c r="E281" s="590"/>
      <c r="F281" s="590"/>
      <c r="G281" s="590"/>
      <c r="H281" s="590"/>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590"/>
      <c r="D282" s="590"/>
      <c r="E282" s="590"/>
      <c r="F282" s="590"/>
      <c r="G282" s="590"/>
      <c r="H282" s="590"/>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590"/>
      <c r="D283" s="590"/>
      <c r="E283" s="590"/>
      <c r="F283" s="590"/>
      <c r="G283" s="590"/>
      <c r="H283" s="590"/>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590"/>
      <c r="D284" s="590"/>
      <c r="E284" s="590"/>
      <c r="F284" s="590"/>
      <c r="G284" s="590"/>
      <c r="H284" s="590"/>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590"/>
      <c r="D285" s="590"/>
      <c r="E285" s="590"/>
      <c r="F285" s="590"/>
      <c r="G285" s="590"/>
      <c r="H285" s="590"/>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590"/>
      <c r="D286" s="590"/>
      <c r="E286" s="590"/>
      <c r="F286" s="590"/>
      <c r="G286" s="590"/>
      <c r="H286" s="590"/>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590"/>
      <c r="D287" s="590"/>
      <c r="E287" s="590"/>
      <c r="F287" s="590"/>
      <c r="G287" s="590"/>
      <c r="H287" s="590"/>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590"/>
      <c r="D288" s="590"/>
      <c r="E288" s="590"/>
      <c r="F288" s="590"/>
      <c r="G288" s="590"/>
      <c r="H288" s="590"/>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590"/>
      <c r="D289" s="590"/>
      <c r="E289" s="590"/>
      <c r="F289" s="590"/>
      <c r="G289" s="590"/>
      <c r="H289" s="590"/>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590"/>
      <c r="D290" s="590"/>
      <c r="E290" s="590"/>
      <c r="F290" s="590"/>
      <c r="G290" s="590"/>
      <c r="H290" s="590"/>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590"/>
      <c r="D291" s="590"/>
      <c r="E291" s="590"/>
      <c r="F291" s="590"/>
      <c r="G291" s="590"/>
      <c r="H291" s="590"/>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590"/>
      <c r="D292" s="590"/>
      <c r="E292" s="590"/>
      <c r="F292" s="590"/>
      <c r="G292" s="590"/>
      <c r="H292" s="590"/>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590"/>
      <c r="D293" s="590"/>
      <c r="E293" s="590"/>
      <c r="F293" s="590"/>
      <c r="G293" s="590"/>
      <c r="H293" s="590"/>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590"/>
      <c r="D294" s="590"/>
      <c r="E294" s="590"/>
      <c r="F294" s="590"/>
      <c r="G294" s="590"/>
      <c r="H294" s="590"/>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590"/>
      <c r="D295" s="590"/>
      <c r="E295" s="590"/>
      <c r="F295" s="590"/>
      <c r="G295" s="590"/>
      <c r="H295" s="590"/>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590"/>
      <c r="D296" s="590"/>
      <c r="E296" s="590"/>
      <c r="F296" s="590"/>
      <c r="G296" s="590"/>
      <c r="H296" s="590"/>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590"/>
      <c r="D297" s="590"/>
      <c r="E297" s="590"/>
      <c r="F297" s="590"/>
      <c r="G297" s="590"/>
      <c r="H297" s="590"/>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590"/>
      <c r="D298" s="590"/>
      <c r="E298" s="590"/>
      <c r="F298" s="590"/>
      <c r="G298" s="590"/>
      <c r="H298" s="590"/>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590"/>
      <c r="D299" s="590"/>
      <c r="E299" s="590"/>
      <c r="F299" s="590"/>
      <c r="G299" s="590"/>
      <c r="H299" s="590"/>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590"/>
      <c r="D300" s="590"/>
      <c r="E300" s="590"/>
      <c r="F300" s="590"/>
      <c r="G300" s="590"/>
      <c r="H300" s="590"/>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590"/>
      <c r="D301" s="590"/>
      <c r="E301" s="590"/>
      <c r="F301" s="590"/>
      <c r="G301" s="590"/>
      <c r="H301" s="590"/>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590"/>
      <c r="D302" s="590"/>
      <c r="E302" s="590"/>
      <c r="F302" s="590"/>
      <c r="G302" s="590"/>
      <c r="H302" s="590"/>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590"/>
      <c r="D303" s="590"/>
      <c r="E303" s="590"/>
      <c r="F303" s="590"/>
      <c r="G303" s="590"/>
      <c r="H303" s="590"/>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590"/>
      <c r="D304" s="590"/>
      <c r="E304" s="590"/>
      <c r="F304" s="590"/>
      <c r="G304" s="590"/>
      <c r="H304" s="590"/>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590"/>
      <c r="D305" s="590"/>
      <c r="E305" s="590"/>
      <c r="F305" s="590"/>
      <c r="G305" s="590"/>
      <c r="H305" s="590"/>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590"/>
      <c r="D306" s="590"/>
      <c r="E306" s="590"/>
      <c r="F306" s="590"/>
      <c r="G306" s="590"/>
      <c r="H306" s="590"/>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590"/>
      <c r="D307" s="590"/>
      <c r="E307" s="590"/>
      <c r="F307" s="590"/>
      <c r="G307" s="590"/>
      <c r="H307" s="590"/>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590"/>
      <c r="D308" s="590"/>
      <c r="E308" s="590"/>
      <c r="F308" s="590"/>
      <c r="G308" s="590"/>
      <c r="H308" s="590"/>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590"/>
      <c r="D309" s="590"/>
      <c r="E309" s="590"/>
      <c r="F309" s="590"/>
      <c r="G309" s="590"/>
      <c r="H309" s="590"/>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590"/>
      <c r="D310" s="590"/>
      <c r="E310" s="590"/>
      <c r="F310" s="590"/>
      <c r="G310" s="590"/>
      <c r="H310" s="590"/>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590"/>
      <c r="D311" s="590"/>
      <c r="E311" s="590"/>
      <c r="F311" s="590"/>
      <c r="G311" s="590"/>
      <c r="H311" s="590"/>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590"/>
      <c r="D312" s="590"/>
      <c r="E312" s="590"/>
      <c r="F312" s="590"/>
      <c r="G312" s="590"/>
      <c r="H312" s="590"/>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590"/>
      <c r="D313" s="590"/>
      <c r="E313" s="590"/>
      <c r="F313" s="590"/>
      <c r="G313" s="590"/>
      <c r="H313" s="590"/>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590"/>
      <c r="D314" s="590"/>
      <c r="E314" s="590"/>
      <c r="F314" s="590"/>
      <c r="G314" s="590"/>
      <c r="H314" s="590"/>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590"/>
      <c r="D315" s="590"/>
      <c r="E315" s="590"/>
      <c r="F315" s="590"/>
      <c r="G315" s="590"/>
      <c r="H315" s="590"/>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590"/>
      <c r="D316" s="590"/>
      <c r="E316" s="590"/>
      <c r="F316" s="590"/>
      <c r="G316" s="590"/>
      <c r="H316" s="590"/>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590"/>
      <c r="D317" s="590"/>
      <c r="E317" s="590"/>
      <c r="F317" s="590"/>
      <c r="G317" s="590"/>
      <c r="H317" s="590"/>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590"/>
      <c r="D318" s="590"/>
      <c r="E318" s="590"/>
      <c r="F318" s="590"/>
      <c r="G318" s="590"/>
      <c r="H318" s="590"/>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590"/>
      <c r="D319" s="590"/>
      <c r="E319" s="590"/>
      <c r="F319" s="590"/>
      <c r="G319" s="590"/>
      <c r="H319" s="590"/>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590"/>
      <c r="D320" s="590"/>
      <c r="E320" s="590"/>
      <c r="F320" s="590"/>
      <c r="G320" s="590"/>
      <c r="H320" s="590"/>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590"/>
      <c r="D321" s="590"/>
      <c r="E321" s="590"/>
      <c r="F321" s="590"/>
      <c r="G321" s="590"/>
      <c r="H321" s="590"/>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590"/>
      <c r="D322" s="590"/>
      <c r="E322" s="590"/>
      <c r="F322" s="590"/>
      <c r="G322" s="590"/>
      <c r="H322" s="590"/>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590"/>
      <c r="D323" s="590"/>
      <c r="E323" s="590"/>
      <c r="F323" s="590"/>
      <c r="G323" s="590"/>
      <c r="H323" s="590"/>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590"/>
      <c r="D324" s="590"/>
      <c r="E324" s="590"/>
      <c r="F324" s="590"/>
      <c r="G324" s="590"/>
      <c r="H324" s="590"/>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590"/>
      <c r="D325" s="590"/>
      <c r="E325" s="590"/>
      <c r="F325" s="590"/>
      <c r="G325" s="590"/>
      <c r="H325" s="590"/>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590"/>
      <c r="D326" s="590"/>
      <c r="E326" s="590"/>
      <c r="F326" s="590"/>
      <c r="G326" s="590"/>
      <c r="H326" s="590"/>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590"/>
      <c r="D327" s="590"/>
      <c r="E327" s="590"/>
      <c r="F327" s="590"/>
      <c r="G327" s="590"/>
      <c r="H327" s="590"/>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590"/>
      <c r="D328" s="590"/>
      <c r="E328" s="590"/>
      <c r="F328" s="590"/>
      <c r="G328" s="590"/>
      <c r="H328" s="590"/>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590"/>
      <c r="D329" s="590"/>
      <c r="E329" s="590"/>
      <c r="F329" s="590"/>
      <c r="G329" s="590"/>
      <c r="H329" s="590"/>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590"/>
      <c r="D330" s="590"/>
      <c r="E330" s="590"/>
      <c r="F330" s="590"/>
      <c r="G330" s="590"/>
      <c r="H330" s="590"/>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590"/>
      <c r="D331" s="590"/>
      <c r="E331" s="590"/>
      <c r="F331" s="590"/>
      <c r="G331" s="590"/>
      <c r="H331" s="590"/>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590"/>
      <c r="D332" s="590"/>
      <c r="E332" s="590"/>
      <c r="F332" s="590"/>
      <c r="G332" s="590"/>
      <c r="H332" s="590"/>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590"/>
      <c r="D333" s="590"/>
      <c r="E333" s="590"/>
      <c r="F333" s="590"/>
      <c r="G333" s="590"/>
      <c r="H333" s="590"/>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590"/>
      <c r="D334" s="590"/>
      <c r="E334" s="590"/>
      <c r="F334" s="590"/>
      <c r="G334" s="590"/>
      <c r="H334" s="590"/>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590"/>
      <c r="D335" s="590"/>
      <c r="E335" s="590"/>
      <c r="F335" s="590"/>
      <c r="G335" s="590"/>
      <c r="H335" s="590"/>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590"/>
      <c r="D336" s="590"/>
      <c r="E336" s="590"/>
      <c r="F336" s="590"/>
      <c r="G336" s="590"/>
      <c r="H336" s="590"/>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590"/>
      <c r="D337" s="590"/>
      <c r="E337" s="590"/>
      <c r="F337" s="590"/>
      <c r="G337" s="590"/>
      <c r="H337" s="590"/>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590"/>
      <c r="D338" s="590"/>
      <c r="E338" s="590"/>
      <c r="F338" s="590"/>
      <c r="G338" s="590"/>
      <c r="H338" s="590"/>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590"/>
      <c r="D339" s="590"/>
      <c r="E339" s="590"/>
      <c r="F339" s="590"/>
      <c r="G339" s="590"/>
      <c r="H339" s="590"/>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590"/>
      <c r="D340" s="590"/>
      <c r="E340" s="590"/>
      <c r="F340" s="590"/>
      <c r="G340" s="590"/>
      <c r="H340" s="590"/>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590"/>
      <c r="D341" s="590"/>
      <c r="E341" s="590"/>
      <c r="F341" s="590"/>
      <c r="G341" s="590"/>
      <c r="H341" s="590"/>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590"/>
      <c r="D342" s="590"/>
      <c r="E342" s="590"/>
      <c r="F342" s="590"/>
      <c r="G342" s="590"/>
      <c r="H342" s="590"/>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590"/>
      <c r="D343" s="590"/>
      <c r="E343" s="590"/>
      <c r="F343" s="590"/>
      <c r="G343" s="590"/>
      <c r="H343" s="590"/>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590"/>
      <c r="D344" s="590"/>
      <c r="E344" s="590"/>
      <c r="F344" s="590"/>
      <c r="G344" s="590"/>
      <c r="H344" s="590"/>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590"/>
      <c r="D345" s="590"/>
      <c r="E345" s="590"/>
      <c r="F345" s="590"/>
      <c r="G345" s="590"/>
      <c r="H345" s="590"/>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590"/>
      <c r="D346" s="590"/>
      <c r="E346" s="590"/>
      <c r="F346" s="590"/>
      <c r="G346" s="590"/>
      <c r="H346" s="590"/>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590"/>
      <c r="D347" s="590"/>
      <c r="E347" s="590"/>
      <c r="F347" s="590"/>
      <c r="G347" s="590"/>
      <c r="H347" s="590"/>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590"/>
      <c r="D348" s="590"/>
      <c r="E348" s="590"/>
      <c r="F348" s="590"/>
      <c r="G348" s="590"/>
      <c r="H348" s="590"/>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590"/>
      <c r="D349" s="590"/>
      <c r="E349" s="590"/>
      <c r="F349" s="590"/>
      <c r="G349" s="590"/>
      <c r="H349" s="590"/>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590"/>
      <c r="D350" s="590"/>
      <c r="E350" s="590"/>
      <c r="F350" s="590"/>
      <c r="G350" s="590"/>
      <c r="H350" s="590"/>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590"/>
      <c r="D351" s="590"/>
      <c r="E351" s="590"/>
      <c r="F351" s="590"/>
      <c r="G351" s="590"/>
      <c r="H351" s="590"/>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590"/>
      <c r="D352" s="590"/>
      <c r="E352" s="590"/>
      <c r="F352" s="590"/>
      <c r="G352" s="590"/>
      <c r="H352" s="590"/>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590"/>
      <c r="D353" s="590"/>
      <c r="E353" s="590"/>
      <c r="F353" s="590"/>
      <c r="G353" s="590"/>
      <c r="H353" s="590"/>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590"/>
      <c r="D354" s="590"/>
      <c r="E354" s="590"/>
      <c r="F354" s="590"/>
      <c r="G354" s="590"/>
      <c r="H354" s="590"/>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590"/>
      <c r="D355" s="590"/>
      <c r="E355" s="590"/>
      <c r="F355" s="590"/>
      <c r="G355" s="590"/>
      <c r="H355" s="590"/>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590"/>
      <c r="D356" s="590"/>
      <c r="E356" s="590"/>
      <c r="F356" s="590"/>
      <c r="G356" s="590"/>
      <c r="H356" s="590"/>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590"/>
      <c r="D357" s="590"/>
      <c r="E357" s="590"/>
      <c r="F357" s="590"/>
      <c r="G357" s="590"/>
      <c r="H357" s="590"/>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590"/>
      <c r="D358" s="590"/>
      <c r="E358" s="590"/>
      <c r="F358" s="590"/>
      <c r="G358" s="590"/>
      <c r="H358" s="590"/>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590"/>
      <c r="D359" s="590"/>
      <c r="E359" s="590"/>
      <c r="F359" s="590"/>
      <c r="G359" s="590"/>
      <c r="H359" s="590"/>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590"/>
      <c r="D360" s="590"/>
      <c r="E360" s="590"/>
      <c r="F360" s="590"/>
      <c r="G360" s="590"/>
      <c r="H360" s="590"/>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590"/>
      <c r="D361" s="590"/>
      <c r="E361" s="590"/>
      <c r="F361" s="590"/>
      <c r="G361" s="590"/>
      <c r="H361" s="590"/>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590"/>
      <c r="D362" s="590"/>
      <c r="E362" s="590"/>
      <c r="F362" s="590"/>
      <c r="G362" s="590"/>
      <c r="H362" s="590"/>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590"/>
      <c r="D363" s="590"/>
      <c r="E363" s="590"/>
      <c r="F363" s="590"/>
      <c r="G363" s="590"/>
      <c r="H363" s="590"/>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590"/>
      <c r="D364" s="590"/>
      <c r="E364" s="590"/>
      <c r="F364" s="590"/>
      <c r="G364" s="590"/>
      <c r="H364" s="590"/>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590"/>
      <c r="D365" s="590"/>
      <c r="E365" s="590"/>
      <c r="F365" s="590"/>
      <c r="G365" s="590"/>
      <c r="H365" s="590"/>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590"/>
      <c r="D366" s="590"/>
      <c r="E366" s="590"/>
      <c r="F366" s="590"/>
      <c r="G366" s="590"/>
      <c r="H366" s="590"/>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590"/>
      <c r="D367" s="590"/>
      <c r="E367" s="590"/>
      <c r="F367" s="590"/>
      <c r="G367" s="590"/>
      <c r="H367" s="590"/>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590"/>
      <c r="D368" s="590"/>
      <c r="E368" s="590"/>
      <c r="F368" s="590"/>
      <c r="G368" s="590"/>
      <c r="H368" s="590"/>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590"/>
      <c r="D369" s="590"/>
      <c r="E369" s="590"/>
      <c r="F369" s="590"/>
      <c r="G369" s="590"/>
      <c r="H369" s="590"/>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590"/>
      <c r="D370" s="590"/>
      <c r="E370" s="590"/>
      <c r="F370" s="590"/>
      <c r="G370" s="590"/>
      <c r="H370" s="590"/>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590"/>
      <c r="D371" s="590"/>
      <c r="E371" s="590"/>
      <c r="F371" s="590"/>
      <c r="G371" s="590"/>
      <c r="H371" s="590"/>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590"/>
      <c r="D372" s="590"/>
      <c r="E372" s="590"/>
      <c r="F372" s="590"/>
      <c r="G372" s="590"/>
      <c r="H372" s="590"/>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590"/>
      <c r="D373" s="590"/>
      <c r="E373" s="590"/>
      <c r="F373" s="590"/>
      <c r="G373" s="590"/>
      <c r="H373" s="590"/>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590"/>
      <c r="D374" s="590"/>
      <c r="E374" s="590"/>
      <c r="F374" s="590"/>
      <c r="G374" s="590"/>
      <c r="H374" s="590"/>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590"/>
      <c r="D375" s="590"/>
      <c r="E375" s="590"/>
      <c r="F375" s="590"/>
      <c r="G375" s="590"/>
      <c r="H375" s="590"/>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590"/>
      <c r="D376" s="590"/>
      <c r="E376" s="590"/>
      <c r="F376" s="590"/>
      <c r="G376" s="590"/>
      <c r="H376" s="590"/>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590"/>
      <c r="D377" s="590"/>
      <c r="E377" s="590"/>
      <c r="F377" s="590"/>
      <c r="G377" s="590"/>
      <c r="H377" s="590"/>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590"/>
      <c r="D378" s="590"/>
      <c r="E378" s="590"/>
      <c r="F378" s="590"/>
      <c r="G378" s="590"/>
      <c r="H378" s="590"/>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590"/>
      <c r="D379" s="590"/>
      <c r="E379" s="590"/>
      <c r="F379" s="590"/>
      <c r="G379" s="590"/>
      <c r="H379" s="590"/>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590"/>
      <c r="D380" s="590"/>
      <c r="E380" s="590"/>
      <c r="F380" s="590"/>
      <c r="G380" s="590"/>
      <c r="H380" s="590"/>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590"/>
      <c r="D381" s="590"/>
      <c r="E381" s="590"/>
      <c r="F381" s="590"/>
      <c r="G381" s="590"/>
      <c r="H381" s="590"/>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590"/>
      <c r="D382" s="590"/>
      <c r="E382" s="590"/>
      <c r="F382" s="590"/>
      <c r="G382" s="590"/>
      <c r="H382" s="590"/>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590"/>
      <c r="D383" s="590"/>
      <c r="E383" s="590"/>
      <c r="F383" s="590"/>
      <c r="G383" s="590"/>
      <c r="H383" s="590"/>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590"/>
      <c r="D384" s="590"/>
      <c r="E384" s="590"/>
      <c r="F384" s="590"/>
      <c r="G384" s="590"/>
      <c r="H384" s="590"/>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590"/>
      <c r="D385" s="590"/>
      <c r="E385" s="590"/>
      <c r="F385" s="590"/>
      <c r="G385" s="590"/>
      <c r="H385" s="590"/>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590"/>
      <c r="D386" s="590"/>
      <c r="E386" s="590"/>
      <c r="F386" s="590"/>
      <c r="G386" s="590"/>
      <c r="H386" s="590"/>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590"/>
      <c r="D387" s="590"/>
      <c r="E387" s="590"/>
      <c r="F387" s="590"/>
      <c r="G387" s="590"/>
      <c r="H387" s="590"/>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590"/>
      <c r="D388" s="590"/>
      <c r="E388" s="590"/>
      <c r="F388" s="590"/>
      <c r="G388" s="590"/>
      <c r="H388" s="590"/>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590"/>
      <c r="D389" s="590"/>
      <c r="E389" s="590"/>
      <c r="F389" s="590"/>
      <c r="G389" s="590"/>
      <c r="H389" s="590"/>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590"/>
      <c r="D390" s="590"/>
      <c r="E390" s="590"/>
      <c r="F390" s="590"/>
      <c r="G390" s="590"/>
      <c r="H390" s="590"/>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590"/>
      <c r="D391" s="590"/>
      <c r="E391" s="590"/>
      <c r="F391" s="590"/>
      <c r="G391" s="590"/>
      <c r="H391" s="590"/>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590"/>
      <c r="D392" s="590"/>
      <c r="E392" s="590"/>
      <c r="F392" s="590"/>
      <c r="G392" s="590"/>
      <c r="H392" s="590"/>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590"/>
      <c r="D393" s="590"/>
      <c r="E393" s="590"/>
      <c r="F393" s="590"/>
      <c r="G393" s="590"/>
      <c r="H393" s="590"/>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590"/>
      <c r="D394" s="590"/>
      <c r="E394" s="590"/>
      <c r="F394" s="590"/>
      <c r="G394" s="590"/>
      <c r="H394" s="590"/>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590"/>
      <c r="D395" s="590"/>
      <c r="E395" s="590"/>
      <c r="F395" s="590"/>
      <c r="G395" s="590"/>
      <c r="H395" s="590"/>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590"/>
      <c r="D396" s="590"/>
      <c r="E396" s="590"/>
      <c r="F396" s="590"/>
      <c r="G396" s="590"/>
      <c r="H396" s="590"/>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590"/>
      <c r="D397" s="590"/>
      <c r="E397" s="590"/>
      <c r="F397" s="590"/>
      <c r="G397" s="590"/>
      <c r="H397" s="590"/>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590"/>
      <c r="D398" s="590"/>
      <c r="E398" s="590"/>
      <c r="F398" s="590"/>
      <c r="G398" s="590"/>
      <c r="H398" s="590"/>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590"/>
      <c r="D399" s="590"/>
      <c r="E399" s="590"/>
      <c r="F399" s="590"/>
      <c r="G399" s="590"/>
      <c r="H399" s="590"/>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590"/>
      <c r="D400" s="590"/>
      <c r="E400" s="590"/>
      <c r="F400" s="590"/>
      <c r="G400" s="590"/>
      <c r="H400" s="590"/>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590"/>
      <c r="D401" s="590"/>
      <c r="E401" s="590"/>
      <c r="F401" s="590"/>
      <c r="G401" s="590"/>
      <c r="H401" s="590"/>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590"/>
      <c r="D402" s="590"/>
      <c r="E402" s="590"/>
      <c r="F402" s="590"/>
      <c r="G402" s="590"/>
      <c r="H402" s="590"/>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590"/>
      <c r="D403" s="590"/>
      <c r="E403" s="590"/>
      <c r="F403" s="590"/>
      <c r="G403" s="590"/>
      <c r="H403" s="590"/>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590"/>
      <c r="D404" s="590"/>
      <c r="E404" s="590"/>
      <c r="F404" s="590"/>
      <c r="G404" s="590"/>
      <c r="H404" s="590"/>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590"/>
      <c r="D405" s="590"/>
      <c r="E405" s="590"/>
      <c r="F405" s="590"/>
      <c r="G405" s="590"/>
      <c r="H405" s="590"/>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590"/>
      <c r="D406" s="590"/>
      <c r="E406" s="590"/>
      <c r="F406" s="590"/>
      <c r="G406" s="590"/>
      <c r="H406" s="590"/>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590"/>
      <c r="D407" s="590"/>
      <c r="E407" s="590"/>
      <c r="F407" s="590"/>
      <c r="G407" s="590"/>
      <c r="H407" s="590"/>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590"/>
      <c r="D408" s="590"/>
      <c r="E408" s="590"/>
      <c r="F408" s="590"/>
      <c r="G408" s="590"/>
      <c r="H408" s="590"/>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590"/>
      <c r="D409" s="590"/>
      <c r="E409" s="590"/>
      <c r="F409" s="590"/>
      <c r="G409" s="590"/>
      <c r="H409" s="590"/>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590"/>
      <c r="D410" s="590"/>
      <c r="E410" s="590"/>
      <c r="F410" s="590"/>
      <c r="G410" s="590"/>
      <c r="H410" s="590"/>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590"/>
      <c r="D411" s="590"/>
      <c r="E411" s="590"/>
      <c r="F411" s="590"/>
      <c r="G411" s="590"/>
      <c r="H411" s="590"/>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590"/>
      <c r="D412" s="590"/>
      <c r="E412" s="590"/>
      <c r="F412" s="590"/>
      <c r="G412" s="590"/>
      <c r="H412" s="590"/>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590"/>
      <c r="D413" s="590"/>
      <c r="E413" s="590"/>
      <c r="F413" s="590"/>
      <c r="G413" s="590"/>
      <c r="H413" s="590"/>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590"/>
      <c r="D414" s="590"/>
      <c r="E414" s="590"/>
      <c r="F414" s="590"/>
      <c r="G414" s="590"/>
      <c r="H414" s="590"/>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590"/>
      <c r="D415" s="590"/>
      <c r="E415" s="590"/>
      <c r="F415" s="590"/>
      <c r="G415" s="590"/>
      <c r="H415" s="590"/>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590"/>
      <c r="D416" s="590"/>
      <c r="E416" s="590"/>
      <c r="F416" s="590"/>
      <c r="G416" s="590"/>
      <c r="H416" s="590"/>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590"/>
      <c r="D417" s="590"/>
      <c r="E417" s="590"/>
      <c r="F417" s="590"/>
      <c r="G417" s="590"/>
      <c r="H417" s="590"/>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590"/>
      <c r="D418" s="590"/>
      <c r="E418" s="590"/>
      <c r="F418" s="590"/>
      <c r="G418" s="590"/>
      <c r="H418" s="590"/>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590"/>
      <c r="D419" s="590"/>
      <c r="E419" s="590"/>
      <c r="F419" s="590"/>
      <c r="G419" s="590"/>
      <c r="H419" s="590"/>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590"/>
      <c r="D420" s="590"/>
      <c r="E420" s="590"/>
      <c r="F420" s="590"/>
      <c r="G420" s="590"/>
      <c r="H420" s="590"/>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590"/>
      <c r="D421" s="590"/>
      <c r="E421" s="590"/>
      <c r="F421" s="590"/>
      <c r="G421" s="590"/>
      <c r="H421" s="590"/>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590"/>
      <c r="D422" s="590"/>
      <c r="E422" s="590"/>
      <c r="F422" s="590"/>
      <c r="G422" s="590"/>
      <c r="H422" s="590"/>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590"/>
      <c r="D423" s="590"/>
      <c r="E423" s="590"/>
      <c r="F423" s="590"/>
      <c r="G423" s="590"/>
      <c r="H423" s="590"/>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590"/>
      <c r="D424" s="590"/>
      <c r="E424" s="590"/>
      <c r="F424" s="590"/>
      <c r="G424" s="590"/>
      <c r="H424" s="590"/>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590"/>
      <c r="D425" s="590"/>
      <c r="E425" s="590"/>
      <c r="F425" s="590"/>
      <c r="G425" s="590"/>
      <c r="H425" s="590"/>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590"/>
      <c r="D426" s="590"/>
      <c r="E426" s="590"/>
      <c r="F426" s="590"/>
      <c r="G426" s="590"/>
      <c r="H426" s="590"/>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590"/>
      <c r="D427" s="590"/>
      <c r="E427" s="590"/>
      <c r="F427" s="590"/>
      <c r="G427" s="590"/>
      <c r="H427" s="590"/>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590"/>
      <c r="D428" s="590"/>
      <c r="E428" s="590"/>
      <c r="F428" s="590"/>
      <c r="G428" s="590"/>
      <c r="H428" s="590"/>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590"/>
      <c r="D429" s="590"/>
      <c r="E429" s="590"/>
      <c r="F429" s="590"/>
      <c r="G429" s="590"/>
      <c r="H429" s="590"/>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590"/>
      <c r="D430" s="590"/>
      <c r="E430" s="590"/>
      <c r="F430" s="590"/>
      <c r="G430" s="590"/>
      <c r="H430" s="590"/>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590"/>
      <c r="D431" s="590"/>
      <c r="E431" s="590"/>
      <c r="F431" s="590"/>
      <c r="G431" s="590"/>
      <c r="H431" s="590"/>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590"/>
      <c r="D432" s="590"/>
      <c r="E432" s="590"/>
      <c r="F432" s="590"/>
      <c r="G432" s="590"/>
      <c r="H432" s="590"/>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590"/>
      <c r="D433" s="590"/>
      <c r="E433" s="590"/>
      <c r="F433" s="590"/>
      <c r="G433" s="590"/>
      <c r="H433" s="590"/>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590"/>
      <c r="D434" s="590"/>
      <c r="E434" s="590"/>
      <c r="F434" s="590"/>
      <c r="G434" s="590"/>
      <c r="H434" s="590"/>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590"/>
      <c r="D435" s="590"/>
      <c r="E435" s="590"/>
      <c r="F435" s="590"/>
      <c r="G435" s="590"/>
      <c r="H435" s="590"/>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590"/>
      <c r="D436" s="590"/>
      <c r="E436" s="590"/>
      <c r="F436" s="590"/>
      <c r="G436" s="590"/>
      <c r="H436" s="590"/>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590"/>
      <c r="D437" s="590"/>
      <c r="E437" s="590"/>
      <c r="F437" s="590"/>
      <c r="G437" s="590"/>
      <c r="H437" s="590"/>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590"/>
      <c r="D438" s="590"/>
      <c r="E438" s="590"/>
      <c r="F438" s="590"/>
      <c r="G438" s="590"/>
      <c r="H438" s="590"/>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590"/>
      <c r="D439" s="590"/>
      <c r="E439" s="590"/>
      <c r="F439" s="590"/>
      <c r="G439" s="590"/>
      <c r="H439" s="590"/>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590"/>
      <c r="D440" s="590"/>
      <c r="E440" s="590"/>
      <c r="F440" s="590"/>
      <c r="G440" s="590"/>
      <c r="H440" s="590"/>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590"/>
      <c r="D441" s="590"/>
      <c r="E441" s="590"/>
      <c r="F441" s="590"/>
      <c r="G441" s="590"/>
      <c r="H441" s="590"/>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590"/>
      <c r="D442" s="590"/>
      <c r="E442" s="590"/>
      <c r="F442" s="590"/>
      <c r="G442" s="590"/>
      <c r="H442" s="590"/>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590"/>
      <c r="D443" s="590"/>
      <c r="E443" s="590"/>
      <c r="F443" s="590"/>
      <c r="G443" s="590"/>
      <c r="H443" s="590"/>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590"/>
      <c r="D444" s="590"/>
      <c r="E444" s="590"/>
      <c r="F444" s="590"/>
      <c r="G444" s="590"/>
      <c r="H444" s="590"/>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590"/>
      <c r="D445" s="590"/>
      <c r="E445" s="590"/>
      <c r="F445" s="590"/>
      <c r="G445" s="590"/>
      <c r="H445" s="590"/>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590"/>
      <c r="D446" s="590"/>
      <c r="E446" s="590"/>
      <c r="F446" s="590"/>
      <c r="G446" s="590"/>
      <c r="H446" s="590"/>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590"/>
      <c r="D447" s="590"/>
      <c r="E447" s="590"/>
      <c r="F447" s="590"/>
      <c r="G447" s="590"/>
      <c r="H447" s="590"/>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590"/>
      <c r="D448" s="590"/>
      <c r="E448" s="590"/>
      <c r="F448" s="590"/>
      <c r="G448" s="590"/>
      <c r="H448" s="590"/>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590"/>
      <c r="D449" s="590"/>
      <c r="E449" s="590"/>
      <c r="F449" s="590"/>
      <c r="G449" s="590"/>
      <c r="H449" s="590"/>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590"/>
      <c r="D450" s="590"/>
      <c r="E450" s="590"/>
      <c r="F450" s="590"/>
      <c r="G450" s="590"/>
      <c r="H450" s="590"/>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590"/>
      <c r="D451" s="590"/>
      <c r="E451" s="590"/>
      <c r="F451" s="590"/>
      <c r="G451" s="590"/>
      <c r="H451" s="590"/>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590"/>
      <c r="D452" s="590"/>
      <c r="E452" s="590"/>
      <c r="F452" s="590"/>
      <c r="G452" s="590"/>
      <c r="H452" s="590"/>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590"/>
      <c r="D453" s="590"/>
      <c r="E453" s="590"/>
      <c r="F453" s="590"/>
      <c r="G453" s="590"/>
      <c r="H453" s="590"/>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590"/>
      <c r="D454" s="590"/>
      <c r="E454" s="590"/>
      <c r="F454" s="590"/>
      <c r="G454" s="590"/>
      <c r="H454" s="590"/>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590"/>
      <c r="D455" s="590"/>
      <c r="E455" s="590"/>
      <c r="F455" s="590"/>
      <c r="G455" s="590"/>
      <c r="H455" s="590"/>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590"/>
      <c r="D456" s="590"/>
      <c r="E456" s="590"/>
      <c r="F456" s="590"/>
      <c r="G456" s="590"/>
      <c r="H456" s="590"/>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590"/>
      <c r="D457" s="590"/>
      <c r="E457" s="590"/>
      <c r="F457" s="590"/>
      <c r="G457" s="590"/>
      <c r="H457" s="590"/>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590"/>
      <c r="D458" s="590"/>
      <c r="E458" s="590"/>
      <c r="F458" s="590"/>
      <c r="G458" s="590"/>
      <c r="H458" s="590"/>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590"/>
      <c r="D459" s="590"/>
      <c r="E459" s="590"/>
      <c r="F459" s="590"/>
      <c r="G459" s="590"/>
      <c r="H459" s="590"/>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590"/>
      <c r="D460" s="590"/>
      <c r="E460" s="590"/>
      <c r="F460" s="590"/>
      <c r="G460" s="590"/>
      <c r="H460" s="590"/>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590"/>
      <c r="D461" s="590"/>
      <c r="E461" s="590"/>
      <c r="F461" s="590"/>
      <c r="G461" s="590"/>
      <c r="H461" s="590"/>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590"/>
      <c r="D462" s="590"/>
      <c r="E462" s="590"/>
      <c r="F462" s="590"/>
      <c r="G462" s="590"/>
      <c r="H462" s="590"/>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590"/>
      <c r="D463" s="590"/>
      <c r="E463" s="590"/>
      <c r="F463" s="590"/>
      <c r="G463" s="590"/>
      <c r="H463" s="590"/>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590"/>
      <c r="D464" s="590"/>
      <c r="E464" s="590"/>
      <c r="F464" s="590"/>
      <c r="G464" s="590"/>
      <c r="H464" s="590"/>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590"/>
      <c r="D465" s="590"/>
      <c r="E465" s="590"/>
      <c r="F465" s="590"/>
      <c r="G465" s="590"/>
      <c r="H465" s="590"/>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590"/>
      <c r="D466" s="590"/>
      <c r="E466" s="590"/>
      <c r="F466" s="590"/>
      <c r="G466" s="590"/>
      <c r="H466" s="590"/>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590"/>
      <c r="D467" s="590"/>
      <c r="E467" s="590"/>
      <c r="F467" s="590"/>
      <c r="G467" s="590"/>
      <c r="H467" s="590"/>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590"/>
      <c r="D468" s="590"/>
      <c r="E468" s="590"/>
      <c r="F468" s="590"/>
      <c r="G468" s="590"/>
      <c r="H468" s="590"/>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590"/>
      <c r="D469" s="590"/>
      <c r="E469" s="590"/>
      <c r="F469" s="590"/>
      <c r="G469" s="590"/>
      <c r="H469" s="590"/>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590"/>
      <c r="D470" s="590"/>
      <c r="E470" s="590"/>
      <c r="F470" s="590"/>
      <c r="G470" s="590"/>
      <c r="H470" s="590"/>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590"/>
      <c r="D471" s="590"/>
      <c r="E471" s="590"/>
      <c r="F471" s="590"/>
      <c r="G471" s="590"/>
      <c r="H471" s="590"/>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590"/>
      <c r="D472" s="590"/>
      <c r="E472" s="590"/>
      <c r="F472" s="590"/>
      <c r="G472" s="590"/>
      <c r="H472" s="590"/>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590"/>
      <c r="D473" s="590"/>
      <c r="E473" s="590"/>
      <c r="F473" s="590"/>
      <c r="G473" s="590"/>
      <c r="H473" s="590"/>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590"/>
      <c r="D474" s="590"/>
      <c r="E474" s="590"/>
      <c r="F474" s="590"/>
      <c r="G474" s="590"/>
      <c r="H474" s="590"/>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590"/>
      <c r="D475" s="590"/>
      <c r="E475" s="590"/>
      <c r="F475" s="590"/>
      <c r="G475" s="590"/>
      <c r="H475" s="590"/>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590"/>
      <c r="D476" s="590"/>
      <c r="E476" s="590"/>
      <c r="F476" s="590"/>
      <c r="G476" s="590"/>
      <c r="H476" s="590"/>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590"/>
      <c r="D477" s="590"/>
      <c r="E477" s="590"/>
      <c r="F477" s="590"/>
      <c r="G477" s="590"/>
      <c r="H477" s="590"/>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590"/>
      <c r="D478" s="590"/>
      <c r="E478" s="590"/>
      <c r="F478" s="590"/>
      <c r="G478" s="590"/>
      <c r="H478" s="590"/>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590"/>
      <c r="D479" s="590"/>
      <c r="E479" s="590"/>
      <c r="F479" s="590"/>
      <c r="G479" s="590"/>
      <c r="H479" s="590"/>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590"/>
      <c r="D480" s="590"/>
      <c r="E480" s="590"/>
      <c r="F480" s="590"/>
      <c r="G480" s="590"/>
      <c r="H480" s="590"/>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590"/>
      <c r="D481" s="590"/>
      <c r="E481" s="590"/>
      <c r="F481" s="590"/>
      <c r="G481" s="590"/>
      <c r="H481" s="590"/>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590"/>
      <c r="D482" s="590"/>
      <c r="E482" s="590"/>
      <c r="F482" s="590"/>
      <c r="G482" s="590"/>
      <c r="H482" s="590"/>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590"/>
      <c r="D483" s="590"/>
      <c r="E483" s="590"/>
      <c r="F483" s="590"/>
      <c r="G483" s="590"/>
      <c r="H483" s="590"/>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590"/>
      <c r="D484" s="590"/>
      <c r="E484" s="590"/>
      <c r="F484" s="590"/>
      <c r="G484" s="590"/>
      <c r="H484" s="590"/>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590"/>
      <c r="D485" s="590"/>
      <c r="E485" s="590"/>
      <c r="F485" s="590"/>
      <c r="G485" s="590"/>
      <c r="H485" s="590"/>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590"/>
      <c r="D486" s="590"/>
      <c r="E486" s="590"/>
      <c r="F486" s="590"/>
      <c r="G486" s="590"/>
      <c r="H486" s="590"/>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590"/>
      <c r="D487" s="590"/>
      <c r="E487" s="590"/>
      <c r="F487" s="590"/>
      <c r="G487" s="590"/>
      <c r="H487" s="590"/>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590"/>
      <c r="D488" s="590"/>
      <c r="E488" s="590"/>
      <c r="F488" s="590"/>
      <c r="G488" s="590"/>
      <c r="H488" s="590"/>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590"/>
      <c r="D489" s="590"/>
      <c r="E489" s="590"/>
      <c r="F489" s="590"/>
      <c r="G489" s="590"/>
      <c r="H489" s="590"/>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590"/>
      <c r="D490" s="590"/>
      <c r="E490" s="590"/>
      <c r="F490" s="590"/>
      <c r="G490" s="590"/>
      <c r="H490" s="590"/>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590"/>
      <c r="D491" s="590"/>
      <c r="E491" s="590"/>
      <c r="F491" s="590"/>
      <c r="G491" s="590"/>
      <c r="H491" s="590"/>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590"/>
      <c r="D492" s="590"/>
      <c r="E492" s="590"/>
      <c r="F492" s="590"/>
      <c r="G492" s="590"/>
      <c r="H492" s="590"/>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590"/>
      <c r="D493" s="590"/>
      <c r="E493" s="590"/>
      <c r="F493" s="590"/>
      <c r="G493" s="590"/>
      <c r="H493" s="590"/>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590"/>
      <c r="D494" s="590"/>
      <c r="E494" s="590"/>
      <c r="F494" s="590"/>
      <c r="G494" s="590"/>
      <c r="H494" s="590"/>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590"/>
      <c r="D495" s="590"/>
      <c r="E495" s="590"/>
      <c r="F495" s="590"/>
      <c r="G495" s="590"/>
      <c r="H495" s="590"/>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590"/>
      <c r="D496" s="590"/>
      <c r="E496" s="590"/>
      <c r="F496" s="590"/>
      <c r="G496" s="590"/>
      <c r="H496" s="590"/>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590"/>
      <c r="D497" s="590"/>
      <c r="E497" s="590"/>
      <c r="F497" s="590"/>
      <c r="G497" s="590"/>
      <c r="H497" s="590"/>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590"/>
      <c r="D498" s="590"/>
      <c r="E498" s="590"/>
      <c r="F498" s="590"/>
      <c r="G498" s="590"/>
      <c r="H498" s="590"/>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590"/>
      <c r="D499" s="590"/>
      <c r="E499" s="590"/>
      <c r="F499" s="590"/>
      <c r="G499" s="590"/>
      <c r="H499" s="590"/>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590"/>
      <c r="D500" s="590"/>
      <c r="E500" s="590"/>
      <c r="F500" s="590"/>
      <c r="G500" s="590"/>
      <c r="H500" s="590"/>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590"/>
      <c r="D501" s="590"/>
      <c r="E501" s="590"/>
      <c r="F501" s="590"/>
      <c r="G501" s="590"/>
      <c r="H501" s="590"/>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590"/>
      <c r="D502" s="590"/>
      <c r="E502" s="590"/>
      <c r="F502" s="590"/>
      <c r="G502" s="590"/>
      <c r="H502" s="590"/>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590"/>
      <c r="D503" s="590"/>
      <c r="E503" s="590"/>
      <c r="F503" s="590"/>
      <c r="G503" s="590"/>
      <c r="H503" s="590"/>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590"/>
      <c r="D504" s="590"/>
      <c r="E504" s="590"/>
      <c r="F504" s="590"/>
      <c r="G504" s="590"/>
      <c r="H504" s="590"/>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590"/>
      <c r="D505" s="590"/>
      <c r="E505" s="590"/>
      <c r="F505" s="590"/>
      <c r="G505" s="590"/>
      <c r="H505" s="590"/>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590"/>
      <c r="D506" s="590"/>
      <c r="E506" s="590"/>
      <c r="F506" s="590"/>
      <c r="G506" s="590"/>
      <c r="H506" s="590"/>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590"/>
      <c r="D507" s="590"/>
      <c r="E507" s="590"/>
      <c r="F507" s="590"/>
      <c r="G507" s="590"/>
      <c r="H507" s="590"/>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590"/>
      <c r="D508" s="590"/>
      <c r="E508" s="590"/>
      <c r="F508" s="590"/>
      <c r="G508" s="590"/>
      <c r="H508" s="590"/>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590"/>
      <c r="D509" s="590"/>
      <c r="E509" s="590"/>
      <c r="F509" s="590"/>
      <c r="G509" s="590"/>
      <c r="H509" s="590"/>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590"/>
      <c r="D510" s="590"/>
      <c r="E510" s="590"/>
      <c r="F510" s="590"/>
      <c r="G510" s="590"/>
      <c r="H510" s="590"/>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590"/>
      <c r="D511" s="590"/>
      <c r="E511" s="590"/>
      <c r="F511" s="590"/>
      <c r="G511" s="590"/>
      <c r="H511" s="590"/>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590"/>
      <c r="D512" s="590"/>
      <c r="E512" s="590"/>
      <c r="F512" s="590"/>
      <c r="G512" s="590"/>
      <c r="H512" s="590"/>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590"/>
      <c r="D513" s="590"/>
      <c r="E513" s="590"/>
      <c r="F513" s="590"/>
      <c r="G513" s="590"/>
      <c r="H513" s="590"/>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590"/>
      <c r="D514" s="590"/>
      <c r="E514" s="590"/>
      <c r="F514" s="590"/>
      <c r="G514" s="590"/>
      <c r="H514" s="590"/>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590"/>
      <c r="D515" s="590"/>
      <c r="E515" s="590"/>
      <c r="F515" s="590"/>
      <c r="G515" s="590"/>
      <c r="H515" s="590"/>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590"/>
      <c r="D516" s="590"/>
      <c r="E516" s="590"/>
      <c r="F516" s="590"/>
      <c r="G516" s="590"/>
      <c r="H516" s="590"/>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590"/>
      <c r="D517" s="590"/>
      <c r="E517" s="590"/>
      <c r="F517" s="590"/>
      <c r="G517" s="590"/>
      <c r="H517" s="590"/>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590"/>
      <c r="D518" s="590"/>
      <c r="E518" s="590"/>
      <c r="F518" s="590"/>
      <c r="G518" s="590"/>
      <c r="H518" s="590"/>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590"/>
      <c r="D519" s="590"/>
      <c r="E519" s="590"/>
      <c r="F519" s="590"/>
      <c r="G519" s="590"/>
      <c r="H519" s="590"/>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590"/>
      <c r="D520" s="590"/>
      <c r="E520" s="590"/>
      <c r="F520" s="590"/>
      <c r="G520" s="590"/>
      <c r="H520" s="590"/>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590"/>
      <c r="D521" s="590"/>
      <c r="E521" s="590"/>
      <c r="F521" s="590"/>
      <c r="G521" s="590"/>
      <c r="H521" s="590"/>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590"/>
      <c r="D522" s="590"/>
      <c r="E522" s="590"/>
      <c r="F522" s="590"/>
      <c r="G522" s="590"/>
      <c r="H522" s="590"/>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590"/>
      <c r="D523" s="590"/>
      <c r="E523" s="590"/>
      <c r="F523" s="590"/>
      <c r="G523" s="590"/>
      <c r="H523" s="590"/>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590"/>
      <c r="D524" s="590"/>
      <c r="E524" s="590"/>
      <c r="F524" s="590"/>
      <c r="G524" s="590"/>
      <c r="H524" s="590"/>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590"/>
      <c r="D525" s="590"/>
      <c r="E525" s="590"/>
      <c r="F525" s="590"/>
      <c r="G525" s="590"/>
      <c r="H525" s="590"/>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590"/>
      <c r="D526" s="590"/>
      <c r="E526" s="590"/>
      <c r="F526" s="590"/>
      <c r="G526" s="590"/>
      <c r="H526" s="590"/>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590"/>
      <c r="D527" s="590"/>
      <c r="E527" s="590"/>
      <c r="F527" s="590"/>
      <c r="G527" s="590"/>
      <c r="H527" s="590"/>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590"/>
      <c r="D528" s="590"/>
      <c r="E528" s="590"/>
      <c r="F528" s="590"/>
      <c r="G528" s="590"/>
      <c r="H528" s="590"/>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590"/>
      <c r="D529" s="590"/>
      <c r="E529" s="590"/>
      <c r="F529" s="590"/>
      <c r="G529" s="590"/>
      <c r="H529" s="590"/>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590"/>
      <c r="D530" s="590"/>
      <c r="E530" s="590"/>
      <c r="F530" s="590"/>
      <c r="G530" s="590"/>
      <c r="H530" s="590"/>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590"/>
      <c r="D531" s="590"/>
      <c r="E531" s="590"/>
      <c r="F531" s="590"/>
      <c r="G531" s="590"/>
      <c r="H531" s="590"/>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590"/>
      <c r="D532" s="590"/>
      <c r="E532" s="590"/>
      <c r="F532" s="590"/>
      <c r="G532" s="590"/>
      <c r="H532" s="590"/>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590"/>
      <c r="D533" s="590"/>
      <c r="E533" s="590"/>
      <c r="F533" s="590"/>
      <c r="G533" s="590"/>
      <c r="H533" s="590"/>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590"/>
      <c r="D534" s="590"/>
      <c r="E534" s="590"/>
      <c r="F534" s="590"/>
      <c r="G534" s="590"/>
      <c r="H534" s="590"/>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590"/>
      <c r="D535" s="590"/>
      <c r="E535" s="590"/>
      <c r="F535" s="590"/>
      <c r="G535" s="590"/>
      <c r="H535" s="590"/>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590"/>
      <c r="D536" s="590"/>
      <c r="E536" s="590"/>
      <c r="F536" s="590"/>
      <c r="G536" s="590"/>
      <c r="H536" s="590"/>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590"/>
      <c r="D537" s="590"/>
      <c r="E537" s="590"/>
      <c r="F537" s="590"/>
      <c r="G537" s="590"/>
      <c r="H537" s="590"/>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590"/>
      <c r="D538" s="590"/>
      <c r="E538" s="590"/>
      <c r="F538" s="590"/>
      <c r="G538" s="590"/>
      <c r="H538" s="590"/>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590"/>
      <c r="D539" s="590"/>
      <c r="E539" s="590"/>
      <c r="F539" s="590"/>
      <c r="G539" s="590"/>
      <c r="H539" s="590"/>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590"/>
      <c r="D540" s="590"/>
      <c r="E540" s="590"/>
      <c r="F540" s="590"/>
      <c r="G540" s="590"/>
      <c r="H540" s="590"/>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590"/>
      <c r="D541" s="590"/>
      <c r="E541" s="590"/>
      <c r="F541" s="590"/>
      <c r="G541" s="590"/>
      <c r="H541" s="590"/>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590"/>
      <c r="D542" s="590"/>
      <c r="E542" s="590"/>
      <c r="F542" s="590"/>
      <c r="G542" s="590"/>
      <c r="H542" s="590"/>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590"/>
      <c r="D543" s="590"/>
      <c r="E543" s="590"/>
      <c r="F543" s="590"/>
      <c r="G543" s="590"/>
      <c r="H543" s="590"/>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590"/>
      <c r="D544" s="590"/>
      <c r="E544" s="590"/>
      <c r="F544" s="590"/>
      <c r="G544" s="590"/>
      <c r="H544" s="590"/>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590"/>
      <c r="D545" s="590"/>
      <c r="E545" s="590"/>
      <c r="F545" s="590"/>
      <c r="G545" s="590"/>
      <c r="H545" s="590"/>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590"/>
      <c r="D546" s="590"/>
      <c r="E546" s="590"/>
      <c r="F546" s="590"/>
      <c r="G546" s="590"/>
      <c r="H546" s="590"/>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590"/>
      <c r="D547" s="590"/>
      <c r="E547" s="590"/>
      <c r="F547" s="590"/>
      <c r="G547" s="590"/>
      <c r="H547" s="590"/>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590"/>
      <c r="D548" s="590"/>
      <c r="E548" s="590"/>
      <c r="F548" s="590"/>
      <c r="G548" s="590"/>
      <c r="H548" s="590"/>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590"/>
      <c r="D549" s="590"/>
      <c r="E549" s="590"/>
      <c r="F549" s="590"/>
      <c r="G549" s="590"/>
      <c r="H549" s="590"/>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590"/>
      <c r="D550" s="590"/>
      <c r="E550" s="590"/>
      <c r="F550" s="590"/>
      <c r="G550" s="590"/>
      <c r="H550" s="590"/>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590"/>
      <c r="D551" s="590"/>
      <c r="E551" s="590"/>
      <c r="F551" s="590"/>
      <c r="G551" s="590"/>
      <c r="H551" s="590"/>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590"/>
      <c r="D552" s="590"/>
      <c r="E552" s="590"/>
      <c r="F552" s="590"/>
      <c r="G552" s="590"/>
      <c r="H552" s="590"/>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590"/>
      <c r="D553" s="590"/>
      <c r="E553" s="590"/>
      <c r="F553" s="590"/>
      <c r="G553" s="590"/>
      <c r="H553" s="590"/>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590"/>
      <c r="D554" s="590"/>
      <c r="E554" s="590"/>
      <c r="F554" s="590"/>
      <c r="G554" s="590"/>
      <c r="H554" s="590"/>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590"/>
      <c r="D555" s="590"/>
      <c r="E555" s="590"/>
      <c r="F555" s="590"/>
      <c r="G555" s="590"/>
      <c r="H555" s="590"/>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590"/>
      <c r="D556" s="590"/>
      <c r="E556" s="590"/>
      <c r="F556" s="590"/>
      <c r="G556" s="590"/>
      <c r="H556" s="590"/>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590"/>
      <c r="D557" s="590"/>
      <c r="E557" s="590"/>
      <c r="F557" s="590"/>
      <c r="G557" s="590"/>
      <c r="H557" s="590"/>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590"/>
      <c r="D558" s="590"/>
      <c r="E558" s="590"/>
      <c r="F558" s="590"/>
      <c r="G558" s="590"/>
      <c r="H558" s="590"/>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590"/>
      <c r="D559" s="590"/>
      <c r="E559" s="590"/>
      <c r="F559" s="590"/>
      <c r="G559" s="590"/>
      <c r="H559" s="590"/>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590"/>
      <c r="D560" s="590"/>
      <c r="E560" s="590"/>
      <c r="F560" s="590"/>
      <c r="G560" s="590"/>
      <c r="H560" s="590"/>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590"/>
      <c r="D561" s="590"/>
      <c r="E561" s="590"/>
      <c r="F561" s="590"/>
      <c r="G561" s="590"/>
      <c r="H561" s="590"/>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590"/>
      <c r="D562" s="590"/>
      <c r="E562" s="590"/>
      <c r="F562" s="590"/>
      <c r="G562" s="590"/>
      <c r="H562" s="590"/>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590"/>
      <c r="D563" s="590"/>
      <c r="E563" s="590"/>
      <c r="F563" s="590"/>
      <c r="G563" s="590"/>
      <c r="H563" s="590"/>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590"/>
      <c r="D564" s="590"/>
      <c r="E564" s="590"/>
      <c r="F564" s="590"/>
      <c r="G564" s="590"/>
      <c r="H564" s="590"/>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590"/>
      <c r="D565" s="590"/>
      <c r="E565" s="590"/>
      <c r="F565" s="590"/>
      <c r="G565" s="590"/>
      <c r="H565" s="590"/>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590"/>
      <c r="D566" s="590"/>
      <c r="E566" s="590"/>
      <c r="F566" s="590"/>
      <c r="G566" s="590"/>
      <c r="H566" s="590"/>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590"/>
      <c r="D567" s="590"/>
      <c r="E567" s="590"/>
      <c r="F567" s="590"/>
      <c r="G567" s="590"/>
      <c r="H567" s="590"/>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590"/>
      <c r="D568" s="590"/>
      <c r="E568" s="590"/>
      <c r="F568" s="590"/>
      <c r="G568" s="590"/>
      <c r="H568" s="590"/>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590"/>
      <c r="D569" s="590"/>
      <c r="E569" s="590"/>
      <c r="F569" s="590"/>
      <c r="G569" s="590"/>
      <c r="H569" s="590"/>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590"/>
      <c r="D570" s="590"/>
      <c r="E570" s="590"/>
      <c r="F570" s="590"/>
      <c r="G570" s="590"/>
      <c r="H570" s="590"/>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590"/>
      <c r="D571" s="590"/>
      <c r="E571" s="590"/>
      <c r="F571" s="590"/>
      <c r="G571" s="590"/>
      <c r="H571" s="590"/>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590"/>
      <c r="D572" s="590"/>
      <c r="E572" s="590"/>
      <c r="F572" s="590"/>
      <c r="G572" s="590"/>
      <c r="H572" s="590"/>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590"/>
      <c r="D573" s="590"/>
      <c r="E573" s="590"/>
      <c r="F573" s="590"/>
      <c r="G573" s="590"/>
      <c r="H573" s="590"/>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590"/>
      <c r="D574" s="590"/>
      <c r="E574" s="590"/>
      <c r="F574" s="590"/>
      <c r="G574" s="590"/>
      <c r="H574" s="590"/>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590"/>
      <c r="D575" s="590"/>
      <c r="E575" s="590"/>
      <c r="F575" s="590"/>
      <c r="G575" s="590"/>
      <c r="H575" s="590"/>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590"/>
      <c r="D576" s="590"/>
      <c r="E576" s="590"/>
      <c r="F576" s="590"/>
      <c r="G576" s="590"/>
      <c r="H576" s="590"/>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590"/>
      <c r="D577" s="590"/>
      <c r="E577" s="590"/>
      <c r="F577" s="590"/>
      <c r="G577" s="590"/>
      <c r="H577" s="590"/>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590"/>
      <c r="D578" s="590"/>
      <c r="E578" s="590"/>
      <c r="F578" s="590"/>
      <c r="G578" s="590"/>
      <c r="H578" s="590"/>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590"/>
      <c r="D579" s="590"/>
      <c r="E579" s="590"/>
      <c r="F579" s="590"/>
      <c r="G579" s="590"/>
      <c r="H579" s="590"/>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590"/>
      <c r="D580" s="590"/>
      <c r="E580" s="590"/>
      <c r="F580" s="590"/>
      <c r="G580" s="590"/>
      <c r="H580" s="590"/>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590"/>
      <c r="D581" s="590"/>
      <c r="E581" s="590"/>
      <c r="F581" s="590"/>
      <c r="G581" s="590"/>
      <c r="H581" s="590"/>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590"/>
      <c r="D582" s="590"/>
      <c r="E582" s="590"/>
      <c r="F582" s="590"/>
      <c r="G582" s="590"/>
      <c r="H582" s="590"/>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590"/>
      <c r="D583" s="590"/>
      <c r="E583" s="590"/>
      <c r="F583" s="590"/>
      <c r="G583" s="590"/>
      <c r="H583" s="590"/>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590"/>
      <c r="D584" s="590"/>
      <c r="E584" s="590"/>
      <c r="F584" s="590"/>
      <c r="G584" s="590"/>
      <c r="H584" s="590"/>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590"/>
      <c r="D585" s="590"/>
      <c r="E585" s="590"/>
      <c r="F585" s="590"/>
      <c r="G585" s="590"/>
      <c r="H585" s="590"/>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590"/>
      <c r="D586" s="590"/>
      <c r="E586" s="590"/>
      <c r="F586" s="590"/>
      <c r="G586" s="590"/>
      <c r="H586" s="590"/>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590"/>
      <c r="D587" s="590"/>
      <c r="E587" s="590"/>
      <c r="F587" s="590"/>
      <c r="G587" s="590"/>
      <c r="H587" s="590"/>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590"/>
      <c r="D588" s="590"/>
      <c r="E588" s="590"/>
      <c r="F588" s="590"/>
      <c r="G588" s="590"/>
      <c r="H588" s="590"/>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590"/>
      <c r="D589" s="590"/>
      <c r="E589" s="590"/>
      <c r="F589" s="590"/>
      <c r="G589" s="590"/>
      <c r="H589" s="590"/>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590"/>
      <c r="D590" s="590"/>
      <c r="E590" s="590"/>
      <c r="F590" s="590"/>
      <c r="G590" s="590"/>
      <c r="H590" s="590"/>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590"/>
      <c r="D591" s="590"/>
      <c r="E591" s="590"/>
      <c r="F591" s="590"/>
      <c r="G591" s="590"/>
      <c r="H591" s="590"/>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590"/>
      <c r="D592" s="590"/>
      <c r="E592" s="590"/>
      <c r="F592" s="590"/>
      <c r="G592" s="590"/>
      <c r="H592" s="590"/>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590"/>
      <c r="D593" s="590"/>
      <c r="E593" s="590"/>
      <c r="F593" s="590"/>
      <c r="G593" s="590"/>
      <c r="H593" s="590"/>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590"/>
      <c r="D594" s="590"/>
      <c r="E594" s="590"/>
      <c r="F594" s="590"/>
      <c r="G594" s="590"/>
      <c r="H594" s="590"/>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590"/>
      <c r="D595" s="590"/>
      <c r="E595" s="590"/>
      <c r="F595" s="590"/>
      <c r="G595" s="590"/>
      <c r="H595" s="590"/>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590"/>
      <c r="D596" s="590"/>
      <c r="E596" s="590"/>
      <c r="F596" s="590"/>
      <c r="G596" s="590"/>
      <c r="H596" s="590"/>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590"/>
      <c r="D597" s="590"/>
      <c r="E597" s="590"/>
      <c r="F597" s="590"/>
      <c r="G597" s="590"/>
      <c r="H597" s="590"/>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590"/>
      <c r="D598" s="590"/>
      <c r="E598" s="590"/>
      <c r="F598" s="590"/>
      <c r="G598" s="590"/>
      <c r="H598" s="590"/>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590"/>
      <c r="D599" s="590"/>
      <c r="E599" s="590"/>
      <c r="F599" s="590"/>
      <c r="G599" s="590"/>
      <c r="H599" s="590"/>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590"/>
      <c r="D600" s="590"/>
      <c r="E600" s="590"/>
      <c r="F600" s="590"/>
      <c r="G600" s="590"/>
      <c r="H600" s="590"/>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590"/>
      <c r="D601" s="590"/>
      <c r="E601" s="590"/>
      <c r="F601" s="590"/>
      <c r="G601" s="590"/>
      <c r="H601" s="590"/>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590"/>
      <c r="D602" s="590"/>
      <c r="E602" s="590"/>
      <c r="F602" s="590"/>
      <c r="G602" s="590"/>
      <c r="H602" s="590"/>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590"/>
      <c r="D603" s="590"/>
      <c r="E603" s="590"/>
      <c r="F603" s="590"/>
      <c r="G603" s="590"/>
      <c r="H603" s="590"/>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590"/>
      <c r="D604" s="590"/>
      <c r="E604" s="590"/>
      <c r="F604" s="590"/>
      <c r="G604" s="590"/>
      <c r="H604" s="590"/>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590"/>
      <c r="D605" s="590"/>
      <c r="E605" s="590"/>
      <c r="F605" s="590"/>
      <c r="G605" s="590"/>
      <c r="H605" s="590"/>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590"/>
      <c r="D606" s="590"/>
      <c r="E606" s="590"/>
      <c r="F606" s="590"/>
      <c r="G606" s="590"/>
      <c r="H606" s="590"/>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590"/>
      <c r="D607" s="590"/>
      <c r="E607" s="590"/>
      <c r="F607" s="590"/>
      <c r="G607" s="590"/>
      <c r="H607" s="590"/>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590"/>
      <c r="D608" s="590"/>
      <c r="E608" s="590"/>
      <c r="F608" s="590"/>
      <c r="G608" s="590"/>
      <c r="H608" s="590"/>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590"/>
      <c r="D609" s="590"/>
      <c r="E609" s="590"/>
      <c r="F609" s="590"/>
      <c r="G609" s="590"/>
      <c r="H609" s="590"/>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590"/>
      <c r="D610" s="590"/>
      <c r="E610" s="590"/>
      <c r="F610" s="590"/>
      <c r="G610" s="590"/>
      <c r="H610" s="590"/>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590"/>
      <c r="D611" s="590"/>
      <c r="E611" s="590"/>
      <c r="F611" s="590"/>
      <c r="G611" s="590"/>
      <c r="H611" s="590"/>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590"/>
      <c r="D612" s="590"/>
      <c r="E612" s="590"/>
      <c r="F612" s="590"/>
      <c r="G612" s="590"/>
      <c r="H612" s="590"/>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590"/>
      <c r="D613" s="590"/>
      <c r="E613" s="590"/>
      <c r="F613" s="590"/>
      <c r="G613" s="590"/>
      <c r="H613" s="590"/>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590"/>
      <c r="D614" s="590"/>
      <c r="E614" s="590"/>
      <c r="F614" s="590"/>
      <c r="G614" s="590"/>
      <c r="H614" s="590"/>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590"/>
      <c r="D615" s="590"/>
      <c r="E615" s="590"/>
      <c r="F615" s="590"/>
      <c r="G615" s="590"/>
      <c r="H615" s="590"/>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590"/>
      <c r="D616" s="590"/>
      <c r="E616" s="590"/>
      <c r="F616" s="590"/>
      <c r="G616" s="590"/>
      <c r="H616" s="590"/>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590"/>
      <c r="D617" s="590"/>
      <c r="E617" s="590"/>
      <c r="F617" s="590"/>
      <c r="G617" s="590"/>
      <c r="H617" s="590"/>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590"/>
      <c r="D618" s="590"/>
      <c r="E618" s="590"/>
      <c r="F618" s="590"/>
      <c r="G618" s="590"/>
      <c r="H618" s="590"/>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590"/>
      <c r="D619" s="590"/>
      <c r="E619" s="590"/>
      <c r="F619" s="590"/>
      <c r="G619" s="590"/>
      <c r="H619" s="590"/>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590"/>
      <c r="D620" s="590"/>
      <c r="E620" s="590"/>
      <c r="F620" s="590"/>
      <c r="G620" s="590"/>
      <c r="H620" s="590"/>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590"/>
      <c r="D621" s="590"/>
      <c r="E621" s="590"/>
      <c r="F621" s="590"/>
      <c r="G621" s="590"/>
      <c r="H621" s="590"/>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590"/>
      <c r="D622" s="590"/>
      <c r="E622" s="590"/>
      <c r="F622" s="590"/>
      <c r="G622" s="590"/>
      <c r="H622" s="590"/>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590"/>
      <c r="D623" s="590"/>
      <c r="E623" s="590"/>
      <c r="F623" s="590"/>
      <c r="G623" s="590"/>
      <c r="H623" s="590"/>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590"/>
      <c r="D624" s="590"/>
      <c r="E624" s="590"/>
      <c r="F624" s="590"/>
      <c r="G624" s="590"/>
      <c r="H624" s="590"/>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590"/>
      <c r="D625" s="590"/>
      <c r="E625" s="590"/>
      <c r="F625" s="590"/>
      <c r="G625" s="590"/>
      <c r="H625" s="590"/>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590"/>
      <c r="D626" s="590"/>
      <c r="E626" s="590"/>
      <c r="F626" s="590"/>
      <c r="G626" s="590"/>
      <c r="H626" s="590"/>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590"/>
      <c r="D627" s="590"/>
      <c r="E627" s="590"/>
      <c r="F627" s="590"/>
      <c r="G627" s="590"/>
      <c r="H627" s="590"/>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590"/>
      <c r="D628" s="590"/>
      <c r="E628" s="590"/>
      <c r="F628" s="590"/>
      <c r="G628" s="590"/>
      <c r="H628" s="590"/>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590"/>
      <c r="D629" s="590"/>
      <c r="E629" s="590"/>
      <c r="F629" s="590"/>
      <c r="G629" s="590"/>
      <c r="H629" s="590"/>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590"/>
      <c r="D630" s="590"/>
      <c r="E630" s="590"/>
      <c r="F630" s="590"/>
      <c r="G630" s="590"/>
      <c r="H630" s="590"/>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590"/>
      <c r="D631" s="590"/>
      <c r="E631" s="590"/>
      <c r="F631" s="590"/>
      <c r="G631" s="590"/>
      <c r="H631" s="590"/>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590"/>
      <c r="D632" s="590"/>
      <c r="E632" s="590"/>
      <c r="F632" s="590"/>
      <c r="G632" s="590"/>
      <c r="H632" s="590"/>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590"/>
      <c r="D633" s="590"/>
      <c r="E633" s="590"/>
      <c r="F633" s="590"/>
      <c r="G633" s="590"/>
      <c r="H633" s="590"/>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590"/>
      <c r="D634" s="590"/>
      <c r="E634" s="590"/>
      <c r="F634" s="590"/>
      <c r="G634" s="590"/>
      <c r="H634" s="590"/>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590"/>
      <c r="D635" s="590"/>
      <c r="E635" s="590"/>
      <c r="F635" s="590"/>
      <c r="G635" s="590"/>
      <c r="H635" s="590"/>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590"/>
      <c r="D636" s="590"/>
      <c r="E636" s="590"/>
      <c r="F636" s="590"/>
      <c r="G636" s="590"/>
      <c r="H636" s="590"/>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590"/>
      <c r="D637" s="590"/>
      <c r="E637" s="590"/>
      <c r="F637" s="590"/>
      <c r="G637" s="590"/>
      <c r="H637" s="590"/>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590"/>
      <c r="D638" s="590"/>
      <c r="E638" s="590"/>
      <c r="F638" s="590"/>
      <c r="G638" s="590"/>
      <c r="H638" s="590"/>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590"/>
      <c r="D639" s="590"/>
      <c r="E639" s="590"/>
      <c r="F639" s="590"/>
      <c r="G639" s="590"/>
      <c r="H639" s="590"/>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590"/>
      <c r="D640" s="590"/>
      <c r="E640" s="590"/>
      <c r="F640" s="590"/>
      <c r="G640" s="590"/>
      <c r="H640" s="590"/>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590"/>
      <c r="D641" s="590"/>
      <c r="E641" s="590"/>
      <c r="F641" s="590"/>
      <c r="G641" s="590"/>
      <c r="H641" s="590"/>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590"/>
      <c r="D642" s="590"/>
      <c r="E642" s="590"/>
      <c r="F642" s="590"/>
      <c r="G642" s="590"/>
      <c r="H642" s="590"/>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590"/>
      <c r="D643" s="590"/>
      <c r="E643" s="590"/>
      <c r="F643" s="590"/>
      <c r="G643" s="590"/>
      <c r="H643" s="590"/>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590"/>
      <c r="D644" s="590"/>
      <c r="E644" s="590"/>
      <c r="F644" s="590"/>
      <c r="G644" s="590"/>
      <c r="H644" s="590"/>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590"/>
      <c r="D645" s="590"/>
      <c r="E645" s="590"/>
      <c r="F645" s="590"/>
      <c r="G645" s="590"/>
      <c r="H645" s="590"/>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590"/>
      <c r="D646" s="590"/>
      <c r="E646" s="590"/>
      <c r="F646" s="590"/>
      <c r="G646" s="590"/>
      <c r="H646" s="590"/>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590"/>
      <c r="D647" s="590"/>
      <c r="E647" s="590"/>
      <c r="F647" s="590"/>
      <c r="G647" s="590"/>
      <c r="H647" s="590"/>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590"/>
      <c r="D648" s="590"/>
      <c r="E648" s="590"/>
      <c r="F648" s="590"/>
      <c r="G648" s="590"/>
      <c r="H648" s="590"/>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590"/>
      <c r="D649" s="590"/>
      <c r="E649" s="590"/>
      <c r="F649" s="590"/>
      <c r="G649" s="590"/>
      <c r="H649" s="590"/>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590"/>
      <c r="D650" s="590"/>
      <c r="E650" s="590"/>
      <c r="F650" s="590"/>
      <c r="G650" s="590"/>
      <c r="H650" s="590"/>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590"/>
      <c r="D651" s="590"/>
      <c r="E651" s="590"/>
      <c r="F651" s="590"/>
      <c r="G651" s="590"/>
      <c r="H651" s="590"/>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590"/>
      <c r="D652" s="590"/>
      <c r="E652" s="590"/>
      <c r="F652" s="590"/>
      <c r="G652" s="590"/>
      <c r="H652" s="590"/>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590"/>
      <c r="D653" s="590"/>
      <c r="E653" s="590"/>
      <c r="F653" s="590"/>
      <c r="G653" s="590"/>
      <c r="H653" s="590"/>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590"/>
      <c r="D654" s="590"/>
      <c r="E654" s="590"/>
      <c r="F654" s="590"/>
      <c r="G654" s="590"/>
      <c r="H654" s="590"/>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590"/>
      <c r="D655" s="590"/>
      <c r="E655" s="590"/>
      <c r="F655" s="590"/>
      <c r="G655" s="590"/>
      <c r="H655" s="590"/>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590"/>
      <c r="D656" s="590"/>
      <c r="E656" s="590"/>
      <c r="F656" s="590"/>
      <c r="G656" s="590"/>
      <c r="H656" s="590"/>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590"/>
      <c r="D657" s="590"/>
      <c r="E657" s="590"/>
      <c r="F657" s="590"/>
      <c r="G657" s="590"/>
      <c r="H657" s="590"/>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590"/>
      <c r="D658" s="590"/>
      <c r="E658" s="590"/>
      <c r="F658" s="590"/>
      <c r="G658" s="590"/>
      <c r="H658" s="590"/>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590"/>
      <c r="D659" s="590"/>
      <c r="E659" s="590"/>
      <c r="F659" s="590"/>
      <c r="G659" s="590"/>
      <c r="H659" s="590"/>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590"/>
      <c r="D660" s="590"/>
      <c r="E660" s="590"/>
      <c r="F660" s="590"/>
      <c r="G660" s="590"/>
      <c r="H660" s="590"/>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590"/>
      <c r="D661" s="590"/>
      <c r="E661" s="590"/>
      <c r="F661" s="590"/>
      <c r="G661" s="590"/>
      <c r="H661" s="590"/>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590"/>
      <c r="D662" s="590"/>
      <c r="E662" s="590"/>
      <c r="F662" s="590"/>
      <c r="G662" s="590"/>
      <c r="H662" s="590"/>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590"/>
      <c r="D663" s="590"/>
      <c r="E663" s="590"/>
      <c r="F663" s="590"/>
      <c r="G663" s="590"/>
      <c r="H663" s="590"/>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590"/>
      <c r="D664" s="590"/>
      <c r="E664" s="590"/>
      <c r="F664" s="590"/>
      <c r="G664" s="590"/>
      <c r="H664" s="590"/>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590"/>
      <c r="D665" s="590"/>
      <c r="E665" s="590"/>
      <c r="F665" s="590"/>
      <c r="G665" s="590"/>
      <c r="H665" s="590"/>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590"/>
      <c r="D666" s="590"/>
      <c r="E666" s="590"/>
      <c r="F666" s="590"/>
      <c r="G666" s="590"/>
      <c r="H666" s="590"/>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590"/>
      <c r="D667" s="590"/>
      <c r="E667" s="590"/>
      <c r="F667" s="590"/>
      <c r="G667" s="590"/>
      <c r="H667" s="590"/>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590"/>
      <c r="D668" s="590"/>
      <c r="E668" s="590"/>
      <c r="F668" s="590"/>
      <c r="G668" s="590"/>
      <c r="H668" s="590"/>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590"/>
      <c r="D669" s="590"/>
      <c r="E669" s="590"/>
      <c r="F669" s="590"/>
      <c r="G669" s="590"/>
      <c r="H669" s="590"/>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590"/>
      <c r="D670" s="590"/>
      <c r="E670" s="590"/>
      <c r="F670" s="590"/>
      <c r="G670" s="590"/>
      <c r="H670" s="590"/>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590"/>
      <c r="D671" s="590"/>
      <c r="E671" s="590"/>
      <c r="F671" s="590"/>
      <c r="G671" s="590"/>
      <c r="H671" s="590"/>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590"/>
      <c r="D672" s="590"/>
      <c r="E672" s="590"/>
      <c r="F672" s="590"/>
      <c r="G672" s="590"/>
      <c r="H672" s="590"/>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590"/>
      <c r="D673" s="590"/>
      <c r="E673" s="590"/>
      <c r="F673" s="590"/>
      <c r="G673" s="590"/>
      <c r="H673" s="590"/>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590"/>
      <c r="D674" s="590"/>
      <c r="E674" s="590"/>
      <c r="F674" s="590"/>
      <c r="G674" s="590"/>
      <c r="H674" s="590"/>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590"/>
      <c r="D675" s="590"/>
      <c r="E675" s="590"/>
      <c r="F675" s="590"/>
      <c r="G675" s="590"/>
      <c r="H675" s="590"/>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590"/>
      <c r="D676" s="590"/>
      <c r="E676" s="590"/>
      <c r="F676" s="590"/>
      <c r="G676" s="590"/>
      <c r="H676" s="590"/>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590"/>
      <c r="D677" s="590"/>
      <c r="E677" s="590"/>
      <c r="F677" s="590"/>
      <c r="G677" s="590"/>
      <c r="H677" s="590"/>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590"/>
      <c r="D678" s="590"/>
      <c r="E678" s="590"/>
      <c r="F678" s="590"/>
      <c r="G678" s="590"/>
      <c r="H678" s="590"/>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590"/>
      <c r="D679" s="590"/>
      <c r="E679" s="590"/>
      <c r="F679" s="590"/>
      <c r="G679" s="590"/>
      <c r="H679" s="590"/>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590"/>
      <c r="D680" s="590"/>
      <c r="E680" s="590"/>
      <c r="F680" s="590"/>
      <c r="G680" s="590"/>
      <c r="H680" s="590"/>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590"/>
      <c r="D681" s="590"/>
      <c r="E681" s="590"/>
      <c r="F681" s="590"/>
      <c r="G681" s="590"/>
      <c r="H681" s="590"/>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590"/>
      <c r="D682" s="590"/>
      <c r="E682" s="590"/>
      <c r="F682" s="590"/>
      <c r="G682" s="590"/>
      <c r="H682" s="590"/>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590"/>
      <c r="D683" s="590"/>
      <c r="E683" s="590"/>
      <c r="F683" s="590"/>
      <c r="G683" s="590"/>
      <c r="H683" s="590"/>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590"/>
      <c r="D684" s="590"/>
      <c r="E684" s="590"/>
      <c r="F684" s="590"/>
      <c r="G684" s="590"/>
      <c r="H684" s="590"/>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590"/>
      <c r="D685" s="590"/>
      <c r="E685" s="590"/>
      <c r="F685" s="590"/>
      <c r="G685" s="590"/>
      <c r="H685" s="590"/>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590"/>
      <c r="D686" s="590"/>
      <c r="E686" s="590"/>
      <c r="F686" s="590"/>
      <c r="G686" s="590"/>
      <c r="H686" s="590"/>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590"/>
      <c r="D687" s="590"/>
      <c r="E687" s="590"/>
      <c r="F687" s="590"/>
      <c r="G687" s="590"/>
      <c r="H687" s="590"/>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590"/>
      <c r="D688" s="590"/>
      <c r="E688" s="590"/>
      <c r="F688" s="590"/>
      <c r="G688" s="590"/>
      <c r="H688" s="590"/>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590"/>
      <c r="D689" s="590"/>
      <c r="E689" s="590"/>
      <c r="F689" s="590"/>
      <c r="G689" s="590"/>
      <c r="H689" s="590"/>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590"/>
      <c r="D690" s="590"/>
      <c r="E690" s="590"/>
      <c r="F690" s="590"/>
      <c r="G690" s="590"/>
      <c r="H690" s="590"/>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590"/>
      <c r="D691" s="590"/>
      <c r="E691" s="590"/>
      <c r="F691" s="590"/>
      <c r="G691" s="590"/>
      <c r="H691" s="590"/>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590"/>
      <c r="D692" s="590"/>
      <c r="E692" s="590"/>
      <c r="F692" s="590"/>
      <c r="G692" s="590"/>
      <c r="H692" s="590"/>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590"/>
      <c r="D693" s="590"/>
      <c r="E693" s="590"/>
      <c r="F693" s="590"/>
      <c r="G693" s="590"/>
      <c r="H693" s="590"/>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590"/>
      <c r="D694" s="590"/>
      <c r="E694" s="590"/>
      <c r="F694" s="590"/>
      <c r="G694" s="590"/>
      <c r="H694" s="590"/>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590"/>
      <c r="D695" s="590"/>
      <c r="E695" s="590"/>
      <c r="F695" s="590"/>
      <c r="G695" s="590"/>
      <c r="H695" s="590"/>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590"/>
      <c r="D696" s="590"/>
      <c r="E696" s="590"/>
      <c r="F696" s="590"/>
      <c r="G696" s="590"/>
      <c r="H696" s="590"/>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590"/>
      <c r="D697" s="590"/>
      <c r="E697" s="590"/>
      <c r="F697" s="590"/>
      <c r="G697" s="590"/>
      <c r="H697" s="590"/>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590"/>
      <c r="D698" s="590"/>
      <c r="E698" s="590"/>
      <c r="F698" s="590"/>
      <c r="G698" s="590"/>
      <c r="H698" s="590"/>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590"/>
      <c r="D699" s="590"/>
      <c r="E699" s="590"/>
      <c r="F699" s="590"/>
      <c r="G699" s="590"/>
      <c r="H699" s="590"/>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590"/>
      <c r="D700" s="590"/>
      <c r="E700" s="590"/>
      <c r="F700" s="590"/>
      <c r="G700" s="590"/>
      <c r="H700" s="590"/>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590"/>
      <c r="D701" s="590"/>
      <c r="E701" s="590"/>
      <c r="F701" s="590"/>
      <c r="G701" s="590"/>
      <c r="H701" s="590"/>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590"/>
      <c r="D702" s="590"/>
      <c r="E702" s="590"/>
      <c r="F702" s="590"/>
      <c r="G702" s="590"/>
      <c r="H702" s="590"/>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590"/>
      <c r="D703" s="590"/>
      <c r="E703" s="590"/>
      <c r="F703" s="590"/>
      <c r="G703" s="590"/>
      <c r="H703" s="590"/>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590"/>
      <c r="D704" s="590"/>
      <c r="E704" s="590"/>
      <c r="F704" s="590"/>
      <c r="G704" s="590"/>
      <c r="H704" s="590"/>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590"/>
      <c r="D705" s="590"/>
      <c r="E705" s="590"/>
      <c r="F705" s="590"/>
      <c r="G705" s="590"/>
      <c r="H705" s="590"/>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590"/>
      <c r="D706" s="590"/>
      <c r="E706" s="590"/>
      <c r="F706" s="590"/>
      <c r="G706" s="590"/>
      <c r="H706" s="590"/>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590"/>
      <c r="D707" s="590"/>
      <c r="E707" s="590"/>
      <c r="F707" s="590"/>
      <c r="G707" s="590"/>
      <c r="H707" s="590"/>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590"/>
      <c r="D708" s="590"/>
      <c r="E708" s="590"/>
      <c r="F708" s="590"/>
      <c r="G708" s="590"/>
      <c r="H708" s="590"/>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590"/>
      <c r="D709" s="590"/>
      <c r="E709" s="590"/>
      <c r="F709" s="590"/>
      <c r="G709" s="590"/>
      <c r="H709" s="590"/>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590"/>
      <c r="D710" s="590"/>
      <c r="E710" s="590"/>
      <c r="F710" s="590"/>
      <c r="G710" s="590"/>
      <c r="H710" s="590"/>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590"/>
      <c r="D711" s="590"/>
      <c r="E711" s="590"/>
      <c r="F711" s="590"/>
      <c r="G711" s="590"/>
      <c r="H711" s="590"/>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590"/>
      <c r="D712" s="590"/>
      <c r="E712" s="590"/>
      <c r="F712" s="590"/>
      <c r="G712" s="590"/>
      <c r="H712" s="590"/>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590"/>
      <c r="D713" s="590"/>
      <c r="E713" s="590"/>
      <c r="F713" s="590"/>
      <c r="G713" s="590"/>
      <c r="H713" s="590"/>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590"/>
      <c r="D714" s="590"/>
      <c r="E714" s="590"/>
      <c r="F714" s="590"/>
      <c r="G714" s="590"/>
      <c r="H714" s="590"/>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590"/>
      <c r="D715" s="590"/>
      <c r="E715" s="590"/>
      <c r="F715" s="590"/>
      <c r="G715" s="590"/>
      <c r="H715" s="590"/>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590"/>
      <c r="D716" s="590"/>
      <c r="E716" s="590"/>
      <c r="F716" s="590"/>
      <c r="G716" s="590"/>
      <c r="H716" s="590"/>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590"/>
      <c r="D717" s="590"/>
      <c r="E717" s="590"/>
      <c r="F717" s="590"/>
      <c r="G717" s="590"/>
      <c r="H717" s="590"/>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590"/>
      <c r="D718" s="590"/>
      <c r="E718" s="590"/>
      <c r="F718" s="590"/>
      <c r="G718" s="590"/>
      <c r="H718" s="590"/>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590"/>
      <c r="D719" s="590"/>
      <c r="E719" s="590"/>
      <c r="F719" s="590"/>
      <c r="G719" s="590"/>
      <c r="H719" s="590"/>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590"/>
      <c r="D720" s="590"/>
      <c r="E720" s="590"/>
      <c r="F720" s="590"/>
      <c r="G720" s="590"/>
      <c r="H720" s="590"/>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590"/>
      <c r="D721" s="590"/>
      <c r="E721" s="590"/>
      <c r="F721" s="590"/>
      <c r="G721" s="590"/>
      <c r="H721" s="590"/>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590"/>
      <c r="D722" s="590"/>
      <c r="E722" s="590"/>
      <c r="F722" s="590"/>
      <c r="G722" s="590"/>
      <c r="H722" s="590"/>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590"/>
      <c r="D723" s="590"/>
      <c r="E723" s="590"/>
      <c r="F723" s="590"/>
      <c r="G723" s="590"/>
      <c r="H723" s="590"/>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590"/>
      <c r="D724" s="590"/>
      <c r="E724" s="590"/>
      <c r="F724" s="590"/>
      <c r="G724" s="590"/>
      <c r="H724" s="590"/>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590"/>
      <c r="D725" s="590"/>
      <c r="E725" s="590"/>
      <c r="F725" s="590"/>
      <c r="G725" s="590"/>
      <c r="H725" s="590"/>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590"/>
      <c r="D726" s="590"/>
      <c r="E726" s="590"/>
      <c r="F726" s="590"/>
      <c r="G726" s="590"/>
      <c r="H726" s="590"/>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590"/>
      <c r="D727" s="590"/>
      <c r="E727" s="590"/>
      <c r="F727" s="590"/>
      <c r="G727" s="590"/>
      <c r="H727" s="590"/>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590"/>
      <c r="D728" s="590"/>
      <c r="E728" s="590"/>
      <c r="F728" s="590"/>
      <c r="G728" s="590"/>
      <c r="H728" s="590"/>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590"/>
      <c r="D729" s="590"/>
      <c r="E729" s="590"/>
      <c r="F729" s="590"/>
      <c r="G729" s="590"/>
      <c r="H729" s="590"/>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590"/>
      <c r="D730" s="590"/>
      <c r="E730" s="590"/>
      <c r="F730" s="590"/>
      <c r="G730" s="590"/>
      <c r="H730" s="590"/>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590"/>
      <c r="D731" s="590"/>
      <c r="E731" s="590"/>
      <c r="F731" s="590"/>
      <c r="G731" s="590"/>
      <c r="H731" s="590"/>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590"/>
      <c r="D732" s="590"/>
      <c r="E732" s="590"/>
      <c r="F732" s="590"/>
      <c r="G732" s="590"/>
      <c r="H732" s="590"/>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590"/>
      <c r="D733" s="590"/>
      <c r="E733" s="590"/>
      <c r="F733" s="590"/>
      <c r="G733" s="590"/>
      <c r="H733" s="590"/>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590"/>
      <c r="D734" s="590"/>
      <c r="E734" s="590"/>
      <c r="F734" s="590"/>
      <c r="G734" s="590"/>
      <c r="H734" s="590"/>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590"/>
      <c r="D735" s="590"/>
      <c r="E735" s="590"/>
      <c r="F735" s="590"/>
      <c r="G735" s="590"/>
      <c r="H735" s="590"/>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590"/>
      <c r="D736" s="590"/>
      <c r="E736" s="590"/>
      <c r="F736" s="590"/>
      <c r="G736" s="590"/>
      <c r="H736" s="590"/>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590"/>
      <c r="D737" s="590"/>
      <c r="E737" s="590"/>
      <c r="F737" s="590"/>
      <c r="G737" s="590"/>
      <c r="H737" s="590"/>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590"/>
      <c r="D738" s="590"/>
      <c r="E738" s="590"/>
      <c r="F738" s="590"/>
      <c r="G738" s="590"/>
      <c r="H738" s="590"/>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590"/>
      <c r="D739" s="590"/>
      <c r="E739" s="590"/>
      <c r="F739" s="590"/>
      <c r="G739" s="590"/>
      <c r="H739" s="590"/>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590"/>
      <c r="D740" s="590"/>
      <c r="E740" s="590"/>
      <c r="F740" s="590"/>
      <c r="G740" s="590"/>
      <c r="H740" s="590"/>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590"/>
      <c r="D741" s="590"/>
      <c r="E741" s="590"/>
      <c r="F741" s="590"/>
      <c r="G741" s="590"/>
      <c r="H741" s="590"/>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590"/>
      <c r="D742" s="590"/>
      <c r="E742" s="590"/>
      <c r="F742" s="590"/>
      <c r="G742" s="590"/>
      <c r="H742" s="590"/>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590"/>
      <c r="D743" s="590"/>
      <c r="E743" s="590"/>
      <c r="F743" s="590"/>
      <c r="G743" s="590"/>
      <c r="H743" s="590"/>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590"/>
      <c r="D744" s="590"/>
      <c r="E744" s="590"/>
      <c r="F744" s="590"/>
      <c r="G744" s="590"/>
      <c r="H744" s="590"/>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590"/>
      <c r="D745" s="590"/>
      <c r="E745" s="590"/>
      <c r="F745" s="590"/>
      <c r="G745" s="590"/>
      <c r="H745" s="590"/>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590"/>
      <c r="D746" s="590"/>
      <c r="E746" s="590"/>
      <c r="F746" s="590"/>
      <c r="G746" s="590"/>
      <c r="H746" s="590"/>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590"/>
      <c r="D747" s="590"/>
      <c r="E747" s="590"/>
      <c r="F747" s="590"/>
      <c r="G747" s="590"/>
      <c r="H747" s="590"/>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590"/>
      <c r="D748" s="590"/>
      <c r="E748" s="590"/>
      <c r="F748" s="590"/>
      <c r="G748" s="590"/>
      <c r="H748" s="590"/>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590"/>
      <c r="D749" s="590"/>
      <c r="E749" s="590"/>
      <c r="F749" s="590"/>
      <c r="G749" s="590"/>
      <c r="H749" s="590"/>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590"/>
      <c r="D750" s="590"/>
      <c r="E750" s="590"/>
      <c r="F750" s="590"/>
      <c r="G750" s="590"/>
      <c r="H750" s="590"/>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590"/>
      <c r="D751" s="590"/>
      <c r="E751" s="590"/>
      <c r="F751" s="590"/>
      <c r="G751" s="590"/>
      <c r="H751" s="590"/>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590"/>
      <c r="D752" s="590"/>
      <c r="E752" s="590"/>
      <c r="F752" s="590"/>
      <c r="G752" s="590"/>
      <c r="H752" s="590"/>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590"/>
      <c r="D753" s="590"/>
      <c r="E753" s="590"/>
      <c r="F753" s="590"/>
      <c r="G753" s="590"/>
      <c r="H753" s="590"/>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590"/>
      <c r="D754" s="590"/>
      <c r="E754" s="590"/>
      <c r="F754" s="590"/>
      <c r="G754" s="590"/>
      <c r="H754" s="590"/>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590"/>
      <c r="D755" s="590"/>
      <c r="E755" s="590"/>
      <c r="F755" s="590"/>
      <c r="G755" s="590"/>
      <c r="H755" s="590"/>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590"/>
      <c r="D756" s="590"/>
      <c r="E756" s="590"/>
      <c r="F756" s="590"/>
      <c r="G756" s="590"/>
      <c r="H756" s="590"/>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590"/>
      <c r="D757" s="590"/>
      <c r="E757" s="590"/>
      <c r="F757" s="590"/>
      <c r="G757" s="590"/>
      <c r="H757" s="590"/>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590"/>
      <c r="D758" s="590"/>
      <c r="E758" s="590"/>
      <c r="F758" s="590"/>
      <c r="G758" s="590"/>
      <c r="H758" s="590"/>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590"/>
      <c r="D759" s="590"/>
      <c r="E759" s="590"/>
      <c r="F759" s="590"/>
      <c r="G759" s="590"/>
      <c r="H759" s="590"/>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590"/>
      <c r="D760" s="590"/>
      <c r="E760" s="590"/>
      <c r="F760" s="590"/>
      <c r="G760" s="590"/>
      <c r="H760" s="590"/>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590"/>
      <c r="D761" s="590"/>
      <c r="E761" s="590"/>
      <c r="F761" s="590"/>
      <c r="G761" s="590"/>
      <c r="H761" s="590"/>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590"/>
      <c r="D762" s="590"/>
      <c r="E762" s="590"/>
      <c r="F762" s="590"/>
      <c r="G762" s="590"/>
      <c r="H762" s="590"/>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590"/>
      <c r="D763" s="590"/>
      <c r="E763" s="590"/>
      <c r="F763" s="590"/>
      <c r="G763" s="590"/>
      <c r="H763" s="590"/>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590"/>
      <c r="D764" s="590"/>
      <c r="E764" s="590"/>
      <c r="F764" s="590"/>
      <c r="G764" s="590"/>
      <c r="H764" s="590"/>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590"/>
      <c r="D765" s="590"/>
      <c r="E765" s="590"/>
      <c r="F765" s="590"/>
      <c r="G765" s="590"/>
      <c r="H765" s="590"/>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590"/>
      <c r="D766" s="590"/>
      <c r="E766" s="590"/>
      <c r="F766" s="590"/>
      <c r="G766" s="590"/>
      <c r="H766" s="590"/>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590"/>
      <c r="D767" s="590"/>
      <c r="E767" s="590"/>
      <c r="F767" s="590"/>
      <c r="G767" s="590"/>
      <c r="H767" s="590"/>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590"/>
      <c r="D768" s="590"/>
      <c r="E768" s="590"/>
      <c r="F768" s="590"/>
      <c r="G768" s="590"/>
      <c r="H768" s="590"/>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590"/>
      <c r="D769" s="590"/>
      <c r="E769" s="590"/>
      <c r="F769" s="590"/>
      <c r="G769" s="590"/>
      <c r="H769" s="590"/>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590"/>
      <c r="D770" s="590"/>
      <c r="E770" s="590"/>
      <c r="F770" s="590"/>
      <c r="G770" s="590"/>
      <c r="H770" s="590"/>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590"/>
      <c r="D771" s="590"/>
      <c r="E771" s="590"/>
      <c r="F771" s="590"/>
      <c r="G771" s="590"/>
      <c r="H771" s="590"/>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590"/>
      <c r="D772" s="590"/>
      <c r="E772" s="590"/>
      <c r="F772" s="590"/>
      <c r="G772" s="590"/>
      <c r="H772" s="590"/>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590"/>
      <c r="D773" s="590"/>
      <c r="E773" s="590"/>
      <c r="F773" s="590"/>
      <c r="G773" s="590"/>
      <c r="H773" s="590"/>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590"/>
      <c r="D774" s="590"/>
      <c r="E774" s="590"/>
      <c r="F774" s="590"/>
      <c r="G774" s="590"/>
      <c r="H774" s="590"/>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590"/>
      <c r="D775" s="590"/>
      <c r="E775" s="590"/>
      <c r="F775" s="590"/>
      <c r="G775" s="590"/>
      <c r="H775" s="590"/>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590"/>
      <c r="D776" s="590"/>
      <c r="E776" s="590"/>
      <c r="F776" s="590"/>
      <c r="G776" s="590"/>
      <c r="H776" s="590"/>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590"/>
      <c r="D777" s="590"/>
      <c r="E777" s="590"/>
      <c r="F777" s="590"/>
      <c r="G777" s="590"/>
      <c r="H777" s="590"/>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590"/>
      <c r="D778" s="590"/>
      <c r="E778" s="590"/>
      <c r="F778" s="590"/>
      <c r="G778" s="590"/>
      <c r="H778" s="590"/>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590"/>
      <c r="D779" s="590"/>
      <c r="E779" s="590"/>
      <c r="F779" s="590"/>
      <c r="G779" s="590"/>
      <c r="H779" s="590"/>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590"/>
      <c r="D780" s="590"/>
      <c r="E780" s="590"/>
      <c r="F780" s="590"/>
      <c r="G780" s="590"/>
      <c r="H780" s="590"/>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590"/>
      <c r="D781" s="590"/>
      <c r="E781" s="590"/>
      <c r="F781" s="590"/>
      <c r="G781" s="590"/>
      <c r="H781" s="590"/>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590"/>
      <c r="D782" s="590"/>
      <c r="E782" s="590"/>
      <c r="F782" s="590"/>
      <c r="G782" s="590"/>
      <c r="H782" s="590"/>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590"/>
      <c r="D783" s="590"/>
      <c r="E783" s="590"/>
      <c r="F783" s="590"/>
      <c r="G783" s="590"/>
      <c r="H783" s="590"/>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590"/>
      <c r="D784" s="590"/>
      <c r="E784" s="590"/>
      <c r="F784" s="590"/>
      <c r="G784" s="590"/>
      <c r="H784" s="590"/>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590"/>
      <c r="D785" s="590"/>
      <c r="E785" s="590"/>
      <c r="F785" s="590"/>
      <c r="G785" s="590"/>
      <c r="H785" s="590"/>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590"/>
      <c r="D786" s="590"/>
      <c r="E786" s="590"/>
      <c r="F786" s="590"/>
      <c r="G786" s="590"/>
      <c r="H786" s="590"/>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590"/>
      <c r="D787" s="590"/>
      <c r="E787" s="590"/>
      <c r="F787" s="590"/>
      <c r="G787" s="590"/>
      <c r="H787" s="590"/>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590"/>
      <c r="D788" s="590"/>
      <c r="E788" s="590"/>
      <c r="F788" s="590"/>
      <c r="G788" s="590"/>
      <c r="H788" s="590"/>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590"/>
      <c r="D789" s="590"/>
      <c r="E789" s="590"/>
      <c r="F789" s="590"/>
      <c r="G789" s="590"/>
      <c r="H789" s="590"/>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590"/>
      <c r="D790" s="590"/>
      <c r="E790" s="590"/>
      <c r="F790" s="590"/>
      <c r="G790" s="590"/>
      <c r="H790" s="590"/>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590"/>
      <c r="D791" s="590"/>
      <c r="E791" s="590"/>
      <c r="F791" s="590"/>
      <c r="G791" s="590"/>
      <c r="H791" s="590"/>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590"/>
      <c r="D792" s="590"/>
      <c r="E792" s="590"/>
      <c r="F792" s="590"/>
      <c r="G792" s="590"/>
      <c r="H792" s="590"/>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590"/>
      <c r="D793" s="590"/>
      <c r="E793" s="590"/>
      <c r="F793" s="590"/>
      <c r="G793" s="590"/>
      <c r="H793" s="590"/>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590"/>
      <c r="D794" s="590"/>
      <c r="E794" s="590"/>
      <c r="F794" s="590"/>
      <c r="G794" s="590"/>
      <c r="H794" s="590"/>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590"/>
      <c r="D795" s="590"/>
      <c r="E795" s="590"/>
      <c r="F795" s="590"/>
      <c r="G795" s="590"/>
      <c r="H795" s="590"/>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590"/>
      <c r="D796" s="590"/>
      <c r="E796" s="590"/>
      <c r="F796" s="590"/>
      <c r="G796" s="590"/>
      <c r="H796" s="590"/>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590"/>
      <c r="D797" s="590"/>
      <c r="E797" s="590"/>
      <c r="F797" s="590"/>
      <c r="G797" s="590"/>
      <c r="H797" s="590"/>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590"/>
      <c r="D798" s="590"/>
      <c r="E798" s="590"/>
      <c r="F798" s="590"/>
      <c r="G798" s="590"/>
      <c r="H798" s="590"/>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590"/>
      <c r="D799" s="590"/>
      <c r="E799" s="590"/>
      <c r="F799" s="590"/>
      <c r="G799" s="590"/>
      <c r="H799" s="590"/>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590"/>
      <c r="D800" s="590"/>
      <c r="E800" s="590"/>
      <c r="F800" s="590"/>
      <c r="G800" s="590"/>
      <c r="H800" s="590"/>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590"/>
      <c r="D801" s="590"/>
      <c r="E801" s="590"/>
      <c r="F801" s="590"/>
      <c r="G801" s="590"/>
      <c r="H801" s="590"/>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590"/>
      <c r="D802" s="590"/>
      <c r="E802" s="590"/>
      <c r="F802" s="590"/>
      <c r="G802" s="590"/>
      <c r="H802" s="590"/>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590"/>
      <c r="D803" s="590"/>
      <c r="E803" s="590"/>
      <c r="F803" s="590"/>
      <c r="G803" s="590"/>
      <c r="H803" s="590"/>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590"/>
      <c r="D804" s="590"/>
      <c r="E804" s="590"/>
      <c r="F804" s="590"/>
      <c r="G804" s="590"/>
      <c r="H804" s="590"/>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590"/>
      <c r="D805" s="590"/>
      <c r="E805" s="590"/>
      <c r="F805" s="590"/>
      <c r="G805" s="590"/>
      <c r="H805" s="590"/>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590"/>
      <c r="D806" s="590"/>
      <c r="E806" s="590"/>
      <c r="F806" s="590"/>
      <c r="G806" s="590"/>
      <c r="H806" s="590"/>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590"/>
      <c r="D807" s="590"/>
      <c r="E807" s="590"/>
      <c r="F807" s="590"/>
      <c r="G807" s="590"/>
      <c r="H807" s="590"/>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590"/>
      <c r="D808" s="590"/>
      <c r="E808" s="590"/>
      <c r="F808" s="590"/>
      <c r="G808" s="590"/>
      <c r="H808" s="590"/>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590"/>
      <c r="D809" s="590"/>
      <c r="E809" s="590"/>
      <c r="F809" s="590"/>
      <c r="G809" s="590"/>
      <c r="H809" s="590"/>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590"/>
      <c r="D810" s="590"/>
      <c r="E810" s="590"/>
      <c r="F810" s="590"/>
      <c r="G810" s="590"/>
      <c r="H810" s="590"/>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590"/>
      <c r="D811" s="590"/>
      <c r="E811" s="590"/>
      <c r="F811" s="590"/>
      <c r="G811" s="590"/>
      <c r="H811" s="590"/>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590"/>
      <c r="D812" s="590"/>
      <c r="E812" s="590"/>
      <c r="F812" s="590"/>
      <c r="G812" s="590"/>
      <c r="H812" s="590"/>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590"/>
      <c r="D813" s="590"/>
      <c r="E813" s="590"/>
      <c r="F813" s="590"/>
      <c r="G813" s="590"/>
      <c r="H813" s="590"/>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590"/>
      <c r="D814" s="590"/>
      <c r="E814" s="590"/>
      <c r="F814" s="590"/>
      <c r="G814" s="590"/>
      <c r="H814" s="590"/>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590"/>
      <c r="D815" s="590"/>
      <c r="E815" s="590"/>
      <c r="F815" s="590"/>
      <c r="G815" s="590"/>
      <c r="H815" s="590"/>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590"/>
      <c r="D816" s="590"/>
      <c r="E816" s="590"/>
      <c r="F816" s="590"/>
      <c r="G816" s="590"/>
      <c r="H816" s="590"/>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590"/>
      <c r="D817" s="590"/>
      <c r="E817" s="590"/>
      <c r="F817" s="590"/>
      <c r="G817" s="590"/>
      <c r="H817" s="590"/>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590"/>
      <c r="D818" s="590"/>
      <c r="E818" s="590"/>
      <c r="F818" s="590"/>
      <c r="G818" s="590"/>
      <c r="H818" s="590"/>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590"/>
      <c r="D819" s="590"/>
      <c r="E819" s="590"/>
      <c r="F819" s="590"/>
      <c r="G819" s="590"/>
      <c r="H819" s="590"/>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590"/>
      <c r="D820" s="590"/>
      <c r="E820" s="590"/>
      <c r="F820" s="590"/>
      <c r="G820" s="590"/>
      <c r="H820" s="590"/>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590"/>
      <c r="D821" s="590"/>
      <c r="E821" s="590"/>
      <c r="F821" s="590"/>
      <c r="G821" s="590"/>
      <c r="H821" s="590"/>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590"/>
      <c r="D822" s="590"/>
      <c r="E822" s="590"/>
      <c r="F822" s="590"/>
      <c r="G822" s="590"/>
      <c r="H822" s="590"/>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590"/>
      <c r="D823" s="590"/>
      <c r="E823" s="590"/>
      <c r="F823" s="590"/>
      <c r="G823" s="590"/>
      <c r="H823" s="590"/>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590"/>
      <c r="D824" s="590"/>
      <c r="E824" s="590"/>
      <c r="F824" s="590"/>
      <c r="G824" s="590"/>
      <c r="H824" s="590"/>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590"/>
      <c r="D825" s="590"/>
      <c r="E825" s="590"/>
      <c r="F825" s="590"/>
      <c r="G825" s="590"/>
      <c r="H825" s="590"/>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590"/>
      <c r="D826" s="590"/>
      <c r="E826" s="590"/>
      <c r="F826" s="590"/>
      <c r="G826" s="590"/>
      <c r="H826" s="590"/>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590"/>
      <c r="D827" s="590"/>
      <c r="E827" s="590"/>
      <c r="F827" s="590"/>
      <c r="G827" s="590"/>
      <c r="H827" s="590"/>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590"/>
      <c r="D828" s="590"/>
      <c r="E828" s="590"/>
      <c r="F828" s="590"/>
      <c r="G828" s="590"/>
      <c r="H828" s="590"/>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590"/>
      <c r="D829" s="590"/>
      <c r="E829" s="590"/>
      <c r="F829" s="590"/>
      <c r="G829" s="590"/>
      <c r="H829" s="590"/>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590"/>
      <c r="D830" s="590"/>
      <c r="E830" s="590"/>
      <c r="F830" s="590"/>
      <c r="G830" s="590"/>
      <c r="H830" s="590"/>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590"/>
      <c r="D831" s="590"/>
      <c r="E831" s="590"/>
      <c r="F831" s="590"/>
      <c r="G831" s="590"/>
      <c r="H831" s="590"/>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590"/>
      <c r="D832" s="590"/>
      <c r="E832" s="590"/>
      <c r="F832" s="590"/>
      <c r="G832" s="590"/>
      <c r="H832" s="590"/>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590"/>
      <c r="D833" s="590"/>
      <c r="E833" s="590"/>
      <c r="F833" s="590"/>
      <c r="G833" s="590"/>
      <c r="H833" s="590"/>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590"/>
      <c r="D834" s="590"/>
      <c r="E834" s="590"/>
      <c r="F834" s="590"/>
      <c r="G834" s="590"/>
      <c r="H834" s="590"/>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590"/>
      <c r="D835" s="590"/>
      <c r="E835" s="590"/>
      <c r="F835" s="590"/>
      <c r="G835" s="590"/>
      <c r="H835" s="590"/>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590"/>
      <c r="D836" s="590"/>
      <c r="E836" s="590"/>
      <c r="F836" s="590"/>
      <c r="G836" s="590"/>
      <c r="H836" s="590"/>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590"/>
      <c r="D837" s="590"/>
      <c r="E837" s="590"/>
      <c r="F837" s="590"/>
      <c r="G837" s="590"/>
      <c r="H837" s="590"/>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590"/>
      <c r="D838" s="590"/>
      <c r="E838" s="590"/>
      <c r="F838" s="590"/>
      <c r="G838" s="590"/>
      <c r="H838" s="590"/>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590"/>
      <c r="D839" s="590"/>
      <c r="E839" s="590"/>
      <c r="F839" s="590"/>
      <c r="G839" s="590"/>
      <c r="H839" s="590"/>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590"/>
      <c r="D840" s="590"/>
      <c r="E840" s="590"/>
      <c r="F840" s="590"/>
      <c r="G840" s="590"/>
      <c r="H840" s="590"/>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590"/>
      <c r="D841" s="590"/>
      <c r="E841" s="590"/>
      <c r="F841" s="590"/>
      <c r="G841" s="590"/>
      <c r="H841" s="590"/>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590"/>
      <c r="D842" s="590"/>
      <c r="E842" s="590"/>
      <c r="F842" s="590"/>
      <c r="G842" s="590"/>
      <c r="H842" s="590"/>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590"/>
      <c r="D843" s="590"/>
      <c r="E843" s="590"/>
      <c r="F843" s="590"/>
      <c r="G843" s="590"/>
      <c r="H843" s="590"/>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590"/>
      <c r="D844" s="590"/>
      <c r="E844" s="590"/>
      <c r="F844" s="590"/>
      <c r="G844" s="590"/>
      <c r="H844" s="590"/>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590"/>
      <c r="D845" s="590"/>
      <c r="E845" s="590"/>
      <c r="F845" s="590"/>
      <c r="G845" s="590"/>
      <c r="H845" s="590"/>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590"/>
      <c r="D846" s="590"/>
      <c r="E846" s="590"/>
      <c r="F846" s="590"/>
      <c r="G846" s="590"/>
      <c r="H846" s="590"/>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590"/>
      <c r="D847" s="590"/>
      <c r="E847" s="590"/>
      <c r="F847" s="590"/>
      <c r="G847" s="590"/>
      <c r="H847" s="590"/>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590"/>
      <c r="D848" s="590"/>
      <c r="E848" s="590"/>
      <c r="F848" s="590"/>
      <c r="G848" s="590"/>
      <c r="H848" s="590"/>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590"/>
      <c r="D849" s="590"/>
      <c r="E849" s="590"/>
      <c r="F849" s="590"/>
      <c r="G849" s="590"/>
      <c r="H849" s="590"/>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590"/>
      <c r="D850" s="590"/>
      <c r="E850" s="590"/>
      <c r="F850" s="590"/>
      <c r="G850" s="590"/>
      <c r="H850" s="590"/>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590"/>
      <c r="D851" s="590"/>
      <c r="E851" s="590"/>
      <c r="F851" s="590"/>
      <c r="G851" s="590"/>
      <c r="H851" s="590"/>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590"/>
      <c r="D852" s="590"/>
      <c r="E852" s="590"/>
      <c r="F852" s="590"/>
      <c r="G852" s="590"/>
      <c r="H852" s="590"/>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590"/>
      <c r="D853" s="590"/>
      <c r="E853" s="590"/>
      <c r="F853" s="590"/>
      <c r="G853" s="590"/>
      <c r="H853" s="590"/>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590"/>
      <c r="D854" s="590"/>
      <c r="E854" s="590"/>
      <c r="F854" s="590"/>
      <c r="G854" s="590"/>
      <c r="H854" s="590"/>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590"/>
      <c r="D855" s="590"/>
      <c r="E855" s="590"/>
      <c r="F855" s="590"/>
      <c r="G855" s="590"/>
      <c r="H855" s="590"/>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590"/>
      <c r="D856" s="590"/>
      <c r="E856" s="590"/>
      <c r="F856" s="590"/>
      <c r="G856" s="590"/>
      <c r="H856" s="590"/>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590"/>
      <c r="D857" s="590"/>
      <c r="E857" s="590"/>
      <c r="F857" s="590"/>
      <c r="G857" s="590"/>
      <c r="H857" s="590"/>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590"/>
      <c r="D858" s="590"/>
      <c r="E858" s="590"/>
      <c r="F858" s="590"/>
      <c r="G858" s="590"/>
      <c r="H858" s="590"/>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590"/>
      <c r="D859" s="590"/>
      <c r="E859" s="590"/>
      <c r="F859" s="590"/>
      <c r="G859" s="590"/>
      <c r="H859" s="590"/>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590"/>
      <c r="D860" s="590"/>
      <c r="E860" s="590"/>
      <c r="F860" s="590"/>
      <c r="G860" s="590"/>
      <c r="H860" s="590"/>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590"/>
      <c r="D861" s="590"/>
      <c r="E861" s="590"/>
      <c r="F861" s="590"/>
      <c r="G861" s="590"/>
      <c r="H861" s="590"/>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590"/>
      <c r="D862" s="590"/>
      <c r="E862" s="590"/>
      <c r="F862" s="590"/>
      <c r="G862" s="590"/>
      <c r="H862" s="590"/>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590"/>
      <c r="D863" s="590"/>
      <c r="E863" s="590"/>
      <c r="F863" s="590"/>
      <c r="G863" s="590"/>
      <c r="H863" s="590"/>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590"/>
      <c r="D864" s="590"/>
      <c r="E864" s="590"/>
      <c r="F864" s="590"/>
      <c r="G864" s="590"/>
      <c r="H864" s="590"/>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590"/>
      <c r="D865" s="590"/>
      <c r="E865" s="590"/>
      <c r="F865" s="590"/>
      <c r="G865" s="590"/>
      <c r="H865" s="590"/>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590"/>
      <c r="D866" s="590"/>
      <c r="E866" s="590"/>
      <c r="F866" s="590"/>
      <c r="G866" s="590"/>
      <c r="H866" s="590"/>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590"/>
      <c r="D867" s="590"/>
      <c r="E867" s="590"/>
      <c r="F867" s="590"/>
      <c r="G867" s="590"/>
      <c r="H867" s="590"/>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590"/>
      <c r="D868" s="590"/>
      <c r="E868" s="590"/>
      <c r="F868" s="590"/>
      <c r="G868" s="590"/>
      <c r="H868" s="590"/>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590"/>
      <c r="D869" s="590"/>
      <c r="E869" s="590"/>
      <c r="F869" s="590"/>
      <c r="G869" s="590"/>
      <c r="H869" s="590"/>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590"/>
      <c r="D870" s="590"/>
      <c r="E870" s="590"/>
      <c r="F870" s="590"/>
      <c r="G870" s="590"/>
      <c r="H870" s="590"/>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590"/>
      <c r="D871" s="590"/>
      <c r="E871" s="590"/>
      <c r="F871" s="590"/>
      <c r="G871" s="590"/>
      <c r="H871" s="590"/>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590"/>
      <c r="D872" s="590"/>
      <c r="E872" s="590"/>
      <c r="F872" s="590"/>
      <c r="G872" s="590"/>
      <c r="H872" s="590"/>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590"/>
      <c r="D873" s="590"/>
      <c r="E873" s="590"/>
      <c r="F873" s="590"/>
      <c r="G873" s="590"/>
      <c r="H873" s="590"/>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590"/>
      <c r="D874" s="590"/>
      <c r="E874" s="590"/>
      <c r="F874" s="590"/>
      <c r="G874" s="590"/>
      <c r="H874" s="590"/>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590"/>
      <c r="D875" s="590"/>
      <c r="E875" s="590"/>
      <c r="F875" s="590"/>
      <c r="G875" s="590"/>
      <c r="H875" s="590"/>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590"/>
      <c r="D876" s="590"/>
      <c r="E876" s="590"/>
      <c r="F876" s="590"/>
      <c r="G876" s="590"/>
      <c r="H876" s="590"/>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590"/>
      <c r="D877" s="590"/>
      <c r="E877" s="590"/>
      <c r="F877" s="590"/>
      <c r="G877" s="590"/>
      <c r="H877" s="590"/>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590"/>
      <c r="D878" s="590"/>
      <c r="E878" s="590"/>
      <c r="F878" s="590"/>
      <c r="G878" s="590"/>
      <c r="H878" s="590"/>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590"/>
      <c r="D879" s="590"/>
      <c r="E879" s="590"/>
      <c r="F879" s="590"/>
      <c r="G879" s="590"/>
      <c r="H879" s="590"/>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590"/>
      <c r="D880" s="590"/>
      <c r="E880" s="590"/>
      <c r="F880" s="590"/>
      <c r="G880" s="590"/>
      <c r="H880" s="590"/>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590"/>
      <c r="D881" s="590"/>
      <c r="E881" s="590"/>
      <c r="F881" s="590"/>
      <c r="G881" s="590"/>
      <c r="H881" s="590"/>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590"/>
      <c r="D882" s="590"/>
      <c r="E882" s="590"/>
      <c r="F882" s="590"/>
      <c r="G882" s="590"/>
      <c r="H882" s="590"/>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590"/>
      <c r="D883" s="590"/>
      <c r="E883" s="590"/>
      <c r="F883" s="590"/>
      <c r="G883" s="590"/>
      <c r="H883" s="590"/>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590"/>
      <c r="D884" s="590"/>
      <c r="E884" s="590"/>
      <c r="F884" s="590"/>
      <c r="G884" s="590"/>
      <c r="H884" s="590"/>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590"/>
      <c r="D885" s="590"/>
      <c r="E885" s="590"/>
      <c r="F885" s="590"/>
      <c r="G885" s="590"/>
      <c r="H885" s="590"/>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590"/>
      <c r="D886" s="590"/>
      <c r="E886" s="590"/>
      <c r="F886" s="590"/>
      <c r="G886" s="590"/>
      <c r="H886" s="590"/>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590"/>
      <c r="D887" s="590"/>
      <c r="E887" s="590"/>
      <c r="F887" s="590"/>
      <c r="G887" s="590"/>
      <c r="H887" s="590"/>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590"/>
      <c r="D888" s="590"/>
      <c r="E888" s="590"/>
      <c r="F888" s="590"/>
      <c r="G888" s="590"/>
      <c r="H888" s="590"/>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590"/>
      <c r="D889" s="590"/>
      <c r="E889" s="590"/>
      <c r="F889" s="590"/>
      <c r="G889" s="590"/>
      <c r="H889" s="590"/>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590"/>
      <c r="D890" s="590"/>
      <c r="E890" s="590"/>
      <c r="F890" s="590"/>
      <c r="G890" s="590"/>
      <c r="H890" s="590"/>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590"/>
      <c r="D891" s="590"/>
      <c r="E891" s="590"/>
      <c r="F891" s="590"/>
      <c r="G891" s="590"/>
      <c r="H891" s="590"/>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590"/>
      <c r="D892" s="590"/>
      <c r="E892" s="590"/>
      <c r="F892" s="590"/>
      <c r="G892" s="590"/>
      <c r="H892" s="590"/>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590"/>
      <c r="D893" s="590"/>
      <c r="E893" s="590"/>
      <c r="F893" s="590"/>
      <c r="G893" s="590"/>
      <c r="H893" s="590"/>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590"/>
      <c r="D894" s="590"/>
      <c r="E894" s="590"/>
      <c r="F894" s="590"/>
      <c r="G894" s="590"/>
      <c r="H894" s="590"/>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590"/>
      <c r="D895" s="590"/>
      <c r="E895" s="590"/>
      <c r="F895" s="590"/>
      <c r="G895" s="590"/>
      <c r="H895" s="590"/>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590"/>
      <c r="D896" s="590"/>
      <c r="E896" s="590"/>
      <c r="F896" s="590"/>
      <c r="G896" s="590"/>
      <c r="H896" s="590"/>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590"/>
      <c r="D897" s="590"/>
      <c r="E897" s="590"/>
      <c r="F897" s="590"/>
      <c r="G897" s="590"/>
      <c r="H897" s="590"/>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590"/>
      <c r="D898" s="590"/>
      <c r="E898" s="590"/>
      <c r="F898" s="590"/>
      <c r="G898" s="590"/>
      <c r="H898" s="590"/>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590"/>
      <c r="D899" s="590"/>
      <c r="E899" s="590"/>
      <c r="F899" s="590"/>
      <c r="G899" s="590"/>
      <c r="H899" s="590"/>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590"/>
      <c r="D900" s="590"/>
      <c r="E900" s="590"/>
      <c r="F900" s="590"/>
      <c r="G900" s="590"/>
      <c r="H900" s="590"/>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590"/>
      <c r="D901" s="590"/>
      <c r="E901" s="590"/>
      <c r="F901" s="590"/>
      <c r="G901" s="590"/>
      <c r="H901" s="590"/>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590"/>
      <c r="D902" s="590"/>
      <c r="E902" s="590"/>
      <c r="F902" s="590"/>
      <c r="G902" s="590"/>
      <c r="H902" s="590"/>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590"/>
      <c r="D903" s="590"/>
      <c r="E903" s="590"/>
      <c r="F903" s="590"/>
      <c r="G903" s="590"/>
      <c r="H903" s="590"/>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590"/>
      <c r="D904" s="590"/>
      <c r="E904" s="590"/>
      <c r="F904" s="590"/>
      <c r="G904" s="590"/>
      <c r="H904" s="590"/>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590"/>
      <c r="D905" s="590"/>
      <c r="E905" s="590"/>
      <c r="F905" s="590"/>
      <c r="G905" s="590"/>
      <c r="H905" s="590"/>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590"/>
      <c r="D906" s="590"/>
      <c r="E906" s="590"/>
      <c r="F906" s="590"/>
      <c r="G906" s="590"/>
      <c r="H906" s="590"/>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590"/>
      <c r="D907" s="590"/>
      <c r="E907" s="590"/>
      <c r="F907" s="590"/>
      <c r="G907" s="590"/>
      <c r="H907" s="590"/>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590"/>
      <c r="D908" s="590"/>
      <c r="E908" s="590"/>
      <c r="F908" s="590"/>
      <c r="G908" s="590"/>
      <c r="H908" s="590"/>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590"/>
      <c r="D909" s="590"/>
      <c r="E909" s="590"/>
      <c r="F909" s="590"/>
      <c r="G909" s="590"/>
      <c r="H909" s="590"/>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590"/>
      <c r="D910" s="590"/>
      <c r="E910" s="590"/>
      <c r="F910" s="590"/>
      <c r="G910" s="590"/>
      <c r="H910" s="590"/>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590"/>
      <c r="D911" s="590"/>
      <c r="E911" s="590"/>
      <c r="F911" s="590"/>
      <c r="G911" s="590"/>
      <c r="H911" s="590"/>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590"/>
      <c r="D912" s="590"/>
      <c r="E912" s="590"/>
      <c r="F912" s="590"/>
      <c r="G912" s="590"/>
      <c r="H912" s="590"/>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590"/>
      <c r="D913" s="590"/>
      <c r="E913" s="590"/>
      <c r="F913" s="590"/>
      <c r="G913" s="590"/>
      <c r="H913" s="590"/>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590"/>
      <c r="D914" s="590"/>
      <c r="E914" s="590"/>
      <c r="F914" s="590"/>
      <c r="G914" s="590"/>
      <c r="H914" s="590"/>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590"/>
      <c r="D915" s="590"/>
      <c r="E915" s="590"/>
      <c r="F915" s="590"/>
      <c r="G915" s="590"/>
      <c r="H915" s="590"/>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590"/>
      <c r="D916" s="590"/>
      <c r="E916" s="590"/>
      <c r="F916" s="590"/>
      <c r="G916" s="590"/>
      <c r="H916" s="590"/>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590"/>
      <c r="D917" s="590"/>
      <c r="E917" s="590"/>
      <c r="F917" s="590"/>
      <c r="G917" s="590"/>
      <c r="H917" s="590"/>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590"/>
      <c r="D918" s="590"/>
      <c r="E918" s="590"/>
      <c r="F918" s="590"/>
      <c r="G918" s="590"/>
      <c r="H918" s="590"/>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590"/>
      <c r="D919" s="590"/>
      <c r="E919" s="590"/>
      <c r="F919" s="590"/>
      <c r="G919" s="590"/>
      <c r="H919" s="590"/>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590"/>
      <c r="D920" s="590"/>
      <c r="E920" s="590"/>
      <c r="F920" s="590"/>
      <c r="G920" s="590"/>
      <c r="H920" s="590"/>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590"/>
      <c r="D921" s="590"/>
      <c r="E921" s="590"/>
      <c r="F921" s="590"/>
      <c r="G921" s="590"/>
      <c r="H921" s="590"/>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590"/>
      <c r="D922" s="590"/>
      <c r="E922" s="590"/>
      <c r="F922" s="590"/>
      <c r="G922" s="590"/>
      <c r="H922" s="590"/>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590"/>
      <c r="D923" s="590"/>
      <c r="E923" s="590"/>
      <c r="F923" s="590"/>
      <c r="G923" s="590"/>
      <c r="H923" s="590"/>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590"/>
      <c r="D924" s="590"/>
      <c r="E924" s="590"/>
      <c r="F924" s="590"/>
      <c r="G924" s="590"/>
      <c r="H924" s="590"/>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590"/>
      <c r="D925" s="590"/>
      <c r="E925" s="590"/>
      <c r="F925" s="590"/>
      <c r="G925" s="590"/>
      <c r="H925" s="590"/>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590"/>
      <c r="D926" s="590"/>
      <c r="E926" s="590"/>
      <c r="F926" s="590"/>
      <c r="G926" s="590"/>
      <c r="H926" s="590"/>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590"/>
      <c r="D927" s="590"/>
      <c r="E927" s="590"/>
      <c r="F927" s="590"/>
      <c r="G927" s="590"/>
      <c r="H927" s="590"/>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590"/>
      <c r="D928" s="590"/>
      <c r="E928" s="590"/>
      <c r="F928" s="590"/>
      <c r="G928" s="590"/>
      <c r="H928" s="590"/>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590"/>
      <c r="D929" s="590"/>
      <c r="E929" s="590"/>
      <c r="F929" s="590"/>
      <c r="G929" s="590"/>
      <c r="H929" s="590"/>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590"/>
      <c r="D930" s="590"/>
      <c r="E930" s="590"/>
      <c r="F930" s="590"/>
      <c r="G930" s="590"/>
      <c r="H930" s="590"/>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590"/>
      <c r="D931" s="590"/>
      <c r="E931" s="590"/>
      <c r="F931" s="590"/>
      <c r="G931" s="590"/>
      <c r="H931" s="590"/>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590"/>
      <c r="D932" s="590"/>
      <c r="E932" s="590"/>
      <c r="F932" s="590"/>
      <c r="G932" s="590"/>
      <c r="H932" s="590"/>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590"/>
      <c r="D933" s="590"/>
      <c r="E933" s="590"/>
      <c r="F933" s="590"/>
      <c r="G933" s="590"/>
      <c r="H933" s="590"/>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590"/>
      <c r="D934" s="590"/>
      <c r="E934" s="590"/>
      <c r="F934" s="590"/>
      <c r="G934" s="590"/>
      <c r="H934" s="590"/>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590"/>
      <c r="D935" s="590"/>
      <c r="E935" s="590"/>
      <c r="F935" s="590"/>
      <c r="G935" s="590"/>
      <c r="H935" s="590"/>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590"/>
      <c r="D936" s="590"/>
      <c r="E936" s="590"/>
      <c r="F936" s="590"/>
      <c r="G936" s="590"/>
      <c r="H936" s="590"/>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590"/>
      <c r="D937" s="590"/>
      <c r="E937" s="590"/>
      <c r="F937" s="590"/>
      <c r="G937" s="590"/>
      <c r="H937" s="590"/>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590"/>
      <c r="D938" s="590"/>
      <c r="E938" s="590"/>
      <c r="F938" s="590"/>
      <c r="G938" s="590"/>
      <c r="H938" s="590"/>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590"/>
      <c r="D939" s="590"/>
      <c r="E939" s="590"/>
      <c r="F939" s="590"/>
      <c r="G939" s="590"/>
      <c r="H939" s="590"/>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590"/>
      <c r="D940" s="590"/>
      <c r="E940" s="590"/>
      <c r="F940" s="590"/>
      <c r="G940" s="590"/>
      <c r="H940" s="590"/>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590"/>
      <c r="D941" s="590"/>
      <c r="E941" s="590"/>
      <c r="F941" s="590"/>
      <c r="G941" s="590"/>
      <c r="H941" s="590"/>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590"/>
      <c r="D942" s="590"/>
      <c r="E942" s="590"/>
      <c r="F942" s="590"/>
      <c r="G942" s="590"/>
      <c r="H942" s="590"/>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590"/>
      <c r="D943" s="590"/>
      <c r="E943" s="590"/>
      <c r="F943" s="590"/>
      <c r="G943" s="590"/>
      <c r="H943" s="590"/>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590"/>
      <c r="D944" s="590"/>
      <c r="E944" s="590"/>
      <c r="F944" s="590"/>
      <c r="G944" s="590"/>
      <c r="H944" s="590"/>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590"/>
      <c r="D945" s="590"/>
      <c r="E945" s="590"/>
      <c r="F945" s="590"/>
      <c r="G945" s="590"/>
      <c r="H945" s="590"/>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590"/>
      <c r="D946" s="590"/>
      <c r="E946" s="590"/>
      <c r="F946" s="590"/>
      <c r="G946" s="590"/>
      <c r="H946" s="590"/>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590"/>
      <c r="D947" s="590"/>
      <c r="E947" s="590"/>
      <c r="F947" s="590"/>
      <c r="G947" s="590"/>
      <c r="H947" s="590"/>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590"/>
      <c r="D948" s="590"/>
      <c r="E948" s="590"/>
      <c r="F948" s="590"/>
      <c r="G948" s="590"/>
      <c r="H948" s="590"/>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590"/>
      <c r="D949" s="590"/>
      <c r="E949" s="590"/>
      <c r="F949" s="590"/>
      <c r="G949" s="590"/>
      <c r="H949" s="590"/>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590"/>
      <c r="D950" s="590"/>
      <c r="E950" s="590"/>
      <c r="F950" s="590"/>
      <c r="G950" s="590"/>
      <c r="H950" s="590"/>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590"/>
      <c r="D951" s="590"/>
      <c r="E951" s="590"/>
      <c r="F951" s="590"/>
      <c r="G951" s="590"/>
      <c r="H951" s="590"/>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590"/>
      <c r="D952" s="590"/>
      <c r="E952" s="590"/>
      <c r="F952" s="590"/>
      <c r="G952" s="590"/>
      <c r="H952" s="590"/>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590"/>
      <c r="D953" s="590"/>
      <c r="E953" s="590"/>
      <c r="F953" s="590"/>
      <c r="G953" s="590"/>
      <c r="H953" s="590"/>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590"/>
      <c r="D954" s="590"/>
      <c r="E954" s="590"/>
      <c r="F954" s="590"/>
      <c r="G954" s="590"/>
      <c r="H954" s="590"/>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590"/>
      <c r="D955" s="590"/>
      <c r="E955" s="590"/>
      <c r="F955" s="590"/>
      <c r="G955" s="590"/>
      <c r="H955" s="590"/>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590"/>
      <c r="D956" s="590"/>
      <c r="E956" s="590"/>
      <c r="F956" s="590"/>
      <c r="G956" s="590"/>
      <c r="H956" s="590"/>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590"/>
      <c r="D957" s="590"/>
      <c r="E957" s="590"/>
      <c r="F957" s="590"/>
      <c r="G957" s="590"/>
      <c r="H957" s="590"/>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590"/>
      <c r="D958" s="590"/>
      <c r="E958" s="590"/>
      <c r="F958" s="590"/>
      <c r="G958" s="590"/>
      <c r="H958" s="590"/>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590"/>
      <c r="D959" s="590"/>
      <c r="E959" s="590"/>
      <c r="F959" s="590"/>
      <c r="G959" s="590"/>
      <c r="H959" s="590"/>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590"/>
      <c r="D960" s="590"/>
      <c r="E960" s="590"/>
      <c r="F960" s="590"/>
      <c r="G960" s="590"/>
      <c r="H960" s="590"/>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590"/>
      <c r="D961" s="590"/>
      <c r="E961" s="590"/>
      <c r="F961" s="590"/>
      <c r="G961" s="590"/>
      <c r="H961" s="590"/>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590"/>
      <c r="D962" s="590"/>
      <c r="E962" s="590"/>
      <c r="F962" s="590"/>
      <c r="G962" s="590"/>
      <c r="H962" s="590"/>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590"/>
      <c r="D963" s="590"/>
      <c r="E963" s="590"/>
      <c r="F963" s="590"/>
      <c r="G963" s="590"/>
      <c r="H963" s="590"/>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590"/>
      <c r="D964" s="590"/>
      <c r="E964" s="590"/>
      <c r="F964" s="590"/>
      <c r="G964" s="590"/>
      <c r="H964" s="590"/>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590"/>
      <c r="D965" s="590"/>
      <c r="E965" s="590"/>
      <c r="F965" s="590"/>
      <c r="G965" s="590"/>
      <c r="H965" s="590"/>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590"/>
      <c r="D966" s="590"/>
      <c r="E966" s="590"/>
      <c r="F966" s="590"/>
      <c r="G966" s="590"/>
      <c r="H966" s="590"/>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590"/>
      <c r="D967" s="590"/>
      <c r="E967" s="590"/>
      <c r="F967" s="590"/>
      <c r="G967" s="590"/>
      <c r="H967" s="590"/>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590"/>
      <c r="D968" s="590"/>
      <c r="E968" s="590"/>
      <c r="F968" s="590"/>
      <c r="G968" s="590"/>
      <c r="H968" s="590"/>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590"/>
      <c r="D969" s="590"/>
      <c r="E969" s="590"/>
      <c r="F969" s="590"/>
      <c r="G969" s="590"/>
      <c r="H969" s="590"/>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590"/>
      <c r="D970" s="590"/>
      <c r="E970" s="590"/>
      <c r="F970" s="590"/>
      <c r="G970" s="590"/>
      <c r="H970" s="590"/>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590"/>
      <c r="D971" s="590"/>
      <c r="E971" s="590"/>
      <c r="F971" s="590"/>
      <c r="G971" s="590"/>
      <c r="H971" s="590"/>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590"/>
      <c r="D972" s="590"/>
      <c r="E972" s="590"/>
      <c r="F972" s="590"/>
      <c r="G972" s="590"/>
      <c r="H972" s="590"/>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590"/>
      <c r="D973" s="590"/>
      <c r="E973" s="590"/>
      <c r="F973" s="590"/>
      <c r="G973" s="590"/>
      <c r="H973" s="590"/>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590"/>
      <c r="D974" s="590"/>
      <c r="E974" s="590"/>
      <c r="F974" s="590"/>
      <c r="G974" s="590"/>
      <c r="H974" s="590"/>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590"/>
      <c r="D975" s="590"/>
      <c r="E975" s="590"/>
      <c r="F975" s="590"/>
      <c r="G975" s="590"/>
      <c r="H975" s="590"/>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590"/>
      <c r="D976" s="590"/>
      <c r="E976" s="590"/>
      <c r="F976" s="590"/>
      <c r="G976" s="590"/>
      <c r="H976" s="590"/>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590"/>
      <c r="D977" s="590"/>
      <c r="E977" s="590"/>
      <c r="F977" s="590"/>
      <c r="G977" s="590"/>
      <c r="H977" s="590"/>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590"/>
      <c r="D978" s="590"/>
      <c r="E978" s="590"/>
      <c r="F978" s="590"/>
      <c r="G978" s="590"/>
      <c r="H978" s="590"/>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590"/>
      <c r="D979" s="590"/>
      <c r="E979" s="590"/>
      <c r="F979" s="590"/>
      <c r="G979" s="590"/>
      <c r="H979" s="590"/>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590"/>
      <c r="D980" s="590"/>
      <c r="E980" s="590"/>
      <c r="F980" s="590"/>
      <c r="G980" s="590"/>
      <c r="H980" s="590"/>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590"/>
      <c r="D981" s="590"/>
      <c r="E981" s="590"/>
      <c r="F981" s="590"/>
      <c r="G981" s="590"/>
      <c r="H981" s="590"/>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590"/>
      <c r="D982" s="590"/>
      <c r="E982" s="590"/>
      <c r="F982" s="590"/>
      <c r="G982" s="590"/>
      <c r="H982" s="590"/>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590"/>
      <c r="D983" s="590"/>
      <c r="E983" s="590"/>
      <c r="F983" s="590"/>
      <c r="G983" s="590"/>
      <c r="H983" s="590"/>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590"/>
      <c r="D984" s="590"/>
      <c r="E984" s="590"/>
      <c r="F984" s="590"/>
      <c r="G984" s="590"/>
      <c r="H984" s="590"/>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590"/>
      <c r="D985" s="590"/>
      <c r="E985" s="590"/>
      <c r="F985" s="590"/>
      <c r="G985" s="590"/>
      <c r="H985" s="590"/>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590"/>
      <c r="D986" s="590"/>
      <c r="E986" s="590"/>
      <c r="F986" s="590"/>
      <c r="G986" s="590"/>
      <c r="H986" s="590"/>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590"/>
      <c r="D987" s="590"/>
      <c r="E987" s="590"/>
      <c r="F987" s="590"/>
      <c r="G987" s="590"/>
      <c r="H987" s="590"/>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590"/>
      <c r="D988" s="590"/>
      <c r="E988" s="590"/>
      <c r="F988" s="590"/>
      <c r="G988" s="590"/>
      <c r="H988" s="590"/>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590"/>
      <c r="D989" s="590"/>
      <c r="E989" s="590"/>
      <c r="F989" s="590"/>
      <c r="G989" s="590"/>
      <c r="H989" s="590"/>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590"/>
      <c r="D990" s="590"/>
      <c r="E990" s="590"/>
      <c r="F990" s="590"/>
      <c r="G990" s="590"/>
      <c r="H990" s="590"/>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590"/>
      <c r="D991" s="590"/>
      <c r="E991" s="590"/>
      <c r="F991" s="590"/>
      <c r="G991" s="590"/>
      <c r="H991" s="590"/>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590"/>
      <c r="D992" s="590"/>
      <c r="E992" s="590"/>
      <c r="F992" s="590"/>
      <c r="G992" s="590"/>
      <c r="H992" s="590"/>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590"/>
      <c r="D993" s="590"/>
      <c r="E993" s="590"/>
      <c r="F993" s="590"/>
      <c r="G993" s="590"/>
      <c r="H993" s="590"/>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590"/>
      <c r="D994" s="590"/>
      <c r="E994" s="590"/>
      <c r="F994" s="590"/>
      <c r="G994" s="590"/>
      <c r="H994" s="590"/>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590"/>
      <c r="D995" s="590"/>
      <c r="E995" s="590"/>
      <c r="F995" s="590"/>
      <c r="G995" s="590"/>
      <c r="H995" s="590"/>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590"/>
      <c r="D996" s="590"/>
      <c r="E996" s="590"/>
      <c r="F996" s="590"/>
      <c r="G996" s="590"/>
      <c r="H996" s="590"/>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590"/>
      <c r="D997" s="590"/>
      <c r="E997" s="590"/>
      <c r="F997" s="590"/>
      <c r="G997" s="590"/>
      <c r="H997" s="590"/>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590"/>
      <c r="D998" s="590"/>
      <c r="E998" s="590"/>
      <c r="F998" s="590"/>
      <c r="G998" s="590"/>
      <c r="H998" s="590"/>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590"/>
      <c r="D999" s="590"/>
      <c r="E999" s="590"/>
      <c r="F999" s="590"/>
      <c r="G999" s="590"/>
      <c r="H999" s="590"/>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590"/>
      <c r="D1000" s="590"/>
      <c r="E1000" s="590"/>
      <c r="F1000" s="590"/>
      <c r="G1000" s="590"/>
      <c r="H1000" s="590"/>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6">
    <mergeCell ref="A1:H1"/>
    <mergeCell ref="A2:H2"/>
    <mergeCell ref="A3:H3"/>
    <mergeCell ref="A4:H4"/>
    <mergeCell ref="A5:B6"/>
    <mergeCell ref="C5:G5"/>
    <mergeCell ref="H5:H6"/>
    <mergeCell ref="E74:H75"/>
    <mergeCell ref="E76:H77"/>
    <mergeCell ref="A39:B39"/>
    <mergeCell ref="A59:B59"/>
    <mergeCell ref="A61:B61"/>
    <mergeCell ref="A64:B64"/>
    <mergeCell ref="A70:H71"/>
    <mergeCell ref="B74:C75"/>
    <mergeCell ref="B76:C77"/>
  </mergeCells>
  <conditionalFormatting sqref="C16:C26">
    <cfRule type="containsBlanks" dxfId="18" priority="1" stopIfTrue="1">
      <formula>LEN(TRIM(C16))=0</formula>
    </cfRule>
  </conditionalFormatting>
  <conditionalFormatting sqref="D16:D26">
    <cfRule type="containsBlanks" dxfId="17" priority="2" stopIfTrue="1">
      <formula>LEN(TRIM(D16))=0</formula>
    </cfRule>
  </conditionalFormatting>
  <conditionalFormatting sqref="D28:D32">
    <cfRule type="containsBlanks" dxfId="16" priority="3" stopIfTrue="1">
      <formula>LEN(TRIM(D28))=0</formula>
    </cfRule>
  </conditionalFormatting>
  <conditionalFormatting sqref="C45:C46">
    <cfRule type="containsBlanks" dxfId="15" priority="4" stopIfTrue="1">
      <formula>LEN(TRIM(C45))=0</formula>
    </cfRule>
  </conditionalFormatting>
  <conditionalFormatting sqref="C52:C55">
    <cfRule type="containsBlanks" dxfId="14" priority="5" stopIfTrue="1">
      <formula>LEN(TRIM(C52))=0</formula>
    </cfRule>
  </conditionalFormatting>
  <conditionalFormatting sqref="C57:C58">
    <cfRule type="containsBlanks" dxfId="13" priority="6" stopIfTrue="1">
      <formula>LEN(TRIM(C57))=0</formula>
    </cfRule>
  </conditionalFormatting>
  <conditionalFormatting sqref="C66:C67">
    <cfRule type="containsBlanks" dxfId="12" priority="7" stopIfTrue="1">
      <formula>LEN(TRIM(C66))=0</formula>
    </cfRule>
  </conditionalFormatting>
  <conditionalFormatting sqref="C37">
    <cfRule type="containsBlanks" dxfId="11" priority="8" stopIfTrue="1">
      <formula>LEN(TRIM(C37))=0</formula>
    </cfRule>
  </conditionalFormatting>
  <conditionalFormatting sqref="C28">
    <cfRule type="containsBlanks" dxfId="10" priority="9" stopIfTrue="1">
      <formula>LEN(TRIM(C28))=0</formula>
    </cfRule>
  </conditionalFormatting>
  <conditionalFormatting sqref="C29:C32">
    <cfRule type="containsBlanks" dxfId="9" priority="10" stopIfTrue="1">
      <formula>LEN(TRIM(C29))=0</formula>
    </cfRule>
  </conditionalFormatting>
  <conditionalFormatting sqref="D37">
    <cfRule type="containsBlanks" dxfId="8" priority="11" stopIfTrue="1">
      <formula>LEN(TRIM(D37))=0</formula>
    </cfRule>
  </conditionalFormatting>
  <conditionalFormatting sqref="D45">
    <cfRule type="containsBlanks" dxfId="7" priority="12" stopIfTrue="1">
      <formula>LEN(TRIM(D45))=0</formula>
    </cfRule>
  </conditionalFormatting>
  <conditionalFormatting sqref="D46">
    <cfRule type="containsBlanks" dxfId="6" priority="13" stopIfTrue="1">
      <formula>LEN(TRIM(D46))=0</formula>
    </cfRule>
  </conditionalFormatting>
  <conditionalFormatting sqref="D52">
    <cfRule type="containsBlanks" dxfId="5" priority="14" stopIfTrue="1">
      <formula>LEN(TRIM(D52))=0</formula>
    </cfRule>
  </conditionalFormatting>
  <conditionalFormatting sqref="D53:D55">
    <cfRule type="containsBlanks" dxfId="4" priority="15" stopIfTrue="1">
      <formula>LEN(TRIM(D53))=0</formula>
    </cfRule>
  </conditionalFormatting>
  <conditionalFormatting sqref="D57">
    <cfRule type="containsBlanks" dxfId="3" priority="16" stopIfTrue="1">
      <formula>LEN(TRIM(D57))=0</formula>
    </cfRule>
  </conditionalFormatting>
  <conditionalFormatting sqref="D58">
    <cfRule type="containsBlanks" dxfId="2" priority="17" stopIfTrue="1">
      <formula>LEN(TRIM(D58))=0</formula>
    </cfRule>
  </conditionalFormatting>
  <conditionalFormatting sqref="D66">
    <cfRule type="containsBlanks" dxfId="1" priority="18" stopIfTrue="1">
      <formula>LEN(TRIM(D66))=0</formula>
    </cfRule>
  </conditionalFormatting>
  <conditionalFormatting sqref="D67">
    <cfRule type="containsBlanks" dxfId="0" priority="19" stopIfTrue="1">
      <formula>LEN(TRIM(D67))=0</formula>
    </cfRule>
  </conditionalFormatting>
  <dataValidations count="1">
    <dataValidation type="decimal" allowBlank="1" showErrorMessage="1" sqref="C8:D14 F8:G14 C16:D26 F16:G26 C28:D32 F28:G32 C35:D35 F35:G35 C37:D38 F37:G38 C45:D46 F45:G46 C52:D55 F52:G55 C57:D60 F57:G60 C63:D63 F63:G63 C66:D67 F66:G67">
      <formula1>-20000000000</formula1>
      <formula2>20000000000</formula2>
    </dataValidation>
  </dataValidations>
  <printOptions horizontalCentered="1"/>
  <pageMargins left="0.39370078740157483" right="0.39370078740157483" top="0.39370078740157483" bottom="0.23622047244094491" header="0" footer="0"/>
  <pageSetup orientation="portrait"/>
  <headerFooter>
    <oddFooter>&amp;REstado Analítico de Ingresos Detallado - LDF Página &amp;P de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85546875" customWidth="1"/>
    <col min="2" max="2" width="67.7109375" customWidth="1"/>
    <col min="3" max="8" width="18" customWidth="1"/>
    <col min="9" max="9" width="0.5703125" customWidth="1"/>
    <col min="10" max="26" width="10.7109375" customWidth="1"/>
  </cols>
  <sheetData>
    <row r="1" spans="1:26" ht="47.25" customHeight="1">
      <c r="A1" s="892" t="str">
        <f>"Nombre del Ente Público: "&amp;Validacion!A2</f>
        <v>Nombre del Ente Público: Guadalajara</v>
      </c>
      <c r="B1" s="746"/>
      <c r="C1" s="746"/>
      <c r="D1" s="746"/>
      <c r="E1" s="746"/>
      <c r="F1" s="746"/>
      <c r="G1" s="746"/>
      <c r="H1" s="747"/>
      <c r="I1" s="193"/>
      <c r="J1" s="131"/>
      <c r="K1" s="131"/>
      <c r="L1" s="131"/>
      <c r="M1" s="131"/>
      <c r="N1" s="131"/>
      <c r="O1" s="131"/>
      <c r="P1" s="131"/>
      <c r="Q1" s="131"/>
      <c r="R1" s="131"/>
      <c r="S1" s="131"/>
      <c r="T1" s="131"/>
      <c r="U1" s="131"/>
      <c r="V1" s="131"/>
      <c r="W1" s="131"/>
      <c r="X1" s="131"/>
      <c r="Y1" s="131"/>
      <c r="Z1" s="131"/>
    </row>
    <row r="2" spans="1:26" ht="18.75">
      <c r="A2" s="932" t="s">
        <v>7268</v>
      </c>
      <c r="B2" s="749"/>
      <c r="C2" s="749"/>
      <c r="D2" s="749"/>
      <c r="E2" s="749"/>
      <c r="F2" s="749"/>
      <c r="G2" s="749"/>
      <c r="H2" s="750"/>
      <c r="I2" s="621"/>
      <c r="J2" s="131"/>
      <c r="K2" s="131"/>
      <c r="L2" s="131"/>
      <c r="M2" s="131"/>
      <c r="N2" s="131"/>
      <c r="O2" s="131"/>
      <c r="P2" s="131"/>
      <c r="Q2" s="131"/>
      <c r="R2" s="131"/>
      <c r="S2" s="131"/>
      <c r="T2" s="131"/>
      <c r="U2" s="131"/>
      <c r="V2" s="131"/>
      <c r="W2" s="131"/>
      <c r="X2" s="131"/>
      <c r="Y2" s="131"/>
      <c r="Z2" s="131"/>
    </row>
    <row r="3" spans="1:26" ht="18.75" customHeight="1">
      <c r="A3" s="932" t="s">
        <v>7269</v>
      </c>
      <c r="B3" s="749"/>
      <c r="C3" s="749"/>
      <c r="D3" s="749"/>
      <c r="E3" s="749"/>
      <c r="F3" s="749"/>
      <c r="G3" s="749"/>
      <c r="H3" s="750"/>
      <c r="I3" s="622"/>
      <c r="J3" s="131"/>
      <c r="K3" s="131"/>
      <c r="L3" s="131"/>
      <c r="M3" s="131"/>
      <c r="N3" s="131"/>
      <c r="O3" s="131"/>
      <c r="P3" s="131"/>
      <c r="Q3" s="131"/>
      <c r="R3" s="131"/>
      <c r="S3" s="131"/>
      <c r="T3" s="131"/>
      <c r="U3" s="131"/>
      <c r="V3" s="131"/>
      <c r="W3" s="131"/>
      <c r="X3" s="131"/>
      <c r="Y3" s="131"/>
      <c r="Z3" s="131"/>
    </row>
    <row r="4" spans="1:26" ht="18.75">
      <c r="A4" s="751" t="e">
        <f>'F6'!A3</f>
        <v>#REF!</v>
      </c>
      <c r="B4" s="749"/>
      <c r="C4" s="749"/>
      <c r="D4" s="749"/>
      <c r="E4" s="749"/>
      <c r="F4" s="749"/>
      <c r="G4" s="749"/>
      <c r="H4" s="750"/>
      <c r="I4" s="187"/>
      <c r="J4" s="131"/>
      <c r="K4" s="131"/>
      <c r="L4" s="131"/>
      <c r="M4" s="131"/>
      <c r="N4" s="131"/>
      <c r="O4" s="131"/>
      <c r="P4" s="131"/>
      <c r="Q4" s="131"/>
      <c r="R4" s="131"/>
      <c r="S4" s="131"/>
      <c r="T4" s="131"/>
      <c r="U4" s="131"/>
      <c r="V4" s="131"/>
      <c r="W4" s="131"/>
      <c r="X4" s="131"/>
      <c r="Y4" s="131"/>
      <c r="Z4" s="131"/>
    </row>
    <row r="5" spans="1:26" ht="18.75">
      <c r="A5" s="933" t="s">
        <v>4426</v>
      </c>
      <c r="B5" s="753"/>
      <c r="C5" s="753"/>
      <c r="D5" s="753"/>
      <c r="E5" s="753"/>
      <c r="F5" s="753"/>
      <c r="G5" s="753"/>
      <c r="H5" s="754"/>
      <c r="I5" s="187"/>
      <c r="J5" s="131"/>
      <c r="K5" s="131"/>
      <c r="L5" s="131"/>
      <c r="M5" s="131"/>
      <c r="N5" s="131"/>
      <c r="O5" s="131"/>
      <c r="P5" s="131"/>
      <c r="Q5" s="131"/>
      <c r="R5" s="131"/>
      <c r="S5" s="131"/>
      <c r="T5" s="131"/>
      <c r="U5" s="131"/>
      <c r="V5" s="131"/>
      <c r="W5" s="131"/>
      <c r="X5" s="131"/>
      <c r="Y5" s="131"/>
      <c r="Z5" s="131"/>
    </row>
    <row r="6" spans="1:26" ht="15.75">
      <c r="A6" s="823" t="s">
        <v>4379</v>
      </c>
      <c r="B6" s="778"/>
      <c r="C6" s="934" t="s">
        <v>88</v>
      </c>
      <c r="D6" s="756"/>
      <c r="E6" s="756"/>
      <c r="F6" s="756"/>
      <c r="G6" s="733"/>
      <c r="H6" s="821" t="s">
        <v>6256</v>
      </c>
      <c r="I6" s="187"/>
      <c r="J6" s="131"/>
      <c r="K6" s="131"/>
      <c r="L6" s="131"/>
      <c r="M6" s="131"/>
      <c r="N6" s="131"/>
      <c r="O6" s="131"/>
      <c r="P6" s="131"/>
      <c r="Q6" s="131"/>
      <c r="R6" s="131"/>
      <c r="S6" s="131"/>
      <c r="T6" s="131"/>
      <c r="U6" s="131"/>
      <c r="V6" s="131"/>
      <c r="W6" s="131"/>
      <c r="X6" s="131"/>
      <c r="Y6" s="131"/>
      <c r="Z6" s="131"/>
    </row>
    <row r="7" spans="1:26" ht="24">
      <c r="A7" s="779"/>
      <c r="B7" s="780"/>
      <c r="C7" s="252" t="s">
        <v>6257</v>
      </c>
      <c r="D7" s="252" t="s">
        <v>4431</v>
      </c>
      <c r="E7" s="252" t="s">
        <v>4432</v>
      </c>
      <c r="F7" s="252" t="s">
        <v>4433</v>
      </c>
      <c r="G7" s="252" t="s">
        <v>6258</v>
      </c>
      <c r="H7" s="730"/>
      <c r="I7" s="307"/>
      <c r="J7" s="131"/>
      <c r="K7" s="131"/>
      <c r="L7" s="131"/>
      <c r="M7" s="131"/>
      <c r="N7" s="131"/>
      <c r="O7" s="131"/>
      <c r="P7" s="131"/>
      <c r="Q7" s="131"/>
      <c r="R7" s="131"/>
      <c r="S7" s="131"/>
      <c r="T7" s="131"/>
      <c r="U7" s="131"/>
      <c r="V7" s="131"/>
      <c r="W7" s="131"/>
      <c r="X7" s="131"/>
      <c r="Y7" s="131"/>
      <c r="Z7" s="131"/>
    </row>
    <row r="8" spans="1:26">
      <c r="A8" s="623" t="s">
        <v>4389</v>
      </c>
      <c r="B8" s="624"/>
      <c r="C8" s="625">
        <f t="shared" ref="C8:D8" si="0">SUM(C9:C15)</f>
        <v>5678059773.5</v>
      </c>
      <c r="D8" s="625">
        <f t="shared" si="0"/>
        <v>35939100</v>
      </c>
      <c r="E8" s="625">
        <f t="shared" ref="E8:E79" si="1">C8+D8</f>
        <v>5713998873.5</v>
      </c>
      <c r="F8" s="625">
        <f t="shared" ref="F8:G8" si="2">SUM(F9:F15)</f>
        <v>2255249455.52</v>
      </c>
      <c r="G8" s="625">
        <f t="shared" si="2"/>
        <v>2255249455.52</v>
      </c>
      <c r="H8" s="625">
        <f t="shared" ref="H8:H79" si="3">E8-F8</f>
        <v>3458749417.98</v>
      </c>
      <c r="I8" s="131"/>
      <c r="J8" s="131"/>
      <c r="K8" s="131"/>
      <c r="L8" s="131"/>
      <c r="M8" s="131"/>
      <c r="N8" s="131"/>
      <c r="O8" s="131"/>
      <c r="P8" s="131"/>
      <c r="Q8" s="131"/>
      <c r="R8" s="131"/>
      <c r="S8" s="131"/>
      <c r="T8" s="131"/>
      <c r="U8" s="131"/>
      <c r="V8" s="131"/>
      <c r="W8" s="131"/>
      <c r="X8" s="131"/>
      <c r="Y8" s="131"/>
      <c r="Z8" s="131"/>
    </row>
    <row r="9" spans="1:26" ht="15.75">
      <c r="A9" s="190"/>
      <c r="B9" s="626" t="s">
        <v>7270</v>
      </c>
      <c r="C9" s="153">
        <f>SUM(Balanza!H1269:H1270)</f>
        <v>2940418309.3099999</v>
      </c>
      <c r="D9" s="153">
        <f>SUM(Balanza!H1541:H1542)</f>
        <v>0</v>
      </c>
      <c r="E9" s="627">
        <f t="shared" si="1"/>
        <v>2940418309.3099999</v>
      </c>
      <c r="F9" s="153">
        <f>SUM(Balanza!E1813:E1814)</f>
        <v>1316857737.0699999</v>
      </c>
      <c r="G9" s="153">
        <f>SUM(Balanza!G2085:G2086)</f>
        <v>1316857737.0699999</v>
      </c>
      <c r="H9" s="627">
        <f t="shared" si="3"/>
        <v>1623560572.24</v>
      </c>
      <c r="I9" s="131"/>
      <c r="J9" s="126"/>
      <c r="K9" s="126"/>
      <c r="L9" s="126"/>
      <c r="M9" s="126"/>
      <c r="N9" s="126"/>
      <c r="O9" s="126"/>
      <c r="P9" s="126"/>
      <c r="Q9" s="126"/>
      <c r="R9" s="126"/>
      <c r="S9" s="126"/>
      <c r="T9" s="126"/>
      <c r="U9" s="126"/>
      <c r="V9" s="126"/>
      <c r="W9" s="126"/>
      <c r="X9" s="126"/>
      <c r="Y9" s="126"/>
      <c r="Z9" s="126"/>
    </row>
    <row r="10" spans="1:26" ht="15.75">
      <c r="A10" s="188"/>
      <c r="B10" s="626" t="s">
        <v>7271</v>
      </c>
      <c r="C10" s="153">
        <f>SUM(Balanza!H1271:H1272)</f>
        <v>530867575.31999999</v>
      </c>
      <c r="D10" s="153">
        <f>SUM(Balanza!H1543:H1544)</f>
        <v>0</v>
      </c>
      <c r="E10" s="627">
        <f t="shared" si="1"/>
        <v>530867575.31999999</v>
      </c>
      <c r="F10" s="153">
        <f>SUM(Balanza!E1815:E1816)</f>
        <v>170697462.55000001</v>
      </c>
      <c r="G10" s="153">
        <f>SUM(Balanza!G2087:G2088)</f>
        <v>170697462.55000001</v>
      </c>
      <c r="H10" s="627">
        <f t="shared" si="3"/>
        <v>360170112.76999998</v>
      </c>
      <c r="I10" s="131"/>
      <c r="J10" s="126"/>
      <c r="K10" s="126"/>
      <c r="L10" s="126"/>
      <c r="M10" s="126"/>
      <c r="N10" s="126"/>
      <c r="O10" s="126"/>
      <c r="P10" s="126"/>
      <c r="Q10" s="126"/>
      <c r="R10" s="126"/>
      <c r="S10" s="126"/>
      <c r="T10" s="126"/>
      <c r="U10" s="126"/>
      <c r="V10" s="126"/>
      <c r="W10" s="126"/>
      <c r="X10" s="126"/>
      <c r="Y10" s="126"/>
      <c r="Z10" s="126"/>
    </row>
    <row r="11" spans="1:26" ht="15.75">
      <c r="A11" s="188"/>
      <c r="B11" s="626" t="s">
        <v>7272</v>
      </c>
      <c r="C11" s="153">
        <f>SUM(Balanza!H1273:H1274)</f>
        <v>621936119.51999998</v>
      </c>
      <c r="D11" s="153">
        <f>SUM(Balanza!H1545:H1546)</f>
        <v>0</v>
      </c>
      <c r="E11" s="627">
        <f t="shared" si="1"/>
        <v>621936119.51999998</v>
      </c>
      <c r="F11" s="153">
        <f>SUM(Balanza!E1817:E1818)</f>
        <v>94863388.640000001</v>
      </c>
      <c r="G11" s="153">
        <f>SUM(Balanza!G2089:G2090)</f>
        <v>94863388.640000001</v>
      </c>
      <c r="H11" s="627">
        <f t="shared" si="3"/>
        <v>527072730.88</v>
      </c>
      <c r="I11" s="131"/>
      <c r="J11" s="126"/>
      <c r="K11" s="126"/>
      <c r="L11" s="126"/>
      <c r="M11" s="126"/>
      <c r="N11" s="126"/>
      <c r="O11" s="126"/>
      <c r="P11" s="126"/>
      <c r="Q11" s="126"/>
      <c r="R11" s="126"/>
      <c r="S11" s="126"/>
      <c r="T11" s="126"/>
      <c r="U11" s="126"/>
      <c r="V11" s="126"/>
      <c r="W11" s="126"/>
      <c r="X11" s="126"/>
      <c r="Y11" s="126"/>
      <c r="Z11" s="126"/>
    </row>
    <row r="12" spans="1:26" ht="15.75">
      <c r="A12" s="188"/>
      <c r="B12" s="626" t="s">
        <v>7273</v>
      </c>
      <c r="C12" s="153">
        <f>SUM(Balanza!H1275:H1276)</f>
        <v>1026073081.5599999</v>
      </c>
      <c r="D12" s="153">
        <f>SUM(Balanza!H1547:H1548)</f>
        <v>14337685.26</v>
      </c>
      <c r="E12" s="627">
        <f t="shared" si="1"/>
        <v>1040410766.8199999</v>
      </c>
      <c r="F12" s="153">
        <f>SUM(Balanza!E1819:E1820)</f>
        <v>439151401.88</v>
      </c>
      <c r="G12" s="153">
        <f>SUM(Balanza!G2091:G2092)</f>
        <v>439151401.88</v>
      </c>
      <c r="H12" s="627">
        <f t="shared" si="3"/>
        <v>601259364.93999994</v>
      </c>
      <c r="I12" s="131"/>
      <c r="J12" s="126"/>
      <c r="K12" s="126"/>
      <c r="L12" s="126"/>
      <c r="M12" s="126"/>
      <c r="N12" s="126"/>
      <c r="O12" s="126"/>
      <c r="P12" s="126"/>
      <c r="Q12" s="126"/>
      <c r="R12" s="126"/>
      <c r="S12" s="126"/>
      <c r="T12" s="126"/>
      <c r="U12" s="126"/>
      <c r="V12" s="126"/>
      <c r="W12" s="126"/>
      <c r="X12" s="126"/>
      <c r="Y12" s="126"/>
      <c r="Z12" s="126"/>
    </row>
    <row r="13" spans="1:26" ht="15.75">
      <c r="A13" s="188"/>
      <c r="B13" s="626" t="s">
        <v>7274</v>
      </c>
      <c r="C13" s="153">
        <f>SUM(Balanza!H1277:H1278)</f>
        <v>558764687.78999996</v>
      </c>
      <c r="D13" s="153">
        <f>SUM(Balanza!H1549:H1550)</f>
        <v>21601414.739999998</v>
      </c>
      <c r="E13" s="627">
        <f t="shared" si="1"/>
        <v>580366102.52999997</v>
      </c>
      <c r="F13" s="153">
        <f>SUM(Balanza!E1821:E1822)</f>
        <v>233679465.38</v>
      </c>
      <c r="G13" s="153">
        <f>SUM(Balanza!G2093:G2094)</f>
        <v>233679465.38</v>
      </c>
      <c r="H13" s="627">
        <f t="shared" si="3"/>
        <v>346686637.14999998</v>
      </c>
      <c r="I13" s="131"/>
      <c r="J13" s="126"/>
      <c r="K13" s="126"/>
      <c r="L13" s="126"/>
      <c r="M13" s="126"/>
      <c r="N13" s="126"/>
      <c r="O13" s="126"/>
      <c r="P13" s="126"/>
      <c r="Q13" s="126"/>
      <c r="R13" s="126"/>
      <c r="S13" s="126"/>
      <c r="T13" s="126"/>
      <c r="U13" s="126"/>
      <c r="V13" s="126"/>
      <c r="W13" s="126"/>
      <c r="X13" s="126"/>
      <c r="Y13" s="126"/>
      <c r="Z13" s="126"/>
    </row>
    <row r="14" spans="1:26" ht="15.75">
      <c r="A14" s="188"/>
      <c r="B14" s="626" t="s">
        <v>7275</v>
      </c>
      <c r="C14" s="153">
        <f>SUM(Balanza!H1279:H1280)</f>
        <v>0</v>
      </c>
      <c r="D14" s="153">
        <f>SUM(Balanza!H1551:H1552)</f>
        <v>0</v>
      </c>
      <c r="E14" s="627">
        <f t="shared" si="1"/>
        <v>0</v>
      </c>
      <c r="F14" s="153">
        <f>SUM(Balanza!E1823:E1824)</f>
        <v>0</v>
      </c>
      <c r="G14" s="153">
        <f>SUM(Balanza!G2095:G2096)</f>
        <v>0</v>
      </c>
      <c r="H14" s="627">
        <f t="shared" si="3"/>
        <v>0</v>
      </c>
      <c r="I14" s="131"/>
      <c r="J14" s="126"/>
      <c r="K14" s="126"/>
      <c r="L14" s="126"/>
      <c r="M14" s="126"/>
      <c r="N14" s="126"/>
      <c r="O14" s="126"/>
      <c r="P14" s="126"/>
      <c r="Q14" s="126"/>
      <c r="R14" s="126"/>
      <c r="S14" s="126"/>
      <c r="T14" s="126"/>
      <c r="U14" s="126"/>
      <c r="V14" s="126"/>
      <c r="W14" s="126"/>
      <c r="X14" s="126"/>
      <c r="Y14" s="126"/>
      <c r="Z14" s="126"/>
    </row>
    <row r="15" spans="1:26" ht="15.75">
      <c r="A15" s="188"/>
      <c r="B15" s="628" t="s">
        <v>7276</v>
      </c>
      <c r="C15" s="239">
        <f>SUM(Balanza!H1281:H1282)</f>
        <v>0</v>
      </c>
      <c r="D15" s="239">
        <f>SUM(Balanza!H1553:H1554)</f>
        <v>0</v>
      </c>
      <c r="E15" s="629">
        <f t="shared" si="1"/>
        <v>0</v>
      </c>
      <c r="F15" s="239">
        <f>SUM(Balanza!E1825:E1826)</f>
        <v>0</v>
      </c>
      <c r="G15" s="239">
        <f>SUM(Balanza!G2097:G2098)</f>
        <v>0</v>
      </c>
      <c r="H15" s="629">
        <f t="shared" si="3"/>
        <v>0</v>
      </c>
      <c r="I15" s="131"/>
      <c r="J15" s="126"/>
      <c r="K15" s="126"/>
      <c r="L15" s="126"/>
      <c r="M15" s="126"/>
      <c r="N15" s="126"/>
      <c r="O15" s="126"/>
      <c r="P15" s="126"/>
      <c r="Q15" s="126"/>
      <c r="R15" s="126"/>
      <c r="S15" s="126"/>
      <c r="T15" s="126"/>
      <c r="U15" s="126"/>
      <c r="V15" s="126"/>
      <c r="W15" s="126"/>
      <c r="X15" s="126"/>
      <c r="Y15" s="126"/>
      <c r="Z15" s="126"/>
    </row>
    <row r="16" spans="1:26">
      <c r="A16" s="597" t="s">
        <v>4390</v>
      </c>
      <c r="B16" s="630"/>
      <c r="C16" s="631">
        <f t="shared" ref="C16:D16" si="4">SUM(C17:C25)</f>
        <v>754953776.33999991</v>
      </c>
      <c r="D16" s="631">
        <f t="shared" si="4"/>
        <v>-19918474.669999998</v>
      </c>
      <c r="E16" s="631">
        <f t="shared" si="1"/>
        <v>735035301.66999996</v>
      </c>
      <c r="F16" s="631">
        <f t="shared" ref="F16:G16" si="5">SUM(F17:F25)</f>
        <v>124168010.78</v>
      </c>
      <c r="G16" s="631">
        <f t="shared" si="5"/>
        <v>124155450.00999999</v>
      </c>
      <c r="H16" s="631">
        <f t="shared" si="3"/>
        <v>610867290.88999999</v>
      </c>
      <c r="I16" s="131"/>
      <c r="J16" s="131"/>
      <c r="K16" s="131"/>
      <c r="L16" s="131"/>
      <c r="M16" s="131"/>
      <c r="N16" s="131"/>
      <c r="O16" s="131"/>
      <c r="P16" s="131"/>
      <c r="Q16" s="131"/>
      <c r="R16" s="131"/>
      <c r="S16" s="131"/>
      <c r="T16" s="131"/>
      <c r="U16" s="131"/>
      <c r="V16" s="131"/>
      <c r="W16" s="131"/>
      <c r="X16" s="131"/>
      <c r="Y16" s="131"/>
      <c r="Z16" s="131"/>
    </row>
    <row r="17" spans="1:26" ht="30">
      <c r="A17" s="186"/>
      <c r="B17" s="632" t="s">
        <v>7277</v>
      </c>
      <c r="C17" s="633">
        <f>SUM(Balanza!H1284:H1285)</f>
        <v>92406689.590000004</v>
      </c>
      <c r="D17" s="633">
        <f>SUM(Balanza!H1556:H1557)</f>
        <v>-1258039.3700000001</v>
      </c>
      <c r="E17" s="634">
        <f t="shared" si="1"/>
        <v>91148650.219999999</v>
      </c>
      <c r="F17" s="633">
        <f>SUM(Balanza!E1828:E1829)</f>
        <v>1301320.5</v>
      </c>
      <c r="G17" s="633">
        <f>SUM(Balanza!G2100:G2101)</f>
        <v>1300530.51</v>
      </c>
      <c r="H17" s="634">
        <f t="shared" si="3"/>
        <v>89847329.719999999</v>
      </c>
      <c r="I17" s="131"/>
      <c r="J17" s="126"/>
      <c r="K17" s="126"/>
      <c r="L17" s="126"/>
      <c r="M17" s="126"/>
      <c r="N17" s="126"/>
      <c r="O17" s="126"/>
      <c r="P17" s="126"/>
      <c r="Q17" s="126"/>
      <c r="R17" s="126"/>
      <c r="S17" s="126"/>
      <c r="T17" s="126"/>
      <c r="U17" s="126"/>
      <c r="V17" s="126"/>
      <c r="W17" s="126"/>
      <c r="X17" s="126"/>
      <c r="Y17" s="126"/>
      <c r="Z17" s="126"/>
    </row>
    <row r="18" spans="1:26" ht="15.75">
      <c r="A18" s="186"/>
      <c r="B18" s="626" t="s">
        <v>7278</v>
      </c>
      <c r="C18" s="153">
        <f>SUM(Balanza!H1286:H1287)</f>
        <v>21596396.399999999</v>
      </c>
      <c r="D18" s="153">
        <f>SUM(Balanza!H1558:H1559)</f>
        <v>-1292864.03</v>
      </c>
      <c r="E18" s="627">
        <f t="shared" si="1"/>
        <v>20303532.369999997</v>
      </c>
      <c r="F18" s="153">
        <f>SUM(Balanza!E1830:E1831)</f>
        <v>3823039.63</v>
      </c>
      <c r="G18" s="153">
        <f>SUM(Balanza!G2102:G2103)</f>
        <v>3822940.63</v>
      </c>
      <c r="H18" s="627">
        <f t="shared" si="3"/>
        <v>16480492.739999998</v>
      </c>
      <c r="I18" s="131"/>
      <c r="J18" s="126"/>
      <c r="K18" s="126"/>
      <c r="L18" s="126"/>
      <c r="M18" s="126"/>
      <c r="N18" s="126"/>
      <c r="O18" s="126"/>
      <c r="P18" s="126"/>
      <c r="Q18" s="126"/>
      <c r="R18" s="126"/>
      <c r="S18" s="126"/>
      <c r="T18" s="126"/>
      <c r="U18" s="126"/>
      <c r="V18" s="126"/>
      <c r="W18" s="126"/>
      <c r="X18" s="126"/>
      <c r="Y18" s="126"/>
      <c r="Z18" s="126"/>
    </row>
    <row r="19" spans="1:26" ht="15.75">
      <c r="A19" s="186"/>
      <c r="B19" s="626" t="s">
        <v>7279</v>
      </c>
      <c r="C19" s="153">
        <f>SUM(Balanza!H1288:H1289)</f>
        <v>2910000</v>
      </c>
      <c r="D19" s="153">
        <f>SUM(Balanza!H1560:H1561)</f>
        <v>-2457235.9900000002</v>
      </c>
      <c r="E19" s="627">
        <f t="shared" si="1"/>
        <v>452764.00999999978</v>
      </c>
      <c r="F19" s="153">
        <f>SUM(Balanza!E1832:E1833)</f>
        <v>51364.01</v>
      </c>
      <c r="G19" s="153">
        <f>SUM(Balanza!G2104:G2105)</f>
        <v>51364.01</v>
      </c>
      <c r="H19" s="627">
        <f t="shared" si="3"/>
        <v>401399.99999999977</v>
      </c>
      <c r="I19" s="131"/>
      <c r="J19" s="126"/>
      <c r="K19" s="126"/>
      <c r="L19" s="126"/>
      <c r="M19" s="126"/>
      <c r="N19" s="126"/>
      <c r="O19" s="126"/>
      <c r="P19" s="126"/>
      <c r="Q19" s="126"/>
      <c r="R19" s="126"/>
      <c r="S19" s="126"/>
      <c r="T19" s="126"/>
      <c r="U19" s="126"/>
      <c r="V19" s="126"/>
      <c r="W19" s="126"/>
      <c r="X19" s="126"/>
      <c r="Y19" s="126"/>
      <c r="Z19" s="126"/>
    </row>
    <row r="20" spans="1:26" ht="15.75">
      <c r="A20" s="186"/>
      <c r="B20" s="626" t="s">
        <v>7280</v>
      </c>
      <c r="C20" s="153">
        <f>SUM(Balanza!H1290:H1291)</f>
        <v>114091341.06999999</v>
      </c>
      <c r="D20" s="153">
        <f>SUM(Balanza!H1562:H1563)</f>
        <v>10925848.1</v>
      </c>
      <c r="E20" s="627">
        <f t="shared" si="1"/>
        <v>125017189.16999999</v>
      </c>
      <c r="F20" s="153">
        <f>SUM(Balanza!E1834:E1835)</f>
        <v>276468.64</v>
      </c>
      <c r="G20" s="153">
        <f>SUM(Balanza!G2106:G2107)</f>
        <v>264868.64</v>
      </c>
      <c r="H20" s="627">
        <f t="shared" si="3"/>
        <v>124740720.52999999</v>
      </c>
      <c r="I20" s="131"/>
      <c r="J20" s="126"/>
      <c r="K20" s="126"/>
      <c r="L20" s="126"/>
      <c r="M20" s="126"/>
      <c r="N20" s="126"/>
      <c r="O20" s="126"/>
      <c r="P20" s="126"/>
      <c r="Q20" s="126"/>
      <c r="R20" s="126"/>
      <c r="S20" s="126"/>
      <c r="T20" s="126"/>
      <c r="U20" s="126"/>
      <c r="V20" s="126"/>
      <c r="W20" s="126"/>
      <c r="X20" s="126"/>
      <c r="Y20" s="126"/>
      <c r="Z20" s="126"/>
    </row>
    <row r="21" spans="1:26" ht="15.75" customHeight="1">
      <c r="A21" s="186"/>
      <c r="B21" s="626" t="s">
        <v>7281</v>
      </c>
      <c r="C21" s="153">
        <f>SUM(Balanza!H1292:H1293)</f>
        <v>69676652</v>
      </c>
      <c r="D21" s="153">
        <f>SUM(Balanza!H1564:H1565)</f>
        <v>-2222298.71</v>
      </c>
      <c r="E21" s="627">
        <f t="shared" si="1"/>
        <v>67454353.290000007</v>
      </c>
      <c r="F21" s="153">
        <f>SUM(Balanza!E1836:E1837)</f>
        <v>3994440.76</v>
      </c>
      <c r="G21" s="153">
        <f>SUM(Balanza!G2108:G2109)</f>
        <v>3994440.76</v>
      </c>
      <c r="H21" s="627">
        <f t="shared" si="3"/>
        <v>63459912.530000009</v>
      </c>
      <c r="I21" s="131"/>
      <c r="J21" s="126"/>
      <c r="K21" s="126"/>
      <c r="L21" s="126"/>
      <c r="M21" s="126"/>
      <c r="N21" s="126"/>
      <c r="O21" s="126"/>
      <c r="P21" s="126"/>
      <c r="Q21" s="126"/>
      <c r="R21" s="126"/>
      <c r="S21" s="126"/>
      <c r="T21" s="126"/>
      <c r="U21" s="126"/>
      <c r="V21" s="126"/>
      <c r="W21" s="126"/>
      <c r="X21" s="126"/>
      <c r="Y21" s="126"/>
      <c r="Z21" s="126"/>
    </row>
    <row r="22" spans="1:26" ht="15.75" customHeight="1">
      <c r="A22" s="186"/>
      <c r="B22" s="626" t="s">
        <v>7282</v>
      </c>
      <c r="C22" s="153">
        <f>SUM(Balanza!H1294:H1295)</f>
        <v>322269350.27999997</v>
      </c>
      <c r="D22" s="153">
        <f>SUM(Balanza!H1566:H1567)</f>
        <v>-40971056.649999999</v>
      </c>
      <c r="E22" s="627">
        <f t="shared" si="1"/>
        <v>281298293.63</v>
      </c>
      <c r="F22" s="153">
        <f>SUM(Balanza!E1838:E1839)</f>
        <v>110665344.98999999</v>
      </c>
      <c r="G22" s="153">
        <f>SUM(Balanza!G2110:G2111)</f>
        <v>110665344.98999999</v>
      </c>
      <c r="H22" s="627">
        <f t="shared" si="3"/>
        <v>170632948.63999999</v>
      </c>
      <c r="I22" s="131"/>
      <c r="J22" s="126"/>
      <c r="K22" s="126"/>
      <c r="L22" s="126"/>
      <c r="M22" s="126"/>
      <c r="N22" s="126"/>
      <c r="O22" s="126"/>
      <c r="P22" s="126"/>
      <c r="Q22" s="126"/>
      <c r="R22" s="126"/>
      <c r="S22" s="126"/>
      <c r="T22" s="126"/>
      <c r="U22" s="126"/>
      <c r="V22" s="126"/>
      <c r="W22" s="126"/>
      <c r="X22" s="126"/>
      <c r="Y22" s="126"/>
      <c r="Z22" s="126"/>
    </row>
    <row r="23" spans="1:26" ht="15.75" customHeight="1">
      <c r="A23" s="186"/>
      <c r="B23" s="626" t="s">
        <v>7283</v>
      </c>
      <c r="C23" s="153">
        <f>SUM(Balanza!H1296:H1297)</f>
        <v>93814067</v>
      </c>
      <c r="D23" s="153">
        <f>SUM(Balanza!H1568:H1569)</f>
        <v>15034774.77</v>
      </c>
      <c r="E23" s="627">
        <f t="shared" si="1"/>
        <v>108848841.77</v>
      </c>
      <c r="F23" s="153">
        <f>SUM(Balanza!E1840:E1841)</f>
        <v>138217.18</v>
      </c>
      <c r="G23" s="153">
        <f>SUM(Balanza!G2112:G2113)</f>
        <v>138217.18</v>
      </c>
      <c r="H23" s="627">
        <f t="shared" si="3"/>
        <v>108710624.58999999</v>
      </c>
      <c r="I23" s="131"/>
      <c r="J23" s="126"/>
      <c r="K23" s="126"/>
      <c r="L23" s="126"/>
      <c r="M23" s="126"/>
      <c r="N23" s="126"/>
      <c r="O23" s="126"/>
      <c r="P23" s="126"/>
      <c r="Q23" s="126"/>
      <c r="R23" s="126"/>
      <c r="S23" s="126"/>
      <c r="T23" s="126"/>
      <c r="U23" s="126"/>
      <c r="V23" s="126"/>
      <c r="W23" s="126"/>
      <c r="X23" s="126"/>
      <c r="Y23" s="126"/>
      <c r="Z23" s="126"/>
    </row>
    <row r="24" spans="1:26" ht="15.75" customHeight="1">
      <c r="A24" s="186"/>
      <c r="B24" s="626" t="s">
        <v>7284</v>
      </c>
      <c r="C24" s="153">
        <f>SUM(Balanza!H1298:H1299)</f>
        <v>1350000</v>
      </c>
      <c r="D24" s="153">
        <f>SUM(Balanza!H1570:H1571)</f>
        <v>2410000</v>
      </c>
      <c r="E24" s="627">
        <f t="shared" si="1"/>
        <v>3760000</v>
      </c>
      <c r="F24" s="153">
        <f>SUM(Balanza!E1842:E1843)</f>
        <v>3759858.22</v>
      </c>
      <c r="G24" s="153">
        <f>SUM(Balanza!G2114:G2115)</f>
        <v>3759858.22</v>
      </c>
      <c r="H24" s="627">
        <f t="shared" si="3"/>
        <v>141.77999999979511</v>
      </c>
      <c r="I24" s="131"/>
      <c r="J24" s="126"/>
      <c r="K24" s="126"/>
      <c r="L24" s="126"/>
      <c r="M24" s="126"/>
      <c r="N24" s="126"/>
      <c r="O24" s="126"/>
      <c r="P24" s="126"/>
      <c r="Q24" s="126"/>
      <c r="R24" s="126"/>
      <c r="S24" s="126"/>
      <c r="T24" s="126"/>
      <c r="U24" s="126"/>
      <c r="V24" s="126"/>
      <c r="W24" s="126"/>
      <c r="X24" s="126"/>
      <c r="Y24" s="126"/>
      <c r="Z24" s="126"/>
    </row>
    <row r="25" spans="1:26" ht="15.75" customHeight="1">
      <c r="A25" s="186"/>
      <c r="B25" s="628" t="s">
        <v>7285</v>
      </c>
      <c r="C25" s="239">
        <f>SUM(Balanza!H1300:H1301)</f>
        <v>36839280</v>
      </c>
      <c r="D25" s="239">
        <f>SUM(Balanza!H1572:H1573)</f>
        <v>-87602.79</v>
      </c>
      <c r="E25" s="629">
        <f t="shared" si="1"/>
        <v>36751677.210000001</v>
      </c>
      <c r="F25" s="239">
        <f>SUM(Balanza!E1844:E1845)</f>
        <v>157956.85</v>
      </c>
      <c r="G25" s="239">
        <f>SUM(Balanza!G2116:G2117)</f>
        <v>157885.07</v>
      </c>
      <c r="H25" s="629">
        <f t="shared" si="3"/>
        <v>36593720.359999999</v>
      </c>
      <c r="I25" s="131"/>
      <c r="J25" s="126"/>
      <c r="K25" s="126"/>
      <c r="L25" s="126"/>
      <c r="M25" s="126"/>
      <c r="N25" s="126"/>
      <c r="O25" s="126"/>
      <c r="P25" s="126"/>
      <c r="Q25" s="126"/>
      <c r="R25" s="126"/>
      <c r="S25" s="126"/>
      <c r="T25" s="126"/>
      <c r="U25" s="126"/>
      <c r="V25" s="126"/>
      <c r="W25" s="126"/>
      <c r="X25" s="126"/>
      <c r="Y25" s="126"/>
      <c r="Z25" s="126"/>
    </row>
    <row r="26" spans="1:26" ht="15.75" customHeight="1">
      <c r="A26" s="597" t="s">
        <v>4391</v>
      </c>
      <c r="B26" s="630"/>
      <c r="C26" s="631">
        <f t="shared" ref="C26:D26" si="6">SUM(C27:C35)</f>
        <v>2897895850.2199998</v>
      </c>
      <c r="D26" s="631">
        <f t="shared" si="6"/>
        <v>-368652864.91000003</v>
      </c>
      <c r="E26" s="631">
        <f t="shared" si="1"/>
        <v>2529242985.3099999</v>
      </c>
      <c r="F26" s="631">
        <f t="shared" ref="F26:G26" si="7">SUM(F27:F35)</f>
        <v>749596990.45000005</v>
      </c>
      <c r="G26" s="631">
        <f t="shared" si="7"/>
        <v>749586740.19999993</v>
      </c>
      <c r="H26" s="631">
        <f t="shared" si="3"/>
        <v>1779645994.8599999</v>
      </c>
      <c r="I26" s="131"/>
      <c r="J26" s="131"/>
      <c r="K26" s="131"/>
      <c r="L26" s="131"/>
      <c r="M26" s="131"/>
      <c r="N26" s="131"/>
      <c r="O26" s="131"/>
      <c r="P26" s="131"/>
      <c r="Q26" s="131"/>
      <c r="R26" s="131"/>
      <c r="S26" s="131"/>
      <c r="T26" s="131"/>
      <c r="U26" s="131"/>
      <c r="V26" s="131"/>
      <c r="W26" s="131"/>
      <c r="X26" s="131"/>
      <c r="Y26" s="131"/>
      <c r="Z26" s="131"/>
    </row>
    <row r="27" spans="1:26" ht="15.75" customHeight="1">
      <c r="A27" s="188"/>
      <c r="B27" s="635" t="s">
        <v>7286</v>
      </c>
      <c r="C27" s="633">
        <f>SUM(Balanza!H1303:H1304)</f>
        <v>277499857.36000001</v>
      </c>
      <c r="D27" s="633">
        <f>SUM(Balanza!H1575:H1576)</f>
        <v>-362417.58</v>
      </c>
      <c r="E27" s="634">
        <f t="shared" si="1"/>
        <v>277137439.78000003</v>
      </c>
      <c r="F27" s="633">
        <f>SUM(Balanza!E1847:E1848)</f>
        <v>111944061.62</v>
      </c>
      <c r="G27" s="633">
        <f>SUM(Balanza!G2119:G2120)</f>
        <v>111942650.56999999</v>
      </c>
      <c r="H27" s="634">
        <f t="shared" si="3"/>
        <v>165193378.16000003</v>
      </c>
      <c r="I27" s="131"/>
      <c r="J27" s="126"/>
      <c r="K27" s="126"/>
      <c r="L27" s="126"/>
      <c r="M27" s="126"/>
      <c r="N27" s="126"/>
      <c r="O27" s="126"/>
      <c r="P27" s="126"/>
      <c r="Q27" s="126"/>
      <c r="R27" s="126"/>
      <c r="S27" s="126"/>
      <c r="T27" s="126"/>
      <c r="U27" s="126"/>
      <c r="V27" s="126"/>
      <c r="W27" s="126"/>
      <c r="X27" s="126"/>
      <c r="Y27" s="126"/>
      <c r="Z27" s="126"/>
    </row>
    <row r="28" spans="1:26" ht="15.75" customHeight="1">
      <c r="A28" s="188"/>
      <c r="B28" s="626" t="s">
        <v>7287</v>
      </c>
      <c r="C28" s="153">
        <f>SUM(Balanza!H1305:H1306)</f>
        <v>237194350.40000001</v>
      </c>
      <c r="D28" s="153">
        <f>SUM(Balanza!H1577:H1578)</f>
        <v>-84921892.689999998</v>
      </c>
      <c r="E28" s="627">
        <f t="shared" si="1"/>
        <v>152272457.71000001</v>
      </c>
      <c r="F28" s="153">
        <f>SUM(Balanza!E1849:E1850)</f>
        <v>14287917.039999999</v>
      </c>
      <c r="G28" s="153">
        <f>SUM(Balanza!G2121:G2122)</f>
        <v>14287917.039999999</v>
      </c>
      <c r="H28" s="627">
        <f t="shared" si="3"/>
        <v>137984540.67000002</v>
      </c>
      <c r="I28" s="131"/>
      <c r="J28" s="126"/>
      <c r="K28" s="126"/>
      <c r="L28" s="126"/>
      <c r="M28" s="126"/>
      <c r="N28" s="126"/>
      <c r="O28" s="126"/>
      <c r="P28" s="126"/>
      <c r="Q28" s="126"/>
      <c r="R28" s="126"/>
      <c r="S28" s="126"/>
      <c r="T28" s="126"/>
      <c r="U28" s="126"/>
      <c r="V28" s="126"/>
      <c r="W28" s="126"/>
      <c r="X28" s="126"/>
      <c r="Y28" s="126"/>
      <c r="Z28" s="126"/>
    </row>
    <row r="29" spans="1:26" ht="15.75" customHeight="1">
      <c r="A29" s="188"/>
      <c r="B29" s="626" t="s">
        <v>7288</v>
      </c>
      <c r="C29" s="153">
        <f>SUM(Balanza!H1307:H1308)</f>
        <v>93487716.049999997</v>
      </c>
      <c r="D29" s="153">
        <f>SUM(Balanza!H1579:H1580)</f>
        <v>575893.21</v>
      </c>
      <c r="E29" s="627">
        <f t="shared" si="1"/>
        <v>94063609.25999999</v>
      </c>
      <c r="F29" s="153">
        <f>SUM(Balanza!E1851:E1852)</f>
        <v>3486874.03</v>
      </c>
      <c r="G29" s="153">
        <f>SUM(Balanza!G2123:G2124)</f>
        <v>3484206.03</v>
      </c>
      <c r="H29" s="627">
        <f t="shared" si="3"/>
        <v>90576735.229999989</v>
      </c>
      <c r="I29" s="131"/>
      <c r="J29" s="126"/>
      <c r="K29" s="126"/>
      <c r="L29" s="126"/>
      <c r="M29" s="126"/>
      <c r="N29" s="126"/>
      <c r="O29" s="126"/>
      <c r="P29" s="126"/>
      <c r="Q29" s="126"/>
      <c r="R29" s="126"/>
      <c r="S29" s="126"/>
      <c r="T29" s="126"/>
      <c r="U29" s="126"/>
      <c r="V29" s="126"/>
      <c r="W29" s="126"/>
      <c r="X29" s="126"/>
      <c r="Y29" s="126"/>
      <c r="Z29" s="126"/>
    </row>
    <row r="30" spans="1:26" ht="15.75" customHeight="1">
      <c r="A30" s="188"/>
      <c r="B30" s="626" t="s">
        <v>7289</v>
      </c>
      <c r="C30" s="153">
        <f>SUM(Balanza!H1309:H1310)</f>
        <v>234827665</v>
      </c>
      <c r="D30" s="153">
        <f>SUM(Balanza!H1581:H1582)</f>
        <v>24749855.93</v>
      </c>
      <c r="E30" s="627">
        <f t="shared" si="1"/>
        <v>259577520.93000001</v>
      </c>
      <c r="F30" s="153">
        <f>SUM(Balanza!E1853:E1854)</f>
        <v>140738369.41</v>
      </c>
      <c r="G30" s="153">
        <f>SUM(Balanza!G2125:G2126)</f>
        <v>140738369.41</v>
      </c>
      <c r="H30" s="627">
        <f t="shared" si="3"/>
        <v>118839151.52000001</v>
      </c>
      <c r="I30" s="131"/>
      <c r="J30" s="126"/>
      <c r="K30" s="126"/>
      <c r="L30" s="126"/>
      <c r="M30" s="126"/>
      <c r="N30" s="126"/>
      <c r="O30" s="126"/>
      <c r="P30" s="126"/>
      <c r="Q30" s="126"/>
      <c r="R30" s="126"/>
      <c r="S30" s="126"/>
      <c r="T30" s="126"/>
      <c r="U30" s="126"/>
      <c r="V30" s="126"/>
      <c r="W30" s="126"/>
      <c r="X30" s="126"/>
      <c r="Y30" s="126"/>
      <c r="Z30" s="126"/>
    </row>
    <row r="31" spans="1:26" ht="15.75" customHeight="1">
      <c r="A31" s="188"/>
      <c r="B31" s="626" t="s">
        <v>7290</v>
      </c>
      <c r="C31" s="153">
        <f>SUM(Balanza!H1311:H1312)</f>
        <v>1222777410.5599999</v>
      </c>
      <c r="D31" s="153">
        <f>SUM(Balanza!H1583:H1584)</f>
        <v>-242671339.13</v>
      </c>
      <c r="E31" s="627">
        <f t="shared" si="1"/>
        <v>980106071.42999995</v>
      </c>
      <c r="F31" s="153">
        <f>SUM(Balanza!E1855:E1856)</f>
        <v>188299936.61000001</v>
      </c>
      <c r="G31" s="153">
        <f>SUM(Balanza!G2127:G2128)</f>
        <v>188293765.41</v>
      </c>
      <c r="H31" s="627">
        <f t="shared" si="3"/>
        <v>791806134.81999993</v>
      </c>
      <c r="I31" s="131"/>
      <c r="J31" s="126"/>
      <c r="K31" s="126"/>
      <c r="L31" s="126"/>
      <c r="M31" s="126"/>
      <c r="N31" s="126"/>
      <c r="O31" s="126"/>
      <c r="P31" s="126"/>
      <c r="Q31" s="126"/>
      <c r="R31" s="126"/>
      <c r="S31" s="126"/>
      <c r="T31" s="126"/>
      <c r="U31" s="126"/>
      <c r="V31" s="126"/>
      <c r="W31" s="126"/>
      <c r="X31" s="126"/>
      <c r="Y31" s="126"/>
      <c r="Z31" s="126"/>
    </row>
    <row r="32" spans="1:26" ht="15.75" customHeight="1">
      <c r="A32" s="188"/>
      <c r="B32" s="626" t="s">
        <v>7291</v>
      </c>
      <c r="C32" s="153">
        <f>SUM(Balanza!H1313:H1314)</f>
        <v>65703000</v>
      </c>
      <c r="D32" s="153">
        <f>SUM(Balanza!H1585:H1586)</f>
        <v>-3057190.75</v>
      </c>
      <c r="E32" s="627">
        <f t="shared" si="1"/>
        <v>62645809.25</v>
      </c>
      <c r="F32" s="153">
        <f>SUM(Balanza!E1857:E1858)</f>
        <v>11830922.710000001</v>
      </c>
      <c r="G32" s="153">
        <f>SUM(Balanza!G2129:G2130)</f>
        <v>11830922.710000001</v>
      </c>
      <c r="H32" s="627">
        <f t="shared" si="3"/>
        <v>50814886.539999999</v>
      </c>
      <c r="I32" s="131"/>
      <c r="J32" s="126"/>
      <c r="K32" s="126"/>
      <c r="L32" s="126"/>
      <c r="M32" s="126"/>
      <c r="N32" s="126"/>
      <c r="O32" s="126"/>
      <c r="P32" s="126"/>
      <c r="Q32" s="126"/>
      <c r="R32" s="126"/>
      <c r="S32" s="126"/>
      <c r="T32" s="126"/>
      <c r="U32" s="126"/>
      <c r="V32" s="126"/>
      <c r="W32" s="126"/>
      <c r="X32" s="126"/>
      <c r="Y32" s="126"/>
      <c r="Z32" s="126"/>
    </row>
    <row r="33" spans="1:26" ht="15.75" customHeight="1">
      <c r="A33" s="188"/>
      <c r="B33" s="626" t="s">
        <v>7292</v>
      </c>
      <c r="C33" s="153">
        <f>SUM(Balanza!H1315:H1316)</f>
        <v>6468619.1600000001</v>
      </c>
      <c r="D33" s="153">
        <f>SUM(Balanza!H1587:H1588)</f>
        <v>-468382.1</v>
      </c>
      <c r="E33" s="627">
        <f t="shared" si="1"/>
        <v>6000237.0600000005</v>
      </c>
      <c r="F33" s="153">
        <f>SUM(Balanza!E1859:E1860)</f>
        <v>188315.23</v>
      </c>
      <c r="G33" s="153">
        <f>SUM(Balanza!G2131:G2132)</f>
        <v>188315.23</v>
      </c>
      <c r="H33" s="627">
        <f t="shared" si="3"/>
        <v>5811921.8300000001</v>
      </c>
      <c r="I33" s="131"/>
      <c r="J33" s="126"/>
      <c r="K33" s="126"/>
      <c r="L33" s="126"/>
      <c r="M33" s="126"/>
      <c r="N33" s="126"/>
      <c r="O33" s="126"/>
      <c r="P33" s="126"/>
      <c r="Q33" s="126"/>
      <c r="R33" s="126"/>
      <c r="S33" s="126"/>
      <c r="T33" s="126"/>
      <c r="U33" s="126"/>
      <c r="V33" s="126"/>
      <c r="W33" s="126"/>
      <c r="X33" s="126"/>
      <c r="Y33" s="126"/>
      <c r="Z33" s="126"/>
    </row>
    <row r="34" spans="1:26" ht="15.75" customHeight="1">
      <c r="A34" s="188"/>
      <c r="B34" s="626" t="s">
        <v>7293</v>
      </c>
      <c r="C34" s="153">
        <f>SUM(Balanza!H1317:H1318)</f>
        <v>33737667.710000001</v>
      </c>
      <c r="D34" s="153">
        <f>SUM(Balanza!H1589:H1590)</f>
        <v>510975.18</v>
      </c>
      <c r="E34" s="627">
        <f t="shared" si="1"/>
        <v>34248642.890000001</v>
      </c>
      <c r="F34" s="153">
        <f>SUM(Balanza!E1861:E1862)</f>
        <v>5402975.3899999997</v>
      </c>
      <c r="G34" s="153">
        <f>SUM(Balanza!G2133:G2134)</f>
        <v>5402975.3899999997</v>
      </c>
      <c r="H34" s="627">
        <f t="shared" si="3"/>
        <v>28845667.5</v>
      </c>
      <c r="I34" s="131"/>
      <c r="J34" s="126"/>
      <c r="K34" s="126"/>
      <c r="L34" s="126"/>
      <c r="M34" s="126"/>
      <c r="N34" s="126"/>
      <c r="O34" s="126"/>
      <c r="P34" s="126"/>
      <c r="Q34" s="126"/>
      <c r="R34" s="126"/>
      <c r="S34" s="126"/>
      <c r="T34" s="126"/>
      <c r="U34" s="126"/>
      <c r="V34" s="126"/>
      <c r="W34" s="126"/>
      <c r="X34" s="126"/>
      <c r="Y34" s="126"/>
      <c r="Z34" s="126"/>
    </row>
    <row r="35" spans="1:26" ht="15.75" customHeight="1">
      <c r="A35" s="188"/>
      <c r="B35" s="628" t="s">
        <v>7294</v>
      </c>
      <c r="C35" s="239">
        <f>SUM(Balanza!H1319:H1320)</f>
        <v>726199563.98000002</v>
      </c>
      <c r="D35" s="239">
        <f>SUM(Balanza!H1591:H1592)</f>
        <v>-63008366.979999997</v>
      </c>
      <c r="E35" s="629">
        <f t="shared" si="1"/>
        <v>663191197</v>
      </c>
      <c r="F35" s="239">
        <f>SUM(Balanza!E1863:E1864)</f>
        <v>273417618.41000003</v>
      </c>
      <c r="G35" s="239">
        <f>SUM(Balanza!G2135:G2136)</f>
        <v>273417618.41000003</v>
      </c>
      <c r="H35" s="629">
        <f t="shared" si="3"/>
        <v>389773578.58999997</v>
      </c>
      <c r="I35" s="131"/>
      <c r="J35" s="126"/>
      <c r="K35" s="126"/>
      <c r="L35" s="126"/>
      <c r="M35" s="126"/>
      <c r="N35" s="126"/>
      <c r="O35" s="126"/>
      <c r="P35" s="126"/>
      <c r="Q35" s="126"/>
      <c r="R35" s="126"/>
      <c r="S35" s="126"/>
      <c r="T35" s="126"/>
      <c r="U35" s="126"/>
      <c r="V35" s="126"/>
      <c r="W35" s="126"/>
      <c r="X35" s="126"/>
      <c r="Y35" s="126"/>
      <c r="Z35" s="126"/>
    </row>
    <row r="36" spans="1:26" ht="15.75" customHeight="1">
      <c r="A36" s="597" t="s">
        <v>7295</v>
      </c>
      <c r="B36" s="630"/>
      <c r="C36" s="631">
        <f t="shared" ref="C36:D36" si="8">SUM(C37:C45)</f>
        <v>1470913490.9000001</v>
      </c>
      <c r="D36" s="631">
        <f t="shared" si="8"/>
        <v>7422074.0099999998</v>
      </c>
      <c r="E36" s="631">
        <f t="shared" si="1"/>
        <v>1478335564.9100001</v>
      </c>
      <c r="F36" s="631">
        <f t="shared" ref="F36:G36" si="9">SUM(F37:F45)</f>
        <v>659923616.42000008</v>
      </c>
      <c r="G36" s="631">
        <f t="shared" si="9"/>
        <v>659923616.42000008</v>
      </c>
      <c r="H36" s="631">
        <f t="shared" si="3"/>
        <v>818411948.49000001</v>
      </c>
      <c r="I36" s="131"/>
      <c r="J36" s="131"/>
      <c r="K36" s="131"/>
      <c r="L36" s="131"/>
      <c r="M36" s="131"/>
      <c r="N36" s="131"/>
      <c r="O36" s="131"/>
      <c r="P36" s="131"/>
      <c r="Q36" s="131"/>
      <c r="R36" s="131"/>
      <c r="S36" s="131"/>
      <c r="T36" s="131"/>
      <c r="U36" s="131"/>
      <c r="V36" s="131"/>
      <c r="W36" s="131"/>
      <c r="X36" s="131"/>
      <c r="Y36" s="131"/>
      <c r="Z36" s="131"/>
    </row>
    <row r="37" spans="1:26" ht="15.75" customHeight="1">
      <c r="A37" s="188"/>
      <c r="B37" s="635" t="s">
        <v>4392</v>
      </c>
      <c r="C37" s="633">
        <f>SUM(Balanza!H1322:H1323)</f>
        <v>0</v>
      </c>
      <c r="D37" s="633">
        <f>SUM(Balanza!H1594:H1595)</f>
        <v>0</v>
      </c>
      <c r="E37" s="634">
        <f t="shared" si="1"/>
        <v>0</v>
      </c>
      <c r="F37" s="633">
        <f>SUM(Balanza!E1866:E1867)</f>
        <v>0</v>
      </c>
      <c r="G37" s="633">
        <f>SUM(Balanza!G2138:G2139)</f>
        <v>460311701.51999998</v>
      </c>
      <c r="H37" s="634">
        <f t="shared" si="3"/>
        <v>0</v>
      </c>
      <c r="I37" s="131"/>
      <c r="J37" s="126"/>
      <c r="K37" s="126"/>
      <c r="L37" s="126"/>
      <c r="M37" s="126"/>
      <c r="N37" s="126"/>
      <c r="O37" s="126"/>
      <c r="P37" s="126"/>
      <c r="Q37" s="126"/>
      <c r="R37" s="126"/>
      <c r="S37" s="126"/>
      <c r="T37" s="126"/>
      <c r="U37" s="126"/>
      <c r="V37" s="126"/>
      <c r="W37" s="126"/>
      <c r="X37" s="126"/>
      <c r="Y37" s="126"/>
      <c r="Z37" s="126"/>
    </row>
    <row r="38" spans="1:26" ht="15.75" customHeight="1">
      <c r="A38" s="188"/>
      <c r="B38" s="626" t="s">
        <v>4393</v>
      </c>
      <c r="C38" s="153">
        <f>SUM(Balanza!H1324:H1325)</f>
        <v>924685000</v>
      </c>
      <c r="D38" s="153">
        <f>SUM(Balanza!H1596:H1597)</f>
        <v>19000000</v>
      </c>
      <c r="E38" s="627">
        <f t="shared" si="1"/>
        <v>943685000</v>
      </c>
      <c r="F38" s="153">
        <f>SUM(Balanza!E1868:E1869)</f>
        <v>460311701.51999998</v>
      </c>
      <c r="G38" s="153">
        <f>SUM(Balanza!G2140:G2141)</f>
        <v>0</v>
      </c>
      <c r="H38" s="627">
        <f t="shared" si="3"/>
        <v>483373298.48000002</v>
      </c>
      <c r="I38" s="131"/>
      <c r="J38" s="126"/>
      <c r="K38" s="126"/>
      <c r="L38" s="126"/>
      <c r="M38" s="126"/>
      <c r="N38" s="126"/>
      <c r="O38" s="126"/>
      <c r="P38" s="126"/>
      <c r="Q38" s="126"/>
      <c r="R38" s="126"/>
      <c r="S38" s="126"/>
      <c r="T38" s="126"/>
      <c r="U38" s="126"/>
      <c r="V38" s="126"/>
      <c r="W38" s="126"/>
      <c r="X38" s="126"/>
      <c r="Y38" s="126"/>
      <c r="Z38" s="126"/>
    </row>
    <row r="39" spans="1:26" ht="15.75" customHeight="1">
      <c r="A39" s="188"/>
      <c r="B39" s="626" t="s">
        <v>7296</v>
      </c>
      <c r="C39" s="153">
        <f>SUM(Balanza!H1326:H1327)</f>
        <v>85273000</v>
      </c>
      <c r="D39" s="153">
        <f>SUM(Balanza!H1598:H1599)</f>
        <v>-11284068.609999999</v>
      </c>
      <c r="E39" s="627">
        <f t="shared" si="1"/>
        <v>73988931.390000001</v>
      </c>
      <c r="F39" s="153">
        <f>SUM(Balanza!E1870:E1871)</f>
        <v>41970000</v>
      </c>
      <c r="G39" s="153">
        <f>SUM(Balanza!G2142:G2143)</f>
        <v>41970000</v>
      </c>
      <c r="H39" s="627">
        <f t="shared" si="3"/>
        <v>32018931.390000001</v>
      </c>
      <c r="I39" s="131"/>
      <c r="J39" s="126"/>
      <c r="K39" s="126"/>
      <c r="L39" s="126"/>
      <c r="M39" s="126"/>
      <c r="N39" s="126"/>
      <c r="O39" s="126"/>
      <c r="P39" s="126"/>
      <c r="Q39" s="126"/>
      <c r="R39" s="126"/>
      <c r="S39" s="126"/>
      <c r="T39" s="126"/>
      <c r="U39" s="126"/>
      <c r="V39" s="126"/>
      <c r="W39" s="126"/>
      <c r="X39" s="126"/>
      <c r="Y39" s="126"/>
      <c r="Z39" s="126"/>
    </row>
    <row r="40" spans="1:26" ht="15.75" customHeight="1">
      <c r="A40" s="188"/>
      <c r="B40" s="626" t="s">
        <v>4395</v>
      </c>
      <c r="C40" s="153">
        <f>SUM(Balanza!H1328:H1329)</f>
        <v>313991490.89999998</v>
      </c>
      <c r="D40" s="153">
        <f>SUM(Balanza!H1600:H1601)</f>
        <v>-15915107.380000001</v>
      </c>
      <c r="E40" s="627">
        <f t="shared" si="1"/>
        <v>298076383.51999998</v>
      </c>
      <c r="F40" s="153">
        <f>SUM(Balanza!E1872:E1873)</f>
        <v>36856468.32</v>
      </c>
      <c r="G40" s="153">
        <f>SUM(Balanza!G2144:G2145)</f>
        <v>36856468.32</v>
      </c>
      <c r="H40" s="627">
        <f t="shared" si="3"/>
        <v>261219915.19999999</v>
      </c>
      <c r="I40" s="131"/>
      <c r="J40" s="126"/>
      <c r="K40" s="126"/>
      <c r="L40" s="126"/>
      <c r="M40" s="126"/>
      <c r="N40" s="126"/>
      <c r="O40" s="126"/>
      <c r="P40" s="126"/>
      <c r="Q40" s="126"/>
      <c r="R40" s="126"/>
      <c r="S40" s="126"/>
      <c r="T40" s="126"/>
      <c r="U40" s="126"/>
      <c r="V40" s="126"/>
      <c r="W40" s="126"/>
      <c r="X40" s="126"/>
      <c r="Y40" s="126"/>
      <c r="Z40" s="126"/>
    </row>
    <row r="41" spans="1:26" ht="15.75" customHeight="1">
      <c r="A41" s="188"/>
      <c r="B41" s="626" t="s">
        <v>4396</v>
      </c>
      <c r="C41" s="153">
        <f>SUM(Balanza!H1330:H1331)</f>
        <v>0</v>
      </c>
      <c r="D41" s="153">
        <f>SUM(Balanza!H1602:H1603)</f>
        <v>0</v>
      </c>
      <c r="E41" s="627">
        <f t="shared" si="1"/>
        <v>0</v>
      </c>
      <c r="F41" s="153">
        <f>SUM(Balanza!E1874:E1875)</f>
        <v>0</v>
      </c>
      <c r="G41" s="153">
        <f>SUM(Balanza!G2146:G2147)</f>
        <v>0</v>
      </c>
      <c r="H41" s="627">
        <f t="shared" si="3"/>
        <v>0</v>
      </c>
      <c r="I41" s="131"/>
      <c r="J41" s="126"/>
      <c r="K41" s="126"/>
      <c r="L41" s="126"/>
      <c r="M41" s="126"/>
      <c r="N41" s="126"/>
      <c r="O41" s="126"/>
      <c r="P41" s="126"/>
      <c r="Q41" s="126"/>
      <c r="R41" s="126"/>
      <c r="S41" s="126"/>
      <c r="T41" s="126"/>
      <c r="U41" s="126"/>
      <c r="V41" s="126"/>
      <c r="W41" s="126"/>
      <c r="X41" s="126"/>
      <c r="Y41" s="126"/>
      <c r="Z41" s="126"/>
    </row>
    <row r="42" spans="1:26" ht="15.75" customHeight="1">
      <c r="A42" s="188"/>
      <c r="B42" s="636" t="s">
        <v>7297</v>
      </c>
      <c r="C42" s="153">
        <f>SUM(Balanza!H1332:H1333)</f>
        <v>146964000</v>
      </c>
      <c r="D42" s="153">
        <f>SUM(Balanza!H1604:H1605)</f>
        <v>14996250</v>
      </c>
      <c r="E42" s="627">
        <f t="shared" si="1"/>
        <v>161960250</v>
      </c>
      <c r="F42" s="153">
        <f>SUM(Balanza!E1876:E1877)</f>
        <v>120785446.58</v>
      </c>
      <c r="G42" s="153">
        <f>SUM(Balanza!G2148:G2149)</f>
        <v>120785446.58</v>
      </c>
      <c r="H42" s="627">
        <f t="shared" si="3"/>
        <v>41174803.420000002</v>
      </c>
      <c r="I42" s="131"/>
      <c r="J42" s="126"/>
      <c r="K42" s="126"/>
      <c r="L42" s="126"/>
      <c r="M42" s="126"/>
      <c r="N42" s="126"/>
      <c r="O42" s="126"/>
      <c r="P42" s="126"/>
      <c r="Q42" s="126"/>
      <c r="R42" s="126"/>
      <c r="S42" s="126"/>
      <c r="T42" s="126"/>
      <c r="U42" s="126"/>
      <c r="V42" s="126"/>
      <c r="W42" s="126"/>
      <c r="X42" s="126"/>
      <c r="Y42" s="126"/>
      <c r="Z42" s="126"/>
    </row>
    <row r="43" spans="1:26" ht="15.75" customHeight="1">
      <c r="A43" s="188"/>
      <c r="B43" s="626" t="s">
        <v>4398</v>
      </c>
      <c r="C43" s="153">
        <f>SUM(Balanza!H1334:H1335)</f>
        <v>0</v>
      </c>
      <c r="D43" s="153">
        <f>SUM(Balanza!H1606:H1607)</f>
        <v>0</v>
      </c>
      <c r="E43" s="627">
        <f t="shared" si="1"/>
        <v>0</v>
      </c>
      <c r="F43" s="153">
        <f>SUM(Balanza!E1878:E1879)</f>
        <v>0</v>
      </c>
      <c r="G43" s="153">
        <f>SUM(Balanza!G2150:G2151)</f>
        <v>0</v>
      </c>
      <c r="H43" s="627">
        <f t="shared" si="3"/>
        <v>0</v>
      </c>
      <c r="I43" s="131"/>
      <c r="J43" s="126"/>
      <c r="K43" s="126"/>
      <c r="L43" s="126"/>
      <c r="M43" s="126"/>
      <c r="N43" s="126"/>
      <c r="O43" s="126"/>
      <c r="P43" s="126"/>
      <c r="Q43" s="126"/>
      <c r="R43" s="126"/>
      <c r="S43" s="126"/>
      <c r="T43" s="126"/>
      <c r="U43" s="126"/>
      <c r="V43" s="126"/>
      <c r="W43" s="126"/>
      <c r="X43" s="126"/>
      <c r="Y43" s="126"/>
      <c r="Z43" s="126"/>
    </row>
    <row r="44" spans="1:26" ht="15.75" customHeight="1">
      <c r="A44" s="188"/>
      <c r="B44" s="626" t="s">
        <v>4399</v>
      </c>
      <c r="C44" s="153">
        <f>SUM(Balanza!H1336:H1337)</f>
        <v>0</v>
      </c>
      <c r="D44" s="153">
        <f>SUM(Balanza!H1608:H1609)</f>
        <v>0</v>
      </c>
      <c r="E44" s="627">
        <f t="shared" si="1"/>
        <v>0</v>
      </c>
      <c r="F44" s="153">
        <f>SUM(Balanza!E1880:E1881)</f>
        <v>0</v>
      </c>
      <c r="G44" s="153">
        <f>SUM(Balanza!G2152:G2153)</f>
        <v>0</v>
      </c>
      <c r="H44" s="627">
        <f t="shared" si="3"/>
        <v>0</v>
      </c>
      <c r="I44" s="131"/>
      <c r="J44" s="126"/>
      <c r="K44" s="126"/>
      <c r="L44" s="126"/>
      <c r="M44" s="126"/>
      <c r="N44" s="126"/>
      <c r="O44" s="126"/>
      <c r="P44" s="126"/>
      <c r="Q44" s="126"/>
      <c r="R44" s="126"/>
      <c r="S44" s="126"/>
      <c r="T44" s="126"/>
      <c r="U44" s="126"/>
      <c r="V44" s="126"/>
      <c r="W44" s="126"/>
      <c r="X44" s="126"/>
      <c r="Y44" s="126"/>
      <c r="Z44" s="126"/>
    </row>
    <row r="45" spans="1:26" ht="15.75" customHeight="1">
      <c r="A45" s="188"/>
      <c r="B45" s="628" t="s">
        <v>4400</v>
      </c>
      <c r="C45" s="239">
        <f>SUM(Balanza!H1338:H1339)</f>
        <v>0</v>
      </c>
      <c r="D45" s="239">
        <f>SUM(Balanza!H1610:H1611)</f>
        <v>625000</v>
      </c>
      <c r="E45" s="629">
        <f t="shared" si="1"/>
        <v>625000</v>
      </c>
      <c r="F45" s="239">
        <f>SUM(Balanza!E1882:E1883)</f>
        <v>0</v>
      </c>
      <c r="G45" s="239">
        <f>SUM(Balanza!G2154:G2155)</f>
        <v>0</v>
      </c>
      <c r="H45" s="629">
        <f t="shared" si="3"/>
        <v>625000</v>
      </c>
      <c r="I45" s="131"/>
      <c r="J45" s="126"/>
      <c r="K45" s="126"/>
      <c r="L45" s="126"/>
      <c r="M45" s="126"/>
      <c r="N45" s="126"/>
      <c r="O45" s="126"/>
      <c r="P45" s="126"/>
      <c r="Q45" s="126"/>
      <c r="R45" s="126"/>
      <c r="S45" s="126"/>
      <c r="T45" s="126"/>
      <c r="U45" s="126"/>
      <c r="V45" s="126"/>
      <c r="W45" s="126"/>
      <c r="X45" s="126"/>
      <c r="Y45" s="126"/>
      <c r="Z45" s="126"/>
    </row>
    <row r="46" spans="1:26" ht="15.75" customHeight="1">
      <c r="A46" s="597" t="s">
        <v>7298</v>
      </c>
      <c r="B46" s="630"/>
      <c r="C46" s="631">
        <f t="shared" ref="C46:D46" si="10">SUM(C47:C55)</f>
        <v>239290141.56</v>
      </c>
      <c r="D46" s="631">
        <f t="shared" si="10"/>
        <v>356426920.63999999</v>
      </c>
      <c r="E46" s="631">
        <f t="shared" si="1"/>
        <v>595717062.20000005</v>
      </c>
      <c r="F46" s="631">
        <f t="shared" ref="F46:G46" si="11">SUM(F47:F55)</f>
        <v>86480925.650000006</v>
      </c>
      <c r="G46" s="631">
        <f t="shared" si="11"/>
        <v>81920385.650000006</v>
      </c>
      <c r="H46" s="631">
        <f t="shared" si="3"/>
        <v>509236136.55000007</v>
      </c>
      <c r="I46" s="131"/>
      <c r="J46" s="131"/>
      <c r="K46" s="131"/>
      <c r="L46" s="131"/>
      <c r="M46" s="131"/>
      <c r="N46" s="131"/>
      <c r="O46" s="131"/>
      <c r="P46" s="131"/>
      <c r="Q46" s="131"/>
      <c r="R46" s="131"/>
      <c r="S46" s="131"/>
      <c r="T46" s="131"/>
      <c r="U46" s="131"/>
      <c r="V46" s="131"/>
      <c r="W46" s="131"/>
      <c r="X46" s="131"/>
      <c r="Y46" s="131"/>
      <c r="Z46" s="131"/>
    </row>
    <row r="47" spans="1:26" ht="15.75" customHeight="1">
      <c r="A47" s="188"/>
      <c r="B47" s="635" t="s">
        <v>7299</v>
      </c>
      <c r="C47" s="633">
        <f>SUM(Balanza!H1341:H1342)</f>
        <v>32232478.670000002</v>
      </c>
      <c r="D47" s="633">
        <f>SUM(Balanza!H1613:H1614)</f>
        <v>23688135.649999999</v>
      </c>
      <c r="E47" s="634">
        <f t="shared" si="1"/>
        <v>55920614.32</v>
      </c>
      <c r="F47" s="633">
        <f>SUM(Balanza!E1885:E1886)</f>
        <v>30232.95</v>
      </c>
      <c r="G47" s="633">
        <f>SUM(Balanza!G2157:G2158)</f>
        <v>30232.95</v>
      </c>
      <c r="H47" s="634">
        <f t="shared" si="3"/>
        <v>55890381.369999997</v>
      </c>
      <c r="I47" s="131"/>
      <c r="J47" s="126"/>
      <c r="K47" s="126"/>
      <c r="L47" s="126"/>
      <c r="M47" s="126"/>
      <c r="N47" s="126"/>
      <c r="O47" s="126"/>
      <c r="P47" s="126"/>
      <c r="Q47" s="126"/>
      <c r="R47" s="126"/>
      <c r="S47" s="126"/>
      <c r="T47" s="126"/>
      <c r="U47" s="126"/>
      <c r="V47" s="126"/>
      <c r="W47" s="126"/>
      <c r="X47" s="126"/>
      <c r="Y47" s="126"/>
      <c r="Z47" s="126"/>
    </row>
    <row r="48" spans="1:26" ht="15.75" customHeight="1">
      <c r="A48" s="188"/>
      <c r="B48" s="626" t="s">
        <v>7300</v>
      </c>
      <c r="C48" s="153">
        <f>SUM(Balanza!H1343:H1344)</f>
        <v>5835000</v>
      </c>
      <c r="D48" s="153">
        <f>SUM(Balanza!H1615:H1616)</f>
        <v>-174258.64</v>
      </c>
      <c r="E48" s="627">
        <f t="shared" si="1"/>
        <v>5660741.3600000003</v>
      </c>
      <c r="F48" s="153">
        <f>SUM(Balanza!E1887:E1888)</f>
        <v>4842.42</v>
      </c>
      <c r="G48" s="153">
        <f>SUM(Balanza!G2159:G2160)</f>
        <v>4842.42</v>
      </c>
      <c r="H48" s="627">
        <f t="shared" si="3"/>
        <v>5655898.9400000004</v>
      </c>
      <c r="I48" s="131"/>
      <c r="J48" s="126"/>
      <c r="K48" s="126"/>
      <c r="L48" s="126"/>
      <c r="M48" s="126"/>
      <c r="N48" s="126"/>
      <c r="O48" s="126"/>
      <c r="P48" s="126"/>
      <c r="Q48" s="126"/>
      <c r="R48" s="126"/>
      <c r="S48" s="126"/>
      <c r="T48" s="126"/>
      <c r="U48" s="126"/>
      <c r="V48" s="126"/>
      <c r="W48" s="126"/>
      <c r="X48" s="126"/>
      <c r="Y48" s="126"/>
      <c r="Z48" s="126"/>
    </row>
    <row r="49" spans="1:26" ht="15.75" customHeight="1">
      <c r="A49" s="188"/>
      <c r="B49" s="626" t="s">
        <v>7301</v>
      </c>
      <c r="C49" s="153">
        <f>SUM(Balanza!H1345:H1346)</f>
        <v>15507300</v>
      </c>
      <c r="D49" s="153">
        <f>SUM(Balanza!H1617:H1618)</f>
        <v>28516834.329999998</v>
      </c>
      <c r="E49" s="627">
        <f t="shared" si="1"/>
        <v>44024134.329999998</v>
      </c>
      <c r="F49" s="153">
        <f>SUM(Balanza!E1889:E1890)</f>
        <v>0</v>
      </c>
      <c r="G49" s="153">
        <f>SUM(Balanza!G2161:G2162)</f>
        <v>0</v>
      </c>
      <c r="H49" s="627">
        <f t="shared" si="3"/>
        <v>44024134.329999998</v>
      </c>
      <c r="I49" s="131"/>
      <c r="J49" s="126"/>
      <c r="K49" s="126"/>
      <c r="L49" s="126"/>
      <c r="M49" s="126"/>
      <c r="N49" s="126"/>
      <c r="O49" s="126"/>
      <c r="P49" s="126"/>
      <c r="Q49" s="126"/>
      <c r="R49" s="126"/>
      <c r="S49" s="126"/>
      <c r="T49" s="126"/>
      <c r="U49" s="126"/>
      <c r="V49" s="126"/>
      <c r="W49" s="126"/>
      <c r="X49" s="126"/>
      <c r="Y49" s="126"/>
      <c r="Z49" s="126"/>
    </row>
    <row r="50" spans="1:26" ht="15.75" customHeight="1">
      <c r="A50" s="188"/>
      <c r="B50" s="626" t="s">
        <v>7302</v>
      </c>
      <c r="C50" s="153">
        <f>SUM(Balanza!H1347:H1348)</f>
        <v>57543583.990000002</v>
      </c>
      <c r="D50" s="153">
        <f>SUM(Balanza!H1619:H1620)</f>
        <v>247700713.80000001</v>
      </c>
      <c r="E50" s="627">
        <f t="shared" si="1"/>
        <v>305244297.79000002</v>
      </c>
      <c r="F50" s="153">
        <f>SUM(Balanza!E1891:E1892)</f>
        <v>44665439.490000002</v>
      </c>
      <c r="G50" s="153">
        <f>SUM(Balanza!G2163:G2164)</f>
        <v>40104899.490000002</v>
      </c>
      <c r="H50" s="627">
        <f t="shared" si="3"/>
        <v>260578858.30000001</v>
      </c>
      <c r="I50" s="131"/>
      <c r="J50" s="126"/>
      <c r="K50" s="126"/>
      <c r="L50" s="126"/>
      <c r="M50" s="126"/>
      <c r="N50" s="126"/>
      <c r="O50" s="126"/>
      <c r="P50" s="126"/>
      <c r="Q50" s="126"/>
      <c r="R50" s="126"/>
      <c r="S50" s="126"/>
      <c r="T50" s="126"/>
      <c r="U50" s="126"/>
      <c r="V50" s="126"/>
      <c r="W50" s="126"/>
      <c r="X50" s="126"/>
      <c r="Y50" s="126"/>
      <c r="Z50" s="126"/>
    </row>
    <row r="51" spans="1:26" ht="15.75" customHeight="1">
      <c r="A51" s="188"/>
      <c r="B51" s="626" t="s">
        <v>7303</v>
      </c>
      <c r="C51" s="153">
        <f>SUM(Balanza!H1349:H1350)</f>
        <v>19750000</v>
      </c>
      <c r="D51" s="153">
        <f>SUM(Balanza!H1621:H1622)</f>
        <v>0</v>
      </c>
      <c r="E51" s="627">
        <f t="shared" si="1"/>
        <v>19750000</v>
      </c>
      <c r="F51" s="153">
        <f>SUM(Balanza!E1893:E1894)</f>
        <v>10507501.130000001</v>
      </c>
      <c r="G51" s="153">
        <f>SUM(Balanza!G2165:G2166)</f>
        <v>10507501.130000001</v>
      </c>
      <c r="H51" s="627">
        <f t="shared" si="3"/>
        <v>9242498.8699999992</v>
      </c>
      <c r="I51" s="131"/>
      <c r="J51" s="126"/>
      <c r="K51" s="126"/>
      <c r="L51" s="126"/>
      <c r="M51" s="126"/>
      <c r="N51" s="126"/>
      <c r="O51" s="126"/>
      <c r="P51" s="126"/>
      <c r="Q51" s="126"/>
      <c r="R51" s="126"/>
      <c r="S51" s="126"/>
      <c r="T51" s="126"/>
      <c r="U51" s="126"/>
      <c r="V51" s="126"/>
      <c r="W51" s="126"/>
      <c r="X51" s="126"/>
      <c r="Y51" s="126"/>
      <c r="Z51" s="126"/>
    </row>
    <row r="52" spans="1:26" ht="15.75" customHeight="1">
      <c r="A52" s="188"/>
      <c r="B52" s="626" t="s">
        <v>7304</v>
      </c>
      <c r="C52" s="153">
        <f>SUM(Balanza!H1351:H1352)</f>
        <v>76072795</v>
      </c>
      <c r="D52" s="153">
        <f>SUM(Balanza!H1623:H1624)</f>
        <v>33818566.560000002</v>
      </c>
      <c r="E52" s="627">
        <f t="shared" si="1"/>
        <v>109891361.56</v>
      </c>
      <c r="F52" s="153">
        <f>SUM(Balanza!E1895:E1896)</f>
        <v>19002419.48</v>
      </c>
      <c r="G52" s="153">
        <f>SUM(Balanza!G2167:G2168)</f>
        <v>19002419.48</v>
      </c>
      <c r="H52" s="627">
        <f t="shared" si="3"/>
        <v>90888942.079999998</v>
      </c>
      <c r="I52" s="131"/>
      <c r="J52" s="126"/>
      <c r="K52" s="126"/>
      <c r="L52" s="126"/>
      <c r="M52" s="126"/>
      <c r="N52" s="126"/>
      <c r="O52" s="126"/>
      <c r="P52" s="126"/>
      <c r="Q52" s="126"/>
      <c r="R52" s="126"/>
      <c r="S52" s="126"/>
      <c r="T52" s="126"/>
      <c r="U52" s="126"/>
      <c r="V52" s="126"/>
      <c r="W52" s="126"/>
      <c r="X52" s="126"/>
      <c r="Y52" s="126"/>
      <c r="Z52" s="126"/>
    </row>
    <row r="53" spans="1:26" ht="15.75" customHeight="1">
      <c r="A53" s="188"/>
      <c r="B53" s="626" t="s">
        <v>7305</v>
      </c>
      <c r="C53" s="153">
        <f>SUM(Balanza!H1353:H1354)</f>
        <v>0</v>
      </c>
      <c r="D53" s="153">
        <f>SUM(Balanza!H1625:H1626)</f>
        <v>13615562.619999999</v>
      </c>
      <c r="E53" s="627">
        <f t="shared" si="1"/>
        <v>13615562.619999999</v>
      </c>
      <c r="F53" s="153">
        <f>SUM(Balanza!E1897:E1898)</f>
        <v>0</v>
      </c>
      <c r="G53" s="153">
        <f>SUM(Balanza!G2169:G2170)</f>
        <v>0</v>
      </c>
      <c r="H53" s="627">
        <f t="shared" si="3"/>
        <v>13615562.619999999</v>
      </c>
      <c r="I53" s="131"/>
      <c r="J53" s="126"/>
      <c r="K53" s="126"/>
      <c r="L53" s="126"/>
      <c r="M53" s="126"/>
      <c r="N53" s="126"/>
      <c r="O53" s="126"/>
      <c r="P53" s="126"/>
      <c r="Q53" s="126"/>
      <c r="R53" s="126"/>
      <c r="S53" s="126"/>
      <c r="T53" s="126"/>
      <c r="U53" s="126"/>
      <c r="V53" s="126"/>
      <c r="W53" s="126"/>
      <c r="X53" s="126"/>
      <c r="Y53" s="126"/>
      <c r="Z53" s="126"/>
    </row>
    <row r="54" spans="1:26" ht="15.75" customHeight="1">
      <c r="A54" s="188"/>
      <c r="B54" s="626" t="s">
        <v>7306</v>
      </c>
      <c r="C54" s="153">
        <f>SUM(Balanza!H1355:H1356)</f>
        <v>0</v>
      </c>
      <c r="D54" s="153">
        <f>SUM(Balanza!H1627:H1628)</f>
        <v>0</v>
      </c>
      <c r="E54" s="627">
        <f t="shared" si="1"/>
        <v>0</v>
      </c>
      <c r="F54" s="153">
        <f>SUM(Balanza!E1899:E1900)</f>
        <v>0</v>
      </c>
      <c r="G54" s="153">
        <f>SUM(Balanza!G2171:G2172)</f>
        <v>0</v>
      </c>
      <c r="H54" s="627">
        <f t="shared" si="3"/>
        <v>0</v>
      </c>
      <c r="I54" s="131"/>
      <c r="J54" s="126"/>
      <c r="K54" s="126"/>
      <c r="L54" s="126"/>
      <c r="M54" s="126"/>
      <c r="N54" s="126"/>
      <c r="O54" s="126"/>
      <c r="P54" s="126"/>
      <c r="Q54" s="126"/>
      <c r="R54" s="126"/>
      <c r="S54" s="126"/>
      <c r="T54" s="126"/>
      <c r="U54" s="126"/>
      <c r="V54" s="126"/>
      <c r="W54" s="126"/>
      <c r="X54" s="126"/>
      <c r="Y54" s="126"/>
      <c r="Z54" s="126"/>
    </row>
    <row r="55" spans="1:26" ht="15.75" customHeight="1">
      <c r="A55" s="188"/>
      <c r="B55" s="628" t="s">
        <v>7194</v>
      </c>
      <c r="C55" s="239">
        <f>SUM(Balanza!H1357:H1358)</f>
        <v>32348983.899999999</v>
      </c>
      <c r="D55" s="239">
        <f>SUM(Balanza!H1629:H1630)</f>
        <v>9261366.3200000003</v>
      </c>
      <c r="E55" s="629">
        <f t="shared" si="1"/>
        <v>41610350.219999999</v>
      </c>
      <c r="F55" s="239">
        <f>SUM(Balanza!E1901:E1902)</f>
        <v>12270490.18</v>
      </c>
      <c r="G55" s="239">
        <f>SUM(Balanza!G2173:G2174)</f>
        <v>12270490.18</v>
      </c>
      <c r="H55" s="629">
        <f t="shared" si="3"/>
        <v>29339860.039999999</v>
      </c>
      <c r="I55" s="131"/>
      <c r="J55" s="126"/>
      <c r="K55" s="126"/>
      <c r="L55" s="126"/>
      <c r="M55" s="126"/>
      <c r="N55" s="126"/>
      <c r="O55" s="126"/>
      <c r="P55" s="126"/>
      <c r="Q55" s="126"/>
      <c r="R55" s="126"/>
      <c r="S55" s="126"/>
      <c r="T55" s="126"/>
      <c r="U55" s="126"/>
      <c r="V55" s="126"/>
      <c r="W55" s="126"/>
      <c r="X55" s="126"/>
      <c r="Y55" s="126"/>
      <c r="Z55" s="126"/>
    </row>
    <row r="56" spans="1:26" ht="15.75" customHeight="1">
      <c r="A56" s="597" t="s">
        <v>7307</v>
      </c>
      <c r="B56" s="630"/>
      <c r="C56" s="631">
        <f t="shared" ref="C56:D56" si="12">SUM(C57:C59)</f>
        <v>627881760</v>
      </c>
      <c r="D56" s="631">
        <f t="shared" si="12"/>
        <v>303752222</v>
      </c>
      <c r="E56" s="631">
        <f t="shared" si="1"/>
        <v>931633982</v>
      </c>
      <c r="F56" s="631">
        <f t="shared" ref="F56:G56" si="13">SUM(F57:F59)</f>
        <v>218230294.47</v>
      </c>
      <c r="G56" s="631">
        <f t="shared" si="13"/>
        <v>218230294.47</v>
      </c>
      <c r="H56" s="631">
        <f t="shared" si="3"/>
        <v>713403687.52999997</v>
      </c>
      <c r="I56" s="131"/>
      <c r="J56" s="131"/>
      <c r="K56" s="131"/>
      <c r="L56" s="131"/>
      <c r="M56" s="131"/>
      <c r="N56" s="131"/>
      <c r="O56" s="131"/>
      <c r="P56" s="131"/>
      <c r="Q56" s="131"/>
      <c r="R56" s="131"/>
      <c r="S56" s="131"/>
      <c r="T56" s="131"/>
      <c r="U56" s="131"/>
      <c r="V56" s="131"/>
      <c r="W56" s="131"/>
      <c r="X56" s="131"/>
      <c r="Y56" s="131"/>
      <c r="Z56" s="131"/>
    </row>
    <row r="57" spans="1:26" ht="15.75" customHeight="1">
      <c r="A57" s="188"/>
      <c r="B57" s="635" t="s">
        <v>7308</v>
      </c>
      <c r="C57" s="633">
        <f>SUM(Balanza!H1360:H1361)</f>
        <v>627881760</v>
      </c>
      <c r="D57" s="633">
        <f>SUM(Balanza!H1632:H1633)</f>
        <v>303752222</v>
      </c>
      <c r="E57" s="634">
        <f t="shared" si="1"/>
        <v>931633982</v>
      </c>
      <c r="F57" s="633">
        <f>SUM(Balanza!E1904:E1905)</f>
        <v>218230294.47</v>
      </c>
      <c r="G57" s="633">
        <f>SUM(Balanza!G2176:G2177)</f>
        <v>218230294.47</v>
      </c>
      <c r="H57" s="634">
        <f t="shared" si="3"/>
        <v>713403687.52999997</v>
      </c>
      <c r="I57" s="131"/>
      <c r="J57" s="126"/>
      <c r="K57" s="126"/>
      <c r="L57" s="126"/>
      <c r="M57" s="126"/>
      <c r="N57" s="126"/>
      <c r="O57" s="126"/>
      <c r="P57" s="126"/>
      <c r="Q57" s="126"/>
      <c r="R57" s="126"/>
      <c r="S57" s="126"/>
      <c r="T57" s="126"/>
      <c r="U57" s="126"/>
      <c r="V57" s="126"/>
      <c r="W57" s="126"/>
      <c r="X57" s="126"/>
      <c r="Y57" s="126"/>
      <c r="Z57" s="126"/>
    </row>
    <row r="58" spans="1:26" ht="15.75" customHeight="1">
      <c r="A58" s="188"/>
      <c r="B58" s="626" t="s">
        <v>7309</v>
      </c>
      <c r="C58" s="153">
        <f>SUM(Balanza!H1362:H1363)</f>
        <v>0</v>
      </c>
      <c r="D58" s="153">
        <f>SUM(Balanza!H1634:H1635)</f>
        <v>0</v>
      </c>
      <c r="E58" s="627">
        <f t="shared" si="1"/>
        <v>0</v>
      </c>
      <c r="F58" s="153">
        <f>SUM(Balanza!E1906:E1907)</f>
        <v>0</v>
      </c>
      <c r="G58" s="153">
        <f>SUM(Balanza!G2178:G2179)</f>
        <v>0</v>
      </c>
      <c r="H58" s="627">
        <f t="shared" si="3"/>
        <v>0</v>
      </c>
      <c r="I58" s="131"/>
      <c r="J58" s="126"/>
      <c r="K58" s="126"/>
      <c r="L58" s="126"/>
      <c r="M58" s="126"/>
      <c r="N58" s="126"/>
      <c r="O58" s="126"/>
      <c r="P58" s="126"/>
      <c r="Q58" s="126"/>
      <c r="R58" s="126"/>
      <c r="S58" s="126"/>
      <c r="T58" s="126"/>
      <c r="U58" s="126"/>
      <c r="V58" s="126"/>
      <c r="W58" s="126"/>
      <c r="X58" s="126"/>
      <c r="Y58" s="126"/>
      <c r="Z58" s="126"/>
    </row>
    <row r="59" spans="1:26" ht="15.75" customHeight="1">
      <c r="A59" s="188"/>
      <c r="B59" s="628" t="s">
        <v>7310</v>
      </c>
      <c r="C59" s="239">
        <f>SUM(Balanza!H1364:H1365)</f>
        <v>0</v>
      </c>
      <c r="D59" s="239">
        <f>SUM(Balanza!H1636:H1637)</f>
        <v>0</v>
      </c>
      <c r="E59" s="629">
        <f t="shared" si="1"/>
        <v>0</v>
      </c>
      <c r="F59" s="239">
        <f>SUM(Balanza!E1908:E1909)</f>
        <v>0</v>
      </c>
      <c r="G59" s="239">
        <f>SUM(Balanza!G2180:G2181)</f>
        <v>0</v>
      </c>
      <c r="H59" s="629">
        <f t="shared" si="3"/>
        <v>0</v>
      </c>
      <c r="I59" s="131"/>
      <c r="J59" s="126"/>
      <c r="K59" s="126"/>
      <c r="L59" s="126"/>
      <c r="M59" s="126"/>
      <c r="N59" s="126"/>
      <c r="O59" s="126"/>
      <c r="P59" s="126"/>
      <c r="Q59" s="126"/>
      <c r="R59" s="126"/>
      <c r="S59" s="126"/>
      <c r="T59" s="126"/>
      <c r="U59" s="126"/>
      <c r="V59" s="126"/>
      <c r="W59" s="126"/>
      <c r="X59" s="126"/>
      <c r="Y59" s="126"/>
      <c r="Z59" s="126"/>
    </row>
    <row r="60" spans="1:26" ht="15.75" customHeight="1">
      <c r="A60" s="597" t="s">
        <v>7311</v>
      </c>
      <c r="B60" s="630"/>
      <c r="C60" s="631">
        <f t="shared" ref="C60:D60" si="14">SUM(C61:C67)</f>
        <v>581600137.83000004</v>
      </c>
      <c r="D60" s="631">
        <f t="shared" si="14"/>
        <v>-581600137.83000004</v>
      </c>
      <c r="E60" s="631">
        <f t="shared" si="1"/>
        <v>0</v>
      </c>
      <c r="F60" s="631">
        <f t="shared" ref="F60:G60" si="15">SUM(F61:F67)</f>
        <v>0</v>
      </c>
      <c r="G60" s="631">
        <f t="shared" si="15"/>
        <v>0</v>
      </c>
      <c r="H60" s="631">
        <f t="shared" si="3"/>
        <v>0</v>
      </c>
      <c r="I60" s="131"/>
      <c r="J60" s="131"/>
      <c r="K60" s="131"/>
      <c r="L60" s="131"/>
      <c r="M60" s="131"/>
      <c r="N60" s="131"/>
      <c r="O60" s="131"/>
      <c r="P60" s="131"/>
      <c r="Q60" s="131"/>
      <c r="R60" s="131"/>
      <c r="S60" s="131"/>
      <c r="T60" s="131"/>
      <c r="U60" s="131"/>
      <c r="V60" s="131"/>
      <c r="W60" s="131"/>
      <c r="X60" s="131"/>
      <c r="Y60" s="131"/>
      <c r="Z60" s="131"/>
    </row>
    <row r="61" spans="1:26" ht="15.75" customHeight="1">
      <c r="A61" s="188"/>
      <c r="B61" s="635" t="s">
        <v>7312</v>
      </c>
      <c r="C61" s="633">
        <f>SUM(Balanza!H1367:H1368)</f>
        <v>0</v>
      </c>
      <c r="D61" s="633">
        <f>SUM(Balanza!H1639:H1640)</f>
        <v>0</v>
      </c>
      <c r="E61" s="634">
        <f t="shared" si="1"/>
        <v>0</v>
      </c>
      <c r="F61" s="633">
        <f>SUM(Balanza!E1911:E1912)</f>
        <v>0</v>
      </c>
      <c r="G61" s="633">
        <f>SUM(Balanza!G2183:G2184)</f>
        <v>0</v>
      </c>
      <c r="H61" s="634">
        <f t="shared" si="3"/>
        <v>0</v>
      </c>
      <c r="I61" s="131"/>
      <c r="J61" s="126"/>
      <c r="K61" s="126"/>
      <c r="L61" s="126"/>
      <c r="M61" s="126"/>
      <c r="N61" s="126"/>
      <c r="O61" s="126"/>
      <c r="P61" s="126"/>
      <c r="Q61" s="126"/>
      <c r="R61" s="126"/>
      <c r="S61" s="126"/>
      <c r="T61" s="126"/>
      <c r="U61" s="126"/>
      <c r="V61" s="126"/>
      <c r="W61" s="126"/>
      <c r="X61" s="126"/>
      <c r="Y61" s="126"/>
      <c r="Z61" s="126"/>
    </row>
    <row r="62" spans="1:26" ht="15.75" customHeight="1">
      <c r="A62" s="188"/>
      <c r="B62" s="626" t="s">
        <v>7313</v>
      </c>
      <c r="C62" s="153">
        <f>SUM(Balanza!H1369:H1370)</f>
        <v>0</v>
      </c>
      <c r="D62" s="153">
        <f>SUM(Balanza!H1641:H1642)</f>
        <v>0</v>
      </c>
      <c r="E62" s="627">
        <f t="shared" si="1"/>
        <v>0</v>
      </c>
      <c r="F62" s="153">
        <f>SUM(Balanza!E1913:E1914)</f>
        <v>0</v>
      </c>
      <c r="G62" s="153">
        <f>SUM(Balanza!G2185:G2186)</f>
        <v>0</v>
      </c>
      <c r="H62" s="627">
        <f t="shared" si="3"/>
        <v>0</v>
      </c>
      <c r="I62" s="131"/>
      <c r="J62" s="126"/>
      <c r="K62" s="126"/>
      <c r="L62" s="126"/>
      <c r="M62" s="126"/>
      <c r="N62" s="126"/>
      <c r="O62" s="126"/>
      <c r="P62" s="126"/>
      <c r="Q62" s="126"/>
      <c r="R62" s="126"/>
      <c r="S62" s="126"/>
      <c r="T62" s="126"/>
      <c r="U62" s="126"/>
      <c r="V62" s="126"/>
      <c r="W62" s="126"/>
      <c r="X62" s="126"/>
      <c r="Y62" s="126"/>
      <c r="Z62" s="126"/>
    </row>
    <row r="63" spans="1:26" ht="15.75" customHeight="1">
      <c r="A63" s="188"/>
      <c r="B63" s="626" t="s">
        <v>7314</v>
      </c>
      <c r="C63" s="153">
        <f>SUM(Balanza!H1371:H1372)</f>
        <v>0</v>
      </c>
      <c r="D63" s="153">
        <f>SUM(Balanza!H1643:H1644)</f>
        <v>0</v>
      </c>
      <c r="E63" s="627">
        <f t="shared" si="1"/>
        <v>0</v>
      </c>
      <c r="F63" s="153">
        <f>SUM(Balanza!E1915:E1916)</f>
        <v>0</v>
      </c>
      <c r="G63" s="153">
        <f>SUM(Balanza!G2187:G2188)</f>
        <v>0</v>
      </c>
      <c r="H63" s="627">
        <f t="shared" si="3"/>
        <v>0</v>
      </c>
      <c r="I63" s="131"/>
      <c r="J63" s="126"/>
      <c r="K63" s="126"/>
      <c r="L63" s="126"/>
      <c r="M63" s="126"/>
      <c r="N63" s="126"/>
      <c r="O63" s="126"/>
      <c r="P63" s="126"/>
      <c r="Q63" s="126"/>
      <c r="R63" s="126"/>
      <c r="S63" s="126"/>
      <c r="T63" s="126"/>
      <c r="U63" s="126"/>
      <c r="V63" s="126"/>
      <c r="W63" s="126"/>
      <c r="X63" s="126"/>
      <c r="Y63" s="126"/>
      <c r="Z63" s="126"/>
    </row>
    <row r="64" spans="1:26" ht="15.75" customHeight="1">
      <c r="A64" s="188"/>
      <c r="B64" s="626" t="s">
        <v>7315</v>
      </c>
      <c r="C64" s="153">
        <f>SUM(Balanza!H1373:H1374)</f>
        <v>0</v>
      </c>
      <c r="D64" s="153">
        <f>SUM(Balanza!H1645:H1646)</f>
        <v>0</v>
      </c>
      <c r="E64" s="627">
        <f t="shared" si="1"/>
        <v>0</v>
      </c>
      <c r="F64" s="153">
        <f>SUM(Balanza!E1917:E1918)</f>
        <v>0</v>
      </c>
      <c r="G64" s="153">
        <f>SUM(Balanza!G2189:G2190)</f>
        <v>0</v>
      </c>
      <c r="H64" s="627">
        <f t="shared" si="3"/>
        <v>0</v>
      </c>
      <c r="I64" s="131"/>
      <c r="J64" s="126"/>
      <c r="K64" s="126"/>
      <c r="L64" s="126"/>
      <c r="M64" s="126"/>
      <c r="N64" s="126"/>
      <c r="O64" s="126"/>
      <c r="P64" s="126"/>
      <c r="Q64" s="126"/>
      <c r="R64" s="126"/>
      <c r="S64" s="126"/>
      <c r="T64" s="126"/>
      <c r="U64" s="126"/>
      <c r="V64" s="126"/>
      <c r="W64" s="126"/>
      <c r="X64" s="126"/>
      <c r="Y64" s="126"/>
      <c r="Z64" s="126"/>
    </row>
    <row r="65" spans="1:26" ht="15.75" customHeight="1">
      <c r="A65" s="188"/>
      <c r="B65" s="626" t="s">
        <v>7316</v>
      </c>
      <c r="C65" s="153">
        <f>SUM(Balanza!H1375:H1376)</f>
        <v>0</v>
      </c>
      <c r="D65" s="153">
        <f>SUM(Balanza!H1647:H1648)</f>
        <v>0</v>
      </c>
      <c r="E65" s="627">
        <f t="shared" si="1"/>
        <v>0</v>
      </c>
      <c r="F65" s="153">
        <f>SUM(Balanza!E1919:E1920)</f>
        <v>0</v>
      </c>
      <c r="G65" s="153">
        <f>SUM(Balanza!G2191:G2192)</f>
        <v>0</v>
      </c>
      <c r="H65" s="627">
        <f t="shared" si="3"/>
        <v>0</v>
      </c>
      <c r="I65" s="131"/>
      <c r="J65" s="126"/>
      <c r="K65" s="126"/>
      <c r="L65" s="126"/>
      <c r="M65" s="126"/>
      <c r="N65" s="126"/>
      <c r="O65" s="126"/>
      <c r="P65" s="126"/>
      <c r="Q65" s="126"/>
      <c r="R65" s="126"/>
      <c r="S65" s="126"/>
      <c r="T65" s="126"/>
      <c r="U65" s="126"/>
      <c r="V65" s="126"/>
      <c r="W65" s="126"/>
      <c r="X65" s="126"/>
      <c r="Y65" s="126"/>
      <c r="Z65" s="126"/>
    </row>
    <row r="66" spans="1:26" ht="15.75" customHeight="1">
      <c r="A66" s="188"/>
      <c r="B66" s="626" t="s">
        <v>7317</v>
      </c>
      <c r="C66" s="153">
        <f>SUM(Balanza!H1377:H1378)</f>
        <v>0</v>
      </c>
      <c r="D66" s="153">
        <f>SUM(Balanza!H1649:H1650)</f>
        <v>0</v>
      </c>
      <c r="E66" s="627">
        <f t="shared" si="1"/>
        <v>0</v>
      </c>
      <c r="F66" s="153">
        <f>SUM(Balanza!E1921:E1922)</f>
        <v>0</v>
      </c>
      <c r="G66" s="153">
        <f>SUM(Balanza!G2193:G2194)</f>
        <v>0</v>
      </c>
      <c r="H66" s="627">
        <f t="shared" si="3"/>
        <v>0</v>
      </c>
      <c r="I66" s="131"/>
      <c r="J66" s="126"/>
      <c r="K66" s="126"/>
      <c r="L66" s="126"/>
      <c r="M66" s="126"/>
      <c r="N66" s="126"/>
      <c r="O66" s="126"/>
      <c r="P66" s="126"/>
      <c r="Q66" s="126"/>
      <c r="R66" s="126"/>
      <c r="S66" s="126"/>
      <c r="T66" s="126"/>
      <c r="U66" s="126"/>
      <c r="V66" s="126"/>
      <c r="W66" s="126"/>
      <c r="X66" s="126"/>
      <c r="Y66" s="126"/>
      <c r="Z66" s="126"/>
    </row>
    <row r="67" spans="1:26" ht="15.75" customHeight="1">
      <c r="A67" s="188"/>
      <c r="B67" s="628" t="s">
        <v>7318</v>
      </c>
      <c r="C67" s="239">
        <f>SUM(Balanza!H1379:H1380)</f>
        <v>581600137.83000004</v>
      </c>
      <c r="D67" s="239">
        <f>SUM(Balanza!H1651:H1652)</f>
        <v>-581600137.83000004</v>
      </c>
      <c r="E67" s="629">
        <f t="shared" si="1"/>
        <v>0</v>
      </c>
      <c r="F67" s="239">
        <f>SUM(Balanza!E1923:E1924)</f>
        <v>0</v>
      </c>
      <c r="G67" s="239">
        <f>SUM(Balanza!G2195:G2196)</f>
        <v>0</v>
      </c>
      <c r="H67" s="629">
        <f t="shared" si="3"/>
        <v>0</v>
      </c>
      <c r="I67" s="131"/>
      <c r="J67" s="126"/>
      <c r="K67" s="126"/>
      <c r="L67" s="126"/>
      <c r="M67" s="126"/>
      <c r="N67" s="126"/>
      <c r="O67" s="126"/>
      <c r="P67" s="126"/>
      <c r="Q67" s="126"/>
      <c r="R67" s="126"/>
      <c r="S67" s="126"/>
      <c r="T67" s="126"/>
      <c r="U67" s="126"/>
      <c r="V67" s="126"/>
      <c r="W67" s="126"/>
      <c r="X67" s="126"/>
      <c r="Y67" s="126"/>
      <c r="Z67" s="126"/>
    </row>
    <row r="68" spans="1:26" ht="15.75" customHeight="1">
      <c r="A68" s="597" t="s">
        <v>7319</v>
      </c>
      <c r="B68" s="630"/>
      <c r="C68" s="631">
        <f t="shared" ref="C68:D68" si="16">SUM(C69:C71)</f>
        <v>0</v>
      </c>
      <c r="D68" s="631">
        <f t="shared" si="16"/>
        <v>0</v>
      </c>
      <c r="E68" s="631">
        <f t="shared" si="1"/>
        <v>0</v>
      </c>
      <c r="F68" s="631">
        <f t="shared" ref="F68:G68" si="17">SUM(F69:F71)</f>
        <v>0</v>
      </c>
      <c r="G68" s="631">
        <f t="shared" si="17"/>
        <v>0</v>
      </c>
      <c r="H68" s="631">
        <f t="shared" si="3"/>
        <v>0</v>
      </c>
      <c r="I68" s="131"/>
      <c r="J68" s="131"/>
      <c r="K68" s="131"/>
      <c r="L68" s="131"/>
      <c r="M68" s="131"/>
      <c r="N68" s="131"/>
      <c r="O68" s="131"/>
      <c r="P68" s="131"/>
      <c r="Q68" s="131"/>
      <c r="R68" s="131"/>
      <c r="S68" s="131"/>
      <c r="T68" s="131"/>
      <c r="U68" s="131"/>
      <c r="V68" s="131"/>
      <c r="W68" s="131"/>
      <c r="X68" s="131"/>
      <c r="Y68" s="131"/>
      <c r="Z68" s="131"/>
    </row>
    <row r="69" spans="1:26" ht="15.75" customHeight="1">
      <c r="A69" s="186"/>
      <c r="B69" s="637" t="s">
        <v>1093</v>
      </c>
      <c r="C69" s="633">
        <f>SUM(Balanza!H1382:H1383)</f>
        <v>0</v>
      </c>
      <c r="D69" s="633">
        <f>SUM(Balanza!H1654:H1655)</f>
        <v>0</v>
      </c>
      <c r="E69" s="634">
        <f t="shared" si="1"/>
        <v>0</v>
      </c>
      <c r="F69" s="633">
        <f>SUM(Balanza!E1926:E1927)</f>
        <v>0</v>
      </c>
      <c r="G69" s="633">
        <f>SUM(Balanza!G2198:G2199)</f>
        <v>0</v>
      </c>
      <c r="H69" s="634">
        <f t="shared" si="3"/>
        <v>0</v>
      </c>
      <c r="I69" s="131"/>
      <c r="J69" s="131"/>
      <c r="K69" s="131"/>
      <c r="L69" s="131"/>
      <c r="M69" s="131"/>
      <c r="N69" s="131"/>
      <c r="O69" s="131"/>
      <c r="P69" s="131"/>
      <c r="Q69" s="131"/>
      <c r="R69" s="131"/>
      <c r="S69" s="131"/>
      <c r="T69" s="131"/>
      <c r="U69" s="131"/>
      <c r="V69" s="131"/>
      <c r="W69" s="131"/>
      <c r="X69" s="131"/>
      <c r="Y69" s="131"/>
      <c r="Z69" s="131"/>
    </row>
    <row r="70" spans="1:26" ht="15.75" customHeight="1">
      <c r="A70" s="186"/>
      <c r="B70" s="133" t="s">
        <v>1119</v>
      </c>
      <c r="C70" s="153">
        <f>SUM(Balanza!H1384:H1385)</f>
        <v>0</v>
      </c>
      <c r="D70" s="153">
        <f>SUM(Balanza!H1656:H1657)</f>
        <v>0</v>
      </c>
      <c r="E70" s="627">
        <f t="shared" si="1"/>
        <v>0</v>
      </c>
      <c r="F70" s="153">
        <f>SUM(Balanza!E1928:E1929)</f>
        <v>0</v>
      </c>
      <c r="G70" s="153">
        <f>SUM(Balanza!G2200:G2201)</f>
        <v>0</v>
      </c>
      <c r="H70" s="627">
        <f t="shared" si="3"/>
        <v>0</v>
      </c>
      <c r="I70" s="131"/>
      <c r="J70" s="131"/>
      <c r="K70" s="131"/>
      <c r="L70" s="131"/>
      <c r="M70" s="131"/>
      <c r="N70" s="131"/>
      <c r="O70" s="131"/>
      <c r="P70" s="131"/>
      <c r="Q70" s="131"/>
      <c r="R70" s="131"/>
      <c r="S70" s="131"/>
      <c r="T70" s="131"/>
      <c r="U70" s="131"/>
      <c r="V70" s="131"/>
      <c r="W70" s="131"/>
      <c r="X70" s="131"/>
      <c r="Y70" s="131"/>
      <c r="Z70" s="131"/>
    </row>
    <row r="71" spans="1:26" ht="15.75" customHeight="1">
      <c r="A71" s="186"/>
      <c r="B71" s="638" t="s">
        <v>1125</v>
      </c>
      <c r="C71" s="239">
        <f>SUM(Balanza!H1386:H1387)</f>
        <v>0</v>
      </c>
      <c r="D71" s="239">
        <f>SUM(Balanza!H1658:H1659)</f>
        <v>0</v>
      </c>
      <c r="E71" s="629">
        <f t="shared" si="1"/>
        <v>0</v>
      </c>
      <c r="F71" s="239">
        <f>SUM(Balanza!E1930:E1931)</f>
        <v>0</v>
      </c>
      <c r="G71" s="239">
        <f>SUM(Balanza!G2202:G2203)</f>
        <v>0</v>
      </c>
      <c r="H71" s="629">
        <f t="shared" si="3"/>
        <v>0</v>
      </c>
      <c r="I71" s="131"/>
      <c r="J71" s="131"/>
      <c r="K71" s="131"/>
      <c r="L71" s="131"/>
      <c r="M71" s="131"/>
      <c r="N71" s="131"/>
      <c r="O71" s="131"/>
      <c r="P71" s="131"/>
      <c r="Q71" s="131"/>
      <c r="R71" s="131"/>
      <c r="S71" s="131"/>
      <c r="T71" s="131"/>
      <c r="U71" s="131"/>
      <c r="V71" s="131"/>
      <c r="W71" s="131"/>
      <c r="X71" s="131"/>
      <c r="Y71" s="131"/>
      <c r="Z71" s="131"/>
    </row>
    <row r="72" spans="1:26" ht="15.75" customHeight="1">
      <c r="A72" s="597" t="s">
        <v>7320</v>
      </c>
      <c r="B72" s="630"/>
      <c r="C72" s="631">
        <f t="shared" ref="C72:D72" si="18">SUM(C73:C79)</f>
        <v>240544973.09</v>
      </c>
      <c r="D72" s="631">
        <f t="shared" si="18"/>
        <v>318215510.94999999</v>
      </c>
      <c r="E72" s="631">
        <f t="shared" si="1"/>
        <v>558760484.03999996</v>
      </c>
      <c r="F72" s="631">
        <f t="shared" ref="F72:G72" si="19">SUM(F73:F79)</f>
        <v>263882522.37</v>
      </c>
      <c r="G72" s="631">
        <f t="shared" si="19"/>
        <v>263882522.37</v>
      </c>
      <c r="H72" s="631">
        <f t="shared" si="3"/>
        <v>294877961.66999996</v>
      </c>
      <c r="I72" s="131"/>
      <c r="J72" s="131"/>
      <c r="K72" s="131"/>
      <c r="L72" s="131"/>
      <c r="M72" s="131"/>
      <c r="N72" s="131"/>
      <c r="O72" s="131"/>
      <c r="P72" s="131"/>
      <c r="Q72" s="131"/>
      <c r="R72" s="131"/>
      <c r="S72" s="131"/>
      <c r="T72" s="131"/>
      <c r="U72" s="131"/>
      <c r="V72" s="131"/>
      <c r="W72" s="131"/>
      <c r="X72" s="131"/>
      <c r="Y72" s="131"/>
      <c r="Z72" s="131"/>
    </row>
    <row r="73" spans="1:26" ht="15.75" customHeight="1">
      <c r="A73" s="188"/>
      <c r="B73" s="635" t="s">
        <v>7321</v>
      </c>
      <c r="C73" s="633">
        <f>SUM(Balanza!H1389:H1390)</f>
        <v>114059568.03</v>
      </c>
      <c r="D73" s="633">
        <f>SUM(Balanza!H1661:H1662)</f>
        <v>300000000</v>
      </c>
      <c r="E73" s="634">
        <f t="shared" si="1"/>
        <v>414059568.02999997</v>
      </c>
      <c r="F73" s="633">
        <f>SUM(Balanza!E1933:E1934)</f>
        <v>198205039.28999999</v>
      </c>
      <c r="G73" s="633">
        <f>SUM(Balanza!G2205:G2206)</f>
        <v>198205039.28999999</v>
      </c>
      <c r="H73" s="634">
        <f t="shared" si="3"/>
        <v>215854528.73999998</v>
      </c>
      <c r="I73" s="131"/>
      <c r="J73" s="126"/>
      <c r="K73" s="126"/>
      <c r="L73" s="126"/>
      <c r="M73" s="126"/>
      <c r="N73" s="126"/>
      <c r="O73" s="126"/>
      <c r="P73" s="126"/>
      <c r="Q73" s="126"/>
      <c r="R73" s="126"/>
      <c r="S73" s="126"/>
      <c r="T73" s="126"/>
      <c r="U73" s="126"/>
      <c r="V73" s="126"/>
      <c r="W73" s="126"/>
      <c r="X73" s="126"/>
      <c r="Y73" s="126"/>
      <c r="Z73" s="126"/>
    </row>
    <row r="74" spans="1:26" ht="15.75" customHeight="1">
      <c r="A74" s="188"/>
      <c r="B74" s="626" t="s">
        <v>7322</v>
      </c>
      <c r="C74" s="153">
        <f>SUM(Balanza!H1391:H1392)</f>
        <v>123278405.06</v>
      </c>
      <c r="D74" s="153">
        <f>SUM(Balanza!H1663:H1664)</f>
        <v>18215510.949999999</v>
      </c>
      <c r="E74" s="627">
        <f t="shared" si="1"/>
        <v>141493916.00999999</v>
      </c>
      <c r="F74" s="153">
        <f>SUM(Balanza!E1935:E1936)</f>
        <v>65261066.200000003</v>
      </c>
      <c r="G74" s="153">
        <f>SUM(Balanza!G2207:G2208)</f>
        <v>65261066.200000003</v>
      </c>
      <c r="H74" s="627">
        <f t="shared" si="3"/>
        <v>76232849.809999987</v>
      </c>
      <c r="I74" s="131"/>
      <c r="J74" s="126"/>
      <c r="K74" s="126"/>
      <c r="L74" s="126"/>
      <c r="M74" s="126"/>
      <c r="N74" s="126"/>
      <c r="O74" s="126"/>
      <c r="P74" s="126"/>
      <c r="Q74" s="126"/>
      <c r="R74" s="126"/>
      <c r="S74" s="126"/>
      <c r="T74" s="126"/>
      <c r="U74" s="126"/>
      <c r="V74" s="126"/>
      <c r="W74" s="126"/>
      <c r="X74" s="126"/>
      <c r="Y74" s="126"/>
      <c r="Z74" s="126"/>
    </row>
    <row r="75" spans="1:26" ht="15.75" customHeight="1">
      <c r="A75" s="188"/>
      <c r="B75" s="626" t="s">
        <v>7323</v>
      </c>
      <c r="C75" s="153">
        <f>SUM(Balanza!H1393:H1394)</f>
        <v>0</v>
      </c>
      <c r="D75" s="153">
        <f>SUM(Balanza!H1665:H1666)</f>
        <v>0</v>
      </c>
      <c r="E75" s="627">
        <f t="shared" si="1"/>
        <v>0</v>
      </c>
      <c r="F75" s="153">
        <f>SUM(Balanza!E1937:E1938)</f>
        <v>0</v>
      </c>
      <c r="G75" s="153">
        <f>SUM(Balanza!G2209:G2210)</f>
        <v>0</v>
      </c>
      <c r="H75" s="627">
        <f t="shared" si="3"/>
        <v>0</v>
      </c>
      <c r="I75" s="131"/>
      <c r="J75" s="126"/>
      <c r="K75" s="126"/>
      <c r="L75" s="126"/>
      <c r="M75" s="126"/>
      <c r="N75" s="126"/>
      <c r="O75" s="126"/>
      <c r="P75" s="126"/>
      <c r="Q75" s="126"/>
      <c r="R75" s="126"/>
      <c r="S75" s="126"/>
      <c r="T75" s="126"/>
      <c r="U75" s="126"/>
      <c r="V75" s="126"/>
      <c r="W75" s="126"/>
      <c r="X75" s="126"/>
      <c r="Y75" s="126"/>
      <c r="Z75" s="126"/>
    </row>
    <row r="76" spans="1:26" ht="15.75" customHeight="1">
      <c r="A76" s="188"/>
      <c r="B76" s="626" t="s">
        <v>7324</v>
      </c>
      <c r="C76" s="153">
        <f>SUM(Balanza!H1395:H1396)</f>
        <v>3207000</v>
      </c>
      <c r="D76" s="153">
        <f>SUM(Balanza!H1667:H1668)</f>
        <v>0</v>
      </c>
      <c r="E76" s="627">
        <f t="shared" si="1"/>
        <v>3207000</v>
      </c>
      <c r="F76" s="153">
        <f>SUM(Balanza!E1939:E1940)</f>
        <v>416416.88</v>
      </c>
      <c r="G76" s="153">
        <f>SUM(Balanza!G2211:G2212)</f>
        <v>416416.88</v>
      </c>
      <c r="H76" s="627">
        <f t="shared" si="3"/>
        <v>2790583.12</v>
      </c>
      <c r="I76" s="131"/>
      <c r="J76" s="126"/>
      <c r="K76" s="126"/>
      <c r="L76" s="126"/>
      <c r="M76" s="126"/>
      <c r="N76" s="126"/>
      <c r="O76" s="126"/>
      <c r="P76" s="126"/>
      <c r="Q76" s="126"/>
      <c r="R76" s="126"/>
      <c r="S76" s="126"/>
      <c r="T76" s="126"/>
      <c r="U76" s="126"/>
      <c r="V76" s="126"/>
      <c r="W76" s="126"/>
      <c r="X76" s="126"/>
      <c r="Y76" s="126"/>
      <c r="Z76" s="126"/>
    </row>
    <row r="77" spans="1:26" ht="15.75" customHeight="1">
      <c r="A77" s="188"/>
      <c r="B77" s="626" t="s">
        <v>7325</v>
      </c>
      <c r="C77" s="153">
        <f>SUM(Balanza!H1397:H1398)</f>
        <v>0</v>
      </c>
      <c r="D77" s="153">
        <f>SUM(Balanza!H1669:H1670)</f>
        <v>0</v>
      </c>
      <c r="E77" s="627">
        <f t="shared" si="1"/>
        <v>0</v>
      </c>
      <c r="F77" s="153">
        <f>SUM(Balanza!E1941:E1942)</f>
        <v>0</v>
      </c>
      <c r="G77" s="153">
        <f>SUM(Balanza!G2213:G2214)</f>
        <v>0</v>
      </c>
      <c r="H77" s="627">
        <f t="shared" si="3"/>
        <v>0</v>
      </c>
      <c r="I77" s="131"/>
      <c r="J77" s="126"/>
      <c r="K77" s="126"/>
      <c r="L77" s="126"/>
      <c r="M77" s="126"/>
      <c r="N77" s="126"/>
      <c r="O77" s="126"/>
      <c r="P77" s="126"/>
      <c r="Q77" s="126"/>
      <c r="R77" s="126"/>
      <c r="S77" s="126"/>
      <c r="T77" s="126"/>
      <c r="U77" s="126"/>
      <c r="V77" s="126"/>
      <c r="W77" s="126"/>
      <c r="X77" s="126"/>
      <c r="Y77" s="126"/>
      <c r="Z77" s="126"/>
    </row>
    <row r="78" spans="1:26" ht="15.75" customHeight="1">
      <c r="A78" s="188"/>
      <c r="B78" s="626" t="s">
        <v>7326</v>
      </c>
      <c r="C78" s="153">
        <f>SUM(Balanza!H1399:H1400)</f>
        <v>0</v>
      </c>
      <c r="D78" s="153">
        <f>SUM(Balanza!H1671:H1672)</f>
        <v>0</v>
      </c>
      <c r="E78" s="627">
        <f t="shared" si="1"/>
        <v>0</v>
      </c>
      <c r="F78" s="153">
        <f>SUM(Balanza!E1943:E1944)</f>
        <v>0</v>
      </c>
      <c r="G78" s="153">
        <f>SUM(Balanza!G2215:G2216)</f>
        <v>0</v>
      </c>
      <c r="H78" s="627">
        <f t="shared" si="3"/>
        <v>0</v>
      </c>
      <c r="I78" s="131"/>
      <c r="J78" s="126"/>
      <c r="K78" s="126"/>
      <c r="L78" s="126"/>
      <c r="M78" s="126"/>
      <c r="N78" s="126"/>
      <c r="O78" s="126"/>
      <c r="P78" s="126"/>
      <c r="Q78" s="126"/>
      <c r="R78" s="126"/>
      <c r="S78" s="126"/>
      <c r="T78" s="126"/>
      <c r="U78" s="126"/>
      <c r="V78" s="126"/>
      <c r="W78" s="126"/>
      <c r="X78" s="126"/>
      <c r="Y78" s="126"/>
      <c r="Z78" s="126"/>
    </row>
    <row r="79" spans="1:26" ht="15.75" customHeight="1">
      <c r="A79" s="191"/>
      <c r="B79" s="639" t="s">
        <v>7327</v>
      </c>
      <c r="C79" s="169">
        <f>SUM(Balanza!H1401:H1402)</f>
        <v>0</v>
      </c>
      <c r="D79" s="169">
        <f>SUM(Balanza!H1673:H1674)</f>
        <v>0</v>
      </c>
      <c r="E79" s="640">
        <f t="shared" si="1"/>
        <v>0</v>
      </c>
      <c r="F79" s="169">
        <f>SUM(Balanza!E1945:E1946)</f>
        <v>0</v>
      </c>
      <c r="G79" s="169">
        <f>SUM(Balanza!G2217:G2218)</f>
        <v>0</v>
      </c>
      <c r="H79" s="640">
        <f t="shared" si="3"/>
        <v>0</v>
      </c>
      <c r="I79" s="131"/>
      <c r="J79" s="126"/>
      <c r="K79" s="126"/>
      <c r="L79" s="126"/>
      <c r="M79" s="126"/>
      <c r="N79" s="126"/>
      <c r="O79" s="126"/>
      <c r="P79" s="126"/>
      <c r="Q79" s="126"/>
      <c r="R79" s="126"/>
      <c r="S79" s="126"/>
      <c r="T79" s="126"/>
      <c r="U79" s="126"/>
      <c r="V79" s="126"/>
      <c r="W79" s="126"/>
      <c r="X79" s="126"/>
      <c r="Y79" s="126"/>
      <c r="Z79" s="126"/>
    </row>
    <row r="80" spans="1:26" ht="15.75" customHeight="1">
      <c r="A80" s="138"/>
      <c r="B80" s="641" t="s">
        <v>7328</v>
      </c>
      <c r="C80" s="642">
        <f t="shared" ref="C80:H80" si="20">C8+C16+C26+C36+C46+C56+C60+C68+C72</f>
        <v>12491139903.439999</v>
      </c>
      <c r="D80" s="642">
        <f t="shared" si="20"/>
        <v>51584350.189999878</v>
      </c>
      <c r="E80" s="642">
        <f t="shared" si="20"/>
        <v>12542724253.630001</v>
      </c>
      <c r="F80" s="642">
        <f t="shared" si="20"/>
        <v>4357531815.6599998</v>
      </c>
      <c r="G80" s="642">
        <f t="shared" si="20"/>
        <v>4352948464.6399994</v>
      </c>
      <c r="H80" s="642">
        <f t="shared" si="20"/>
        <v>8185192437.9699993</v>
      </c>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46"/>
      <c r="D81" s="146"/>
      <c r="E81" s="146"/>
      <c r="F81" s="146"/>
      <c r="G81" s="146"/>
      <c r="H81" s="146"/>
      <c r="I81" s="131"/>
      <c r="J81" s="131"/>
      <c r="K81" s="131"/>
      <c r="L81" s="131"/>
      <c r="M81" s="131"/>
      <c r="N81" s="131"/>
      <c r="O81" s="131"/>
      <c r="P81" s="131"/>
      <c r="Q81" s="131"/>
      <c r="R81" s="131"/>
      <c r="S81" s="131"/>
      <c r="T81" s="131"/>
      <c r="U81" s="131"/>
      <c r="V81" s="131"/>
      <c r="W81" s="131"/>
      <c r="X81" s="131"/>
      <c r="Y81" s="131"/>
      <c r="Z81" s="131"/>
    </row>
    <row r="82" spans="1:26" ht="15.75" customHeight="1">
      <c r="A82" s="131"/>
      <c r="B82" s="588" t="s">
        <v>4422</v>
      </c>
      <c r="C82" s="146"/>
      <c r="D82" s="146"/>
      <c r="E82" s="146"/>
      <c r="F82" s="146"/>
      <c r="G82" s="146"/>
      <c r="H82" s="146"/>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74"/>
      <c r="C83" s="146"/>
      <c r="D83" s="643"/>
      <c r="E83" s="643"/>
      <c r="F83" s="643"/>
      <c r="G83" s="643"/>
      <c r="H83" s="146"/>
      <c r="I83" s="131"/>
      <c r="J83" s="131"/>
      <c r="K83" s="131"/>
      <c r="L83" s="131"/>
      <c r="M83" s="131"/>
      <c r="N83" s="131"/>
      <c r="O83" s="131"/>
      <c r="P83" s="131"/>
      <c r="Q83" s="131"/>
      <c r="R83" s="131"/>
      <c r="S83" s="131"/>
      <c r="T83" s="131"/>
      <c r="U83" s="131"/>
      <c r="V83" s="131"/>
      <c r="W83" s="131"/>
      <c r="X83" s="131"/>
      <c r="Y83" s="131"/>
      <c r="Z83" s="131"/>
    </row>
    <row r="84" spans="1:26" ht="15.75" customHeight="1">
      <c r="A84" s="131"/>
      <c r="B84" s="786" t="str">
        <f>Validacion!A7</f>
        <v>Vero</v>
      </c>
      <c r="C84" s="146"/>
      <c r="D84" s="822" t="str">
        <f>Validacion!A9</f>
        <v>Irlanda</v>
      </c>
      <c r="E84" s="725"/>
      <c r="F84" s="725"/>
      <c r="G84" s="725"/>
      <c r="H84" s="146"/>
      <c r="I84" s="131"/>
      <c r="J84" s="131"/>
      <c r="K84" s="131"/>
      <c r="L84" s="131"/>
      <c r="M84" s="131"/>
      <c r="N84" s="131"/>
      <c r="O84" s="131"/>
      <c r="P84" s="131"/>
      <c r="Q84" s="131"/>
      <c r="R84" s="131"/>
      <c r="S84" s="131"/>
      <c r="T84" s="131"/>
      <c r="U84" s="131"/>
      <c r="V84" s="131"/>
      <c r="W84" s="131"/>
      <c r="X84" s="131"/>
      <c r="Y84" s="131"/>
      <c r="Z84" s="131"/>
    </row>
    <row r="85" spans="1:26" ht="15.75" customHeight="1">
      <c r="A85" s="131"/>
      <c r="B85" s="725"/>
      <c r="C85" s="146"/>
      <c r="D85" s="725"/>
      <c r="E85" s="725"/>
      <c r="F85" s="725"/>
      <c r="G85" s="725"/>
      <c r="H85" s="146"/>
      <c r="I85" s="131"/>
      <c r="J85" s="131"/>
      <c r="K85" s="131"/>
      <c r="L85" s="131"/>
      <c r="M85" s="131"/>
      <c r="N85" s="131"/>
      <c r="O85" s="131"/>
      <c r="P85" s="131"/>
      <c r="Q85" s="131"/>
      <c r="R85" s="131"/>
      <c r="S85" s="131"/>
      <c r="T85" s="131"/>
      <c r="U85" s="131"/>
      <c r="V85" s="131"/>
      <c r="W85" s="131"/>
      <c r="X85" s="131"/>
      <c r="Y85" s="131"/>
      <c r="Z85" s="131"/>
    </row>
    <row r="86" spans="1:26" ht="15.75" customHeight="1">
      <c r="A86" s="131"/>
      <c r="B86" s="773" t="s">
        <v>4443</v>
      </c>
      <c r="C86" s="146"/>
      <c r="D86" s="906" t="s">
        <v>6273</v>
      </c>
      <c r="E86" s="725"/>
      <c r="F86" s="725"/>
      <c r="G86" s="725"/>
      <c r="H86" s="146"/>
      <c r="I86" s="131"/>
      <c r="J86" s="131"/>
      <c r="K86" s="131"/>
      <c r="L86" s="131"/>
      <c r="M86" s="131"/>
      <c r="N86" s="131"/>
      <c r="O86" s="131"/>
      <c r="P86" s="131"/>
      <c r="Q86" s="131"/>
      <c r="R86" s="131"/>
      <c r="S86" s="131"/>
      <c r="T86" s="131"/>
      <c r="U86" s="131"/>
      <c r="V86" s="131"/>
      <c r="W86" s="131"/>
      <c r="X86" s="131"/>
      <c r="Y86" s="131"/>
      <c r="Z86" s="131"/>
    </row>
    <row r="87" spans="1:26" ht="15.75" customHeight="1">
      <c r="A87" s="131"/>
      <c r="B87" s="725"/>
      <c r="C87" s="146"/>
      <c r="D87" s="725"/>
      <c r="E87" s="725"/>
      <c r="F87" s="725"/>
      <c r="G87" s="725"/>
      <c r="H87" s="146"/>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46"/>
      <c r="D88" s="146"/>
      <c r="E88" s="146"/>
      <c r="F88" s="146"/>
      <c r="G88" s="146"/>
      <c r="H88" s="146"/>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46"/>
      <c r="D89" s="146"/>
      <c r="E89" s="146"/>
      <c r="F89" s="146"/>
      <c r="G89" s="146"/>
      <c r="H89" s="146"/>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46"/>
      <c r="D90" s="146"/>
      <c r="E90" s="146"/>
      <c r="F90" s="146"/>
      <c r="G90" s="146"/>
      <c r="H90" s="146"/>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46"/>
      <c r="D91" s="146"/>
      <c r="E91" s="146"/>
      <c r="F91" s="146"/>
      <c r="G91" s="146"/>
      <c r="H91" s="146"/>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46"/>
      <c r="D92" s="146"/>
      <c r="E92" s="146"/>
      <c r="F92" s="146"/>
      <c r="G92" s="146"/>
      <c r="H92" s="146"/>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46"/>
      <c r="D93" s="146"/>
      <c r="E93" s="146"/>
      <c r="F93" s="146"/>
      <c r="G93" s="146"/>
      <c r="H93" s="146"/>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46"/>
      <c r="D94" s="146"/>
      <c r="E94" s="146"/>
      <c r="F94" s="146"/>
      <c r="G94" s="146"/>
      <c r="H94" s="146"/>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46"/>
      <c r="D95" s="146"/>
      <c r="E95" s="146"/>
      <c r="F95" s="146"/>
      <c r="G95" s="146"/>
      <c r="H95" s="146"/>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46"/>
      <c r="D96" s="146"/>
      <c r="E96" s="146"/>
      <c r="F96" s="146"/>
      <c r="G96" s="146"/>
      <c r="H96" s="146"/>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46"/>
      <c r="D97" s="146"/>
      <c r="E97" s="146"/>
      <c r="F97" s="146"/>
      <c r="G97" s="146"/>
      <c r="H97" s="146"/>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46"/>
      <c r="D98" s="146"/>
      <c r="E98" s="146"/>
      <c r="F98" s="146"/>
      <c r="G98" s="146"/>
      <c r="H98" s="146"/>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46"/>
      <c r="D99" s="146"/>
      <c r="E99" s="146"/>
      <c r="F99" s="146"/>
      <c r="G99" s="146"/>
      <c r="H99" s="146"/>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46"/>
      <c r="D100" s="146"/>
      <c r="E100" s="146"/>
      <c r="F100" s="146"/>
      <c r="G100" s="146"/>
      <c r="H100" s="146"/>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46"/>
      <c r="D101" s="146"/>
      <c r="E101" s="146"/>
      <c r="F101" s="146"/>
      <c r="G101" s="146"/>
      <c r="H101" s="146"/>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46"/>
      <c r="D102" s="146"/>
      <c r="E102" s="146"/>
      <c r="F102" s="146"/>
      <c r="G102" s="146"/>
      <c r="H102" s="146"/>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46"/>
      <c r="D103" s="146"/>
      <c r="E103" s="146"/>
      <c r="F103" s="146"/>
      <c r="G103" s="146"/>
      <c r="H103" s="146"/>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46"/>
      <c r="D104" s="146"/>
      <c r="E104" s="146"/>
      <c r="F104" s="146"/>
      <c r="G104" s="146"/>
      <c r="H104" s="146"/>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46"/>
      <c r="D105" s="146"/>
      <c r="E105" s="146"/>
      <c r="F105" s="146"/>
      <c r="G105" s="146"/>
      <c r="H105" s="146"/>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46"/>
      <c r="D106" s="146"/>
      <c r="E106" s="146"/>
      <c r="F106" s="146"/>
      <c r="G106" s="146"/>
      <c r="H106" s="146"/>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46"/>
      <c r="D107" s="146"/>
      <c r="E107" s="146"/>
      <c r="F107" s="146"/>
      <c r="G107" s="146"/>
      <c r="H107" s="146"/>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46"/>
      <c r="D108" s="146"/>
      <c r="E108" s="146"/>
      <c r="F108" s="146"/>
      <c r="G108" s="146"/>
      <c r="H108" s="146"/>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46"/>
      <c r="D109" s="146"/>
      <c r="E109" s="146"/>
      <c r="F109" s="146"/>
      <c r="G109" s="146"/>
      <c r="H109" s="146"/>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46"/>
      <c r="D110" s="146"/>
      <c r="E110" s="146"/>
      <c r="F110" s="146"/>
      <c r="G110" s="146"/>
      <c r="H110" s="146"/>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46"/>
      <c r="D111" s="146"/>
      <c r="E111" s="146"/>
      <c r="F111" s="146"/>
      <c r="G111" s="146"/>
      <c r="H111" s="146"/>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46"/>
      <c r="D112" s="146"/>
      <c r="E112" s="146"/>
      <c r="F112" s="146"/>
      <c r="G112" s="146"/>
      <c r="H112" s="146"/>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46"/>
      <c r="D113" s="146"/>
      <c r="E113" s="146"/>
      <c r="F113" s="146"/>
      <c r="G113" s="146"/>
      <c r="H113" s="146"/>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46"/>
      <c r="D114" s="146"/>
      <c r="E114" s="146"/>
      <c r="F114" s="146"/>
      <c r="G114" s="146"/>
      <c r="H114" s="146"/>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46"/>
      <c r="D115" s="146"/>
      <c r="E115" s="146"/>
      <c r="F115" s="146"/>
      <c r="G115" s="146"/>
      <c r="H115" s="146"/>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46"/>
      <c r="D116" s="146"/>
      <c r="E116" s="146"/>
      <c r="F116" s="146"/>
      <c r="G116" s="146"/>
      <c r="H116" s="146"/>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46"/>
      <c r="D117" s="146"/>
      <c r="E117" s="146"/>
      <c r="F117" s="146"/>
      <c r="G117" s="146"/>
      <c r="H117" s="146"/>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46"/>
      <c r="D118" s="146"/>
      <c r="E118" s="146"/>
      <c r="F118" s="146"/>
      <c r="G118" s="146"/>
      <c r="H118" s="146"/>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46"/>
      <c r="D119" s="146"/>
      <c r="E119" s="146"/>
      <c r="F119" s="146"/>
      <c r="G119" s="146"/>
      <c r="H119" s="146"/>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46"/>
      <c r="D120" s="146"/>
      <c r="E120" s="146"/>
      <c r="F120" s="146"/>
      <c r="G120" s="146"/>
      <c r="H120" s="146"/>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46"/>
      <c r="D121" s="146"/>
      <c r="E121" s="146"/>
      <c r="F121" s="146"/>
      <c r="G121" s="146"/>
      <c r="H121" s="146"/>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46"/>
      <c r="D122" s="146"/>
      <c r="E122" s="146"/>
      <c r="F122" s="146"/>
      <c r="G122" s="146"/>
      <c r="H122" s="146"/>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46"/>
      <c r="D123" s="146"/>
      <c r="E123" s="146"/>
      <c r="F123" s="146"/>
      <c r="G123" s="146"/>
      <c r="H123" s="146"/>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46"/>
      <c r="D124" s="146"/>
      <c r="E124" s="146"/>
      <c r="F124" s="146"/>
      <c r="G124" s="146"/>
      <c r="H124" s="146"/>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46"/>
      <c r="D125" s="146"/>
      <c r="E125" s="146"/>
      <c r="F125" s="146"/>
      <c r="G125" s="146"/>
      <c r="H125" s="146"/>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46"/>
      <c r="D126" s="146"/>
      <c r="E126" s="146"/>
      <c r="F126" s="146"/>
      <c r="G126" s="146"/>
      <c r="H126" s="146"/>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46"/>
      <c r="D127" s="146"/>
      <c r="E127" s="146"/>
      <c r="F127" s="146"/>
      <c r="G127" s="146"/>
      <c r="H127" s="146"/>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46"/>
      <c r="D128" s="146"/>
      <c r="E128" s="146"/>
      <c r="F128" s="146"/>
      <c r="G128" s="146"/>
      <c r="H128" s="146"/>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46"/>
      <c r="D129" s="146"/>
      <c r="E129" s="146"/>
      <c r="F129" s="146"/>
      <c r="G129" s="146"/>
      <c r="H129" s="146"/>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46"/>
      <c r="D130" s="146"/>
      <c r="E130" s="146"/>
      <c r="F130" s="146"/>
      <c r="G130" s="146"/>
      <c r="H130" s="146"/>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46"/>
      <c r="D131" s="146"/>
      <c r="E131" s="146"/>
      <c r="F131" s="146"/>
      <c r="G131" s="146"/>
      <c r="H131" s="146"/>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46"/>
      <c r="D132" s="146"/>
      <c r="E132" s="146"/>
      <c r="F132" s="146"/>
      <c r="G132" s="146"/>
      <c r="H132" s="146"/>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46"/>
      <c r="D133" s="146"/>
      <c r="E133" s="146"/>
      <c r="F133" s="146"/>
      <c r="G133" s="146"/>
      <c r="H133" s="146"/>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46"/>
      <c r="D134" s="146"/>
      <c r="E134" s="146"/>
      <c r="F134" s="146"/>
      <c r="G134" s="146"/>
      <c r="H134" s="146"/>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46"/>
      <c r="D135" s="146"/>
      <c r="E135" s="146"/>
      <c r="F135" s="146"/>
      <c r="G135" s="146"/>
      <c r="H135" s="146"/>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46"/>
      <c r="D136" s="146"/>
      <c r="E136" s="146"/>
      <c r="F136" s="146"/>
      <c r="G136" s="146"/>
      <c r="H136" s="146"/>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46"/>
      <c r="D137" s="146"/>
      <c r="E137" s="146"/>
      <c r="F137" s="146"/>
      <c r="G137" s="146"/>
      <c r="H137" s="146"/>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46"/>
      <c r="D138" s="146"/>
      <c r="E138" s="146"/>
      <c r="F138" s="146"/>
      <c r="G138" s="146"/>
      <c r="H138" s="146"/>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46"/>
      <c r="D139" s="146"/>
      <c r="E139" s="146"/>
      <c r="F139" s="146"/>
      <c r="G139" s="146"/>
      <c r="H139" s="146"/>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46"/>
      <c r="D140" s="146"/>
      <c r="E140" s="146"/>
      <c r="F140" s="146"/>
      <c r="G140" s="146"/>
      <c r="H140" s="146"/>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46"/>
      <c r="D141" s="146"/>
      <c r="E141" s="146"/>
      <c r="F141" s="146"/>
      <c r="G141" s="146"/>
      <c r="H141" s="146"/>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46"/>
      <c r="D142" s="146"/>
      <c r="E142" s="146"/>
      <c r="F142" s="146"/>
      <c r="G142" s="146"/>
      <c r="H142" s="146"/>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46"/>
      <c r="D143" s="146"/>
      <c r="E143" s="146"/>
      <c r="F143" s="146"/>
      <c r="G143" s="146"/>
      <c r="H143" s="146"/>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46"/>
      <c r="D144" s="146"/>
      <c r="E144" s="146"/>
      <c r="F144" s="146"/>
      <c r="G144" s="146"/>
      <c r="H144" s="146"/>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46"/>
      <c r="D145" s="146"/>
      <c r="E145" s="146"/>
      <c r="F145" s="146"/>
      <c r="G145" s="146"/>
      <c r="H145" s="146"/>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46"/>
      <c r="D146" s="146"/>
      <c r="E146" s="146"/>
      <c r="F146" s="146"/>
      <c r="G146" s="146"/>
      <c r="H146" s="146"/>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46"/>
      <c r="D147" s="146"/>
      <c r="E147" s="146"/>
      <c r="F147" s="146"/>
      <c r="G147" s="146"/>
      <c r="H147" s="146"/>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46"/>
      <c r="D148" s="146"/>
      <c r="E148" s="146"/>
      <c r="F148" s="146"/>
      <c r="G148" s="146"/>
      <c r="H148" s="146"/>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46"/>
      <c r="D149" s="146"/>
      <c r="E149" s="146"/>
      <c r="F149" s="146"/>
      <c r="G149" s="146"/>
      <c r="H149" s="146"/>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46"/>
      <c r="D150" s="146"/>
      <c r="E150" s="146"/>
      <c r="F150" s="146"/>
      <c r="G150" s="146"/>
      <c r="H150" s="146"/>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46"/>
      <c r="D151" s="146"/>
      <c r="E151" s="146"/>
      <c r="F151" s="146"/>
      <c r="G151" s="146"/>
      <c r="H151" s="146"/>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46"/>
      <c r="D152" s="146"/>
      <c r="E152" s="146"/>
      <c r="F152" s="146"/>
      <c r="G152" s="146"/>
      <c r="H152" s="146"/>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46"/>
      <c r="D153" s="146"/>
      <c r="E153" s="146"/>
      <c r="F153" s="146"/>
      <c r="G153" s="146"/>
      <c r="H153" s="146"/>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46"/>
      <c r="D154" s="146"/>
      <c r="E154" s="146"/>
      <c r="F154" s="146"/>
      <c r="G154" s="146"/>
      <c r="H154" s="146"/>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46"/>
      <c r="D155" s="146"/>
      <c r="E155" s="146"/>
      <c r="F155" s="146"/>
      <c r="G155" s="146"/>
      <c r="H155" s="146"/>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46"/>
      <c r="D156" s="146"/>
      <c r="E156" s="146"/>
      <c r="F156" s="146"/>
      <c r="G156" s="146"/>
      <c r="H156" s="146"/>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46"/>
      <c r="D157" s="146"/>
      <c r="E157" s="146"/>
      <c r="F157" s="146"/>
      <c r="G157" s="146"/>
      <c r="H157" s="146"/>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46"/>
      <c r="D158" s="146"/>
      <c r="E158" s="146"/>
      <c r="F158" s="146"/>
      <c r="G158" s="146"/>
      <c r="H158" s="146"/>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46"/>
      <c r="D159" s="146"/>
      <c r="E159" s="146"/>
      <c r="F159" s="146"/>
      <c r="G159" s="146"/>
      <c r="H159" s="146"/>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46"/>
      <c r="D160" s="146"/>
      <c r="E160" s="146"/>
      <c r="F160" s="146"/>
      <c r="G160" s="146"/>
      <c r="H160" s="146"/>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46"/>
      <c r="D161" s="146"/>
      <c r="E161" s="146"/>
      <c r="F161" s="146"/>
      <c r="G161" s="146"/>
      <c r="H161" s="146"/>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46"/>
      <c r="D162" s="146"/>
      <c r="E162" s="146"/>
      <c r="F162" s="146"/>
      <c r="G162" s="146"/>
      <c r="H162" s="146"/>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46"/>
      <c r="D163" s="146"/>
      <c r="E163" s="146"/>
      <c r="F163" s="146"/>
      <c r="G163" s="146"/>
      <c r="H163" s="146"/>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46"/>
      <c r="D164" s="146"/>
      <c r="E164" s="146"/>
      <c r="F164" s="146"/>
      <c r="G164" s="146"/>
      <c r="H164" s="146"/>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46"/>
      <c r="D165" s="146"/>
      <c r="E165" s="146"/>
      <c r="F165" s="146"/>
      <c r="G165" s="146"/>
      <c r="H165" s="146"/>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46"/>
      <c r="D166" s="146"/>
      <c r="E166" s="146"/>
      <c r="F166" s="146"/>
      <c r="G166" s="146"/>
      <c r="H166" s="146"/>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46"/>
      <c r="D167" s="146"/>
      <c r="E167" s="146"/>
      <c r="F167" s="146"/>
      <c r="G167" s="146"/>
      <c r="H167" s="146"/>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46"/>
      <c r="D168" s="146"/>
      <c r="E168" s="146"/>
      <c r="F168" s="146"/>
      <c r="G168" s="146"/>
      <c r="H168" s="146"/>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46"/>
      <c r="D169" s="146"/>
      <c r="E169" s="146"/>
      <c r="F169" s="146"/>
      <c r="G169" s="146"/>
      <c r="H169" s="146"/>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46"/>
      <c r="D170" s="146"/>
      <c r="E170" s="146"/>
      <c r="F170" s="146"/>
      <c r="G170" s="146"/>
      <c r="H170" s="146"/>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46"/>
      <c r="D171" s="146"/>
      <c r="E171" s="146"/>
      <c r="F171" s="146"/>
      <c r="G171" s="146"/>
      <c r="H171" s="146"/>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46"/>
      <c r="D172" s="146"/>
      <c r="E172" s="146"/>
      <c r="F172" s="146"/>
      <c r="G172" s="146"/>
      <c r="H172" s="146"/>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46"/>
      <c r="D173" s="146"/>
      <c r="E173" s="146"/>
      <c r="F173" s="146"/>
      <c r="G173" s="146"/>
      <c r="H173" s="146"/>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46"/>
      <c r="D174" s="146"/>
      <c r="E174" s="146"/>
      <c r="F174" s="146"/>
      <c r="G174" s="146"/>
      <c r="H174" s="146"/>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46"/>
      <c r="D175" s="146"/>
      <c r="E175" s="146"/>
      <c r="F175" s="146"/>
      <c r="G175" s="146"/>
      <c r="H175" s="146"/>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46"/>
      <c r="D176" s="146"/>
      <c r="E176" s="146"/>
      <c r="F176" s="146"/>
      <c r="G176" s="146"/>
      <c r="H176" s="146"/>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46"/>
      <c r="D177" s="146"/>
      <c r="E177" s="146"/>
      <c r="F177" s="146"/>
      <c r="G177" s="146"/>
      <c r="H177" s="146"/>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46"/>
      <c r="D178" s="146"/>
      <c r="E178" s="146"/>
      <c r="F178" s="146"/>
      <c r="G178" s="146"/>
      <c r="H178" s="146"/>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46"/>
      <c r="D179" s="146"/>
      <c r="E179" s="146"/>
      <c r="F179" s="146"/>
      <c r="G179" s="146"/>
      <c r="H179" s="146"/>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46"/>
      <c r="D180" s="146"/>
      <c r="E180" s="146"/>
      <c r="F180" s="146"/>
      <c r="G180" s="146"/>
      <c r="H180" s="146"/>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46"/>
      <c r="D181" s="146"/>
      <c r="E181" s="146"/>
      <c r="F181" s="146"/>
      <c r="G181" s="146"/>
      <c r="H181" s="146"/>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46"/>
      <c r="D182" s="146"/>
      <c r="E182" s="146"/>
      <c r="F182" s="146"/>
      <c r="G182" s="146"/>
      <c r="H182" s="146"/>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46"/>
      <c r="D183" s="146"/>
      <c r="E183" s="146"/>
      <c r="F183" s="146"/>
      <c r="G183" s="146"/>
      <c r="H183" s="146"/>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46"/>
      <c r="D184" s="146"/>
      <c r="E184" s="146"/>
      <c r="F184" s="146"/>
      <c r="G184" s="146"/>
      <c r="H184" s="146"/>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46"/>
      <c r="D185" s="146"/>
      <c r="E185" s="146"/>
      <c r="F185" s="146"/>
      <c r="G185" s="146"/>
      <c r="H185" s="146"/>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46"/>
      <c r="D186" s="146"/>
      <c r="E186" s="146"/>
      <c r="F186" s="146"/>
      <c r="G186" s="146"/>
      <c r="H186" s="146"/>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46"/>
      <c r="D187" s="146"/>
      <c r="E187" s="146"/>
      <c r="F187" s="146"/>
      <c r="G187" s="146"/>
      <c r="H187" s="146"/>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46"/>
      <c r="D188" s="146"/>
      <c r="E188" s="146"/>
      <c r="F188" s="146"/>
      <c r="G188" s="146"/>
      <c r="H188" s="146"/>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46"/>
      <c r="D189" s="146"/>
      <c r="E189" s="146"/>
      <c r="F189" s="146"/>
      <c r="G189" s="146"/>
      <c r="H189" s="146"/>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46"/>
      <c r="D190" s="146"/>
      <c r="E190" s="146"/>
      <c r="F190" s="146"/>
      <c r="G190" s="146"/>
      <c r="H190" s="146"/>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46"/>
      <c r="D191" s="146"/>
      <c r="E191" s="146"/>
      <c r="F191" s="146"/>
      <c r="G191" s="146"/>
      <c r="H191" s="146"/>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46"/>
      <c r="D192" s="146"/>
      <c r="E192" s="146"/>
      <c r="F192" s="146"/>
      <c r="G192" s="146"/>
      <c r="H192" s="146"/>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46"/>
      <c r="D193" s="146"/>
      <c r="E193" s="146"/>
      <c r="F193" s="146"/>
      <c r="G193" s="146"/>
      <c r="H193" s="146"/>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46"/>
      <c r="D194" s="146"/>
      <c r="E194" s="146"/>
      <c r="F194" s="146"/>
      <c r="G194" s="146"/>
      <c r="H194" s="146"/>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46"/>
      <c r="D195" s="146"/>
      <c r="E195" s="146"/>
      <c r="F195" s="146"/>
      <c r="G195" s="146"/>
      <c r="H195" s="146"/>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46"/>
      <c r="D196" s="146"/>
      <c r="E196" s="146"/>
      <c r="F196" s="146"/>
      <c r="G196" s="146"/>
      <c r="H196" s="146"/>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46"/>
      <c r="D197" s="146"/>
      <c r="E197" s="146"/>
      <c r="F197" s="146"/>
      <c r="G197" s="146"/>
      <c r="H197" s="146"/>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46"/>
      <c r="D198" s="146"/>
      <c r="E198" s="146"/>
      <c r="F198" s="146"/>
      <c r="G198" s="146"/>
      <c r="H198" s="146"/>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46"/>
      <c r="D199" s="146"/>
      <c r="E199" s="146"/>
      <c r="F199" s="146"/>
      <c r="G199" s="146"/>
      <c r="H199" s="146"/>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46"/>
      <c r="D200" s="146"/>
      <c r="E200" s="146"/>
      <c r="F200" s="146"/>
      <c r="G200" s="146"/>
      <c r="H200" s="146"/>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46"/>
      <c r="D201" s="146"/>
      <c r="E201" s="146"/>
      <c r="F201" s="146"/>
      <c r="G201" s="146"/>
      <c r="H201" s="146"/>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46"/>
      <c r="D202" s="146"/>
      <c r="E202" s="146"/>
      <c r="F202" s="146"/>
      <c r="G202" s="146"/>
      <c r="H202" s="146"/>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46"/>
      <c r="D203" s="146"/>
      <c r="E203" s="146"/>
      <c r="F203" s="146"/>
      <c r="G203" s="146"/>
      <c r="H203" s="146"/>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46"/>
      <c r="D204" s="146"/>
      <c r="E204" s="146"/>
      <c r="F204" s="146"/>
      <c r="G204" s="146"/>
      <c r="H204" s="146"/>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46"/>
      <c r="D205" s="146"/>
      <c r="E205" s="146"/>
      <c r="F205" s="146"/>
      <c r="G205" s="146"/>
      <c r="H205" s="146"/>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46"/>
      <c r="D206" s="146"/>
      <c r="E206" s="146"/>
      <c r="F206" s="146"/>
      <c r="G206" s="146"/>
      <c r="H206" s="146"/>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46"/>
      <c r="D207" s="146"/>
      <c r="E207" s="146"/>
      <c r="F207" s="146"/>
      <c r="G207" s="146"/>
      <c r="H207" s="146"/>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46"/>
      <c r="D208" s="146"/>
      <c r="E208" s="146"/>
      <c r="F208" s="146"/>
      <c r="G208" s="146"/>
      <c r="H208" s="146"/>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46"/>
      <c r="D209" s="146"/>
      <c r="E209" s="146"/>
      <c r="F209" s="146"/>
      <c r="G209" s="146"/>
      <c r="H209" s="146"/>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46"/>
      <c r="D210" s="146"/>
      <c r="E210" s="146"/>
      <c r="F210" s="146"/>
      <c r="G210" s="146"/>
      <c r="H210" s="146"/>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46"/>
      <c r="D211" s="146"/>
      <c r="E211" s="146"/>
      <c r="F211" s="146"/>
      <c r="G211" s="146"/>
      <c r="H211" s="146"/>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46"/>
      <c r="D212" s="146"/>
      <c r="E212" s="146"/>
      <c r="F212" s="146"/>
      <c r="G212" s="146"/>
      <c r="H212" s="146"/>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46"/>
      <c r="D213" s="146"/>
      <c r="E213" s="146"/>
      <c r="F213" s="146"/>
      <c r="G213" s="146"/>
      <c r="H213" s="146"/>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46"/>
      <c r="D214" s="146"/>
      <c r="E214" s="146"/>
      <c r="F214" s="146"/>
      <c r="G214" s="146"/>
      <c r="H214" s="146"/>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46"/>
      <c r="D215" s="146"/>
      <c r="E215" s="146"/>
      <c r="F215" s="146"/>
      <c r="G215" s="146"/>
      <c r="H215" s="146"/>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46"/>
      <c r="D216" s="146"/>
      <c r="E216" s="146"/>
      <c r="F216" s="146"/>
      <c r="G216" s="146"/>
      <c r="H216" s="146"/>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46"/>
      <c r="D217" s="146"/>
      <c r="E217" s="146"/>
      <c r="F217" s="146"/>
      <c r="G217" s="146"/>
      <c r="H217" s="146"/>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46"/>
      <c r="D218" s="146"/>
      <c r="E218" s="146"/>
      <c r="F218" s="146"/>
      <c r="G218" s="146"/>
      <c r="H218" s="146"/>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46"/>
      <c r="D219" s="146"/>
      <c r="E219" s="146"/>
      <c r="F219" s="146"/>
      <c r="G219" s="146"/>
      <c r="H219" s="146"/>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46"/>
      <c r="D220" s="146"/>
      <c r="E220" s="146"/>
      <c r="F220" s="146"/>
      <c r="G220" s="146"/>
      <c r="H220" s="146"/>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46"/>
      <c r="D221" s="146"/>
      <c r="E221" s="146"/>
      <c r="F221" s="146"/>
      <c r="G221" s="146"/>
      <c r="H221" s="146"/>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46"/>
      <c r="D222" s="146"/>
      <c r="E222" s="146"/>
      <c r="F222" s="146"/>
      <c r="G222" s="146"/>
      <c r="H222" s="146"/>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46"/>
      <c r="D223" s="146"/>
      <c r="E223" s="146"/>
      <c r="F223" s="146"/>
      <c r="G223" s="146"/>
      <c r="H223" s="146"/>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46"/>
      <c r="D224" s="146"/>
      <c r="E224" s="146"/>
      <c r="F224" s="146"/>
      <c r="G224" s="146"/>
      <c r="H224" s="146"/>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46"/>
      <c r="D225" s="146"/>
      <c r="E225" s="146"/>
      <c r="F225" s="146"/>
      <c r="G225" s="146"/>
      <c r="H225" s="146"/>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46"/>
      <c r="D226" s="146"/>
      <c r="E226" s="146"/>
      <c r="F226" s="146"/>
      <c r="G226" s="146"/>
      <c r="H226" s="146"/>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46"/>
      <c r="D227" s="146"/>
      <c r="E227" s="146"/>
      <c r="F227" s="146"/>
      <c r="G227" s="146"/>
      <c r="H227" s="146"/>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46"/>
      <c r="D228" s="146"/>
      <c r="E228" s="146"/>
      <c r="F228" s="146"/>
      <c r="G228" s="146"/>
      <c r="H228" s="146"/>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46"/>
      <c r="D229" s="146"/>
      <c r="E229" s="146"/>
      <c r="F229" s="146"/>
      <c r="G229" s="146"/>
      <c r="H229" s="146"/>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46"/>
      <c r="D230" s="146"/>
      <c r="E230" s="146"/>
      <c r="F230" s="146"/>
      <c r="G230" s="146"/>
      <c r="H230" s="146"/>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46"/>
      <c r="D231" s="146"/>
      <c r="E231" s="146"/>
      <c r="F231" s="146"/>
      <c r="G231" s="146"/>
      <c r="H231" s="146"/>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46"/>
      <c r="D232" s="146"/>
      <c r="E232" s="146"/>
      <c r="F232" s="146"/>
      <c r="G232" s="146"/>
      <c r="H232" s="146"/>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46"/>
      <c r="D233" s="146"/>
      <c r="E233" s="146"/>
      <c r="F233" s="146"/>
      <c r="G233" s="146"/>
      <c r="H233" s="146"/>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46"/>
      <c r="D234" s="146"/>
      <c r="E234" s="146"/>
      <c r="F234" s="146"/>
      <c r="G234" s="146"/>
      <c r="H234" s="146"/>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46"/>
      <c r="D235" s="146"/>
      <c r="E235" s="146"/>
      <c r="F235" s="146"/>
      <c r="G235" s="146"/>
      <c r="H235" s="146"/>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46"/>
      <c r="D236" s="146"/>
      <c r="E236" s="146"/>
      <c r="F236" s="146"/>
      <c r="G236" s="146"/>
      <c r="H236" s="146"/>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46"/>
      <c r="D237" s="146"/>
      <c r="E237" s="146"/>
      <c r="F237" s="146"/>
      <c r="G237" s="146"/>
      <c r="H237" s="146"/>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46"/>
      <c r="D238" s="146"/>
      <c r="E238" s="146"/>
      <c r="F238" s="146"/>
      <c r="G238" s="146"/>
      <c r="H238" s="146"/>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46"/>
      <c r="D239" s="146"/>
      <c r="E239" s="146"/>
      <c r="F239" s="146"/>
      <c r="G239" s="146"/>
      <c r="H239" s="146"/>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46"/>
      <c r="D240" s="146"/>
      <c r="E240" s="146"/>
      <c r="F240" s="146"/>
      <c r="G240" s="146"/>
      <c r="H240" s="146"/>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46"/>
      <c r="D241" s="146"/>
      <c r="E241" s="146"/>
      <c r="F241" s="146"/>
      <c r="G241" s="146"/>
      <c r="H241" s="146"/>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46"/>
      <c r="D242" s="146"/>
      <c r="E242" s="146"/>
      <c r="F242" s="146"/>
      <c r="G242" s="146"/>
      <c r="H242" s="146"/>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46"/>
      <c r="D243" s="146"/>
      <c r="E243" s="146"/>
      <c r="F243" s="146"/>
      <c r="G243" s="146"/>
      <c r="H243" s="146"/>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46"/>
      <c r="D244" s="146"/>
      <c r="E244" s="146"/>
      <c r="F244" s="146"/>
      <c r="G244" s="146"/>
      <c r="H244" s="146"/>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46"/>
      <c r="D245" s="146"/>
      <c r="E245" s="146"/>
      <c r="F245" s="146"/>
      <c r="G245" s="146"/>
      <c r="H245" s="146"/>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46"/>
      <c r="D246" s="146"/>
      <c r="E246" s="146"/>
      <c r="F246" s="146"/>
      <c r="G246" s="146"/>
      <c r="H246" s="146"/>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46"/>
      <c r="D247" s="146"/>
      <c r="E247" s="146"/>
      <c r="F247" s="146"/>
      <c r="G247" s="146"/>
      <c r="H247" s="146"/>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46"/>
      <c r="D248" s="146"/>
      <c r="E248" s="146"/>
      <c r="F248" s="146"/>
      <c r="G248" s="146"/>
      <c r="H248" s="146"/>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46"/>
      <c r="D249" s="146"/>
      <c r="E249" s="146"/>
      <c r="F249" s="146"/>
      <c r="G249" s="146"/>
      <c r="H249" s="146"/>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46"/>
      <c r="D250" s="146"/>
      <c r="E250" s="146"/>
      <c r="F250" s="146"/>
      <c r="G250" s="146"/>
      <c r="H250" s="146"/>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46"/>
      <c r="D251" s="146"/>
      <c r="E251" s="146"/>
      <c r="F251" s="146"/>
      <c r="G251" s="146"/>
      <c r="H251" s="146"/>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46"/>
      <c r="D252" s="146"/>
      <c r="E252" s="146"/>
      <c r="F252" s="146"/>
      <c r="G252" s="146"/>
      <c r="H252" s="146"/>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46"/>
      <c r="D253" s="146"/>
      <c r="E253" s="146"/>
      <c r="F253" s="146"/>
      <c r="G253" s="146"/>
      <c r="H253" s="146"/>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46"/>
      <c r="D254" s="146"/>
      <c r="E254" s="146"/>
      <c r="F254" s="146"/>
      <c r="G254" s="146"/>
      <c r="H254" s="146"/>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46"/>
      <c r="D255" s="146"/>
      <c r="E255" s="146"/>
      <c r="F255" s="146"/>
      <c r="G255" s="146"/>
      <c r="H255" s="146"/>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46"/>
      <c r="D256" s="146"/>
      <c r="E256" s="146"/>
      <c r="F256" s="146"/>
      <c r="G256" s="146"/>
      <c r="H256" s="146"/>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46"/>
      <c r="D257" s="146"/>
      <c r="E257" s="146"/>
      <c r="F257" s="146"/>
      <c r="G257" s="146"/>
      <c r="H257" s="146"/>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46"/>
      <c r="D258" s="146"/>
      <c r="E258" s="146"/>
      <c r="F258" s="146"/>
      <c r="G258" s="146"/>
      <c r="H258" s="146"/>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46"/>
      <c r="D259" s="146"/>
      <c r="E259" s="146"/>
      <c r="F259" s="146"/>
      <c r="G259" s="146"/>
      <c r="H259" s="146"/>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46"/>
      <c r="D260" s="146"/>
      <c r="E260" s="146"/>
      <c r="F260" s="146"/>
      <c r="G260" s="146"/>
      <c r="H260" s="146"/>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46"/>
      <c r="D261" s="146"/>
      <c r="E261" s="146"/>
      <c r="F261" s="146"/>
      <c r="G261" s="146"/>
      <c r="H261" s="146"/>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46"/>
      <c r="D262" s="146"/>
      <c r="E262" s="146"/>
      <c r="F262" s="146"/>
      <c r="G262" s="146"/>
      <c r="H262" s="146"/>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46"/>
      <c r="D263" s="146"/>
      <c r="E263" s="146"/>
      <c r="F263" s="146"/>
      <c r="G263" s="146"/>
      <c r="H263" s="146"/>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46"/>
      <c r="D264" s="146"/>
      <c r="E264" s="146"/>
      <c r="F264" s="146"/>
      <c r="G264" s="146"/>
      <c r="H264" s="146"/>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46"/>
      <c r="D265" s="146"/>
      <c r="E265" s="146"/>
      <c r="F265" s="146"/>
      <c r="G265" s="146"/>
      <c r="H265" s="146"/>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46"/>
      <c r="D266" s="146"/>
      <c r="E266" s="146"/>
      <c r="F266" s="146"/>
      <c r="G266" s="146"/>
      <c r="H266" s="146"/>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46"/>
      <c r="D267" s="146"/>
      <c r="E267" s="146"/>
      <c r="F267" s="146"/>
      <c r="G267" s="146"/>
      <c r="H267" s="146"/>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46"/>
      <c r="D268" s="146"/>
      <c r="E268" s="146"/>
      <c r="F268" s="146"/>
      <c r="G268" s="146"/>
      <c r="H268" s="146"/>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46"/>
      <c r="D269" s="146"/>
      <c r="E269" s="146"/>
      <c r="F269" s="146"/>
      <c r="G269" s="146"/>
      <c r="H269" s="146"/>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46"/>
      <c r="D270" s="146"/>
      <c r="E270" s="146"/>
      <c r="F270" s="146"/>
      <c r="G270" s="146"/>
      <c r="H270" s="146"/>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46"/>
      <c r="D271" s="146"/>
      <c r="E271" s="146"/>
      <c r="F271" s="146"/>
      <c r="G271" s="146"/>
      <c r="H271" s="146"/>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46"/>
      <c r="D272" s="146"/>
      <c r="E272" s="146"/>
      <c r="F272" s="146"/>
      <c r="G272" s="146"/>
      <c r="H272" s="146"/>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46"/>
      <c r="D273" s="146"/>
      <c r="E273" s="146"/>
      <c r="F273" s="146"/>
      <c r="G273" s="146"/>
      <c r="H273" s="146"/>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46"/>
      <c r="D274" s="146"/>
      <c r="E274" s="146"/>
      <c r="F274" s="146"/>
      <c r="G274" s="146"/>
      <c r="H274" s="146"/>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46"/>
      <c r="D275" s="146"/>
      <c r="E275" s="146"/>
      <c r="F275" s="146"/>
      <c r="G275" s="146"/>
      <c r="H275" s="146"/>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46"/>
      <c r="D276" s="146"/>
      <c r="E276" s="146"/>
      <c r="F276" s="146"/>
      <c r="G276" s="146"/>
      <c r="H276" s="146"/>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46"/>
      <c r="D277" s="146"/>
      <c r="E277" s="146"/>
      <c r="F277" s="146"/>
      <c r="G277" s="146"/>
      <c r="H277" s="146"/>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46"/>
      <c r="D278" s="146"/>
      <c r="E278" s="146"/>
      <c r="F278" s="146"/>
      <c r="G278" s="146"/>
      <c r="H278" s="146"/>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46"/>
      <c r="D279" s="146"/>
      <c r="E279" s="146"/>
      <c r="F279" s="146"/>
      <c r="G279" s="146"/>
      <c r="H279" s="146"/>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46"/>
      <c r="D280" s="146"/>
      <c r="E280" s="146"/>
      <c r="F280" s="146"/>
      <c r="G280" s="146"/>
      <c r="H280" s="146"/>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46"/>
      <c r="D281" s="146"/>
      <c r="E281" s="146"/>
      <c r="F281" s="146"/>
      <c r="G281" s="146"/>
      <c r="H281" s="146"/>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46"/>
      <c r="D282" s="146"/>
      <c r="E282" s="146"/>
      <c r="F282" s="146"/>
      <c r="G282" s="146"/>
      <c r="H282" s="146"/>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46"/>
      <c r="D283" s="146"/>
      <c r="E283" s="146"/>
      <c r="F283" s="146"/>
      <c r="G283" s="146"/>
      <c r="H283" s="146"/>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46"/>
      <c r="D284" s="146"/>
      <c r="E284" s="146"/>
      <c r="F284" s="146"/>
      <c r="G284" s="146"/>
      <c r="H284" s="146"/>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46"/>
      <c r="D285" s="146"/>
      <c r="E285" s="146"/>
      <c r="F285" s="146"/>
      <c r="G285" s="146"/>
      <c r="H285" s="146"/>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46"/>
      <c r="D286" s="146"/>
      <c r="E286" s="146"/>
      <c r="F286" s="146"/>
      <c r="G286" s="146"/>
      <c r="H286" s="146"/>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46"/>
      <c r="D287" s="146"/>
      <c r="E287" s="146"/>
      <c r="F287" s="146"/>
      <c r="G287" s="146"/>
      <c r="H287" s="146"/>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46"/>
      <c r="D288" s="146"/>
      <c r="E288" s="146"/>
      <c r="F288" s="146"/>
      <c r="G288" s="146"/>
      <c r="H288" s="146"/>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46"/>
      <c r="D289" s="146"/>
      <c r="E289" s="146"/>
      <c r="F289" s="146"/>
      <c r="G289" s="146"/>
      <c r="H289" s="146"/>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46"/>
      <c r="D290" s="146"/>
      <c r="E290" s="146"/>
      <c r="F290" s="146"/>
      <c r="G290" s="146"/>
      <c r="H290" s="146"/>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46"/>
      <c r="D291" s="146"/>
      <c r="E291" s="146"/>
      <c r="F291" s="146"/>
      <c r="G291" s="146"/>
      <c r="H291" s="146"/>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46"/>
      <c r="D292" s="146"/>
      <c r="E292" s="146"/>
      <c r="F292" s="146"/>
      <c r="G292" s="146"/>
      <c r="H292" s="146"/>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46"/>
      <c r="D293" s="146"/>
      <c r="E293" s="146"/>
      <c r="F293" s="146"/>
      <c r="G293" s="146"/>
      <c r="H293" s="146"/>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46"/>
      <c r="D294" s="146"/>
      <c r="E294" s="146"/>
      <c r="F294" s="146"/>
      <c r="G294" s="146"/>
      <c r="H294" s="146"/>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46"/>
      <c r="D295" s="146"/>
      <c r="E295" s="146"/>
      <c r="F295" s="146"/>
      <c r="G295" s="146"/>
      <c r="H295" s="146"/>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46"/>
      <c r="D296" s="146"/>
      <c r="E296" s="146"/>
      <c r="F296" s="146"/>
      <c r="G296" s="146"/>
      <c r="H296" s="146"/>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46"/>
      <c r="D297" s="146"/>
      <c r="E297" s="146"/>
      <c r="F297" s="146"/>
      <c r="G297" s="146"/>
      <c r="H297" s="146"/>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46"/>
      <c r="D298" s="146"/>
      <c r="E298" s="146"/>
      <c r="F298" s="146"/>
      <c r="G298" s="146"/>
      <c r="H298" s="146"/>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46"/>
      <c r="D299" s="146"/>
      <c r="E299" s="146"/>
      <c r="F299" s="146"/>
      <c r="G299" s="146"/>
      <c r="H299" s="146"/>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46"/>
      <c r="D300" s="146"/>
      <c r="E300" s="146"/>
      <c r="F300" s="146"/>
      <c r="G300" s="146"/>
      <c r="H300" s="146"/>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46"/>
      <c r="D301" s="146"/>
      <c r="E301" s="146"/>
      <c r="F301" s="146"/>
      <c r="G301" s="146"/>
      <c r="H301" s="146"/>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46"/>
      <c r="D302" s="146"/>
      <c r="E302" s="146"/>
      <c r="F302" s="146"/>
      <c r="G302" s="146"/>
      <c r="H302" s="146"/>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46"/>
      <c r="D303" s="146"/>
      <c r="E303" s="146"/>
      <c r="F303" s="146"/>
      <c r="G303" s="146"/>
      <c r="H303" s="146"/>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46"/>
      <c r="D304" s="146"/>
      <c r="E304" s="146"/>
      <c r="F304" s="146"/>
      <c r="G304" s="146"/>
      <c r="H304" s="146"/>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46"/>
      <c r="D305" s="146"/>
      <c r="E305" s="146"/>
      <c r="F305" s="146"/>
      <c r="G305" s="146"/>
      <c r="H305" s="146"/>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46"/>
      <c r="D306" s="146"/>
      <c r="E306" s="146"/>
      <c r="F306" s="146"/>
      <c r="G306" s="146"/>
      <c r="H306" s="146"/>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46"/>
      <c r="D307" s="146"/>
      <c r="E307" s="146"/>
      <c r="F307" s="146"/>
      <c r="G307" s="146"/>
      <c r="H307" s="146"/>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46"/>
      <c r="D308" s="146"/>
      <c r="E308" s="146"/>
      <c r="F308" s="146"/>
      <c r="G308" s="146"/>
      <c r="H308" s="146"/>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46"/>
      <c r="D309" s="146"/>
      <c r="E309" s="146"/>
      <c r="F309" s="146"/>
      <c r="G309" s="146"/>
      <c r="H309" s="146"/>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46"/>
      <c r="D310" s="146"/>
      <c r="E310" s="146"/>
      <c r="F310" s="146"/>
      <c r="G310" s="146"/>
      <c r="H310" s="146"/>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46"/>
      <c r="D311" s="146"/>
      <c r="E311" s="146"/>
      <c r="F311" s="146"/>
      <c r="G311" s="146"/>
      <c r="H311" s="146"/>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46"/>
      <c r="D312" s="146"/>
      <c r="E312" s="146"/>
      <c r="F312" s="146"/>
      <c r="G312" s="146"/>
      <c r="H312" s="146"/>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46"/>
      <c r="D313" s="146"/>
      <c r="E313" s="146"/>
      <c r="F313" s="146"/>
      <c r="G313" s="146"/>
      <c r="H313" s="146"/>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46"/>
      <c r="D314" s="146"/>
      <c r="E314" s="146"/>
      <c r="F314" s="146"/>
      <c r="G314" s="146"/>
      <c r="H314" s="146"/>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46"/>
      <c r="D315" s="146"/>
      <c r="E315" s="146"/>
      <c r="F315" s="146"/>
      <c r="G315" s="146"/>
      <c r="H315" s="146"/>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46"/>
      <c r="D316" s="146"/>
      <c r="E316" s="146"/>
      <c r="F316" s="146"/>
      <c r="G316" s="146"/>
      <c r="H316" s="146"/>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46"/>
      <c r="D317" s="146"/>
      <c r="E317" s="146"/>
      <c r="F317" s="146"/>
      <c r="G317" s="146"/>
      <c r="H317" s="146"/>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46"/>
      <c r="D318" s="146"/>
      <c r="E318" s="146"/>
      <c r="F318" s="146"/>
      <c r="G318" s="146"/>
      <c r="H318" s="146"/>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46"/>
      <c r="D319" s="146"/>
      <c r="E319" s="146"/>
      <c r="F319" s="146"/>
      <c r="G319" s="146"/>
      <c r="H319" s="146"/>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46"/>
      <c r="D320" s="146"/>
      <c r="E320" s="146"/>
      <c r="F320" s="146"/>
      <c r="G320" s="146"/>
      <c r="H320" s="146"/>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46"/>
      <c r="D321" s="146"/>
      <c r="E321" s="146"/>
      <c r="F321" s="146"/>
      <c r="G321" s="146"/>
      <c r="H321" s="146"/>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46"/>
      <c r="D322" s="146"/>
      <c r="E322" s="146"/>
      <c r="F322" s="146"/>
      <c r="G322" s="146"/>
      <c r="H322" s="146"/>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46"/>
      <c r="D323" s="146"/>
      <c r="E323" s="146"/>
      <c r="F323" s="146"/>
      <c r="G323" s="146"/>
      <c r="H323" s="146"/>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46"/>
      <c r="D324" s="146"/>
      <c r="E324" s="146"/>
      <c r="F324" s="146"/>
      <c r="G324" s="146"/>
      <c r="H324" s="146"/>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46"/>
      <c r="D325" s="146"/>
      <c r="E325" s="146"/>
      <c r="F325" s="146"/>
      <c r="G325" s="146"/>
      <c r="H325" s="146"/>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46"/>
      <c r="D326" s="146"/>
      <c r="E326" s="146"/>
      <c r="F326" s="146"/>
      <c r="G326" s="146"/>
      <c r="H326" s="146"/>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46"/>
      <c r="D327" s="146"/>
      <c r="E327" s="146"/>
      <c r="F327" s="146"/>
      <c r="G327" s="146"/>
      <c r="H327" s="146"/>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46"/>
      <c r="D328" s="146"/>
      <c r="E328" s="146"/>
      <c r="F328" s="146"/>
      <c r="G328" s="146"/>
      <c r="H328" s="146"/>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46"/>
      <c r="D329" s="146"/>
      <c r="E329" s="146"/>
      <c r="F329" s="146"/>
      <c r="G329" s="146"/>
      <c r="H329" s="146"/>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46"/>
      <c r="D330" s="146"/>
      <c r="E330" s="146"/>
      <c r="F330" s="146"/>
      <c r="G330" s="146"/>
      <c r="H330" s="146"/>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46"/>
      <c r="D331" s="146"/>
      <c r="E331" s="146"/>
      <c r="F331" s="146"/>
      <c r="G331" s="146"/>
      <c r="H331" s="146"/>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46"/>
      <c r="D332" s="146"/>
      <c r="E332" s="146"/>
      <c r="F332" s="146"/>
      <c r="G332" s="146"/>
      <c r="H332" s="146"/>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46"/>
      <c r="D333" s="146"/>
      <c r="E333" s="146"/>
      <c r="F333" s="146"/>
      <c r="G333" s="146"/>
      <c r="H333" s="146"/>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46"/>
      <c r="D334" s="146"/>
      <c r="E334" s="146"/>
      <c r="F334" s="146"/>
      <c r="G334" s="146"/>
      <c r="H334" s="146"/>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46"/>
      <c r="D335" s="146"/>
      <c r="E335" s="146"/>
      <c r="F335" s="146"/>
      <c r="G335" s="146"/>
      <c r="H335" s="146"/>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46"/>
      <c r="D336" s="146"/>
      <c r="E336" s="146"/>
      <c r="F336" s="146"/>
      <c r="G336" s="146"/>
      <c r="H336" s="146"/>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46"/>
      <c r="D337" s="146"/>
      <c r="E337" s="146"/>
      <c r="F337" s="146"/>
      <c r="G337" s="146"/>
      <c r="H337" s="146"/>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46"/>
      <c r="D338" s="146"/>
      <c r="E338" s="146"/>
      <c r="F338" s="146"/>
      <c r="G338" s="146"/>
      <c r="H338" s="146"/>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46"/>
      <c r="D339" s="146"/>
      <c r="E339" s="146"/>
      <c r="F339" s="146"/>
      <c r="G339" s="146"/>
      <c r="H339" s="146"/>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46"/>
      <c r="D340" s="146"/>
      <c r="E340" s="146"/>
      <c r="F340" s="146"/>
      <c r="G340" s="146"/>
      <c r="H340" s="146"/>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46"/>
      <c r="D341" s="146"/>
      <c r="E341" s="146"/>
      <c r="F341" s="146"/>
      <c r="G341" s="146"/>
      <c r="H341" s="146"/>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46"/>
      <c r="D342" s="146"/>
      <c r="E342" s="146"/>
      <c r="F342" s="146"/>
      <c r="G342" s="146"/>
      <c r="H342" s="146"/>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46"/>
      <c r="D343" s="146"/>
      <c r="E343" s="146"/>
      <c r="F343" s="146"/>
      <c r="G343" s="146"/>
      <c r="H343" s="146"/>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46"/>
      <c r="D344" s="146"/>
      <c r="E344" s="146"/>
      <c r="F344" s="146"/>
      <c r="G344" s="146"/>
      <c r="H344" s="146"/>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46"/>
      <c r="D345" s="146"/>
      <c r="E345" s="146"/>
      <c r="F345" s="146"/>
      <c r="G345" s="146"/>
      <c r="H345" s="146"/>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46"/>
      <c r="D346" s="146"/>
      <c r="E346" s="146"/>
      <c r="F346" s="146"/>
      <c r="G346" s="146"/>
      <c r="H346" s="146"/>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46"/>
      <c r="D347" s="146"/>
      <c r="E347" s="146"/>
      <c r="F347" s="146"/>
      <c r="G347" s="146"/>
      <c r="H347" s="146"/>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46"/>
      <c r="D348" s="146"/>
      <c r="E348" s="146"/>
      <c r="F348" s="146"/>
      <c r="G348" s="146"/>
      <c r="H348" s="146"/>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46"/>
      <c r="D349" s="146"/>
      <c r="E349" s="146"/>
      <c r="F349" s="146"/>
      <c r="G349" s="146"/>
      <c r="H349" s="146"/>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46"/>
      <c r="D350" s="146"/>
      <c r="E350" s="146"/>
      <c r="F350" s="146"/>
      <c r="G350" s="146"/>
      <c r="H350" s="146"/>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46"/>
      <c r="D351" s="146"/>
      <c r="E351" s="146"/>
      <c r="F351" s="146"/>
      <c r="G351" s="146"/>
      <c r="H351" s="146"/>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46"/>
      <c r="D352" s="146"/>
      <c r="E352" s="146"/>
      <c r="F352" s="146"/>
      <c r="G352" s="146"/>
      <c r="H352" s="146"/>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46"/>
      <c r="D353" s="146"/>
      <c r="E353" s="146"/>
      <c r="F353" s="146"/>
      <c r="G353" s="146"/>
      <c r="H353" s="146"/>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46"/>
      <c r="D354" s="146"/>
      <c r="E354" s="146"/>
      <c r="F354" s="146"/>
      <c r="G354" s="146"/>
      <c r="H354" s="146"/>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46"/>
      <c r="D355" s="146"/>
      <c r="E355" s="146"/>
      <c r="F355" s="146"/>
      <c r="G355" s="146"/>
      <c r="H355" s="146"/>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46"/>
      <c r="D356" s="146"/>
      <c r="E356" s="146"/>
      <c r="F356" s="146"/>
      <c r="G356" s="146"/>
      <c r="H356" s="146"/>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46"/>
      <c r="D357" s="146"/>
      <c r="E357" s="146"/>
      <c r="F357" s="146"/>
      <c r="G357" s="146"/>
      <c r="H357" s="146"/>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46"/>
      <c r="D358" s="146"/>
      <c r="E358" s="146"/>
      <c r="F358" s="146"/>
      <c r="G358" s="146"/>
      <c r="H358" s="146"/>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46"/>
      <c r="D359" s="146"/>
      <c r="E359" s="146"/>
      <c r="F359" s="146"/>
      <c r="G359" s="146"/>
      <c r="H359" s="146"/>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46"/>
      <c r="D360" s="146"/>
      <c r="E360" s="146"/>
      <c r="F360" s="146"/>
      <c r="G360" s="146"/>
      <c r="H360" s="146"/>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46"/>
      <c r="D361" s="146"/>
      <c r="E361" s="146"/>
      <c r="F361" s="146"/>
      <c r="G361" s="146"/>
      <c r="H361" s="146"/>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46"/>
      <c r="D362" s="146"/>
      <c r="E362" s="146"/>
      <c r="F362" s="146"/>
      <c r="G362" s="146"/>
      <c r="H362" s="146"/>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46"/>
      <c r="D363" s="146"/>
      <c r="E363" s="146"/>
      <c r="F363" s="146"/>
      <c r="G363" s="146"/>
      <c r="H363" s="146"/>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46"/>
      <c r="D364" s="146"/>
      <c r="E364" s="146"/>
      <c r="F364" s="146"/>
      <c r="G364" s="146"/>
      <c r="H364" s="146"/>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46"/>
      <c r="D365" s="146"/>
      <c r="E365" s="146"/>
      <c r="F365" s="146"/>
      <c r="G365" s="146"/>
      <c r="H365" s="146"/>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46"/>
      <c r="D366" s="146"/>
      <c r="E366" s="146"/>
      <c r="F366" s="146"/>
      <c r="G366" s="146"/>
      <c r="H366" s="146"/>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46"/>
      <c r="D367" s="146"/>
      <c r="E367" s="146"/>
      <c r="F367" s="146"/>
      <c r="G367" s="146"/>
      <c r="H367" s="146"/>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46"/>
      <c r="D368" s="146"/>
      <c r="E368" s="146"/>
      <c r="F368" s="146"/>
      <c r="G368" s="146"/>
      <c r="H368" s="146"/>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46"/>
      <c r="D369" s="146"/>
      <c r="E369" s="146"/>
      <c r="F369" s="146"/>
      <c r="G369" s="146"/>
      <c r="H369" s="146"/>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46"/>
      <c r="D370" s="146"/>
      <c r="E370" s="146"/>
      <c r="F370" s="146"/>
      <c r="G370" s="146"/>
      <c r="H370" s="146"/>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46"/>
      <c r="D371" s="146"/>
      <c r="E371" s="146"/>
      <c r="F371" s="146"/>
      <c r="G371" s="146"/>
      <c r="H371" s="146"/>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46"/>
      <c r="D372" s="146"/>
      <c r="E372" s="146"/>
      <c r="F372" s="146"/>
      <c r="G372" s="146"/>
      <c r="H372" s="146"/>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46"/>
      <c r="D373" s="146"/>
      <c r="E373" s="146"/>
      <c r="F373" s="146"/>
      <c r="G373" s="146"/>
      <c r="H373" s="146"/>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46"/>
      <c r="D374" s="146"/>
      <c r="E374" s="146"/>
      <c r="F374" s="146"/>
      <c r="G374" s="146"/>
      <c r="H374" s="146"/>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46"/>
      <c r="D375" s="146"/>
      <c r="E375" s="146"/>
      <c r="F375" s="146"/>
      <c r="G375" s="146"/>
      <c r="H375" s="146"/>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46"/>
      <c r="D376" s="146"/>
      <c r="E376" s="146"/>
      <c r="F376" s="146"/>
      <c r="G376" s="146"/>
      <c r="H376" s="146"/>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46"/>
      <c r="D377" s="146"/>
      <c r="E377" s="146"/>
      <c r="F377" s="146"/>
      <c r="G377" s="146"/>
      <c r="H377" s="146"/>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46"/>
      <c r="D378" s="146"/>
      <c r="E378" s="146"/>
      <c r="F378" s="146"/>
      <c r="G378" s="146"/>
      <c r="H378" s="146"/>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46"/>
      <c r="D379" s="146"/>
      <c r="E379" s="146"/>
      <c r="F379" s="146"/>
      <c r="G379" s="146"/>
      <c r="H379" s="146"/>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46"/>
      <c r="D380" s="146"/>
      <c r="E380" s="146"/>
      <c r="F380" s="146"/>
      <c r="G380" s="146"/>
      <c r="H380" s="146"/>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46"/>
      <c r="D381" s="146"/>
      <c r="E381" s="146"/>
      <c r="F381" s="146"/>
      <c r="G381" s="146"/>
      <c r="H381" s="146"/>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46"/>
      <c r="D382" s="146"/>
      <c r="E382" s="146"/>
      <c r="F382" s="146"/>
      <c r="G382" s="146"/>
      <c r="H382" s="146"/>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46"/>
      <c r="D383" s="146"/>
      <c r="E383" s="146"/>
      <c r="F383" s="146"/>
      <c r="G383" s="146"/>
      <c r="H383" s="146"/>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46"/>
      <c r="D384" s="146"/>
      <c r="E384" s="146"/>
      <c r="F384" s="146"/>
      <c r="G384" s="146"/>
      <c r="H384" s="146"/>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46"/>
      <c r="D385" s="146"/>
      <c r="E385" s="146"/>
      <c r="F385" s="146"/>
      <c r="G385" s="146"/>
      <c r="H385" s="146"/>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46"/>
      <c r="D386" s="146"/>
      <c r="E386" s="146"/>
      <c r="F386" s="146"/>
      <c r="G386" s="146"/>
      <c r="H386" s="146"/>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46"/>
      <c r="D387" s="146"/>
      <c r="E387" s="146"/>
      <c r="F387" s="146"/>
      <c r="G387" s="146"/>
      <c r="H387" s="146"/>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46"/>
      <c r="D388" s="146"/>
      <c r="E388" s="146"/>
      <c r="F388" s="146"/>
      <c r="G388" s="146"/>
      <c r="H388" s="146"/>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46"/>
      <c r="D389" s="146"/>
      <c r="E389" s="146"/>
      <c r="F389" s="146"/>
      <c r="G389" s="146"/>
      <c r="H389" s="146"/>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46"/>
      <c r="D390" s="146"/>
      <c r="E390" s="146"/>
      <c r="F390" s="146"/>
      <c r="G390" s="146"/>
      <c r="H390" s="146"/>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46"/>
      <c r="D391" s="146"/>
      <c r="E391" s="146"/>
      <c r="F391" s="146"/>
      <c r="G391" s="146"/>
      <c r="H391" s="146"/>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46"/>
      <c r="D392" s="146"/>
      <c r="E392" s="146"/>
      <c r="F392" s="146"/>
      <c r="G392" s="146"/>
      <c r="H392" s="146"/>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46"/>
      <c r="D393" s="146"/>
      <c r="E393" s="146"/>
      <c r="F393" s="146"/>
      <c r="G393" s="146"/>
      <c r="H393" s="146"/>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46"/>
      <c r="D394" s="146"/>
      <c r="E394" s="146"/>
      <c r="F394" s="146"/>
      <c r="G394" s="146"/>
      <c r="H394" s="146"/>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46"/>
      <c r="D395" s="146"/>
      <c r="E395" s="146"/>
      <c r="F395" s="146"/>
      <c r="G395" s="146"/>
      <c r="H395" s="146"/>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46"/>
      <c r="D396" s="146"/>
      <c r="E396" s="146"/>
      <c r="F396" s="146"/>
      <c r="G396" s="146"/>
      <c r="H396" s="146"/>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46"/>
      <c r="D397" s="146"/>
      <c r="E397" s="146"/>
      <c r="F397" s="146"/>
      <c r="G397" s="146"/>
      <c r="H397" s="146"/>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46"/>
      <c r="D398" s="146"/>
      <c r="E398" s="146"/>
      <c r="F398" s="146"/>
      <c r="G398" s="146"/>
      <c r="H398" s="146"/>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46"/>
      <c r="D399" s="146"/>
      <c r="E399" s="146"/>
      <c r="F399" s="146"/>
      <c r="G399" s="146"/>
      <c r="H399" s="146"/>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46"/>
      <c r="D400" s="146"/>
      <c r="E400" s="146"/>
      <c r="F400" s="146"/>
      <c r="G400" s="146"/>
      <c r="H400" s="146"/>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46"/>
      <c r="D401" s="146"/>
      <c r="E401" s="146"/>
      <c r="F401" s="146"/>
      <c r="G401" s="146"/>
      <c r="H401" s="146"/>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46"/>
      <c r="D402" s="146"/>
      <c r="E402" s="146"/>
      <c r="F402" s="146"/>
      <c r="G402" s="146"/>
      <c r="H402" s="146"/>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46"/>
      <c r="D403" s="146"/>
      <c r="E403" s="146"/>
      <c r="F403" s="146"/>
      <c r="G403" s="146"/>
      <c r="H403" s="146"/>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46"/>
      <c r="D404" s="146"/>
      <c r="E404" s="146"/>
      <c r="F404" s="146"/>
      <c r="G404" s="146"/>
      <c r="H404" s="146"/>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46"/>
      <c r="D405" s="146"/>
      <c r="E405" s="146"/>
      <c r="F405" s="146"/>
      <c r="G405" s="146"/>
      <c r="H405" s="146"/>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46"/>
      <c r="D406" s="146"/>
      <c r="E406" s="146"/>
      <c r="F406" s="146"/>
      <c r="G406" s="146"/>
      <c r="H406" s="146"/>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46"/>
      <c r="D407" s="146"/>
      <c r="E407" s="146"/>
      <c r="F407" s="146"/>
      <c r="G407" s="146"/>
      <c r="H407" s="146"/>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46"/>
      <c r="D408" s="146"/>
      <c r="E408" s="146"/>
      <c r="F408" s="146"/>
      <c r="G408" s="146"/>
      <c r="H408" s="146"/>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46"/>
      <c r="D409" s="146"/>
      <c r="E409" s="146"/>
      <c r="F409" s="146"/>
      <c r="G409" s="146"/>
      <c r="H409" s="146"/>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46"/>
      <c r="D410" s="146"/>
      <c r="E410" s="146"/>
      <c r="F410" s="146"/>
      <c r="G410" s="146"/>
      <c r="H410" s="146"/>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46"/>
      <c r="D411" s="146"/>
      <c r="E411" s="146"/>
      <c r="F411" s="146"/>
      <c r="G411" s="146"/>
      <c r="H411" s="146"/>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46"/>
      <c r="D412" s="146"/>
      <c r="E412" s="146"/>
      <c r="F412" s="146"/>
      <c r="G412" s="146"/>
      <c r="H412" s="146"/>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46"/>
      <c r="D413" s="146"/>
      <c r="E413" s="146"/>
      <c r="F413" s="146"/>
      <c r="G413" s="146"/>
      <c r="H413" s="146"/>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46"/>
      <c r="D414" s="146"/>
      <c r="E414" s="146"/>
      <c r="F414" s="146"/>
      <c r="G414" s="146"/>
      <c r="H414" s="146"/>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46"/>
      <c r="D415" s="146"/>
      <c r="E415" s="146"/>
      <c r="F415" s="146"/>
      <c r="G415" s="146"/>
      <c r="H415" s="146"/>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46"/>
      <c r="D416" s="146"/>
      <c r="E416" s="146"/>
      <c r="F416" s="146"/>
      <c r="G416" s="146"/>
      <c r="H416" s="146"/>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46"/>
      <c r="D417" s="146"/>
      <c r="E417" s="146"/>
      <c r="F417" s="146"/>
      <c r="G417" s="146"/>
      <c r="H417" s="146"/>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46"/>
      <c r="D418" s="146"/>
      <c r="E418" s="146"/>
      <c r="F418" s="146"/>
      <c r="G418" s="146"/>
      <c r="H418" s="146"/>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46"/>
      <c r="D419" s="146"/>
      <c r="E419" s="146"/>
      <c r="F419" s="146"/>
      <c r="G419" s="146"/>
      <c r="H419" s="146"/>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46"/>
      <c r="D420" s="146"/>
      <c r="E420" s="146"/>
      <c r="F420" s="146"/>
      <c r="G420" s="146"/>
      <c r="H420" s="146"/>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46"/>
      <c r="D421" s="146"/>
      <c r="E421" s="146"/>
      <c r="F421" s="146"/>
      <c r="G421" s="146"/>
      <c r="H421" s="146"/>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46"/>
      <c r="D422" s="146"/>
      <c r="E422" s="146"/>
      <c r="F422" s="146"/>
      <c r="G422" s="146"/>
      <c r="H422" s="146"/>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46"/>
      <c r="D423" s="146"/>
      <c r="E423" s="146"/>
      <c r="F423" s="146"/>
      <c r="G423" s="146"/>
      <c r="H423" s="146"/>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46"/>
      <c r="D424" s="146"/>
      <c r="E424" s="146"/>
      <c r="F424" s="146"/>
      <c r="G424" s="146"/>
      <c r="H424" s="146"/>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46"/>
      <c r="D425" s="146"/>
      <c r="E425" s="146"/>
      <c r="F425" s="146"/>
      <c r="G425" s="146"/>
      <c r="H425" s="146"/>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46"/>
      <c r="D426" s="146"/>
      <c r="E426" s="146"/>
      <c r="F426" s="146"/>
      <c r="G426" s="146"/>
      <c r="H426" s="146"/>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46"/>
      <c r="D427" s="146"/>
      <c r="E427" s="146"/>
      <c r="F427" s="146"/>
      <c r="G427" s="146"/>
      <c r="H427" s="146"/>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46"/>
      <c r="D428" s="146"/>
      <c r="E428" s="146"/>
      <c r="F428" s="146"/>
      <c r="G428" s="146"/>
      <c r="H428" s="146"/>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46"/>
      <c r="D429" s="146"/>
      <c r="E429" s="146"/>
      <c r="F429" s="146"/>
      <c r="G429" s="146"/>
      <c r="H429" s="146"/>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46"/>
      <c r="D430" s="146"/>
      <c r="E430" s="146"/>
      <c r="F430" s="146"/>
      <c r="G430" s="146"/>
      <c r="H430" s="146"/>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46"/>
      <c r="D431" s="146"/>
      <c r="E431" s="146"/>
      <c r="F431" s="146"/>
      <c r="G431" s="146"/>
      <c r="H431" s="146"/>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46"/>
      <c r="D432" s="146"/>
      <c r="E432" s="146"/>
      <c r="F432" s="146"/>
      <c r="G432" s="146"/>
      <c r="H432" s="146"/>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46"/>
      <c r="D433" s="146"/>
      <c r="E433" s="146"/>
      <c r="F433" s="146"/>
      <c r="G433" s="146"/>
      <c r="H433" s="146"/>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46"/>
      <c r="D434" s="146"/>
      <c r="E434" s="146"/>
      <c r="F434" s="146"/>
      <c r="G434" s="146"/>
      <c r="H434" s="146"/>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46"/>
      <c r="D435" s="146"/>
      <c r="E435" s="146"/>
      <c r="F435" s="146"/>
      <c r="G435" s="146"/>
      <c r="H435" s="146"/>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46"/>
      <c r="D436" s="146"/>
      <c r="E436" s="146"/>
      <c r="F436" s="146"/>
      <c r="G436" s="146"/>
      <c r="H436" s="146"/>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46"/>
      <c r="D437" s="146"/>
      <c r="E437" s="146"/>
      <c r="F437" s="146"/>
      <c r="G437" s="146"/>
      <c r="H437" s="146"/>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46"/>
      <c r="D438" s="146"/>
      <c r="E438" s="146"/>
      <c r="F438" s="146"/>
      <c r="G438" s="146"/>
      <c r="H438" s="146"/>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46"/>
      <c r="D439" s="146"/>
      <c r="E439" s="146"/>
      <c r="F439" s="146"/>
      <c r="G439" s="146"/>
      <c r="H439" s="146"/>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46"/>
      <c r="D440" s="146"/>
      <c r="E440" s="146"/>
      <c r="F440" s="146"/>
      <c r="G440" s="146"/>
      <c r="H440" s="146"/>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46"/>
      <c r="D441" s="146"/>
      <c r="E441" s="146"/>
      <c r="F441" s="146"/>
      <c r="G441" s="146"/>
      <c r="H441" s="146"/>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46"/>
      <c r="D442" s="146"/>
      <c r="E442" s="146"/>
      <c r="F442" s="146"/>
      <c r="G442" s="146"/>
      <c r="H442" s="146"/>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46"/>
      <c r="D443" s="146"/>
      <c r="E443" s="146"/>
      <c r="F443" s="146"/>
      <c r="G443" s="146"/>
      <c r="H443" s="146"/>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46"/>
      <c r="D444" s="146"/>
      <c r="E444" s="146"/>
      <c r="F444" s="146"/>
      <c r="G444" s="146"/>
      <c r="H444" s="146"/>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46"/>
      <c r="D445" s="146"/>
      <c r="E445" s="146"/>
      <c r="F445" s="146"/>
      <c r="G445" s="146"/>
      <c r="H445" s="146"/>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46"/>
      <c r="D446" s="146"/>
      <c r="E446" s="146"/>
      <c r="F446" s="146"/>
      <c r="G446" s="146"/>
      <c r="H446" s="146"/>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46"/>
      <c r="D447" s="146"/>
      <c r="E447" s="146"/>
      <c r="F447" s="146"/>
      <c r="G447" s="146"/>
      <c r="H447" s="146"/>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46"/>
      <c r="D448" s="146"/>
      <c r="E448" s="146"/>
      <c r="F448" s="146"/>
      <c r="G448" s="146"/>
      <c r="H448" s="146"/>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46"/>
      <c r="D449" s="146"/>
      <c r="E449" s="146"/>
      <c r="F449" s="146"/>
      <c r="G449" s="146"/>
      <c r="H449" s="146"/>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46"/>
      <c r="D450" s="146"/>
      <c r="E450" s="146"/>
      <c r="F450" s="146"/>
      <c r="G450" s="146"/>
      <c r="H450" s="146"/>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46"/>
      <c r="D451" s="146"/>
      <c r="E451" s="146"/>
      <c r="F451" s="146"/>
      <c r="G451" s="146"/>
      <c r="H451" s="146"/>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46"/>
      <c r="D452" s="146"/>
      <c r="E452" s="146"/>
      <c r="F452" s="146"/>
      <c r="G452" s="146"/>
      <c r="H452" s="146"/>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46"/>
      <c r="D453" s="146"/>
      <c r="E453" s="146"/>
      <c r="F453" s="146"/>
      <c r="G453" s="146"/>
      <c r="H453" s="146"/>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46"/>
      <c r="D454" s="146"/>
      <c r="E454" s="146"/>
      <c r="F454" s="146"/>
      <c r="G454" s="146"/>
      <c r="H454" s="146"/>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46"/>
      <c r="D455" s="146"/>
      <c r="E455" s="146"/>
      <c r="F455" s="146"/>
      <c r="G455" s="146"/>
      <c r="H455" s="146"/>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46"/>
      <c r="D456" s="146"/>
      <c r="E456" s="146"/>
      <c r="F456" s="146"/>
      <c r="G456" s="146"/>
      <c r="H456" s="146"/>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46"/>
      <c r="D457" s="146"/>
      <c r="E457" s="146"/>
      <c r="F457" s="146"/>
      <c r="G457" s="146"/>
      <c r="H457" s="146"/>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46"/>
      <c r="D458" s="146"/>
      <c r="E458" s="146"/>
      <c r="F458" s="146"/>
      <c r="G458" s="146"/>
      <c r="H458" s="146"/>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46"/>
      <c r="D459" s="146"/>
      <c r="E459" s="146"/>
      <c r="F459" s="146"/>
      <c r="G459" s="146"/>
      <c r="H459" s="146"/>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46"/>
      <c r="D460" s="146"/>
      <c r="E460" s="146"/>
      <c r="F460" s="146"/>
      <c r="G460" s="146"/>
      <c r="H460" s="146"/>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46"/>
      <c r="D461" s="146"/>
      <c r="E461" s="146"/>
      <c r="F461" s="146"/>
      <c r="G461" s="146"/>
      <c r="H461" s="146"/>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46"/>
      <c r="D462" s="146"/>
      <c r="E462" s="146"/>
      <c r="F462" s="146"/>
      <c r="G462" s="146"/>
      <c r="H462" s="146"/>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46"/>
      <c r="D463" s="146"/>
      <c r="E463" s="146"/>
      <c r="F463" s="146"/>
      <c r="G463" s="146"/>
      <c r="H463" s="146"/>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46"/>
      <c r="D464" s="146"/>
      <c r="E464" s="146"/>
      <c r="F464" s="146"/>
      <c r="G464" s="146"/>
      <c r="H464" s="146"/>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46"/>
      <c r="D465" s="146"/>
      <c r="E465" s="146"/>
      <c r="F465" s="146"/>
      <c r="G465" s="146"/>
      <c r="H465" s="146"/>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46"/>
      <c r="D466" s="146"/>
      <c r="E466" s="146"/>
      <c r="F466" s="146"/>
      <c r="G466" s="146"/>
      <c r="H466" s="146"/>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46"/>
      <c r="D467" s="146"/>
      <c r="E467" s="146"/>
      <c r="F467" s="146"/>
      <c r="G467" s="146"/>
      <c r="H467" s="146"/>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46"/>
      <c r="D468" s="146"/>
      <c r="E468" s="146"/>
      <c r="F468" s="146"/>
      <c r="G468" s="146"/>
      <c r="H468" s="146"/>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46"/>
      <c r="D469" s="146"/>
      <c r="E469" s="146"/>
      <c r="F469" s="146"/>
      <c r="G469" s="146"/>
      <c r="H469" s="146"/>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46"/>
      <c r="D470" s="146"/>
      <c r="E470" s="146"/>
      <c r="F470" s="146"/>
      <c r="G470" s="146"/>
      <c r="H470" s="146"/>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46"/>
      <c r="D471" s="146"/>
      <c r="E471" s="146"/>
      <c r="F471" s="146"/>
      <c r="G471" s="146"/>
      <c r="H471" s="146"/>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46"/>
      <c r="D472" s="146"/>
      <c r="E472" s="146"/>
      <c r="F472" s="146"/>
      <c r="G472" s="146"/>
      <c r="H472" s="146"/>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46"/>
      <c r="D473" s="146"/>
      <c r="E473" s="146"/>
      <c r="F473" s="146"/>
      <c r="G473" s="146"/>
      <c r="H473" s="146"/>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46"/>
      <c r="D474" s="146"/>
      <c r="E474" s="146"/>
      <c r="F474" s="146"/>
      <c r="G474" s="146"/>
      <c r="H474" s="146"/>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46"/>
      <c r="D475" s="146"/>
      <c r="E475" s="146"/>
      <c r="F475" s="146"/>
      <c r="G475" s="146"/>
      <c r="H475" s="146"/>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46"/>
      <c r="D476" s="146"/>
      <c r="E476" s="146"/>
      <c r="F476" s="146"/>
      <c r="G476" s="146"/>
      <c r="H476" s="146"/>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46"/>
      <c r="D477" s="146"/>
      <c r="E477" s="146"/>
      <c r="F477" s="146"/>
      <c r="G477" s="146"/>
      <c r="H477" s="146"/>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46"/>
      <c r="D478" s="146"/>
      <c r="E478" s="146"/>
      <c r="F478" s="146"/>
      <c r="G478" s="146"/>
      <c r="H478" s="146"/>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46"/>
      <c r="D479" s="146"/>
      <c r="E479" s="146"/>
      <c r="F479" s="146"/>
      <c r="G479" s="146"/>
      <c r="H479" s="146"/>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46"/>
      <c r="D480" s="146"/>
      <c r="E480" s="146"/>
      <c r="F480" s="146"/>
      <c r="G480" s="146"/>
      <c r="H480" s="146"/>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46"/>
      <c r="D481" s="146"/>
      <c r="E481" s="146"/>
      <c r="F481" s="146"/>
      <c r="G481" s="146"/>
      <c r="H481" s="146"/>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46"/>
      <c r="D482" s="146"/>
      <c r="E482" s="146"/>
      <c r="F482" s="146"/>
      <c r="G482" s="146"/>
      <c r="H482" s="146"/>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46"/>
      <c r="D483" s="146"/>
      <c r="E483" s="146"/>
      <c r="F483" s="146"/>
      <c r="G483" s="146"/>
      <c r="H483" s="146"/>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46"/>
      <c r="D484" s="146"/>
      <c r="E484" s="146"/>
      <c r="F484" s="146"/>
      <c r="G484" s="146"/>
      <c r="H484" s="146"/>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46"/>
      <c r="D485" s="146"/>
      <c r="E485" s="146"/>
      <c r="F485" s="146"/>
      <c r="G485" s="146"/>
      <c r="H485" s="146"/>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46"/>
      <c r="D486" s="146"/>
      <c r="E486" s="146"/>
      <c r="F486" s="146"/>
      <c r="G486" s="146"/>
      <c r="H486" s="146"/>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46"/>
      <c r="D487" s="146"/>
      <c r="E487" s="146"/>
      <c r="F487" s="146"/>
      <c r="G487" s="146"/>
      <c r="H487" s="146"/>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46"/>
      <c r="D488" s="146"/>
      <c r="E488" s="146"/>
      <c r="F488" s="146"/>
      <c r="G488" s="146"/>
      <c r="H488" s="146"/>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46"/>
      <c r="D489" s="146"/>
      <c r="E489" s="146"/>
      <c r="F489" s="146"/>
      <c r="G489" s="146"/>
      <c r="H489" s="146"/>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46"/>
      <c r="D490" s="146"/>
      <c r="E490" s="146"/>
      <c r="F490" s="146"/>
      <c r="G490" s="146"/>
      <c r="H490" s="146"/>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46"/>
      <c r="D491" s="146"/>
      <c r="E491" s="146"/>
      <c r="F491" s="146"/>
      <c r="G491" s="146"/>
      <c r="H491" s="146"/>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46"/>
      <c r="D492" s="146"/>
      <c r="E492" s="146"/>
      <c r="F492" s="146"/>
      <c r="G492" s="146"/>
      <c r="H492" s="146"/>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46"/>
      <c r="D493" s="146"/>
      <c r="E493" s="146"/>
      <c r="F493" s="146"/>
      <c r="G493" s="146"/>
      <c r="H493" s="146"/>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46"/>
      <c r="D494" s="146"/>
      <c r="E494" s="146"/>
      <c r="F494" s="146"/>
      <c r="G494" s="146"/>
      <c r="H494" s="146"/>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46"/>
      <c r="D495" s="146"/>
      <c r="E495" s="146"/>
      <c r="F495" s="146"/>
      <c r="G495" s="146"/>
      <c r="H495" s="146"/>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46"/>
      <c r="D496" s="146"/>
      <c r="E496" s="146"/>
      <c r="F496" s="146"/>
      <c r="G496" s="146"/>
      <c r="H496" s="146"/>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46"/>
      <c r="D497" s="146"/>
      <c r="E497" s="146"/>
      <c r="F497" s="146"/>
      <c r="G497" s="146"/>
      <c r="H497" s="146"/>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46"/>
      <c r="D498" s="146"/>
      <c r="E498" s="146"/>
      <c r="F498" s="146"/>
      <c r="G498" s="146"/>
      <c r="H498" s="146"/>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46"/>
      <c r="D499" s="146"/>
      <c r="E499" s="146"/>
      <c r="F499" s="146"/>
      <c r="G499" s="146"/>
      <c r="H499" s="146"/>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46"/>
      <c r="D500" s="146"/>
      <c r="E500" s="146"/>
      <c r="F500" s="146"/>
      <c r="G500" s="146"/>
      <c r="H500" s="146"/>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46"/>
      <c r="D501" s="146"/>
      <c r="E501" s="146"/>
      <c r="F501" s="146"/>
      <c r="G501" s="146"/>
      <c r="H501" s="146"/>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46"/>
      <c r="D502" s="146"/>
      <c r="E502" s="146"/>
      <c r="F502" s="146"/>
      <c r="G502" s="146"/>
      <c r="H502" s="146"/>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46"/>
      <c r="D503" s="146"/>
      <c r="E503" s="146"/>
      <c r="F503" s="146"/>
      <c r="G503" s="146"/>
      <c r="H503" s="146"/>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46"/>
      <c r="D504" s="146"/>
      <c r="E504" s="146"/>
      <c r="F504" s="146"/>
      <c r="G504" s="146"/>
      <c r="H504" s="146"/>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46"/>
      <c r="D505" s="146"/>
      <c r="E505" s="146"/>
      <c r="F505" s="146"/>
      <c r="G505" s="146"/>
      <c r="H505" s="146"/>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46"/>
      <c r="D506" s="146"/>
      <c r="E506" s="146"/>
      <c r="F506" s="146"/>
      <c r="G506" s="146"/>
      <c r="H506" s="146"/>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46"/>
      <c r="D507" s="146"/>
      <c r="E507" s="146"/>
      <c r="F507" s="146"/>
      <c r="G507" s="146"/>
      <c r="H507" s="146"/>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46"/>
      <c r="D508" s="146"/>
      <c r="E508" s="146"/>
      <c r="F508" s="146"/>
      <c r="G508" s="146"/>
      <c r="H508" s="146"/>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46"/>
      <c r="D509" s="146"/>
      <c r="E509" s="146"/>
      <c r="F509" s="146"/>
      <c r="G509" s="146"/>
      <c r="H509" s="146"/>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46"/>
      <c r="D510" s="146"/>
      <c r="E510" s="146"/>
      <c r="F510" s="146"/>
      <c r="G510" s="146"/>
      <c r="H510" s="146"/>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46"/>
      <c r="D511" s="146"/>
      <c r="E511" s="146"/>
      <c r="F511" s="146"/>
      <c r="G511" s="146"/>
      <c r="H511" s="146"/>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46"/>
      <c r="D512" s="146"/>
      <c r="E512" s="146"/>
      <c r="F512" s="146"/>
      <c r="G512" s="146"/>
      <c r="H512" s="146"/>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46"/>
      <c r="D513" s="146"/>
      <c r="E513" s="146"/>
      <c r="F513" s="146"/>
      <c r="G513" s="146"/>
      <c r="H513" s="146"/>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46"/>
      <c r="D514" s="146"/>
      <c r="E514" s="146"/>
      <c r="F514" s="146"/>
      <c r="G514" s="146"/>
      <c r="H514" s="146"/>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46"/>
      <c r="D515" s="146"/>
      <c r="E515" s="146"/>
      <c r="F515" s="146"/>
      <c r="G515" s="146"/>
      <c r="H515" s="146"/>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46"/>
      <c r="D516" s="146"/>
      <c r="E516" s="146"/>
      <c r="F516" s="146"/>
      <c r="G516" s="146"/>
      <c r="H516" s="146"/>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46"/>
      <c r="D517" s="146"/>
      <c r="E517" s="146"/>
      <c r="F517" s="146"/>
      <c r="G517" s="146"/>
      <c r="H517" s="146"/>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46"/>
      <c r="D518" s="146"/>
      <c r="E518" s="146"/>
      <c r="F518" s="146"/>
      <c r="G518" s="146"/>
      <c r="H518" s="146"/>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46"/>
      <c r="D519" s="146"/>
      <c r="E519" s="146"/>
      <c r="F519" s="146"/>
      <c r="G519" s="146"/>
      <c r="H519" s="146"/>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46"/>
      <c r="D520" s="146"/>
      <c r="E520" s="146"/>
      <c r="F520" s="146"/>
      <c r="G520" s="146"/>
      <c r="H520" s="146"/>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46"/>
      <c r="D521" s="146"/>
      <c r="E521" s="146"/>
      <c r="F521" s="146"/>
      <c r="G521" s="146"/>
      <c r="H521" s="146"/>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46"/>
      <c r="D522" s="146"/>
      <c r="E522" s="146"/>
      <c r="F522" s="146"/>
      <c r="G522" s="146"/>
      <c r="H522" s="146"/>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46"/>
      <c r="D523" s="146"/>
      <c r="E523" s="146"/>
      <c r="F523" s="146"/>
      <c r="G523" s="146"/>
      <c r="H523" s="146"/>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46"/>
      <c r="D524" s="146"/>
      <c r="E524" s="146"/>
      <c r="F524" s="146"/>
      <c r="G524" s="146"/>
      <c r="H524" s="146"/>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46"/>
      <c r="D525" s="146"/>
      <c r="E525" s="146"/>
      <c r="F525" s="146"/>
      <c r="G525" s="146"/>
      <c r="H525" s="146"/>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46"/>
      <c r="D526" s="146"/>
      <c r="E526" s="146"/>
      <c r="F526" s="146"/>
      <c r="G526" s="146"/>
      <c r="H526" s="146"/>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46"/>
      <c r="D527" s="146"/>
      <c r="E527" s="146"/>
      <c r="F527" s="146"/>
      <c r="G527" s="146"/>
      <c r="H527" s="146"/>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46"/>
      <c r="D528" s="146"/>
      <c r="E528" s="146"/>
      <c r="F528" s="146"/>
      <c r="G528" s="146"/>
      <c r="H528" s="146"/>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46"/>
      <c r="D529" s="146"/>
      <c r="E529" s="146"/>
      <c r="F529" s="146"/>
      <c r="G529" s="146"/>
      <c r="H529" s="146"/>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46"/>
      <c r="D530" s="146"/>
      <c r="E530" s="146"/>
      <c r="F530" s="146"/>
      <c r="G530" s="146"/>
      <c r="H530" s="146"/>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46"/>
      <c r="D531" s="146"/>
      <c r="E531" s="146"/>
      <c r="F531" s="146"/>
      <c r="G531" s="146"/>
      <c r="H531" s="146"/>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46"/>
      <c r="D532" s="146"/>
      <c r="E532" s="146"/>
      <c r="F532" s="146"/>
      <c r="G532" s="146"/>
      <c r="H532" s="146"/>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46"/>
      <c r="D533" s="146"/>
      <c r="E533" s="146"/>
      <c r="F533" s="146"/>
      <c r="G533" s="146"/>
      <c r="H533" s="146"/>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46"/>
      <c r="D534" s="146"/>
      <c r="E534" s="146"/>
      <c r="F534" s="146"/>
      <c r="G534" s="146"/>
      <c r="H534" s="146"/>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46"/>
      <c r="D535" s="146"/>
      <c r="E535" s="146"/>
      <c r="F535" s="146"/>
      <c r="G535" s="146"/>
      <c r="H535" s="146"/>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46"/>
      <c r="D536" s="146"/>
      <c r="E536" s="146"/>
      <c r="F536" s="146"/>
      <c r="G536" s="146"/>
      <c r="H536" s="146"/>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46"/>
      <c r="D537" s="146"/>
      <c r="E537" s="146"/>
      <c r="F537" s="146"/>
      <c r="G537" s="146"/>
      <c r="H537" s="146"/>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46"/>
      <c r="D538" s="146"/>
      <c r="E538" s="146"/>
      <c r="F538" s="146"/>
      <c r="G538" s="146"/>
      <c r="H538" s="146"/>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46"/>
      <c r="D539" s="146"/>
      <c r="E539" s="146"/>
      <c r="F539" s="146"/>
      <c r="G539" s="146"/>
      <c r="H539" s="146"/>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46"/>
      <c r="D540" s="146"/>
      <c r="E540" s="146"/>
      <c r="F540" s="146"/>
      <c r="G540" s="146"/>
      <c r="H540" s="146"/>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46"/>
      <c r="D541" s="146"/>
      <c r="E541" s="146"/>
      <c r="F541" s="146"/>
      <c r="G541" s="146"/>
      <c r="H541" s="146"/>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46"/>
      <c r="D542" s="146"/>
      <c r="E542" s="146"/>
      <c r="F542" s="146"/>
      <c r="G542" s="146"/>
      <c r="H542" s="146"/>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46"/>
      <c r="D543" s="146"/>
      <c r="E543" s="146"/>
      <c r="F543" s="146"/>
      <c r="G543" s="146"/>
      <c r="H543" s="146"/>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46"/>
      <c r="D544" s="146"/>
      <c r="E544" s="146"/>
      <c r="F544" s="146"/>
      <c r="G544" s="146"/>
      <c r="H544" s="146"/>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46"/>
      <c r="D545" s="146"/>
      <c r="E545" s="146"/>
      <c r="F545" s="146"/>
      <c r="G545" s="146"/>
      <c r="H545" s="146"/>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46"/>
      <c r="D546" s="146"/>
      <c r="E546" s="146"/>
      <c r="F546" s="146"/>
      <c r="G546" s="146"/>
      <c r="H546" s="146"/>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46"/>
      <c r="D547" s="146"/>
      <c r="E547" s="146"/>
      <c r="F547" s="146"/>
      <c r="G547" s="146"/>
      <c r="H547" s="146"/>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46"/>
      <c r="D548" s="146"/>
      <c r="E548" s="146"/>
      <c r="F548" s="146"/>
      <c r="G548" s="146"/>
      <c r="H548" s="146"/>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46"/>
      <c r="D549" s="146"/>
      <c r="E549" s="146"/>
      <c r="F549" s="146"/>
      <c r="G549" s="146"/>
      <c r="H549" s="146"/>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46"/>
      <c r="D550" s="146"/>
      <c r="E550" s="146"/>
      <c r="F550" s="146"/>
      <c r="G550" s="146"/>
      <c r="H550" s="146"/>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46"/>
      <c r="D551" s="146"/>
      <c r="E551" s="146"/>
      <c r="F551" s="146"/>
      <c r="G551" s="146"/>
      <c r="H551" s="146"/>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46"/>
      <c r="D552" s="146"/>
      <c r="E552" s="146"/>
      <c r="F552" s="146"/>
      <c r="G552" s="146"/>
      <c r="H552" s="146"/>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46"/>
      <c r="D553" s="146"/>
      <c r="E553" s="146"/>
      <c r="F553" s="146"/>
      <c r="G553" s="146"/>
      <c r="H553" s="146"/>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46"/>
      <c r="D554" s="146"/>
      <c r="E554" s="146"/>
      <c r="F554" s="146"/>
      <c r="G554" s="146"/>
      <c r="H554" s="146"/>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46"/>
      <c r="D555" s="146"/>
      <c r="E555" s="146"/>
      <c r="F555" s="146"/>
      <c r="G555" s="146"/>
      <c r="H555" s="146"/>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46"/>
      <c r="D556" s="146"/>
      <c r="E556" s="146"/>
      <c r="F556" s="146"/>
      <c r="G556" s="146"/>
      <c r="H556" s="146"/>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46"/>
      <c r="D557" s="146"/>
      <c r="E557" s="146"/>
      <c r="F557" s="146"/>
      <c r="G557" s="146"/>
      <c r="H557" s="146"/>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46"/>
      <c r="D558" s="146"/>
      <c r="E558" s="146"/>
      <c r="F558" s="146"/>
      <c r="G558" s="146"/>
      <c r="H558" s="146"/>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46"/>
      <c r="D559" s="146"/>
      <c r="E559" s="146"/>
      <c r="F559" s="146"/>
      <c r="G559" s="146"/>
      <c r="H559" s="146"/>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46"/>
      <c r="D560" s="146"/>
      <c r="E560" s="146"/>
      <c r="F560" s="146"/>
      <c r="G560" s="146"/>
      <c r="H560" s="146"/>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46"/>
      <c r="D561" s="146"/>
      <c r="E561" s="146"/>
      <c r="F561" s="146"/>
      <c r="G561" s="146"/>
      <c r="H561" s="146"/>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46"/>
      <c r="D562" s="146"/>
      <c r="E562" s="146"/>
      <c r="F562" s="146"/>
      <c r="G562" s="146"/>
      <c r="H562" s="146"/>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46"/>
      <c r="D563" s="146"/>
      <c r="E563" s="146"/>
      <c r="F563" s="146"/>
      <c r="G563" s="146"/>
      <c r="H563" s="146"/>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46"/>
      <c r="D564" s="146"/>
      <c r="E564" s="146"/>
      <c r="F564" s="146"/>
      <c r="G564" s="146"/>
      <c r="H564" s="146"/>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46"/>
      <c r="D565" s="146"/>
      <c r="E565" s="146"/>
      <c r="F565" s="146"/>
      <c r="G565" s="146"/>
      <c r="H565" s="146"/>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46"/>
      <c r="D566" s="146"/>
      <c r="E566" s="146"/>
      <c r="F566" s="146"/>
      <c r="G566" s="146"/>
      <c r="H566" s="146"/>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46"/>
      <c r="D567" s="146"/>
      <c r="E567" s="146"/>
      <c r="F567" s="146"/>
      <c r="G567" s="146"/>
      <c r="H567" s="146"/>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46"/>
      <c r="D568" s="146"/>
      <c r="E568" s="146"/>
      <c r="F568" s="146"/>
      <c r="G568" s="146"/>
      <c r="H568" s="146"/>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46"/>
      <c r="D569" s="146"/>
      <c r="E569" s="146"/>
      <c r="F569" s="146"/>
      <c r="G569" s="146"/>
      <c r="H569" s="146"/>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46"/>
      <c r="D570" s="146"/>
      <c r="E570" s="146"/>
      <c r="F570" s="146"/>
      <c r="G570" s="146"/>
      <c r="H570" s="146"/>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46"/>
      <c r="D571" s="146"/>
      <c r="E571" s="146"/>
      <c r="F571" s="146"/>
      <c r="G571" s="146"/>
      <c r="H571" s="146"/>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46"/>
      <c r="D572" s="146"/>
      <c r="E572" s="146"/>
      <c r="F572" s="146"/>
      <c r="G572" s="146"/>
      <c r="H572" s="146"/>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46"/>
      <c r="D573" s="146"/>
      <c r="E573" s="146"/>
      <c r="F573" s="146"/>
      <c r="G573" s="146"/>
      <c r="H573" s="146"/>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46"/>
      <c r="D574" s="146"/>
      <c r="E574" s="146"/>
      <c r="F574" s="146"/>
      <c r="G574" s="146"/>
      <c r="H574" s="146"/>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46"/>
      <c r="D575" s="146"/>
      <c r="E575" s="146"/>
      <c r="F575" s="146"/>
      <c r="G575" s="146"/>
      <c r="H575" s="146"/>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46"/>
      <c r="D576" s="146"/>
      <c r="E576" s="146"/>
      <c r="F576" s="146"/>
      <c r="G576" s="146"/>
      <c r="H576" s="146"/>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46"/>
      <c r="D577" s="146"/>
      <c r="E577" s="146"/>
      <c r="F577" s="146"/>
      <c r="G577" s="146"/>
      <c r="H577" s="146"/>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46"/>
      <c r="D578" s="146"/>
      <c r="E578" s="146"/>
      <c r="F578" s="146"/>
      <c r="G578" s="146"/>
      <c r="H578" s="146"/>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46"/>
      <c r="D579" s="146"/>
      <c r="E579" s="146"/>
      <c r="F579" s="146"/>
      <c r="G579" s="146"/>
      <c r="H579" s="146"/>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46"/>
      <c r="D580" s="146"/>
      <c r="E580" s="146"/>
      <c r="F580" s="146"/>
      <c r="G580" s="146"/>
      <c r="H580" s="146"/>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46"/>
      <c r="D581" s="146"/>
      <c r="E581" s="146"/>
      <c r="F581" s="146"/>
      <c r="G581" s="146"/>
      <c r="H581" s="146"/>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46"/>
      <c r="D582" s="146"/>
      <c r="E582" s="146"/>
      <c r="F582" s="146"/>
      <c r="G582" s="146"/>
      <c r="H582" s="146"/>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46"/>
      <c r="D583" s="146"/>
      <c r="E583" s="146"/>
      <c r="F583" s="146"/>
      <c r="G583" s="146"/>
      <c r="H583" s="146"/>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46"/>
      <c r="D584" s="146"/>
      <c r="E584" s="146"/>
      <c r="F584" s="146"/>
      <c r="G584" s="146"/>
      <c r="H584" s="146"/>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46"/>
      <c r="D585" s="146"/>
      <c r="E585" s="146"/>
      <c r="F585" s="146"/>
      <c r="G585" s="146"/>
      <c r="H585" s="146"/>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46"/>
      <c r="D586" s="146"/>
      <c r="E586" s="146"/>
      <c r="F586" s="146"/>
      <c r="G586" s="146"/>
      <c r="H586" s="146"/>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46"/>
      <c r="D587" s="146"/>
      <c r="E587" s="146"/>
      <c r="F587" s="146"/>
      <c r="G587" s="146"/>
      <c r="H587" s="146"/>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46"/>
      <c r="D588" s="146"/>
      <c r="E588" s="146"/>
      <c r="F588" s="146"/>
      <c r="G588" s="146"/>
      <c r="H588" s="146"/>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46"/>
      <c r="D589" s="146"/>
      <c r="E589" s="146"/>
      <c r="F589" s="146"/>
      <c r="G589" s="146"/>
      <c r="H589" s="146"/>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46"/>
      <c r="D590" s="146"/>
      <c r="E590" s="146"/>
      <c r="F590" s="146"/>
      <c r="G590" s="146"/>
      <c r="H590" s="146"/>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46"/>
      <c r="D591" s="146"/>
      <c r="E591" s="146"/>
      <c r="F591" s="146"/>
      <c r="G591" s="146"/>
      <c r="H591" s="146"/>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46"/>
      <c r="D592" s="146"/>
      <c r="E592" s="146"/>
      <c r="F592" s="146"/>
      <c r="G592" s="146"/>
      <c r="H592" s="146"/>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46"/>
      <c r="D593" s="146"/>
      <c r="E593" s="146"/>
      <c r="F593" s="146"/>
      <c r="G593" s="146"/>
      <c r="H593" s="146"/>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46"/>
      <c r="D594" s="146"/>
      <c r="E594" s="146"/>
      <c r="F594" s="146"/>
      <c r="G594" s="146"/>
      <c r="H594" s="146"/>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46"/>
      <c r="D595" s="146"/>
      <c r="E595" s="146"/>
      <c r="F595" s="146"/>
      <c r="G595" s="146"/>
      <c r="H595" s="146"/>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46"/>
      <c r="D596" s="146"/>
      <c r="E596" s="146"/>
      <c r="F596" s="146"/>
      <c r="G596" s="146"/>
      <c r="H596" s="146"/>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46"/>
      <c r="D597" s="146"/>
      <c r="E597" s="146"/>
      <c r="F597" s="146"/>
      <c r="G597" s="146"/>
      <c r="H597" s="146"/>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46"/>
      <c r="D598" s="146"/>
      <c r="E598" s="146"/>
      <c r="F598" s="146"/>
      <c r="G598" s="146"/>
      <c r="H598" s="146"/>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46"/>
      <c r="D599" s="146"/>
      <c r="E599" s="146"/>
      <c r="F599" s="146"/>
      <c r="G599" s="146"/>
      <c r="H599" s="146"/>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46"/>
      <c r="D600" s="146"/>
      <c r="E600" s="146"/>
      <c r="F600" s="146"/>
      <c r="G600" s="146"/>
      <c r="H600" s="146"/>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46"/>
      <c r="D601" s="146"/>
      <c r="E601" s="146"/>
      <c r="F601" s="146"/>
      <c r="G601" s="146"/>
      <c r="H601" s="146"/>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46"/>
      <c r="D602" s="146"/>
      <c r="E602" s="146"/>
      <c r="F602" s="146"/>
      <c r="G602" s="146"/>
      <c r="H602" s="146"/>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46"/>
      <c r="D603" s="146"/>
      <c r="E603" s="146"/>
      <c r="F603" s="146"/>
      <c r="G603" s="146"/>
      <c r="H603" s="146"/>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46"/>
      <c r="D604" s="146"/>
      <c r="E604" s="146"/>
      <c r="F604" s="146"/>
      <c r="G604" s="146"/>
      <c r="H604" s="146"/>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46"/>
      <c r="D605" s="146"/>
      <c r="E605" s="146"/>
      <c r="F605" s="146"/>
      <c r="G605" s="146"/>
      <c r="H605" s="146"/>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46"/>
      <c r="D606" s="146"/>
      <c r="E606" s="146"/>
      <c r="F606" s="146"/>
      <c r="G606" s="146"/>
      <c r="H606" s="146"/>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46"/>
      <c r="D607" s="146"/>
      <c r="E607" s="146"/>
      <c r="F607" s="146"/>
      <c r="G607" s="146"/>
      <c r="H607" s="146"/>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46"/>
      <c r="D608" s="146"/>
      <c r="E608" s="146"/>
      <c r="F608" s="146"/>
      <c r="G608" s="146"/>
      <c r="H608" s="146"/>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46"/>
      <c r="D609" s="146"/>
      <c r="E609" s="146"/>
      <c r="F609" s="146"/>
      <c r="G609" s="146"/>
      <c r="H609" s="146"/>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46"/>
      <c r="D610" s="146"/>
      <c r="E610" s="146"/>
      <c r="F610" s="146"/>
      <c r="G610" s="146"/>
      <c r="H610" s="146"/>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46"/>
      <c r="D611" s="146"/>
      <c r="E611" s="146"/>
      <c r="F611" s="146"/>
      <c r="G611" s="146"/>
      <c r="H611" s="146"/>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46"/>
      <c r="D612" s="146"/>
      <c r="E612" s="146"/>
      <c r="F612" s="146"/>
      <c r="G612" s="146"/>
      <c r="H612" s="146"/>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46"/>
      <c r="D613" s="146"/>
      <c r="E613" s="146"/>
      <c r="F613" s="146"/>
      <c r="G613" s="146"/>
      <c r="H613" s="146"/>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46"/>
      <c r="D614" s="146"/>
      <c r="E614" s="146"/>
      <c r="F614" s="146"/>
      <c r="G614" s="146"/>
      <c r="H614" s="146"/>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46"/>
      <c r="D615" s="146"/>
      <c r="E615" s="146"/>
      <c r="F615" s="146"/>
      <c r="G615" s="146"/>
      <c r="H615" s="146"/>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46"/>
      <c r="D616" s="146"/>
      <c r="E616" s="146"/>
      <c r="F616" s="146"/>
      <c r="G616" s="146"/>
      <c r="H616" s="146"/>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46"/>
      <c r="D617" s="146"/>
      <c r="E617" s="146"/>
      <c r="F617" s="146"/>
      <c r="G617" s="146"/>
      <c r="H617" s="146"/>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46"/>
      <c r="D618" s="146"/>
      <c r="E618" s="146"/>
      <c r="F618" s="146"/>
      <c r="G618" s="146"/>
      <c r="H618" s="146"/>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46"/>
      <c r="D619" s="146"/>
      <c r="E619" s="146"/>
      <c r="F619" s="146"/>
      <c r="G619" s="146"/>
      <c r="H619" s="146"/>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46"/>
      <c r="D620" s="146"/>
      <c r="E620" s="146"/>
      <c r="F620" s="146"/>
      <c r="G620" s="146"/>
      <c r="H620" s="146"/>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46"/>
      <c r="D621" s="146"/>
      <c r="E621" s="146"/>
      <c r="F621" s="146"/>
      <c r="G621" s="146"/>
      <c r="H621" s="146"/>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46"/>
      <c r="D622" s="146"/>
      <c r="E622" s="146"/>
      <c r="F622" s="146"/>
      <c r="G622" s="146"/>
      <c r="H622" s="146"/>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46"/>
      <c r="D623" s="146"/>
      <c r="E623" s="146"/>
      <c r="F623" s="146"/>
      <c r="G623" s="146"/>
      <c r="H623" s="146"/>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46"/>
      <c r="D624" s="146"/>
      <c r="E624" s="146"/>
      <c r="F624" s="146"/>
      <c r="G624" s="146"/>
      <c r="H624" s="146"/>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46"/>
      <c r="D625" s="146"/>
      <c r="E625" s="146"/>
      <c r="F625" s="146"/>
      <c r="G625" s="146"/>
      <c r="H625" s="146"/>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46"/>
      <c r="D626" s="146"/>
      <c r="E626" s="146"/>
      <c r="F626" s="146"/>
      <c r="G626" s="146"/>
      <c r="H626" s="146"/>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46"/>
      <c r="D627" s="146"/>
      <c r="E627" s="146"/>
      <c r="F627" s="146"/>
      <c r="G627" s="146"/>
      <c r="H627" s="146"/>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46"/>
      <c r="D628" s="146"/>
      <c r="E628" s="146"/>
      <c r="F628" s="146"/>
      <c r="G628" s="146"/>
      <c r="H628" s="146"/>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46"/>
      <c r="D629" s="146"/>
      <c r="E629" s="146"/>
      <c r="F629" s="146"/>
      <c r="G629" s="146"/>
      <c r="H629" s="146"/>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46"/>
      <c r="D630" s="146"/>
      <c r="E630" s="146"/>
      <c r="F630" s="146"/>
      <c r="G630" s="146"/>
      <c r="H630" s="146"/>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46"/>
      <c r="D631" s="146"/>
      <c r="E631" s="146"/>
      <c r="F631" s="146"/>
      <c r="G631" s="146"/>
      <c r="H631" s="146"/>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46"/>
      <c r="D632" s="146"/>
      <c r="E632" s="146"/>
      <c r="F632" s="146"/>
      <c r="G632" s="146"/>
      <c r="H632" s="146"/>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46"/>
      <c r="D633" s="146"/>
      <c r="E633" s="146"/>
      <c r="F633" s="146"/>
      <c r="G633" s="146"/>
      <c r="H633" s="146"/>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46"/>
      <c r="D634" s="146"/>
      <c r="E634" s="146"/>
      <c r="F634" s="146"/>
      <c r="G634" s="146"/>
      <c r="H634" s="146"/>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46"/>
      <c r="D635" s="146"/>
      <c r="E635" s="146"/>
      <c r="F635" s="146"/>
      <c r="G635" s="146"/>
      <c r="H635" s="146"/>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46"/>
      <c r="D636" s="146"/>
      <c r="E636" s="146"/>
      <c r="F636" s="146"/>
      <c r="G636" s="146"/>
      <c r="H636" s="146"/>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46"/>
      <c r="D637" s="146"/>
      <c r="E637" s="146"/>
      <c r="F637" s="146"/>
      <c r="G637" s="146"/>
      <c r="H637" s="146"/>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46"/>
      <c r="D638" s="146"/>
      <c r="E638" s="146"/>
      <c r="F638" s="146"/>
      <c r="G638" s="146"/>
      <c r="H638" s="146"/>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46"/>
      <c r="D639" s="146"/>
      <c r="E639" s="146"/>
      <c r="F639" s="146"/>
      <c r="G639" s="146"/>
      <c r="H639" s="146"/>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46"/>
      <c r="D640" s="146"/>
      <c r="E640" s="146"/>
      <c r="F640" s="146"/>
      <c r="G640" s="146"/>
      <c r="H640" s="146"/>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46"/>
      <c r="D641" s="146"/>
      <c r="E641" s="146"/>
      <c r="F641" s="146"/>
      <c r="G641" s="146"/>
      <c r="H641" s="146"/>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46"/>
      <c r="D642" s="146"/>
      <c r="E642" s="146"/>
      <c r="F642" s="146"/>
      <c r="G642" s="146"/>
      <c r="H642" s="146"/>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46"/>
      <c r="D643" s="146"/>
      <c r="E643" s="146"/>
      <c r="F643" s="146"/>
      <c r="G643" s="146"/>
      <c r="H643" s="146"/>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46"/>
      <c r="D644" s="146"/>
      <c r="E644" s="146"/>
      <c r="F644" s="146"/>
      <c r="G644" s="146"/>
      <c r="H644" s="146"/>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46"/>
      <c r="D645" s="146"/>
      <c r="E645" s="146"/>
      <c r="F645" s="146"/>
      <c r="G645" s="146"/>
      <c r="H645" s="146"/>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46"/>
      <c r="D646" s="146"/>
      <c r="E646" s="146"/>
      <c r="F646" s="146"/>
      <c r="G646" s="146"/>
      <c r="H646" s="146"/>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46"/>
      <c r="D647" s="146"/>
      <c r="E647" s="146"/>
      <c r="F647" s="146"/>
      <c r="G647" s="146"/>
      <c r="H647" s="146"/>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46"/>
      <c r="D648" s="146"/>
      <c r="E648" s="146"/>
      <c r="F648" s="146"/>
      <c r="G648" s="146"/>
      <c r="H648" s="146"/>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46"/>
      <c r="D649" s="146"/>
      <c r="E649" s="146"/>
      <c r="F649" s="146"/>
      <c r="G649" s="146"/>
      <c r="H649" s="146"/>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46"/>
      <c r="D650" s="146"/>
      <c r="E650" s="146"/>
      <c r="F650" s="146"/>
      <c r="G650" s="146"/>
      <c r="H650" s="146"/>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46"/>
      <c r="D651" s="146"/>
      <c r="E651" s="146"/>
      <c r="F651" s="146"/>
      <c r="G651" s="146"/>
      <c r="H651" s="146"/>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46"/>
      <c r="D652" s="146"/>
      <c r="E652" s="146"/>
      <c r="F652" s="146"/>
      <c r="G652" s="146"/>
      <c r="H652" s="146"/>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46"/>
      <c r="D653" s="146"/>
      <c r="E653" s="146"/>
      <c r="F653" s="146"/>
      <c r="G653" s="146"/>
      <c r="H653" s="146"/>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46"/>
      <c r="D654" s="146"/>
      <c r="E654" s="146"/>
      <c r="F654" s="146"/>
      <c r="G654" s="146"/>
      <c r="H654" s="146"/>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46"/>
      <c r="D655" s="146"/>
      <c r="E655" s="146"/>
      <c r="F655" s="146"/>
      <c r="G655" s="146"/>
      <c r="H655" s="146"/>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46"/>
      <c r="D656" s="146"/>
      <c r="E656" s="146"/>
      <c r="F656" s="146"/>
      <c r="G656" s="146"/>
      <c r="H656" s="146"/>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46"/>
      <c r="D657" s="146"/>
      <c r="E657" s="146"/>
      <c r="F657" s="146"/>
      <c r="G657" s="146"/>
      <c r="H657" s="146"/>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46"/>
      <c r="D658" s="146"/>
      <c r="E658" s="146"/>
      <c r="F658" s="146"/>
      <c r="G658" s="146"/>
      <c r="H658" s="146"/>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46"/>
      <c r="D659" s="146"/>
      <c r="E659" s="146"/>
      <c r="F659" s="146"/>
      <c r="G659" s="146"/>
      <c r="H659" s="146"/>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46"/>
      <c r="D660" s="146"/>
      <c r="E660" s="146"/>
      <c r="F660" s="146"/>
      <c r="G660" s="146"/>
      <c r="H660" s="146"/>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46"/>
      <c r="D661" s="146"/>
      <c r="E661" s="146"/>
      <c r="F661" s="146"/>
      <c r="G661" s="146"/>
      <c r="H661" s="146"/>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46"/>
      <c r="D662" s="146"/>
      <c r="E662" s="146"/>
      <c r="F662" s="146"/>
      <c r="G662" s="146"/>
      <c r="H662" s="146"/>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46"/>
      <c r="D663" s="146"/>
      <c r="E663" s="146"/>
      <c r="F663" s="146"/>
      <c r="G663" s="146"/>
      <c r="H663" s="146"/>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46"/>
      <c r="D664" s="146"/>
      <c r="E664" s="146"/>
      <c r="F664" s="146"/>
      <c r="G664" s="146"/>
      <c r="H664" s="146"/>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46"/>
      <c r="D665" s="146"/>
      <c r="E665" s="146"/>
      <c r="F665" s="146"/>
      <c r="G665" s="146"/>
      <c r="H665" s="146"/>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46"/>
      <c r="D666" s="146"/>
      <c r="E666" s="146"/>
      <c r="F666" s="146"/>
      <c r="G666" s="146"/>
      <c r="H666" s="146"/>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46"/>
      <c r="D667" s="146"/>
      <c r="E667" s="146"/>
      <c r="F667" s="146"/>
      <c r="G667" s="146"/>
      <c r="H667" s="146"/>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46"/>
      <c r="D668" s="146"/>
      <c r="E668" s="146"/>
      <c r="F668" s="146"/>
      <c r="G668" s="146"/>
      <c r="H668" s="146"/>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46"/>
      <c r="D669" s="146"/>
      <c r="E669" s="146"/>
      <c r="F669" s="146"/>
      <c r="G669" s="146"/>
      <c r="H669" s="146"/>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46"/>
      <c r="D670" s="146"/>
      <c r="E670" s="146"/>
      <c r="F670" s="146"/>
      <c r="G670" s="146"/>
      <c r="H670" s="146"/>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46"/>
      <c r="D671" s="146"/>
      <c r="E671" s="146"/>
      <c r="F671" s="146"/>
      <c r="G671" s="146"/>
      <c r="H671" s="146"/>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46"/>
      <c r="D672" s="146"/>
      <c r="E672" s="146"/>
      <c r="F672" s="146"/>
      <c r="G672" s="146"/>
      <c r="H672" s="146"/>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46"/>
      <c r="D673" s="146"/>
      <c r="E673" s="146"/>
      <c r="F673" s="146"/>
      <c r="G673" s="146"/>
      <c r="H673" s="146"/>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46"/>
      <c r="D674" s="146"/>
      <c r="E674" s="146"/>
      <c r="F674" s="146"/>
      <c r="G674" s="146"/>
      <c r="H674" s="146"/>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46"/>
      <c r="D675" s="146"/>
      <c r="E675" s="146"/>
      <c r="F675" s="146"/>
      <c r="G675" s="146"/>
      <c r="H675" s="146"/>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46"/>
      <c r="D676" s="146"/>
      <c r="E676" s="146"/>
      <c r="F676" s="146"/>
      <c r="G676" s="146"/>
      <c r="H676" s="146"/>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46"/>
      <c r="D677" s="146"/>
      <c r="E677" s="146"/>
      <c r="F677" s="146"/>
      <c r="G677" s="146"/>
      <c r="H677" s="146"/>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46"/>
      <c r="D678" s="146"/>
      <c r="E678" s="146"/>
      <c r="F678" s="146"/>
      <c r="G678" s="146"/>
      <c r="H678" s="146"/>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46"/>
      <c r="D679" s="146"/>
      <c r="E679" s="146"/>
      <c r="F679" s="146"/>
      <c r="G679" s="146"/>
      <c r="H679" s="146"/>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46"/>
      <c r="D680" s="146"/>
      <c r="E680" s="146"/>
      <c r="F680" s="146"/>
      <c r="G680" s="146"/>
      <c r="H680" s="146"/>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46"/>
      <c r="D681" s="146"/>
      <c r="E681" s="146"/>
      <c r="F681" s="146"/>
      <c r="G681" s="146"/>
      <c r="H681" s="146"/>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46"/>
      <c r="D682" s="146"/>
      <c r="E682" s="146"/>
      <c r="F682" s="146"/>
      <c r="G682" s="146"/>
      <c r="H682" s="146"/>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46"/>
      <c r="D683" s="146"/>
      <c r="E683" s="146"/>
      <c r="F683" s="146"/>
      <c r="G683" s="146"/>
      <c r="H683" s="146"/>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46"/>
      <c r="D684" s="146"/>
      <c r="E684" s="146"/>
      <c r="F684" s="146"/>
      <c r="G684" s="146"/>
      <c r="H684" s="146"/>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46"/>
      <c r="D685" s="146"/>
      <c r="E685" s="146"/>
      <c r="F685" s="146"/>
      <c r="G685" s="146"/>
      <c r="H685" s="146"/>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46"/>
      <c r="D686" s="146"/>
      <c r="E686" s="146"/>
      <c r="F686" s="146"/>
      <c r="G686" s="146"/>
      <c r="H686" s="146"/>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46"/>
      <c r="D687" s="146"/>
      <c r="E687" s="146"/>
      <c r="F687" s="146"/>
      <c r="G687" s="146"/>
      <c r="H687" s="146"/>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46"/>
      <c r="D688" s="146"/>
      <c r="E688" s="146"/>
      <c r="F688" s="146"/>
      <c r="G688" s="146"/>
      <c r="H688" s="146"/>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46"/>
      <c r="D689" s="146"/>
      <c r="E689" s="146"/>
      <c r="F689" s="146"/>
      <c r="G689" s="146"/>
      <c r="H689" s="146"/>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46"/>
      <c r="D690" s="146"/>
      <c r="E690" s="146"/>
      <c r="F690" s="146"/>
      <c r="G690" s="146"/>
      <c r="H690" s="146"/>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46"/>
      <c r="D691" s="146"/>
      <c r="E691" s="146"/>
      <c r="F691" s="146"/>
      <c r="G691" s="146"/>
      <c r="H691" s="146"/>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46"/>
      <c r="D692" s="146"/>
      <c r="E692" s="146"/>
      <c r="F692" s="146"/>
      <c r="G692" s="146"/>
      <c r="H692" s="146"/>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46"/>
      <c r="D693" s="146"/>
      <c r="E693" s="146"/>
      <c r="F693" s="146"/>
      <c r="G693" s="146"/>
      <c r="H693" s="146"/>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46"/>
      <c r="D694" s="146"/>
      <c r="E694" s="146"/>
      <c r="F694" s="146"/>
      <c r="G694" s="146"/>
      <c r="H694" s="146"/>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46"/>
      <c r="D695" s="146"/>
      <c r="E695" s="146"/>
      <c r="F695" s="146"/>
      <c r="G695" s="146"/>
      <c r="H695" s="146"/>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46"/>
      <c r="D696" s="146"/>
      <c r="E696" s="146"/>
      <c r="F696" s="146"/>
      <c r="G696" s="146"/>
      <c r="H696" s="146"/>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46"/>
      <c r="D697" s="146"/>
      <c r="E697" s="146"/>
      <c r="F697" s="146"/>
      <c r="G697" s="146"/>
      <c r="H697" s="146"/>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46"/>
      <c r="D698" s="146"/>
      <c r="E698" s="146"/>
      <c r="F698" s="146"/>
      <c r="G698" s="146"/>
      <c r="H698" s="146"/>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46"/>
      <c r="D699" s="146"/>
      <c r="E699" s="146"/>
      <c r="F699" s="146"/>
      <c r="G699" s="146"/>
      <c r="H699" s="146"/>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46"/>
      <c r="D700" s="146"/>
      <c r="E700" s="146"/>
      <c r="F700" s="146"/>
      <c r="G700" s="146"/>
      <c r="H700" s="146"/>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46"/>
      <c r="D701" s="146"/>
      <c r="E701" s="146"/>
      <c r="F701" s="146"/>
      <c r="G701" s="146"/>
      <c r="H701" s="146"/>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46"/>
      <c r="D702" s="146"/>
      <c r="E702" s="146"/>
      <c r="F702" s="146"/>
      <c r="G702" s="146"/>
      <c r="H702" s="146"/>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46"/>
      <c r="D703" s="146"/>
      <c r="E703" s="146"/>
      <c r="F703" s="146"/>
      <c r="G703" s="146"/>
      <c r="H703" s="146"/>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46"/>
      <c r="D704" s="146"/>
      <c r="E704" s="146"/>
      <c r="F704" s="146"/>
      <c r="G704" s="146"/>
      <c r="H704" s="146"/>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46"/>
      <c r="D705" s="146"/>
      <c r="E705" s="146"/>
      <c r="F705" s="146"/>
      <c r="G705" s="146"/>
      <c r="H705" s="146"/>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46"/>
      <c r="D706" s="146"/>
      <c r="E706" s="146"/>
      <c r="F706" s="146"/>
      <c r="G706" s="146"/>
      <c r="H706" s="146"/>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46"/>
      <c r="D707" s="146"/>
      <c r="E707" s="146"/>
      <c r="F707" s="146"/>
      <c r="G707" s="146"/>
      <c r="H707" s="146"/>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46"/>
      <c r="D708" s="146"/>
      <c r="E708" s="146"/>
      <c r="F708" s="146"/>
      <c r="G708" s="146"/>
      <c r="H708" s="146"/>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46"/>
      <c r="D709" s="146"/>
      <c r="E709" s="146"/>
      <c r="F709" s="146"/>
      <c r="G709" s="146"/>
      <c r="H709" s="146"/>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46"/>
      <c r="D710" s="146"/>
      <c r="E710" s="146"/>
      <c r="F710" s="146"/>
      <c r="G710" s="146"/>
      <c r="H710" s="146"/>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46"/>
      <c r="D711" s="146"/>
      <c r="E711" s="146"/>
      <c r="F711" s="146"/>
      <c r="G711" s="146"/>
      <c r="H711" s="146"/>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46"/>
      <c r="D712" s="146"/>
      <c r="E712" s="146"/>
      <c r="F712" s="146"/>
      <c r="G712" s="146"/>
      <c r="H712" s="146"/>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46"/>
      <c r="D713" s="146"/>
      <c r="E713" s="146"/>
      <c r="F713" s="146"/>
      <c r="G713" s="146"/>
      <c r="H713" s="146"/>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46"/>
      <c r="D714" s="146"/>
      <c r="E714" s="146"/>
      <c r="F714" s="146"/>
      <c r="G714" s="146"/>
      <c r="H714" s="146"/>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46"/>
      <c r="D715" s="146"/>
      <c r="E715" s="146"/>
      <c r="F715" s="146"/>
      <c r="G715" s="146"/>
      <c r="H715" s="146"/>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46"/>
      <c r="D716" s="146"/>
      <c r="E716" s="146"/>
      <c r="F716" s="146"/>
      <c r="G716" s="146"/>
      <c r="H716" s="146"/>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46"/>
      <c r="D717" s="146"/>
      <c r="E717" s="146"/>
      <c r="F717" s="146"/>
      <c r="G717" s="146"/>
      <c r="H717" s="146"/>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46"/>
      <c r="D718" s="146"/>
      <c r="E718" s="146"/>
      <c r="F718" s="146"/>
      <c r="G718" s="146"/>
      <c r="H718" s="146"/>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46"/>
      <c r="D719" s="146"/>
      <c r="E719" s="146"/>
      <c r="F719" s="146"/>
      <c r="G719" s="146"/>
      <c r="H719" s="146"/>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46"/>
      <c r="D720" s="146"/>
      <c r="E720" s="146"/>
      <c r="F720" s="146"/>
      <c r="G720" s="146"/>
      <c r="H720" s="146"/>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46"/>
      <c r="D721" s="146"/>
      <c r="E721" s="146"/>
      <c r="F721" s="146"/>
      <c r="G721" s="146"/>
      <c r="H721" s="146"/>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46"/>
      <c r="D722" s="146"/>
      <c r="E722" s="146"/>
      <c r="F722" s="146"/>
      <c r="G722" s="146"/>
      <c r="H722" s="146"/>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46"/>
      <c r="D723" s="146"/>
      <c r="E723" s="146"/>
      <c r="F723" s="146"/>
      <c r="G723" s="146"/>
      <c r="H723" s="146"/>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46"/>
      <c r="D724" s="146"/>
      <c r="E724" s="146"/>
      <c r="F724" s="146"/>
      <c r="G724" s="146"/>
      <c r="H724" s="146"/>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46"/>
      <c r="D725" s="146"/>
      <c r="E725" s="146"/>
      <c r="F725" s="146"/>
      <c r="G725" s="146"/>
      <c r="H725" s="146"/>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46"/>
      <c r="D726" s="146"/>
      <c r="E726" s="146"/>
      <c r="F726" s="146"/>
      <c r="G726" s="146"/>
      <c r="H726" s="146"/>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46"/>
      <c r="D727" s="146"/>
      <c r="E727" s="146"/>
      <c r="F727" s="146"/>
      <c r="G727" s="146"/>
      <c r="H727" s="146"/>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46"/>
      <c r="D728" s="146"/>
      <c r="E728" s="146"/>
      <c r="F728" s="146"/>
      <c r="G728" s="146"/>
      <c r="H728" s="146"/>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46"/>
      <c r="D729" s="146"/>
      <c r="E729" s="146"/>
      <c r="F729" s="146"/>
      <c r="G729" s="146"/>
      <c r="H729" s="146"/>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46"/>
      <c r="D730" s="146"/>
      <c r="E730" s="146"/>
      <c r="F730" s="146"/>
      <c r="G730" s="146"/>
      <c r="H730" s="146"/>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46"/>
      <c r="D731" s="146"/>
      <c r="E731" s="146"/>
      <c r="F731" s="146"/>
      <c r="G731" s="146"/>
      <c r="H731" s="146"/>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46"/>
      <c r="D732" s="146"/>
      <c r="E732" s="146"/>
      <c r="F732" s="146"/>
      <c r="G732" s="146"/>
      <c r="H732" s="146"/>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46"/>
      <c r="D733" s="146"/>
      <c r="E733" s="146"/>
      <c r="F733" s="146"/>
      <c r="G733" s="146"/>
      <c r="H733" s="146"/>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46"/>
      <c r="D734" s="146"/>
      <c r="E734" s="146"/>
      <c r="F734" s="146"/>
      <c r="G734" s="146"/>
      <c r="H734" s="146"/>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46"/>
      <c r="D735" s="146"/>
      <c r="E735" s="146"/>
      <c r="F735" s="146"/>
      <c r="G735" s="146"/>
      <c r="H735" s="146"/>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46"/>
      <c r="D736" s="146"/>
      <c r="E736" s="146"/>
      <c r="F736" s="146"/>
      <c r="G736" s="146"/>
      <c r="H736" s="146"/>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46"/>
      <c r="D737" s="146"/>
      <c r="E737" s="146"/>
      <c r="F737" s="146"/>
      <c r="G737" s="146"/>
      <c r="H737" s="146"/>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46"/>
      <c r="D738" s="146"/>
      <c r="E738" s="146"/>
      <c r="F738" s="146"/>
      <c r="G738" s="146"/>
      <c r="H738" s="146"/>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46"/>
      <c r="D739" s="146"/>
      <c r="E739" s="146"/>
      <c r="F739" s="146"/>
      <c r="G739" s="146"/>
      <c r="H739" s="146"/>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46"/>
      <c r="D740" s="146"/>
      <c r="E740" s="146"/>
      <c r="F740" s="146"/>
      <c r="G740" s="146"/>
      <c r="H740" s="146"/>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46"/>
      <c r="D741" s="146"/>
      <c r="E741" s="146"/>
      <c r="F741" s="146"/>
      <c r="G741" s="146"/>
      <c r="H741" s="146"/>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46"/>
      <c r="D742" s="146"/>
      <c r="E742" s="146"/>
      <c r="F742" s="146"/>
      <c r="G742" s="146"/>
      <c r="H742" s="146"/>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46"/>
      <c r="D743" s="146"/>
      <c r="E743" s="146"/>
      <c r="F743" s="146"/>
      <c r="G743" s="146"/>
      <c r="H743" s="146"/>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46"/>
      <c r="D744" s="146"/>
      <c r="E744" s="146"/>
      <c r="F744" s="146"/>
      <c r="G744" s="146"/>
      <c r="H744" s="146"/>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46"/>
      <c r="D745" s="146"/>
      <c r="E745" s="146"/>
      <c r="F745" s="146"/>
      <c r="G745" s="146"/>
      <c r="H745" s="146"/>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46"/>
      <c r="D746" s="146"/>
      <c r="E746" s="146"/>
      <c r="F746" s="146"/>
      <c r="G746" s="146"/>
      <c r="H746" s="146"/>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46"/>
      <c r="D747" s="146"/>
      <c r="E747" s="146"/>
      <c r="F747" s="146"/>
      <c r="G747" s="146"/>
      <c r="H747" s="146"/>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46"/>
      <c r="D748" s="146"/>
      <c r="E748" s="146"/>
      <c r="F748" s="146"/>
      <c r="G748" s="146"/>
      <c r="H748" s="146"/>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46"/>
      <c r="D749" s="146"/>
      <c r="E749" s="146"/>
      <c r="F749" s="146"/>
      <c r="G749" s="146"/>
      <c r="H749" s="146"/>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46"/>
      <c r="D750" s="146"/>
      <c r="E750" s="146"/>
      <c r="F750" s="146"/>
      <c r="G750" s="146"/>
      <c r="H750" s="146"/>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46"/>
      <c r="D751" s="146"/>
      <c r="E751" s="146"/>
      <c r="F751" s="146"/>
      <c r="G751" s="146"/>
      <c r="H751" s="146"/>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46"/>
      <c r="D752" s="146"/>
      <c r="E752" s="146"/>
      <c r="F752" s="146"/>
      <c r="G752" s="146"/>
      <c r="H752" s="146"/>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46"/>
      <c r="D753" s="146"/>
      <c r="E753" s="146"/>
      <c r="F753" s="146"/>
      <c r="G753" s="146"/>
      <c r="H753" s="146"/>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46"/>
      <c r="D754" s="146"/>
      <c r="E754" s="146"/>
      <c r="F754" s="146"/>
      <c r="G754" s="146"/>
      <c r="H754" s="146"/>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46"/>
      <c r="D755" s="146"/>
      <c r="E755" s="146"/>
      <c r="F755" s="146"/>
      <c r="G755" s="146"/>
      <c r="H755" s="146"/>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46"/>
      <c r="D756" s="146"/>
      <c r="E756" s="146"/>
      <c r="F756" s="146"/>
      <c r="G756" s="146"/>
      <c r="H756" s="146"/>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46"/>
      <c r="D757" s="146"/>
      <c r="E757" s="146"/>
      <c r="F757" s="146"/>
      <c r="G757" s="146"/>
      <c r="H757" s="146"/>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46"/>
      <c r="D758" s="146"/>
      <c r="E758" s="146"/>
      <c r="F758" s="146"/>
      <c r="G758" s="146"/>
      <c r="H758" s="146"/>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46"/>
      <c r="D759" s="146"/>
      <c r="E759" s="146"/>
      <c r="F759" s="146"/>
      <c r="G759" s="146"/>
      <c r="H759" s="146"/>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46"/>
      <c r="D760" s="146"/>
      <c r="E760" s="146"/>
      <c r="F760" s="146"/>
      <c r="G760" s="146"/>
      <c r="H760" s="146"/>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46"/>
      <c r="D761" s="146"/>
      <c r="E761" s="146"/>
      <c r="F761" s="146"/>
      <c r="G761" s="146"/>
      <c r="H761" s="146"/>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46"/>
      <c r="D762" s="146"/>
      <c r="E762" s="146"/>
      <c r="F762" s="146"/>
      <c r="G762" s="146"/>
      <c r="H762" s="146"/>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46"/>
      <c r="D763" s="146"/>
      <c r="E763" s="146"/>
      <c r="F763" s="146"/>
      <c r="G763" s="146"/>
      <c r="H763" s="146"/>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46"/>
      <c r="D764" s="146"/>
      <c r="E764" s="146"/>
      <c r="F764" s="146"/>
      <c r="G764" s="146"/>
      <c r="H764" s="146"/>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46"/>
      <c r="D765" s="146"/>
      <c r="E765" s="146"/>
      <c r="F765" s="146"/>
      <c r="G765" s="146"/>
      <c r="H765" s="146"/>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46"/>
      <c r="D766" s="146"/>
      <c r="E766" s="146"/>
      <c r="F766" s="146"/>
      <c r="G766" s="146"/>
      <c r="H766" s="146"/>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46"/>
      <c r="D767" s="146"/>
      <c r="E767" s="146"/>
      <c r="F767" s="146"/>
      <c r="G767" s="146"/>
      <c r="H767" s="146"/>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46"/>
      <c r="D768" s="146"/>
      <c r="E768" s="146"/>
      <c r="F768" s="146"/>
      <c r="G768" s="146"/>
      <c r="H768" s="146"/>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46"/>
      <c r="D769" s="146"/>
      <c r="E769" s="146"/>
      <c r="F769" s="146"/>
      <c r="G769" s="146"/>
      <c r="H769" s="146"/>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46"/>
      <c r="D770" s="146"/>
      <c r="E770" s="146"/>
      <c r="F770" s="146"/>
      <c r="G770" s="146"/>
      <c r="H770" s="146"/>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46"/>
      <c r="D771" s="146"/>
      <c r="E771" s="146"/>
      <c r="F771" s="146"/>
      <c r="G771" s="146"/>
      <c r="H771" s="146"/>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46"/>
      <c r="D772" s="146"/>
      <c r="E772" s="146"/>
      <c r="F772" s="146"/>
      <c r="G772" s="146"/>
      <c r="H772" s="146"/>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46"/>
      <c r="D773" s="146"/>
      <c r="E773" s="146"/>
      <c r="F773" s="146"/>
      <c r="G773" s="146"/>
      <c r="H773" s="146"/>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46"/>
      <c r="D774" s="146"/>
      <c r="E774" s="146"/>
      <c r="F774" s="146"/>
      <c r="G774" s="146"/>
      <c r="H774" s="146"/>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46"/>
      <c r="D775" s="146"/>
      <c r="E775" s="146"/>
      <c r="F775" s="146"/>
      <c r="G775" s="146"/>
      <c r="H775" s="146"/>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46"/>
      <c r="D776" s="146"/>
      <c r="E776" s="146"/>
      <c r="F776" s="146"/>
      <c r="G776" s="146"/>
      <c r="H776" s="146"/>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46"/>
      <c r="D777" s="146"/>
      <c r="E777" s="146"/>
      <c r="F777" s="146"/>
      <c r="G777" s="146"/>
      <c r="H777" s="146"/>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46"/>
      <c r="D778" s="146"/>
      <c r="E778" s="146"/>
      <c r="F778" s="146"/>
      <c r="G778" s="146"/>
      <c r="H778" s="146"/>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46"/>
      <c r="D779" s="146"/>
      <c r="E779" s="146"/>
      <c r="F779" s="146"/>
      <c r="G779" s="146"/>
      <c r="H779" s="146"/>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46"/>
      <c r="D780" s="146"/>
      <c r="E780" s="146"/>
      <c r="F780" s="146"/>
      <c r="G780" s="146"/>
      <c r="H780" s="146"/>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46"/>
      <c r="D781" s="146"/>
      <c r="E781" s="146"/>
      <c r="F781" s="146"/>
      <c r="G781" s="146"/>
      <c r="H781" s="146"/>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46"/>
      <c r="D782" s="146"/>
      <c r="E782" s="146"/>
      <c r="F782" s="146"/>
      <c r="G782" s="146"/>
      <c r="H782" s="146"/>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46"/>
      <c r="D783" s="146"/>
      <c r="E783" s="146"/>
      <c r="F783" s="146"/>
      <c r="G783" s="146"/>
      <c r="H783" s="146"/>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46"/>
      <c r="D784" s="146"/>
      <c r="E784" s="146"/>
      <c r="F784" s="146"/>
      <c r="G784" s="146"/>
      <c r="H784" s="146"/>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46"/>
      <c r="D785" s="146"/>
      <c r="E785" s="146"/>
      <c r="F785" s="146"/>
      <c r="G785" s="146"/>
      <c r="H785" s="146"/>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46"/>
      <c r="D786" s="146"/>
      <c r="E786" s="146"/>
      <c r="F786" s="146"/>
      <c r="G786" s="146"/>
      <c r="H786" s="146"/>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46"/>
      <c r="D787" s="146"/>
      <c r="E787" s="146"/>
      <c r="F787" s="146"/>
      <c r="G787" s="146"/>
      <c r="H787" s="146"/>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46"/>
      <c r="D788" s="146"/>
      <c r="E788" s="146"/>
      <c r="F788" s="146"/>
      <c r="G788" s="146"/>
      <c r="H788" s="146"/>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46"/>
      <c r="D789" s="146"/>
      <c r="E789" s="146"/>
      <c r="F789" s="146"/>
      <c r="G789" s="146"/>
      <c r="H789" s="146"/>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46"/>
      <c r="D790" s="146"/>
      <c r="E790" s="146"/>
      <c r="F790" s="146"/>
      <c r="G790" s="146"/>
      <c r="H790" s="146"/>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46"/>
      <c r="D791" s="146"/>
      <c r="E791" s="146"/>
      <c r="F791" s="146"/>
      <c r="G791" s="146"/>
      <c r="H791" s="146"/>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46"/>
      <c r="D792" s="146"/>
      <c r="E792" s="146"/>
      <c r="F792" s="146"/>
      <c r="G792" s="146"/>
      <c r="H792" s="146"/>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46"/>
      <c r="D793" s="146"/>
      <c r="E793" s="146"/>
      <c r="F793" s="146"/>
      <c r="G793" s="146"/>
      <c r="H793" s="146"/>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46"/>
      <c r="D794" s="146"/>
      <c r="E794" s="146"/>
      <c r="F794" s="146"/>
      <c r="G794" s="146"/>
      <c r="H794" s="146"/>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46"/>
      <c r="D795" s="146"/>
      <c r="E795" s="146"/>
      <c r="F795" s="146"/>
      <c r="G795" s="146"/>
      <c r="H795" s="146"/>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46"/>
      <c r="D796" s="146"/>
      <c r="E796" s="146"/>
      <c r="F796" s="146"/>
      <c r="G796" s="146"/>
      <c r="H796" s="146"/>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46"/>
      <c r="D797" s="146"/>
      <c r="E797" s="146"/>
      <c r="F797" s="146"/>
      <c r="G797" s="146"/>
      <c r="H797" s="146"/>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46"/>
      <c r="D798" s="146"/>
      <c r="E798" s="146"/>
      <c r="F798" s="146"/>
      <c r="G798" s="146"/>
      <c r="H798" s="146"/>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46"/>
      <c r="D799" s="146"/>
      <c r="E799" s="146"/>
      <c r="F799" s="146"/>
      <c r="G799" s="146"/>
      <c r="H799" s="146"/>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46"/>
      <c r="D800" s="146"/>
      <c r="E800" s="146"/>
      <c r="F800" s="146"/>
      <c r="G800" s="146"/>
      <c r="H800" s="146"/>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46"/>
      <c r="D801" s="146"/>
      <c r="E801" s="146"/>
      <c r="F801" s="146"/>
      <c r="G801" s="146"/>
      <c r="H801" s="146"/>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46"/>
      <c r="D802" s="146"/>
      <c r="E802" s="146"/>
      <c r="F802" s="146"/>
      <c r="G802" s="146"/>
      <c r="H802" s="146"/>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46"/>
      <c r="D803" s="146"/>
      <c r="E803" s="146"/>
      <c r="F803" s="146"/>
      <c r="G803" s="146"/>
      <c r="H803" s="146"/>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46"/>
      <c r="D804" s="146"/>
      <c r="E804" s="146"/>
      <c r="F804" s="146"/>
      <c r="G804" s="146"/>
      <c r="H804" s="146"/>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46"/>
      <c r="D805" s="146"/>
      <c r="E805" s="146"/>
      <c r="F805" s="146"/>
      <c r="G805" s="146"/>
      <c r="H805" s="146"/>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46"/>
      <c r="D806" s="146"/>
      <c r="E806" s="146"/>
      <c r="F806" s="146"/>
      <c r="G806" s="146"/>
      <c r="H806" s="146"/>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46"/>
      <c r="D807" s="146"/>
      <c r="E807" s="146"/>
      <c r="F807" s="146"/>
      <c r="G807" s="146"/>
      <c r="H807" s="146"/>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46"/>
      <c r="D808" s="146"/>
      <c r="E808" s="146"/>
      <c r="F808" s="146"/>
      <c r="G808" s="146"/>
      <c r="H808" s="146"/>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46"/>
      <c r="D809" s="146"/>
      <c r="E809" s="146"/>
      <c r="F809" s="146"/>
      <c r="G809" s="146"/>
      <c r="H809" s="146"/>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46"/>
      <c r="D810" s="146"/>
      <c r="E810" s="146"/>
      <c r="F810" s="146"/>
      <c r="G810" s="146"/>
      <c r="H810" s="146"/>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46"/>
      <c r="D811" s="146"/>
      <c r="E811" s="146"/>
      <c r="F811" s="146"/>
      <c r="G811" s="146"/>
      <c r="H811" s="146"/>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46"/>
      <c r="D812" s="146"/>
      <c r="E812" s="146"/>
      <c r="F812" s="146"/>
      <c r="G812" s="146"/>
      <c r="H812" s="146"/>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46"/>
      <c r="D813" s="146"/>
      <c r="E813" s="146"/>
      <c r="F813" s="146"/>
      <c r="G813" s="146"/>
      <c r="H813" s="146"/>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46"/>
      <c r="D814" s="146"/>
      <c r="E814" s="146"/>
      <c r="F814" s="146"/>
      <c r="G814" s="146"/>
      <c r="H814" s="146"/>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46"/>
      <c r="D815" s="146"/>
      <c r="E815" s="146"/>
      <c r="F815" s="146"/>
      <c r="G815" s="146"/>
      <c r="H815" s="146"/>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46"/>
      <c r="D816" s="146"/>
      <c r="E816" s="146"/>
      <c r="F816" s="146"/>
      <c r="G816" s="146"/>
      <c r="H816" s="146"/>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46"/>
      <c r="D817" s="146"/>
      <c r="E817" s="146"/>
      <c r="F817" s="146"/>
      <c r="G817" s="146"/>
      <c r="H817" s="146"/>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46"/>
      <c r="D818" s="146"/>
      <c r="E818" s="146"/>
      <c r="F818" s="146"/>
      <c r="G818" s="146"/>
      <c r="H818" s="146"/>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46"/>
      <c r="D819" s="146"/>
      <c r="E819" s="146"/>
      <c r="F819" s="146"/>
      <c r="G819" s="146"/>
      <c r="H819" s="146"/>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46"/>
      <c r="D820" s="146"/>
      <c r="E820" s="146"/>
      <c r="F820" s="146"/>
      <c r="G820" s="146"/>
      <c r="H820" s="146"/>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46"/>
      <c r="D821" s="146"/>
      <c r="E821" s="146"/>
      <c r="F821" s="146"/>
      <c r="G821" s="146"/>
      <c r="H821" s="146"/>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46"/>
      <c r="D822" s="146"/>
      <c r="E822" s="146"/>
      <c r="F822" s="146"/>
      <c r="G822" s="146"/>
      <c r="H822" s="146"/>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46"/>
      <c r="D823" s="146"/>
      <c r="E823" s="146"/>
      <c r="F823" s="146"/>
      <c r="G823" s="146"/>
      <c r="H823" s="146"/>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46"/>
      <c r="D824" s="146"/>
      <c r="E824" s="146"/>
      <c r="F824" s="146"/>
      <c r="G824" s="146"/>
      <c r="H824" s="146"/>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46"/>
      <c r="D825" s="146"/>
      <c r="E825" s="146"/>
      <c r="F825" s="146"/>
      <c r="G825" s="146"/>
      <c r="H825" s="146"/>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46"/>
      <c r="D826" s="146"/>
      <c r="E826" s="146"/>
      <c r="F826" s="146"/>
      <c r="G826" s="146"/>
      <c r="H826" s="146"/>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46"/>
      <c r="D827" s="146"/>
      <c r="E827" s="146"/>
      <c r="F827" s="146"/>
      <c r="G827" s="146"/>
      <c r="H827" s="146"/>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46"/>
      <c r="D828" s="146"/>
      <c r="E828" s="146"/>
      <c r="F828" s="146"/>
      <c r="G828" s="146"/>
      <c r="H828" s="146"/>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46"/>
      <c r="D829" s="146"/>
      <c r="E829" s="146"/>
      <c r="F829" s="146"/>
      <c r="G829" s="146"/>
      <c r="H829" s="146"/>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46"/>
      <c r="D830" s="146"/>
      <c r="E830" s="146"/>
      <c r="F830" s="146"/>
      <c r="G830" s="146"/>
      <c r="H830" s="146"/>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46"/>
      <c r="D831" s="146"/>
      <c r="E831" s="146"/>
      <c r="F831" s="146"/>
      <c r="G831" s="146"/>
      <c r="H831" s="146"/>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46"/>
      <c r="D832" s="146"/>
      <c r="E832" s="146"/>
      <c r="F832" s="146"/>
      <c r="G832" s="146"/>
      <c r="H832" s="146"/>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46"/>
      <c r="D833" s="146"/>
      <c r="E833" s="146"/>
      <c r="F833" s="146"/>
      <c r="G833" s="146"/>
      <c r="H833" s="146"/>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46"/>
      <c r="D834" s="146"/>
      <c r="E834" s="146"/>
      <c r="F834" s="146"/>
      <c r="G834" s="146"/>
      <c r="H834" s="146"/>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46"/>
      <c r="D835" s="146"/>
      <c r="E835" s="146"/>
      <c r="F835" s="146"/>
      <c r="G835" s="146"/>
      <c r="H835" s="146"/>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46"/>
      <c r="D836" s="146"/>
      <c r="E836" s="146"/>
      <c r="F836" s="146"/>
      <c r="G836" s="146"/>
      <c r="H836" s="146"/>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46"/>
      <c r="D837" s="146"/>
      <c r="E837" s="146"/>
      <c r="F837" s="146"/>
      <c r="G837" s="146"/>
      <c r="H837" s="146"/>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46"/>
      <c r="D838" s="146"/>
      <c r="E838" s="146"/>
      <c r="F838" s="146"/>
      <c r="G838" s="146"/>
      <c r="H838" s="146"/>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46"/>
      <c r="D839" s="146"/>
      <c r="E839" s="146"/>
      <c r="F839" s="146"/>
      <c r="G839" s="146"/>
      <c r="H839" s="146"/>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46"/>
      <c r="D840" s="146"/>
      <c r="E840" s="146"/>
      <c r="F840" s="146"/>
      <c r="G840" s="146"/>
      <c r="H840" s="146"/>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46"/>
      <c r="D841" s="146"/>
      <c r="E841" s="146"/>
      <c r="F841" s="146"/>
      <c r="G841" s="146"/>
      <c r="H841" s="146"/>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46"/>
      <c r="D842" s="146"/>
      <c r="E842" s="146"/>
      <c r="F842" s="146"/>
      <c r="G842" s="146"/>
      <c r="H842" s="146"/>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46"/>
      <c r="D843" s="146"/>
      <c r="E843" s="146"/>
      <c r="F843" s="146"/>
      <c r="G843" s="146"/>
      <c r="H843" s="146"/>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46"/>
      <c r="D844" s="146"/>
      <c r="E844" s="146"/>
      <c r="F844" s="146"/>
      <c r="G844" s="146"/>
      <c r="H844" s="146"/>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46"/>
      <c r="D845" s="146"/>
      <c r="E845" s="146"/>
      <c r="F845" s="146"/>
      <c r="G845" s="146"/>
      <c r="H845" s="146"/>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46"/>
      <c r="D846" s="146"/>
      <c r="E846" s="146"/>
      <c r="F846" s="146"/>
      <c r="G846" s="146"/>
      <c r="H846" s="146"/>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46"/>
      <c r="D847" s="146"/>
      <c r="E847" s="146"/>
      <c r="F847" s="146"/>
      <c r="G847" s="146"/>
      <c r="H847" s="146"/>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46"/>
      <c r="D848" s="146"/>
      <c r="E848" s="146"/>
      <c r="F848" s="146"/>
      <c r="G848" s="146"/>
      <c r="H848" s="146"/>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46"/>
      <c r="D849" s="146"/>
      <c r="E849" s="146"/>
      <c r="F849" s="146"/>
      <c r="G849" s="146"/>
      <c r="H849" s="146"/>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46"/>
      <c r="D850" s="146"/>
      <c r="E850" s="146"/>
      <c r="F850" s="146"/>
      <c r="G850" s="146"/>
      <c r="H850" s="146"/>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46"/>
      <c r="D851" s="146"/>
      <c r="E851" s="146"/>
      <c r="F851" s="146"/>
      <c r="G851" s="146"/>
      <c r="H851" s="146"/>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46"/>
      <c r="D852" s="146"/>
      <c r="E852" s="146"/>
      <c r="F852" s="146"/>
      <c r="G852" s="146"/>
      <c r="H852" s="146"/>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46"/>
      <c r="D853" s="146"/>
      <c r="E853" s="146"/>
      <c r="F853" s="146"/>
      <c r="G853" s="146"/>
      <c r="H853" s="146"/>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46"/>
      <c r="D854" s="146"/>
      <c r="E854" s="146"/>
      <c r="F854" s="146"/>
      <c r="G854" s="146"/>
      <c r="H854" s="146"/>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46"/>
      <c r="D855" s="146"/>
      <c r="E855" s="146"/>
      <c r="F855" s="146"/>
      <c r="G855" s="146"/>
      <c r="H855" s="146"/>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46"/>
      <c r="D856" s="146"/>
      <c r="E856" s="146"/>
      <c r="F856" s="146"/>
      <c r="G856" s="146"/>
      <c r="H856" s="146"/>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46"/>
      <c r="D857" s="146"/>
      <c r="E857" s="146"/>
      <c r="F857" s="146"/>
      <c r="G857" s="146"/>
      <c r="H857" s="146"/>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46"/>
      <c r="D858" s="146"/>
      <c r="E858" s="146"/>
      <c r="F858" s="146"/>
      <c r="G858" s="146"/>
      <c r="H858" s="146"/>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46"/>
      <c r="D859" s="146"/>
      <c r="E859" s="146"/>
      <c r="F859" s="146"/>
      <c r="G859" s="146"/>
      <c r="H859" s="146"/>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46"/>
      <c r="D860" s="146"/>
      <c r="E860" s="146"/>
      <c r="F860" s="146"/>
      <c r="G860" s="146"/>
      <c r="H860" s="146"/>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46"/>
      <c r="D861" s="146"/>
      <c r="E861" s="146"/>
      <c r="F861" s="146"/>
      <c r="G861" s="146"/>
      <c r="H861" s="146"/>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46"/>
      <c r="D862" s="146"/>
      <c r="E862" s="146"/>
      <c r="F862" s="146"/>
      <c r="G862" s="146"/>
      <c r="H862" s="146"/>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46"/>
      <c r="D863" s="146"/>
      <c r="E863" s="146"/>
      <c r="F863" s="146"/>
      <c r="G863" s="146"/>
      <c r="H863" s="146"/>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46"/>
      <c r="D864" s="146"/>
      <c r="E864" s="146"/>
      <c r="F864" s="146"/>
      <c r="G864" s="146"/>
      <c r="H864" s="146"/>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46"/>
      <c r="D865" s="146"/>
      <c r="E865" s="146"/>
      <c r="F865" s="146"/>
      <c r="G865" s="146"/>
      <c r="H865" s="146"/>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46"/>
      <c r="D866" s="146"/>
      <c r="E866" s="146"/>
      <c r="F866" s="146"/>
      <c r="G866" s="146"/>
      <c r="H866" s="146"/>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46"/>
      <c r="D867" s="146"/>
      <c r="E867" s="146"/>
      <c r="F867" s="146"/>
      <c r="G867" s="146"/>
      <c r="H867" s="146"/>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46"/>
      <c r="D868" s="146"/>
      <c r="E868" s="146"/>
      <c r="F868" s="146"/>
      <c r="G868" s="146"/>
      <c r="H868" s="146"/>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46"/>
      <c r="D869" s="146"/>
      <c r="E869" s="146"/>
      <c r="F869" s="146"/>
      <c r="G869" s="146"/>
      <c r="H869" s="146"/>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46"/>
      <c r="D870" s="146"/>
      <c r="E870" s="146"/>
      <c r="F870" s="146"/>
      <c r="G870" s="146"/>
      <c r="H870" s="146"/>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46"/>
      <c r="D871" s="146"/>
      <c r="E871" s="146"/>
      <c r="F871" s="146"/>
      <c r="G871" s="146"/>
      <c r="H871" s="146"/>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46"/>
      <c r="D872" s="146"/>
      <c r="E872" s="146"/>
      <c r="F872" s="146"/>
      <c r="G872" s="146"/>
      <c r="H872" s="146"/>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46"/>
      <c r="D873" s="146"/>
      <c r="E873" s="146"/>
      <c r="F873" s="146"/>
      <c r="G873" s="146"/>
      <c r="H873" s="146"/>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46"/>
      <c r="D874" s="146"/>
      <c r="E874" s="146"/>
      <c r="F874" s="146"/>
      <c r="G874" s="146"/>
      <c r="H874" s="146"/>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46"/>
      <c r="D875" s="146"/>
      <c r="E875" s="146"/>
      <c r="F875" s="146"/>
      <c r="G875" s="146"/>
      <c r="H875" s="146"/>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46"/>
      <c r="D876" s="146"/>
      <c r="E876" s="146"/>
      <c r="F876" s="146"/>
      <c r="G876" s="146"/>
      <c r="H876" s="146"/>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46"/>
      <c r="D877" s="146"/>
      <c r="E877" s="146"/>
      <c r="F877" s="146"/>
      <c r="G877" s="146"/>
      <c r="H877" s="146"/>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46"/>
      <c r="D878" s="146"/>
      <c r="E878" s="146"/>
      <c r="F878" s="146"/>
      <c r="G878" s="146"/>
      <c r="H878" s="146"/>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46"/>
      <c r="D879" s="146"/>
      <c r="E879" s="146"/>
      <c r="F879" s="146"/>
      <c r="G879" s="146"/>
      <c r="H879" s="146"/>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46"/>
      <c r="D880" s="146"/>
      <c r="E880" s="146"/>
      <c r="F880" s="146"/>
      <c r="G880" s="146"/>
      <c r="H880" s="146"/>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46"/>
      <c r="D881" s="146"/>
      <c r="E881" s="146"/>
      <c r="F881" s="146"/>
      <c r="G881" s="146"/>
      <c r="H881" s="146"/>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46"/>
      <c r="D882" s="146"/>
      <c r="E882" s="146"/>
      <c r="F882" s="146"/>
      <c r="G882" s="146"/>
      <c r="H882" s="146"/>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46"/>
      <c r="D883" s="146"/>
      <c r="E883" s="146"/>
      <c r="F883" s="146"/>
      <c r="G883" s="146"/>
      <c r="H883" s="146"/>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46"/>
      <c r="D884" s="146"/>
      <c r="E884" s="146"/>
      <c r="F884" s="146"/>
      <c r="G884" s="146"/>
      <c r="H884" s="146"/>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46"/>
      <c r="D885" s="146"/>
      <c r="E885" s="146"/>
      <c r="F885" s="146"/>
      <c r="G885" s="146"/>
      <c r="H885" s="146"/>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46"/>
      <c r="D886" s="146"/>
      <c r="E886" s="146"/>
      <c r="F886" s="146"/>
      <c r="G886" s="146"/>
      <c r="H886" s="146"/>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46"/>
      <c r="D887" s="146"/>
      <c r="E887" s="146"/>
      <c r="F887" s="146"/>
      <c r="G887" s="146"/>
      <c r="H887" s="146"/>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46"/>
      <c r="D888" s="146"/>
      <c r="E888" s="146"/>
      <c r="F888" s="146"/>
      <c r="G888" s="146"/>
      <c r="H888" s="146"/>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46"/>
      <c r="D889" s="146"/>
      <c r="E889" s="146"/>
      <c r="F889" s="146"/>
      <c r="G889" s="146"/>
      <c r="H889" s="146"/>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46"/>
      <c r="D890" s="146"/>
      <c r="E890" s="146"/>
      <c r="F890" s="146"/>
      <c r="G890" s="146"/>
      <c r="H890" s="146"/>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46"/>
      <c r="D891" s="146"/>
      <c r="E891" s="146"/>
      <c r="F891" s="146"/>
      <c r="G891" s="146"/>
      <c r="H891" s="146"/>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46"/>
      <c r="D892" s="146"/>
      <c r="E892" s="146"/>
      <c r="F892" s="146"/>
      <c r="G892" s="146"/>
      <c r="H892" s="146"/>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46"/>
      <c r="D893" s="146"/>
      <c r="E893" s="146"/>
      <c r="F893" s="146"/>
      <c r="G893" s="146"/>
      <c r="H893" s="146"/>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46"/>
      <c r="D894" s="146"/>
      <c r="E894" s="146"/>
      <c r="F894" s="146"/>
      <c r="G894" s="146"/>
      <c r="H894" s="146"/>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46"/>
      <c r="D895" s="146"/>
      <c r="E895" s="146"/>
      <c r="F895" s="146"/>
      <c r="G895" s="146"/>
      <c r="H895" s="146"/>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46"/>
      <c r="D896" s="146"/>
      <c r="E896" s="146"/>
      <c r="F896" s="146"/>
      <c r="G896" s="146"/>
      <c r="H896" s="146"/>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46"/>
      <c r="D897" s="146"/>
      <c r="E897" s="146"/>
      <c r="F897" s="146"/>
      <c r="G897" s="146"/>
      <c r="H897" s="146"/>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46"/>
      <c r="D898" s="146"/>
      <c r="E898" s="146"/>
      <c r="F898" s="146"/>
      <c r="G898" s="146"/>
      <c r="H898" s="146"/>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46"/>
      <c r="D899" s="146"/>
      <c r="E899" s="146"/>
      <c r="F899" s="146"/>
      <c r="G899" s="146"/>
      <c r="H899" s="146"/>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46"/>
      <c r="D900" s="146"/>
      <c r="E900" s="146"/>
      <c r="F900" s="146"/>
      <c r="G900" s="146"/>
      <c r="H900" s="146"/>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46"/>
      <c r="D901" s="146"/>
      <c r="E901" s="146"/>
      <c r="F901" s="146"/>
      <c r="G901" s="146"/>
      <c r="H901" s="146"/>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46"/>
      <c r="D902" s="146"/>
      <c r="E902" s="146"/>
      <c r="F902" s="146"/>
      <c r="G902" s="146"/>
      <c r="H902" s="146"/>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46"/>
      <c r="D903" s="146"/>
      <c r="E903" s="146"/>
      <c r="F903" s="146"/>
      <c r="G903" s="146"/>
      <c r="H903" s="146"/>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46"/>
      <c r="D904" s="146"/>
      <c r="E904" s="146"/>
      <c r="F904" s="146"/>
      <c r="G904" s="146"/>
      <c r="H904" s="146"/>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46"/>
      <c r="D905" s="146"/>
      <c r="E905" s="146"/>
      <c r="F905" s="146"/>
      <c r="G905" s="146"/>
      <c r="H905" s="146"/>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46"/>
      <c r="D906" s="146"/>
      <c r="E906" s="146"/>
      <c r="F906" s="146"/>
      <c r="G906" s="146"/>
      <c r="H906" s="146"/>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46"/>
      <c r="D907" s="146"/>
      <c r="E907" s="146"/>
      <c r="F907" s="146"/>
      <c r="G907" s="146"/>
      <c r="H907" s="146"/>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46"/>
      <c r="D908" s="146"/>
      <c r="E908" s="146"/>
      <c r="F908" s="146"/>
      <c r="G908" s="146"/>
      <c r="H908" s="146"/>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46"/>
      <c r="D909" s="146"/>
      <c r="E909" s="146"/>
      <c r="F909" s="146"/>
      <c r="G909" s="146"/>
      <c r="H909" s="146"/>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46"/>
      <c r="D910" s="146"/>
      <c r="E910" s="146"/>
      <c r="F910" s="146"/>
      <c r="G910" s="146"/>
      <c r="H910" s="146"/>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46"/>
      <c r="D911" s="146"/>
      <c r="E911" s="146"/>
      <c r="F911" s="146"/>
      <c r="G911" s="146"/>
      <c r="H911" s="146"/>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46"/>
      <c r="D912" s="146"/>
      <c r="E912" s="146"/>
      <c r="F912" s="146"/>
      <c r="G912" s="146"/>
      <c r="H912" s="146"/>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46"/>
      <c r="D913" s="146"/>
      <c r="E913" s="146"/>
      <c r="F913" s="146"/>
      <c r="G913" s="146"/>
      <c r="H913" s="146"/>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46"/>
      <c r="D914" s="146"/>
      <c r="E914" s="146"/>
      <c r="F914" s="146"/>
      <c r="G914" s="146"/>
      <c r="H914" s="146"/>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46"/>
      <c r="D915" s="146"/>
      <c r="E915" s="146"/>
      <c r="F915" s="146"/>
      <c r="G915" s="146"/>
      <c r="H915" s="146"/>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46"/>
      <c r="D916" s="146"/>
      <c r="E916" s="146"/>
      <c r="F916" s="146"/>
      <c r="G916" s="146"/>
      <c r="H916" s="146"/>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46"/>
      <c r="D917" s="146"/>
      <c r="E917" s="146"/>
      <c r="F917" s="146"/>
      <c r="G917" s="146"/>
      <c r="H917" s="146"/>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46"/>
      <c r="D918" s="146"/>
      <c r="E918" s="146"/>
      <c r="F918" s="146"/>
      <c r="G918" s="146"/>
      <c r="H918" s="146"/>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46"/>
      <c r="D919" s="146"/>
      <c r="E919" s="146"/>
      <c r="F919" s="146"/>
      <c r="G919" s="146"/>
      <c r="H919" s="146"/>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46"/>
      <c r="D920" s="146"/>
      <c r="E920" s="146"/>
      <c r="F920" s="146"/>
      <c r="G920" s="146"/>
      <c r="H920" s="146"/>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46"/>
      <c r="D921" s="146"/>
      <c r="E921" s="146"/>
      <c r="F921" s="146"/>
      <c r="G921" s="146"/>
      <c r="H921" s="146"/>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46"/>
      <c r="D922" s="146"/>
      <c r="E922" s="146"/>
      <c r="F922" s="146"/>
      <c r="G922" s="146"/>
      <c r="H922" s="146"/>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46"/>
      <c r="D923" s="146"/>
      <c r="E923" s="146"/>
      <c r="F923" s="146"/>
      <c r="G923" s="146"/>
      <c r="H923" s="146"/>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46"/>
      <c r="D924" s="146"/>
      <c r="E924" s="146"/>
      <c r="F924" s="146"/>
      <c r="G924" s="146"/>
      <c r="H924" s="146"/>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46"/>
      <c r="D925" s="146"/>
      <c r="E925" s="146"/>
      <c r="F925" s="146"/>
      <c r="G925" s="146"/>
      <c r="H925" s="146"/>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46"/>
      <c r="D926" s="146"/>
      <c r="E926" s="146"/>
      <c r="F926" s="146"/>
      <c r="G926" s="146"/>
      <c r="H926" s="146"/>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46"/>
      <c r="D927" s="146"/>
      <c r="E927" s="146"/>
      <c r="F927" s="146"/>
      <c r="G927" s="146"/>
      <c r="H927" s="146"/>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46"/>
      <c r="D928" s="146"/>
      <c r="E928" s="146"/>
      <c r="F928" s="146"/>
      <c r="G928" s="146"/>
      <c r="H928" s="146"/>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46"/>
      <c r="D929" s="146"/>
      <c r="E929" s="146"/>
      <c r="F929" s="146"/>
      <c r="G929" s="146"/>
      <c r="H929" s="146"/>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46"/>
      <c r="D930" s="146"/>
      <c r="E930" s="146"/>
      <c r="F930" s="146"/>
      <c r="G930" s="146"/>
      <c r="H930" s="146"/>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46"/>
      <c r="D931" s="146"/>
      <c r="E931" s="146"/>
      <c r="F931" s="146"/>
      <c r="G931" s="146"/>
      <c r="H931" s="146"/>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46"/>
      <c r="D932" s="146"/>
      <c r="E932" s="146"/>
      <c r="F932" s="146"/>
      <c r="G932" s="146"/>
      <c r="H932" s="146"/>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46"/>
      <c r="D933" s="146"/>
      <c r="E933" s="146"/>
      <c r="F933" s="146"/>
      <c r="G933" s="146"/>
      <c r="H933" s="146"/>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46"/>
      <c r="D934" s="146"/>
      <c r="E934" s="146"/>
      <c r="F934" s="146"/>
      <c r="G934" s="146"/>
      <c r="H934" s="146"/>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46"/>
      <c r="D935" s="146"/>
      <c r="E935" s="146"/>
      <c r="F935" s="146"/>
      <c r="G935" s="146"/>
      <c r="H935" s="146"/>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46"/>
      <c r="D936" s="146"/>
      <c r="E936" s="146"/>
      <c r="F936" s="146"/>
      <c r="G936" s="146"/>
      <c r="H936" s="146"/>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46"/>
      <c r="D937" s="146"/>
      <c r="E937" s="146"/>
      <c r="F937" s="146"/>
      <c r="G937" s="146"/>
      <c r="H937" s="146"/>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46"/>
      <c r="D938" s="146"/>
      <c r="E938" s="146"/>
      <c r="F938" s="146"/>
      <c r="G938" s="146"/>
      <c r="H938" s="146"/>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46"/>
      <c r="D939" s="146"/>
      <c r="E939" s="146"/>
      <c r="F939" s="146"/>
      <c r="G939" s="146"/>
      <c r="H939" s="146"/>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46"/>
      <c r="D940" s="146"/>
      <c r="E940" s="146"/>
      <c r="F940" s="146"/>
      <c r="G940" s="146"/>
      <c r="H940" s="146"/>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46"/>
      <c r="D941" s="146"/>
      <c r="E941" s="146"/>
      <c r="F941" s="146"/>
      <c r="G941" s="146"/>
      <c r="H941" s="146"/>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46"/>
      <c r="D942" s="146"/>
      <c r="E942" s="146"/>
      <c r="F942" s="146"/>
      <c r="G942" s="146"/>
      <c r="H942" s="146"/>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46"/>
      <c r="D943" s="146"/>
      <c r="E943" s="146"/>
      <c r="F943" s="146"/>
      <c r="G943" s="146"/>
      <c r="H943" s="146"/>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46"/>
      <c r="D944" s="146"/>
      <c r="E944" s="146"/>
      <c r="F944" s="146"/>
      <c r="G944" s="146"/>
      <c r="H944" s="146"/>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46"/>
      <c r="D945" s="146"/>
      <c r="E945" s="146"/>
      <c r="F945" s="146"/>
      <c r="G945" s="146"/>
      <c r="H945" s="146"/>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46"/>
      <c r="D946" s="146"/>
      <c r="E946" s="146"/>
      <c r="F946" s="146"/>
      <c r="G946" s="146"/>
      <c r="H946" s="146"/>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46"/>
      <c r="D947" s="146"/>
      <c r="E947" s="146"/>
      <c r="F947" s="146"/>
      <c r="G947" s="146"/>
      <c r="H947" s="146"/>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46"/>
      <c r="D948" s="146"/>
      <c r="E948" s="146"/>
      <c r="F948" s="146"/>
      <c r="G948" s="146"/>
      <c r="H948" s="146"/>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46"/>
      <c r="D949" s="146"/>
      <c r="E949" s="146"/>
      <c r="F949" s="146"/>
      <c r="G949" s="146"/>
      <c r="H949" s="146"/>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46"/>
      <c r="D950" s="146"/>
      <c r="E950" s="146"/>
      <c r="F950" s="146"/>
      <c r="G950" s="146"/>
      <c r="H950" s="146"/>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46"/>
      <c r="D951" s="146"/>
      <c r="E951" s="146"/>
      <c r="F951" s="146"/>
      <c r="G951" s="146"/>
      <c r="H951" s="146"/>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46"/>
      <c r="D952" s="146"/>
      <c r="E952" s="146"/>
      <c r="F952" s="146"/>
      <c r="G952" s="146"/>
      <c r="H952" s="146"/>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46"/>
      <c r="D953" s="146"/>
      <c r="E953" s="146"/>
      <c r="F953" s="146"/>
      <c r="G953" s="146"/>
      <c r="H953" s="146"/>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46"/>
      <c r="D954" s="146"/>
      <c r="E954" s="146"/>
      <c r="F954" s="146"/>
      <c r="G954" s="146"/>
      <c r="H954" s="146"/>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46"/>
      <c r="D955" s="146"/>
      <c r="E955" s="146"/>
      <c r="F955" s="146"/>
      <c r="G955" s="146"/>
      <c r="H955" s="146"/>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46"/>
      <c r="D956" s="146"/>
      <c r="E956" s="146"/>
      <c r="F956" s="146"/>
      <c r="G956" s="146"/>
      <c r="H956" s="146"/>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46"/>
      <c r="D957" s="146"/>
      <c r="E957" s="146"/>
      <c r="F957" s="146"/>
      <c r="G957" s="146"/>
      <c r="H957" s="146"/>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46"/>
      <c r="D958" s="146"/>
      <c r="E958" s="146"/>
      <c r="F958" s="146"/>
      <c r="G958" s="146"/>
      <c r="H958" s="146"/>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46"/>
      <c r="D959" s="146"/>
      <c r="E959" s="146"/>
      <c r="F959" s="146"/>
      <c r="G959" s="146"/>
      <c r="H959" s="146"/>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46"/>
      <c r="D960" s="146"/>
      <c r="E960" s="146"/>
      <c r="F960" s="146"/>
      <c r="G960" s="146"/>
      <c r="H960" s="146"/>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46"/>
      <c r="D961" s="146"/>
      <c r="E961" s="146"/>
      <c r="F961" s="146"/>
      <c r="G961" s="146"/>
      <c r="H961" s="146"/>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46"/>
      <c r="D962" s="146"/>
      <c r="E962" s="146"/>
      <c r="F962" s="146"/>
      <c r="G962" s="146"/>
      <c r="H962" s="146"/>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46"/>
      <c r="D963" s="146"/>
      <c r="E963" s="146"/>
      <c r="F963" s="146"/>
      <c r="G963" s="146"/>
      <c r="H963" s="146"/>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46"/>
      <c r="D964" s="146"/>
      <c r="E964" s="146"/>
      <c r="F964" s="146"/>
      <c r="G964" s="146"/>
      <c r="H964" s="146"/>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46"/>
      <c r="D965" s="146"/>
      <c r="E965" s="146"/>
      <c r="F965" s="146"/>
      <c r="G965" s="146"/>
      <c r="H965" s="146"/>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46"/>
      <c r="D966" s="146"/>
      <c r="E966" s="146"/>
      <c r="F966" s="146"/>
      <c r="G966" s="146"/>
      <c r="H966" s="146"/>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46"/>
      <c r="D967" s="146"/>
      <c r="E967" s="146"/>
      <c r="F967" s="146"/>
      <c r="G967" s="146"/>
      <c r="H967" s="146"/>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46"/>
      <c r="D968" s="146"/>
      <c r="E968" s="146"/>
      <c r="F968" s="146"/>
      <c r="G968" s="146"/>
      <c r="H968" s="146"/>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46"/>
      <c r="D969" s="146"/>
      <c r="E969" s="146"/>
      <c r="F969" s="146"/>
      <c r="G969" s="146"/>
      <c r="H969" s="146"/>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46"/>
      <c r="D970" s="146"/>
      <c r="E970" s="146"/>
      <c r="F970" s="146"/>
      <c r="G970" s="146"/>
      <c r="H970" s="146"/>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46"/>
      <c r="D971" s="146"/>
      <c r="E971" s="146"/>
      <c r="F971" s="146"/>
      <c r="G971" s="146"/>
      <c r="H971" s="146"/>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46"/>
      <c r="D972" s="146"/>
      <c r="E972" s="146"/>
      <c r="F972" s="146"/>
      <c r="G972" s="146"/>
      <c r="H972" s="146"/>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46"/>
      <c r="D973" s="146"/>
      <c r="E973" s="146"/>
      <c r="F973" s="146"/>
      <c r="G973" s="146"/>
      <c r="H973" s="146"/>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46"/>
      <c r="D974" s="146"/>
      <c r="E974" s="146"/>
      <c r="F974" s="146"/>
      <c r="G974" s="146"/>
      <c r="H974" s="146"/>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46"/>
      <c r="D975" s="146"/>
      <c r="E975" s="146"/>
      <c r="F975" s="146"/>
      <c r="G975" s="146"/>
      <c r="H975" s="146"/>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46"/>
      <c r="D976" s="146"/>
      <c r="E976" s="146"/>
      <c r="F976" s="146"/>
      <c r="G976" s="146"/>
      <c r="H976" s="146"/>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46"/>
      <c r="D977" s="146"/>
      <c r="E977" s="146"/>
      <c r="F977" s="146"/>
      <c r="G977" s="146"/>
      <c r="H977" s="146"/>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46"/>
      <c r="D978" s="146"/>
      <c r="E978" s="146"/>
      <c r="F978" s="146"/>
      <c r="G978" s="146"/>
      <c r="H978" s="146"/>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46"/>
      <c r="D979" s="146"/>
      <c r="E979" s="146"/>
      <c r="F979" s="146"/>
      <c r="G979" s="146"/>
      <c r="H979" s="146"/>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46"/>
      <c r="D980" s="146"/>
      <c r="E980" s="146"/>
      <c r="F980" s="146"/>
      <c r="G980" s="146"/>
      <c r="H980" s="146"/>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46"/>
      <c r="D981" s="146"/>
      <c r="E981" s="146"/>
      <c r="F981" s="146"/>
      <c r="G981" s="146"/>
      <c r="H981" s="146"/>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46"/>
      <c r="D982" s="146"/>
      <c r="E982" s="146"/>
      <c r="F982" s="146"/>
      <c r="G982" s="146"/>
      <c r="H982" s="146"/>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46"/>
      <c r="D983" s="146"/>
      <c r="E983" s="146"/>
      <c r="F983" s="146"/>
      <c r="G983" s="146"/>
      <c r="H983" s="146"/>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46"/>
      <c r="D984" s="146"/>
      <c r="E984" s="146"/>
      <c r="F984" s="146"/>
      <c r="G984" s="146"/>
      <c r="H984" s="146"/>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46"/>
      <c r="D985" s="146"/>
      <c r="E985" s="146"/>
      <c r="F985" s="146"/>
      <c r="G985" s="146"/>
      <c r="H985" s="146"/>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46"/>
      <c r="D986" s="146"/>
      <c r="E986" s="146"/>
      <c r="F986" s="146"/>
      <c r="G986" s="146"/>
      <c r="H986" s="146"/>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46"/>
      <c r="D987" s="146"/>
      <c r="E987" s="146"/>
      <c r="F987" s="146"/>
      <c r="G987" s="146"/>
      <c r="H987" s="146"/>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46"/>
      <c r="D988" s="146"/>
      <c r="E988" s="146"/>
      <c r="F988" s="146"/>
      <c r="G988" s="146"/>
      <c r="H988" s="146"/>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46"/>
      <c r="D989" s="146"/>
      <c r="E989" s="146"/>
      <c r="F989" s="146"/>
      <c r="G989" s="146"/>
      <c r="H989" s="146"/>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46"/>
      <c r="D990" s="146"/>
      <c r="E990" s="146"/>
      <c r="F990" s="146"/>
      <c r="G990" s="146"/>
      <c r="H990" s="146"/>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46"/>
      <c r="D991" s="146"/>
      <c r="E991" s="146"/>
      <c r="F991" s="146"/>
      <c r="G991" s="146"/>
      <c r="H991" s="146"/>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46"/>
      <c r="D992" s="146"/>
      <c r="E992" s="146"/>
      <c r="F992" s="146"/>
      <c r="G992" s="146"/>
      <c r="H992" s="146"/>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46"/>
      <c r="D993" s="146"/>
      <c r="E993" s="146"/>
      <c r="F993" s="146"/>
      <c r="G993" s="146"/>
      <c r="H993" s="146"/>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46"/>
      <c r="D994" s="146"/>
      <c r="E994" s="146"/>
      <c r="F994" s="146"/>
      <c r="G994" s="146"/>
      <c r="H994" s="146"/>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46"/>
      <c r="D995" s="146"/>
      <c r="E995" s="146"/>
      <c r="F995" s="146"/>
      <c r="G995" s="146"/>
      <c r="H995" s="146"/>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46"/>
      <c r="D996" s="146"/>
      <c r="E996" s="146"/>
      <c r="F996" s="146"/>
      <c r="G996" s="146"/>
      <c r="H996" s="146"/>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46"/>
      <c r="D997" s="146"/>
      <c r="E997" s="146"/>
      <c r="F997" s="146"/>
      <c r="G997" s="146"/>
      <c r="H997" s="146"/>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46"/>
      <c r="D998" s="146"/>
      <c r="E998" s="146"/>
      <c r="F998" s="146"/>
      <c r="G998" s="146"/>
      <c r="H998" s="146"/>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46"/>
      <c r="D999" s="146"/>
      <c r="E999" s="146"/>
      <c r="F999" s="146"/>
      <c r="G999" s="146"/>
      <c r="H999" s="146"/>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46"/>
      <c r="D1000" s="146"/>
      <c r="E1000" s="146"/>
      <c r="F1000" s="146"/>
      <c r="G1000" s="146"/>
      <c r="H1000" s="146"/>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2">
    <mergeCell ref="B84:B85"/>
    <mergeCell ref="D84:G85"/>
    <mergeCell ref="B86:B87"/>
    <mergeCell ref="D86:G87"/>
    <mergeCell ref="C6:G6"/>
    <mergeCell ref="H6:H7"/>
    <mergeCell ref="A1:H1"/>
    <mergeCell ref="A2:H2"/>
    <mergeCell ref="A3:H3"/>
    <mergeCell ref="A4:H4"/>
    <mergeCell ref="A5:H5"/>
    <mergeCell ref="A6:B7"/>
  </mergeCells>
  <dataValidations count="1">
    <dataValidation type="decimal" allowBlank="1" showErrorMessage="1" sqref="C9:D15 F9:G15 C17:D18 C20:D25 F17:G25 C27:D35 F27:G35 C37:D45 F37:G45 C47:D55 F47:G55 C57:D59 F57:G59 C61:D67 F61:G67 C71:D71 F69:G71 C73:D79 F73:G79">
      <formula1>-20000000000</formula1>
      <formula2>20000000000</formula2>
    </dataValidation>
  </dataValidations>
  <printOptions horizontalCentered="1"/>
  <pageMargins left="0.19685039370078741" right="0.19685039370078741" top="0.19685039370078741" bottom="0.19685039370078741" header="0" footer="0"/>
  <pageSetup scale="55" orientation="portrait"/>
  <headerFooter>
    <oddFooter>&amp;REstado Analítico del  Presupuesto de Egresos clasificación por objeto del gasto (capítulo y concepto) Página &amp;P de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2.140625" customWidth="1"/>
    <col min="3" max="3" width="66.7109375" customWidth="1"/>
    <col min="4" max="9" width="18" customWidth="1"/>
    <col min="10" max="10" width="0.85546875" customWidth="1"/>
    <col min="11" max="26" width="10.7109375" customWidth="1"/>
  </cols>
  <sheetData>
    <row r="1" spans="1:26" ht="54" customHeight="1">
      <c r="A1" s="644"/>
      <c r="B1" s="937" t="str">
        <f>"NOMBRE DEL ENTE PÚBLICO: "&amp;Validacion!A2</f>
        <v>NOMBRE DEL ENTE PÚBLICO: Guadalajara</v>
      </c>
      <c r="C1" s="746"/>
      <c r="D1" s="746"/>
      <c r="E1" s="746"/>
      <c r="F1" s="746"/>
      <c r="G1" s="746"/>
      <c r="H1" s="746"/>
      <c r="I1" s="747"/>
      <c r="J1" s="645"/>
      <c r="K1" s="131"/>
      <c r="L1" s="131"/>
      <c r="M1" s="131"/>
      <c r="N1" s="131"/>
      <c r="O1" s="131"/>
      <c r="P1" s="131"/>
      <c r="Q1" s="131"/>
      <c r="R1" s="131"/>
      <c r="S1" s="131"/>
      <c r="T1" s="131"/>
      <c r="U1" s="131"/>
      <c r="V1" s="131"/>
      <c r="W1" s="131"/>
      <c r="X1" s="131"/>
      <c r="Y1" s="131"/>
      <c r="Z1" s="131"/>
    </row>
    <row r="2" spans="1:26" ht="37.5" customHeight="1">
      <c r="A2" s="267"/>
      <c r="B2" s="938" t="s">
        <v>7329</v>
      </c>
      <c r="C2" s="749"/>
      <c r="D2" s="749"/>
      <c r="E2" s="749"/>
      <c r="F2" s="749"/>
      <c r="G2" s="749"/>
      <c r="H2" s="749"/>
      <c r="I2" s="750"/>
      <c r="J2" s="131"/>
      <c r="K2" s="131"/>
      <c r="L2" s="131"/>
      <c r="M2" s="131"/>
      <c r="N2" s="131"/>
      <c r="O2" s="131"/>
      <c r="P2" s="131"/>
      <c r="Q2" s="131"/>
      <c r="R2" s="131"/>
      <c r="S2" s="131"/>
      <c r="T2" s="131"/>
      <c r="U2" s="131"/>
      <c r="V2" s="131"/>
      <c r="W2" s="131"/>
      <c r="X2" s="131"/>
      <c r="Y2" s="131"/>
      <c r="Z2" s="131"/>
    </row>
    <row r="3" spans="1:26" ht="18.75">
      <c r="A3" s="267"/>
      <c r="B3" s="875" t="e">
        <f>'F6'!A3</f>
        <v>#REF!</v>
      </c>
      <c r="C3" s="749"/>
      <c r="D3" s="749"/>
      <c r="E3" s="749"/>
      <c r="F3" s="749"/>
      <c r="G3" s="749"/>
      <c r="H3" s="749"/>
      <c r="I3" s="750"/>
      <c r="J3" s="131"/>
      <c r="K3" s="131"/>
      <c r="L3" s="131"/>
      <c r="M3" s="131"/>
      <c r="N3" s="131"/>
      <c r="O3" s="131"/>
      <c r="P3" s="131"/>
      <c r="Q3" s="131"/>
      <c r="R3" s="131"/>
      <c r="S3" s="131"/>
      <c r="T3" s="131"/>
      <c r="U3" s="131"/>
      <c r="V3" s="131"/>
      <c r="W3" s="131"/>
      <c r="X3" s="131"/>
      <c r="Y3" s="131"/>
      <c r="Z3" s="131"/>
    </row>
    <row r="4" spans="1:26">
      <c r="A4" s="270"/>
      <c r="B4" s="939" t="s">
        <v>4447</v>
      </c>
      <c r="C4" s="753"/>
      <c r="D4" s="753"/>
      <c r="E4" s="753"/>
      <c r="F4" s="753"/>
      <c r="G4" s="753"/>
      <c r="H4" s="753"/>
      <c r="I4" s="754"/>
      <c r="J4" s="131"/>
      <c r="K4" s="131"/>
      <c r="L4" s="131"/>
      <c r="M4" s="131"/>
      <c r="N4" s="131"/>
      <c r="O4" s="131"/>
      <c r="P4" s="131"/>
      <c r="Q4" s="131"/>
      <c r="R4" s="131"/>
      <c r="S4" s="131"/>
      <c r="T4" s="131"/>
      <c r="U4" s="131"/>
      <c r="V4" s="131"/>
      <c r="W4" s="131"/>
      <c r="X4" s="131"/>
      <c r="Y4" s="131"/>
      <c r="Z4" s="131"/>
    </row>
    <row r="5" spans="1:26" ht="15.75">
      <c r="A5" s="266"/>
      <c r="B5" s="940" t="s">
        <v>4379</v>
      </c>
      <c r="C5" s="778"/>
      <c r="D5" s="934" t="s">
        <v>88</v>
      </c>
      <c r="E5" s="756"/>
      <c r="F5" s="756"/>
      <c r="G5" s="756"/>
      <c r="H5" s="733"/>
      <c r="I5" s="821" t="s">
        <v>6256</v>
      </c>
      <c r="J5" s="131"/>
      <c r="K5" s="131"/>
      <c r="L5" s="131"/>
      <c r="M5" s="131"/>
      <c r="N5" s="131"/>
      <c r="O5" s="131"/>
      <c r="P5" s="131"/>
      <c r="Q5" s="131"/>
      <c r="R5" s="131"/>
      <c r="S5" s="131"/>
      <c r="T5" s="131"/>
      <c r="U5" s="131"/>
      <c r="V5" s="131"/>
      <c r="W5" s="131"/>
      <c r="X5" s="131"/>
      <c r="Y5" s="131"/>
      <c r="Z5" s="131"/>
    </row>
    <row r="6" spans="1:26" ht="24">
      <c r="A6" s="270"/>
      <c r="B6" s="941"/>
      <c r="C6" s="780"/>
      <c r="D6" s="252" t="s">
        <v>6257</v>
      </c>
      <c r="E6" s="252" t="s">
        <v>4431</v>
      </c>
      <c r="F6" s="252" t="s">
        <v>4432</v>
      </c>
      <c r="G6" s="252" t="s">
        <v>4433</v>
      </c>
      <c r="H6" s="252" t="s">
        <v>6258</v>
      </c>
      <c r="I6" s="730"/>
      <c r="J6" s="131"/>
      <c r="K6" s="131"/>
      <c r="L6" s="131"/>
      <c r="M6" s="131"/>
      <c r="N6" s="131"/>
      <c r="O6" s="131"/>
      <c r="P6" s="131"/>
      <c r="Q6" s="131"/>
      <c r="R6" s="131"/>
      <c r="S6" s="131"/>
      <c r="T6" s="131"/>
      <c r="U6" s="131"/>
      <c r="V6" s="131"/>
      <c r="W6" s="131"/>
      <c r="X6" s="131"/>
      <c r="Y6" s="131"/>
      <c r="Z6" s="131"/>
    </row>
    <row r="7" spans="1:26">
      <c r="A7" s="646" t="s">
        <v>7330</v>
      </c>
      <c r="B7" s="647" t="s">
        <v>6280</v>
      </c>
      <c r="C7" s="648"/>
      <c r="D7" s="625">
        <f t="shared" ref="D7:E7" si="0">D8+D16+D26+D36+D46+D56+D60+D69+D73</f>
        <v>12364654498.379999</v>
      </c>
      <c r="E7" s="625">
        <f t="shared" si="0"/>
        <v>24107472.919999897</v>
      </c>
      <c r="F7" s="625">
        <f t="shared" ref="F7:F79" si="1">D7+E7</f>
        <v>12388761971.299999</v>
      </c>
      <c r="G7" s="625">
        <f t="shared" ref="G7:H7" si="2">G8+G16+G26+G36+G46+G56+G60+G69+G73</f>
        <v>4279583842.3999996</v>
      </c>
      <c r="H7" s="625">
        <f t="shared" si="2"/>
        <v>4287270981.5599995</v>
      </c>
      <c r="I7" s="625">
        <f t="shared" ref="I7:I79" si="3">F7-G7</f>
        <v>8109178128.8999996</v>
      </c>
      <c r="J7" s="131"/>
      <c r="K7" s="131"/>
      <c r="L7" s="131"/>
      <c r="M7" s="131"/>
      <c r="N7" s="131"/>
      <c r="O7" s="131"/>
      <c r="P7" s="131"/>
      <c r="Q7" s="131"/>
      <c r="R7" s="131"/>
      <c r="S7" s="131"/>
      <c r="T7" s="131"/>
      <c r="U7" s="131"/>
      <c r="V7" s="131"/>
      <c r="W7" s="131"/>
      <c r="X7" s="131"/>
      <c r="Y7" s="131"/>
      <c r="Z7" s="131"/>
    </row>
    <row r="8" spans="1:26">
      <c r="A8" s="649"/>
      <c r="B8" s="182" t="s">
        <v>7331</v>
      </c>
      <c r="C8" s="626" t="s">
        <v>4389</v>
      </c>
      <c r="D8" s="650">
        <f t="shared" ref="D8:E8" si="4">SUM(D9:D15)</f>
        <v>5678059773.5</v>
      </c>
      <c r="E8" s="650">
        <f t="shared" si="4"/>
        <v>35939100</v>
      </c>
      <c r="F8" s="650">
        <f t="shared" si="1"/>
        <v>5713998873.5</v>
      </c>
      <c r="G8" s="650">
        <f t="shared" ref="G8:H8" si="5">SUM(G9:G15)</f>
        <v>2255249455.52</v>
      </c>
      <c r="H8" s="650">
        <f t="shared" si="5"/>
        <v>2255249455.52</v>
      </c>
      <c r="I8" s="650">
        <f t="shared" si="3"/>
        <v>3458749417.98</v>
      </c>
      <c r="J8" s="131"/>
      <c r="K8" s="131"/>
      <c r="L8" s="131"/>
      <c r="M8" s="131"/>
      <c r="N8" s="131"/>
      <c r="O8" s="131"/>
      <c r="P8" s="131"/>
      <c r="Q8" s="131"/>
      <c r="R8" s="131"/>
      <c r="S8" s="131"/>
      <c r="T8" s="131"/>
      <c r="U8" s="131"/>
      <c r="V8" s="131"/>
      <c r="W8" s="131"/>
      <c r="X8" s="131"/>
      <c r="Y8" s="131"/>
      <c r="Z8" s="131"/>
    </row>
    <row r="9" spans="1:26">
      <c r="A9" s="188"/>
      <c r="B9" s="651"/>
      <c r="C9" s="626" t="s">
        <v>7332</v>
      </c>
      <c r="D9" s="256">
        <f>Balanza!H1269</f>
        <v>2940418309.3099999</v>
      </c>
      <c r="E9" s="256">
        <f>Balanza!H1541</f>
        <v>0</v>
      </c>
      <c r="F9" s="652">
        <f t="shared" si="1"/>
        <v>2940418309.3099999</v>
      </c>
      <c r="G9" s="256">
        <f>Balanza!E1813</f>
        <v>1316857737.0699999</v>
      </c>
      <c r="H9" s="256">
        <f>Balanza!G2085</f>
        <v>1316857737.0699999</v>
      </c>
      <c r="I9" s="652">
        <f t="shared" si="3"/>
        <v>1623560572.24</v>
      </c>
      <c r="J9" s="131"/>
      <c r="K9" s="131"/>
      <c r="L9" s="131"/>
      <c r="M9" s="131"/>
      <c r="N9" s="131"/>
      <c r="O9" s="131"/>
      <c r="P9" s="131"/>
      <c r="Q9" s="131"/>
      <c r="R9" s="131"/>
      <c r="S9" s="131"/>
      <c r="T9" s="131"/>
      <c r="U9" s="131"/>
      <c r="V9" s="131"/>
      <c r="W9" s="131"/>
      <c r="X9" s="131"/>
      <c r="Y9" s="131"/>
      <c r="Z9" s="131"/>
    </row>
    <row r="10" spans="1:26">
      <c r="A10" s="188"/>
      <c r="B10" s="210"/>
      <c r="C10" s="626" t="s">
        <v>7333</v>
      </c>
      <c r="D10" s="256">
        <f>Balanza!H1271</f>
        <v>530867575.31999999</v>
      </c>
      <c r="E10" s="256">
        <f>Balanza!H1543</f>
        <v>0</v>
      </c>
      <c r="F10" s="652">
        <f t="shared" si="1"/>
        <v>530867575.31999999</v>
      </c>
      <c r="G10" s="256">
        <f>Balanza!E1815</f>
        <v>170697462.55000001</v>
      </c>
      <c r="H10" s="256">
        <f>Balanza!G2087</f>
        <v>170697462.55000001</v>
      </c>
      <c r="I10" s="652">
        <f t="shared" si="3"/>
        <v>360170112.76999998</v>
      </c>
      <c r="J10" s="131"/>
      <c r="K10" s="131"/>
      <c r="L10" s="131"/>
      <c r="M10" s="131"/>
      <c r="N10" s="131"/>
      <c r="O10" s="131"/>
      <c r="P10" s="131"/>
      <c r="Q10" s="131"/>
      <c r="R10" s="131"/>
      <c r="S10" s="131"/>
      <c r="T10" s="131"/>
      <c r="U10" s="131"/>
      <c r="V10" s="131"/>
      <c r="W10" s="131"/>
      <c r="X10" s="131"/>
      <c r="Y10" s="131"/>
      <c r="Z10" s="131"/>
    </row>
    <row r="11" spans="1:26">
      <c r="A11" s="188"/>
      <c r="B11" s="210"/>
      <c r="C11" s="626" t="s">
        <v>7334</v>
      </c>
      <c r="D11" s="256">
        <f>Balanza!H1273</f>
        <v>621936119.51999998</v>
      </c>
      <c r="E11" s="256">
        <f>Balanza!H1545</f>
        <v>0</v>
      </c>
      <c r="F11" s="652">
        <f t="shared" si="1"/>
        <v>621936119.51999998</v>
      </c>
      <c r="G11" s="256">
        <f>Balanza!E1817</f>
        <v>94863388.640000001</v>
      </c>
      <c r="H11" s="256">
        <f>Balanza!G2089</f>
        <v>94863388.640000001</v>
      </c>
      <c r="I11" s="652">
        <f t="shared" si="3"/>
        <v>527072730.88</v>
      </c>
      <c r="J11" s="131"/>
      <c r="K11" s="131"/>
      <c r="L11" s="131"/>
      <c r="M11" s="131"/>
      <c r="N11" s="131"/>
      <c r="O11" s="131"/>
      <c r="P11" s="131"/>
      <c r="Q11" s="131"/>
      <c r="R11" s="131"/>
      <c r="S11" s="131"/>
      <c r="T11" s="131"/>
      <c r="U11" s="131"/>
      <c r="V11" s="131"/>
      <c r="W11" s="131"/>
      <c r="X11" s="131"/>
      <c r="Y11" s="131"/>
      <c r="Z11" s="131"/>
    </row>
    <row r="12" spans="1:26">
      <c r="A12" s="188"/>
      <c r="B12" s="210"/>
      <c r="C12" s="626" t="s">
        <v>7335</v>
      </c>
      <c r="D12" s="256">
        <f>Balanza!H1275</f>
        <v>1026073081.5599999</v>
      </c>
      <c r="E12" s="256">
        <f>Balanza!H1547</f>
        <v>14337685.26</v>
      </c>
      <c r="F12" s="652">
        <f t="shared" si="1"/>
        <v>1040410766.8199999</v>
      </c>
      <c r="G12" s="256">
        <f>Balanza!E1819</f>
        <v>439151401.88</v>
      </c>
      <c r="H12" s="256">
        <f>Balanza!G2091</f>
        <v>439151401.88</v>
      </c>
      <c r="I12" s="652">
        <f t="shared" si="3"/>
        <v>601259364.93999994</v>
      </c>
      <c r="J12" s="131"/>
      <c r="K12" s="131"/>
      <c r="L12" s="131"/>
      <c r="M12" s="131"/>
      <c r="N12" s="131"/>
      <c r="O12" s="131"/>
      <c r="P12" s="131"/>
      <c r="Q12" s="131"/>
      <c r="R12" s="131"/>
      <c r="S12" s="131"/>
      <c r="T12" s="131"/>
      <c r="U12" s="131"/>
      <c r="V12" s="131"/>
      <c r="W12" s="131"/>
      <c r="X12" s="131"/>
      <c r="Y12" s="131"/>
      <c r="Z12" s="131"/>
    </row>
    <row r="13" spans="1:26">
      <c r="A13" s="188"/>
      <c r="B13" s="210"/>
      <c r="C13" s="626" t="s">
        <v>7336</v>
      </c>
      <c r="D13" s="256">
        <f>Balanza!H1277</f>
        <v>558764687.78999996</v>
      </c>
      <c r="E13" s="256">
        <f>Balanza!H1549</f>
        <v>21601414.739999998</v>
      </c>
      <c r="F13" s="652">
        <f t="shared" si="1"/>
        <v>580366102.52999997</v>
      </c>
      <c r="G13" s="256">
        <f>Balanza!E1821</f>
        <v>233679465.38</v>
      </c>
      <c r="H13" s="256">
        <f>Balanza!G2093</f>
        <v>233679465.38</v>
      </c>
      <c r="I13" s="652">
        <f t="shared" si="3"/>
        <v>346686637.14999998</v>
      </c>
      <c r="J13" s="131"/>
      <c r="K13" s="131"/>
      <c r="L13" s="131"/>
      <c r="M13" s="131"/>
      <c r="N13" s="131"/>
      <c r="O13" s="131"/>
      <c r="P13" s="131"/>
      <c r="Q13" s="131"/>
      <c r="R13" s="131"/>
      <c r="S13" s="131"/>
      <c r="T13" s="131"/>
      <c r="U13" s="131"/>
      <c r="V13" s="131"/>
      <c r="W13" s="131"/>
      <c r="X13" s="131"/>
      <c r="Y13" s="131"/>
      <c r="Z13" s="131"/>
    </row>
    <row r="14" spans="1:26">
      <c r="A14" s="188"/>
      <c r="B14" s="210"/>
      <c r="C14" s="626" t="s">
        <v>7337</v>
      </c>
      <c r="D14" s="256">
        <f>Balanza!H1279</f>
        <v>0</v>
      </c>
      <c r="E14" s="256">
        <f>Balanza!H1551</f>
        <v>0</v>
      </c>
      <c r="F14" s="652">
        <f t="shared" si="1"/>
        <v>0</v>
      </c>
      <c r="G14" s="256">
        <f>Balanza!E1823</f>
        <v>0</v>
      </c>
      <c r="H14" s="256">
        <f>Balanza!G2095</f>
        <v>0</v>
      </c>
      <c r="I14" s="652">
        <f t="shared" si="3"/>
        <v>0</v>
      </c>
      <c r="J14" s="131"/>
      <c r="K14" s="131"/>
      <c r="L14" s="131"/>
      <c r="M14" s="131"/>
      <c r="N14" s="131"/>
      <c r="O14" s="131"/>
      <c r="P14" s="131"/>
      <c r="Q14" s="131"/>
      <c r="R14" s="131"/>
      <c r="S14" s="131"/>
      <c r="T14" s="131"/>
      <c r="U14" s="131"/>
      <c r="V14" s="131"/>
      <c r="W14" s="131"/>
      <c r="X14" s="131"/>
      <c r="Y14" s="131"/>
      <c r="Z14" s="131"/>
    </row>
    <row r="15" spans="1:26">
      <c r="A15" s="188"/>
      <c r="B15" s="210"/>
      <c r="C15" s="626" t="s">
        <v>7338</v>
      </c>
      <c r="D15" s="256">
        <f>Balanza!H1281</f>
        <v>0</v>
      </c>
      <c r="E15" s="256">
        <f>Balanza!H1553</f>
        <v>0</v>
      </c>
      <c r="F15" s="652">
        <f t="shared" si="1"/>
        <v>0</v>
      </c>
      <c r="G15" s="256">
        <f>Balanza!E1825</f>
        <v>0</v>
      </c>
      <c r="H15" s="256">
        <f>Balanza!G2097</f>
        <v>0</v>
      </c>
      <c r="I15" s="652">
        <f t="shared" si="3"/>
        <v>0</v>
      </c>
      <c r="J15" s="131"/>
      <c r="K15" s="131"/>
      <c r="L15" s="131"/>
      <c r="M15" s="131"/>
      <c r="N15" s="131"/>
      <c r="O15" s="131"/>
      <c r="P15" s="131"/>
      <c r="Q15" s="131"/>
      <c r="R15" s="131"/>
      <c r="S15" s="131"/>
      <c r="T15" s="131"/>
      <c r="U15" s="131"/>
      <c r="V15" s="131"/>
      <c r="W15" s="131"/>
      <c r="X15" s="131"/>
      <c r="Y15" s="131"/>
      <c r="Z15" s="131"/>
    </row>
    <row r="16" spans="1:26">
      <c r="A16" s="186"/>
      <c r="B16" s="653" t="s">
        <v>7339</v>
      </c>
      <c r="C16" s="626" t="s">
        <v>4390</v>
      </c>
      <c r="D16" s="650">
        <f t="shared" ref="D16:E16" si="6">SUM(D17:D25)</f>
        <v>754953776.33999991</v>
      </c>
      <c r="E16" s="650">
        <f t="shared" si="6"/>
        <v>-19918474.669999998</v>
      </c>
      <c r="F16" s="650">
        <f t="shared" si="1"/>
        <v>735035301.66999996</v>
      </c>
      <c r="G16" s="650">
        <f t="shared" ref="G16:H16" si="7">SUM(G17:G25)</f>
        <v>124168010.78</v>
      </c>
      <c r="H16" s="650">
        <f t="shared" si="7"/>
        <v>124155450.00999999</v>
      </c>
      <c r="I16" s="650">
        <f t="shared" si="3"/>
        <v>610867290.88999999</v>
      </c>
      <c r="J16" s="131"/>
      <c r="K16" s="131"/>
      <c r="L16" s="131"/>
      <c r="M16" s="131"/>
      <c r="N16" s="131"/>
      <c r="O16" s="131"/>
      <c r="P16" s="131"/>
      <c r="Q16" s="131"/>
      <c r="R16" s="131"/>
      <c r="S16" s="131"/>
      <c r="T16" s="131"/>
      <c r="U16" s="131"/>
      <c r="V16" s="131"/>
      <c r="W16" s="131"/>
      <c r="X16" s="131"/>
      <c r="Y16" s="131"/>
      <c r="Z16" s="131"/>
    </row>
    <row r="17" spans="1:26" ht="15.75" customHeight="1">
      <c r="A17" s="188"/>
      <c r="B17" s="654"/>
      <c r="C17" s="602" t="s">
        <v>7340</v>
      </c>
      <c r="D17" s="256">
        <f>Balanza!H1284</f>
        <v>92406689.590000004</v>
      </c>
      <c r="E17" s="256">
        <f>Balanza!H1556</f>
        <v>-1258039.3700000001</v>
      </c>
      <c r="F17" s="652">
        <f t="shared" si="1"/>
        <v>91148650.219999999</v>
      </c>
      <c r="G17" s="256">
        <f>Balanza!E1828</f>
        <v>1301320.5</v>
      </c>
      <c r="H17" s="256">
        <f>Balanza!G2100</f>
        <v>1300530.51</v>
      </c>
      <c r="I17" s="652">
        <f t="shared" si="3"/>
        <v>89847329.719999999</v>
      </c>
      <c r="J17" s="131"/>
      <c r="K17" s="131"/>
      <c r="L17" s="131"/>
      <c r="M17" s="131"/>
      <c r="N17" s="131"/>
      <c r="O17" s="131"/>
      <c r="P17" s="131"/>
      <c r="Q17" s="131"/>
      <c r="R17" s="131"/>
      <c r="S17" s="131"/>
      <c r="T17" s="131"/>
      <c r="U17" s="131"/>
      <c r="V17" s="131"/>
      <c r="W17" s="131"/>
      <c r="X17" s="131"/>
      <c r="Y17" s="131"/>
      <c r="Z17" s="131"/>
    </row>
    <row r="18" spans="1:26">
      <c r="A18" s="188"/>
      <c r="B18" s="1"/>
      <c r="C18" s="626" t="s">
        <v>7341</v>
      </c>
      <c r="D18" s="256">
        <f>Balanza!H1286</f>
        <v>21596396.399999999</v>
      </c>
      <c r="E18" s="256">
        <f>Balanza!H1558</f>
        <v>-1292864.03</v>
      </c>
      <c r="F18" s="652">
        <f t="shared" si="1"/>
        <v>20303532.369999997</v>
      </c>
      <c r="G18" s="256">
        <f>Balanza!E1830</f>
        <v>3823039.63</v>
      </c>
      <c r="H18" s="256">
        <f>Balanza!G2102</f>
        <v>3822940.63</v>
      </c>
      <c r="I18" s="652">
        <f t="shared" si="3"/>
        <v>16480492.739999998</v>
      </c>
      <c r="J18" s="131"/>
      <c r="K18" s="131"/>
      <c r="L18" s="131"/>
      <c r="M18" s="131"/>
      <c r="N18" s="131"/>
      <c r="O18" s="131"/>
      <c r="P18" s="131"/>
      <c r="Q18" s="131"/>
      <c r="R18" s="131"/>
      <c r="S18" s="131"/>
      <c r="T18" s="131"/>
      <c r="U18" s="131"/>
      <c r="V18" s="131"/>
      <c r="W18" s="131"/>
      <c r="X18" s="131"/>
      <c r="Y18" s="131"/>
      <c r="Z18" s="131"/>
    </row>
    <row r="19" spans="1:26">
      <c r="A19" s="188"/>
      <c r="B19" s="1"/>
      <c r="C19" s="626" t="s">
        <v>7342</v>
      </c>
      <c r="D19" s="652">
        <f>Balanza!H1288</f>
        <v>2910000</v>
      </c>
      <c r="E19" s="652">
        <f>Balanza!H1560</f>
        <v>-2457235.9900000002</v>
      </c>
      <c r="F19" s="652">
        <f t="shared" si="1"/>
        <v>452764.00999999978</v>
      </c>
      <c r="G19" s="652">
        <f>Balanza!E1832</f>
        <v>51364.01</v>
      </c>
      <c r="H19" s="652">
        <f>Balanza!G2104</f>
        <v>51364.01</v>
      </c>
      <c r="I19" s="652">
        <f t="shared" si="3"/>
        <v>401399.99999999977</v>
      </c>
      <c r="J19" s="131"/>
      <c r="K19" s="131"/>
      <c r="L19" s="131"/>
      <c r="M19" s="131"/>
      <c r="N19" s="131"/>
      <c r="O19" s="131"/>
      <c r="P19" s="131"/>
      <c r="Q19" s="131"/>
      <c r="R19" s="131"/>
      <c r="S19" s="131"/>
      <c r="T19" s="131"/>
      <c r="U19" s="131"/>
      <c r="V19" s="131"/>
      <c r="W19" s="131"/>
      <c r="X19" s="131"/>
      <c r="Y19" s="131"/>
      <c r="Z19" s="131"/>
    </row>
    <row r="20" spans="1:26">
      <c r="A20" s="188"/>
      <c r="B20" s="1"/>
      <c r="C20" s="626" t="s">
        <v>7343</v>
      </c>
      <c r="D20" s="256">
        <f>Balanza!H1290</f>
        <v>114091341.06999999</v>
      </c>
      <c r="E20" s="256">
        <f>Balanza!H1562</f>
        <v>10925848.1</v>
      </c>
      <c r="F20" s="652">
        <f t="shared" si="1"/>
        <v>125017189.16999999</v>
      </c>
      <c r="G20" s="256">
        <f>Balanza!E1834</f>
        <v>276468.64</v>
      </c>
      <c r="H20" s="256">
        <f>Balanza!G2106</f>
        <v>264868.64</v>
      </c>
      <c r="I20" s="652">
        <f t="shared" si="3"/>
        <v>124740720.52999999</v>
      </c>
      <c r="J20" s="131"/>
      <c r="K20" s="131"/>
      <c r="L20" s="131"/>
      <c r="M20" s="131"/>
      <c r="N20" s="131"/>
      <c r="O20" s="131"/>
      <c r="P20" s="131"/>
      <c r="Q20" s="131"/>
      <c r="R20" s="131"/>
      <c r="S20" s="131"/>
      <c r="T20" s="131"/>
      <c r="U20" s="131"/>
      <c r="V20" s="131"/>
      <c r="W20" s="131"/>
      <c r="X20" s="131"/>
      <c r="Y20" s="131"/>
      <c r="Z20" s="131"/>
    </row>
    <row r="21" spans="1:26" ht="15.75" customHeight="1">
      <c r="A21" s="188"/>
      <c r="B21" s="1"/>
      <c r="C21" s="626" t="s">
        <v>7344</v>
      </c>
      <c r="D21" s="256">
        <f>Balanza!H1292</f>
        <v>69676652</v>
      </c>
      <c r="E21" s="256">
        <f>Balanza!H1564</f>
        <v>-2222298.71</v>
      </c>
      <c r="F21" s="652">
        <f t="shared" si="1"/>
        <v>67454353.290000007</v>
      </c>
      <c r="G21" s="256">
        <f>Balanza!E1836</f>
        <v>3994440.76</v>
      </c>
      <c r="H21" s="256">
        <f>Balanza!G2108</f>
        <v>3994440.76</v>
      </c>
      <c r="I21" s="652">
        <f t="shared" si="3"/>
        <v>63459912.530000009</v>
      </c>
      <c r="J21" s="131"/>
      <c r="K21" s="131"/>
      <c r="L21" s="131"/>
      <c r="M21" s="131"/>
      <c r="N21" s="131"/>
      <c r="O21" s="131"/>
      <c r="P21" s="131"/>
      <c r="Q21" s="131"/>
      <c r="R21" s="131"/>
      <c r="S21" s="131"/>
      <c r="T21" s="131"/>
      <c r="U21" s="131"/>
      <c r="V21" s="131"/>
      <c r="W21" s="131"/>
      <c r="X21" s="131"/>
      <c r="Y21" s="131"/>
      <c r="Z21" s="131"/>
    </row>
    <row r="22" spans="1:26" ht="15.75" customHeight="1">
      <c r="A22" s="188"/>
      <c r="B22" s="1"/>
      <c r="C22" s="626" t="s">
        <v>7345</v>
      </c>
      <c r="D22" s="256">
        <f>Balanza!H1294</f>
        <v>322269350.27999997</v>
      </c>
      <c r="E22" s="256">
        <f>Balanza!H1566</f>
        <v>-40971056.649999999</v>
      </c>
      <c r="F22" s="652">
        <f t="shared" si="1"/>
        <v>281298293.63</v>
      </c>
      <c r="G22" s="256">
        <f>Balanza!E1838</f>
        <v>110665344.98999999</v>
      </c>
      <c r="H22" s="256">
        <f>Balanza!G2110</f>
        <v>110665344.98999999</v>
      </c>
      <c r="I22" s="652">
        <f t="shared" si="3"/>
        <v>170632948.63999999</v>
      </c>
      <c r="J22" s="131"/>
      <c r="K22" s="131"/>
      <c r="L22" s="131"/>
      <c r="M22" s="131"/>
      <c r="N22" s="131"/>
      <c r="O22" s="131"/>
      <c r="P22" s="131"/>
      <c r="Q22" s="131"/>
      <c r="R22" s="131"/>
      <c r="S22" s="131"/>
      <c r="T22" s="131"/>
      <c r="U22" s="131"/>
      <c r="V22" s="131"/>
      <c r="W22" s="131"/>
      <c r="X22" s="131"/>
      <c r="Y22" s="131"/>
      <c r="Z22" s="131"/>
    </row>
    <row r="23" spans="1:26" ht="15.75" customHeight="1">
      <c r="A23" s="188"/>
      <c r="B23" s="1"/>
      <c r="C23" s="626" t="s">
        <v>7346</v>
      </c>
      <c r="D23" s="256">
        <f>Balanza!H1296</f>
        <v>93814067</v>
      </c>
      <c r="E23" s="256">
        <f>Balanza!H1568</f>
        <v>15034774.77</v>
      </c>
      <c r="F23" s="652">
        <f t="shared" si="1"/>
        <v>108848841.77</v>
      </c>
      <c r="G23" s="256">
        <f>Balanza!E1840</f>
        <v>138217.18</v>
      </c>
      <c r="H23" s="256">
        <f>Balanza!G2112</f>
        <v>138217.18</v>
      </c>
      <c r="I23" s="652">
        <f t="shared" si="3"/>
        <v>108710624.58999999</v>
      </c>
      <c r="J23" s="131"/>
      <c r="K23" s="131"/>
      <c r="L23" s="131"/>
      <c r="M23" s="131"/>
      <c r="N23" s="131"/>
      <c r="O23" s="131"/>
      <c r="P23" s="131"/>
      <c r="Q23" s="131"/>
      <c r="R23" s="131"/>
      <c r="S23" s="131"/>
      <c r="T23" s="131"/>
      <c r="U23" s="131"/>
      <c r="V23" s="131"/>
      <c r="W23" s="131"/>
      <c r="X23" s="131"/>
      <c r="Y23" s="131"/>
      <c r="Z23" s="131"/>
    </row>
    <row r="24" spans="1:26" ht="15.75" customHeight="1">
      <c r="A24" s="188"/>
      <c r="B24" s="1"/>
      <c r="C24" s="626" t="s">
        <v>7347</v>
      </c>
      <c r="D24" s="256">
        <f>Balanza!H1298</f>
        <v>1350000</v>
      </c>
      <c r="E24" s="256">
        <f>Balanza!H1570</f>
        <v>2410000</v>
      </c>
      <c r="F24" s="652">
        <f t="shared" si="1"/>
        <v>3760000</v>
      </c>
      <c r="G24" s="256">
        <f>Balanza!E1842</f>
        <v>3759858.22</v>
      </c>
      <c r="H24" s="256">
        <f>Balanza!G2114</f>
        <v>3759858.22</v>
      </c>
      <c r="I24" s="652">
        <f t="shared" si="3"/>
        <v>141.77999999979511</v>
      </c>
      <c r="J24" s="131"/>
      <c r="K24" s="131"/>
      <c r="L24" s="131"/>
      <c r="M24" s="131"/>
      <c r="N24" s="131"/>
      <c r="O24" s="131"/>
      <c r="P24" s="131"/>
      <c r="Q24" s="131"/>
      <c r="R24" s="131"/>
      <c r="S24" s="131"/>
      <c r="T24" s="131"/>
      <c r="U24" s="131"/>
      <c r="V24" s="131"/>
      <c r="W24" s="131"/>
      <c r="X24" s="131"/>
      <c r="Y24" s="131"/>
      <c r="Z24" s="131"/>
    </row>
    <row r="25" spans="1:26" ht="15.75" customHeight="1">
      <c r="A25" s="188"/>
      <c r="B25" s="1"/>
      <c r="C25" s="626" t="s">
        <v>7348</v>
      </c>
      <c r="D25" s="256">
        <f>Balanza!H1300</f>
        <v>36839280</v>
      </c>
      <c r="E25" s="256">
        <f>Balanza!H1572</f>
        <v>-87602.79</v>
      </c>
      <c r="F25" s="652">
        <f t="shared" si="1"/>
        <v>36751677.210000001</v>
      </c>
      <c r="G25" s="256">
        <f>Balanza!E1844</f>
        <v>157956.85</v>
      </c>
      <c r="H25" s="256">
        <f>Balanza!G2116</f>
        <v>157885.07</v>
      </c>
      <c r="I25" s="652">
        <f t="shared" si="3"/>
        <v>36593720.359999999</v>
      </c>
      <c r="J25" s="131"/>
      <c r="K25" s="131"/>
      <c r="L25" s="131"/>
      <c r="M25" s="131"/>
      <c r="N25" s="131"/>
      <c r="O25" s="131"/>
      <c r="P25" s="131"/>
      <c r="Q25" s="131"/>
      <c r="R25" s="131"/>
      <c r="S25" s="131"/>
      <c r="T25" s="131"/>
      <c r="U25" s="131"/>
      <c r="V25" s="131"/>
      <c r="W25" s="131"/>
      <c r="X25" s="131"/>
      <c r="Y25" s="131"/>
      <c r="Z25" s="131"/>
    </row>
    <row r="26" spans="1:26" ht="15.75" customHeight="1">
      <c r="A26" s="188"/>
      <c r="B26" s="653" t="s">
        <v>7349</v>
      </c>
      <c r="C26" s="626" t="s">
        <v>4391</v>
      </c>
      <c r="D26" s="650">
        <f t="shared" ref="D26:E26" si="8">SUM(D27:D35)</f>
        <v>2897895850.2199998</v>
      </c>
      <c r="E26" s="650">
        <f t="shared" si="8"/>
        <v>-368652864.91000003</v>
      </c>
      <c r="F26" s="650">
        <f t="shared" si="1"/>
        <v>2529242985.3099999</v>
      </c>
      <c r="G26" s="650">
        <f t="shared" ref="G26:H26" si="9">SUM(G27:G35)</f>
        <v>749596990.45000005</v>
      </c>
      <c r="H26" s="650">
        <f t="shared" si="9"/>
        <v>749586740.19999993</v>
      </c>
      <c r="I26" s="650">
        <f t="shared" si="3"/>
        <v>1779645994.8599999</v>
      </c>
      <c r="J26" s="131"/>
      <c r="K26" s="131"/>
      <c r="L26" s="131"/>
      <c r="M26" s="131"/>
      <c r="N26" s="131"/>
      <c r="O26" s="131"/>
      <c r="P26" s="131"/>
      <c r="Q26" s="131"/>
      <c r="R26" s="131"/>
      <c r="S26" s="131"/>
      <c r="T26" s="131"/>
      <c r="U26" s="131"/>
      <c r="V26" s="131"/>
      <c r="W26" s="131"/>
      <c r="X26" s="131"/>
      <c r="Y26" s="131"/>
      <c r="Z26" s="131"/>
    </row>
    <row r="27" spans="1:26" ht="15.75" customHeight="1">
      <c r="A27" s="188"/>
      <c r="B27" s="651"/>
      <c r="C27" s="626" t="s">
        <v>7350</v>
      </c>
      <c r="D27" s="256">
        <f>Balanza!H1303</f>
        <v>277499857.36000001</v>
      </c>
      <c r="E27" s="256">
        <f>Balanza!H1575</f>
        <v>-362417.58</v>
      </c>
      <c r="F27" s="652">
        <f t="shared" si="1"/>
        <v>277137439.78000003</v>
      </c>
      <c r="G27" s="256">
        <f>Balanza!E1847</f>
        <v>111944061.62</v>
      </c>
      <c r="H27" s="256">
        <f>Balanza!G2119</f>
        <v>111942650.56999999</v>
      </c>
      <c r="I27" s="652">
        <f t="shared" si="3"/>
        <v>165193378.16000003</v>
      </c>
      <c r="J27" s="131"/>
      <c r="K27" s="131"/>
      <c r="L27" s="131"/>
      <c r="M27" s="131"/>
      <c r="N27" s="131"/>
      <c r="O27" s="131"/>
      <c r="P27" s="131"/>
      <c r="Q27" s="131"/>
      <c r="R27" s="131"/>
      <c r="S27" s="131"/>
      <c r="T27" s="131"/>
      <c r="U27" s="131"/>
      <c r="V27" s="131"/>
      <c r="W27" s="131"/>
      <c r="X27" s="131"/>
      <c r="Y27" s="131"/>
      <c r="Z27" s="131"/>
    </row>
    <row r="28" spans="1:26" ht="15.75" customHeight="1">
      <c r="A28" s="188"/>
      <c r="B28" s="210"/>
      <c r="C28" s="626" t="s">
        <v>7351</v>
      </c>
      <c r="D28" s="256">
        <f>Balanza!H1305</f>
        <v>237194350.40000001</v>
      </c>
      <c r="E28" s="256">
        <f>Balanza!H1577</f>
        <v>-84921892.689999998</v>
      </c>
      <c r="F28" s="652">
        <f t="shared" si="1"/>
        <v>152272457.71000001</v>
      </c>
      <c r="G28" s="256">
        <f>Balanza!E1849</f>
        <v>14287917.039999999</v>
      </c>
      <c r="H28" s="256">
        <f>Balanza!G2121</f>
        <v>14287917.039999999</v>
      </c>
      <c r="I28" s="652">
        <f t="shared" si="3"/>
        <v>137984540.67000002</v>
      </c>
      <c r="J28" s="131"/>
      <c r="K28" s="131"/>
      <c r="L28" s="131"/>
      <c r="M28" s="131"/>
      <c r="N28" s="131"/>
      <c r="O28" s="131"/>
      <c r="P28" s="131"/>
      <c r="Q28" s="131"/>
      <c r="R28" s="131"/>
      <c r="S28" s="131"/>
      <c r="T28" s="131"/>
      <c r="U28" s="131"/>
      <c r="V28" s="131"/>
      <c r="W28" s="131"/>
      <c r="X28" s="131"/>
      <c r="Y28" s="131"/>
      <c r="Z28" s="131"/>
    </row>
    <row r="29" spans="1:26" ht="15.75" customHeight="1">
      <c r="A29" s="188"/>
      <c r="B29" s="210"/>
      <c r="C29" s="626" t="s">
        <v>7352</v>
      </c>
      <c r="D29" s="256">
        <f>Balanza!H1307</f>
        <v>93487716.049999997</v>
      </c>
      <c r="E29" s="256">
        <f>Balanza!H1579</f>
        <v>575893.21</v>
      </c>
      <c r="F29" s="652">
        <f t="shared" si="1"/>
        <v>94063609.25999999</v>
      </c>
      <c r="G29" s="256">
        <f>Balanza!E1851</f>
        <v>3486874.03</v>
      </c>
      <c r="H29" s="256">
        <f>Balanza!G2123</f>
        <v>3484206.03</v>
      </c>
      <c r="I29" s="652">
        <f t="shared" si="3"/>
        <v>90576735.229999989</v>
      </c>
      <c r="J29" s="131"/>
      <c r="K29" s="131"/>
      <c r="L29" s="131"/>
      <c r="M29" s="131"/>
      <c r="N29" s="131"/>
      <c r="O29" s="131"/>
      <c r="P29" s="131"/>
      <c r="Q29" s="131"/>
      <c r="R29" s="131"/>
      <c r="S29" s="131"/>
      <c r="T29" s="131"/>
      <c r="U29" s="131"/>
      <c r="V29" s="131"/>
      <c r="W29" s="131"/>
      <c r="X29" s="131"/>
      <c r="Y29" s="131"/>
      <c r="Z29" s="131"/>
    </row>
    <row r="30" spans="1:26" ht="15.75" customHeight="1">
      <c r="A30" s="188"/>
      <c r="B30" s="210"/>
      <c r="C30" s="626" t="s">
        <v>7353</v>
      </c>
      <c r="D30" s="256">
        <f>Balanza!H1309</f>
        <v>234827665</v>
      </c>
      <c r="E30" s="256">
        <f>Balanza!H1581</f>
        <v>24749855.93</v>
      </c>
      <c r="F30" s="652">
        <f t="shared" si="1"/>
        <v>259577520.93000001</v>
      </c>
      <c r="G30" s="256">
        <f>Balanza!E1853</f>
        <v>140738369.41</v>
      </c>
      <c r="H30" s="256">
        <f>Balanza!G2125</f>
        <v>140738369.41</v>
      </c>
      <c r="I30" s="652">
        <f t="shared" si="3"/>
        <v>118839151.52000001</v>
      </c>
      <c r="J30" s="131"/>
      <c r="K30" s="131"/>
      <c r="L30" s="131"/>
      <c r="M30" s="131"/>
      <c r="N30" s="131"/>
      <c r="O30" s="131"/>
      <c r="P30" s="131"/>
      <c r="Q30" s="131"/>
      <c r="R30" s="131"/>
      <c r="S30" s="131"/>
      <c r="T30" s="131"/>
      <c r="U30" s="131"/>
      <c r="V30" s="131"/>
      <c r="W30" s="131"/>
      <c r="X30" s="131"/>
      <c r="Y30" s="131"/>
      <c r="Z30" s="131"/>
    </row>
    <row r="31" spans="1:26" ht="15.75" customHeight="1">
      <c r="A31" s="188"/>
      <c r="B31" s="210"/>
      <c r="C31" s="626" t="s">
        <v>7354</v>
      </c>
      <c r="D31" s="256">
        <f>Balanza!H1311</f>
        <v>1222777410.5599999</v>
      </c>
      <c r="E31" s="256">
        <f>Balanza!H1583</f>
        <v>-242671339.13</v>
      </c>
      <c r="F31" s="652">
        <f t="shared" si="1"/>
        <v>980106071.42999995</v>
      </c>
      <c r="G31" s="256">
        <f>Balanza!E1855</f>
        <v>188299936.61000001</v>
      </c>
      <c r="H31" s="256">
        <f>Balanza!G2127</f>
        <v>188293765.41</v>
      </c>
      <c r="I31" s="652">
        <f t="shared" si="3"/>
        <v>791806134.81999993</v>
      </c>
      <c r="J31" s="131"/>
      <c r="K31" s="131"/>
      <c r="L31" s="131"/>
      <c r="M31" s="131"/>
      <c r="N31" s="131"/>
      <c r="O31" s="131"/>
      <c r="P31" s="131"/>
      <c r="Q31" s="131"/>
      <c r="R31" s="131"/>
      <c r="S31" s="131"/>
      <c r="T31" s="131"/>
      <c r="U31" s="131"/>
      <c r="V31" s="131"/>
      <c r="W31" s="131"/>
      <c r="X31" s="131"/>
      <c r="Y31" s="131"/>
      <c r="Z31" s="131"/>
    </row>
    <row r="32" spans="1:26" ht="15.75" customHeight="1">
      <c r="A32" s="188"/>
      <c r="B32" s="210"/>
      <c r="C32" s="626" t="s">
        <v>7355</v>
      </c>
      <c r="D32" s="256">
        <f>Balanza!H1313</f>
        <v>65703000</v>
      </c>
      <c r="E32" s="256">
        <f>Balanza!H1585</f>
        <v>-3057190.75</v>
      </c>
      <c r="F32" s="652">
        <f t="shared" si="1"/>
        <v>62645809.25</v>
      </c>
      <c r="G32" s="256">
        <f>Balanza!E1857</f>
        <v>11830922.710000001</v>
      </c>
      <c r="H32" s="256">
        <f>Balanza!G2129</f>
        <v>11830922.710000001</v>
      </c>
      <c r="I32" s="652">
        <f t="shared" si="3"/>
        <v>50814886.539999999</v>
      </c>
      <c r="J32" s="131"/>
      <c r="K32" s="131"/>
      <c r="L32" s="131"/>
      <c r="M32" s="131"/>
      <c r="N32" s="131"/>
      <c r="O32" s="131"/>
      <c r="P32" s="131"/>
      <c r="Q32" s="131"/>
      <c r="R32" s="131"/>
      <c r="S32" s="131"/>
      <c r="T32" s="131"/>
      <c r="U32" s="131"/>
      <c r="V32" s="131"/>
      <c r="W32" s="131"/>
      <c r="X32" s="131"/>
      <c r="Y32" s="131"/>
      <c r="Z32" s="131"/>
    </row>
    <row r="33" spans="1:26" ht="15.75" customHeight="1">
      <c r="A33" s="188"/>
      <c r="B33" s="210"/>
      <c r="C33" s="626" t="s">
        <v>7356</v>
      </c>
      <c r="D33" s="256">
        <f>Balanza!H1315</f>
        <v>6468619.1600000001</v>
      </c>
      <c r="E33" s="256">
        <f>Balanza!H1587</f>
        <v>-468382.1</v>
      </c>
      <c r="F33" s="652">
        <f t="shared" si="1"/>
        <v>6000237.0600000005</v>
      </c>
      <c r="G33" s="256">
        <f>Balanza!E1859</f>
        <v>188315.23</v>
      </c>
      <c r="H33" s="256">
        <f>Balanza!G2131</f>
        <v>188315.23</v>
      </c>
      <c r="I33" s="652">
        <f t="shared" si="3"/>
        <v>5811921.8300000001</v>
      </c>
      <c r="J33" s="131"/>
      <c r="K33" s="131"/>
      <c r="L33" s="131"/>
      <c r="M33" s="131"/>
      <c r="N33" s="131"/>
      <c r="O33" s="131"/>
      <c r="P33" s="131"/>
      <c r="Q33" s="131"/>
      <c r="R33" s="131"/>
      <c r="S33" s="131"/>
      <c r="T33" s="131"/>
      <c r="U33" s="131"/>
      <c r="V33" s="131"/>
      <c r="W33" s="131"/>
      <c r="X33" s="131"/>
      <c r="Y33" s="131"/>
      <c r="Z33" s="131"/>
    </row>
    <row r="34" spans="1:26" ht="15.75" customHeight="1">
      <c r="A34" s="188"/>
      <c r="B34" s="210"/>
      <c r="C34" s="626" t="s">
        <v>7357</v>
      </c>
      <c r="D34" s="256">
        <f>Balanza!H1317</f>
        <v>33737667.710000001</v>
      </c>
      <c r="E34" s="256">
        <f>Balanza!H1589</f>
        <v>510975.18</v>
      </c>
      <c r="F34" s="652">
        <f t="shared" si="1"/>
        <v>34248642.890000001</v>
      </c>
      <c r="G34" s="256">
        <f>Balanza!E1861</f>
        <v>5402975.3899999997</v>
      </c>
      <c r="H34" s="256">
        <f>Balanza!G2133</f>
        <v>5402975.3899999997</v>
      </c>
      <c r="I34" s="652">
        <f t="shared" si="3"/>
        <v>28845667.5</v>
      </c>
      <c r="J34" s="131"/>
      <c r="K34" s="131"/>
      <c r="L34" s="131"/>
      <c r="M34" s="131"/>
      <c r="N34" s="131"/>
      <c r="O34" s="131"/>
      <c r="P34" s="131"/>
      <c r="Q34" s="131"/>
      <c r="R34" s="131"/>
      <c r="S34" s="131"/>
      <c r="T34" s="131"/>
      <c r="U34" s="131"/>
      <c r="V34" s="131"/>
      <c r="W34" s="131"/>
      <c r="X34" s="131"/>
      <c r="Y34" s="131"/>
      <c r="Z34" s="131"/>
    </row>
    <row r="35" spans="1:26" ht="15.75" customHeight="1">
      <c r="A35" s="188"/>
      <c r="B35" s="210"/>
      <c r="C35" s="626" t="s">
        <v>7358</v>
      </c>
      <c r="D35" s="256">
        <f>Balanza!H1319</f>
        <v>726199563.98000002</v>
      </c>
      <c r="E35" s="256">
        <f>Balanza!H1591</f>
        <v>-63008366.979999997</v>
      </c>
      <c r="F35" s="652">
        <f t="shared" si="1"/>
        <v>663191197</v>
      </c>
      <c r="G35" s="256">
        <f>Balanza!E1863</f>
        <v>273417618.41000003</v>
      </c>
      <c r="H35" s="256">
        <f>Balanza!G2135</f>
        <v>273417618.41000003</v>
      </c>
      <c r="I35" s="652">
        <f t="shared" si="3"/>
        <v>389773578.58999997</v>
      </c>
      <c r="J35" s="131"/>
      <c r="K35" s="131"/>
      <c r="L35" s="131"/>
      <c r="M35" s="131"/>
      <c r="N35" s="131"/>
      <c r="O35" s="131"/>
      <c r="P35" s="131"/>
      <c r="Q35" s="131"/>
      <c r="R35" s="131"/>
      <c r="S35" s="131"/>
      <c r="T35" s="131"/>
      <c r="U35" s="131"/>
      <c r="V35" s="131"/>
      <c r="W35" s="131"/>
      <c r="X35" s="131"/>
      <c r="Y35" s="131"/>
      <c r="Z35" s="131"/>
    </row>
    <row r="36" spans="1:26" ht="15.75" customHeight="1">
      <c r="A36" s="188"/>
      <c r="B36" s="653" t="s">
        <v>7359</v>
      </c>
      <c r="C36" s="626" t="s">
        <v>7295</v>
      </c>
      <c r="D36" s="650">
        <f t="shared" ref="D36:E36" si="10">SUM(D37:D45)</f>
        <v>1470913490.9000001</v>
      </c>
      <c r="E36" s="650">
        <f t="shared" si="10"/>
        <v>7422074.0099999998</v>
      </c>
      <c r="F36" s="650">
        <f t="shared" si="1"/>
        <v>1478335564.9100001</v>
      </c>
      <c r="G36" s="650">
        <f t="shared" ref="G36:H36" si="11">SUM(G37:G45)</f>
        <v>659923616.42000008</v>
      </c>
      <c r="H36" s="650">
        <f t="shared" si="11"/>
        <v>659923616.42000008</v>
      </c>
      <c r="I36" s="650">
        <f t="shared" si="3"/>
        <v>818411948.49000001</v>
      </c>
      <c r="J36" s="131"/>
      <c r="K36" s="131"/>
      <c r="L36" s="131"/>
      <c r="M36" s="131"/>
      <c r="N36" s="131"/>
      <c r="O36" s="131"/>
      <c r="P36" s="131"/>
      <c r="Q36" s="131"/>
      <c r="R36" s="131"/>
      <c r="S36" s="131"/>
      <c r="T36" s="131"/>
      <c r="U36" s="131"/>
      <c r="V36" s="131"/>
      <c r="W36" s="131"/>
      <c r="X36" s="131"/>
      <c r="Y36" s="131"/>
      <c r="Z36" s="131"/>
    </row>
    <row r="37" spans="1:26" ht="15.75" customHeight="1">
      <c r="A37" s="188"/>
      <c r="B37" s="651"/>
      <c r="C37" s="626" t="s">
        <v>7360</v>
      </c>
      <c r="D37" s="256">
        <f>Balanza!H1322</f>
        <v>0</v>
      </c>
      <c r="E37" s="256">
        <f>Balanza!H1594</f>
        <v>0</v>
      </c>
      <c r="F37" s="652">
        <f t="shared" si="1"/>
        <v>0</v>
      </c>
      <c r="G37" s="256">
        <f>Balanza!E1866</f>
        <v>0</v>
      </c>
      <c r="H37" s="256">
        <f>Balanza!G2138</f>
        <v>460311701.51999998</v>
      </c>
      <c r="I37" s="652">
        <f t="shared" si="3"/>
        <v>0</v>
      </c>
      <c r="J37" s="131"/>
      <c r="K37" s="131"/>
      <c r="L37" s="131"/>
      <c r="M37" s="131"/>
      <c r="N37" s="131"/>
      <c r="O37" s="131"/>
      <c r="P37" s="131"/>
      <c r="Q37" s="131"/>
      <c r="R37" s="131"/>
      <c r="S37" s="131"/>
      <c r="T37" s="131"/>
      <c r="U37" s="131"/>
      <c r="V37" s="131"/>
      <c r="W37" s="131"/>
      <c r="X37" s="131"/>
      <c r="Y37" s="131"/>
      <c r="Z37" s="131"/>
    </row>
    <row r="38" spans="1:26" ht="15.75" customHeight="1">
      <c r="A38" s="188"/>
      <c r="B38" s="210"/>
      <c r="C38" s="626" t="s">
        <v>7361</v>
      </c>
      <c r="D38" s="256">
        <f>Balanza!H1324</f>
        <v>924685000</v>
      </c>
      <c r="E38" s="256">
        <f>Balanza!H1596</f>
        <v>19000000</v>
      </c>
      <c r="F38" s="652">
        <f t="shared" si="1"/>
        <v>943685000</v>
      </c>
      <c r="G38" s="256">
        <f>Balanza!E1868</f>
        <v>460311701.51999998</v>
      </c>
      <c r="H38" s="256">
        <f>Balanza!G2140</f>
        <v>0</v>
      </c>
      <c r="I38" s="652">
        <f t="shared" si="3"/>
        <v>483373298.48000002</v>
      </c>
      <c r="J38" s="131"/>
      <c r="K38" s="131"/>
      <c r="L38" s="131"/>
      <c r="M38" s="131"/>
      <c r="N38" s="131"/>
      <c r="O38" s="131"/>
      <c r="P38" s="131"/>
      <c r="Q38" s="131"/>
      <c r="R38" s="131"/>
      <c r="S38" s="131"/>
      <c r="T38" s="131"/>
      <c r="U38" s="131"/>
      <c r="V38" s="131"/>
      <c r="W38" s="131"/>
      <c r="X38" s="131"/>
      <c r="Y38" s="131"/>
      <c r="Z38" s="131"/>
    </row>
    <row r="39" spans="1:26" ht="15.75" customHeight="1">
      <c r="A39" s="188"/>
      <c r="B39" s="210"/>
      <c r="C39" s="626" t="s">
        <v>7362</v>
      </c>
      <c r="D39" s="256">
        <f>Balanza!H1326</f>
        <v>85273000</v>
      </c>
      <c r="E39" s="256">
        <f>Balanza!H1598</f>
        <v>-11284068.609999999</v>
      </c>
      <c r="F39" s="652">
        <f t="shared" si="1"/>
        <v>73988931.390000001</v>
      </c>
      <c r="G39" s="256">
        <f>Balanza!E1870</f>
        <v>41970000</v>
      </c>
      <c r="H39" s="256">
        <f>Balanza!G2142</f>
        <v>41970000</v>
      </c>
      <c r="I39" s="652">
        <f t="shared" si="3"/>
        <v>32018931.390000001</v>
      </c>
      <c r="J39" s="131"/>
      <c r="K39" s="131"/>
      <c r="L39" s="131"/>
      <c r="M39" s="131"/>
      <c r="N39" s="131"/>
      <c r="O39" s="131"/>
      <c r="P39" s="131"/>
      <c r="Q39" s="131"/>
      <c r="R39" s="131"/>
      <c r="S39" s="131"/>
      <c r="T39" s="131"/>
      <c r="U39" s="131"/>
      <c r="V39" s="131"/>
      <c r="W39" s="131"/>
      <c r="X39" s="131"/>
      <c r="Y39" s="131"/>
      <c r="Z39" s="131"/>
    </row>
    <row r="40" spans="1:26" ht="15.75" customHeight="1">
      <c r="A40" s="188"/>
      <c r="B40" s="210"/>
      <c r="C40" s="626" t="s">
        <v>7363</v>
      </c>
      <c r="D40" s="256">
        <f>Balanza!H1328</f>
        <v>313991490.89999998</v>
      </c>
      <c r="E40" s="256">
        <f>Balanza!H1600</f>
        <v>-15915107.380000001</v>
      </c>
      <c r="F40" s="652">
        <f t="shared" si="1"/>
        <v>298076383.51999998</v>
      </c>
      <c r="G40" s="256">
        <f>Balanza!E1872</f>
        <v>36856468.32</v>
      </c>
      <c r="H40" s="256">
        <f>Balanza!G2144</f>
        <v>36856468.32</v>
      </c>
      <c r="I40" s="652">
        <f t="shared" si="3"/>
        <v>261219915.19999999</v>
      </c>
      <c r="J40" s="131"/>
      <c r="K40" s="131"/>
      <c r="L40" s="131"/>
      <c r="M40" s="131"/>
      <c r="N40" s="131"/>
      <c r="O40" s="131"/>
      <c r="P40" s="131"/>
      <c r="Q40" s="131"/>
      <c r="R40" s="131"/>
      <c r="S40" s="131"/>
      <c r="T40" s="131"/>
      <c r="U40" s="131"/>
      <c r="V40" s="131"/>
      <c r="W40" s="131"/>
      <c r="X40" s="131"/>
      <c r="Y40" s="131"/>
      <c r="Z40" s="131"/>
    </row>
    <row r="41" spans="1:26" ht="15.75" customHeight="1">
      <c r="A41" s="188"/>
      <c r="B41" s="210"/>
      <c r="C41" s="626" t="s">
        <v>7364</v>
      </c>
      <c r="D41" s="256">
        <f>Balanza!H1330</f>
        <v>0</v>
      </c>
      <c r="E41" s="256">
        <f>Balanza!H1602</f>
        <v>0</v>
      </c>
      <c r="F41" s="652">
        <f t="shared" si="1"/>
        <v>0</v>
      </c>
      <c r="G41" s="256">
        <f>Balanza!E1874</f>
        <v>0</v>
      </c>
      <c r="H41" s="256">
        <f>Balanza!G2146</f>
        <v>0</v>
      </c>
      <c r="I41" s="652">
        <f t="shared" si="3"/>
        <v>0</v>
      </c>
      <c r="J41" s="131"/>
      <c r="K41" s="131"/>
      <c r="L41" s="131"/>
      <c r="M41" s="131"/>
      <c r="N41" s="131"/>
      <c r="O41" s="131"/>
      <c r="P41" s="131"/>
      <c r="Q41" s="131"/>
      <c r="R41" s="131"/>
      <c r="S41" s="131"/>
      <c r="T41" s="131"/>
      <c r="U41" s="131"/>
      <c r="V41" s="131"/>
      <c r="W41" s="131"/>
      <c r="X41" s="131"/>
      <c r="Y41" s="131"/>
      <c r="Z41" s="131"/>
    </row>
    <row r="42" spans="1:26" ht="15.75" customHeight="1">
      <c r="A42" s="188"/>
      <c r="B42" s="210"/>
      <c r="C42" s="626" t="s">
        <v>7365</v>
      </c>
      <c r="D42" s="256">
        <f>Balanza!H1332</f>
        <v>146964000</v>
      </c>
      <c r="E42" s="256">
        <f>Balanza!H1604</f>
        <v>14996250</v>
      </c>
      <c r="F42" s="652">
        <f t="shared" si="1"/>
        <v>161960250</v>
      </c>
      <c r="G42" s="256">
        <f>Balanza!E1876</f>
        <v>120785446.58</v>
      </c>
      <c r="H42" s="256">
        <f>Balanza!G2148</f>
        <v>120785446.58</v>
      </c>
      <c r="I42" s="652">
        <f t="shared" si="3"/>
        <v>41174803.420000002</v>
      </c>
      <c r="J42" s="131"/>
      <c r="K42" s="131"/>
      <c r="L42" s="131"/>
      <c r="M42" s="131"/>
      <c r="N42" s="131"/>
      <c r="O42" s="131"/>
      <c r="P42" s="131"/>
      <c r="Q42" s="131"/>
      <c r="R42" s="131"/>
      <c r="S42" s="131"/>
      <c r="T42" s="131"/>
      <c r="U42" s="131"/>
      <c r="V42" s="131"/>
      <c r="W42" s="131"/>
      <c r="X42" s="131"/>
      <c r="Y42" s="131"/>
      <c r="Z42" s="131"/>
    </row>
    <row r="43" spans="1:26" ht="15.75" customHeight="1">
      <c r="A43" s="188"/>
      <c r="B43" s="210"/>
      <c r="C43" s="626" t="s">
        <v>7366</v>
      </c>
      <c r="D43" s="256">
        <f>Balanza!H1334</f>
        <v>0</v>
      </c>
      <c r="E43" s="256">
        <f>Balanza!H1606</f>
        <v>0</v>
      </c>
      <c r="F43" s="652">
        <f t="shared" si="1"/>
        <v>0</v>
      </c>
      <c r="G43" s="256">
        <f>Balanza!E1878</f>
        <v>0</v>
      </c>
      <c r="H43" s="256">
        <f>Balanza!G2150</f>
        <v>0</v>
      </c>
      <c r="I43" s="652">
        <f t="shared" si="3"/>
        <v>0</v>
      </c>
      <c r="J43" s="131"/>
      <c r="K43" s="131"/>
      <c r="L43" s="131"/>
      <c r="M43" s="131"/>
      <c r="N43" s="131"/>
      <c r="O43" s="131"/>
      <c r="P43" s="131"/>
      <c r="Q43" s="131"/>
      <c r="R43" s="131"/>
      <c r="S43" s="131"/>
      <c r="T43" s="131"/>
      <c r="U43" s="131"/>
      <c r="V43" s="131"/>
      <c r="W43" s="131"/>
      <c r="X43" s="131"/>
      <c r="Y43" s="131"/>
      <c r="Z43" s="131"/>
    </row>
    <row r="44" spans="1:26" ht="15.75" customHeight="1">
      <c r="A44" s="188"/>
      <c r="B44" s="210"/>
      <c r="C44" s="626" t="s">
        <v>7367</v>
      </c>
      <c r="D44" s="256">
        <f>Balanza!H1336</f>
        <v>0</v>
      </c>
      <c r="E44" s="256">
        <f>Balanza!H1608</f>
        <v>0</v>
      </c>
      <c r="F44" s="652">
        <f t="shared" si="1"/>
        <v>0</v>
      </c>
      <c r="G44" s="256">
        <f>Balanza!E1880</f>
        <v>0</v>
      </c>
      <c r="H44" s="256">
        <f>Balanza!G2152</f>
        <v>0</v>
      </c>
      <c r="I44" s="652">
        <f t="shared" si="3"/>
        <v>0</v>
      </c>
      <c r="J44" s="131"/>
      <c r="K44" s="131"/>
      <c r="L44" s="131"/>
      <c r="M44" s="131"/>
      <c r="N44" s="131"/>
      <c r="O44" s="131"/>
      <c r="P44" s="131"/>
      <c r="Q44" s="131"/>
      <c r="R44" s="131"/>
      <c r="S44" s="131"/>
      <c r="T44" s="131"/>
      <c r="U44" s="131"/>
      <c r="V44" s="131"/>
      <c r="W44" s="131"/>
      <c r="X44" s="131"/>
      <c r="Y44" s="131"/>
      <c r="Z44" s="131"/>
    </row>
    <row r="45" spans="1:26" ht="15.75" customHeight="1">
      <c r="A45" s="188"/>
      <c r="B45" s="210"/>
      <c r="C45" s="626" t="s">
        <v>7368</v>
      </c>
      <c r="D45" s="256">
        <f>Balanza!H1338</f>
        <v>0</v>
      </c>
      <c r="E45" s="256">
        <f>Balanza!H1610</f>
        <v>625000</v>
      </c>
      <c r="F45" s="652">
        <f t="shared" si="1"/>
        <v>625000</v>
      </c>
      <c r="G45" s="256">
        <f>Balanza!E1882</f>
        <v>0</v>
      </c>
      <c r="H45" s="256">
        <f>Balanza!G2154</f>
        <v>0</v>
      </c>
      <c r="I45" s="652">
        <f t="shared" si="3"/>
        <v>625000</v>
      </c>
      <c r="J45" s="131"/>
      <c r="K45" s="131"/>
      <c r="L45" s="131"/>
      <c r="M45" s="131"/>
      <c r="N45" s="131"/>
      <c r="O45" s="131"/>
      <c r="P45" s="131"/>
      <c r="Q45" s="131"/>
      <c r="R45" s="131"/>
      <c r="S45" s="131"/>
      <c r="T45" s="131"/>
      <c r="U45" s="131"/>
      <c r="V45" s="131"/>
      <c r="W45" s="131"/>
      <c r="X45" s="131"/>
      <c r="Y45" s="131"/>
      <c r="Z45" s="131"/>
    </row>
    <row r="46" spans="1:26" ht="15.75" customHeight="1">
      <c r="A46" s="188"/>
      <c r="B46" s="653" t="s">
        <v>7369</v>
      </c>
      <c r="C46" s="626" t="s">
        <v>7298</v>
      </c>
      <c r="D46" s="650">
        <f t="shared" ref="D46:E46" si="12">SUM(D47:D55)</f>
        <v>239290141.56</v>
      </c>
      <c r="E46" s="650">
        <f t="shared" si="12"/>
        <v>347165554.31999999</v>
      </c>
      <c r="F46" s="650">
        <f t="shared" si="1"/>
        <v>586455695.88</v>
      </c>
      <c r="G46" s="650">
        <f t="shared" ref="G46:H46" si="13">SUM(G47:G55)</f>
        <v>74210435.469999999</v>
      </c>
      <c r="H46" s="650">
        <f t="shared" si="13"/>
        <v>81920385.650000006</v>
      </c>
      <c r="I46" s="650">
        <f t="shared" si="3"/>
        <v>512245260.40999997</v>
      </c>
      <c r="J46" s="131"/>
      <c r="K46" s="131"/>
      <c r="L46" s="131"/>
      <c r="M46" s="131"/>
      <c r="N46" s="131"/>
      <c r="O46" s="131"/>
      <c r="P46" s="131"/>
      <c r="Q46" s="131"/>
      <c r="R46" s="131"/>
      <c r="S46" s="131"/>
      <c r="T46" s="131"/>
      <c r="U46" s="131"/>
      <c r="V46" s="131"/>
      <c r="W46" s="131"/>
      <c r="X46" s="131"/>
      <c r="Y46" s="131"/>
      <c r="Z46" s="131"/>
    </row>
    <row r="47" spans="1:26" ht="15.75" customHeight="1">
      <c r="A47" s="188"/>
      <c r="B47" s="651"/>
      <c r="C47" s="626" t="s">
        <v>7370</v>
      </c>
      <c r="D47" s="256">
        <f>Balanza!H1341</f>
        <v>32232478.670000002</v>
      </c>
      <c r="E47" s="256">
        <f>Balanza!H1613</f>
        <v>23688135.649999999</v>
      </c>
      <c r="F47" s="652">
        <f t="shared" si="1"/>
        <v>55920614.32</v>
      </c>
      <c r="G47" s="256">
        <f>Balanza!E1885</f>
        <v>30232.95</v>
      </c>
      <c r="H47" s="256">
        <f>Balanza!G2157</f>
        <v>30232.95</v>
      </c>
      <c r="I47" s="652">
        <f t="shared" si="3"/>
        <v>55890381.369999997</v>
      </c>
      <c r="J47" s="131"/>
      <c r="K47" s="131"/>
      <c r="L47" s="131"/>
      <c r="M47" s="131"/>
      <c r="N47" s="131"/>
      <c r="O47" s="131"/>
      <c r="P47" s="131"/>
      <c r="Q47" s="131"/>
      <c r="R47" s="131"/>
      <c r="S47" s="131"/>
      <c r="T47" s="131"/>
      <c r="U47" s="131"/>
      <c r="V47" s="131"/>
      <c r="W47" s="131"/>
      <c r="X47" s="131"/>
      <c r="Y47" s="131"/>
      <c r="Z47" s="131"/>
    </row>
    <row r="48" spans="1:26" ht="15.75" customHeight="1">
      <c r="A48" s="188"/>
      <c r="B48" s="210"/>
      <c r="C48" s="626" t="s">
        <v>7371</v>
      </c>
      <c r="D48" s="256">
        <f>Balanza!H1343</f>
        <v>5835000</v>
      </c>
      <c r="E48" s="256">
        <f>Balanza!H1615</f>
        <v>-174258.64</v>
      </c>
      <c r="F48" s="652">
        <f t="shared" si="1"/>
        <v>5660741.3600000003</v>
      </c>
      <c r="G48" s="256">
        <f>Balanza!E1887</f>
        <v>4842.42</v>
      </c>
      <c r="H48" s="256">
        <f>Balanza!G2159</f>
        <v>4842.42</v>
      </c>
      <c r="I48" s="652">
        <f t="shared" si="3"/>
        <v>5655898.9400000004</v>
      </c>
      <c r="J48" s="131"/>
      <c r="K48" s="131"/>
      <c r="L48" s="131"/>
      <c r="M48" s="131"/>
      <c r="N48" s="131"/>
      <c r="O48" s="131"/>
      <c r="P48" s="131"/>
      <c r="Q48" s="131"/>
      <c r="R48" s="131"/>
      <c r="S48" s="131"/>
      <c r="T48" s="131"/>
      <c r="U48" s="131"/>
      <c r="V48" s="131"/>
      <c r="W48" s="131"/>
      <c r="X48" s="131"/>
      <c r="Y48" s="131"/>
      <c r="Z48" s="131"/>
    </row>
    <row r="49" spans="1:26" ht="15.75" customHeight="1">
      <c r="A49" s="188"/>
      <c r="B49" s="210"/>
      <c r="C49" s="626" t="s">
        <v>7372</v>
      </c>
      <c r="D49" s="256">
        <f>Balanza!H1345</f>
        <v>15507300</v>
      </c>
      <c r="E49" s="256">
        <f>Balanza!H1617</f>
        <v>28516834.329999998</v>
      </c>
      <c r="F49" s="652">
        <f t="shared" si="1"/>
        <v>44024134.329999998</v>
      </c>
      <c r="G49" s="256">
        <f>Balanza!E1889</f>
        <v>0</v>
      </c>
      <c r="H49" s="256">
        <f>Balanza!G2161</f>
        <v>0</v>
      </c>
      <c r="I49" s="652">
        <f t="shared" si="3"/>
        <v>44024134.329999998</v>
      </c>
      <c r="J49" s="131"/>
      <c r="K49" s="131"/>
      <c r="L49" s="131"/>
      <c r="M49" s="131"/>
      <c r="N49" s="131"/>
      <c r="O49" s="131"/>
      <c r="P49" s="131"/>
      <c r="Q49" s="131"/>
      <c r="R49" s="131"/>
      <c r="S49" s="131"/>
      <c r="T49" s="131"/>
      <c r="U49" s="131"/>
      <c r="V49" s="131"/>
      <c r="W49" s="131"/>
      <c r="X49" s="131"/>
      <c r="Y49" s="131"/>
      <c r="Z49" s="131"/>
    </row>
    <row r="50" spans="1:26" ht="15.75" customHeight="1">
      <c r="A50" s="188"/>
      <c r="B50" s="210"/>
      <c r="C50" s="626" t="s">
        <v>7373</v>
      </c>
      <c r="D50" s="256">
        <f>Balanza!H1347</f>
        <v>57543583.990000002</v>
      </c>
      <c r="E50" s="256">
        <f>Balanza!H1619</f>
        <v>247700713.80000001</v>
      </c>
      <c r="F50" s="652">
        <f t="shared" si="1"/>
        <v>305244297.79000002</v>
      </c>
      <c r="G50" s="256">
        <f>Balanza!E1891</f>
        <v>44665439.490000002</v>
      </c>
      <c r="H50" s="256">
        <f>Balanza!G2163</f>
        <v>40104899.490000002</v>
      </c>
      <c r="I50" s="652">
        <f t="shared" si="3"/>
        <v>260578858.30000001</v>
      </c>
      <c r="J50" s="131"/>
      <c r="K50" s="131"/>
      <c r="L50" s="131"/>
      <c r="M50" s="131"/>
      <c r="N50" s="131"/>
      <c r="O50" s="131"/>
      <c r="P50" s="131"/>
      <c r="Q50" s="131"/>
      <c r="R50" s="131"/>
      <c r="S50" s="131"/>
      <c r="T50" s="131"/>
      <c r="U50" s="131"/>
      <c r="V50" s="131"/>
      <c r="W50" s="131"/>
      <c r="X50" s="131"/>
      <c r="Y50" s="131"/>
      <c r="Z50" s="131"/>
    </row>
    <row r="51" spans="1:26" ht="15.75" customHeight="1">
      <c r="A51" s="188"/>
      <c r="B51" s="210"/>
      <c r="C51" s="626" t="s">
        <v>7374</v>
      </c>
      <c r="D51" s="256">
        <f>Balanza!H1349</f>
        <v>19750000</v>
      </c>
      <c r="E51" s="256">
        <f>Balanza!H1621</f>
        <v>0</v>
      </c>
      <c r="F51" s="652">
        <f t="shared" si="1"/>
        <v>19750000</v>
      </c>
      <c r="G51" s="256">
        <f>Balanza!E1893</f>
        <v>10507501.130000001</v>
      </c>
      <c r="H51" s="256">
        <f>Balanza!G2165</f>
        <v>10507501.130000001</v>
      </c>
      <c r="I51" s="652">
        <f t="shared" si="3"/>
        <v>9242498.8699999992</v>
      </c>
      <c r="J51" s="131"/>
      <c r="K51" s="131"/>
      <c r="L51" s="131"/>
      <c r="M51" s="131"/>
      <c r="N51" s="131"/>
      <c r="O51" s="131"/>
      <c r="P51" s="131"/>
      <c r="Q51" s="131"/>
      <c r="R51" s="131"/>
      <c r="S51" s="131"/>
      <c r="T51" s="131"/>
      <c r="U51" s="131"/>
      <c r="V51" s="131"/>
      <c r="W51" s="131"/>
      <c r="X51" s="131"/>
      <c r="Y51" s="131"/>
      <c r="Z51" s="131"/>
    </row>
    <row r="52" spans="1:26" ht="15.75" customHeight="1">
      <c r="A52" s="188"/>
      <c r="B52" s="210"/>
      <c r="C52" s="626" t="s">
        <v>7375</v>
      </c>
      <c r="D52" s="256">
        <f>Balanza!H1351</f>
        <v>76072795</v>
      </c>
      <c r="E52" s="256">
        <f>Balanza!H1623</f>
        <v>33818566.560000002</v>
      </c>
      <c r="F52" s="652">
        <f t="shared" si="1"/>
        <v>109891361.56</v>
      </c>
      <c r="G52" s="256">
        <f>Balanza!E1895</f>
        <v>19002419.48</v>
      </c>
      <c r="H52" s="256">
        <f>Balanza!G2167</f>
        <v>19002419.48</v>
      </c>
      <c r="I52" s="652">
        <f t="shared" si="3"/>
        <v>90888942.079999998</v>
      </c>
      <c r="J52" s="131"/>
      <c r="K52" s="131"/>
      <c r="L52" s="131"/>
      <c r="M52" s="131"/>
      <c r="N52" s="131"/>
      <c r="O52" s="131"/>
      <c r="P52" s="131"/>
      <c r="Q52" s="131"/>
      <c r="R52" s="131"/>
      <c r="S52" s="131"/>
      <c r="T52" s="131"/>
      <c r="U52" s="131"/>
      <c r="V52" s="131"/>
      <c r="W52" s="131"/>
      <c r="X52" s="131"/>
      <c r="Y52" s="131"/>
      <c r="Z52" s="131"/>
    </row>
    <row r="53" spans="1:26" ht="15.75" customHeight="1">
      <c r="A53" s="188"/>
      <c r="B53" s="210"/>
      <c r="C53" s="626" t="s">
        <v>7376</v>
      </c>
      <c r="D53" s="256">
        <f>Balanza!H1353</f>
        <v>0</v>
      </c>
      <c r="E53" s="256">
        <f>Balanza!H1625</f>
        <v>13615562.619999999</v>
      </c>
      <c r="F53" s="652">
        <f t="shared" si="1"/>
        <v>13615562.619999999</v>
      </c>
      <c r="G53" s="256">
        <f>Balanza!E1897</f>
        <v>0</v>
      </c>
      <c r="H53" s="256">
        <f>Balanza!G2169</f>
        <v>0</v>
      </c>
      <c r="I53" s="652">
        <f t="shared" si="3"/>
        <v>13615562.619999999</v>
      </c>
      <c r="J53" s="131"/>
      <c r="K53" s="131"/>
      <c r="L53" s="131"/>
      <c r="M53" s="131"/>
      <c r="N53" s="131"/>
      <c r="O53" s="131"/>
      <c r="P53" s="131"/>
      <c r="Q53" s="131"/>
      <c r="R53" s="131"/>
      <c r="S53" s="131"/>
      <c r="T53" s="131"/>
      <c r="U53" s="131"/>
      <c r="V53" s="131"/>
      <c r="W53" s="131"/>
      <c r="X53" s="131"/>
      <c r="Y53" s="131"/>
      <c r="Z53" s="131"/>
    </row>
    <row r="54" spans="1:26" ht="15.75" customHeight="1">
      <c r="A54" s="188"/>
      <c r="B54" s="210"/>
      <c r="C54" s="626" t="s">
        <v>7377</v>
      </c>
      <c r="D54" s="256">
        <f>Balanza!H1355</f>
        <v>0</v>
      </c>
      <c r="E54" s="256">
        <f>Balanza!H1627</f>
        <v>0</v>
      </c>
      <c r="F54" s="652">
        <f t="shared" si="1"/>
        <v>0</v>
      </c>
      <c r="G54" s="256">
        <f>Balanza!E1899</f>
        <v>0</v>
      </c>
      <c r="H54" s="256">
        <f>Balanza!G2171</f>
        <v>0</v>
      </c>
      <c r="I54" s="652">
        <f t="shared" si="3"/>
        <v>0</v>
      </c>
      <c r="J54" s="131"/>
      <c r="K54" s="131"/>
      <c r="L54" s="131"/>
      <c r="M54" s="131"/>
      <c r="N54" s="131"/>
      <c r="O54" s="131"/>
      <c r="P54" s="131"/>
      <c r="Q54" s="131"/>
      <c r="R54" s="131"/>
      <c r="S54" s="131"/>
      <c r="T54" s="131"/>
      <c r="U54" s="131"/>
      <c r="V54" s="131"/>
      <c r="W54" s="131"/>
      <c r="X54" s="131"/>
      <c r="Y54" s="131"/>
      <c r="Z54" s="131"/>
    </row>
    <row r="55" spans="1:26" ht="15.75" customHeight="1">
      <c r="A55" s="188"/>
      <c r="B55" s="210"/>
      <c r="C55" s="626" t="s">
        <v>7378</v>
      </c>
      <c r="D55" s="256">
        <f>Balanza!H1357</f>
        <v>32348983.899999999</v>
      </c>
      <c r="E55" s="256">
        <f>Balanza!H1629</f>
        <v>0</v>
      </c>
      <c r="F55" s="652">
        <f t="shared" si="1"/>
        <v>32348983.899999999</v>
      </c>
      <c r="G55" s="256">
        <f>Balanza!E1901</f>
        <v>0</v>
      </c>
      <c r="H55" s="256">
        <f>Balanza!G2173</f>
        <v>12270490.18</v>
      </c>
      <c r="I55" s="652">
        <f t="shared" si="3"/>
        <v>32348983.899999999</v>
      </c>
      <c r="J55" s="131"/>
      <c r="K55" s="131"/>
      <c r="L55" s="131"/>
      <c r="M55" s="131"/>
      <c r="N55" s="131"/>
      <c r="O55" s="131"/>
      <c r="P55" s="131"/>
      <c r="Q55" s="131"/>
      <c r="R55" s="131"/>
      <c r="S55" s="131"/>
      <c r="T55" s="131"/>
      <c r="U55" s="131"/>
      <c r="V55" s="131"/>
      <c r="W55" s="131"/>
      <c r="X55" s="131"/>
      <c r="Y55" s="131"/>
      <c r="Z55" s="131"/>
    </row>
    <row r="56" spans="1:26" ht="15.75" customHeight="1">
      <c r="A56" s="188"/>
      <c r="B56" s="653" t="s">
        <v>7379</v>
      </c>
      <c r="C56" s="626" t="s">
        <v>7307</v>
      </c>
      <c r="D56" s="650">
        <f t="shared" ref="D56:E56" si="14">SUM(D57:D59)</f>
        <v>627881760</v>
      </c>
      <c r="E56" s="650">
        <f t="shared" si="14"/>
        <v>303752222</v>
      </c>
      <c r="F56" s="650">
        <f t="shared" si="1"/>
        <v>931633982</v>
      </c>
      <c r="G56" s="650">
        <f t="shared" ref="G56:H56" si="15">SUM(G57:G59)</f>
        <v>218230294.47</v>
      </c>
      <c r="H56" s="650">
        <f t="shared" si="15"/>
        <v>218230294.47</v>
      </c>
      <c r="I56" s="650">
        <f t="shared" si="3"/>
        <v>713403687.52999997</v>
      </c>
      <c r="J56" s="131"/>
      <c r="K56" s="131"/>
      <c r="L56" s="131"/>
      <c r="M56" s="131"/>
      <c r="N56" s="131"/>
      <c r="O56" s="131"/>
      <c r="P56" s="131"/>
      <c r="Q56" s="131"/>
      <c r="R56" s="131"/>
      <c r="S56" s="131"/>
      <c r="T56" s="131"/>
      <c r="U56" s="131"/>
      <c r="V56" s="131"/>
      <c r="W56" s="131"/>
      <c r="X56" s="131"/>
      <c r="Y56" s="131"/>
      <c r="Z56" s="131"/>
    </row>
    <row r="57" spans="1:26" ht="15.75" customHeight="1">
      <c r="A57" s="188"/>
      <c r="B57" s="651"/>
      <c r="C57" s="626" t="s">
        <v>7380</v>
      </c>
      <c r="D57" s="256">
        <f>Balanza!H1360</f>
        <v>627881760</v>
      </c>
      <c r="E57" s="256">
        <f>Balanza!H1632</f>
        <v>303752222</v>
      </c>
      <c r="F57" s="652">
        <f t="shared" si="1"/>
        <v>931633982</v>
      </c>
      <c r="G57" s="256">
        <f>Balanza!E1904</f>
        <v>218230294.47</v>
      </c>
      <c r="H57" s="256">
        <f>Balanza!G2176</f>
        <v>218230294.47</v>
      </c>
      <c r="I57" s="652">
        <f t="shared" si="3"/>
        <v>713403687.52999997</v>
      </c>
      <c r="J57" s="131"/>
      <c r="K57" s="131"/>
      <c r="L57" s="131"/>
      <c r="M57" s="131"/>
      <c r="N57" s="131"/>
      <c r="O57" s="131"/>
      <c r="P57" s="131"/>
      <c r="Q57" s="131"/>
      <c r="R57" s="131"/>
      <c r="S57" s="131"/>
      <c r="T57" s="131"/>
      <c r="U57" s="131"/>
      <c r="V57" s="131"/>
      <c r="W57" s="131"/>
      <c r="X57" s="131"/>
      <c r="Y57" s="131"/>
      <c r="Z57" s="131"/>
    </row>
    <row r="58" spans="1:26" ht="15.75" customHeight="1">
      <c r="A58" s="188"/>
      <c r="B58" s="210"/>
      <c r="C58" s="626" t="s">
        <v>7381</v>
      </c>
      <c r="D58" s="256">
        <f>Balanza!H1362</f>
        <v>0</v>
      </c>
      <c r="E58" s="256">
        <f>Balanza!H1634</f>
        <v>0</v>
      </c>
      <c r="F58" s="652">
        <f t="shared" si="1"/>
        <v>0</v>
      </c>
      <c r="G58" s="256">
        <f>Balanza!E1906</f>
        <v>0</v>
      </c>
      <c r="H58" s="256">
        <f>Balanza!G2178</f>
        <v>0</v>
      </c>
      <c r="I58" s="652">
        <f t="shared" si="3"/>
        <v>0</v>
      </c>
      <c r="J58" s="131"/>
      <c r="K58" s="131"/>
      <c r="L58" s="131"/>
      <c r="M58" s="131"/>
      <c r="N58" s="131"/>
      <c r="O58" s="131"/>
      <c r="P58" s="131"/>
      <c r="Q58" s="131"/>
      <c r="R58" s="131"/>
      <c r="S58" s="131"/>
      <c r="T58" s="131"/>
      <c r="U58" s="131"/>
      <c r="V58" s="131"/>
      <c r="W58" s="131"/>
      <c r="X58" s="131"/>
      <c r="Y58" s="131"/>
      <c r="Z58" s="131"/>
    </row>
    <row r="59" spans="1:26" ht="15.75" customHeight="1">
      <c r="A59" s="188"/>
      <c r="B59" s="210"/>
      <c r="C59" s="626" t="s">
        <v>7382</v>
      </c>
      <c r="D59" s="256">
        <f>Balanza!H1364</f>
        <v>0</v>
      </c>
      <c r="E59" s="256">
        <f>Balanza!H1636</f>
        <v>0</v>
      </c>
      <c r="F59" s="652">
        <f t="shared" si="1"/>
        <v>0</v>
      </c>
      <c r="G59" s="256">
        <f>Balanza!E1908</f>
        <v>0</v>
      </c>
      <c r="H59" s="256">
        <f>Balanza!G2180</f>
        <v>0</v>
      </c>
      <c r="I59" s="652">
        <f t="shared" si="3"/>
        <v>0</v>
      </c>
      <c r="J59" s="131"/>
      <c r="K59" s="131"/>
      <c r="L59" s="131"/>
      <c r="M59" s="131"/>
      <c r="N59" s="131"/>
      <c r="O59" s="131"/>
      <c r="P59" s="131"/>
      <c r="Q59" s="131"/>
      <c r="R59" s="131"/>
      <c r="S59" s="131"/>
      <c r="T59" s="131"/>
      <c r="U59" s="131"/>
      <c r="V59" s="131"/>
      <c r="W59" s="131"/>
      <c r="X59" s="131"/>
      <c r="Y59" s="131"/>
      <c r="Z59" s="131"/>
    </row>
    <row r="60" spans="1:26" ht="15.75" customHeight="1">
      <c r="A60" s="188"/>
      <c r="B60" s="653" t="s">
        <v>7383</v>
      </c>
      <c r="C60" s="626" t="s">
        <v>7311</v>
      </c>
      <c r="D60" s="650">
        <f t="shared" ref="D60:E60" si="16">SUM(D61:D67)</f>
        <v>581600137.83000004</v>
      </c>
      <c r="E60" s="650">
        <f t="shared" si="16"/>
        <v>-581600137.83000004</v>
      </c>
      <c r="F60" s="650">
        <f t="shared" si="1"/>
        <v>0</v>
      </c>
      <c r="G60" s="650">
        <f t="shared" ref="G60:H60" si="17">SUM(G61:G67)</f>
        <v>0</v>
      </c>
      <c r="H60" s="650">
        <f t="shared" si="17"/>
        <v>0</v>
      </c>
      <c r="I60" s="650">
        <f t="shared" si="3"/>
        <v>0</v>
      </c>
      <c r="J60" s="131"/>
      <c r="K60" s="131"/>
      <c r="L60" s="131"/>
      <c r="M60" s="131"/>
      <c r="N60" s="131"/>
      <c r="O60" s="131"/>
      <c r="P60" s="131"/>
      <c r="Q60" s="131"/>
      <c r="R60" s="131"/>
      <c r="S60" s="131"/>
      <c r="T60" s="131"/>
      <c r="U60" s="131"/>
      <c r="V60" s="131"/>
      <c r="W60" s="131"/>
      <c r="X60" s="131"/>
      <c r="Y60" s="131"/>
      <c r="Z60" s="131"/>
    </row>
    <row r="61" spans="1:26" ht="15.75" customHeight="1">
      <c r="A61" s="188"/>
      <c r="B61" s="651"/>
      <c r="C61" s="626" t="s">
        <v>7384</v>
      </c>
      <c r="D61" s="256">
        <f>Balanza!H1367</f>
        <v>0</v>
      </c>
      <c r="E61" s="256">
        <f>Balanza!H1639</f>
        <v>0</v>
      </c>
      <c r="F61" s="652">
        <f t="shared" si="1"/>
        <v>0</v>
      </c>
      <c r="G61" s="256">
        <f>Balanza!E1911</f>
        <v>0</v>
      </c>
      <c r="H61" s="256">
        <f>Balanza!G2183</f>
        <v>0</v>
      </c>
      <c r="I61" s="652">
        <f t="shared" si="3"/>
        <v>0</v>
      </c>
      <c r="J61" s="131"/>
      <c r="K61" s="131"/>
      <c r="L61" s="131"/>
      <c r="M61" s="131"/>
      <c r="N61" s="131"/>
      <c r="O61" s="131"/>
      <c r="P61" s="131"/>
      <c r="Q61" s="131"/>
      <c r="R61" s="131"/>
      <c r="S61" s="131"/>
      <c r="T61" s="131"/>
      <c r="U61" s="131"/>
      <c r="V61" s="131"/>
      <c r="W61" s="131"/>
      <c r="X61" s="131"/>
      <c r="Y61" s="131"/>
      <c r="Z61" s="131"/>
    </row>
    <row r="62" spans="1:26" ht="15.75" customHeight="1">
      <c r="A62" s="188"/>
      <c r="B62" s="210"/>
      <c r="C62" s="626" t="s">
        <v>7385</v>
      </c>
      <c r="D62" s="256">
        <f>Balanza!H1369</f>
        <v>0</v>
      </c>
      <c r="E62" s="256">
        <f>Balanza!H1641</f>
        <v>0</v>
      </c>
      <c r="F62" s="652">
        <f t="shared" si="1"/>
        <v>0</v>
      </c>
      <c r="G62" s="256">
        <f>Balanza!E1913</f>
        <v>0</v>
      </c>
      <c r="H62" s="256">
        <f>Balanza!G2185</f>
        <v>0</v>
      </c>
      <c r="I62" s="652">
        <f t="shared" si="3"/>
        <v>0</v>
      </c>
      <c r="J62" s="131"/>
      <c r="K62" s="131"/>
      <c r="L62" s="131"/>
      <c r="M62" s="131"/>
      <c r="N62" s="131"/>
      <c r="O62" s="131"/>
      <c r="P62" s="131"/>
      <c r="Q62" s="131"/>
      <c r="R62" s="131"/>
      <c r="S62" s="131"/>
      <c r="T62" s="131"/>
      <c r="U62" s="131"/>
      <c r="V62" s="131"/>
      <c r="W62" s="131"/>
      <c r="X62" s="131"/>
      <c r="Y62" s="131"/>
      <c r="Z62" s="131"/>
    </row>
    <row r="63" spans="1:26" ht="15.75" customHeight="1">
      <c r="A63" s="188"/>
      <c r="B63" s="210"/>
      <c r="C63" s="626" t="s">
        <v>7386</v>
      </c>
      <c r="D63" s="256">
        <f>Balanza!H1371</f>
        <v>0</v>
      </c>
      <c r="E63" s="256">
        <f>Balanza!H1643</f>
        <v>0</v>
      </c>
      <c r="F63" s="652">
        <f t="shared" si="1"/>
        <v>0</v>
      </c>
      <c r="G63" s="256">
        <f>Balanza!E1915</f>
        <v>0</v>
      </c>
      <c r="H63" s="256">
        <f>Balanza!G2187</f>
        <v>0</v>
      </c>
      <c r="I63" s="652">
        <f t="shared" si="3"/>
        <v>0</v>
      </c>
      <c r="J63" s="131"/>
      <c r="K63" s="131"/>
      <c r="L63" s="131"/>
      <c r="M63" s="131"/>
      <c r="N63" s="131"/>
      <c r="O63" s="131"/>
      <c r="P63" s="131"/>
      <c r="Q63" s="131"/>
      <c r="R63" s="131"/>
      <c r="S63" s="131"/>
      <c r="T63" s="131"/>
      <c r="U63" s="131"/>
      <c r="V63" s="131"/>
      <c r="W63" s="131"/>
      <c r="X63" s="131"/>
      <c r="Y63" s="131"/>
      <c r="Z63" s="131"/>
    </row>
    <row r="64" spans="1:26" ht="15.75" customHeight="1">
      <c r="A64" s="188"/>
      <c r="B64" s="210"/>
      <c r="C64" s="626" t="s">
        <v>7387</v>
      </c>
      <c r="D64" s="256">
        <f>Balanza!H1373</f>
        <v>0</v>
      </c>
      <c r="E64" s="256">
        <f>Balanza!H1645</f>
        <v>0</v>
      </c>
      <c r="F64" s="652">
        <f t="shared" si="1"/>
        <v>0</v>
      </c>
      <c r="G64" s="256">
        <f>Balanza!E1917</f>
        <v>0</v>
      </c>
      <c r="H64" s="256">
        <f>Balanza!G2189</f>
        <v>0</v>
      </c>
      <c r="I64" s="652">
        <f t="shared" si="3"/>
        <v>0</v>
      </c>
      <c r="J64" s="131"/>
      <c r="K64" s="131"/>
      <c r="L64" s="131"/>
      <c r="M64" s="131"/>
      <c r="N64" s="131"/>
      <c r="O64" s="131"/>
      <c r="P64" s="131"/>
      <c r="Q64" s="131"/>
      <c r="R64" s="131"/>
      <c r="S64" s="131"/>
      <c r="T64" s="131"/>
      <c r="U64" s="131"/>
      <c r="V64" s="131"/>
      <c r="W64" s="131"/>
      <c r="X64" s="131"/>
      <c r="Y64" s="131"/>
      <c r="Z64" s="131"/>
    </row>
    <row r="65" spans="1:26" ht="15.75" customHeight="1">
      <c r="A65" s="188"/>
      <c r="B65" s="210"/>
      <c r="C65" s="602" t="s">
        <v>7388</v>
      </c>
      <c r="D65" s="256">
        <f>Balanza!H1375</f>
        <v>0</v>
      </c>
      <c r="E65" s="256">
        <f>Balanza!H1647</f>
        <v>0</v>
      </c>
      <c r="F65" s="482">
        <f t="shared" si="1"/>
        <v>0</v>
      </c>
      <c r="G65" s="256">
        <f>Balanza!E1919</f>
        <v>0</v>
      </c>
      <c r="H65" s="256">
        <f>Balanza!G2191</f>
        <v>0</v>
      </c>
      <c r="I65" s="482">
        <f t="shared" si="3"/>
        <v>0</v>
      </c>
      <c r="J65" s="131"/>
      <c r="K65" s="131"/>
      <c r="L65" s="131"/>
      <c r="M65" s="131"/>
      <c r="N65" s="131"/>
      <c r="O65" s="131"/>
      <c r="P65" s="131"/>
      <c r="Q65" s="131"/>
      <c r="R65" s="131"/>
      <c r="S65" s="131"/>
      <c r="T65" s="131"/>
      <c r="U65" s="131"/>
      <c r="V65" s="131"/>
      <c r="W65" s="131"/>
      <c r="X65" s="131"/>
      <c r="Y65" s="131"/>
      <c r="Z65" s="131"/>
    </row>
    <row r="66" spans="1:26" ht="15.75" customHeight="1">
      <c r="A66" s="188"/>
      <c r="B66" s="210"/>
      <c r="C66" s="626" t="s">
        <v>7389</v>
      </c>
      <c r="D66" s="256">
        <f>Balanza!H1377</f>
        <v>0</v>
      </c>
      <c r="E66" s="256">
        <f>Balanza!H1649</f>
        <v>0</v>
      </c>
      <c r="F66" s="652">
        <f t="shared" si="1"/>
        <v>0</v>
      </c>
      <c r="G66" s="256">
        <f>Balanza!E1921</f>
        <v>0</v>
      </c>
      <c r="H66" s="256">
        <f>Balanza!G2193</f>
        <v>0</v>
      </c>
      <c r="I66" s="652">
        <f t="shared" si="3"/>
        <v>0</v>
      </c>
      <c r="J66" s="131"/>
      <c r="K66" s="131"/>
      <c r="L66" s="131"/>
      <c r="M66" s="131"/>
      <c r="N66" s="131"/>
      <c r="O66" s="131"/>
      <c r="P66" s="131"/>
      <c r="Q66" s="131"/>
      <c r="R66" s="131"/>
      <c r="S66" s="131"/>
      <c r="T66" s="131"/>
      <c r="U66" s="131"/>
      <c r="V66" s="131"/>
      <c r="W66" s="131"/>
      <c r="X66" s="131"/>
      <c r="Y66" s="131"/>
      <c r="Z66" s="131"/>
    </row>
    <row r="67" spans="1:26" ht="15.75" customHeight="1">
      <c r="A67" s="188"/>
      <c r="B67" s="210"/>
      <c r="C67" s="626" t="s">
        <v>7390</v>
      </c>
      <c r="D67" s="256">
        <f>Balanza!H1379</f>
        <v>581600137.83000004</v>
      </c>
      <c r="E67" s="256">
        <f>Balanza!H1651</f>
        <v>-581600137.83000004</v>
      </c>
      <c r="F67" s="652">
        <f t="shared" si="1"/>
        <v>0</v>
      </c>
      <c r="G67" s="256">
        <f>Balanza!E1923</f>
        <v>0</v>
      </c>
      <c r="H67" s="256">
        <f>Balanza!G2195</f>
        <v>0</v>
      </c>
      <c r="I67" s="652">
        <f t="shared" si="3"/>
        <v>0</v>
      </c>
      <c r="J67" s="131"/>
      <c r="K67" s="131"/>
      <c r="L67" s="131"/>
      <c r="M67" s="131"/>
      <c r="N67" s="131"/>
      <c r="O67" s="131"/>
      <c r="P67" s="131"/>
      <c r="Q67" s="131"/>
      <c r="R67" s="131"/>
      <c r="S67" s="131"/>
      <c r="T67" s="131"/>
      <c r="U67" s="131"/>
      <c r="V67" s="131"/>
      <c r="W67" s="131"/>
      <c r="X67" s="131"/>
      <c r="Y67" s="131"/>
      <c r="Z67" s="131"/>
    </row>
    <row r="68" spans="1:26" ht="15.75" customHeight="1">
      <c r="A68" s="188"/>
      <c r="B68" s="653" t="s">
        <v>7391</v>
      </c>
      <c r="C68" s="626" t="s">
        <v>7319</v>
      </c>
      <c r="D68" s="650">
        <f t="shared" ref="D68:E68" si="18">SUM(D69:D71)</f>
        <v>0</v>
      </c>
      <c r="E68" s="650">
        <f t="shared" si="18"/>
        <v>0</v>
      </c>
      <c r="F68" s="650">
        <f t="shared" si="1"/>
        <v>0</v>
      </c>
      <c r="G68" s="650">
        <f t="shared" ref="G68:H68" si="19">SUM(G69:G71)</f>
        <v>0</v>
      </c>
      <c r="H68" s="650">
        <f t="shared" si="19"/>
        <v>0</v>
      </c>
      <c r="I68" s="652">
        <f t="shared" si="3"/>
        <v>0</v>
      </c>
      <c r="J68" s="131"/>
      <c r="K68" s="131"/>
      <c r="L68" s="131"/>
      <c r="M68" s="131"/>
      <c r="N68" s="131"/>
      <c r="O68" s="131"/>
      <c r="P68" s="131"/>
      <c r="Q68" s="131"/>
      <c r="R68" s="131"/>
      <c r="S68" s="131"/>
      <c r="T68" s="131"/>
      <c r="U68" s="131"/>
      <c r="V68" s="131"/>
      <c r="W68" s="131"/>
      <c r="X68" s="131"/>
      <c r="Y68" s="131"/>
      <c r="Z68" s="131"/>
    </row>
    <row r="69" spans="1:26" ht="15.75" customHeight="1">
      <c r="A69" s="188"/>
      <c r="B69" s="131"/>
      <c r="C69" s="626" t="s">
        <v>7392</v>
      </c>
      <c r="D69" s="652">
        <f>Balanza!H1382</f>
        <v>0</v>
      </c>
      <c r="E69" s="652">
        <f>Balanza!H1654</f>
        <v>0</v>
      </c>
      <c r="F69" s="652">
        <f t="shared" si="1"/>
        <v>0</v>
      </c>
      <c r="G69" s="652">
        <f>Balanza!E1926</f>
        <v>0</v>
      </c>
      <c r="H69" s="652">
        <f>Balanza!G2198</f>
        <v>0</v>
      </c>
      <c r="I69" s="652">
        <f t="shared" si="3"/>
        <v>0</v>
      </c>
      <c r="J69" s="131"/>
      <c r="K69" s="131"/>
      <c r="L69" s="131"/>
      <c r="M69" s="131"/>
      <c r="N69" s="131"/>
      <c r="O69" s="131"/>
      <c r="P69" s="131"/>
      <c r="Q69" s="131"/>
      <c r="R69" s="131"/>
      <c r="S69" s="131"/>
      <c r="T69" s="131"/>
      <c r="U69" s="131"/>
      <c r="V69" s="131"/>
      <c r="W69" s="131"/>
      <c r="X69" s="131"/>
      <c r="Y69" s="131"/>
      <c r="Z69" s="131"/>
    </row>
    <row r="70" spans="1:26" ht="15.75" customHeight="1">
      <c r="A70" s="188"/>
      <c r="B70" s="131"/>
      <c r="C70" s="626" t="s">
        <v>7393</v>
      </c>
      <c r="D70" s="652">
        <f>Balanza!H1384</f>
        <v>0</v>
      </c>
      <c r="E70" s="652">
        <f>Balanza!H1656</f>
        <v>0</v>
      </c>
      <c r="F70" s="652">
        <f t="shared" si="1"/>
        <v>0</v>
      </c>
      <c r="G70" s="652">
        <f>Balanza!E1928</f>
        <v>0</v>
      </c>
      <c r="H70" s="652">
        <f>Balanza!G2200</f>
        <v>0</v>
      </c>
      <c r="I70" s="652">
        <f t="shared" si="3"/>
        <v>0</v>
      </c>
      <c r="J70" s="131"/>
      <c r="K70" s="131"/>
      <c r="L70" s="131"/>
      <c r="M70" s="131"/>
      <c r="N70" s="131"/>
      <c r="O70" s="131"/>
      <c r="P70" s="131"/>
      <c r="Q70" s="131"/>
      <c r="R70" s="131"/>
      <c r="S70" s="131"/>
      <c r="T70" s="131"/>
      <c r="U70" s="131"/>
      <c r="V70" s="131"/>
      <c r="W70" s="131"/>
      <c r="X70" s="131"/>
      <c r="Y70" s="131"/>
      <c r="Z70" s="131"/>
    </row>
    <row r="71" spans="1:26" ht="15.75" customHeight="1">
      <c r="A71" s="188"/>
      <c r="B71" s="131"/>
      <c r="C71" s="626" t="s">
        <v>7394</v>
      </c>
      <c r="D71" s="256">
        <f>Balanza!H1386</f>
        <v>0</v>
      </c>
      <c r="E71" s="256">
        <f>Balanza!H1658</f>
        <v>0</v>
      </c>
      <c r="F71" s="652">
        <f t="shared" si="1"/>
        <v>0</v>
      </c>
      <c r="G71" s="256">
        <f>Balanza!E1930</f>
        <v>0</v>
      </c>
      <c r="H71" s="256">
        <f>Balanza!G2202</f>
        <v>0</v>
      </c>
      <c r="I71" s="652">
        <f t="shared" si="3"/>
        <v>0</v>
      </c>
      <c r="J71" s="131"/>
      <c r="K71" s="131"/>
      <c r="L71" s="131"/>
      <c r="M71" s="131"/>
      <c r="N71" s="131"/>
      <c r="O71" s="131"/>
      <c r="P71" s="131"/>
      <c r="Q71" s="131"/>
      <c r="R71" s="131"/>
      <c r="S71" s="131"/>
      <c r="T71" s="131"/>
      <c r="U71" s="131"/>
      <c r="V71" s="131"/>
      <c r="W71" s="131"/>
      <c r="X71" s="131"/>
      <c r="Y71" s="131"/>
      <c r="Z71" s="131"/>
    </row>
    <row r="72" spans="1:26" ht="15.75" customHeight="1">
      <c r="A72" s="188"/>
      <c r="B72" s="653" t="s">
        <v>7330</v>
      </c>
      <c r="C72" s="626" t="s">
        <v>7320</v>
      </c>
      <c r="D72" s="650">
        <f t="shared" ref="D72:E72" si="20">SUM(D73:D79)</f>
        <v>240544973.09</v>
      </c>
      <c r="E72" s="650">
        <f t="shared" si="20"/>
        <v>318215510.94999999</v>
      </c>
      <c r="F72" s="650">
        <f t="shared" si="1"/>
        <v>558760484.03999996</v>
      </c>
      <c r="G72" s="650">
        <f t="shared" ref="G72:H72" si="21">SUM(G73:G79)</f>
        <v>263882522.37</v>
      </c>
      <c r="H72" s="650">
        <f t="shared" si="21"/>
        <v>263882522.37</v>
      </c>
      <c r="I72" s="650">
        <f t="shared" si="3"/>
        <v>294877961.66999996</v>
      </c>
      <c r="J72" s="131"/>
      <c r="K72" s="131"/>
      <c r="L72" s="131"/>
      <c r="M72" s="131"/>
      <c r="N72" s="131"/>
      <c r="O72" s="131"/>
      <c r="P72" s="131"/>
      <c r="Q72" s="131"/>
      <c r="R72" s="131"/>
      <c r="S72" s="131"/>
      <c r="T72" s="131"/>
      <c r="U72" s="131"/>
      <c r="V72" s="131"/>
      <c r="W72" s="131"/>
      <c r="X72" s="131"/>
      <c r="Y72" s="131"/>
      <c r="Z72" s="131"/>
    </row>
    <row r="73" spans="1:26" ht="15.75" customHeight="1">
      <c r="A73" s="188"/>
      <c r="B73" s="651"/>
      <c r="C73" s="626" t="s">
        <v>7395</v>
      </c>
      <c r="D73" s="256">
        <f>Balanza!H1389</f>
        <v>114059568.03</v>
      </c>
      <c r="E73" s="256">
        <f>Balanza!H1661</f>
        <v>300000000</v>
      </c>
      <c r="F73" s="652">
        <f t="shared" si="1"/>
        <v>414059568.02999997</v>
      </c>
      <c r="G73" s="256">
        <f>Balanza!E1933</f>
        <v>198205039.28999999</v>
      </c>
      <c r="H73" s="256">
        <f>Balanza!G2205</f>
        <v>198205039.28999999</v>
      </c>
      <c r="I73" s="652">
        <f t="shared" si="3"/>
        <v>215854528.73999998</v>
      </c>
      <c r="J73" s="131"/>
      <c r="K73" s="131"/>
      <c r="L73" s="131"/>
      <c r="M73" s="131"/>
      <c r="N73" s="131"/>
      <c r="O73" s="131"/>
      <c r="P73" s="131"/>
      <c r="Q73" s="131"/>
      <c r="R73" s="131"/>
      <c r="S73" s="131"/>
      <c r="T73" s="131"/>
      <c r="U73" s="131"/>
      <c r="V73" s="131"/>
      <c r="W73" s="131"/>
      <c r="X73" s="131"/>
      <c r="Y73" s="131"/>
      <c r="Z73" s="131"/>
    </row>
    <row r="74" spans="1:26" ht="15.75" customHeight="1">
      <c r="A74" s="188"/>
      <c r="B74" s="210"/>
      <c r="C74" s="626" t="s">
        <v>7396</v>
      </c>
      <c r="D74" s="256">
        <f>Balanza!H1391</f>
        <v>123278405.06</v>
      </c>
      <c r="E74" s="256">
        <f>Balanza!H1663</f>
        <v>18215510.949999999</v>
      </c>
      <c r="F74" s="652">
        <f t="shared" si="1"/>
        <v>141493916.00999999</v>
      </c>
      <c r="G74" s="256">
        <f>Balanza!E1935</f>
        <v>65261066.200000003</v>
      </c>
      <c r="H74" s="256">
        <f>Balanza!G2207</f>
        <v>65261066.200000003</v>
      </c>
      <c r="I74" s="652">
        <f t="shared" si="3"/>
        <v>76232849.809999987</v>
      </c>
      <c r="J74" s="131"/>
      <c r="K74" s="131"/>
      <c r="L74" s="131"/>
      <c r="M74" s="131"/>
      <c r="N74" s="131"/>
      <c r="O74" s="131"/>
      <c r="P74" s="131"/>
      <c r="Q74" s="131"/>
      <c r="R74" s="131"/>
      <c r="S74" s="131"/>
      <c r="T74" s="131"/>
      <c r="U74" s="131"/>
      <c r="V74" s="131"/>
      <c r="W74" s="131"/>
      <c r="X74" s="131"/>
      <c r="Y74" s="131"/>
      <c r="Z74" s="131"/>
    </row>
    <row r="75" spans="1:26" ht="15.75" customHeight="1">
      <c r="A75" s="188"/>
      <c r="B75" s="210"/>
      <c r="C75" s="626" t="s">
        <v>7397</v>
      </c>
      <c r="D75" s="256">
        <f>Balanza!H1393</f>
        <v>0</v>
      </c>
      <c r="E75" s="256">
        <f>Balanza!H1665</f>
        <v>0</v>
      </c>
      <c r="F75" s="652">
        <f t="shared" si="1"/>
        <v>0</v>
      </c>
      <c r="G75" s="256">
        <f>Balanza!E1937</f>
        <v>0</v>
      </c>
      <c r="H75" s="256">
        <f>Balanza!G2209</f>
        <v>0</v>
      </c>
      <c r="I75" s="652">
        <f t="shared" si="3"/>
        <v>0</v>
      </c>
      <c r="J75" s="131"/>
      <c r="K75" s="131"/>
      <c r="L75" s="131"/>
      <c r="M75" s="131"/>
      <c r="N75" s="131"/>
      <c r="O75" s="131"/>
      <c r="P75" s="131"/>
      <c r="Q75" s="131"/>
      <c r="R75" s="131"/>
      <c r="S75" s="131"/>
      <c r="T75" s="131"/>
      <c r="U75" s="131"/>
      <c r="V75" s="131"/>
      <c r="W75" s="131"/>
      <c r="X75" s="131"/>
      <c r="Y75" s="131"/>
      <c r="Z75" s="131"/>
    </row>
    <row r="76" spans="1:26" ht="15.75" customHeight="1">
      <c r="A76" s="188"/>
      <c r="B76" s="210"/>
      <c r="C76" s="626" t="s">
        <v>7398</v>
      </c>
      <c r="D76" s="256">
        <f>Balanza!H1395</f>
        <v>3207000</v>
      </c>
      <c r="E76" s="256">
        <f>Balanza!H1667</f>
        <v>0</v>
      </c>
      <c r="F76" s="652">
        <f t="shared" si="1"/>
        <v>3207000</v>
      </c>
      <c r="G76" s="256">
        <f>Balanza!E1939</f>
        <v>416416.88</v>
      </c>
      <c r="H76" s="256">
        <f>Balanza!G2211</f>
        <v>416416.88</v>
      </c>
      <c r="I76" s="652">
        <f t="shared" si="3"/>
        <v>2790583.12</v>
      </c>
      <c r="J76" s="131"/>
      <c r="K76" s="131"/>
      <c r="L76" s="131"/>
      <c r="M76" s="131"/>
      <c r="N76" s="131"/>
      <c r="O76" s="131"/>
      <c r="P76" s="131"/>
      <c r="Q76" s="131"/>
      <c r="R76" s="131"/>
      <c r="S76" s="131"/>
      <c r="T76" s="131"/>
      <c r="U76" s="131"/>
      <c r="V76" s="131"/>
      <c r="W76" s="131"/>
      <c r="X76" s="131"/>
      <c r="Y76" s="131"/>
      <c r="Z76" s="131"/>
    </row>
    <row r="77" spans="1:26" ht="15.75" customHeight="1">
      <c r="A77" s="188"/>
      <c r="B77" s="210"/>
      <c r="C77" s="626" t="s">
        <v>7399</v>
      </c>
      <c r="D77" s="256">
        <f>Balanza!H1397</f>
        <v>0</v>
      </c>
      <c r="E77" s="256">
        <f>Balanza!H1669</f>
        <v>0</v>
      </c>
      <c r="F77" s="652">
        <f t="shared" si="1"/>
        <v>0</v>
      </c>
      <c r="G77" s="256">
        <f>Balanza!E1941</f>
        <v>0</v>
      </c>
      <c r="H77" s="256">
        <f>Balanza!G2213</f>
        <v>0</v>
      </c>
      <c r="I77" s="652">
        <f t="shared" si="3"/>
        <v>0</v>
      </c>
      <c r="J77" s="131"/>
      <c r="K77" s="131"/>
      <c r="L77" s="131"/>
      <c r="M77" s="131"/>
      <c r="N77" s="131"/>
      <c r="O77" s="131"/>
      <c r="P77" s="131"/>
      <c r="Q77" s="131"/>
      <c r="R77" s="131"/>
      <c r="S77" s="131"/>
      <c r="T77" s="131"/>
      <c r="U77" s="131"/>
      <c r="V77" s="131"/>
      <c r="W77" s="131"/>
      <c r="X77" s="131"/>
      <c r="Y77" s="131"/>
      <c r="Z77" s="131"/>
    </row>
    <row r="78" spans="1:26" ht="15.75" customHeight="1">
      <c r="A78" s="188"/>
      <c r="B78" s="210"/>
      <c r="C78" s="626" t="s">
        <v>7400</v>
      </c>
      <c r="D78" s="256">
        <f>Balanza!H1399</f>
        <v>0</v>
      </c>
      <c r="E78" s="256">
        <f>Balanza!H1671</f>
        <v>0</v>
      </c>
      <c r="F78" s="652">
        <f t="shared" si="1"/>
        <v>0</v>
      </c>
      <c r="G78" s="256">
        <f>Balanza!E1943</f>
        <v>0</v>
      </c>
      <c r="H78" s="256">
        <f>Balanza!G2215</f>
        <v>0</v>
      </c>
      <c r="I78" s="652">
        <f t="shared" si="3"/>
        <v>0</v>
      </c>
      <c r="J78" s="131"/>
      <c r="K78" s="131"/>
      <c r="L78" s="131"/>
      <c r="M78" s="131"/>
      <c r="N78" s="131"/>
      <c r="O78" s="131"/>
      <c r="P78" s="131"/>
      <c r="Q78" s="131"/>
      <c r="R78" s="131"/>
      <c r="S78" s="131"/>
      <c r="T78" s="131"/>
      <c r="U78" s="131"/>
      <c r="V78" s="131"/>
      <c r="W78" s="131"/>
      <c r="X78" s="131"/>
      <c r="Y78" s="131"/>
      <c r="Z78" s="131"/>
    </row>
    <row r="79" spans="1:26" ht="15.75" customHeight="1">
      <c r="A79" s="188"/>
      <c r="B79" s="210"/>
      <c r="C79" s="133" t="s">
        <v>7401</v>
      </c>
      <c r="D79" s="256">
        <f>Balanza!H1401</f>
        <v>0</v>
      </c>
      <c r="E79" s="256">
        <f>Balanza!H1673</f>
        <v>0</v>
      </c>
      <c r="F79" s="652">
        <f t="shared" si="1"/>
        <v>0</v>
      </c>
      <c r="G79" s="256">
        <f>Balanza!E1945</f>
        <v>0</v>
      </c>
      <c r="H79" s="256">
        <f>Balanza!G2217</f>
        <v>0</v>
      </c>
      <c r="I79" s="652">
        <f t="shared" si="3"/>
        <v>0</v>
      </c>
      <c r="J79" s="131"/>
      <c r="K79" s="131"/>
      <c r="L79" s="131"/>
      <c r="M79" s="131"/>
      <c r="N79" s="131"/>
      <c r="O79" s="131"/>
      <c r="P79" s="131"/>
      <c r="Q79" s="131"/>
      <c r="R79" s="131"/>
      <c r="S79" s="131"/>
      <c r="T79" s="131"/>
      <c r="U79" s="131"/>
      <c r="V79" s="131"/>
      <c r="W79" s="131"/>
      <c r="X79" s="131"/>
      <c r="Y79" s="131"/>
      <c r="Z79" s="131"/>
    </row>
    <row r="80" spans="1:26" ht="15.75" customHeight="1">
      <c r="A80" s="188"/>
      <c r="B80" s="144"/>
      <c r="C80" s="655"/>
      <c r="D80" s="650"/>
      <c r="E80" s="650"/>
      <c r="F80" s="650"/>
      <c r="G80" s="650"/>
      <c r="H80" s="650"/>
      <c r="I80" s="650"/>
      <c r="J80" s="131"/>
      <c r="K80" s="131"/>
      <c r="L80" s="131"/>
      <c r="M80" s="131"/>
      <c r="N80" s="131"/>
      <c r="O80" s="131"/>
      <c r="P80" s="131"/>
      <c r="Q80" s="131"/>
      <c r="R80" s="131"/>
      <c r="S80" s="131"/>
      <c r="T80" s="131"/>
      <c r="U80" s="131"/>
      <c r="V80" s="131"/>
      <c r="W80" s="131"/>
      <c r="X80" s="131"/>
      <c r="Y80" s="131"/>
      <c r="Z80" s="131"/>
    </row>
    <row r="81" spans="1:26" ht="15.75" customHeight="1">
      <c r="A81" s="656" t="s">
        <v>7402</v>
      </c>
      <c r="B81" s="657" t="s">
        <v>6314</v>
      </c>
      <c r="C81" s="658"/>
      <c r="D81" s="650">
        <f t="shared" ref="D81:E81" si="22">D82+D90+D100+D110+D120+D130+D134+D143+D147</f>
        <v>0</v>
      </c>
      <c r="E81" s="650">
        <f t="shared" si="22"/>
        <v>9261366.3200000003</v>
      </c>
      <c r="F81" s="650">
        <f t="shared" ref="F81:F153" si="23">D81+E81</f>
        <v>9261366.3200000003</v>
      </c>
      <c r="G81" s="650">
        <f t="shared" ref="G81:H81" si="24">G82+G90+G100+G110+G120+G130+G134+G143+G147</f>
        <v>12270490.18</v>
      </c>
      <c r="H81" s="650">
        <f t="shared" si="24"/>
        <v>0</v>
      </c>
      <c r="I81" s="650">
        <f t="shared" ref="I81:I153" si="25">F81-G81</f>
        <v>-3009123.8599999994</v>
      </c>
      <c r="J81" s="131"/>
      <c r="K81" s="131"/>
      <c r="L81" s="131"/>
      <c r="M81" s="131"/>
      <c r="N81" s="131"/>
      <c r="O81" s="131"/>
      <c r="P81" s="131"/>
      <c r="Q81" s="131"/>
      <c r="R81" s="131"/>
      <c r="S81" s="131"/>
      <c r="T81" s="131"/>
      <c r="U81" s="131"/>
      <c r="V81" s="131"/>
      <c r="W81" s="131"/>
      <c r="X81" s="131"/>
      <c r="Y81" s="131"/>
      <c r="Z81" s="131"/>
    </row>
    <row r="82" spans="1:26" ht="15.75" customHeight="1">
      <c r="A82" s="659"/>
      <c r="B82" s="182" t="s">
        <v>7331</v>
      </c>
      <c r="C82" s="626" t="s">
        <v>4389</v>
      </c>
      <c r="D82" s="650">
        <f t="shared" ref="D82:E82" si="26">SUM(D83:D89)</f>
        <v>0</v>
      </c>
      <c r="E82" s="650">
        <f t="shared" si="26"/>
        <v>0</v>
      </c>
      <c r="F82" s="650">
        <f t="shared" si="23"/>
        <v>0</v>
      </c>
      <c r="G82" s="650">
        <f t="shared" ref="G82:H82" si="27">SUM(G83:G89)</f>
        <v>0</v>
      </c>
      <c r="H82" s="650">
        <f t="shared" si="27"/>
        <v>0</v>
      </c>
      <c r="I82" s="650">
        <f t="shared" si="25"/>
        <v>0</v>
      </c>
      <c r="J82" s="131"/>
      <c r="K82" s="131"/>
      <c r="L82" s="131"/>
      <c r="M82" s="131"/>
      <c r="N82" s="131"/>
      <c r="O82" s="131"/>
      <c r="P82" s="131"/>
      <c r="Q82" s="131"/>
      <c r="R82" s="131"/>
      <c r="S82" s="131"/>
      <c r="T82" s="131"/>
      <c r="U82" s="131"/>
      <c r="V82" s="131"/>
      <c r="W82" s="131"/>
      <c r="X82" s="131"/>
      <c r="Y82" s="131"/>
      <c r="Z82" s="131"/>
    </row>
    <row r="83" spans="1:26" ht="15.75" customHeight="1">
      <c r="A83" s="188"/>
      <c r="B83" s="651"/>
      <c r="C83" s="626" t="s">
        <v>7332</v>
      </c>
      <c r="D83" s="256">
        <f>Balanza!H1270</f>
        <v>0</v>
      </c>
      <c r="E83" s="256">
        <f>Balanza!H1542</f>
        <v>0</v>
      </c>
      <c r="F83" s="652">
        <f t="shared" si="23"/>
        <v>0</v>
      </c>
      <c r="G83" s="256">
        <f>Balanza!E1814</f>
        <v>0</v>
      </c>
      <c r="H83" s="256">
        <f>Balanza!G2086</f>
        <v>0</v>
      </c>
      <c r="I83" s="652">
        <f t="shared" si="25"/>
        <v>0</v>
      </c>
      <c r="J83" s="131"/>
      <c r="K83" s="131"/>
      <c r="L83" s="131"/>
      <c r="M83" s="131"/>
      <c r="N83" s="131"/>
      <c r="O83" s="131"/>
      <c r="P83" s="131"/>
      <c r="Q83" s="131"/>
      <c r="R83" s="131"/>
      <c r="S83" s="131"/>
      <c r="T83" s="131"/>
      <c r="U83" s="131"/>
      <c r="V83" s="131"/>
      <c r="W83" s="131"/>
      <c r="X83" s="131"/>
      <c r="Y83" s="131"/>
      <c r="Z83" s="131"/>
    </row>
    <row r="84" spans="1:26" ht="15.75" customHeight="1">
      <c r="A84" s="188"/>
      <c r="B84" s="210"/>
      <c r="C84" s="626" t="s">
        <v>7333</v>
      </c>
      <c r="D84" s="256">
        <f>Balanza!H1272</f>
        <v>0</v>
      </c>
      <c r="E84" s="256">
        <f>Balanza!H1544</f>
        <v>0</v>
      </c>
      <c r="F84" s="652">
        <f t="shared" si="23"/>
        <v>0</v>
      </c>
      <c r="G84" s="256">
        <f>Balanza!E1816</f>
        <v>0</v>
      </c>
      <c r="H84" s="256">
        <f>Balanza!G2088</f>
        <v>0</v>
      </c>
      <c r="I84" s="652">
        <f t="shared" si="25"/>
        <v>0</v>
      </c>
      <c r="J84" s="131"/>
      <c r="K84" s="131"/>
      <c r="L84" s="131"/>
      <c r="M84" s="131"/>
      <c r="N84" s="131"/>
      <c r="O84" s="131"/>
      <c r="P84" s="131"/>
      <c r="Q84" s="131"/>
      <c r="R84" s="131"/>
      <c r="S84" s="131"/>
      <c r="T84" s="131"/>
      <c r="U84" s="131"/>
      <c r="V84" s="131"/>
      <c r="W84" s="131"/>
      <c r="X84" s="131"/>
      <c r="Y84" s="131"/>
      <c r="Z84" s="131"/>
    </row>
    <row r="85" spans="1:26" ht="15.75" customHeight="1">
      <c r="A85" s="188"/>
      <c r="B85" s="210"/>
      <c r="C85" s="626" t="s">
        <v>7403</v>
      </c>
      <c r="D85" s="256">
        <f>Balanza!H1274</f>
        <v>0</v>
      </c>
      <c r="E85" s="256">
        <f>Balanza!H1546</f>
        <v>0</v>
      </c>
      <c r="F85" s="652">
        <f t="shared" si="23"/>
        <v>0</v>
      </c>
      <c r="G85" s="256">
        <f>Balanza!E1818</f>
        <v>0</v>
      </c>
      <c r="H85" s="256">
        <f>Balanza!G2090</f>
        <v>0</v>
      </c>
      <c r="I85" s="652">
        <f t="shared" si="25"/>
        <v>0</v>
      </c>
      <c r="J85" s="131"/>
      <c r="K85" s="131"/>
      <c r="L85" s="131"/>
      <c r="M85" s="131"/>
      <c r="N85" s="131"/>
      <c r="O85" s="131"/>
      <c r="P85" s="131"/>
      <c r="Q85" s="131"/>
      <c r="R85" s="131"/>
      <c r="S85" s="131"/>
      <c r="T85" s="131"/>
      <c r="U85" s="131"/>
      <c r="V85" s="131"/>
      <c r="W85" s="131"/>
      <c r="X85" s="131"/>
      <c r="Y85" s="131"/>
      <c r="Z85" s="131"/>
    </row>
    <row r="86" spans="1:26" ht="15.75" customHeight="1">
      <c r="A86" s="188"/>
      <c r="B86" s="210"/>
      <c r="C86" s="626" t="s">
        <v>7335</v>
      </c>
      <c r="D86" s="256">
        <f>Balanza!H1276</f>
        <v>0</v>
      </c>
      <c r="E86" s="256">
        <f>Balanza!H1548</f>
        <v>0</v>
      </c>
      <c r="F86" s="652">
        <f t="shared" si="23"/>
        <v>0</v>
      </c>
      <c r="G86" s="256">
        <f>Balanza!E1820</f>
        <v>0</v>
      </c>
      <c r="H86" s="256">
        <f>Balanza!G2092</f>
        <v>0</v>
      </c>
      <c r="I86" s="652">
        <f t="shared" si="25"/>
        <v>0</v>
      </c>
      <c r="J86" s="131"/>
      <c r="K86" s="131"/>
      <c r="L86" s="131"/>
      <c r="M86" s="131"/>
      <c r="N86" s="131"/>
      <c r="O86" s="131"/>
      <c r="P86" s="131"/>
      <c r="Q86" s="131"/>
      <c r="R86" s="131"/>
      <c r="S86" s="131"/>
      <c r="T86" s="131"/>
      <c r="U86" s="131"/>
      <c r="V86" s="131"/>
      <c r="W86" s="131"/>
      <c r="X86" s="131"/>
      <c r="Y86" s="131"/>
      <c r="Z86" s="131"/>
    </row>
    <row r="87" spans="1:26" ht="15.75" customHeight="1">
      <c r="A87" s="188"/>
      <c r="B87" s="210"/>
      <c r="C87" s="626" t="s">
        <v>7336</v>
      </c>
      <c r="D87" s="256">
        <f>Balanza!H1278</f>
        <v>0</v>
      </c>
      <c r="E87" s="256">
        <f>Balanza!H1550</f>
        <v>0</v>
      </c>
      <c r="F87" s="652">
        <f t="shared" si="23"/>
        <v>0</v>
      </c>
      <c r="G87" s="256">
        <f>Balanza!E1822</f>
        <v>0</v>
      </c>
      <c r="H87" s="256">
        <f>Balanza!G2094</f>
        <v>0</v>
      </c>
      <c r="I87" s="652">
        <f t="shared" si="25"/>
        <v>0</v>
      </c>
      <c r="J87" s="131"/>
      <c r="K87" s="131"/>
      <c r="L87" s="131"/>
      <c r="M87" s="131"/>
      <c r="N87" s="131"/>
      <c r="O87" s="131"/>
      <c r="P87" s="131"/>
      <c r="Q87" s="131"/>
      <c r="R87" s="131"/>
      <c r="S87" s="131"/>
      <c r="T87" s="131"/>
      <c r="U87" s="131"/>
      <c r="V87" s="131"/>
      <c r="W87" s="131"/>
      <c r="X87" s="131"/>
      <c r="Y87" s="131"/>
      <c r="Z87" s="131"/>
    </row>
    <row r="88" spans="1:26" ht="15.75" customHeight="1">
      <c r="A88" s="188"/>
      <c r="B88" s="210"/>
      <c r="C88" s="626" t="s">
        <v>7337</v>
      </c>
      <c r="D88" s="256">
        <f>Balanza!H1280</f>
        <v>0</v>
      </c>
      <c r="E88" s="256">
        <f>Balanza!H1552</f>
        <v>0</v>
      </c>
      <c r="F88" s="652">
        <f t="shared" si="23"/>
        <v>0</v>
      </c>
      <c r="G88" s="256">
        <f>Balanza!E1824</f>
        <v>0</v>
      </c>
      <c r="H88" s="256">
        <f>Balanza!G2096</f>
        <v>0</v>
      </c>
      <c r="I88" s="652">
        <f t="shared" si="25"/>
        <v>0</v>
      </c>
      <c r="J88" s="131"/>
      <c r="K88" s="131"/>
      <c r="L88" s="131"/>
      <c r="M88" s="131"/>
      <c r="N88" s="131"/>
      <c r="O88" s="131"/>
      <c r="P88" s="131"/>
      <c r="Q88" s="131"/>
      <c r="R88" s="131"/>
      <c r="S88" s="131"/>
      <c r="T88" s="131"/>
      <c r="U88" s="131"/>
      <c r="V88" s="131"/>
      <c r="W88" s="131"/>
      <c r="X88" s="131"/>
      <c r="Y88" s="131"/>
      <c r="Z88" s="131"/>
    </row>
    <row r="89" spans="1:26" ht="15.75" customHeight="1">
      <c r="A89" s="188"/>
      <c r="B89" s="210"/>
      <c r="C89" s="626" t="s">
        <v>7338</v>
      </c>
      <c r="D89" s="256">
        <f>Balanza!H1282</f>
        <v>0</v>
      </c>
      <c r="E89" s="256">
        <f>Balanza!H1554</f>
        <v>0</v>
      </c>
      <c r="F89" s="652">
        <f t="shared" si="23"/>
        <v>0</v>
      </c>
      <c r="G89" s="256">
        <f>Balanza!E1826</f>
        <v>0</v>
      </c>
      <c r="H89" s="256">
        <f>Balanza!G2098</f>
        <v>0</v>
      </c>
      <c r="I89" s="652">
        <f t="shared" si="25"/>
        <v>0</v>
      </c>
      <c r="J89" s="131"/>
      <c r="K89" s="131"/>
      <c r="L89" s="131"/>
      <c r="M89" s="131"/>
      <c r="N89" s="131"/>
      <c r="O89" s="131"/>
      <c r="P89" s="131"/>
      <c r="Q89" s="131"/>
      <c r="R89" s="131"/>
      <c r="S89" s="131"/>
      <c r="T89" s="131"/>
      <c r="U89" s="131"/>
      <c r="V89" s="131"/>
      <c r="W89" s="131"/>
      <c r="X89" s="131"/>
      <c r="Y89" s="131"/>
      <c r="Z89" s="131"/>
    </row>
    <row r="90" spans="1:26" ht="15.75" customHeight="1">
      <c r="A90" s="188"/>
      <c r="B90" s="653" t="s">
        <v>7339</v>
      </c>
      <c r="C90" s="626" t="s">
        <v>7404</v>
      </c>
      <c r="D90" s="650">
        <f t="shared" ref="D90:E90" si="28">SUM(D91:D99)</f>
        <v>0</v>
      </c>
      <c r="E90" s="650">
        <f t="shared" si="28"/>
        <v>0</v>
      </c>
      <c r="F90" s="650">
        <f t="shared" si="23"/>
        <v>0</v>
      </c>
      <c r="G90" s="650">
        <f t="shared" ref="G90:H90" si="29">SUM(G91:G99)</f>
        <v>0</v>
      </c>
      <c r="H90" s="650">
        <f t="shared" si="29"/>
        <v>0</v>
      </c>
      <c r="I90" s="650">
        <f t="shared" si="25"/>
        <v>0</v>
      </c>
      <c r="J90" s="131"/>
      <c r="K90" s="131"/>
      <c r="L90" s="131"/>
      <c r="M90" s="131"/>
      <c r="N90" s="131"/>
      <c r="O90" s="131"/>
      <c r="P90" s="131"/>
      <c r="Q90" s="131"/>
      <c r="R90" s="131"/>
      <c r="S90" s="131"/>
      <c r="T90" s="131"/>
      <c r="U90" s="131"/>
      <c r="V90" s="131"/>
      <c r="W90" s="131"/>
      <c r="X90" s="131"/>
      <c r="Y90" s="131"/>
      <c r="Z90" s="131"/>
    </row>
    <row r="91" spans="1:26" ht="17.25" customHeight="1">
      <c r="A91" s="188"/>
      <c r="B91" s="654"/>
      <c r="C91" s="602" t="s">
        <v>7340</v>
      </c>
      <c r="D91" s="256">
        <f>Balanza!H1285</f>
        <v>0</v>
      </c>
      <c r="E91" s="256">
        <f>Balanza!H1557</f>
        <v>0</v>
      </c>
      <c r="F91" s="652">
        <f t="shared" si="23"/>
        <v>0</v>
      </c>
      <c r="G91" s="256">
        <f>Balanza!E1829</f>
        <v>0</v>
      </c>
      <c r="H91" s="256">
        <f>Balanza!G2101</f>
        <v>0</v>
      </c>
      <c r="I91" s="652">
        <f t="shared" si="25"/>
        <v>0</v>
      </c>
      <c r="J91" s="131"/>
      <c r="K91" s="131"/>
      <c r="L91" s="131"/>
      <c r="M91" s="131"/>
      <c r="N91" s="131"/>
      <c r="O91" s="131"/>
      <c r="P91" s="131"/>
      <c r="Q91" s="131"/>
      <c r="R91" s="131"/>
      <c r="S91" s="131"/>
      <c r="T91" s="131"/>
      <c r="U91" s="131"/>
      <c r="V91" s="131"/>
      <c r="W91" s="131"/>
      <c r="X91" s="131"/>
      <c r="Y91" s="131"/>
      <c r="Z91" s="131"/>
    </row>
    <row r="92" spans="1:26" ht="15.75" customHeight="1">
      <c r="A92" s="188"/>
      <c r="B92" s="1"/>
      <c r="C92" s="626" t="s">
        <v>7341</v>
      </c>
      <c r="D92" s="256">
        <f>Balanza!H1287</f>
        <v>0</v>
      </c>
      <c r="E92" s="256">
        <f>Balanza!H1559</f>
        <v>0</v>
      </c>
      <c r="F92" s="652">
        <f t="shared" si="23"/>
        <v>0</v>
      </c>
      <c r="G92" s="256">
        <f>Balanza!E1831</f>
        <v>0</v>
      </c>
      <c r="H92" s="256">
        <f>Balanza!G2103</f>
        <v>0</v>
      </c>
      <c r="I92" s="652">
        <f t="shared" si="25"/>
        <v>0</v>
      </c>
      <c r="J92" s="131"/>
      <c r="K92" s="131"/>
      <c r="L92" s="131"/>
      <c r="M92" s="131"/>
      <c r="N92" s="131"/>
      <c r="O92" s="131"/>
      <c r="P92" s="131"/>
      <c r="Q92" s="131"/>
      <c r="R92" s="131"/>
      <c r="S92" s="131"/>
      <c r="T92" s="131"/>
      <c r="U92" s="131"/>
      <c r="V92" s="131"/>
      <c r="W92" s="131"/>
      <c r="X92" s="131"/>
      <c r="Y92" s="131"/>
      <c r="Z92" s="131"/>
    </row>
    <row r="93" spans="1:26" ht="15.75" customHeight="1">
      <c r="A93" s="188"/>
      <c r="B93" s="1"/>
      <c r="C93" s="626" t="s">
        <v>7342</v>
      </c>
      <c r="D93" s="652">
        <f>Balanza!H1289</f>
        <v>0</v>
      </c>
      <c r="E93" s="652">
        <f>Balanza!H1561</f>
        <v>0</v>
      </c>
      <c r="F93" s="652">
        <f t="shared" si="23"/>
        <v>0</v>
      </c>
      <c r="G93" s="652">
        <f>Balanza!E1833</f>
        <v>0</v>
      </c>
      <c r="H93" s="652">
        <f>Balanza!G2105</f>
        <v>0</v>
      </c>
      <c r="I93" s="652">
        <f t="shared" si="25"/>
        <v>0</v>
      </c>
      <c r="J93" s="131"/>
      <c r="K93" s="131"/>
      <c r="L93" s="131"/>
      <c r="M93" s="131"/>
      <c r="N93" s="131"/>
      <c r="O93" s="131"/>
      <c r="P93" s="131"/>
      <c r="Q93" s="131"/>
      <c r="R93" s="131"/>
      <c r="S93" s="131"/>
      <c r="T93" s="131"/>
      <c r="U93" s="131"/>
      <c r="V93" s="131"/>
      <c r="W93" s="131"/>
      <c r="X93" s="131"/>
      <c r="Y93" s="131"/>
      <c r="Z93" s="131"/>
    </row>
    <row r="94" spans="1:26" ht="15.75" customHeight="1">
      <c r="A94" s="188"/>
      <c r="B94" s="1"/>
      <c r="C94" s="626" t="s">
        <v>7343</v>
      </c>
      <c r="D94" s="256">
        <f>Balanza!H1291</f>
        <v>0</v>
      </c>
      <c r="E94" s="256">
        <f>Balanza!H1563</f>
        <v>0</v>
      </c>
      <c r="F94" s="652">
        <f t="shared" si="23"/>
        <v>0</v>
      </c>
      <c r="G94" s="256">
        <f>Balanza!E1835</f>
        <v>0</v>
      </c>
      <c r="H94" s="256">
        <f>Balanza!G2107</f>
        <v>0</v>
      </c>
      <c r="I94" s="652">
        <f t="shared" si="25"/>
        <v>0</v>
      </c>
      <c r="J94" s="131"/>
      <c r="K94" s="131"/>
      <c r="L94" s="131"/>
      <c r="M94" s="131"/>
      <c r="N94" s="131"/>
      <c r="O94" s="131"/>
      <c r="P94" s="131"/>
      <c r="Q94" s="131"/>
      <c r="R94" s="131"/>
      <c r="S94" s="131"/>
      <c r="T94" s="131"/>
      <c r="U94" s="131"/>
      <c r="V94" s="131"/>
      <c r="W94" s="131"/>
      <c r="X94" s="131"/>
      <c r="Y94" s="131"/>
      <c r="Z94" s="131"/>
    </row>
    <row r="95" spans="1:26" ht="15.75" customHeight="1">
      <c r="A95" s="188"/>
      <c r="B95" s="1"/>
      <c r="C95" s="626" t="s">
        <v>7344</v>
      </c>
      <c r="D95" s="256">
        <f>Balanza!H1293</f>
        <v>0</v>
      </c>
      <c r="E95" s="256">
        <f>Balanza!H1565</f>
        <v>0</v>
      </c>
      <c r="F95" s="652">
        <f t="shared" si="23"/>
        <v>0</v>
      </c>
      <c r="G95" s="256">
        <f>Balanza!E1837</f>
        <v>0</v>
      </c>
      <c r="H95" s="256">
        <f>Balanza!G2109</f>
        <v>0</v>
      </c>
      <c r="I95" s="652">
        <f t="shared" si="25"/>
        <v>0</v>
      </c>
      <c r="J95" s="131"/>
      <c r="K95" s="131"/>
      <c r="L95" s="131"/>
      <c r="M95" s="131"/>
      <c r="N95" s="131"/>
      <c r="O95" s="131"/>
      <c r="P95" s="131"/>
      <c r="Q95" s="131"/>
      <c r="R95" s="131"/>
      <c r="S95" s="131"/>
      <c r="T95" s="131"/>
      <c r="U95" s="131"/>
      <c r="V95" s="131"/>
      <c r="W95" s="131"/>
      <c r="X95" s="131"/>
      <c r="Y95" s="131"/>
      <c r="Z95" s="131"/>
    </row>
    <row r="96" spans="1:26" ht="15.75" customHeight="1">
      <c r="A96" s="188"/>
      <c r="B96" s="1"/>
      <c r="C96" s="626" t="s">
        <v>7345</v>
      </c>
      <c r="D96" s="256">
        <f>Balanza!H1295</f>
        <v>0</v>
      </c>
      <c r="E96" s="256">
        <f>Balanza!H1567</f>
        <v>0</v>
      </c>
      <c r="F96" s="652">
        <f t="shared" si="23"/>
        <v>0</v>
      </c>
      <c r="G96" s="256">
        <f>Balanza!E1839</f>
        <v>0</v>
      </c>
      <c r="H96" s="256">
        <f>Balanza!G2111</f>
        <v>0</v>
      </c>
      <c r="I96" s="652">
        <f t="shared" si="25"/>
        <v>0</v>
      </c>
      <c r="J96" s="131"/>
      <c r="K96" s="131"/>
      <c r="L96" s="131"/>
      <c r="M96" s="131"/>
      <c r="N96" s="131"/>
      <c r="O96" s="131"/>
      <c r="P96" s="131"/>
      <c r="Q96" s="131"/>
      <c r="R96" s="131"/>
      <c r="S96" s="131"/>
      <c r="T96" s="131"/>
      <c r="U96" s="131"/>
      <c r="V96" s="131"/>
      <c r="W96" s="131"/>
      <c r="X96" s="131"/>
      <c r="Y96" s="131"/>
      <c r="Z96" s="131"/>
    </row>
    <row r="97" spans="1:26" ht="15.75" customHeight="1">
      <c r="A97" s="188"/>
      <c r="B97" s="1"/>
      <c r="C97" s="626" t="s">
        <v>7346</v>
      </c>
      <c r="D97" s="256">
        <f>Balanza!H1297</f>
        <v>0</v>
      </c>
      <c r="E97" s="256">
        <f>Balanza!H1569</f>
        <v>0</v>
      </c>
      <c r="F97" s="652">
        <f t="shared" si="23"/>
        <v>0</v>
      </c>
      <c r="G97" s="256">
        <f>Balanza!E1841</f>
        <v>0</v>
      </c>
      <c r="H97" s="256">
        <f>Balanza!G2113</f>
        <v>0</v>
      </c>
      <c r="I97" s="652">
        <f t="shared" si="25"/>
        <v>0</v>
      </c>
      <c r="J97" s="131"/>
      <c r="K97" s="131"/>
      <c r="L97" s="131"/>
      <c r="M97" s="131"/>
      <c r="N97" s="131"/>
      <c r="O97" s="131"/>
      <c r="P97" s="131"/>
      <c r="Q97" s="131"/>
      <c r="R97" s="131"/>
      <c r="S97" s="131"/>
      <c r="T97" s="131"/>
      <c r="U97" s="131"/>
      <c r="V97" s="131"/>
      <c r="W97" s="131"/>
      <c r="X97" s="131"/>
      <c r="Y97" s="131"/>
      <c r="Z97" s="131"/>
    </row>
    <row r="98" spans="1:26" ht="15.75" customHeight="1">
      <c r="A98" s="188"/>
      <c r="B98" s="1"/>
      <c r="C98" s="626" t="s">
        <v>7347</v>
      </c>
      <c r="D98" s="256">
        <f>Balanza!H1299</f>
        <v>0</v>
      </c>
      <c r="E98" s="256">
        <f>Balanza!H1571</f>
        <v>0</v>
      </c>
      <c r="F98" s="652">
        <f t="shared" si="23"/>
        <v>0</v>
      </c>
      <c r="G98" s="256">
        <f>Balanza!E1843</f>
        <v>0</v>
      </c>
      <c r="H98" s="256">
        <f>Balanza!G2115</f>
        <v>0</v>
      </c>
      <c r="I98" s="652">
        <f t="shared" si="25"/>
        <v>0</v>
      </c>
      <c r="J98" s="131"/>
      <c r="K98" s="131"/>
      <c r="L98" s="131"/>
      <c r="M98" s="131"/>
      <c r="N98" s="131"/>
      <c r="O98" s="131"/>
      <c r="P98" s="131"/>
      <c r="Q98" s="131"/>
      <c r="R98" s="131"/>
      <c r="S98" s="131"/>
      <c r="T98" s="131"/>
      <c r="U98" s="131"/>
      <c r="V98" s="131"/>
      <c r="W98" s="131"/>
      <c r="X98" s="131"/>
      <c r="Y98" s="131"/>
      <c r="Z98" s="131"/>
    </row>
    <row r="99" spans="1:26" ht="15.75" customHeight="1">
      <c r="A99" s="188"/>
      <c r="B99" s="1"/>
      <c r="C99" s="626" t="s">
        <v>7348</v>
      </c>
      <c r="D99" s="256">
        <f>Balanza!H1301</f>
        <v>0</v>
      </c>
      <c r="E99" s="256">
        <f>Balanza!H1573</f>
        <v>0</v>
      </c>
      <c r="F99" s="652">
        <f t="shared" si="23"/>
        <v>0</v>
      </c>
      <c r="G99" s="256">
        <f>Balanza!E1845</f>
        <v>0</v>
      </c>
      <c r="H99" s="256">
        <f>Balanza!G2117</f>
        <v>0</v>
      </c>
      <c r="I99" s="652">
        <f t="shared" si="25"/>
        <v>0</v>
      </c>
      <c r="J99" s="131"/>
      <c r="K99" s="131"/>
      <c r="L99" s="131"/>
      <c r="M99" s="131"/>
      <c r="N99" s="131"/>
      <c r="O99" s="131"/>
      <c r="P99" s="131"/>
      <c r="Q99" s="131"/>
      <c r="R99" s="131"/>
      <c r="S99" s="131"/>
      <c r="T99" s="131"/>
      <c r="U99" s="131"/>
      <c r="V99" s="131"/>
      <c r="W99" s="131"/>
      <c r="X99" s="131"/>
      <c r="Y99" s="131"/>
      <c r="Z99" s="131"/>
    </row>
    <row r="100" spans="1:26" ht="15.75" customHeight="1">
      <c r="A100" s="188"/>
      <c r="B100" s="653" t="s">
        <v>7349</v>
      </c>
      <c r="C100" s="626" t="s">
        <v>4391</v>
      </c>
      <c r="D100" s="650">
        <f t="shared" ref="D100:E100" si="30">SUM(D101:D109)</f>
        <v>0</v>
      </c>
      <c r="E100" s="650">
        <f t="shared" si="30"/>
        <v>0</v>
      </c>
      <c r="F100" s="650">
        <f t="shared" si="23"/>
        <v>0</v>
      </c>
      <c r="G100" s="650">
        <f t="shared" ref="G100:H100" si="31">SUM(G101:G109)</f>
        <v>0</v>
      </c>
      <c r="H100" s="650">
        <f t="shared" si="31"/>
        <v>0</v>
      </c>
      <c r="I100" s="650">
        <f t="shared" si="25"/>
        <v>0</v>
      </c>
      <c r="J100" s="131"/>
      <c r="K100" s="131"/>
      <c r="L100" s="131"/>
      <c r="M100" s="131"/>
      <c r="N100" s="131"/>
      <c r="O100" s="131"/>
      <c r="P100" s="131"/>
      <c r="Q100" s="131"/>
      <c r="R100" s="131"/>
      <c r="S100" s="131"/>
      <c r="T100" s="131"/>
      <c r="U100" s="131"/>
      <c r="V100" s="131"/>
      <c r="W100" s="131"/>
      <c r="X100" s="131"/>
      <c r="Y100" s="131"/>
      <c r="Z100" s="131"/>
    </row>
    <row r="101" spans="1:26" ht="15.75" customHeight="1">
      <c r="A101" s="188"/>
      <c r="B101" s="651"/>
      <c r="C101" s="626" t="s">
        <v>7350</v>
      </c>
      <c r="D101" s="256">
        <f>Balanza!H1304</f>
        <v>0</v>
      </c>
      <c r="E101" s="256">
        <f>Balanza!H1576</f>
        <v>0</v>
      </c>
      <c r="F101" s="652">
        <f t="shared" si="23"/>
        <v>0</v>
      </c>
      <c r="G101" s="256">
        <f>Balanza!E1848</f>
        <v>0</v>
      </c>
      <c r="H101" s="256">
        <f>Balanza!G2120</f>
        <v>0</v>
      </c>
      <c r="I101" s="652">
        <f t="shared" si="25"/>
        <v>0</v>
      </c>
      <c r="J101" s="131"/>
      <c r="K101" s="131"/>
      <c r="L101" s="131"/>
      <c r="M101" s="131"/>
      <c r="N101" s="131"/>
      <c r="O101" s="131"/>
      <c r="P101" s="131"/>
      <c r="Q101" s="131"/>
      <c r="R101" s="131"/>
      <c r="S101" s="131"/>
      <c r="T101" s="131"/>
      <c r="U101" s="131"/>
      <c r="V101" s="131"/>
      <c r="W101" s="131"/>
      <c r="X101" s="131"/>
      <c r="Y101" s="131"/>
      <c r="Z101" s="131"/>
    </row>
    <row r="102" spans="1:26" ht="15.75" customHeight="1">
      <c r="A102" s="188"/>
      <c r="B102" s="210"/>
      <c r="C102" s="626" t="s">
        <v>7351</v>
      </c>
      <c r="D102" s="256">
        <f>Balanza!H1306</f>
        <v>0</v>
      </c>
      <c r="E102" s="256">
        <f>Balanza!H1578</f>
        <v>0</v>
      </c>
      <c r="F102" s="652">
        <f t="shared" si="23"/>
        <v>0</v>
      </c>
      <c r="G102" s="256">
        <f>Balanza!E1850</f>
        <v>0</v>
      </c>
      <c r="H102" s="256">
        <f>Balanza!G2122</f>
        <v>0</v>
      </c>
      <c r="I102" s="652">
        <f t="shared" si="25"/>
        <v>0</v>
      </c>
      <c r="J102" s="131"/>
      <c r="K102" s="131"/>
      <c r="L102" s="131"/>
      <c r="M102" s="131"/>
      <c r="N102" s="131"/>
      <c r="O102" s="131"/>
      <c r="P102" s="131"/>
      <c r="Q102" s="131"/>
      <c r="R102" s="131"/>
      <c r="S102" s="131"/>
      <c r="T102" s="131"/>
      <c r="U102" s="131"/>
      <c r="V102" s="131"/>
      <c r="W102" s="131"/>
      <c r="X102" s="131"/>
      <c r="Y102" s="131"/>
      <c r="Z102" s="131"/>
    </row>
    <row r="103" spans="1:26" ht="15.75" customHeight="1">
      <c r="A103" s="188"/>
      <c r="B103" s="210"/>
      <c r="C103" s="626" t="s">
        <v>7352</v>
      </c>
      <c r="D103" s="256">
        <f>Balanza!H1308</f>
        <v>0</v>
      </c>
      <c r="E103" s="256">
        <f>Balanza!H1580</f>
        <v>0</v>
      </c>
      <c r="F103" s="652">
        <f t="shared" si="23"/>
        <v>0</v>
      </c>
      <c r="G103" s="256">
        <f>Balanza!E1852</f>
        <v>0</v>
      </c>
      <c r="H103" s="256">
        <f>Balanza!G2124</f>
        <v>0</v>
      </c>
      <c r="I103" s="652">
        <f t="shared" si="25"/>
        <v>0</v>
      </c>
      <c r="J103" s="131"/>
      <c r="K103" s="131"/>
      <c r="L103" s="131"/>
      <c r="M103" s="131"/>
      <c r="N103" s="131"/>
      <c r="O103" s="131"/>
      <c r="P103" s="131"/>
      <c r="Q103" s="131"/>
      <c r="R103" s="131"/>
      <c r="S103" s="131"/>
      <c r="T103" s="131"/>
      <c r="U103" s="131"/>
      <c r="V103" s="131"/>
      <c r="W103" s="131"/>
      <c r="X103" s="131"/>
      <c r="Y103" s="131"/>
      <c r="Z103" s="131"/>
    </row>
    <row r="104" spans="1:26" ht="15.75" customHeight="1">
      <c r="A104" s="188"/>
      <c r="B104" s="210"/>
      <c r="C104" s="626" t="s">
        <v>7353</v>
      </c>
      <c r="D104" s="256">
        <f>Balanza!H1310</f>
        <v>0</v>
      </c>
      <c r="E104" s="256">
        <f>Balanza!H1582</f>
        <v>0</v>
      </c>
      <c r="F104" s="652">
        <f t="shared" si="23"/>
        <v>0</v>
      </c>
      <c r="G104" s="256">
        <f>Balanza!E1854</f>
        <v>0</v>
      </c>
      <c r="H104" s="256">
        <f>Balanza!G2126</f>
        <v>0</v>
      </c>
      <c r="I104" s="652">
        <f t="shared" si="25"/>
        <v>0</v>
      </c>
      <c r="J104" s="131"/>
      <c r="K104" s="131"/>
      <c r="L104" s="131"/>
      <c r="M104" s="131"/>
      <c r="N104" s="131"/>
      <c r="O104" s="131"/>
      <c r="P104" s="131"/>
      <c r="Q104" s="131"/>
      <c r="R104" s="131"/>
      <c r="S104" s="131"/>
      <c r="T104" s="131"/>
      <c r="U104" s="131"/>
      <c r="V104" s="131"/>
      <c r="W104" s="131"/>
      <c r="X104" s="131"/>
      <c r="Y104" s="131"/>
      <c r="Z104" s="131"/>
    </row>
    <row r="105" spans="1:26" ht="15.75" customHeight="1">
      <c r="A105" s="188"/>
      <c r="B105" s="210"/>
      <c r="C105" s="626" t="s">
        <v>7354</v>
      </c>
      <c r="D105" s="256">
        <f>Balanza!H1312</f>
        <v>0</v>
      </c>
      <c r="E105" s="256">
        <f>Balanza!H1584</f>
        <v>0</v>
      </c>
      <c r="F105" s="652">
        <f t="shared" si="23"/>
        <v>0</v>
      </c>
      <c r="G105" s="256">
        <f>Balanza!E1856</f>
        <v>0</v>
      </c>
      <c r="H105" s="256">
        <f>Balanza!G2128</f>
        <v>0</v>
      </c>
      <c r="I105" s="652">
        <f t="shared" si="25"/>
        <v>0</v>
      </c>
      <c r="J105" s="131"/>
      <c r="K105" s="131"/>
      <c r="L105" s="131"/>
      <c r="M105" s="131"/>
      <c r="N105" s="131"/>
      <c r="O105" s="131"/>
      <c r="P105" s="131"/>
      <c r="Q105" s="131"/>
      <c r="R105" s="131"/>
      <c r="S105" s="131"/>
      <c r="T105" s="131"/>
      <c r="U105" s="131"/>
      <c r="V105" s="131"/>
      <c r="W105" s="131"/>
      <c r="X105" s="131"/>
      <c r="Y105" s="131"/>
      <c r="Z105" s="131"/>
    </row>
    <row r="106" spans="1:26" ht="15.75" customHeight="1">
      <c r="A106" s="188"/>
      <c r="B106" s="210"/>
      <c r="C106" s="626" t="s">
        <v>7355</v>
      </c>
      <c r="D106" s="256">
        <f>Balanza!H1314</f>
        <v>0</v>
      </c>
      <c r="E106" s="256">
        <f>Balanza!H1586</f>
        <v>0</v>
      </c>
      <c r="F106" s="652">
        <f t="shared" si="23"/>
        <v>0</v>
      </c>
      <c r="G106" s="256">
        <f>Balanza!E1858</f>
        <v>0</v>
      </c>
      <c r="H106" s="256">
        <f>Balanza!G2130</f>
        <v>0</v>
      </c>
      <c r="I106" s="652">
        <f t="shared" si="25"/>
        <v>0</v>
      </c>
      <c r="J106" s="131"/>
      <c r="K106" s="131"/>
      <c r="L106" s="131"/>
      <c r="M106" s="131"/>
      <c r="N106" s="131"/>
      <c r="O106" s="131"/>
      <c r="P106" s="131"/>
      <c r="Q106" s="131"/>
      <c r="R106" s="131"/>
      <c r="S106" s="131"/>
      <c r="T106" s="131"/>
      <c r="U106" s="131"/>
      <c r="V106" s="131"/>
      <c r="W106" s="131"/>
      <c r="X106" s="131"/>
      <c r="Y106" s="131"/>
      <c r="Z106" s="131"/>
    </row>
    <row r="107" spans="1:26" ht="15.75" customHeight="1">
      <c r="A107" s="188"/>
      <c r="B107" s="210"/>
      <c r="C107" s="626" t="s">
        <v>7356</v>
      </c>
      <c r="D107" s="256">
        <f>Balanza!H1316</f>
        <v>0</v>
      </c>
      <c r="E107" s="256">
        <f>Balanza!H1588</f>
        <v>0</v>
      </c>
      <c r="F107" s="652">
        <f t="shared" si="23"/>
        <v>0</v>
      </c>
      <c r="G107" s="256">
        <f>Balanza!E1860</f>
        <v>0</v>
      </c>
      <c r="H107" s="256">
        <f>Balanza!G2132</f>
        <v>0</v>
      </c>
      <c r="I107" s="652">
        <f t="shared" si="25"/>
        <v>0</v>
      </c>
      <c r="J107" s="131"/>
      <c r="K107" s="131"/>
      <c r="L107" s="131"/>
      <c r="M107" s="131"/>
      <c r="N107" s="131"/>
      <c r="O107" s="131"/>
      <c r="P107" s="131"/>
      <c r="Q107" s="131"/>
      <c r="R107" s="131"/>
      <c r="S107" s="131"/>
      <c r="T107" s="131"/>
      <c r="U107" s="131"/>
      <c r="V107" s="131"/>
      <c r="W107" s="131"/>
      <c r="X107" s="131"/>
      <c r="Y107" s="131"/>
      <c r="Z107" s="131"/>
    </row>
    <row r="108" spans="1:26" ht="15.75" customHeight="1">
      <c r="A108" s="188"/>
      <c r="B108" s="210"/>
      <c r="C108" s="626" t="s">
        <v>7357</v>
      </c>
      <c r="D108" s="256">
        <f>Balanza!H1318</f>
        <v>0</v>
      </c>
      <c r="E108" s="256">
        <f>Balanza!H1590</f>
        <v>0</v>
      </c>
      <c r="F108" s="652">
        <f t="shared" si="23"/>
        <v>0</v>
      </c>
      <c r="G108" s="256">
        <f>Balanza!E1862</f>
        <v>0</v>
      </c>
      <c r="H108" s="256">
        <f>Balanza!G2134</f>
        <v>0</v>
      </c>
      <c r="I108" s="652">
        <f t="shared" si="25"/>
        <v>0</v>
      </c>
      <c r="J108" s="131"/>
      <c r="K108" s="131"/>
      <c r="L108" s="131"/>
      <c r="M108" s="131"/>
      <c r="N108" s="131"/>
      <c r="O108" s="131"/>
      <c r="P108" s="131"/>
      <c r="Q108" s="131"/>
      <c r="R108" s="131"/>
      <c r="S108" s="131"/>
      <c r="T108" s="131"/>
      <c r="U108" s="131"/>
      <c r="V108" s="131"/>
      <c r="W108" s="131"/>
      <c r="X108" s="131"/>
      <c r="Y108" s="131"/>
      <c r="Z108" s="131"/>
    </row>
    <row r="109" spans="1:26" ht="15.75" customHeight="1">
      <c r="A109" s="188"/>
      <c r="B109" s="210"/>
      <c r="C109" s="626" t="s">
        <v>7358</v>
      </c>
      <c r="D109" s="256">
        <f>Balanza!H1320</f>
        <v>0</v>
      </c>
      <c r="E109" s="256">
        <f>Balanza!H1592</f>
        <v>0</v>
      </c>
      <c r="F109" s="652">
        <f t="shared" si="23"/>
        <v>0</v>
      </c>
      <c r="G109" s="256">
        <f>Balanza!E1864</f>
        <v>0</v>
      </c>
      <c r="H109" s="256">
        <f>Balanza!G2136</f>
        <v>0</v>
      </c>
      <c r="I109" s="652">
        <f t="shared" si="25"/>
        <v>0</v>
      </c>
      <c r="J109" s="131"/>
      <c r="K109" s="131"/>
      <c r="L109" s="131"/>
      <c r="M109" s="131"/>
      <c r="N109" s="131"/>
      <c r="O109" s="131"/>
      <c r="P109" s="131"/>
      <c r="Q109" s="131"/>
      <c r="R109" s="131"/>
      <c r="S109" s="131"/>
      <c r="T109" s="131"/>
      <c r="U109" s="131"/>
      <c r="V109" s="131"/>
      <c r="W109" s="131"/>
      <c r="X109" s="131"/>
      <c r="Y109" s="131"/>
      <c r="Z109" s="131"/>
    </row>
    <row r="110" spans="1:26" ht="15.75" customHeight="1">
      <c r="A110" s="188"/>
      <c r="B110" s="653" t="s">
        <v>7359</v>
      </c>
      <c r="C110" s="626" t="s">
        <v>7405</v>
      </c>
      <c r="D110" s="650">
        <f t="shared" ref="D110:E110" si="32">SUM(D111:D119)</f>
        <v>0</v>
      </c>
      <c r="E110" s="650">
        <f t="shared" si="32"/>
        <v>0</v>
      </c>
      <c r="F110" s="650">
        <f t="shared" si="23"/>
        <v>0</v>
      </c>
      <c r="G110" s="650">
        <f t="shared" ref="G110:H110" si="33">SUM(G111:G119)</f>
        <v>0</v>
      </c>
      <c r="H110" s="650">
        <f t="shared" si="33"/>
        <v>0</v>
      </c>
      <c r="I110" s="650">
        <f t="shared" si="25"/>
        <v>0</v>
      </c>
      <c r="J110" s="131"/>
      <c r="K110" s="131"/>
      <c r="L110" s="131"/>
      <c r="M110" s="131"/>
      <c r="N110" s="131"/>
      <c r="O110" s="131"/>
      <c r="P110" s="131"/>
      <c r="Q110" s="131"/>
      <c r="R110" s="131"/>
      <c r="S110" s="131"/>
      <c r="T110" s="131"/>
      <c r="U110" s="131"/>
      <c r="V110" s="131"/>
      <c r="W110" s="131"/>
      <c r="X110" s="131"/>
      <c r="Y110" s="131"/>
      <c r="Z110" s="131"/>
    </row>
    <row r="111" spans="1:26" ht="15.75" customHeight="1">
      <c r="A111" s="188"/>
      <c r="B111" s="651"/>
      <c r="C111" s="626" t="s">
        <v>7360</v>
      </c>
      <c r="D111" s="256">
        <f>Balanza!H1323</f>
        <v>0</v>
      </c>
      <c r="E111" s="256">
        <f>Balanza!H1595</f>
        <v>0</v>
      </c>
      <c r="F111" s="652">
        <f t="shared" si="23"/>
        <v>0</v>
      </c>
      <c r="G111" s="256">
        <f>Balanza!E1867</f>
        <v>0</v>
      </c>
      <c r="H111" s="256">
        <f>Balanza!G2139</f>
        <v>0</v>
      </c>
      <c r="I111" s="652">
        <f t="shared" si="25"/>
        <v>0</v>
      </c>
      <c r="J111" s="131"/>
      <c r="K111" s="131"/>
      <c r="L111" s="131"/>
      <c r="M111" s="131"/>
      <c r="N111" s="131"/>
      <c r="O111" s="131"/>
      <c r="P111" s="131"/>
      <c r="Q111" s="131"/>
      <c r="R111" s="131"/>
      <c r="S111" s="131"/>
      <c r="T111" s="131"/>
      <c r="U111" s="131"/>
      <c r="V111" s="131"/>
      <c r="W111" s="131"/>
      <c r="X111" s="131"/>
      <c r="Y111" s="131"/>
      <c r="Z111" s="131"/>
    </row>
    <row r="112" spans="1:26" ht="15.75" customHeight="1">
      <c r="A112" s="188"/>
      <c r="B112" s="210"/>
      <c r="C112" s="626" t="s">
        <v>7361</v>
      </c>
      <c r="D112" s="256">
        <f>Balanza!H1325</f>
        <v>0</v>
      </c>
      <c r="E112" s="256">
        <f>Balanza!H1597</f>
        <v>0</v>
      </c>
      <c r="F112" s="652">
        <f t="shared" si="23"/>
        <v>0</v>
      </c>
      <c r="G112" s="256">
        <f>Balanza!E1869</f>
        <v>0</v>
      </c>
      <c r="H112" s="256">
        <f>Balanza!G2141</f>
        <v>0</v>
      </c>
      <c r="I112" s="652">
        <f t="shared" si="25"/>
        <v>0</v>
      </c>
      <c r="J112" s="131"/>
      <c r="K112" s="131"/>
      <c r="L112" s="131"/>
      <c r="M112" s="131"/>
      <c r="N112" s="131"/>
      <c r="O112" s="131"/>
      <c r="P112" s="131"/>
      <c r="Q112" s="131"/>
      <c r="R112" s="131"/>
      <c r="S112" s="131"/>
      <c r="T112" s="131"/>
      <c r="U112" s="131"/>
      <c r="V112" s="131"/>
      <c r="W112" s="131"/>
      <c r="X112" s="131"/>
      <c r="Y112" s="131"/>
      <c r="Z112" s="131"/>
    </row>
    <row r="113" spans="1:26" ht="15.75" customHeight="1">
      <c r="A113" s="188"/>
      <c r="B113" s="210"/>
      <c r="C113" s="626" t="s">
        <v>7362</v>
      </c>
      <c r="D113" s="256">
        <f>Balanza!H1327</f>
        <v>0</v>
      </c>
      <c r="E113" s="256">
        <f>Balanza!H1599</f>
        <v>0</v>
      </c>
      <c r="F113" s="652">
        <f t="shared" si="23"/>
        <v>0</v>
      </c>
      <c r="G113" s="256">
        <f>Balanza!E1871</f>
        <v>0</v>
      </c>
      <c r="H113" s="256">
        <f>Balanza!G2143</f>
        <v>0</v>
      </c>
      <c r="I113" s="652">
        <f t="shared" si="25"/>
        <v>0</v>
      </c>
      <c r="J113" s="131"/>
      <c r="K113" s="131"/>
      <c r="L113" s="131"/>
      <c r="M113" s="131"/>
      <c r="N113" s="131"/>
      <c r="O113" s="131"/>
      <c r="P113" s="131"/>
      <c r="Q113" s="131"/>
      <c r="R113" s="131"/>
      <c r="S113" s="131"/>
      <c r="T113" s="131"/>
      <c r="U113" s="131"/>
      <c r="V113" s="131"/>
      <c r="W113" s="131"/>
      <c r="X113" s="131"/>
      <c r="Y113" s="131"/>
      <c r="Z113" s="131"/>
    </row>
    <row r="114" spans="1:26" ht="15.75" customHeight="1">
      <c r="A114" s="188"/>
      <c r="B114" s="210"/>
      <c r="C114" s="626" t="s">
        <v>7363</v>
      </c>
      <c r="D114" s="256">
        <f>Balanza!H1329</f>
        <v>0</v>
      </c>
      <c r="E114" s="256">
        <f>Balanza!H1601</f>
        <v>0</v>
      </c>
      <c r="F114" s="652">
        <f t="shared" si="23"/>
        <v>0</v>
      </c>
      <c r="G114" s="256">
        <f>Balanza!E1873</f>
        <v>0</v>
      </c>
      <c r="H114" s="256">
        <f>Balanza!G2145</f>
        <v>0</v>
      </c>
      <c r="I114" s="652">
        <f t="shared" si="25"/>
        <v>0</v>
      </c>
      <c r="J114" s="131"/>
      <c r="K114" s="131"/>
      <c r="L114" s="131"/>
      <c r="M114" s="131"/>
      <c r="N114" s="131"/>
      <c r="O114" s="131"/>
      <c r="P114" s="131"/>
      <c r="Q114" s="131"/>
      <c r="R114" s="131"/>
      <c r="S114" s="131"/>
      <c r="T114" s="131"/>
      <c r="U114" s="131"/>
      <c r="V114" s="131"/>
      <c r="W114" s="131"/>
      <c r="X114" s="131"/>
      <c r="Y114" s="131"/>
      <c r="Z114" s="131"/>
    </row>
    <row r="115" spans="1:26" ht="15.75" customHeight="1">
      <c r="A115" s="188"/>
      <c r="B115" s="210"/>
      <c r="C115" s="626" t="s">
        <v>7364</v>
      </c>
      <c r="D115" s="256">
        <f>Balanza!H1331</f>
        <v>0</v>
      </c>
      <c r="E115" s="256">
        <f>Balanza!H1603</f>
        <v>0</v>
      </c>
      <c r="F115" s="652">
        <f t="shared" si="23"/>
        <v>0</v>
      </c>
      <c r="G115" s="256">
        <f>Balanza!E1875</f>
        <v>0</v>
      </c>
      <c r="H115" s="256">
        <f>Balanza!G2147</f>
        <v>0</v>
      </c>
      <c r="I115" s="652">
        <f t="shared" si="25"/>
        <v>0</v>
      </c>
      <c r="J115" s="131"/>
      <c r="K115" s="131"/>
      <c r="L115" s="131"/>
      <c r="M115" s="131"/>
      <c r="N115" s="131"/>
      <c r="O115" s="131"/>
      <c r="P115" s="131"/>
      <c r="Q115" s="131"/>
      <c r="R115" s="131"/>
      <c r="S115" s="131"/>
      <c r="T115" s="131"/>
      <c r="U115" s="131"/>
      <c r="V115" s="131"/>
      <c r="W115" s="131"/>
      <c r="X115" s="131"/>
      <c r="Y115" s="131"/>
      <c r="Z115" s="131"/>
    </row>
    <row r="116" spans="1:26" ht="15.75" customHeight="1">
      <c r="A116" s="188"/>
      <c r="B116" s="210"/>
      <c r="C116" s="626" t="s">
        <v>7365</v>
      </c>
      <c r="D116" s="256">
        <f>Balanza!H1333</f>
        <v>0</v>
      </c>
      <c r="E116" s="256">
        <f>Balanza!H1605</f>
        <v>0</v>
      </c>
      <c r="F116" s="652">
        <f t="shared" si="23"/>
        <v>0</v>
      </c>
      <c r="G116" s="256">
        <f>Balanza!E1877</f>
        <v>0</v>
      </c>
      <c r="H116" s="256">
        <f>Balanza!G2149</f>
        <v>0</v>
      </c>
      <c r="I116" s="652">
        <f t="shared" si="25"/>
        <v>0</v>
      </c>
      <c r="J116" s="131"/>
      <c r="K116" s="131"/>
      <c r="L116" s="131"/>
      <c r="M116" s="131"/>
      <c r="N116" s="131"/>
      <c r="O116" s="131"/>
      <c r="P116" s="131"/>
      <c r="Q116" s="131"/>
      <c r="R116" s="131"/>
      <c r="S116" s="131"/>
      <c r="T116" s="131"/>
      <c r="U116" s="131"/>
      <c r="V116" s="131"/>
      <c r="W116" s="131"/>
      <c r="X116" s="131"/>
      <c r="Y116" s="131"/>
      <c r="Z116" s="131"/>
    </row>
    <row r="117" spans="1:26" ht="15.75" customHeight="1">
      <c r="A117" s="188"/>
      <c r="B117" s="210"/>
      <c r="C117" s="626" t="s">
        <v>7366</v>
      </c>
      <c r="D117" s="256">
        <f>Balanza!H1335</f>
        <v>0</v>
      </c>
      <c r="E117" s="256">
        <f>Balanza!H1607</f>
        <v>0</v>
      </c>
      <c r="F117" s="652">
        <f t="shared" si="23"/>
        <v>0</v>
      </c>
      <c r="G117" s="256">
        <f>Balanza!E1879</f>
        <v>0</v>
      </c>
      <c r="H117" s="256">
        <f>Balanza!G2151</f>
        <v>0</v>
      </c>
      <c r="I117" s="652">
        <f t="shared" si="25"/>
        <v>0</v>
      </c>
      <c r="J117" s="131"/>
      <c r="K117" s="131"/>
      <c r="L117" s="131"/>
      <c r="M117" s="131"/>
      <c r="N117" s="131"/>
      <c r="O117" s="131"/>
      <c r="P117" s="131"/>
      <c r="Q117" s="131"/>
      <c r="R117" s="131"/>
      <c r="S117" s="131"/>
      <c r="T117" s="131"/>
      <c r="U117" s="131"/>
      <c r="V117" s="131"/>
      <c r="W117" s="131"/>
      <c r="X117" s="131"/>
      <c r="Y117" s="131"/>
      <c r="Z117" s="131"/>
    </row>
    <row r="118" spans="1:26" ht="15.75" customHeight="1">
      <c r="A118" s="188"/>
      <c r="B118" s="210"/>
      <c r="C118" s="626" t="s">
        <v>7367</v>
      </c>
      <c r="D118" s="256">
        <f>Balanza!H1337</f>
        <v>0</v>
      </c>
      <c r="E118" s="256">
        <f>Balanza!H1609</f>
        <v>0</v>
      </c>
      <c r="F118" s="652">
        <f t="shared" si="23"/>
        <v>0</v>
      </c>
      <c r="G118" s="256">
        <f>Balanza!E1881</f>
        <v>0</v>
      </c>
      <c r="H118" s="256">
        <f>Balanza!G2153</f>
        <v>0</v>
      </c>
      <c r="I118" s="652">
        <f t="shared" si="25"/>
        <v>0</v>
      </c>
      <c r="J118" s="131"/>
      <c r="K118" s="131"/>
      <c r="L118" s="131"/>
      <c r="M118" s="131"/>
      <c r="N118" s="131"/>
      <c r="O118" s="131"/>
      <c r="P118" s="131"/>
      <c r="Q118" s="131"/>
      <c r="R118" s="131"/>
      <c r="S118" s="131"/>
      <c r="T118" s="131"/>
      <c r="U118" s="131"/>
      <c r="V118" s="131"/>
      <c r="W118" s="131"/>
      <c r="X118" s="131"/>
      <c r="Y118" s="131"/>
      <c r="Z118" s="131"/>
    </row>
    <row r="119" spans="1:26" ht="15.75" customHeight="1">
      <c r="A119" s="188"/>
      <c r="B119" s="210"/>
      <c r="C119" s="626" t="s">
        <v>7368</v>
      </c>
      <c r="D119" s="256">
        <f>Balanza!H1339</f>
        <v>0</v>
      </c>
      <c r="E119" s="256">
        <f>Balanza!H1611</f>
        <v>0</v>
      </c>
      <c r="F119" s="652">
        <f t="shared" si="23"/>
        <v>0</v>
      </c>
      <c r="G119" s="256">
        <f>Balanza!E1883</f>
        <v>0</v>
      </c>
      <c r="H119" s="256">
        <f>Balanza!G2155</f>
        <v>0</v>
      </c>
      <c r="I119" s="652">
        <f t="shared" si="25"/>
        <v>0</v>
      </c>
      <c r="J119" s="131"/>
      <c r="K119" s="131"/>
      <c r="L119" s="131"/>
      <c r="M119" s="131"/>
      <c r="N119" s="131"/>
      <c r="O119" s="131"/>
      <c r="P119" s="131"/>
      <c r="Q119" s="131"/>
      <c r="R119" s="131"/>
      <c r="S119" s="131"/>
      <c r="T119" s="131"/>
      <c r="U119" s="131"/>
      <c r="V119" s="131"/>
      <c r="W119" s="131"/>
      <c r="X119" s="131"/>
      <c r="Y119" s="131"/>
      <c r="Z119" s="131"/>
    </row>
    <row r="120" spans="1:26" ht="15.75" customHeight="1">
      <c r="A120" s="188"/>
      <c r="B120" s="653" t="s">
        <v>7369</v>
      </c>
      <c r="C120" s="626" t="s">
        <v>7406</v>
      </c>
      <c r="D120" s="650">
        <f t="shared" ref="D120:E120" si="34">SUM(D121:D129)</f>
        <v>0</v>
      </c>
      <c r="E120" s="650">
        <f t="shared" si="34"/>
        <v>9261366.3200000003</v>
      </c>
      <c r="F120" s="650">
        <f t="shared" si="23"/>
        <v>9261366.3200000003</v>
      </c>
      <c r="G120" s="650">
        <f t="shared" ref="G120:H120" si="35">SUM(G121:G129)</f>
        <v>12270490.18</v>
      </c>
      <c r="H120" s="650">
        <f t="shared" si="35"/>
        <v>0</v>
      </c>
      <c r="I120" s="650">
        <f t="shared" si="25"/>
        <v>-3009123.8599999994</v>
      </c>
      <c r="J120" s="131"/>
      <c r="K120" s="131"/>
      <c r="L120" s="131"/>
      <c r="M120" s="131"/>
      <c r="N120" s="131"/>
      <c r="O120" s="131"/>
      <c r="P120" s="131"/>
      <c r="Q120" s="131"/>
      <c r="R120" s="131"/>
      <c r="S120" s="131"/>
      <c r="T120" s="131"/>
      <c r="U120" s="131"/>
      <c r="V120" s="131"/>
      <c r="W120" s="131"/>
      <c r="X120" s="131"/>
      <c r="Y120" s="131"/>
      <c r="Z120" s="131"/>
    </row>
    <row r="121" spans="1:26" ht="15.75" customHeight="1">
      <c r="A121" s="188"/>
      <c r="B121" s="651"/>
      <c r="C121" s="626" t="s">
        <v>7370</v>
      </c>
      <c r="D121" s="256">
        <f>Balanza!H1342</f>
        <v>0</v>
      </c>
      <c r="E121" s="256">
        <f>Balanza!H1614</f>
        <v>0</v>
      </c>
      <c r="F121" s="652">
        <f t="shared" si="23"/>
        <v>0</v>
      </c>
      <c r="G121" s="256">
        <f>Balanza!E1886</f>
        <v>0</v>
      </c>
      <c r="H121" s="256">
        <f>Balanza!G2158</f>
        <v>0</v>
      </c>
      <c r="I121" s="652">
        <f t="shared" si="25"/>
        <v>0</v>
      </c>
      <c r="J121" s="131"/>
      <c r="K121" s="131"/>
      <c r="L121" s="131"/>
      <c r="M121" s="131"/>
      <c r="N121" s="131"/>
      <c r="O121" s="131"/>
      <c r="P121" s="131"/>
      <c r="Q121" s="131"/>
      <c r="R121" s="131"/>
      <c r="S121" s="131"/>
      <c r="T121" s="131"/>
      <c r="U121" s="131"/>
      <c r="V121" s="131"/>
      <c r="W121" s="131"/>
      <c r="X121" s="131"/>
      <c r="Y121" s="131"/>
      <c r="Z121" s="131"/>
    </row>
    <row r="122" spans="1:26" ht="15.75" customHeight="1">
      <c r="A122" s="188"/>
      <c r="B122" s="210"/>
      <c r="C122" s="626" t="s">
        <v>7371</v>
      </c>
      <c r="D122" s="256">
        <f>Balanza!H1344</f>
        <v>0</v>
      </c>
      <c r="E122" s="256">
        <f>Balanza!H1616</f>
        <v>0</v>
      </c>
      <c r="F122" s="652">
        <f t="shared" si="23"/>
        <v>0</v>
      </c>
      <c r="G122" s="256">
        <f>Balanza!E1888</f>
        <v>0</v>
      </c>
      <c r="H122" s="256">
        <f>Balanza!G2160</f>
        <v>0</v>
      </c>
      <c r="I122" s="652">
        <f t="shared" si="25"/>
        <v>0</v>
      </c>
      <c r="J122" s="131"/>
      <c r="K122" s="131"/>
      <c r="L122" s="131"/>
      <c r="M122" s="131"/>
      <c r="N122" s="131"/>
      <c r="O122" s="131"/>
      <c r="P122" s="131"/>
      <c r="Q122" s="131"/>
      <c r="R122" s="131"/>
      <c r="S122" s="131"/>
      <c r="T122" s="131"/>
      <c r="U122" s="131"/>
      <c r="V122" s="131"/>
      <c r="W122" s="131"/>
      <c r="X122" s="131"/>
      <c r="Y122" s="131"/>
      <c r="Z122" s="131"/>
    </row>
    <row r="123" spans="1:26" ht="15.75" customHeight="1">
      <c r="A123" s="188"/>
      <c r="B123" s="210"/>
      <c r="C123" s="626" t="s">
        <v>7407</v>
      </c>
      <c r="D123" s="256">
        <f>Balanza!H1346</f>
        <v>0</v>
      </c>
      <c r="E123" s="256">
        <f>Balanza!H1618</f>
        <v>0</v>
      </c>
      <c r="F123" s="652">
        <f t="shared" si="23"/>
        <v>0</v>
      </c>
      <c r="G123" s="256">
        <f>Balanza!E1890</f>
        <v>0</v>
      </c>
      <c r="H123" s="256">
        <f>Balanza!G2162</f>
        <v>0</v>
      </c>
      <c r="I123" s="652">
        <f t="shared" si="25"/>
        <v>0</v>
      </c>
      <c r="J123" s="131"/>
      <c r="K123" s="131"/>
      <c r="L123" s="131"/>
      <c r="M123" s="131"/>
      <c r="N123" s="131"/>
      <c r="O123" s="131"/>
      <c r="P123" s="131"/>
      <c r="Q123" s="131"/>
      <c r="R123" s="131"/>
      <c r="S123" s="131"/>
      <c r="T123" s="131"/>
      <c r="U123" s="131"/>
      <c r="V123" s="131"/>
      <c r="W123" s="131"/>
      <c r="X123" s="131"/>
      <c r="Y123" s="131"/>
      <c r="Z123" s="131"/>
    </row>
    <row r="124" spans="1:26" ht="15.75" customHeight="1">
      <c r="A124" s="188"/>
      <c r="B124" s="210"/>
      <c r="C124" s="626" t="s">
        <v>7373</v>
      </c>
      <c r="D124" s="256">
        <f>Balanza!H1348</f>
        <v>0</v>
      </c>
      <c r="E124" s="256">
        <f>Balanza!H1620</f>
        <v>0</v>
      </c>
      <c r="F124" s="652">
        <f t="shared" si="23"/>
        <v>0</v>
      </c>
      <c r="G124" s="256">
        <f>Balanza!E1892</f>
        <v>0</v>
      </c>
      <c r="H124" s="256">
        <f>Balanza!G2164</f>
        <v>0</v>
      </c>
      <c r="I124" s="652">
        <f t="shared" si="25"/>
        <v>0</v>
      </c>
      <c r="J124" s="131"/>
      <c r="K124" s="131"/>
      <c r="L124" s="131"/>
      <c r="M124" s="131"/>
      <c r="N124" s="131"/>
      <c r="O124" s="131"/>
      <c r="P124" s="131"/>
      <c r="Q124" s="131"/>
      <c r="R124" s="131"/>
      <c r="S124" s="131"/>
      <c r="T124" s="131"/>
      <c r="U124" s="131"/>
      <c r="V124" s="131"/>
      <c r="W124" s="131"/>
      <c r="X124" s="131"/>
      <c r="Y124" s="131"/>
      <c r="Z124" s="131"/>
    </row>
    <row r="125" spans="1:26" ht="15.75" customHeight="1">
      <c r="A125" s="188"/>
      <c r="B125" s="210"/>
      <c r="C125" s="626" t="s">
        <v>7374</v>
      </c>
      <c r="D125" s="256">
        <f>Balanza!H1350</f>
        <v>0</v>
      </c>
      <c r="E125" s="256">
        <f>Balanza!H1622</f>
        <v>0</v>
      </c>
      <c r="F125" s="652">
        <f t="shared" si="23"/>
        <v>0</v>
      </c>
      <c r="G125" s="256">
        <f>Balanza!E1894</f>
        <v>0</v>
      </c>
      <c r="H125" s="256">
        <f>Balanza!G2166</f>
        <v>0</v>
      </c>
      <c r="I125" s="652">
        <f t="shared" si="25"/>
        <v>0</v>
      </c>
      <c r="J125" s="131"/>
      <c r="K125" s="131"/>
      <c r="L125" s="131"/>
      <c r="M125" s="131"/>
      <c r="N125" s="131"/>
      <c r="O125" s="131"/>
      <c r="P125" s="131"/>
      <c r="Q125" s="131"/>
      <c r="R125" s="131"/>
      <c r="S125" s="131"/>
      <c r="T125" s="131"/>
      <c r="U125" s="131"/>
      <c r="V125" s="131"/>
      <c r="W125" s="131"/>
      <c r="X125" s="131"/>
      <c r="Y125" s="131"/>
      <c r="Z125" s="131"/>
    </row>
    <row r="126" spans="1:26" ht="15.75" customHeight="1">
      <c r="A126" s="188"/>
      <c r="B126" s="210"/>
      <c r="C126" s="626" t="s">
        <v>7375</v>
      </c>
      <c r="D126" s="256">
        <f>Balanza!H1352</f>
        <v>0</v>
      </c>
      <c r="E126" s="256">
        <f>Balanza!H1624</f>
        <v>0</v>
      </c>
      <c r="F126" s="652">
        <f t="shared" si="23"/>
        <v>0</v>
      </c>
      <c r="G126" s="256">
        <f>Balanza!E1896</f>
        <v>0</v>
      </c>
      <c r="H126" s="256">
        <f>Balanza!G2168</f>
        <v>0</v>
      </c>
      <c r="I126" s="652">
        <f t="shared" si="25"/>
        <v>0</v>
      </c>
      <c r="J126" s="131"/>
      <c r="K126" s="131"/>
      <c r="L126" s="131"/>
      <c r="M126" s="131"/>
      <c r="N126" s="131"/>
      <c r="O126" s="131"/>
      <c r="P126" s="131"/>
      <c r="Q126" s="131"/>
      <c r="R126" s="131"/>
      <c r="S126" s="131"/>
      <c r="T126" s="131"/>
      <c r="U126" s="131"/>
      <c r="V126" s="131"/>
      <c r="W126" s="131"/>
      <c r="X126" s="131"/>
      <c r="Y126" s="131"/>
      <c r="Z126" s="131"/>
    </row>
    <row r="127" spans="1:26" ht="15.75" customHeight="1">
      <c r="A127" s="188"/>
      <c r="B127" s="210"/>
      <c r="C127" s="626" t="s">
        <v>7376</v>
      </c>
      <c r="D127" s="256">
        <f>Balanza!H1354</f>
        <v>0</v>
      </c>
      <c r="E127" s="256">
        <f>Balanza!H1626</f>
        <v>0</v>
      </c>
      <c r="F127" s="652">
        <f t="shared" si="23"/>
        <v>0</v>
      </c>
      <c r="G127" s="256">
        <f>Balanza!E1898</f>
        <v>0</v>
      </c>
      <c r="H127" s="256">
        <f>Balanza!G2170</f>
        <v>0</v>
      </c>
      <c r="I127" s="652">
        <f t="shared" si="25"/>
        <v>0</v>
      </c>
      <c r="J127" s="131"/>
      <c r="K127" s="131"/>
      <c r="L127" s="131"/>
      <c r="M127" s="131"/>
      <c r="N127" s="131"/>
      <c r="O127" s="131"/>
      <c r="P127" s="131"/>
      <c r="Q127" s="131"/>
      <c r="R127" s="131"/>
      <c r="S127" s="131"/>
      <c r="T127" s="131"/>
      <c r="U127" s="131"/>
      <c r="V127" s="131"/>
      <c r="W127" s="131"/>
      <c r="X127" s="131"/>
      <c r="Y127" s="131"/>
      <c r="Z127" s="131"/>
    </row>
    <row r="128" spans="1:26" ht="15.75" customHeight="1">
      <c r="A128" s="188"/>
      <c r="B128" s="210"/>
      <c r="C128" s="626" t="s">
        <v>7377</v>
      </c>
      <c r="D128" s="256">
        <f>Balanza!H1356</f>
        <v>0</v>
      </c>
      <c r="E128" s="256">
        <f>Balanza!H1628</f>
        <v>0</v>
      </c>
      <c r="F128" s="652">
        <f t="shared" si="23"/>
        <v>0</v>
      </c>
      <c r="G128" s="256">
        <f>Balanza!E1900</f>
        <v>0</v>
      </c>
      <c r="H128" s="256">
        <f>Balanza!G2172</f>
        <v>0</v>
      </c>
      <c r="I128" s="652">
        <f t="shared" si="25"/>
        <v>0</v>
      </c>
      <c r="J128" s="131"/>
      <c r="K128" s="131"/>
      <c r="L128" s="131"/>
      <c r="M128" s="131"/>
      <c r="N128" s="131"/>
      <c r="O128" s="131"/>
      <c r="P128" s="131"/>
      <c r="Q128" s="131"/>
      <c r="R128" s="131"/>
      <c r="S128" s="131"/>
      <c r="T128" s="131"/>
      <c r="U128" s="131"/>
      <c r="V128" s="131"/>
      <c r="W128" s="131"/>
      <c r="X128" s="131"/>
      <c r="Y128" s="131"/>
      <c r="Z128" s="131"/>
    </row>
    <row r="129" spans="1:26" ht="15.75" customHeight="1">
      <c r="A129" s="188"/>
      <c r="B129" s="210"/>
      <c r="C129" s="626" t="s">
        <v>7378</v>
      </c>
      <c r="D129" s="256">
        <f>Balanza!H1358</f>
        <v>0</v>
      </c>
      <c r="E129" s="256">
        <f>Balanza!H1630</f>
        <v>9261366.3200000003</v>
      </c>
      <c r="F129" s="652">
        <f t="shared" si="23"/>
        <v>9261366.3200000003</v>
      </c>
      <c r="G129" s="256">
        <f>Balanza!E1902</f>
        <v>12270490.18</v>
      </c>
      <c r="H129" s="256">
        <f>Balanza!G2174</f>
        <v>0</v>
      </c>
      <c r="I129" s="652">
        <f t="shared" si="25"/>
        <v>-3009123.8599999994</v>
      </c>
      <c r="J129" s="131"/>
      <c r="K129" s="131"/>
      <c r="L129" s="131"/>
      <c r="M129" s="131"/>
      <c r="N129" s="131"/>
      <c r="O129" s="131"/>
      <c r="P129" s="131"/>
      <c r="Q129" s="131"/>
      <c r="R129" s="131"/>
      <c r="S129" s="131"/>
      <c r="T129" s="131"/>
      <c r="U129" s="131"/>
      <c r="V129" s="131"/>
      <c r="W129" s="131"/>
      <c r="X129" s="131"/>
      <c r="Y129" s="131"/>
      <c r="Z129" s="131"/>
    </row>
    <row r="130" spans="1:26" ht="15.75" customHeight="1">
      <c r="A130" s="188"/>
      <c r="B130" s="653" t="s">
        <v>7379</v>
      </c>
      <c r="C130" s="626" t="s">
        <v>7307</v>
      </c>
      <c r="D130" s="650">
        <f t="shared" ref="D130:E130" si="36">SUM(D131:D133)</f>
        <v>0</v>
      </c>
      <c r="E130" s="650">
        <f t="shared" si="36"/>
        <v>0</v>
      </c>
      <c r="F130" s="650">
        <f t="shared" si="23"/>
        <v>0</v>
      </c>
      <c r="G130" s="650">
        <f t="shared" ref="G130:H130" si="37">SUM(G131:G133)</f>
        <v>0</v>
      </c>
      <c r="H130" s="650">
        <f t="shared" si="37"/>
        <v>0</v>
      </c>
      <c r="I130" s="650">
        <f t="shared" si="25"/>
        <v>0</v>
      </c>
      <c r="J130" s="131"/>
      <c r="K130" s="131"/>
      <c r="L130" s="131"/>
      <c r="M130" s="131"/>
      <c r="N130" s="131"/>
      <c r="O130" s="131"/>
      <c r="P130" s="131"/>
      <c r="Q130" s="131"/>
      <c r="R130" s="131"/>
      <c r="S130" s="131"/>
      <c r="T130" s="131"/>
      <c r="U130" s="131"/>
      <c r="V130" s="131"/>
      <c r="W130" s="131"/>
      <c r="X130" s="131"/>
      <c r="Y130" s="131"/>
      <c r="Z130" s="131"/>
    </row>
    <row r="131" spans="1:26" ht="15.75" customHeight="1">
      <c r="A131" s="188"/>
      <c r="B131" s="651"/>
      <c r="C131" s="626" t="s">
        <v>7380</v>
      </c>
      <c r="D131" s="256">
        <f>Balanza!H1361</f>
        <v>0</v>
      </c>
      <c r="E131" s="256">
        <f>Balanza!H1633</f>
        <v>0</v>
      </c>
      <c r="F131" s="652">
        <f t="shared" si="23"/>
        <v>0</v>
      </c>
      <c r="G131" s="256">
        <f>Balanza!E1905</f>
        <v>0</v>
      </c>
      <c r="H131" s="256">
        <f>Balanza!G2177</f>
        <v>0</v>
      </c>
      <c r="I131" s="652">
        <f t="shared" si="25"/>
        <v>0</v>
      </c>
      <c r="J131" s="131"/>
      <c r="K131" s="131"/>
      <c r="L131" s="131"/>
      <c r="M131" s="131"/>
      <c r="N131" s="131"/>
      <c r="O131" s="131"/>
      <c r="P131" s="131"/>
      <c r="Q131" s="131"/>
      <c r="R131" s="131"/>
      <c r="S131" s="131"/>
      <c r="T131" s="131"/>
      <c r="U131" s="131"/>
      <c r="V131" s="131"/>
      <c r="W131" s="131"/>
      <c r="X131" s="131"/>
      <c r="Y131" s="131"/>
      <c r="Z131" s="131"/>
    </row>
    <row r="132" spans="1:26" ht="15.75" customHeight="1">
      <c r="A132" s="188"/>
      <c r="B132" s="210"/>
      <c r="C132" s="626" t="s">
        <v>7381</v>
      </c>
      <c r="D132" s="256">
        <f>Balanza!H1363</f>
        <v>0</v>
      </c>
      <c r="E132" s="256">
        <f>Balanza!H1635</f>
        <v>0</v>
      </c>
      <c r="F132" s="652">
        <f t="shared" si="23"/>
        <v>0</v>
      </c>
      <c r="G132" s="256">
        <f>Balanza!E1907</f>
        <v>0</v>
      </c>
      <c r="H132" s="256">
        <f>Balanza!G2179</f>
        <v>0</v>
      </c>
      <c r="I132" s="652">
        <f t="shared" si="25"/>
        <v>0</v>
      </c>
      <c r="J132" s="131"/>
      <c r="K132" s="131"/>
      <c r="L132" s="131"/>
      <c r="M132" s="131"/>
      <c r="N132" s="131"/>
      <c r="O132" s="131"/>
      <c r="P132" s="131"/>
      <c r="Q132" s="131"/>
      <c r="R132" s="131"/>
      <c r="S132" s="131"/>
      <c r="T132" s="131"/>
      <c r="U132" s="131"/>
      <c r="V132" s="131"/>
      <c r="W132" s="131"/>
      <c r="X132" s="131"/>
      <c r="Y132" s="131"/>
      <c r="Z132" s="131"/>
    </row>
    <row r="133" spans="1:26" ht="15.75" customHeight="1">
      <c r="A133" s="188"/>
      <c r="B133" s="210"/>
      <c r="C133" s="626" t="s">
        <v>7382</v>
      </c>
      <c r="D133" s="256">
        <f>Balanza!H1365</f>
        <v>0</v>
      </c>
      <c r="E133" s="256">
        <f>Balanza!H1637</f>
        <v>0</v>
      </c>
      <c r="F133" s="652">
        <f t="shared" si="23"/>
        <v>0</v>
      </c>
      <c r="G133" s="256">
        <f>Balanza!E1909</f>
        <v>0</v>
      </c>
      <c r="H133" s="256">
        <f>Balanza!G2181</f>
        <v>0</v>
      </c>
      <c r="I133" s="652">
        <f t="shared" si="25"/>
        <v>0</v>
      </c>
      <c r="J133" s="131"/>
      <c r="K133" s="131"/>
      <c r="L133" s="131"/>
      <c r="M133" s="131"/>
      <c r="N133" s="131"/>
      <c r="O133" s="131"/>
      <c r="P133" s="131"/>
      <c r="Q133" s="131"/>
      <c r="R133" s="131"/>
      <c r="S133" s="131"/>
      <c r="T133" s="131"/>
      <c r="U133" s="131"/>
      <c r="V133" s="131"/>
      <c r="W133" s="131"/>
      <c r="X133" s="131"/>
      <c r="Y133" s="131"/>
      <c r="Z133" s="131"/>
    </row>
    <row r="134" spans="1:26" ht="15.75" customHeight="1">
      <c r="A134" s="188"/>
      <c r="B134" s="653" t="s">
        <v>7383</v>
      </c>
      <c r="C134" s="626" t="s">
        <v>7408</v>
      </c>
      <c r="D134" s="650">
        <f t="shared" ref="D134:E134" si="38">SUM(D135:D141)</f>
        <v>0</v>
      </c>
      <c r="E134" s="650">
        <f t="shared" si="38"/>
        <v>0</v>
      </c>
      <c r="F134" s="650">
        <f t="shared" si="23"/>
        <v>0</v>
      </c>
      <c r="G134" s="650">
        <f t="shared" ref="G134:H134" si="39">SUM(G135:G141)</f>
        <v>0</v>
      </c>
      <c r="H134" s="650">
        <f t="shared" si="39"/>
        <v>0</v>
      </c>
      <c r="I134" s="650">
        <f t="shared" si="25"/>
        <v>0</v>
      </c>
      <c r="J134" s="131"/>
      <c r="K134" s="131"/>
      <c r="L134" s="131"/>
      <c r="M134" s="131"/>
      <c r="N134" s="131"/>
      <c r="O134" s="131"/>
      <c r="P134" s="131"/>
      <c r="Q134" s="131"/>
      <c r="R134" s="131"/>
      <c r="S134" s="131"/>
      <c r="T134" s="131"/>
      <c r="U134" s="131"/>
      <c r="V134" s="131"/>
      <c r="W134" s="131"/>
      <c r="X134" s="131"/>
      <c r="Y134" s="131"/>
      <c r="Z134" s="131"/>
    </row>
    <row r="135" spans="1:26" ht="15.75" customHeight="1">
      <c r="A135" s="188"/>
      <c r="B135" s="651"/>
      <c r="C135" s="626" t="s">
        <v>7384</v>
      </c>
      <c r="D135" s="256">
        <f>Balanza!H1368</f>
        <v>0</v>
      </c>
      <c r="E135" s="256">
        <f>Balanza!H1640</f>
        <v>0</v>
      </c>
      <c r="F135" s="652">
        <f t="shared" si="23"/>
        <v>0</v>
      </c>
      <c r="G135" s="256">
        <f>Balanza!E1912</f>
        <v>0</v>
      </c>
      <c r="H135" s="256">
        <f>Balanza!G2184</f>
        <v>0</v>
      </c>
      <c r="I135" s="652">
        <f t="shared" si="25"/>
        <v>0</v>
      </c>
      <c r="J135" s="131"/>
      <c r="K135" s="131"/>
      <c r="L135" s="131"/>
      <c r="M135" s="131"/>
      <c r="N135" s="131"/>
      <c r="O135" s="131"/>
      <c r="P135" s="131"/>
      <c r="Q135" s="131"/>
      <c r="R135" s="131"/>
      <c r="S135" s="131"/>
      <c r="T135" s="131"/>
      <c r="U135" s="131"/>
      <c r="V135" s="131"/>
      <c r="W135" s="131"/>
      <c r="X135" s="131"/>
      <c r="Y135" s="131"/>
      <c r="Z135" s="131"/>
    </row>
    <row r="136" spans="1:26" ht="15.75" customHeight="1">
      <c r="A136" s="188"/>
      <c r="B136" s="210"/>
      <c r="C136" s="626" t="s">
        <v>7385</v>
      </c>
      <c r="D136" s="256">
        <f>Balanza!H1370</f>
        <v>0</v>
      </c>
      <c r="E136" s="256">
        <f>Balanza!H1642</f>
        <v>0</v>
      </c>
      <c r="F136" s="652">
        <f t="shared" si="23"/>
        <v>0</v>
      </c>
      <c r="G136" s="256">
        <f>Balanza!E1914</f>
        <v>0</v>
      </c>
      <c r="H136" s="256">
        <f>Balanza!G2186</f>
        <v>0</v>
      </c>
      <c r="I136" s="652">
        <f t="shared" si="25"/>
        <v>0</v>
      </c>
      <c r="J136" s="131"/>
      <c r="K136" s="131"/>
      <c r="L136" s="131"/>
      <c r="M136" s="131"/>
      <c r="N136" s="131"/>
      <c r="O136" s="131"/>
      <c r="P136" s="131"/>
      <c r="Q136" s="131"/>
      <c r="R136" s="131"/>
      <c r="S136" s="131"/>
      <c r="T136" s="131"/>
      <c r="U136" s="131"/>
      <c r="V136" s="131"/>
      <c r="W136" s="131"/>
      <c r="X136" s="131"/>
      <c r="Y136" s="131"/>
      <c r="Z136" s="131"/>
    </row>
    <row r="137" spans="1:26" ht="15.75" customHeight="1">
      <c r="A137" s="188"/>
      <c r="B137" s="210"/>
      <c r="C137" s="626" t="s">
        <v>7386</v>
      </c>
      <c r="D137" s="256">
        <f>Balanza!H1372</f>
        <v>0</v>
      </c>
      <c r="E137" s="256">
        <f>Balanza!H1644</f>
        <v>0</v>
      </c>
      <c r="F137" s="652">
        <f t="shared" si="23"/>
        <v>0</v>
      </c>
      <c r="G137" s="256">
        <f>Balanza!E1916</f>
        <v>0</v>
      </c>
      <c r="H137" s="256">
        <f>Balanza!G2188</f>
        <v>0</v>
      </c>
      <c r="I137" s="652">
        <f t="shared" si="25"/>
        <v>0</v>
      </c>
      <c r="J137" s="131"/>
      <c r="K137" s="131"/>
      <c r="L137" s="131"/>
      <c r="M137" s="131"/>
      <c r="N137" s="131"/>
      <c r="O137" s="131"/>
      <c r="P137" s="131"/>
      <c r="Q137" s="131"/>
      <c r="R137" s="131"/>
      <c r="S137" s="131"/>
      <c r="T137" s="131"/>
      <c r="U137" s="131"/>
      <c r="V137" s="131"/>
      <c r="W137" s="131"/>
      <c r="X137" s="131"/>
      <c r="Y137" s="131"/>
      <c r="Z137" s="131"/>
    </row>
    <row r="138" spans="1:26" ht="15.75" customHeight="1">
      <c r="A138" s="188"/>
      <c r="B138" s="210"/>
      <c r="C138" s="626" t="s">
        <v>7387</v>
      </c>
      <c r="D138" s="256">
        <f>Balanza!H1374</f>
        <v>0</v>
      </c>
      <c r="E138" s="256">
        <f>Balanza!H1646</f>
        <v>0</v>
      </c>
      <c r="F138" s="652">
        <f t="shared" si="23"/>
        <v>0</v>
      </c>
      <c r="G138" s="256">
        <f>Balanza!E1918</f>
        <v>0</v>
      </c>
      <c r="H138" s="256">
        <f>Balanza!G2190</f>
        <v>0</v>
      </c>
      <c r="I138" s="652">
        <f t="shared" si="25"/>
        <v>0</v>
      </c>
      <c r="J138" s="131"/>
      <c r="K138" s="131"/>
      <c r="L138" s="131"/>
      <c r="M138" s="131"/>
      <c r="N138" s="131"/>
      <c r="O138" s="131"/>
      <c r="P138" s="131"/>
      <c r="Q138" s="131"/>
      <c r="R138" s="131"/>
      <c r="S138" s="131"/>
      <c r="T138" s="131"/>
      <c r="U138" s="131"/>
      <c r="V138" s="131"/>
      <c r="W138" s="131"/>
      <c r="X138" s="131"/>
      <c r="Y138" s="131"/>
      <c r="Z138" s="131"/>
    </row>
    <row r="139" spans="1:26" ht="15.75" customHeight="1">
      <c r="A139" s="188"/>
      <c r="B139" s="210"/>
      <c r="C139" s="602" t="s">
        <v>7388</v>
      </c>
      <c r="D139" s="256">
        <f>Balanza!H1376</f>
        <v>0</v>
      </c>
      <c r="E139" s="256">
        <f>Balanza!H1647</f>
        <v>0</v>
      </c>
      <c r="F139" s="482">
        <f t="shared" si="23"/>
        <v>0</v>
      </c>
      <c r="G139" s="256">
        <f>Balanza!E1920</f>
        <v>0</v>
      </c>
      <c r="H139" s="256">
        <f>Balanza!G2192</f>
        <v>0</v>
      </c>
      <c r="I139" s="482">
        <f t="shared" si="25"/>
        <v>0</v>
      </c>
      <c r="J139" s="131"/>
      <c r="K139" s="131"/>
      <c r="L139" s="131"/>
      <c r="M139" s="131"/>
      <c r="N139" s="131"/>
      <c r="O139" s="131"/>
      <c r="P139" s="131"/>
      <c r="Q139" s="131"/>
      <c r="R139" s="131"/>
      <c r="S139" s="131"/>
      <c r="T139" s="131"/>
      <c r="U139" s="131"/>
      <c r="V139" s="131"/>
      <c r="W139" s="131"/>
      <c r="X139" s="131"/>
      <c r="Y139" s="131"/>
      <c r="Z139" s="131"/>
    </row>
    <row r="140" spans="1:26" ht="15.75" customHeight="1">
      <c r="A140" s="188"/>
      <c r="B140" s="210"/>
      <c r="C140" s="626" t="s">
        <v>7389</v>
      </c>
      <c r="D140" s="256">
        <f>Balanza!H1378</f>
        <v>0</v>
      </c>
      <c r="E140" s="256">
        <f>Balanza!H1650</f>
        <v>0</v>
      </c>
      <c r="F140" s="652">
        <f t="shared" si="23"/>
        <v>0</v>
      </c>
      <c r="G140" s="256">
        <f>Balanza!E1922</f>
        <v>0</v>
      </c>
      <c r="H140" s="256">
        <f>Balanza!G2194</f>
        <v>0</v>
      </c>
      <c r="I140" s="652">
        <f t="shared" si="25"/>
        <v>0</v>
      </c>
      <c r="J140" s="131"/>
      <c r="K140" s="131"/>
      <c r="L140" s="131"/>
      <c r="M140" s="131"/>
      <c r="N140" s="131"/>
      <c r="O140" s="131"/>
      <c r="P140" s="131"/>
      <c r="Q140" s="131"/>
      <c r="R140" s="131"/>
      <c r="S140" s="131"/>
      <c r="T140" s="131"/>
      <c r="U140" s="131"/>
      <c r="V140" s="131"/>
      <c r="W140" s="131"/>
      <c r="X140" s="131"/>
      <c r="Y140" s="131"/>
      <c r="Z140" s="131"/>
    </row>
    <row r="141" spans="1:26" ht="15.75" customHeight="1">
      <c r="A141" s="188"/>
      <c r="B141" s="210"/>
      <c r="C141" s="626" t="s">
        <v>7390</v>
      </c>
      <c r="D141" s="256">
        <f>Balanza!H1380</f>
        <v>0</v>
      </c>
      <c r="E141" s="256">
        <f>Balanza!H1652</f>
        <v>0</v>
      </c>
      <c r="F141" s="652">
        <f t="shared" si="23"/>
        <v>0</v>
      </c>
      <c r="G141" s="256">
        <f>Balanza!E1924</f>
        <v>0</v>
      </c>
      <c r="H141" s="256">
        <f>Balanza!G2196</f>
        <v>0</v>
      </c>
      <c r="I141" s="652">
        <f t="shared" si="25"/>
        <v>0</v>
      </c>
      <c r="J141" s="131"/>
      <c r="K141" s="131"/>
      <c r="L141" s="131"/>
      <c r="M141" s="131"/>
      <c r="N141" s="131"/>
      <c r="O141" s="131"/>
      <c r="P141" s="131"/>
      <c r="Q141" s="131"/>
      <c r="R141" s="131"/>
      <c r="S141" s="131"/>
      <c r="T141" s="131"/>
      <c r="U141" s="131"/>
      <c r="V141" s="131"/>
      <c r="W141" s="131"/>
      <c r="X141" s="131"/>
      <c r="Y141" s="131"/>
      <c r="Z141" s="131"/>
    </row>
    <row r="142" spans="1:26" ht="15.75" customHeight="1">
      <c r="A142" s="188"/>
      <c r="B142" s="653" t="s">
        <v>7391</v>
      </c>
      <c r="C142" s="626" t="s">
        <v>7409</v>
      </c>
      <c r="D142" s="650">
        <f t="shared" ref="D142:E142" si="40">SUM(D143:D145)</f>
        <v>0</v>
      </c>
      <c r="E142" s="650">
        <f t="shared" si="40"/>
        <v>0</v>
      </c>
      <c r="F142" s="650">
        <f t="shared" si="23"/>
        <v>0</v>
      </c>
      <c r="G142" s="650">
        <f t="shared" ref="G142:H142" si="41">SUM(G143:G145)</f>
        <v>0</v>
      </c>
      <c r="H142" s="650">
        <f t="shared" si="41"/>
        <v>0</v>
      </c>
      <c r="I142" s="652">
        <f t="shared" si="25"/>
        <v>0</v>
      </c>
      <c r="J142" s="131"/>
      <c r="K142" s="131"/>
      <c r="L142" s="131"/>
      <c r="M142" s="131"/>
      <c r="N142" s="131"/>
      <c r="O142" s="131"/>
      <c r="P142" s="131"/>
      <c r="Q142" s="131"/>
      <c r="R142" s="131"/>
      <c r="S142" s="131"/>
      <c r="T142" s="131"/>
      <c r="U142" s="131"/>
      <c r="V142" s="131"/>
      <c r="W142" s="131"/>
      <c r="X142" s="131"/>
      <c r="Y142" s="131"/>
      <c r="Z142" s="131"/>
    </row>
    <row r="143" spans="1:26" ht="15.75" customHeight="1">
      <c r="A143" s="188"/>
      <c r="B143" s="131"/>
      <c r="C143" s="626" t="s">
        <v>7392</v>
      </c>
      <c r="D143" s="652">
        <f>Balanza!H1383</f>
        <v>0</v>
      </c>
      <c r="E143" s="652">
        <f>Balanza!H1655</f>
        <v>0</v>
      </c>
      <c r="F143" s="652">
        <f t="shared" si="23"/>
        <v>0</v>
      </c>
      <c r="G143" s="652">
        <f>Balanza!E1927</f>
        <v>0</v>
      </c>
      <c r="H143" s="652">
        <f>Balanza!G2199</f>
        <v>0</v>
      </c>
      <c r="I143" s="652">
        <f t="shared" si="25"/>
        <v>0</v>
      </c>
      <c r="J143" s="131"/>
      <c r="K143" s="131"/>
      <c r="L143" s="131"/>
      <c r="M143" s="131"/>
      <c r="N143" s="131"/>
      <c r="O143" s="131"/>
      <c r="P143" s="131"/>
      <c r="Q143" s="131"/>
      <c r="R143" s="131"/>
      <c r="S143" s="131"/>
      <c r="T143" s="131"/>
      <c r="U143" s="131"/>
      <c r="V143" s="131"/>
      <c r="W143" s="131"/>
      <c r="X143" s="131"/>
      <c r="Y143" s="131"/>
      <c r="Z143" s="131"/>
    </row>
    <row r="144" spans="1:26" ht="15.75" customHeight="1">
      <c r="A144" s="188"/>
      <c r="B144" s="131"/>
      <c r="C144" s="626" t="s">
        <v>7393</v>
      </c>
      <c r="D144" s="652">
        <f>Balanza!H1385</f>
        <v>0</v>
      </c>
      <c r="E144" s="652">
        <f>Balanza!H1657</f>
        <v>0</v>
      </c>
      <c r="F144" s="652">
        <f t="shared" si="23"/>
        <v>0</v>
      </c>
      <c r="G144" s="652">
        <f>Balanza!E1929</f>
        <v>0</v>
      </c>
      <c r="H144" s="652">
        <f>Balanza!G2201</f>
        <v>0</v>
      </c>
      <c r="I144" s="652">
        <f t="shared" si="25"/>
        <v>0</v>
      </c>
      <c r="J144" s="131"/>
      <c r="K144" s="131"/>
      <c r="L144" s="131"/>
      <c r="M144" s="131"/>
      <c r="N144" s="131"/>
      <c r="O144" s="131"/>
      <c r="P144" s="131"/>
      <c r="Q144" s="131"/>
      <c r="R144" s="131"/>
      <c r="S144" s="131"/>
      <c r="T144" s="131"/>
      <c r="U144" s="131"/>
      <c r="V144" s="131"/>
      <c r="W144" s="131"/>
      <c r="X144" s="131"/>
      <c r="Y144" s="131"/>
      <c r="Z144" s="131"/>
    </row>
    <row r="145" spans="1:26" ht="15.75" customHeight="1">
      <c r="A145" s="188"/>
      <c r="B145" s="131"/>
      <c r="C145" s="626" t="s">
        <v>7394</v>
      </c>
      <c r="D145" s="256">
        <f>Balanza!H1387</f>
        <v>0</v>
      </c>
      <c r="E145" s="256">
        <f>Balanza!H1659</f>
        <v>0</v>
      </c>
      <c r="F145" s="652">
        <f t="shared" si="23"/>
        <v>0</v>
      </c>
      <c r="G145" s="256">
        <f>Balanza!E1931</f>
        <v>0</v>
      </c>
      <c r="H145" s="256">
        <f>Balanza!G2203</f>
        <v>0</v>
      </c>
      <c r="I145" s="652">
        <f t="shared" si="25"/>
        <v>0</v>
      </c>
      <c r="J145" s="131"/>
      <c r="K145" s="131"/>
      <c r="L145" s="131"/>
      <c r="M145" s="131"/>
      <c r="N145" s="131"/>
      <c r="O145" s="131"/>
      <c r="P145" s="131"/>
      <c r="Q145" s="131"/>
      <c r="R145" s="131"/>
      <c r="S145" s="131"/>
      <c r="T145" s="131"/>
      <c r="U145" s="131"/>
      <c r="V145" s="131"/>
      <c r="W145" s="131"/>
      <c r="X145" s="131"/>
      <c r="Y145" s="131"/>
      <c r="Z145" s="131"/>
    </row>
    <row r="146" spans="1:26" ht="15.75" customHeight="1">
      <c r="A146" s="188"/>
      <c r="B146" s="653" t="s">
        <v>7330</v>
      </c>
      <c r="C146" s="626" t="s">
        <v>7320</v>
      </c>
      <c r="D146" s="650">
        <f t="shared" ref="D146:E146" si="42">SUM(D147:D153)</f>
        <v>0</v>
      </c>
      <c r="E146" s="650">
        <f t="shared" si="42"/>
        <v>0</v>
      </c>
      <c r="F146" s="650">
        <f t="shared" si="23"/>
        <v>0</v>
      </c>
      <c r="G146" s="650">
        <f t="shared" ref="G146:H146" si="43">SUM(G147:G153)</f>
        <v>0</v>
      </c>
      <c r="H146" s="650">
        <f t="shared" si="43"/>
        <v>0</v>
      </c>
      <c r="I146" s="650">
        <f t="shared" si="25"/>
        <v>0</v>
      </c>
      <c r="J146" s="131"/>
      <c r="K146" s="131"/>
      <c r="L146" s="131"/>
      <c r="M146" s="131"/>
      <c r="N146" s="131"/>
      <c r="O146" s="131"/>
      <c r="P146" s="131"/>
      <c r="Q146" s="131"/>
      <c r="R146" s="131"/>
      <c r="S146" s="131"/>
      <c r="T146" s="131"/>
      <c r="U146" s="131"/>
      <c r="V146" s="131"/>
      <c r="W146" s="131"/>
      <c r="X146" s="131"/>
      <c r="Y146" s="131"/>
      <c r="Z146" s="131"/>
    </row>
    <row r="147" spans="1:26" ht="15.75" customHeight="1">
      <c r="A147" s="188"/>
      <c r="B147" s="651"/>
      <c r="C147" s="626" t="s">
        <v>7395</v>
      </c>
      <c r="D147" s="256">
        <f>Balanza!H1390</f>
        <v>0</v>
      </c>
      <c r="E147" s="256">
        <f>Balanza!H1662</f>
        <v>0</v>
      </c>
      <c r="F147" s="652">
        <f t="shared" si="23"/>
        <v>0</v>
      </c>
      <c r="G147" s="256">
        <f>Balanza!E1934</f>
        <v>0</v>
      </c>
      <c r="H147" s="256">
        <f>Balanza!G2206</f>
        <v>0</v>
      </c>
      <c r="I147" s="652">
        <f t="shared" si="25"/>
        <v>0</v>
      </c>
      <c r="J147" s="131"/>
      <c r="K147" s="131"/>
      <c r="L147" s="131"/>
      <c r="M147" s="131"/>
      <c r="N147" s="131"/>
      <c r="O147" s="131"/>
      <c r="P147" s="131"/>
      <c r="Q147" s="131"/>
      <c r="R147" s="131"/>
      <c r="S147" s="131"/>
      <c r="T147" s="131"/>
      <c r="U147" s="131"/>
      <c r="V147" s="131"/>
      <c r="W147" s="131"/>
      <c r="X147" s="131"/>
      <c r="Y147" s="131"/>
      <c r="Z147" s="131"/>
    </row>
    <row r="148" spans="1:26" ht="15.75" customHeight="1">
      <c r="A148" s="188"/>
      <c r="B148" s="210"/>
      <c r="C148" s="626" t="s">
        <v>7396</v>
      </c>
      <c r="D148" s="256">
        <f>Balanza!H1392</f>
        <v>0</v>
      </c>
      <c r="E148" s="256">
        <f>Balanza!H1664</f>
        <v>0</v>
      </c>
      <c r="F148" s="652">
        <f t="shared" si="23"/>
        <v>0</v>
      </c>
      <c r="G148" s="256">
        <f>Balanza!E1936</f>
        <v>0</v>
      </c>
      <c r="H148" s="256">
        <f>Balanza!G2208</f>
        <v>0</v>
      </c>
      <c r="I148" s="652">
        <f t="shared" si="25"/>
        <v>0</v>
      </c>
      <c r="J148" s="131"/>
      <c r="K148" s="131"/>
      <c r="L148" s="131"/>
      <c r="M148" s="131"/>
      <c r="N148" s="131"/>
      <c r="O148" s="131"/>
      <c r="P148" s="131"/>
      <c r="Q148" s="131"/>
      <c r="R148" s="131"/>
      <c r="S148" s="131"/>
      <c r="T148" s="131"/>
      <c r="U148" s="131"/>
      <c r="V148" s="131"/>
      <c r="W148" s="131"/>
      <c r="X148" s="131"/>
      <c r="Y148" s="131"/>
      <c r="Z148" s="131"/>
    </row>
    <row r="149" spans="1:26" ht="15.75" customHeight="1">
      <c r="A149" s="188"/>
      <c r="B149" s="210"/>
      <c r="C149" s="626" t="s">
        <v>7397</v>
      </c>
      <c r="D149" s="256">
        <f>Balanza!H1394</f>
        <v>0</v>
      </c>
      <c r="E149" s="256">
        <f>Balanza!H1666</f>
        <v>0</v>
      </c>
      <c r="F149" s="652">
        <f t="shared" si="23"/>
        <v>0</v>
      </c>
      <c r="G149" s="256">
        <f>Balanza!E1938</f>
        <v>0</v>
      </c>
      <c r="H149" s="256">
        <f>Balanza!G2210</f>
        <v>0</v>
      </c>
      <c r="I149" s="652">
        <f t="shared" si="25"/>
        <v>0</v>
      </c>
      <c r="J149" s="131"/>
      <c r="K149" s="131"/>
      <c r="L149" s="131"/>
      <c r="M149" s="131"/>
      <c r="N149" s="131"/>
      <c r="O149" s="131"/>
      <c r="P149" s="131"/>
      <c r="Q149" s="131"/>
      <c r="R149" s="131"/>
      <c r="S149" s="131"/>
      <c r="T149" s="131"/>
      <c r="U149" s="131"/>
      <c r="V149" s="131"/>
      <c r="W149" s="131"/>
      <c r="X149" s="131"/>
      <c r="Y149" s="131"/>
      <c r="Z149" s="131"/>
    </row>
    <row r="150" spans="1:26" ht="15.75" customHeight="1">
      <c r="A150" s="188"/>
      <c r="B150" s="210"/>
      <c r="C150" s="626" t="s">
        <v>7398</v>
      </c>
      <c r="D150" s="256">
        <f>Balanza!H1396</f>
        <v>0</v>
      </c>
      <c r="E150" s="256">
        <f>Balanza!H1668</f>
        <v>0</v>
      </c>
      <c r="F150" s="652">
        <f t="shared" si="23"/>
        <v>0</v>
      </c>
      <c r="G150" s="256">
        <f>Balanza!E1940</f>
        <v>0</v>
      </c>
      <c r="H150" s="256">
        <f>Balanza!G2212</f>
        <v>0</v>
      </c>
      <c r="I150" s="652">
        <f t="shared" si="25"/>
        <v>0</v>
      </c>
      <c r="J150" s="131"/>
      <c r="K150" s="131"/>
      <c r="L150" s="131"/>
      <c r="M150" s="131"/>
      <c r="N150" s="131"/>
      <c r="O150" s="131"/>
      <c r="P150" s="131"/>
      <c r="Q150" s="131"/>
      <c r="R150" s="131"/>
      <c r="S150" s="131"/>
      <c r="T150" s="131"/>
      <c r="U150" s="131"/>
      <c r="V150" s="131"/>
      <c r="W150" s="131"/>
      <c r="X150" s="131"/>
      <c r="Y150" s="131"/>
      <c r="Z150" s="131"/>
    </row>
    <row r="151" spans="1:26" ht="15.75" customHeight="1">
      <c r="A151" s="188"/>
      <c r="B151" s="210"/>
      <c r="C151" s="626" t="s">
        <v>7399</v>
      </c>
      <c r="D151" s="256">
        <f>Balanza!H1398</f>
        <v>0</v>
      </c>
      <c r="E151" s="256">
        <f>Balanza!H1670</f>
        <v>0</v>
      </c>
      <c r="F151" s="652">
        <f t="shared" si="23"/>
        <v>0</v>
      </c>
      <c r="G151" s="256">
        <f>Balanza!E1942</f>
        <v>0</v>
      </c>
      <c r="H151" s="256">
        <f>Balanza!G2214</f>
        <v>0</v>
      </c>
      <c r="I151" s="652">
        <f t="shared" si="25"/>
        <v>0</v>
      </c>
      <c r="J151" s="131"/>
      <c r="K151" s="131"/>
      <c r="L151" s="131"/>
      <c r="M151" s="131"/>
      <c r="N151" s="131"/>
      <c r="O151" s="131"/>
      <c r="P151" s="131"/>
      <c r="Q151" s="131"/>
      <c r="R151" s="131"/>
      <c r="S151" s="131"/>
      <c r="T151" s="131"/>
      <c r="U151" s="131"/>
      <c r="V151" s="131"/>
      <c r="W151" s="131"/>
      <c r="X151" s="131"/>
      <c r="Y151" s="131"/>
      <c r="Z151" s="131"/>
    </row>
    <row r="152" spans="1:26" ht="15.75" customHeight="1">
      <c r="A152" s="188"/>
      <c r="B152" s="210"/>
      <c r="C152" s="626" t="s">
        <v>7400</v>
      </c>
      <c r="D152" s="256">
        <f>Balanza!H1400</f>
        <v>0</v>
      </c>
      <c r="E152" s="256">
        <f>Balanza!H1672</f>
        <v>0</v>
      </c>
      <c r="F152" s="652">
        <f t="shared" si="23"/>
        <v>0</v>
      </c>
      <c r="G152" s="256">
        <f>Balanza!E1944</f>
        <v>0</v>
      </c>
      <c r="H152" s="256">
        <f>Balanza!G2216</f>
        <v>0</v>
      </c>
      <c r="I152" s="652">
        <f t="shared" si="25"/>
        <v>0</v>
      </c>
      <c r="J152" s="131"/>
      <c r="K152" s="131"/>
      <c r="L152" s="131"/>
      <c r="M152" s="131"/>
      <c r="N152" s="131"/>
      <c r="O152" s="131"/>
      <c r="P152" s="131"/>
      <c r="Q152" s="131"/>
      <c r="R152" s="131"/>
      <c r="S152" s="131"/>
      <c r="T152" s="131"/>
      <c r="U152" s="131"/>
      <c r="V152" s="131"/>
      <c r="W152" s="131"/>
      <c r="X152" s="131"/>
      <c r="Y152" s="131"/>
      <c r="Z152" s="131"/>
    </row>
    <row r="153" spans="1:26" ht="15.75" customHeight="1">
      <c r="A153" s="188"/>
      <c r="B153" s="210"/>
      <c r="C153" s="133" t="s">
        <v>7401</v>
      </c>
      <c r="D153" s="256">
        <f>Balanza!H1402</f>
        <v>0</v>
      </c>
      <c r="E153" s="256">
        <f>Balanza!H1674</f>
        <v>0</v>
      </c>
      <c r="F153" s="652">
        <f t="shared" si="23"/>
        <v>0</v>
      </c>
      <c r="G153" s="256">
        <f>Balanza!E1946</f>
        <v>0</v>
      </c>
      <c r="H153" s="256">
        <f>Balanza!G2218</f>
        <v>0</v>
      </c>
      <c r="I153" s="652">
        <f t="shared" si="25"/>
        <v>0</v>
      </c>
      <c r="J153" s="131"/>
      <c r="K153" s="131"/>
      <c r="L153" s="131"/>
      <c r="M153" s="131"/>
      <c r="N153" s="131"/>
      <c r="O153" s="131"/>
      <c r="P153" s="131"/>
      <c r="Q153" s="131"/>
      <c r="R153" s="131"/>
      <c r="S153" s="131"/>
      <c r="T153" s="131"/>
      <c r="U153" s="131"/>
      <c r="V153" s="131"/>
      <c r="W153" s="131"/>
      <c r="X153" s="131"/>
      <c r="Y153" s="131"/>
      <c r="Z153" s="131"/>
    </row>
    <row r="154" spans="1:26" ht="15.75" customHeight="1">
      <c r="A154" s="188"/>
      <c r="B154" s="144"/>
      <c r="C154" s="660"/>
      <c r="D154" s="650"/>
      <c r="E154" s="650"/>
      <c r="F154" s="650"/>
      <c r="G154" s="650"/>
      <c r="H154" s="650"/>
      <c r="I154" s="650"/>
      <c r="J154" s="131"/>
      <c r="K154" s="131"/>
      <c r="L154" s="131"/>
      <c r="M154" s="131"/>
      <c r="N154" s="131"/>
      <c r="O154" s="131"/>
      <c r="P154" s="131"/>
      <c r="Q154" s="131"/>
      <c r="R154" s="131"/>
      <c r="S154" s="131"/>
      <c r="T154" s="131"/>
      <c r="U154" s="131"/>
      <c r="V154" s="131"/>
      <c r="W154" s="131"/>
      <c r="X154" s="131"/>
      <c r="Y154" s="131"/>
      <c r="Z154" s="131"/>
    </row>
    <row r="155" spans="1:26" ht="15.75" customHeight="1">
      <c r="A155" s="188"/>
      <c r="B155" s="661" t="s">
        <v>6277</v>
      </c>
      <c r="C155" s="662"/>
      <c r="D155" s="650">
        <f t="shared" ref="D155:H155" si="44">D7+D81</f>
        <v>12364654498.379999</v>
      </c>
      <c r="E155" s="650">
        <f t="shared" si="44"/>
        <v>33368839.239999898</v>
      </c>
      <c r="F155" s="650">
        <f t="shared" si="44"/>
        <v>12398023337.619999</v>
      </c>
      <c r="G155" s="650">
        <f t="shared" si="44"/>
        <v>4291854332.5799994</v>
      </c>
      <c r="H155" s="650">
        <f t="shared" si="44"/>
        <v>4287270981.5599995</v>
      </c>
      <c r="I155" s="650">
        <f>F155-G155</f>
        <v>8106169005.039999</v>
      </c>
      <c r="J155" s="131"/>
      <c r="K155" s="131"/>
      <c r="L155" s="131"/>
      <c r="M155" s="131"/>
      <c r="N155" s="131"/>
      <c r="O155" s="131"/>
      <c r="P155" s="131"/>
      <c r="Q155" s="131"/>
      <c r="R155" s="131"/>
      <c r="S155" s="131"/>
      <c r="T155" s="131"/>
      <c r="U155" s="131"/>
      <c r="V155" s="131"/>
      <c r="W155" s="131"/>
      <c r="X155" s="131"/>
      <c r="Y155" s="131"/>
      <c r="Z155" s="131"/>
    </row>
    <row r="156" spans="1:26" ht="15.75" customHeight="1">
      <c r="A156" s="663"/>
      <c r="B156" s="518"/>
      <c r="C156" s="197"/>
      <c r="D156" s="664"/>
      <c r="E156" s="664"/>
      <c r="F156" s="664"/>
      <c r="G156" s="664"/>
      <c r="H156" s="664"/>
      <c r="I156" s="664"/>
      <c r="J156" s="131"/>
      <c r="K156" s="131"/>
      <c r="L156" s="131"/>
      <c r="M156" s="131"/>
      <c r="N156" s="131"/>
      <c r="O156" s="131"/>
      <c r="P156" s="131"/>
      <c r="Q156" s="131"/>
      <c r="R156" s="131"/>
      <c r="S156" s="131"/>
      <c r="T156" s="131"/>
      <c r="U156" s="131"/>
      <c r="V156" s="131"/>
      <c r="W156" s="131"/>
      <c r="X156" s="131"/>
      <c r="Y156" s="131"/>
      <c r="Z156" s="131"/>
    </row>
    <row r="157" spans="1:26" ht="15.75" customHeight="1">
      <c r="A157" s="146"/>
      <c r="B157" s="588" t="s">
        <v>4422</v>
      </c>
      <c r="C157" s="131"/>
      <c r="D157" s="146"/>
      <c r="E157" s="146"/>
      <c r="F157" s="146"/>
      <c r="G157" s="146"/>
      <c r="H157" s="146"/>
      <c r="I157" s="146"/>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210"/>
      <c r="C158" s="131"/>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row>
    <row r="159" spans="1:26" ht="15.75" customHeight="1">
      <c r="A159" s="146"/>
      <c r="B159" s="210"/>
      <c r="C159" s="131"/>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row>
    <row r="160" spans="1:26" ht="15.75" customHeight="1">
      <c r="A160" s="131"/>
      <c r="B160" s="210"/>
      <c r="C160" s="131"/>
      <c r="D160" s="146"/>
      <c r="E160" s="146"/>
      <c r="F160" s="146"/>
      <c r="G160" s="146"/>
      <c r="H160" s="146"/>
      <c r="I160" s="146"/>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210"/>
      <c r="C161" s="935" t="str">
        <f>Validacion!A7</f>
        <v>Vero</v>
      </c>
      <c r="D161" s="146"/>
      <c r="E161" s="146"/>
      <c r="F161" s="936" t="str">
        <f>Validacion!A9</f>
        <v>Irlanda</v>
      </c>
      <c r="G161" s="787"/>
      <c r="H161" s="787"/>
      <c r="I161" s="146"/>
      <c r="J161" s="146"/>
      <c r="K161" s="146"/>
      <c r="L161" s="146"/>
      <c r="M161" s="146"/>
      <c r="N161" s="146"/>
      <c r="O161" s="146"/>
      <c r="P161" s="146"/>
      <c r="Q161" s="146"/>
      <c r="R161" s="146"/>
      <c r="S161" s="146"/>
      <c r="T161" s="146"/>
      <c r="U161" s="146"/>
      <c r="V161" s="146"/>
      <c r="W161" s="146"/>
      <c r="X161" s="146"/>
      <c r="Y161" s="146"/>
      <c r="Z161" s="146"/>
    </row>
    <row r="162" spans="1:26" ht="15.75" customHeight="1">
      <c r="A162" s="131"/>
      <c r="B162" s="210"/>
      <c r="C162" s="725"/>
      <c r="D162" s="146"/>
      <c r="E162" s="146"/>
      <c r="F162" s="725"/>
      <c r="G162" s="725"/>
      <c r="H162" s="725"/>
      <c r="I162" s="146"/>
      <c r="J162" s="131"/>
      <c r="K162" s="131"/>
      <c r="L162" s="131"/>
      <c r="M162" s="131"/>
      <c r="N162" s="131"/>
      <c r="O162" s="131"/>
      <c r="P162" s="131"/>
      <c r="Q162" s="131"/>
      <c r="R162" s="131"/>
      <c r="S162" s="131"/>
      <c r="T162" s="131"/>
      <c r="U162" s="131"/>
      <c r="V162" s="131"/>
      <c r="W162" s="131"/>
      <c r="X162" s="131"/>
      <c r="Y162" s="131"/>
      <c r="Z162" s="131"/>
    </row>
    <row r="163" spans="1:26" ht="15" customHeight="1">
      <c r="A163" s="131"/>
      <c r="B163" s="210"/>
      <c r="C163" s="773" t="s">
        <v>4443</v>
      </c>
      <c r="D163" s="146"/>
      <c r="E163" s="146"/>
      <c r="F163" s="906" t="s">
        <v>6328</v>
      </c>
      <c r="G163" s="725"/>
      <c r="H163" s="725"/>
      <c r="I163" s="146"/>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210"/>
      <c r="C164" s="725"/>
      <c r="D164" s="146"/>
      <c r="E164" s="146"/>
      <c r="F164" s="725"/>
      <c r="G164" s="725"/>
      <c r="H164" s="725"/>
      <c r="I164" s="146"/>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210"/>
      <c r="C165" s="131"/>
      <c r="D165" s="146"/>
      <c r="E165" s="146"/>
      <c r="F165" s="146"/>
      <c r="G165" s="146"/>
      <c r="H165" s="146"/>
      <c r="I165" s="146"/>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210"/>
      <c r="C166" s="131"/>
      <c r="D166" s="146"/>
      <c r="E166" s="146"/>
      <c r="F166" s="146"/>
      <c r="G166" s="146"/>
      <c r="H166" s="146"/>
      <c r="I166" s="146"/>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210"/>
      <c r="C167" s="131"/>
      <c r="D167" s="146"/>
      <c r="E167" s="146"/>
      <c r="F167" s="146"/>
      <c r="G167" s="146"/>
      <c r="H167" s="146"/>
      <c r="I167" s="146"/>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210"/>
      <c r="C168" s="131"/>
      <c r="D168" s="146"/>
      <c r="E168" s="146"/>
      <c r="F168" s="146"/>
      <c r="G168" s="146"/>
      <c r="H168" s="146"/>
      <c r="I168" s="146"/>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210"/>
      <c r="C169" s="131"/>
      <c r="D169" s="146"/>
      <c r="E169" s="146"/>
      <c r="F169" s="146"/>
      <c r="G169" s="146"/>
      <c r="H169" s="146"/>
      <c r="I169" s="146"/>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210"/>
      <c r="C170" s="131"/>
      <c r="D170" s="146"/>
      <c r="E170" s="146"/>
      <c r="F170" s="146"/>
      <c r="G170" s="146"/>
      <c r="H170" s="146"/>
      <c r="I170" s="146"/>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210"/>
      <c r="C171" s="131"/>
      <c r="D171" s="146"/>
      <c r="E171" s="146"/>
      <c r="F171" s="146"/>
      <c r="G171" s="146"/>
      <c r="H171" s="146"/>
      <c r="I171" s="146"/>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210"/>
      <c r="C172" s="131"/>
      <c r="D172" s="146"/>
      <c r="E172" s="146"/>
      <c r="F172" s="146"/>
      <c r="G172" s="146"/>
      <c r="H172" s="146"/>
      <c r="I172" s="146"/>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210"/>
      <c r="C173" s="131"/>
      <c r="D173" s="146"/>
      <c r="E173" s="146"/>
      <c r="F173" s="146"/>
      <c r="G173" s="146"/>
      <c r="H173" s="146"/>
      <c r="I173" s="146"/>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210"/>
      <c r="C174" s="131"/>
      <c r="D174" s="146"/>
      <c r="E174" s="146"/>
      <c r="F174" s="146"/>
      <c r="G174" s="146"/>
      <c r="H174" s="146"/>
      <c r="I174" s="146"/>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210"/>
      <c r="C175" s="131"/>
      <c r="D175" s="146"/>
      <c r="E175" s="146"/>
      <c r="F175" s="146"/>
      <c r="G175" s="146"/>
      <c r="H175" s="146"/>
      <c r="I175" s="146"/>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210"/>
      <c r="C176" s="131"/>
      <c r="D176" s="146"/>
      <c r="E176" s="146"/>
      <c r="F176" s="146"/>
      <c r="G176" s="146"/>
      <c r="H176" s="146"/>
      <c r="I176" s="146"/>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210"/>
      <c r="C177" s="131"/>
      <c r="D177" s="146"/>
      <c r="E177" s="146"/>
      <c r="F177" s="146"/>
      <c r="G177" s="146"/>
      <c r="H177" s="146"/>
      <c r="I177" s="146"/>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210"/>
      <c r="C178" s="131"/>
      <c r="D178" s="146"/>
      <c r="E178" s="146"/>
      <c r="F178" s="146"/>
      <c r="G178" s="146"/>
      <c r="H178" s="146"/>
      <c r="I178" s="146"/>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210"/>
      <c r="C179" s="131"/>
      <c r="D179" s="146"/>
      <c r="E179" s="146"/>
      <c r="F179" s="146"/>
      <c r="G179" s="146"/>
      <c r="H179" s="146"/>
      <c r="I179" s="146"/>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210"/>
      <c r="C180" s="131"/>
      <c r="D180" s="146"/>
      <c r="E180" s="146"/>
      <c r="F180" s="146"/>
      <c r="G180" s="146"/>
      <c r="H180" s="146"/>
      <c r="I180" s="146"/>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210"/>
      <c r="C181" s="131"/>
      <c r="D181" s="146"/>
      <c r="E181" s="146"/>
      <c r="F181" s="146"/>
      <c r="G181" s="146"/>
      <c r="H181" s="146"/>
      <c r="I181" s="146"/>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210"/>
      <c r="C182" s="131"/>
      <c r="D182" s="146"/>
      <c r="E182" s="146"/>
      <c r="F182" s="146"/>
      <c r="G182" s="146"/>
      <c r="H182" s="146"/>
      <c r="I182" s="146"/>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210"/>
      <c r="C183" s="131"/>
      <c r="D183" s="146"/>
      <c r="E183" s="146"/>
      <c r="F183" s="146"/>
      <c r="G183" s="146"/>
      <c r="H183" s="146"/>
      <c r="I183" s="146"/>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210"/>
      <c r="C184" s="131"/>
      <c r="D184" s="146"/>
      <c r="E184" s="146"/>
      <c r="F184" s="146"/>
      <c r="G184" s="146"/>
      <c r="H184" s="146"/>
      <c r="I184" s="146"/>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210"/>
      <c r="C185" s="131"/>
      <c r="D185" s="146"/>
      <c r="E185" s="146"/>
      <c r="F185" s="146"/>
      <c r="G185" s="146"/>
      <c r="H185" s="146"/>
      <c r="I185" s="146"/>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210"/>
      <c r="C186" s="131"/>
      <c r="D186" s="146"/>
      <c r="E186" s="146"/>
      <c r="F186" s="146"/>
      <c r="G186" s="146"/>
      <c r="H186" s="146"/>
      <c r="I186" s="146"/>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210"/>
      <c r="C187" s="131"/>
      <c r="D187" s="146"/>
      <c r="E187" s="146"/>
      <c r="F187" s="146"/>
      <c r="G187" s="146"/>
      <c r="H187" s="146"/>
      <c r="I187" s="146"/>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210"/>
      <c r="C188" s="131"/>
      <c r="D188" s="146"/>
      <c r="E188" s="146"/>
      <c r="F188" s="146"/>
      <c r="G188" s="146"/>
      <c r="H188" s="146"/>
      <c r="I188" s="146"/>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210"/>
      <c r="C189" s="131"/>
      <c r="D189" s="146"/>
      <c r="E189" s="146"/>
      <c r="F189" s="146"/>
      <c r="G189" s="146"/>
      <c r="H189" s="146"/>
      <c r="I189" s="146"/>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210"/>
      <c r="C190" s="131"/>
      <c r="D190" s="146"/>
      <c r="E190" s="146"/>
      <c r="F190" s="146"/>
      <c r="G190" s="146"/>
      <c r="H190" s="146"/>
      <c r="I190" s="146"/>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210"/>
      <c r="C191" s="131"/>
      <c r="D191" s="146"/>
      <c r="E191" s="146"/>
      <c r="F191" s="146"/>
      <c r="G191" s="146"/>
      <c r="H191" s="146"/>
      <c r="I191" s="146"/>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210"/>
      <c r="C192" s="131"/>
      <c r="D192" s="146"/>
      <c r="E192" s="146"/>
      <c r="F192" s="146"/>
      <c r="G192" s="146"/>
      <c r="H192" s="146"/>
      <c r="I192" s="146"/>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210"/>
      <c r="C193" s="131"/>
      <c r="D193" s="146"/>
      <c r="E193" s="146"/>
      <c r="F193" s="146"/>
      <c r="G193" s="146"/>
      <c r="H193" s="146"/>
      <c r="I193" s="146"/>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210"/>
      <c r="C194" s="131"/>
      <c r="D194" s="146"/>
      <c r="E194" s="146"/>
      <c r="F194" s="146"/>
      <c r="G194" s="146"/>
      <c r="H194" s="146"/>
      <c r="I194" s="146"/>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210"/>
      <c r="C195" s="131"/>
      <c r="D195" s="146"/>
      <c r="E195" s="146"/>
      <c r="F195" s="146"/>
      <c r="G195" s="146"/>
      <c r="H195" s="146"/>
      <c r="I195" s="146"/>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210"/>
      <c r="C196" s="131"/>
      <c r="D196" s="146"/>
      <c r="E196" s="146"/>
      <c r="F196" s="146"/>
      <c r="G196" s="146"/>
      <c r="H196" s="146"/>
      <c r="I196" s="146"/>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210"/>
      <c r="C197" s="131"/>
      <c r="D197" s="146"/>
      <c r="E197" s="146"/>
      <c r="F197" s="146"/>
      <c r="G197" s="146"/>
      <c r="H197" s="146"/>
      <c r="I197" s="146"/>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210"/>
      <c r="C198" s="131"/>
      <c r="D198" s="146"/>
      <c r="E198" s="146"/>
      <c r="F198" s="146"/>
      <c r="G198" s="146"/>
      <c r="H198" s="146"/>
      <c r="I198" s="146"/>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210"/>
      <c r="C199" s="131"/>
      <c r="D199" s="146"/>
      <c r="E199" s="146"/>
      <c r="F199" s="146"/>
      <c r="G199" s="146"/>
      <c r="H199" s="146"/>
      <c r="I199" s="146"/>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210"/>
      <c r="C200" s="131"/>
      <c r="D200" s="146"/>
      <c r="E200" s="146"/>
      <c r="F200" s="146"/>
      <c r="G200" s="146"/>
      <c r="H200" s="146"/>
      <c r="I200" s="146"/>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210"/>
      <c r="C201" s="131"/>
      <c r="D201" s="146"/>
      <c r="E201" s="146"/>
      <c r="F201" s="146"/>
      <c r="G201" s="146"/>
      <c r="H201" s="146"/>
      <c r="I201" s="146"/>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210"/>
      <c r="C202" s="131"/>
      <c r="D202" s="146"/>
      <c r="E202" s="146"/>
      <c r="F202" s="146"/>
      <c r="G202" s="146"/>
      <c r="H202" s="146"/>
      <c r="I202" s="146"/>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210"/>
      <c r="C203" s="131"/>
      <c r="D203" s="146"/>
      <c r="E203" s="146"/>
      <c r="F203" s="146"/>
      <c r="G203" s="146"/>
      <c r="H203" s="146"/>
      <c r="I203" s="146"/>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210"/>
      <c r="C204" s="131"/>
      <c r="D204" s="146"/>
      <c r="E204" s="146"/>
      <c r="F204" s="146"/>
      <c r="G204" s="146"/>
      <c r="H204" s="146"/>
      <c r="I204" s="146"/>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210"/>
      <c r="C205" s="131"/>
      <c r="D205" s="146"/>
      <c r="E205" s="146"/>
      <c r="F205" s="146"/>
      <c r="G205" s="146"/>
      <c r="H205" s="146"/>
      <c r="I205" s="146"/>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210"/>
      <c r="C206" s="131"/>
      <c r="D206" s="146"/>
      <c r="E206" s="146"/>
      <c r="F206" s="146"/>
      <c r="G206" s="146"/>
      <c r="H206" s="146"/>
      <c r="I206" s="146"/>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210"/>
      <c r="C207" s="131"/>
      <c r="D207" s="146"/>
      <c r="E207" s="146"/>
      <c r="F207" s="146"/>
      <c r="G207" s="146"/>
      <c r="H207" s="146"/>
      <c r="I207" s="146"/>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210"/>
      <c r="C208" s="131"/>
      <c r="D208" s="146"/>
      <c r="E208" s="146"/>
      <c r="F208" s="146"/>
      <c r="G208" s="146"/>
      <c r="H208" s="146"/>
      <c r="I208" s="146"/>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210"/>
      <c r="C209" s="131"/>
      <c r="D209" s="146"/>
      <c r="E209" s="146"/>
      <c r="F209" s="146"/>
      <c r="G209" s="146"/>
      <c r="H209" s="146"/>
      <c r="I209" s="146"/>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210"/>
      <c r="C210" s="131"/>
      <c r="D210" s="146"/>
      <c r="E210" s="146"/>
      <c r="F210" s="146"/>
      <c r="G210" s="146"/>
      <c r="H210" s="146"/>
      <c r="I210" s="146"/>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210"/>
      <c r="C211" s="131"/>
      <c r="D211" s="146"/>
      <c r="E211" s="146"/>
      <c r="F211" s="146"/>
      <c r="G211" s="146"/>
      <c r="H211" s="146"/>
      <c r="I211" s="146"/>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210"/>
      <c r="C212" s="131"/>
      <c r="D212" s="146"/>
      <c r="E212" s="146"/>
      <c r="F212" s="146"/>
      <c r="G212" s="146"/>
      <c r="H212" s="146"/>
      <c r="I212" s="146"/>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210"/>
      <c r="C213" s="131"/>
      <c r="D213" s="146"/>
      <c r="E213" s="146"/>
      <c r="F213" s="146"/>
      <c r="G213" s="146"/>
      <c r="H213" s="146"/>
      <c r="I213" s="146"/>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210"/>
      <c r="C214" s="131"/>
      <c r="D214" s="146"/>
      <c r="E214" s="146"/>
      <c r="F214" s="146"/>
      <c r="G214" s="146"/>
      <c r="H214" s="146"/>
      <c r="I214" s="146"/>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210"/>
      <c r="C215" s="131"/>
      <c r="D215" s="146"/>
      <c r="E215" s="146"/>
      <c r="F215" s="146"/>
      <c r="G215" s="146"/>
      <c r="H215" s="146"/>
      <c r="I215" s="146"/>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210"/>
      <c r="C216" s="131"/>
      <c r="D216" s="146"/>
      <c r="E216" s="146"/>
      <c r="F216" s="146"/>
      <c r="G216" s="146"/>
      <c r="H216" s="146"/>
      <c r="I216" s="146"/>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210"/>
      <c r="C217" s="131"/>
      <c r="D217" s="146"/>
      <c r="E217" s="146"/>
      <c r="F217" s="146"/>
      <c r="G217" s="146"/>
      <c r="H217" s="146"/>
      <c r="I217" s="146"/>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210"/>
      <c r="C218" s="131"/>
      <c r="D218" s="146"/>
      <c r="E218" s="146"/>
      <c r="F218" s="146"/>
      <c r="G218" s="146"/>
      <c r="H218" s="146"/>
      <c r="I218" s="146"/>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210"/>
      <c r="C219" s="131"/>
      <c r="D219" s="146"/>
      <c r="E219" s="146"/>
      <c r="F219" s="146"/>
      <c r="G219" s="146"/>
      <c r="H219" s="146"/>
      <c r="I219" s="146"/>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210"/>
      <c r="C220" s="131"/>
      <c r="D220" s="146"/>
      <c r="E220" s="146"/>
      <c r="F220" s="146"/>
      <c r="G220" s="146"/>
      <c r="H220" s="146"/>
      <c r="I220" s="146"/>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210"/>
      <c r="C221" s="131"/>
      <c r="D221" s="146"/>
      <c r="E221" s="146"/>
      <c r="F221" s="146"/>
      <c r="G221" s="146"/>
      <c r="H221" s="146"/>
      <c r="I221" s="146"/>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210"/>
      <c r="C222" s="131"/>
      <c r="D222" s="146"/>
      <c r="E222" s="146"/>
      <c r="F222" s="146"/>
      <c r="G222" s="146"/>
      <c r="H222" s="146"/>
      <c r="I222" s="146"/>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210"/>
      <c r="C223" s="131"/>
      <c r="D223" s="146"/>
      <c r="E223" s="146"/>
      <c r="F223" s="146"/>
      <c r="G223" s="146"/>
      <c r="H223" s="146"/>
      <c r="I223" s="146"/>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210"/>
      <c r="C224" s="131"/>
      <c r="D224" s="146"/>
      <c r="E224" s="146"/>
      <c r="F224" s="146"/>
      <c r="G224" s="146"/>
      <c r="H224" s="146"/>
      <c r="I224" s="146"/>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210"/>
      <c r="C225" s="131"/>
      <c r="D225" s="146"/>
      <c r="E225" s="146"/>
      <c r="F225" s="146"/>
      <c r="G225" s="146"/>
      <c r="H225" s="146"/>
      <c r="I225" s="146"/>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210"/>
      <c r="C226" s="131"/>
      <c r="D226" s="146"/>
      <c r="E226" s="146"/>
      <c r="F226" s="146"/>
      <c r="G226" s="146"/>
      <c r="H226" s="146"/>
      <c r="I226" s="146"/>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210"/>
      <c r="C227" s="131"/>
      <c r="D227" s="146"/>
      <c r="E227" s="146"/>
      <c r="F227" s="146"/>
      <c r="G227" s="146"/>
      <c r="H227" s="146"/>
      <c r="I227" s="146"/>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210"/>
      <c r="C228" s="131"/>
      <c r="D228" s="146"/>
      <c r="E228" s="146"/>
      <c r="F228" s="146"/>
      <c r="G228" s="146"/>
      <c r="H228" s="146"/>
      <c r="I228" s="146"/>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210"/>
      <c r="C229" s="131"/>
      <c r="D229" s="146"/>
      <c r="E229" s="146"/>
      <c r="F229" s="146"/>
      <c r="G229" s="146"/>
      <c r="H229" s="146"/>
      <c r="I229" s="146"/>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210"/>
      <c r="C230" s="131"/>
      <c r="D230" s="146"/>
      <c r="E230" s="146"/>
      <c r="F230" s="146"/>
      <c r="G230" s="146"/>
      <c r="H230" s="146"/>
      <c r="I230" s="146"/>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210"/>
      <c r="C231" s="131"/>
      <c r="D231" s="146"/>
      <c r="E231" s="146"/>
      <c r="F231" s="146"/>
      <c r="G231" s="146"/>
      <c r="H231" s="146"/>
      <c r="I231" s="146"/>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210"/>
      <c r="C232" s="131"/>
      <c r="D232" s="146"/>
      <c r="E232" s="146"/>
      <c r="F232" s="146"/>
      <c r="G232" s="146"/>
      <c r="H232" s="146"/>
      <c r="I232" s="146"/>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210"/>
      <c r="C233" s="131"/>
      <c r="D233" s="146"/>
      <c r="E233" s="146"/>
      <c r="F233" s="146"/>
      <c r="G233" s="146"/>
      <c r="H233" s="146"/>
      <c r="I233" s="146"/>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210"/>
      <c r="C234" s="131"/>
      <c r="D234" s="146"/>
      <c r="E234" s="146"/>
      <c r="F234" s="146"/>
      <c r="G234" s="146"/>
      <c r="H234" s="146"/>
      <c r="I234" s="146"/>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210"/>
      <c r="C235" s="131"/>
      <c r="D235" s="146"/>
      <c r="E235" s="146"/>
      <c r="F235" s="146"/>
      <c r="G235" s="146"/>
      <c r="H235" s="146"/>
      <c r="I235" s="146"/>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210"/>
      <c r="C236" s="131"/>
      <c r="D236" s="146"/>
      <c r="E236" s="146"/>
      <c r="F236" s="146"/>
      <c r="G236" s="146"/>
      <c r="H236" s="146"/>
      <c r="I236" s="146"/>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210"/>
      <c r="C237" s="131"/>
      <c r="D237" s="146"/>
      <c r="E237" s="146"/>
      <c r="F237" s="146"/>
      <c r="G237" s="146"/>
      <c r="H237" s="146"/>
      <c r="I237" s="146"/>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210"/>
      <c r="C238" s="131"/>
      <c r="D238" s="146"/>
      <c r="E238" s="146"/>
      <c r="F238" s="146"/>
      <c r="G238" s="146"/>
      <c r="H238" s="146"/>
      <c r="I238" s="146"/>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210"/>
      <c r="C239" s="131"/>
      <c r="D239" s="146"/>
      <c r="E239" s="146"/>
      <c r="F239" s="146"/>
      <c r="G239" s="146"/>
      <c r="H239" s="146"/>
      <c r="I239" s="146"/>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210"/>
      <c r="C240" s="131"/>
      <c r="D240" s="146"/>
      <c r="E240" s="146"/>
      <c r="F240" s="146"/>
      <c r="G240" s="146"/>
      <c r="H240" s="146"/>
      <c r="I240" s="146"/>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210"/>
      <c r="C241" s="131"/>
      <c r="D241" s="146"/>
      <c r="E241" s="146"/>
      <c r="F241" s="146"/>
      <c r="G241" s="146"/>
      <c r="H241" s="146"/>
      <c r="I241" s="146"/>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210"/>
      <c r="C242" s="131"/>
      <c r="D242" s="146"/>
      <c r="E242" s="146"/>
      <c r="F242" s="146"/>
      <c r="G242" s="146"/>
      <c r="H242" s="146"/>
      <c r="I242" s="146"/>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210"/>
      <c r="C243" s="131"/>
      <c r="D243" s="146"/>
      <c r="E243" s="146"/>
      <c r="F243" s="146"/>
      <c r="G243" s="146"/>
      <c r="H243" s="146"/>
      <c r="I243" s="146"/>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210"/>
      <c r="C244" s="131"/>
      <c r="D244" s="146"/>
      <c r="E244" s="146"/>
      <c r="F244" s="146"/>
      <c r="G244" s="146"/>
      <c r="H244" s="146"/>
      <c r="I244" s="146"/>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210"/>
      <c r="C245" s="131"/>
      <c r="D245" s="146"/>
      <c r="E245" s="146"/>
      <c r="F245" s="146"/>
      <c r="G245" s="146"/>
      <c r="H245" s="146"/>
      <c r="I245" s="146"/>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210"/>
      <c r="C246" s="131"/>
      <c r="D246" s="146"/>
      <c r="E246" s="146"/>
      <c r="F246" s="146"/>
      <c r="G246" s="146"/>
      <c r="H246" s="146"/>
      <c r="I246" s="146"/>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210"/>
      <c r="C247" s="131"/>
      <c r="D247" s="146"/>
      <c r="E247" s="146"/>
      <c r="F247" s="146"/>
      <c r="G247" s="146"/>
      <c r="H247" s="146"/>
      <c r="I247" s="146"/>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210"/>
      <c r="C248" s="131"/>
      <c r="D248" s="146"/>
      <c r="E248" s="146"/>
      <c r="F248" s="146"/>
      <c r="G248" s="146"/>
      <c r="H248" s="146"/>
      <c r="I248" s="146"/>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210"/>
      <c r="C249" s="131"/>
      <c r="D249" s="146"/>
      <c r="E249" s="146"/>
      <c r="F249" s="146"/>
      <c r="G249" s="146"/>
      <c r="H249" s="146"/>
      <c r="I249" s="146"/>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210"/>
      <c r="C250" s="131"/>
      <c r="D250" s="146"/>
      <c r="E250" s="146"/>
      <c r="F250" s="146"/>
      <c r="G250" s="146"/>
      <c r="H250" s="146"/>
      <c r="I250" s="146"/>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210"/>
      <c r="C251" s="131"/>
      <c r="D251" s="146"/>
      <c r="E251" s="146"/>
      <c r="F251" s="146"/>
      <c r="G251" s="146"/>
      <c r="H251" s="146"/>
      <c r="I251" s="146"/>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210"/>
      <c r="C252" s="131"/>
      <c r="D252" s="146"/>
      <c r="E252" s="146"/>
      <c r="F252" s="146"/>
      <c r="G252" s="146"/>
      <c r="H252" s="146"/>
      <c r="I252" s="146"/>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210"/>
      <c r="C253" s="131"/>
      <c r="D253" s="146"/>
      <c r="E253" s="146"/>
      <c r="F253" s="146"/>
      <c r="G253" s="146"/>
      <c r="H253" s="146"/>
      <c r="I253" s="146"/>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210"/>
      <c r="C254" s="131"/>
      <c r="D254" s="146"/>
      <c r="E254" s="146"/>
      <c r="F254" s="146"/>
      <c r="G254" s="146"/>
      <c r="H254" s="146"/>
      <c r="I254" s="146"/>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210"/>
      <c r="C255" s="131"/>
      <c r="D255" s="146"/>
      <c r="E255" s="146"/>
      <c r="F255" s="146"/>
      <c r="G255" s="146"/>
      <c r="H255" s="146"/>
      <c r="I255" s="146"/>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210"/>
      <c r="C256" s="131"/>
      <c r="D256" s="146"/>
      <c r="E256" s="146"/>
      <c r="F256" s="146"/>
      <c r="G256" s="146"/>
      <c r="H256" s="146"/>
      <c r="I256" s="146"/>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210"/>
      <c r="C257" s="131"/>
      <c r="D257" s="146"/>
      <c r="E257" s="146"/>
      <c r="F257" s="146"/>
      <c r="G257" s="146"/>
      <c r="H257" s="146"/>
      <c r="I257" s="146"/>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210"/>
      <c r="C258" s="131"/>
      <c r="D258" s="146"/>
      <c r="E258" s="146"/>
      <c r="F258" s="146"/>
      <c r="G258" s="146"/>
      <c r="H258" s="146"/>
      <c r="I258" s="146"/>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210"/>
      <c r="C259" s="131"/>
      <c r="D259" s="146"/>
      <c r="E259" s="146"/>
      <c r="F259" s="146"/>
      <c r="G259" s="146"/>
      <c r="H259" s="146"/>
      <c r="I259" s="146"/>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210"/>
      <c r="C260" s="131"/>
      <c r="D260" s="146"/>
      <c r="E260" s="146"/>
      <c r="F260" s="146"/>
      <c r="G260" s="146"/>
      <c r="H260" s="146"/>
      <c r="I260" s="146"/>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210"/>
      <c r="C261" s="131"/>
      <c r="D261" s="146"/>
      <c r="E261" s="146"/>
      <c r="F261" s="146"/>
      <c r="G261" s="146"/>
      <c r="H261" s="146"/>
      <c r="I261" s="146"/>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210"/>
      <c r="C262" s="131"/>
      <c r="D262" s="146"/>
      <c r="E262" s="146"/>
      <c r="F262" s="146"/>
      <c r="G262" s="146"/>
      <c r="H262" s="146"/>
      <c r="I262" s="146"/>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210"/>
      <c r="C263" s="131"/>
      <c r="D263" s="146"/>
      <c r="E263" s="146"/>
      <c r="F263" s="146"/>
      <c r="G263" s="146"/>
      <c r="H263" s="146"/>
      <c r="I263" s="146"/>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210"/>
      <c r="C264" s="131"/>
      <c r="D264" s="146"/>
      <c r="E264" s="146"/>
      <c r="F264" s="146"/>
      <c r="G264" s="146"/>
      <c r="H264" s="146"/>
      <c r="I264" s="146"/>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210"/>
      <c r="C265" s="131"/>
      <c r="D265" s="146"/>
      <c r="E265" s="146"/>
      <c r="F265" s="146"/>
      <c r="G265" s="146"/>
      <c r="H265" s="146"/>
      <c r="I265" s="146"/>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210"/>
      <c r="C266" s="131"/>
      <c r="D266" s="146"/>
      <c r="E266" s="146"/>
      <c r="F266" s="146"/>
      <c r="G266" s="146"/>
      <c r="H266" s="146"/>
      <c r="I266" s="146"/>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210"/>
      <c r="C267" s="131"/>
      <c r="D267" s="146"/>
      <c r="E267" s="146"/>
      <c r="F267" s="146"/>
      <c r="G267" s="146"/>
      <c r="H267" s="146"/>
      <c r="I267" s="146"/>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210"/>
      <c r="C268" s="131"/>
      <c r="D268" s="146"/>
      <c r="E268" s="146"/>
      <c r="F268" s="146"/>
      <c r="G268" s="146"/>
      <c r="H268" s="146"/>
      <c r="I268" s="146"/>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210"/>
      <c r="C269" s="131"/>
      <c r="D269" s="146"/>
      <c r="E269" s="146"/>
      <c r="F269" s="146"/>
      <c r="G269" s="146"/>
      <c r="H269" s="146"/>
      <c r="I269" s="146"/>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210"/>
      <c r="C270" s="131"/>
      <c r="D270" s="146"/>
      <c r="E270" s="146"/>
      <c r="F270" s="146"/>
      <c r="G270" s="146"/>
      <c r="H270" s="146"/>
      <c r="I270" s="146"/>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210"/>
      <c r="C271" s="131"/>
      <c r="D271" s="146"/>
      <c r="E271" s="146"/>
      <c r="F271" s="146"/>
      <c r="G271" s="146"/>
      <c r="H271" s="146"/>
      <c r="I271" s="146"/>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210"/>
      <c r="C272" s="131"/>
      <c r="D272" s="146"/>
      <c r="E272" s="146"/>
      <c r="F272" s="146"/>
      <c r="G272" s="146"/>
      <c r="H272" s="146"/>
      <c r="I272" s="146"/>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210"/>
      <c r="C273" s="131"/>
      <c r="D273" s="146"/>
      <c r="E273" s="146"/>
      <c r="F273" s="146"/>
      <c r="G273" s="146"/>
      <c r="H273" s="146"/>
      <c r="I273" s="146"/>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210"/>
      <c r="C274" s="131"/>
      <c r="D274" s="146"/>
      <c r="E274" s="146"/>
      <c r="F274" s="146"/>
      <c r="G274" s="146"/>
      <c r="H274" s="146"/>
      <c r="I274" s="146"/>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210"/>
      <c r="C275" s="131"/>
      <c r="D275" s="146"/>
      <c r="E275" s="146"/>
      <c r="F275" s="146"/>
      <c r="G275" s="146"/>
      <c r="H275" s="146"/>
      <c r="I275" s="146"/>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210"/>
      <c r="C276" s="131"/>
      <c r="D276" s="146"/>
      <c r="E276" s="146"/>
      <c r="F276" s="146"/>
      <c r="G276" s="146"/>
      <c r="H276" s="146"/>
      <c r="I276" s="146"/>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210"/>
      <c r="C277" s="131"/>
      <c r="D277" s="146"/>
      <c r="E277" s="146"/>
      <c r="F277" s="146"/>
      <c r="G277" s="146"/>
      <c r="H277" s="146"/>
      <c r="I277" s="146"/>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210"/>
      <c r="C278" s="131"/>
      <c r="D278" s="146"/>
      <c r="E278" s="146"/>
      <c r="F278" s="146"/>
      <c r="G278" s="146"/>
      <c r="H278" s="146"/>
      <c r="I278" s="146"/>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210"/>
      <c r="C279" s="131"/>
      <c r="D279" s="146"/>
      <c r="E279" s="146"/>
      <c r="F279" s="146"/>
      <c r="G279" s="146"/>
      <c r="H279" s="146"/>
      <c r="I279" s="146"/>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210"/>
      <c r="C280" s="131"/>
      <c r="D280" s="146"/>
      <c r="E280" s="146"/>
      <c r="F280" s="146"/>
      <c r="G280" s="146"/>
      <c r="H280" s="146"/>
      <c r="I280" s="146"/>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210"/>
      <c r="C281" s="131"/>
      <c r="D281" s="146"/>
      <c r="E281" s="146"/>
      <c r="F281" s="146"/>
      <c r="G281" s="146"/>
      <c r="H281" s="146"/>
      <c r="I281" s="146"/>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210"/>
      <c r="C282" s="131"/>
      <c r="D282" s="146"/>
      <c r="E282" s="146"/>
      <c r="F282" s="146"/>
      <c r="G282" s="146"/>
      <c r="H282" s="146"/>
      <c r="I282" s="146"/>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210"/>
      <c r="C283" s="131"/>
      <c r="D283" s="146"/>
      <c r="E283" s="146"/>
      <c r="F283" s="146"/>
      <c r="G283" s="146"/>
      <c r="H283" s="146"/>
      <c r="I283" s="146"/>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210"/>
      <c r="C284" s="131"/>
      <c r="D284" s="146"/>
      <c r="E284" s="146"/>
      <c r="F284" s="146"/>
      <c r="G284" s="146"/>
      <c r="H284" s="146"/>
      <c r="I284" s="146"/>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210"/>
      <c r="C285" s="131"/>
      <c r="D285" s="146"/>
      <c r="E285" s="146"/>
      <c r="F285" s="146"/>
      <c r="G285" s="146"/>
      <c r="H285" s="146"/>
      <c r="I285" s="146"/>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210"/>
      <c r="C286" s="131"/>
      <c r="D286" s="146"/>
      <c r="E286" s="146"/>
      <c r="F286" s="146"/>
      <c r="G286" s="146"/>
      <c r="H286" s="146"/>
      <c r="I286" s="146"/>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210"/>
      <c r="C287" s="131"/>
      <c r="D287" s="146"/>
      <c r="E287" s="146"/>
      <c r="F287" s="146"/>
      <c r="G287" s="146"/>
      <c r="H287" s="146"/>
      <c r="I287" s="146"/>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210"/>
      <c r="C288" s="131"/>
      <c r="D288" s="146"/>
      <c r="E288" s="146"/>
      <c r="F288" s="146"/>
      <c r="G288" s="146"/>
      <c r="H288" s="146"/>
      <c r="I288" s="146"/>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210"/>
      <c r="C289" s="131"/>
      <c r="D289" s="146"/>
      <c r="E289" s="146"/>
      <c r="F289" s="146"/>
      <c r="G289" s="146"/>
      <c r="H289" s="146"/>
      <c r="I289" s="146"/>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210"/>
      <c r="C290" s="131"/>
      <c r="D290" s="146"/>
      <c r="E290" s="146"/>
      <c r="F290" s="146"/>
      <c r="G290" s="146"/>
      <c r="H290" s="146"/>
      <c r="I290" s="146"/>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210"/>
      <c r="C291" s="131"/>
      <c r="D291" s="146"/>
      <c r="E291" s="146"/>
      <c r="F291" s="146"/>
      <c r="G291" s="146"/>
      <c r="H291" s="146"/>
      <c r="I291" s="146"/>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210"/>
      <c r="C292" s="131"/>
      <c r="D292" s="146"/>
      <c r="E292" s="146"/>
      <c r="F292" s="146"/>
      <c r="G292" s="146"/>
      <c r="H292" s="146"/>
      <c r="I292" s="146"/>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210"/>
      <c r="C293" s="131"/>
      <c r="D293" s="146"/>
      <c r="E293" s="146"/>
      <c r="F293" s="146"/>
      <c r="G293" s="146"/>
      <c r="H293" s="146"/>
      <c r="I293" s="146"/>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210"/>
      <c r="C294" s="131"/>
      <c r="D294" s="146"/>
      <c r="E294" s="146"/>
      <c r="F294" s="146"/>
      <c r="G294" s="146"/>
      <c r="H294" s="146"/>
      <c r="I294" s="146"/>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210"/>
      <c r="C295" s="131"/>
      <c r="D295" s="146"/>
      <c r="E295" s="146"/>
      <c r="F295" s="146"/>
      <c r="G295" s="146"/>
      <c r="H295" s="146"/>
      <c r="I295" s="146"/>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210"/>
      <c r="C296" s="131"/>
      <c r="D296" s="146"/>
      <c r="E296" s="146"/>
      <c r="F296" s="146"/>
      <c r="G296" s="146"/>
      <c r="H296" s="146"/>
      <c r="I296" s="146"/>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210"/>
      <c r="C297" s="131"/>
      <c r="D297" s="146"/>
      <c r="E297" s="146"/>
      <c r="F297" s="146"/>
      <c r="G297" s="146"/>
      <c r="H297" s="146"/>
      <c r="I297" s="146"/>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210"/>
      <c r="C298" s="131"/>
      <c r="D298" s="146"/>
      <c r="E298" s="146"/>
      <c r="F298" s="146"/>
      <c r="G298" s="146"/>
      <c r="H298" s="146"/>
      <c r="I298" s="146"/>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210"/>
      <c r="C299" s="131"/>
      <c r="D299" s="146"/>
      <c r="E299" s="146"/>
      <c r="F299" s="146"/>
      <c r="G299" s="146"/>
      <c r="H299" s="146"/>
      <c r="I299" s="146"/>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210"/>
      <c r="C300" s="131"/>
      <c r="D300" s="146"/>
      <c r="E300" s="146"/>
      <c r="F300" s="146"/>
      <c r="G300" s="146"/>
      <c r="H300" s="146"/>
      <c r="I300" s="146"/>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210"/>
      <c r="C301" s="131"/>
      <c r="D301" s="146"/>
      <c r="E301" s="146"/>
      <c r="F301" s="146"/>
      <c r="G301" s="146"/>
      <c r="H301" s="146"/>
      <c r="I301" s="146"/>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210"/>
      <c r="C302" s="131"/>
      <c r="D302" s="146"/>
      <c r="E302" s="146"/>
      <c r="F302" s="146"/>
      <c r="G302" s="146"/>
      <c r="H302" s="146"/>
      <c r="I302" s="146"/>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210"/>
      <c r="C303" s="131"/>
      <c r="D303" s="146"/>
      <c r="E303" s="146"/>
      <c r="F303" s="146"/>
      <c r="G303" s="146"/>
      <c r="H303" s="146"/>
      <c r="I303" s="146"/>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210"/>
      <c r="C304" s="131"/>
      <c r="D304" s="146"/>
      <c r="E304" s="146"/>
      <c r="F304" s="146"/>
      <c r="G304" s="146"/>
      <c r="H304" s="146"/>
      <c r="I304" s="146"/>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210"/>
      <c r="C305" s="131"/>
      <c r="D305" s="146"/>
      <c r="E305" s="146"/>
      <c r="F305" s="146"/>
      <c r="G305" s="146"/>
      <c r="H305" s="146"/>
      <c r="I305" s="146"/>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210"/>
      <c r="C306" s="131"/>
      <c r="D306" s="146"/>
      <c r="E306" s="146"/>
      <c r="F306" s="146"/>
      <c r="G306" s="146"/>
      <c r="H306" s="146"/>
      <c r="I306" s="146"/>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210"/>
      <c r="C307" s="131"/>
      <c r="D307" s="146"/>
      <c r="E307" s="146"/>
      <c r="F307" s="146"/>
      <c r="G307" s="146"/>
      <c r="H307" s="146"/>
      <c r="I307" s="146"/>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210"/>
      <c r="C308" s="131"/>
      <c r="D308" s="146"/>
      <c r="E308" s="146"/>
      <c r="F308" s="146"/>
      <c r="G308" s="146"/>
      <c r="H308" s="146"/>
      <c r="I308" s="146"/>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210"/>
      <c r="C309" s="131"/>
      <c r="D309" s="146"/>
      <c r="E309" s="146"/>
      <c r="F309" s="146"/>
      <c r="G309" s="146"/>
      <c r="H309" s="146"/>
      <c r="I309" s="146"/>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210"/>
      <c r="C310" s="131"/>
      <c r="D310" s="146"/>
      <c r="E310" s="146"/>
      <c r="F310" s="146"/>
      <c r="G310" s="146"/>
      <c r="H310" s="146"/>
      <c r="I310" s="146"/>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210"/>
      <c r="C311" s="131"/>
      <c r="D311" s="146"/>
      <c r="E311" s="146"/>
      <c r="F311" s="146"/>
      <c r="G311" s="146"/>
      <c r="H311" s="146"/>
      <c r="I311" s="146"/>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210"/>
      <c r="C312" s="131"/>
      <c r="D312" s="146"/>
      <c r="E312" s="146"/>
      <c r="F312" s="146"/>
      <c r="G312" s="146"/>
      <c r="H312" s="146"/>
      <c r="I312" s="146"/>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210"/>
      <c r="C313" s="131"/>
      <c r="D313" s="146"/>
      <c r="E313" s="146"/>
      <c r="F313" s="146"/>
      <c r="G313" s="146"/>
      <c r="H313" s="146"/>
      <c r="I313" s="146"/>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210"/>
      <c r="C314" s="131"/>
      <c r="D314" s="146"/>
      <c r="E314" s="146"/>
      <c r="F314" s="146"/>
      <c r="G314" s="146"/>
      <c r="H314" s="146"/>
      <c r="I314" s="146"/>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210"/>
      <c r="C315" s="131"/>
      <c r="D315" s="146"/>
      <c r="E315" s="146"/>
      <c r="F315" s="146"/>
      <c r="G315" s="146"/>
      <c r="H315" s="146"/>
      <c r="I315" s="146"/>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210"/>
      <c r="C316" s="131"/>
      <c r="D316" s="146"/>
      <c r="E316" s="146"/>
      <c r="F316" s="146"/>
      <c r="G316" s="146"/>
      <c r="H316" s="146"/>
      <c r="I316" s="146"/>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210"/>
      <c r="C317" s="131"/>
      <c r="D317" s="146"/>
      <c r="E317" s="146"/>
      <c r="F317" s="146"/>
      <c r="G317" s="146"/>
      <c r="H317" s="146"/>
      <c r="I317" s="146"/>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210"/>
      <c r="C318" s="131"/>
      <c r="D318" s="146"/>
      <c r="E318" s="146"/>
      <c r="F318" s="146"/>
      <c r="G318" s="146"/>
      <c r="H318" s="146"/>
      <c r="I318" s="146"/>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210"/>
      <c r="C319" s="131"/>
      <c r="D319" s="146"/>
      <c r="E319" s="146"/>
      <c r="F319" s="146"/>
      <c r="G319" s="146"/>
      <c r="H319" s="146"/>
      <c r="I319" s="146"/>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210"/>
      <c r="C320" s="131"/>
      <c r="D320" s="146"/>
      <c r="E320" s="146"/>
      <c r="F320" s="146"/>
      <c r="G320" s="146"/>
      <c r="H320" s="146"/>
      <c r="I320" s="146"/>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210"/>
      <c r="C321" s="131"/>
      <c r="D321" s="146"/>
      <c r="E321" s="146"/>
      <c r="F321" s="146"/>
      <c r="G321" s="146"/>
      <c r="H321" s="146"/>
      <c r="I321" s="146"/>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210"/>
      <c r="C322" s="131"/>
      <c r="D322" s="146"/>
      <c r="E322" s="146"/>
      <c r="F322" s="146"/>
      <c r="G322" s="146"/>
      <c r="H322" s="146"/>
      <c r="I322" s="146"/>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210"/>
      <c r="C323" s="131"/>
      <c r="D323" s="146"/>
      <c r="E323" s="146"/>
      <c r="F323" s="146"/>
      <c r="G323" s="146"/>
      <c r="H323" s="146"/>
      <c r="I323" s="146"/>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210"/>
      <c r="C324" s="131"/>
      <c r="D324" s="146"/>
      <c r="E324" s="146"/>
      <c r="F324" s="146"/>
      <c r="G324" s="146"/>
      <c r="H324" s="146"/>
      <c r="I324" s="146"/>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210"/>
      <c r="C325" s="131"/>
      <c r="D325" s="146"/>
      <c r="E325" s="146"/>
      <c r="F325" s="146"/>
      <c r="G325" s="146"/>
      <c r="H325" s="146"/>
      <c r="I325" s="146"/>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210"/>
      <c r="C326" s="131"/>
      <c r="D326" s="146"/>
      <c r="E326" s="146"/>
      <c r="F326" s="146"/>
      <c r="G326" s="146"/>
      <c r="H326" s="146"/>
      <c r="I326" s="146"/>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210"/>
      <c r="C327" s="131"/>
      <c r="D327" s="146"/>
      <c r="E327" s="146"/>
      <c r="F327" s="146"/>
      <c r="G327" s="146"/>
      <c r="H327" s="146"/>
      <c r="I327" s="146"/>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210"/>
      <c r="C328" s="131"/>
      <c r="D328" s="146"/>
      <c r="E328" s="146"/>
      <c r="F328" s="146"/>
      <c r="G328" s="146"/>
      <c r="H328" s="146"/>
      <c r="I328" s="146"/>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210"/>
      <c r="C329" s="131"/>
      <c r="D329" s="146"/>
      <c r="E329" s="146"/>
      <c r="F329" s="146"/>
      <c r="G329" s="146"/>
      <c r="H329" s="146"/>
      <c r="I329" s="146"/>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210"/>
      <c r="C330" s="131"/>
      <c r="D330" s="146"/>
      <c r="E330" s="146"/>
      <c r="F330" s="146"/>
      <c r="G330" s="146"/>
      <c r="H330" s="146"/>
      <c r="I330" s="146"/>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210"/>
      <c r="C331" s="131"/>
      <c r="D331" s="146"/>
      <c r="E331" s="146"/>
      <c r="F331" s="146"/>
      <c r="G331" s="146"/>
      <c r="H331" s="146"/>
      <c r="I331" s="146"/>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210"/>
      <c r="C332" s="131"/>
      <c r="D332" s="146"/>
      <c r="E332" s="146"/>
      <c r="F332" s="146"/>
      <c r="G332" s="146"/>
      <c r="H332" s="146"/>
      <c r="I332" s="146"/>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210"/>
      <c r="C333" s="131"/>
      <c r="D333" s="146"/>
      <c r="E333" s="146"/>
      <c r="F333" s="146"/>
      <c r="G333" s="146"/>
      <c r="H333" s="146"/>
      <c r="I333" s="146"/>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210"/>
      <c r="C334" s="131"/>
      <c r="D334" s="146"/>
      <c r="E334" s="146"/>
      <c r="F334" s="146"/>
      <c r="G334" s="146"/>
      <c r="H334" s="146"/>
      <c r="I334" s="146"/>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210"/>
      <c r="C335" s="131"/>
      <c r="D335" s="146"/>
      <c r="E335" s="146"/>
      <c r="F335" s="146"/>
      <c r="G335" s="146"/>
      <c r="H335" s="146"/>
      <c r="I335" s="146"/>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210"/>
      <c r="C336" s="131"/>
      <c r="D336" s="146"/>
      <c r="E336" s="146"/>
      <c r="F336" s="146"/>
      <c r="G336" s="146"/>
      <c r="H336" s="146"/>
      <c r="I336" s="146"/>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210"/>
      <c r="C337" s="131"/>
      <c r="D337" s="146"/>
      <c r="E337" s="146"/>
      <c r="F337" s="146"/>
      <c r="G337" s="146"/>
      <c r="H337" s="146"/>
      <c r="I337" s="146"/>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210"/>
      <c r="C338" s="131"/>
      <c r="D338" s="146"/>
      <c r="E338" s="146"/>
      <c r="F338" s="146"/>
      <c r="G338" s="146"/>
      <c r="H338" s="146"/>
      <c r="I338" s="146"/>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210"/>
      <c r="C339" s="131"/>
      <c r="D339" s="146"/>
      <c r="E339" s="146"/>
      <c r="F339" s="146"/>
      <c r="G339" s="146"/>
      <c r="H339" s="146"/>
      <c r="I339" s="146"/>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210"/>
      <c r="C340" s="131"/>
      <c r="D340" s="146"/>
      <c r="E340" s="146"/>
      <c r="F340" s="146"/>
      <c r="G340" s="146"/>
      <c r="H340" s="146"/>
      <c r="I340" s="146"/>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210"/>
      <c r="C341" s="131"/>
      <c r="D341" s="146"/>
      <c r="E341" s="146"/>
      <c r="F341" s="146"/>
      <c r="G341" s="146"/>
      <c r="H341" s="146"/>
      <c r="I341" s="146"/>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210"/>
      <c r="C342" s="131"/>
      <c r="D342" s="146"/>
      <c r="E342" s="146"/>
      <c r="F342" s="146"/>
      <c r="G342" s="146"/>
      <c r="H342" s="146"/>
      <c r="I342" s="146"/>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210"/>
      <c r="C343" s="131"/>
      <c r="D343" s="146"/>
      <c r="E343" s="146"/>
      <c r="F343" s="146"/>
      <c r="G343" s="146"/>
      <c r="H343" s="146"/>
      <c r="I343" s="146"/>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210"/>
      <c r="C344" s="131"/>
      <c r="D344" s="146"/>
      <c r="E344" s="146"/>
      <c r="F344" s="146"/>
      <c r="G344" s="146"/>
      <c r="H344" s="146"/>
      <c r="I344" s="146"/>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210"/>
      <c r="C345" s="131"/>
      <c r="D345" s="146"/>
      <c r="E345" s="146"/>
      <c r="F345" s="146"/>
      <c r="G345" s="146"/>
      <c r="H345" s="146"/>
      <c r="I345" s="146"/>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210"/>
      <c r="C346" s="131"/>
      <c r="D346" s="146"/>
      <c r="E346" s="146"/>
      <c r="F346" s="146"/>
      <c r="G346" s="146"/>
      <c r="H346" s="146"/>
      <c r="I346" s="146"/>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210"/>
      <c r="C347" s="131"/>
      <c r="D347" s="146"/>
      <c r="E347" s="146"/>
      <c r="F347" s="146"/>
      <c r="G347" s="146"/>
      <c r="H347" s="146"/>
      <c r="I347" s="146"/>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210"/>
      <c r="C348" s="131"/>
      <c r="D348" s="146"/>
      <c r="E348" s="146"/>
      <c r="F348" s="146"/>
      <c r="G348" s="146"/>
      <c r="H348" s="146"/>
      <c r="I348" s="146"/>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210"/>
      <c r="C349" s="131"/>
      <c r="D349" s="146"/>
      <c r="E349" s="146"/>
      <c r="F349" s="146"/>
      <c r="G349" s="146"/>
      <c r="H349" s="146"/>
      <c r="I349" s="146"/>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210"/>
      <c r="C350" s="131"/>
      <c r="D350" s="146"/>
      <c r="E350" s="146"/>
      <c r="F350" s="146"/>
      <c r="G350" s="146"/>
      <c r="H350" s="146"/>
      <c r="I350" s="146"/>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210"/>
      <c r="C351" s="131"/>
      <c r="D351" s="146"/>
      <c r="E351" s="146"/>
      <c r="F351" s="146"/>
      <c r="G351" s="146"/>
      <c r="H351" s="146"/>
      <c r="I351" s="146"/>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210"/>
      <c r="C352" s="131"/>
      <c r="D352" s="146"/>
      <c r="E352" s="146"/>
      <c r="F352" s="146"/>
      <c r="G352" s="146"/>
      <c r="H352" s="146"/>
      <c r="I352" s="146"/>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210"/>
      <c r="C353" s="131"/>
      <c r="D353" s="146"/>
      <c r="E353" s="146"/>
      <c r="F353" s="146"/>
      <c r="G353" s="146"/>
      <c r="H353" s="146"/>
      <c r="I353" s="146"/>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210"/>
      <c r="C354" s="131"/>
      <c r="D354" s="146"/>
      <c r="E354" s="146"/>
      <c r="F354" s="146"/>
      <c r="G354" s="146"/>
      <c r="H354" s="146"/>
      <c r="I354" s="146"/>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210"/>
      <c r="C355" s="131"/>
      <c r="D355" s="146"/>
      <c r="E355" s="146"/>
      <c r="F355" s="146"/>
      <c r="G355" s="146"/>
      <c r="H355" s="146"/>
      <c r="I355" s="146"/>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210"/>
      <c r="C356" s="131"/>
      <c r="D356" s="146"/>
      <c r="E356" s="146"/>
      <c r="F356" s="146"/>
      <c r="G356" s="146"/>
      <c r="H356" s="146"/>
      <c r="I356" s="146"/>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210"/>
      <c r="C357" s="131"/>
      <c r="D357" s="146"/>
      <c r="E357" s="146"/>
      <c r="F357" s="146"/>
      <c r="G357" s="146"/>
      <c r="H357" s="146"/>
      <c r="I357" s="146"/>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210"/>
      <c r="C358" s="131"/>
      <c r="D358" s="146"/>
      <c r="E358" s="146"/>
      <c r="F358" s="146"/>
      <c r="G358" s="146"/>
      <c r="H358" s="146"/>
      <c r="I358" s="146"/>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210"/>
      <c r="C359" s="131"/>
      <c r="D359" s="146"/>
      <c r="E359" s="146"/>
      <c r="F359" s="146"/>
      <c r="G359" s="146"/>
      <c r="H359" s="146"/>
      <c r="I359" s="146"/>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210"/>
      <c r="C360" s="131"/>
      <c r="D360" s="146"/>
      <c r="E360" s="146"/>
      <c r="F360" s="146"/>
      <c r="G360" s="146"/>
      <c r="H360" s="146"/>
      <c r="I360" s="146"/>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210"/>
      <c r="C361" s="131"/>
      <c r="D361" s="146"/>
      <c r="E361" s="146"/>
      <c r="F361" s="146"/>
      <c r="G361" s="146"/>
      <c r="H361" s="146"/>
      <c r="I361" s="146"/>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210"/>
      <c r="C362" s="131"/>
      <c r="D362" s="146"/>
      <c r="E362" s="146"/>
      <c r="F362" s="146"/>
      <c r="G362" s="146"/>
      <c r="H362" s="146"/>
      <c r="I362" s="146"/>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210"/>
      <c r="C363" s="131"/>
      <c r="D363" s="146"/>
      <c r="E363" s="146"/>
      <c r="F363" s="146"/>
      <c r="G363" s="146"/>
      <c r="H363" s="146"/>
      <c r="I363" s="146"/>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210"/>
      <c r="C364" s="131"/>
      <c r="D364" s="146"/>
      <c r="E364" s="146"/>
      <c r="F364" s="146"/>
      <c r="G364" s="146"/>
      <c r="H364" s="146"/>
      <c r="I364" s="146"/>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210"/>
      <c r="C365" s="131"/>
      <c r="D365" s="146"/>
      <c r="E365" s="146"/>
      <c r="F365" s="146"/>
      <c r="G365" s="146"/>
      <c r="H365" s="146"/>
      <c r="I365" s="146"/>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210"/>
      <c r="C366" s="131"/>
      <c r="D366" s="146"/>
      <c r="E366" s="146"/>
      <c r="F366" s="146"/>
      <c r="G366" s="146"/>
      <c r="H366" s="146"/>
      <c r="I366" s="146"/>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210"/>
      <c r="C367" s="131"/>
      <c r="D367" s="146"/>
      <c r="E367" s="146"/>
      <c r="F367" s="146"/>
      <c r="G367" s="146"/>
      <c r="H367" s="146"/>
      <c r="I367" s="146"/>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210"/>
      <c r="C368" s="131"/>
      <c r="D368" s="146"/>
      <c r="E368" s="146"/>
      <c r="F368" s="146"/>
      <c r="G368" s="146"/>
      <c r="H368" s="146"/>
      <c r="I368" s="146"/>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210"/>
      <c r="C369" s="131"/>
      <c r="D369" s="146"/>
      <c r="E369" s="146"/>
      <c r="F369" s="146"/>
      <c r="G369" s="146"/>
      <c r="H369" s="146"/>
      <c r="I369" s="146"/>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210"/>
      <c r="C370" s="131"/>
      <c r="D370" s="146"/>
      <c r="E370" s="146"/>
      <c r="F370" s="146"/>
      <c r="G370" s="146"/>
      <c r="H370" s="146"/>
      <c r="I370" s="146"/>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210"/>
      <c r="C371" s="131"/>
      <c r="D371" s="146"/>
      <c r="E371" s="146"/>
      <c r="F371" s="146"/>
      <c r="G371" s="146"/>
      <c r="H371" s="146"/>
      <c r="I371" s="146"/>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210"/>
      <c r="C372" s="131"/>
      <c r="D372" s="146"/>
      <c r="E372" s="146"/>
      <c r="F372" s="146"/>
      <c r="G372" s="146"/>
      <c r="H372" s="146"/>
      <c r="I372" s="146"/>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210"/>
      <c r="C373" s="131"/>
      <c r="D373" s="146"/>
      <c r="E373" s="146"/>
      <c r="F373" s="146"/>
      <c r="G373" s="146"/>
      <c r="H373" s="146"/>
      <c r="I373" s="146"/>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210"/>
      <c r="C374" s="131"/>
      <c r="D374" s="146"/>
      <c r="E374" s="146"/>
      <c r="F374" s="146"/>
      <c r="G374" s="146"/>
      <c r="H374" s="146"/>
      <c r="I374" s="146"/>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210"/>
      <c r="C375" s="131"/>
      <c r="D375" s="146"/>
      <c r="E375" s="146"/>
      <c r="F375" s="146"/>
      <c r="G375" s="146"/>
      <c r="H375" s="146"/>
      <c r="I375" s="146"/>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210"/>
      <c r="C376" s="131"/>
      <c r="D376" s="146"/>
      <c r="E376" s="146"/>
      <c r="F376" s="146"/>
      <c r="G376" s="146"/>
      <c r="H376" s="146"/>
      <c r="I376" s="146"/>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210"/>
      <c r="C377" s="131"/>
      <c r="D377" s="146"/>
      <c r="E377" s="146"/>
      <c r="F377" s="146"/>
      <c r="G377" s="146"/>
      <c r="H377" s="146"/>
      <c r="I377" s="146"/>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210"/>
      <c r="C378" s="131"/>
      <c r="D378" s="146"/>
      <c r="E378" s="146"/>
      <c r="F378" s="146"/>
      <c r="G378" s="146"/>
      <c r="H378" s="146"/>
      <c r="I378" s="146"/>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210"/>
      <c r="C379" s="131"/>
      <c r="D379" s="146"/>
      <c r="E379" s="146"/>
      <c r="F379" s="146"/>
      <c r="G379" s="146"/>
      <c r="H379" s="146"/>
      <c r="I379" s="146"/>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210"/>
      <c r="C380" s="131"/>
      <c r="D380" s="146"/>
      <c r="E380" s="146"/>
      <c r="F380" s="146"/>
      <c r="G380" s="146"/>
      <c r="H380" s="146"/>
      <c r="I380" s="146"/>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210"/>
      <c r="C381" s="131"/>
      <c r="D381" s="146"/>
      <c r="E381" s="146"/>
      <c r="F381" s="146"/>
      <c r="G381" s="146"/>
      <c r="H381" s="146"/>
      <c r="I381" s="146"/>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210"/>
      <c r="C382" s="131"/>
      <c r="D382" s="146"/>
      <c r="E382" s="146"/>
      <c r="F382" s="146"/>
      <c r="G382" s="146"/>
      <c r="H382" s="146"/>
      <c r="I382" s="146"/>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210"/>
      <c r="C383" s="131"/>
      <c r="D383" s="146"/>
      <c r="E383" s="146"/>
      <c r="F383" s="146"/>
      <c r="G383" s="146"/>
      <c r="H383" s="146"/>
      <c r="I383" s="146"/>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210"/>
      <c r="C384" s="131"/>
      <c r="D384" s="146"/>
      <c r="E384" s="146"/>
      <c r="F384" s="146"/>
      <c r="G384" s="146"/>
      <c r="H384" s="146"/>
      <c r="I384" s="146"/>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210"/>
      <c r="C385" s="131"/>
      <c r="D385" s="146"/>
      <c r="E385" s="146"/>
      <c r="F385" s="146"/>
      <c r="G385" s="146"/>
      <c r="H385" s="146"/>
      <c r="I385" s="146"/>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210"/>
      <c r="C386" s="131"/>
      <c r="D386" s="146"/>
      <c r="E386" s="146"/>
      <c r="F386" s="146"/>
      <c r="G386" s="146"/>
      <c r="H386" s="146"/>
      <c r="I386" s="146"/>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210"/>
      <c r="C387" s="131"/>
      <c r="D387" s="146"/>
      <c r="E387" s="146"/>
      <c r="F387" s="146"/>
      <c r="G387" s="146"/>
      <c r="H387" s="146"/>
      <c r="I387" s="146"/>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210"/>
      <c r="C388" s="131"/>
      <c r="D388" s="146"/>
      <c r="E388" s="146"/>
      <c r="F388" s="146"/>
      <c r="G388" s="146"/>
      <c r="H388" s="146"/>
      <c r="I388" s="146"/>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210"/>
      <c r="C389" s="131"/>
      <c r="D389" s="146"/>
      <c r="E389" s="146"/>
      <c r="F389" s="146"/>
      <c r="G389" s="146"/>
      <c r="H389" s="146"/>
      <c r="I389" s="146"/>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210"/>
      <c r="C390" s="131"/>
      <c r="D390" s="146"/>
      <c r="E390" s="146"/>
      <c r="F390" s="146"/>
      <c r="G390" s="146"/>
      <c r="H390" s="146"/>
      <c r="I390" s="146"/>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210"/>
      <c r="C391" s="131"/>
      <c r="D391" s="146"/>
      <c r="E391" s="146"/>
      <c r="F391" s="146"/>
      <c r="G391" s="146"/>
      <c r="H391" s="146"/>
      <c r="I391" s="146"/>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210"/>
      <c r="C392" s="131"/>
      <c r="D392" s="146"/>
      <c r="E392" s="146"/>
      <c r="F392" s="146"/>
      <c r="G392" s="146"/>
      <c r="H392" s="146"/>
      <c r="I392" s="146"/>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210"/>
      <c r="C393" s="131"/>
      <c r="D393" s="146"/>
      <c r="E393" s="146"/>
      <c r="F393" s="146"/>
      <c r="G393" s="146"/>
      <c r="H393" s="146"/>
      <c r="I393" s="146"/>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210"/>
      <c r="C394" s="131"/>
      <c r="D394" s="146"/>
      <c r="E394" s="146"/>
      <c r="F394" s="146"/>
      <c r="G394" s="146"/>
      <c r="H394" s="146"/>
      <c r="I394" s="146"/>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210"/>
      <c r="C395" s="131"/>
      <c r="D395" s="146"/>
      <c r="E395" s="146"/>
      <c r="F395" s="146"/>
      <c r="G395" s="146"/>
      <c r="H395" s="146"/>
      <c r="I395" s="146"/>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210"/>
      <c r="C396" s="131"/>
      <c r="D396" s="146"/>
      <c r="E396" s="146"/>
      <c r="F396" s="146"/>
      <c r="G396" s="146"/>
      <c r="H396" s="146"/>
      <c r="I396" s="146"/>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210"/>
      <c r="C397" s="131"/>
      <c r="D397" s="146"/>
      <c r="E397" s="146"/>
      <c r="F397" s="146"/>
      <c r="G397" s="146"/>
      <c r="H397" s="146"/>
      <c r="I397" s="146"/>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210"/>
      <c r="C398" s="131"/>
      <c r="D398" s="146"/>
      <c r="E398" s="146"/>
      <c r="F398" s="146"/>
      <c r="G398" s="146"/>
      <c r="H398" s="146"/>
      <c r="I398" s="146"/>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210"/>
      <c r="C399" s="131"/>
      <c r="D399" s="146"/>
      <c r="E399" s="146"/>
      <c r="F399" s="146"/>
      <c r="G399" s="146"/>
      <c r="H399" s="146"/>
      <c r="I399" s="146"/>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210"/>
      <c r="C400" s="131"/>
      <c r="D400" s="146"/>
      <c r="E400" s="146"/>
      <c r="F400" s="146"/>
      <c r="G400" s="146"/>
      <c r="H400" s="146"/>
      <c r="I400" s="146"/>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210"/>
      <c r="C401" s="131"/>
      <c r="D401" s="146"/>
      <c r="E401" s="146"/>
      <c r="F401" s="146"/>
      <c r="G401" s="146"/>
      <c r="H401" s="146"/>
      <c r="I401" s="146"/>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210"/>
      <c r="C402" s="131"/>
      <c r="D402" s="146"/>
      <c r="E402" s="146"/>
      <c r="F402" s="146"/>
      <c r="G402" s="146"/>
      <c r="H402" s="146"/>
      <c r="I402" s="146"/>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210"/>
      <c r="C403" s="131"/>
      <c r="D403" s="146"/>
      <c r="E403" s="146"/>
      <c r="F403" s="146"/>
      <c r="G403" s="146"/>
      <c r="H403" s="146"/>
      <c r="I403" s="146"/>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210"/>
      <c r="C404" s="131"/>
      <c r="D404" s="146"/>
      <c r="E404" s="146"/>
      <c r="F404" s="146"/>
      <c r="G404" s="146"/>
      <c r="H404" s="146"/>
      <c r="I404" s="146"/>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210"/>
      <c r="C405" s="131"/>
      <c r="D405" s="146"/>
      <c r="E405" s="146"/>
      <c r="F405" s="146"/>
      <c r="G405" s="146"/>
      <c r="H405" s="146"/>
      <c r="I405" s="146"/>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210"/>
      <c r="C406" s="131"/>
      <c r="D406" s="146"/>
      <c r="E406" s="146"/>
      <c r="F406" s="146"/>
      <c r="G406" s="146"/>
      <c r="H406" s="146"/>
      <c r="I406" s="146"/>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210"/>
      <c r="C407" s="131"/>
      <c r="D407" s="146"/>
      <c r="E407" s="146"/>
      <c r="F407" s="146"/>
      <c r="G407" s="146"/>
      <c r="H407" s="146"/>
      <c r="I407" s="146"/>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210"/>
      <c r="C408" s="131"/>
      <c r="D408" s="146"/>
      <c r="E408" s="146"/>
      <c r="F408" s="146"/>
      <c r="G408" s="146"/>
      <c r="H408" s="146"/>
      <c r="I408" s="146"/>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210"/>
      <c r="C409" s="131"/>
      <c r="D409" s="146"/>
      <c r="E409" s="146"/>
      <c r="F409" s="146"/>
      <c r="G409" s="146"/>
      <c r="H409" s="146"/>
      <c r="I409" s="146"/>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210"/>
      <c r="C410" s="131"/>
      <c r="D410" s="146"/>
      <c r="E410" s="146"/>
      <c r="F410" s="146"/>
      <c r="G410" s="146"/>
      <c r="H410" s="146"/>
      <c r="I410" s="146"/>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210"/>
      <c r="C411" s="131"/>
      <c r="D411" s="146"/>
      <c r="E411" s="146"/>
      <c r="F411" s="146"/>
      <c r="G411" s="146"/>
      <c r="H411" s="146"/>
      <c r="I411" s="146"/>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210"/>
      <c r="C412" s="131"/>
      <c r="D412" s="146"/>
      <c r="E412" s="146"/>
      <c r="F412" s="146"/>
      <c r="G412" s="146"/>
      <c r="H412" s="146"/>
      <c r="I412" s="146"/>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210"/>
      <c r="C413" s="131"/>
      <c r="D413" s="146"/>
      <c r="E413" s="146"/>
      <c r="F413" s="146"/>
      <c r="G413" s="146"/>
      <c r="H413" s="146"/>
      <c r="I413" s="146"/>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210"/>
      <c r="C414" s="131"/>
      <c r="D414" s="146"/>
      <c r="E414" s="146"/>
      <c r="F414" s="146"/>
      <c r="G414" s="146"/>
      <c r="H414" s="146"/>
      <c r="I414" s="146"/>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210"/>
      <c r="C415" s="131"/>
      <c r="D415" s="146"/>
      <c r="E415" s="146"/>
      <c r="F415" s="146"/>
      <c r="G415" s="146"/>
      <c r="H415" s="146"/>
      <c r="I415" s="146"/>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210"/>
      <c r="C416" s="131"/>
      <c r="D416" s="146"/>
      <c r="E416" s="146"/>
      <c r="F416" s="146"/>
      <c r="G416" s="146"/>
      <c r="H416" s="146"/>
      <c r="I416" s="146"/>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210"/>
      <c r="C417" s="131"/>
      <c r="D417" s="146"/>
      <c r="E417" s="146"/>
      <c r="F417" s="146"/>
      <c r="G417" s="146"/>
      <c r="H417" s="146"/>
      <c r="I417" s="146"/>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210"/>
      <c r="C418" s="131"/>
      <c r="D418" s="146"/>
      <c r="E418" s="146"/>
      <c r="F418" s="146"/>
      <c r="G418" s="146"/>
      <c r="H418" s="146"/>
      <c r="I418" s="146"/>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210"/>
      <c r="C419" s="131"/>
      <c r="D419" s="146"/>
      <c r="E419" s="146"/>
      <c r="F419" s="146"/>
      <c r="G419" s="146"/>
      <c r="H419" s="146"/>
      <c r="I419" s="146"/>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210"/>
      <c r="C420" s="131"/>
      <c r="D420" s="146"/>
      <c r="E420" s="146"/>
      <c r="F420" s="146"/>
      <c r="G420" s="146"/>
      <c r="H420" s="146"/>
      <c r="I420" s="146"/>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210"/>
      <c r="C421" s="131"/>
      <c r="D421" s="146"/>
      <c r="E421" s="146"/>
      <c r="F421" s="146"/>
      <c r="G421" s="146"/>
      <c r="H421" s="146"/>
      <c r="I421" s="146"/>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210"/>
      <c r="C422" s="131"/>
      <c r="D422" s="146"/>
      <c r="E422" s="146"/>
      <c r="F422" s="146"/>
      <c r="G422" s="146"/>
      <c r="H422" s="146"/>
      <c r="I422" s="146"/>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210"/>
      <c r="C423" s="131"/>
      <c r="D423" s="146"/>
      <c r="E423" s="146"/>
      <c r="F423" s="146"/>
      <c r="G423" s="146"/>
      <c r="H423" s="146"/>
      <c r="I423" s="146"/>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210"/>
      <c r="C424" s="131"/>
      <c r="D424" s="146"/>
      <c r="E424" s="146"/>
      <c r="F424" s="146"/>
      <c r="G424" s="146"/>
      <c r="H424" s="146"/>
      <c r="I424" s="146"/>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210"/>
      <c r="C425" s="131"/>
      <c r="D425" s="146"/>
      <c r="E425" s="146"/>
      <c r="F425" s="146"/>
      <c r="G425" s="146"/>
      <c r="H425" s="146"/>
      <c r="I425" s="146"/>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210"/>
      <c r="C426" s="131"/>
      <c r="D426" s="146"/>
      <c r="E426" s="146"/>
      <c r="F426" s="146"/>
      <c r="G426" s="146"/>
      <c r="H426" s="146"/>
      <c r="I426" s="146"/>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210"/>
      <c r="C427" s="131"/>
      <c r="D427" s="146"/>
      <c r="E427" s="146"/>
      <c r="F427" s="146"/>
      <c r="G427" s="146"/>
      <c r="H427" s="146"/>
      <c r="I427" s="146"/>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210"/>
      <c r="C428" s="131"/>
      <c r="D428" s="146"/>
      <c r="E428" s="146"/>
      <c r="F428" s="146"/>
      <c r="G428" s="146"/>
      <c r="H428" s="146"/>
      <c r="I428" s="146"/>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210"/>
      <c r="C429" s="131"/>
      <c r="D429" s="146"/>
      <c r="E429" s="146"/>
      <c r="F429" s="146"/>
      <c r="G429" s="146"/>
      <c r="H429" s="146"/>
      <c r="I429" s="146"/>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210"/>
      <c r="C430" s="131"/>
      <c r="D430" s="146"/>
      <c r="E430" s="146"/>
      <c r="F430" s="146"/>
      <c r="G430" s="146"/>
      <c r="H430" s="146"/>
      <c r="I430" s="146"/>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210"/>
      <c r="C431" s="131"/>
      <c r="D431" s="146"/>
      <c r="E431" s="146"/>
      <c r="F431" s="146"/>
      <c r="G431" s="146"/>
      <c r="H431" s="146"/>
      <c r="I431" s="146"/>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210"/>
      <c r="C432" s="131"/>
      <c r="D432" s="146"/>
      <c r="E432" s="146"/>
      <c r="F432" s="146"/>
      <c r="G432" s="146"/>
      <c r="H432" s="146"/>
      <c r="I432" s="146"/>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210"/>
      <c r="C433" s="131"/>
      <c r="D433" s="146"/>
      <c r="E433" s="146"/>
      <c r="F433" s="146"/>
      <c r="G433" s="146"/>
      <c r="H433" s="146"/>
      <c r="I433" s="146"/>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210"/>
      <c r="C434" s="131"/>
      <c r="D434" s="146"/>
      <c r="E434" s="146"/>
      <c r="F434" s="146"/>
      <c r="G434" s="146"/>
      <c r="H434" s="146"/>
      <c r="I434" s="146"/>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210"/>
      <c r="C435" s="131"/>
      <c r="D435" s="146"/>
      <c r="E435" s="146"/>
      <c r="F435" s="146"/>
      <c r="G435" s="146"/>
      <c r="H435" s="146"/>
      <c r="I435" s="146"/>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210"/>
      <c r="C436" s="131"/>
      <c r="D436" s="146"/>
      <c r="E436" s="146"/>
      <c r="F436" s="146"/>
      <c r="G436" s="146"/>
      <c r="H436" s="146"/>
      <c r="I436" s="146"/>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210"/>
      <c r="C437" s="131"/>
      <c r="D437" s="146"/>
      <c r="E437" s="146"/>
      <c r="F437" s="146"/>
      <c r="G437" s="146"/>
      <c r="H437" s="146"/>
      <c r="I437" s="146"/>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210"/>
      <c r="C438" s="131"/>
      <c r="D438" s="146"/>
      <c r="E438" s="146"/>
      <c r="F438" s="146"/>
      <c r="G438" s="146"/>
      <c r="H438" s="146"/>
      <c r="I438" s="146"/>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210"/>
      <c r="C439" s="131"/>
      <c r="D439" s="146"/>
      <c r="E439" s="146"/>
      <c r="F439" s="146"/>
      <c r="G439" s="146"/>
      <c r="H439" s="146"/>
      <c r="I439" s="146"/>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210"/>
      <c r="C440" s="131"/>
      <c r="D440" s="146"/>
      <c r="E440" s="146"/>
      <c r="F440" s="146"/>
      <c r="G440" s="146"/>
      <c r="H440" s="146"/>
      <c r="I440" s="146"/>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210"/>
      <c r="C441" s="131"/>
      <c r="D441" s="146"/>
      <c r="E441" s="146"/>
      <c r="F441" s="146"/>
      <c r="G441" s="146"/>
      <c r="H441" s="146"/>
      <c r="I441" s="146"/>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210"/>
      <c r="C442" s="131"/>
      <c r="D442" s="146"/>
      <c r="E442" s="146"/>
      <c r="F442" s="146"/>
      <c r="G442" s="146"/>
      <c r="H442" s="146"/>
      <c r="I442" s="146"/>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210"/>
      <c r="C443" s="131"/>
      <c r="D443" s="146"/>
      <c r="E443" s="146"/>
      <c r="F443" s="146"/>
      <c r="G443" s="146"/>
      <c r="H443" s="146"/>
      <c r="I443" s="146"/>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210"/>
      <c r="C444" s="131"/>
      <c r="D444" s="146"/>
      <c r="E444" s="146"/>
      <c r="F444" s="146"/>
      <c r="G444" s="146"/>
      <c r="H444" s="146"/>
      <c r="I444" s="146"/>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210"/>
      <c r="C445" s="131"/>
      <c r="D445" s="146"/>
      <c r="E445" s="146"/>
      <c r="F445" s="146"/>
      <c r="G445" s="146"/>
      <c r="H445" s="146"/>
      <c r="I445" s="146"/>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210"/>
      <c r="C446" s="131"/>
      <c r="D446" s="146"/>
      <c r="E446" s="146"/>
      <c r="F446" s="146"/>
      <c r="G446" s="146"/>
      <c r="H446" s="146"/>
      <c r="I446" s="146"/>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210"/>
      <c r="C447" s="131"/>
      <c r="D447" s="146"/>
      <c r="E447" s="146"/>
      <c r="F447" s="146"/>
      <c r="G447" s="146"/>
      <c r="H447" s="146"/>
      <c r="I447" s="146"/>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210"/>
      <c r="C448" s="131"/>
      <c r="D448" s="146"/>
      <c r="E448" s="146"/>
      <c r="F448" s="146"/>
      <c r="G448" s="146"/>
      <c r="H448" s="146"/>
      <c r="I448" s="146"/>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210"/>
      <c r="C449" s="131"/>
      <c r="D449" s="146"/>
      <c r="E449" s="146"/>
      <c r="F449" s="146"/>
      <c r="G449" s="146"/>
      <c r="H449" s="146"/>
      <c r="I449" s="146"/>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210"/>
      <c r="C450" s="131"/>
      <c r="D450" s="146"/>
      <c r="E450" s="146"/>
      <c r="F450" s="146"/>
      <c r="G450" s="146"/>
      <c r="H450" s="146"/>
      <c r="I450" s="146"/>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210"/>
      <c r="C451" s="131"/>
      <c r="D451" s="146"/>
      <c r="E451" s="146"/>
      <c r="F451" s="146"/>
      <c r="G451" s="146"/>
      <c r="H451" s="146"/>
      <c r="I451" s="146"/>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210"/>
      <c r="C452" s="131"/>
      <c r="D452" s="146"/>
      <c r="E452" s="146"/>
      <c r="F452" s="146"/>
      <c r="G452" s="146"/>
      <c r="H452" s="146"/>
      <c r="I452" s="146"/>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210"/>
      <c r="C453" s="131"/>
      <c r="D453" s="146"/>
      <c r="E453" s="146"/>
      <c r="F453" s="146"/>
      <c r="G453" s="146"/>
      <c r="H453" s="146"/>
      <c r="I453" s="146"/>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210"/>
      <c r="C454" s="131"/>
      <c r="D454" s="146"/>
      <c r="E454" s="146"/>
      <c r="F454" s="146"/>
      <c r="G454" s="146"/>
      <c r="H454" s="146"/>
      <c r="I454" s="146"/>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210"/>
      <c r="C455" s="131"/>
      <c r="D455" s="146"/>
      <c r="E455" s="146"/>
      <c r="F455" s="146"/>
      <c r="G455" s="146"/>
      <c r="H455" s="146"/>
      <c r="I455" s="146"/>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210"/>
      <c r="C456" s="131"/>
      <c r="D456" s="146"/>
      <c r="E456" s="146"/>
      <c r="F456" s="146"/>
      <c r="G456" s="146"/>
      <c r="H456" s="146"/>
      <c r="I456" s="146"/>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210"/>
      <c r="C457" s="131"/>
      <c r="D457" s="146"/>
      <c r="E457" s="146"/>
      <c r="F457" s="146"/>
      <c r="G457" s="146"/>
      <c r="H457" s="146"/>
      <c r="I457" s="146"/>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210"/>
      <c r="C458" s="131"/>
      <c r="D458" s="146"/>
      <c r="E458" s="146"/>
      <c r="F458" s="146"/>
      <c r="G458" s="146"/>
      <c r="H458" s="146"/>
      <c r="I458" s="146"/>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210"/>
      <c r="C459" s="131"/>
      <c r="D459" s="146"/>
      <c r="E459" s="146"/>
      <c r="F459" s="146"/>
      <c r="G459" s="146"/>
      <c r="H459" s="146"/>
      <c r="I459" s="146"/>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210"/>
      <c r="C460" s="131"/>
      <c r="D460" s="146"/>
      <c r="E460" s="146"/>
      <c r="F460" s="146"/>
      <c r="G460" s="146"/>
      <c r="H460" s="146"/>
      <c r="I460" s="146"/>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210"/>
      <c r="C461" s="131"/>
      <c r="D461" s="146"/>
      <c r="E461" s="146"/>
      <c r="F461" s="146"/>
      <c r="G461" s="146"/>
      <c r="H461" s="146"/>
      <c r="I461" s="146"/>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210"/>
      <c r="C462" s="131"/>
      <c r="D462" s="146"/>
      <c r="E462" s="146"/>
      <c r="F462" s="146"/>
      <c r="G462" s="146"/>
      <c r="H462" s="146"/>
      <c r="I462" s="146"/>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210"/>
      <c r="C463" s="131"/>
      <c r="D463" s="146"/>
      <c r="E463" s="146"/>
      <c r="F463" s="146"/>
      <c r="G463" s="146"/>
      <c r="H463" s="146"/>
      <c r="I463" s="146"/>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210"/>
      <c r="C464" s="131"/>
      <c r="D464" s="146"/>
      <c r="E464" s="146"/>
      <c r="F464" s="146"/>
      <c r="G464" s="146"/>
      <c r="H464" s="146"/>
      <c r="I464" s="146"/>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210"/>
      <c r="C465" s="131"/>
      <c r="D465" s="146"/>
      <c r="E465" s="146"/>
      <c r="F465" s="146"/>
      <c r="G465" s="146"/>
      <c r="H465" s="146"/>
      <c r="I465" s="146"/>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210"/>
      <c r="C466" s="131"/>
      <c r="D466" s="146"/>
      <c r="E466" s="146"/>
      <c r="F466" s="146"/>
      <c r="G466" s="146"/>
      <c r="H466" s="146"/>
      <c r="I466" s="146"/>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210"/>
      <c r="C467" s="131"/>
      <c r="D467" s="146"/>
      <c r="E467" s="146"/>
      <c r="F467" s="146"/>
      <c r="G467" s="146"/>
      <c r="H467" s="146"/>
      <c r="I467" s="146"/>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210"/>
      <c r="C468" s="131"/>
      <c r="D468" s="146"/>
      <c r="E468" s="146"/>
      <c r="F468" s="146"/>
      <c r="G468" s="146"/>
      <c r="H468" s="146"/>
      <c r="I468" s="146"/>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210"/>
      <c r="C469" s="131"/>
      <c r="D469" s="146"/>
      <c r="E469" s="146"/>
      <c r="F469" s="146"/>
      <c r="G469" s="146"/>
      <c r="H469" s="146"/>
      <c r="I469" s="146"/>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210"/>
      <c r="C470" s="131"/>
      <c r="D470" s="146"/>
      <c r="E470" s="146"/>
      <c r="F470" s="146"/>
      <c r="G470" s="146"/>
      <c r="H470" s="146"/>
      <c r="I470" s="146"/>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210"/>
      <c r="C471" s="131"/>
      <c r="D471" s="146"/>
      <c r="E471" s="146"/>
      <c r="F471" s="146"/>
      <c r="G471" s="146"/>
      <c r="H471" s="146"/>
      <c r="I471" s="146"/>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210"/>
      <c r="C472" s="131"/>
      <c r="D472" s="146"/>
      <c r="E472" s="146"/>
      <c r="F472" s="146"/>
      <c r="G472" s="146"/>
      <c r="H472" s="146"/>
      <c r="I472" s="146"/>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210"/>
      <c r="C473" s="131"/>
      <c r="D473" s="146"/>
      <c r="E473" s="146"/>
      <c r="F473" s="146"/>
      <c r="G473" s="146"/>
      <c r="H473" s="146"/>
      <c r="I473" s="146"/>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210"/>
      <c r="C474" s="131"/>
      <c r="D474" s="146"/>
      <c r="E474" s="146"/>
      <c r="F474" s="146"/>
      <c r="G474" s="146"/>
      <c r="H474" s="146"/>
      <c r="I474" s="146"/>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210"/>
      <c r="C475" s="131"/>
      <c r="D475" s="146"/>
      <c r="E475" s="146"/>
      <c r="F475" s="146"/>
      <c r="G475" s="146"/>
      <c r="H475" s="146"/>
      <c r="I475" s="146"/>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210"/>
      <c r="C476" s="131"/>
      <c r="D476" s="146"/>
      <c r="E476" s="146"/>
      <c r="F476" s="146"/>
      <c r="G476" s="146"/>
      <c r="H476" s="146"/>
      <c r="I476" s="146"/>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210"/>
      <c r="C477" s="131"/>
      <c r="D477" s="146"/>
      <c r="E477" s="146"/>
      <c r="F477" s="146"/>
      <c r="G477" s="146"/>
      <c r="H477" s="146"/>
      <c r="I477" s="146"/>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210"/>
      <c r="C478" s="131"/>
      <c r="D478" s="146"/>
      <c r="E478" s="146"/>
      <c r="F478" s="146"/>
      <c r="G478" s="146"/>
      <c r="H478" s="146"/>
      <c r="I478" s="146"/>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210"/>
      <c r="C479" s="131"/>
      <c r="D479" s="146"/>
      <c r="E479" s="146"/>
      <c r="F479" s="146"/>
      <c r="G479" s="146"/>
      <c r="H479" s="146"/>
      <c r="I479" s="146"/>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210"/>
      <c r="C480" s="131"/>
      <c r="D480" s="146"/>
      <c r="E480" s="146"/>
      <c r="F480" s="146"/>
      <c r="G480" s="146"/>
      <c r="H480" s="146"/>
      <c r="I480" s="146"/>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210"/>
      <c r="C481" s="131"/>
      <c r="D481" s="146"/>
      <c r="E481" s="146"/>
      <c r="F481" s="146"/>
      <c r="G481" s="146"/>
      <c r="H481" s="146"/>
      <c r="I481" s="146"/>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210"/>
      <c r="C482" s="131"/>
      <c r="D482" s="146"/>
      <c r="E482" s="146"/>
      <c r="F482" s="146"/>
      <c r="G482" s="146"/>
      <c r="H482" s="146"/>
      <c r="I482" s="146"/>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210"/>
      <c r="C483" s="131"/>
      <c r="D483" s="146"/>
      <c r="E483" s="146"/>
      <c r="F483" s="146"/>
      <c r="G483" s="146"/>
      <c r="H483" s="146"/>
      <c r="I483" s="146"/>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210"/>
      <c r="C484" s="131"/>
      <c r="D484" s="146"/>
      <c r="E484" s="146"/>
      <c r="F484" s="146"/>
      <c r="G484" s="146"/>
      <c r="H484" s="146"/>
      <c r="I484" s="146"/>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210"/>
      <c r="C485" s="131"/>
      <c r="D485" s="146"/>
      <c r="E485" s="146"/>
      <c r="F485" s="146"/>
      <c r="G485" s="146"/>
      <c r="H485" s="146"/>
      <c r="I485" s="146"/>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210"/>
      <c r="C486" s="131"/>
      <c r="D486" s="146"/>
      <c r="E486" s="146"/>
      <c r="F486" s="146"/>
      <c r="G486" s="146"/>
      <c r="H486" s="146"/>
      <c r="I486" s="146"/>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210"/>
      <c r="C487" s="131"/>
      <c r="D487" s="146"/>
      <c r="E487" s="146"/>
      <c r="F487" s="146"/>
      <c r="G487" s="146"/>
      <c r="H487" s="146"/>
      <c r="I487" s="146"/>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210"/>
      <c r="C488" s="131"/>
      <c r="D488" s="146"/>
      <c r="E488" s="146"/>
      <c r="F488" s="146"/>
      <c r="G488" s="146"/>
      <c r="H488" s="146"/>
      <c r="I488" s="146"/>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210"/>
      <c r="C489" s="131"/>
      <c r="D489" s="146"/>
      <c r="E489" s="146"/>
      <c r="F489" s="146"/>
      <c r="G489" s="146"/>
      <c r="H489" s="146"/>
      <c r="I489" s="146"/>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210"/>
      <c r="C490" s="131"/>
      <c r="D490" s="146"/>
      <c r="E490" s="146"/>
      <c r="F490" s="146"/>
      <c r="G490" s="146"/>
      <c r="H490" s="146"/>
      <c r="I490" s="146"/>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210"/>
      <c r="C491" s="131"/>
      <c r="D491" s="146"/>
      <c r="E491" s="146"/>
      <c r="F491" s="146"/>
      <c r="G491" s="146"/>
      <c r="H491" s="146"/>
      <c r="I491" s="146"/>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210"/>
      <c r="C492" s="131"/>
      <c r="D492" s="146"/>
      <c r="E492" s="146"/>
      <c r="F492" s="146"/>
      <c r="G492" s="146"/>
      <c r="H492" s="146"/>
      <c r="I492" s="146"/>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210"/>
      <c r="C493" s="131"/>
      <c r="D493" s="146"/>
      <c r="E493" s="146"/>
      <c r="F493" s="146"/>
      <c r="G493" s="146"/>
      <c r="H493" s="146"/>
      <c r="I493" s="146"/>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210"/>
      <c r="C494" s="131"/>
      <c r="D494" s="146"/>
      <c r="E494" s="146"/>
      <c r="F494" s="146"/>
      <c r="G494" s="146"/>
      <c r="H494" s="146"/>
      <c r="I494" s="146"/>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210"/>
      <c r="C495" s="131"/>
      <c r="D495" s="146"/>
      <c r="E495" s="146"/>
      <c r="F495" s="146"/>
      <c r="G495" s="146"/>
      <c r="H495" s="146"/>
      <c r="I495" s="146"/>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210"/>
      <c r="C496" s="131"/>
      <c r="D496" s="146"/>
      <c r="E496" s="146"/>
      <c r="F496" s="146"/>
      <c r="G496" s="146"/>
      <c r="H496" s="146"/>
      <c r="I496" s="146"/>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210"/>
      <c r="C497" s="131"/>
      <c r="D497" s="146"/>
      <c r="E497" s="146"/>
      <c r="F497" s="146"/>
      <c r="G497" s="146"/>
      <c r="H497" s="146"/>
      <c r="I497" s="146"/>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210"/>
      <c r="C498" s="131"/>
      <c r="D498" s="146"/>
      <c r="E498" s="146"/>
      <c r="F498" s="146"/>
      <c r="G498" s="146"/>
      <c r="H498" s="146"/>
      <c r="I498" s="146"/>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210"/>
      <c r="C499" s="131"/>
      <c r="D499" s="146"/>
      <c r="E499" s="146"/>
      <c r="F499" s="146"/>
      <c r="G499" s="146"/>
      <c r="H499" s="146"/>
      <c r="I499" s="146"/>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210"/>
      <c r="C500" s="131"/>
      <c r="D500" s="146"/>
      <c r="E500" s="146"/>
      <c r="F500" s="146"/>
      <c r="G500" s="146"/>
      <c r="H500" s="146"/>
      <c r="I500" s="146"/>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210"/>
      <c r="C501" s="131"/>
      <c r="D501" s="146"/>
      <c r="E501" s="146"/>
      <c r="F501" s="146"/>
      <c r="G501" s="146"/>
      <c r="H501" s="146"/>
      <c r="I501" s="146"/>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210"/>
      <c r="C502" s="131"/>
      <c r="D502" s="146"/>
      <c r="E502" s="146"/>
      <c r="F502" s="146"/>
      <c r="G502" s="146"/>
      <c r="H502" s="146"/>
      <c r="I502" s="146"/>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210"/>
      <c r="C503" s="131"/>
      <c r="D503" s="146"/>
      <c r="E503" s="146"/>
      <c r="F503" s="146"/>
      <c r="G503" s="146"/>
      <c r="H503" s="146"/>
      <c r="I503" s="146"/>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210"/>
      <c r="C504" s="131"/>
      <c r="D504" s="146"/>
      <c r="E504" s="146"/>
      <c r="F504" s="146"/>
      <c r="G504" s="146"/>
      <c r="H504" s="146"/>
      <c r="I504" s="146"/>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210"/>
      <c r="C505" s="131"/>
      <c r="D505" s="146"/>
      <c r="E505" s="146"/>
      <c r="F505" s="146"/>
      <c r="G505" s="146"/>
      <c r="H505" s="146"/>
      <c r="I505" s="146"/>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210"/>
      <c r="C506" s="131"/>
      <c r="D506" s="146"/>
      <c r="E506" s="146"/>
      <c r="F506" s="146"/>
      <c r="G506" s="146"/>
      <c r="H506" s="146"/>
      <c r="I506" s="146"/>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210"/>
      <c r="C507" s="131"/>
      <c r="D507" s="146"/>
      <c r="E507" s="146"/>
      <c r="F507" s="146"/>
      <c r="G507" s="146"/>
      <c r="H507" s="146"/>
      <c r="I507" s="146"/>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210"/>
      <c r="C508" s="131"/>
      <c r="D508" s="146"/>
      <c r="E508" s="146"/>
      <c r="F508" s="146"/>
      <c r="G508" s="146"/>
      <c r="H508" s="146"/>
      <c r="I508" s="146"/>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210"/>
      <c r="C509" s="131"/>
      <c r="D509" s="146"/>
      <c r="E509" s="146"/>
      <c r="F509" s="146"/>
      <c r="G509" s="146"/>
      <c r="H509" s="146"/>
      <c r="I509" s="146"/>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210"/>
      <c r="C510" s="131"/>
      <c r="D510" s="146"/>
      <c r="E510" s="146"/>
      <c r="F510" s="146"/>
      <c r="G510" s="146"/>
      <c r="H510" s="146"/>
      <c r="I510" s="146"/>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210"/>
      <c r="C511" s="131"/>
      <c r="D511" s="146"/>
      <c r="E511" s="146"/>
      <c r="F511" s="146"/>
      <c r="G511" s="146"/>
      <c r="H511" s="146"/>
      <c r="I511" s="146"/>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210"/>
      <c r="C512" s="131"/>
      <c r="D512" s="146"/>
      <c r="E512" s="146"/>
      <c r="F512" s="146"/>
      <c r="G512" s="146"/>
      <c r="H512" s="146"/>
      <c r="I512" s="146"/>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210"/>
      <c r="C513" s="131"/>
      <c r="D513" s="146"/>
      <c r="E513" s="146"/>
      <c r="F513" s="146"/>
      <c r="G513" s="146"/>
      <c r="H513" s="146"/>
      <c r="I513" s="146"/>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210"/>
      <c r="C514" s="131"/>
      <c r="D514" s="146"/>
      <c r="E514" s="146"/>
      <c r="F514" s="146"/>
      <c r="G514" s="146"/>
      <c r="H514" s="146"/>
      <c r="I514" s="146"/>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210"/>
      <c r="C515" s="131"/>
      <c r="D515" s="146"/>
      <c r="E515" s="146"/>
      <c r="F515" s="146"/>
      <c r="G515" s="146"/>
      <c r="H515" s="146"/>
      <c r="I515" s="146"/>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210"/>
      <c r="C516" s="131"/>
      <c r="D516" s="146"/>
      <c r="E516" s="146"/>
      <c r="F516" s="146"/>
      <c r="G516" s="146"/>
      <c r="H516" s="146"/>
      <c r="I516" s="146"/>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210"/>
      <c r="C517" s="131"/>
      <c r="D517" s="146"/>
      <c r="E517" s="146"/>
      <c r="F517" s="146"/>
      <c r="G517" s="146"/>
      <c r="H517" s="146"/>
      <c r="I517" s="146"/>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210"/>
      <c r="C518" s="131"/>
      <c r="D518" s="146"/>
      <c r="E518" s="146"/>
      <c r="F518" s="146"/>
      <c r="G518" s="146"/>
      <c r="H518" s="146"/>
      <c r="I518" s="146"/>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210"/>
      <c r="C519" s="131"/>
      <c r="D519" s="146"/>
      <c r="E519" s="146"/>
      <c r="F519" s="146"/>
      <c r="G519" s="146"/>
      <c r="H519" s="146"/>
      <c r="I519" s="146"/>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210"/>
      <c r="C520" s="131"/>
      <c r="D520" s="146"/>
      <c r="E520" s="146"/>
      <c r="F520" s="146"/>
      <c r="G520" s="146"/>
      <c r="H520" s="146"/>
      <c r="I520" s="146"/>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210"/>
      <c r="C521" s="131"/>
      <c r="D521" s="146"/>
      <c r="E521" s="146"/>
      <c r="F521" s="146"/>
      <c r="G521" s="146"/>
      <c r="H521" s="146"/>
      <c r="I521" s="146"/>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210"/>
      <c r="C522" s="131"/>
      <c r="D522" s="146"/>
      <c r="E522" s="146"/>
      <c r="F522" s="146"/>
      <c r="G522" s="146"/>
      <c r="H522" s="146"/>
      <c r="I522" s="146"/>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210"/>
      <c r="C523" s="131"/>
      <c r="D523" s="146"/>
      <c r="E523" s="146"/>
      <c r="F523" s="146"/>
      <c r="G523" s="146"/>
      <c r="H523" s="146"/>
      <c r="I523" s="146"/>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210"/>
      <c r="C524" s="131"/>
      <c r="D524" s="146"/>
      <c r="E524" s="146"/>
      <c r="F524" s="146"/>
      <c r="G524" s="146"/>
      <c r="H524" s="146"/>
      <c r="I524" s="146"/>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210"/>
      <c r="C525" s="131"/>
      <c r="D525" s="146"/>
      <c r="E525" s="146"/>
      <c r="F525" s="146"/>
      <c r="G525" s="146"/>
      <c r="H525" s="146"/>
      <c r="I525" s="146"/>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210"/>
      <c r="C526" s="131"/>
      <c r="D526" s="146"/>
      <c r="E526" s="146"/>
      <c r="F526" s="146"/>
      <c r="G526" s="146"/>
      <c r="H526" s="146"/>
      <c r="I526" s="146"/>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210"/>
      <c r="C527" s="131"/>
      <c r="D527" s="146"/>
      <c r="E527" s="146"/>
      <c r="F527" s="146"/>
      <c r="G527" s="146"/>
      <c r="H527" s="146"/>
      <c r="I527" s="146"/>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210"/>
      <c r="C528" s="131"/>
      <c r="D528" s="146"/>
      <c r="E528" s="146"/>
      <c r="F528" s="146"/>
      <c r="G528" s="146"/>
      <c r="H528" s="146"/>
      <c r="I528" s="146"/>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210"/>
      <c r="C529" s="131"/>
      <c r="D529" s="146"/>
      <c r="E529" s="146"/>
      <c r="F529" s="146"/>
      <c r="G529" s="146"/>
      <c r="H529" s="146"/>
      <c r="I529" s="146"/>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210"/>
      <c r="C530" s="131"/>
      <c r="D530" s="146"/>
      <c r="E530" s="146"/>
      <c r="F530" s="146"/>
      <c r="G530" s="146"/>
      <c r="H530" s="146"/>
      <c r="I530" s="146"/>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210"/>
      <c r="C531" s="131"/>
      <c r="D531" s="146"/>
      <c r="E531" s="146"/>
      <c r="F531" s="146"/>
      <c r="G531" s="146"/>
      <c r="H531" s="146"/>
      <c r="I531" s="146"/>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210"/>
      <c r="C532" s="131"/>
      <c r="D532" s="146"/>
      <c r="E532" s="146"/>
      <c r="F532" s="146"/>
      <c r="G532" s="146"/>
      <c r="H532" s="146"/>
      <c r="I532" s="146"/>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210"/>
      <c r="C533" s="131"/>
      <c r="D533" s="146"/>
      <c r="E533" s="146"/>
      <c r="F533" s="146"/>
      <c r="G533" s="146"/>
      <c r="H533" s="146"/>
      <c r="I533" s="146"/>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210"/>
      <c r="C534" s="131"/>
      <c r="D534" s="146"/>
      <c r="E534" s="146"/>
      <c r="F534" s="146"/>
      <c r="G534" s="146"/>
      <c r="H534" s="146"/>
      <c r="I534" s="146"/>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210"/>
      <c r="C535" s="131"/>
      <c r="D535" s="146"/>
      <c r="E535" s="146"/>
      <c r="F535" s="146"/>
      <c r="G535" s="146"/>
      <c r="H535" s="146"/>
      <c r="I535" s="146"/>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210"/>
      <c r="C536" s="131"/>
      <c r="D536" s="146"/>
      <c r="E536" s="146"/>
      <c r="F536" s="146"/>
      <c r="G536" s="146"/>
      <c r="H536" s="146"/>
      <c r="I536" s="146"/>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210"/>
      <c r="C537" s="131"/>
      <c r="D537" s="146"/>
      <c r="E537" s="146"/>
      <c r="F537" s="146"/>
      <c r="G537" s="146"/>
      <c r="H537" s="146"/>
      <c r="I537" s="146"/>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210"/>
      <c r="C538" s="131"/>
      <c r="D538" s="146"/>
      <c r="E538" s="146"/>
      <c r="F538" s="146"/>
      <c r="G538" s="146"/>
      <c r="H538" s="146"/>
      <c r="I538" s="146"/>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210"/>
      <c r="C539" s="131"/>
      <c r="D539" s="146"/>
      <c r="E539" s="146"/>
      <c r="F539" s="146"/>
      <c r="G539" s="146"/>
      <c r="H539" s="146"/>
      <c r="I539" s="146"/>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210"/>
      <c r="C540" s="131"/>
      <c r="D540" s="146"/>
      <c r="E540" s="146"/>
      <c r="F540" s="146"/>
      <c r="G540" s="146"/>
      <c r="H540" s="146"/>
      <c r="I540" s="146"/>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210"/>
      <c r="C541" s="131"/>
      <c r="D541" s="146"/>
      <c r="E541" s="146"/>
      <c r="F541" s="146"/>
      <c r="G541" s="146"/>
      <c r="H541" s="146"/>
      <c r="I541" s="146"/>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210"/>
      <c r="C542" s="131"/>
      <c r="D542" s="146"/>
      <c r="E542" s="146"/>
      <c r="F542" s="146"/>
      <c r="G542" s="146"/>
      <c r="H542" s="146"/>
      <c r="I542" s="146"/>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210"/>
      <c r="C543" s="131"/>
      <c r="D543" s="146"/>
      <c r="E543" s="146"/>
      <c r="F543" s="146"/>
      <c r="G543" s="146"/>
      <c r="H543" s="146"/>
      <c r="I543" s="146"/>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210"/>
      <c r="C544" s="131"/>
      <c r="D544" s="146"/>
      <c r="E544" s="146"/>
      <c r="F544" s="146"/>
      <c r="G544" s="146"/>
      <c r="H544" s="146"/>
      <c r="I544" s="146"/>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210"/>
      <c r="C545" s="131"/>
      <c r="D545" s="146"/>
      <c r="E545" s="146"/>
      <c r="F545" s="146"/>
      <c r="G545" s="146"/>
      <c r="H545" s="146"/>
      <c r="I545" s="146"/>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210"/>
      <c r="C546" s="131"/>
      <c r="D546" s="146"/>
      <c r="E546" s="146"/>
      <c r="F546" s="146"/>
      <c r="G546" s="146"/>
      <c r="H546" s="146"/>
      <c r="I546" s="146"/>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210"/>
      <c r="C547" s="131"/>
      <c r="D547" s="146"/>
      <c r="E547" s="146"/>
      <c r="F547" s="146"/>
      <c r="G547" s="146"/>
      <c r="H547" s="146"/>
      <c r="I547" s="146"/>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210"/>
      <c r="C548" s="131"/>
      <c r="D548" s="146"/>
      <c r="E548" s="146"/>
      <c r="F548" s="146"/>
      <c r="G548" s="146"/>
      <c r="H548" s="146"/>
      <c r="I548" s="146"/>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210"/>
      <c r="C549" s="131"/>
      <c r="D549" s="146"/>
      <c r="E549" s="146"/>
      <c r="F549" s="146"/>
      <c r="G549" s="146"/>
      <c r="H549" s="146"/>
      <c r="I549" s="146"/>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210"/>
      <c r="C550" s="131"/>
      <c r="D550" s="146"/>
      <c r="E550" s="146"/>
      <c r="F550" s="146"/>
      <c r="G550" s="146"/>
      <c r="H550" s="146"/>
      <c r="I550" s="146"/>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210"/>
      <c r="C551" s="131"/>
      <c r="D551" s="146"/>
      <c r="E551" s="146"/>
      <c r="F551" s="146"/>
      <c r="G551" s="146"/>
      <c r="H551" s="146"/>
      <c r="I551" s="146"/>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210"/>
      <c r="C552" s="131"/>
      <c r="D552" s="146"/>
      <c r="E552" s="146"/>
      <c r="F552" s="146"/>
      <c r="G552" s="146"/>
      <c r="H552" s="146"/>
      <c r="I552" s="146"/>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210"/>
      <c r="C553" s="131"/>
      <c r="D553" s="146"/>
      <c r="E553" s="146"/>
      <c r="F553" s="146"/>
      <c r="G553" s="146"/>
      <c r="H553" s="146"/>
      <c r="I553" s="146"/>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210"/>
      <c r="C554" s="131"/>
      <c r="D554" s="146"/>
      <c r="E554" s="146"/>
      <c r="F554" s="146"/>
      <c r="G554" s="146"/>
      <c r="H554" s="146"/>
      <c r="I554" s="146"/>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210"/>
      <c r="C555" s="131"/>
      <c r="D555" s="146"/>
      <c r="E555" s="146"/>
      <c r="F555" s="146"/>
      <c r="G555" s="146"/>
      <c r="H555" s="146"/>
      <c r="I555" s="146"/>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210"/>
      <c r="C556" s="131"/>
      <c r="D556" s="146"/>
      <c r="E556" s="146"/>
      <c r="F556" s="146"/>
      <c r="G556" s="146"/>
      <c r="H556" s="146"/>
      <c r="I556" s="146"/>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210"/>
      <c r="C557" s="131"/>
      <c r="D557" s="146"/>
      <c r="E557" s="146"/>
      <c r="F557" s="146"/>
      <c r="G557" s="146"/>
      <c r="H557" s="146"/>
      <c r="I557" s="146"/>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210"/>
      <c r="C558" s="131"/>
      <c r="D558" s="146"/>
      <c r="E558" s="146"/>
      <c r="F558" s="146"/>
      <c r="G558" s="146"/>
      <c r="H558" s="146"/>
      <c r="I558" s="146"/>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210"/>
      <c r="C559" s="131"/>
      <c r="D559" s="146"/>
      <c r="E559" s="146"/>
      <c r="F559" s="146"/>
      <c r="G559" s="146"/>
      <c r="H559" s="146"/>
      <c r="I559" s="146"/>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210"/>
      <c r="C560" s="131"/>
      <c r="D560" s="146"/>
      <c r="E560" s="146"/>
      <c r="F560" s="146"/>
      <c r="G560" s="146"/>
      <c r="H560" s="146"/>
      <c r="I560" s="146"/>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210"/>
      <c r="C561" s="131"/>
      <c r="D561" s="146"/>
      <c r="E561" s="146"/>
      <c r="F561" s="146"/>
      <c r="G561" s="146"/>
      <c r="H561" s="146"/>
      <c r="I561" s="146"/>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210"/>
      <c r="C562" s="131"/>
      <c r="D562" s="146"/>
      <c r="E562" s="146"/>
      <c r="F562" s="146"/>
      <c r="G562" s="146"/>
      <c r="H562" s="146"/>
      <c r="I562" s="146"/>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210"/>
      <c r="C563" s="131"/>
      <c r="D563" s="146"/>
      <c r="E563" s="146"/>
      <c r="F563" s="146"/>
      <c r="G563" s="146"/>
      <c r="H563" s="146"/>
      <c r="I563" s="146"/>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210"/>
      <c r="C564" s="131"/>
      <c r="D564" s="146"/>
      <c r="E564" s="146"/>
      <c r="F564" s="146"/>
      <c r="G564" s="146"/>
      <c r="H564" s="146"/>
      <c r="I564" s="146"/>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210"/>
      <c r="C565" s="131"/>
      <c r="D565" s="146"/>
      <c r="E565" s="146"/>
      <c r="F565" s="146"/>
      <c r="G565" s="146"/>
      <c r="H565" s="146"/>
      <c r="I565" s="146"/>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210"/>
      <c r="C566" s="131"/>
      <c r="D566" s="146"/>
      <c r="E566" s="146"/>
      <c r="F566" s="146"/>
      <c r="G566" s="146"/>
      <c r="H566" s="146"/>
      <c r="I566" s="146"/>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210"/>
      <c r="C567" s="131"/>
      <c r="D567" s="146"/>
      <c r="E567" s="146"/>
      <c r="F567" s="146"/>
      <c r="G567" s="146"/>
      <c r="H567" s="146"/>
      <c r="I567" s="146"/>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210"/>
      <c r="C568" s="131"/>
      <c r="D568" s="146"/>
      <c r="E568" s="146"/>
      <c r="F568" s="146"/>
      <c r="G568" s="146"/>
      <c r="H568" s="146"/>
      <c r="I568" s="146"/>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210"/>
      <c r="C569" s="131"/>
      <c r="D569" s="146"/>
      <c r="E569" s="146"/>
      <c r="F569" s="146"/>
      <c r="G569" s="146"/>
      <c r="H569" s="146"/>
      <c r="I569" s="146"/>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210"/>
      <c r="C570" s="131"/>
      <c r="D570" s="146"/>
      <c r="E570" s="146"/>
      <c r="F570" s="146"/>
      <c r="G570" s="146"/>
      <c r="H570" s="146"/>
      <c r="I570" s="146"/>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210"/>
      <c r="C571" s="131"/>
      <c r="D571" s="146"/>
      <c r="E571" s="146"/>
      <c r="F571" s="146"/>
      <c r="G571" s="146"/>
      <c r="H571" s="146"/>
      <c r="I571" s="146"/>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210"/>
      <c r="C572" s="131"/>
      <c r="D572" s="146"/>
      <c r="E572" s="146"/>
      <c r="F572" s="146"/>
      <c r="G572" s="146"/>
      <c r="H572" s="146"/>
      <c r="I572" s="146"/>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210"/>
      <c r="C573" s="131"/>
      <c r="D573" s="146"/>
      <c r="E573" s="146"/>
      <c r="F573" s="146"/>
      <c r="G573" s="146"/>
      <c r="H573" s="146"/>
      <c r="I573" s="146"/>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210"/>
      <c r="C574" s="131"/>
      <c r="D574" s="146"/>
      <c r="E574" s="146"/>
      <c r="F574" s="146"/>
      <c r="G574" s="146"/>
      <c r="H574" s="146"/>
      <c r="I574" s="146"/>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210"/>
      <c r="C575" s="131"/>
      <c r="D575" s="146"/>
      <c r="E575" s="146"/>
      <c r="F575" s="146"/>
      <c r="G575" s="146"/>
      <c r="H575" s="146"/>
      <c r="I575" s="146"/>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210"/>
      <c r="C576" s="131"/>
      <c r="D576" s="146"/>
      <c r="E576" s="146"/>
      <c r="F576" s="146"/>
      <c r="G576" s="146"/>
      <c r="H576" s="146"/>
      <c r="I576" s="146"/>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210"/>
      <c r="C577" s="131"/>
      <c r="D577" s="146"/>
      <c r="E577" s="146"/>
      <c r="F577" s="146"/>
      <c r="G577" s="146"/>
      <c r="H577" s="146"/>
      <c r="I577" s="146"/>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210"/>
      <c r="C578" s="131"/>
      <c r="D578" s="146"/>
      <c r="E578" s="146"/>
      <c r="F578" s="146"/>
      <c r="G578" s="146"/>
      <c r="H578" s="146"/>
      <c r="I578" s="146"/>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210"/>
      <c r="C579" s="131"/>
      <c r="D579" s="146"/>
      <c r="E579" s="146"/>
      <c r="F579" s="146"/>
      <c r="G579" s="146"/>
      <c r="H579" s="146"/>
      <c r="I579" s="146"/>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210"/>
      <c r="C580" s="131"/>
      <c r="D580" s="146"/>
      <c r="E580" s="146"/>
      <c r="F580" s="146"/>
      <c r="G580" s="146"/>
      <c r="H580" s="146"/>
      <c r="I580" s="146"/>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210"/>
      <c r="C581" s="131"/>
      <c r="D581" s="146"/>
      <c r="E581" s="146"/>
      <c r="F581" s="146"/>
      <c r="G581" s="146"/>
      <c r="H581" s="146"/>
      <c r="I581" s="146"/>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210"/>
      <c r="C582" s="131"/>
      <c r="D582" s="146"/>
      <c r="E582" s="146"/>
      <c r="F582" s="146"/>
      <c r="G582" s="146"/>
      <c r="H582" s="146"/>
      <c r="I582" s="146"/>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210"/>
      <c r="C583" s="131"/>
      <c r="D583" s="146"/>
      <c r="E583" s="146"/>
      <c r="F583" s="146"/>
      <c r="G583" s="146"/>
      <c r="H583" s="146"/>
      <c r="I583" s="146"/>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210"/>
      <c r="C584" s="131"/>
      <c r="D584" s="146"/>
      <c r="E584" s="146"/>
      <c r="F584" s="146"/>
      <c r="G584" s="146"/>
      <c r="H584" s="146"/>
      <c r="I584" s="146"/>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210"/>
      <c r="C585" s="131"/>
      <c r="D585" s="146"/>
      <c r="E585" s="146"/>
      <c r="F585" s="146"/>
      <c r="G585" s="146"/>
      <c r="H585" s="146"/>
      <c r="I585" s="146"/>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210"/>
      <c r="C586" s="131"/>
      <c r="D586" s="146"/>
      <c r="E586" s="146"/>
      <c r="F586" s="146"/>
      <c r="G586" s="146"/>
      <c r="H586" s="146"/>
      <c r="I586" s="146"/>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210"/>
      <c r="C587" s="131"/>
      <c r="D587" s="146"/>
      <c r="E587" s="146"/>
      <c r="F587" s="146"/>
      <c r="G587" s="146"/>
      <c r="H587" s="146"/>
      <c r="I587" s="146"/>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210"/>
      <c r="C588" s="131"/>
      <c r="D588" s="146"/>
      <c r="E588" s="146"/>
      <c r="F588" s="146"/>
      <c r="G588" s="146"/>
      <c r="H588" s="146"/>
      <c r="I588" s="146"/>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210"/>
      <c r="C589" s="131"/>
      <c r="D589" s="146"/>
      <c r="E589" s="146"/>
      <c r="F589" s="146"/>
      <c r="G589" s="146"/>
      <c r="H589" s="146"/>
      <c r="I589" s="146"/>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210"/>
      <c r="C590" s="131"/>
      <c r="D590" s="146"/>
      <c r="E590" s="146"/>
      <c r="F590" s="146"/>
      <c r="G590" s="146"/>
      <c r="H590" s="146"/>
      <c r="I590" s="146"/>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210"/>
      <c r="C591" s="131"/>
      <c r="D591" s="146"/>
      <c r="E591" s="146"/>
      <c r="F591" s="146"/>
      <c r="G591" s="146"/>
      <c r="H591" s="146"/>
      <c r="I591" s="146"/>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210"/>
      <c r="C592" s="131"/>
      <c r="D592" s="146"/>
      <c r="E592" s="146"/>
      <c r="F592" s="146"/>
      <c r="G592" s="146"/>
      <c r="H592" s="146"/>
      <c r="I592" s="146"/>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210"/>
      <c r="C593" s="131"/>
      <c r="D593" s="146"/>
      <c r="E593" s="146"/>
      <c r="F593" s="146"/>
      <c r="G593" s="146"/>
      <c r="H593" s="146"/>
      <c r="I593" s="146"/>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210"/>
      <c r="C594" s="131"/>
      <c r="D594" s="146"/>
      <c r="E594" s="146"/>
      <c r="F594" s="146"/>
      <c r="G594" s="146"/>
      <c r="H594" s="146"/>
      <c r="I594" s="146"/>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210"/>
      <c r="C595" s="131"/>
      <c r="D595" s="146"/>
      <c r="E595" s="146"/>
      <c r="F595" s="146"/>
      <c r="G595" s="146"/>
      <c r="H595" s="146"/>
      <c r="I595" s="146"/>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210"/>
      <c r="C596" s="131"/>
      <c r="D596" s="146"/>
      <c r="E596" s="146"/>
      <c r="F596" s="146"/>
      <c r="G596" s="146"/>
      <c r="H596" s="146"/>
      <c r="I596" s="146"/>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210"/>
      <c r="C597" s="131"/>
      <c r="D597" s="146"/>
      <c r="E597" s="146"/>
      <c r="F597" s="146"/>
      <c r="G597" s="146"/>
      <c r="H597" s="146"/>
      <c r="I597" s="146"/>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210"/>
      <c r="C598" s="131"/>
      <c r="D598" s="146"/>
      <c r="E598" s="146"/>
      <c r="F598" s="146"/>
      <c r="G598" s="146"/>
      <c r="H598" s="146"/>
      <c r="I598" s="146"/>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210"/>
      <c r="C599" s="131"/>
      <c r="D599" s="146"/>
      <c r="E599" s="146"/>
      <c r="F599" s="146"/>
      <c r="G599" s="146"/>
      <c r="H599" s="146"/>
      <c r="I599" s="146"/>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210"/>
      <c r="C600" s="131"/>
      <c r="D600" s="146"/>
      <c r="E600" s="146"/>
      <c r="F600" s="146"/>
      <c r="G600" s="146"/>
      <c r="H600" s="146"/>
      <c r="I600" s="146"/>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210"/>
      <c r="C601" s="131"/>
      <c r="D601" s="146"/>
      <c r="E601" s="146"/>
      <c r="F601" s="146"/>
      <c r="G601" s="146"/>
      <c r="H601" s="146"/>
      <c r="I601" s="146"/>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210"/>
      <c r="C602" s="131"/>
      <c r="D602" s="146"/>
      <c r="E602" s="146"/>
      <c r="F602" s="146"/>
      <c r="G602" s="146"/>
      <c r="H602" s="146"/>
      <c r="I602" s="146"/>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210"/>
      <c r="C603" s="131"/>
      <c r="D603" s="146"/>
      <c r="E603" s="146"/>
      <c r="F603" s="146"/>
      <c r="G603" s="146"/>
      <c r="H603" s="146"/>
      <c r="I603" s="146"/>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210"/>
      <c r="C604" s="131"/>
      <c r="D604" s="146"/>
      <c r="E604" s="146"/>
      <c r="F604" s="146"/>
      <c r="G604" s="146"/>
      <c r="H604" s="146"/>
      <c r="I604" s="146"/>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210"/>
      <c r="C605" s="131"/>
      <c r="D605" s="146"/>
      <c r="E605" s="146"/>
      <c r="F605" s="146"/>
      <c r="G605" s="146"/>
      <c r="H605" s="146"/>
      <c r="I605" s="146"/>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210"/>
      <c r="C606" s="131"/>
      <c r="D606" s="146"/>
      <c r="E606" s="146"/>
      <c r="F606" s="146"/>
      <c r="G606" s="146"/>
      <c r="H606" s="146"/>
      <c r="I606" s="146"/>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210"/>
      <c r="C607" s="131"/>
      <c r="D607" s="146"/>
      <c r="E607" s="146"/>
      <c r="F607" s="146"/>
      <c r="G607" s="146"/>
      <c r="H607" s="146"/>
      <c r="I607" s="146"/>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210"/>
      <c r="C608" s="131"/>
      <c r="D608" s="146"/>
      <c r="E608" s="146"/>
      <c r="F608" s="146"/>
      <c r="G608" s="146"/>
      <c r="H608" s="146"/>
      <c r="I608" s="146"/>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210"/>
      <c r="C609" s="131"/>
      <c r="D609" s="146"/>
      <c r="E609" s="146"/>
      <c r="F609" s="146"/>
      <c r="G609" s="146"/>
      <c r="H609" s="146"/>
      <c r="I609" s="146"/>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210"/>
      <c r="C610" s="131"/>
      <c r="D610" s="146"/>
      <c r="E610" s="146"/>
      <c r="F610" s="146"/>
      <c r="G610" s="146"/>
      <c r="H610" s="146"/>
      <c r="I610" s="146"/>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210"/>
      <c r="C611" s="131"/>
      <c r="D611" s="146"/>
      <c r="E611" s="146"/>
      <c r="F611" s="146"/>
      <c r="G611" s="146"/>
      <c r="H611" s="146"/>
      <c r="I611" s="146"/>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210"/>
      <c r="C612" s="131"/>
      <c r="D612" s="146"/>
      <c r="E612" s="146"/>
      <c r="F612" s="146"/>
      <c r="G612" s="146"/>
      <c r="H612" s="146"/>
      <c r="I612" s="146"/>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210"/>
      <c r="C613" s="131"/>
      <c r="D613" s="146"/>
      <c r="E613" s="146"/>
      <c r="F613" s="146"/>
      <c r="G613" s="146"/>
      <c r="H613" s="146"/>
      <c r="I613" s="146"/>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210"/>
      <c r="C614" s="131"/>
      <c r="D614" s="146"/>
      <c r="E614" s="146"/>
      <c r="F614" s="146"/>
      <c r="G614" s="146"/>
      <c r="H614" s="146"/>
      <c r="I614" s="146"/>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210"/>
      <c r="C615" s="131"/>
      <c r="D615" s="146"/>
      <c r="E615" s="146"/>
      <c r="F615" s="146"/>
      <c r="G615" s="146"/>
      <c r="H615" s="146"/>
      <c r="I615" s="146"/>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210"/>
      <c r="C616" s="131"/>
      <c r="D616" s="146"/>
      <c r="E616" s="146"/>
      <c r="F616" s="146"/>
      <c r="G616" s="146"/>
      <c r="H616" s="146"/>
      <c r="I616" s="146"/>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210"/>
      <c r="C617" s="131"/>
      <c r="D617" s="146"/>
      <c r="E617" s="146"/>
      <c r="F617" s="146"/>
      <c r="G617" s="146"/>
      <c r="H617" s="146"/>
      <c r="I617" s="146"/>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210"/>
      <c r="C618" s="131"/>
      <c r="D618" s="146"/>
      <c r="E618" s="146"/>
      <c r="F618" s="146"/>
      <c r="G618" s="146"/>
      <c r="H618" s="146"/>
      <c r="I618" s="146"/>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210"/>
      <c r="C619" s="131"/>
      <c r="D619" s="146"/>
      <c r="E619" s="146"/>
      <c r="F619" s="146"/>
      <c r="G619" s="146"/>
      <c r="H619" s="146"/>
      <c r="I619" s="146"/>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210"/>
      <c r="C620" s="131"/>
      <c r="D620" s="146"/>
      <c r="E620" s="146"/>
      <c r="F620" s="146"/>
      <c r="G620" s="146"/>
      <c r="H620" s="146"/>
      <c r="I620" s="146"/>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210"/>
      <c r="C621" s="131"/>
      <c r="D621" s="146"/>
      <c r="E621" s="146"/>
      <c r="F621" s="146"/>
      <c r="G621" s="146"/>
      <c r="H621" s="146"/>
      <c r="I621" s="146"/>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210"/>
      <c r="C622" s="131"/>
      <c r="D622" s="146"/>
      <c r="E622" s="146"/>
      <c r="F622" s="146"/>
      <c r="G622" s="146"/>
      <c r="H622" s="146"/>
      <c r="I622" s="146"/>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210"/>
      <c r="C623" s="131"/>
      <c r="D623" s="146"/>
      <c r="E623" s="146"/>
      <c r="F623" s="146"/>
      <c r="G623" s="146"/>
      <c r="H623" s="146"/>
      <c r="I623" s="146"/>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210"/>
      <c r="C624" s="131"/>
      <c r="D624" s="146"/>
      <c r="E624" s="146"/>
      <c r="F624" s="146"/>
      <c r="G624" s="146"/>
      <c r="H624" s="146"/>
      <c r="I624" s="146"/>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210"/>
      <c r="C625" s="131"/>
      <c r="D625" s="146"/>
      <c r="E625" s="146"/>
      <c r="F625" s="146"/>
      <c r="G625" s="146"/>
      <c r="H625" s="146"/>
      <c r="I625" s="146"/>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210"/>
      <c r="C626" s="131"/>
      <c r="D626" s="146"/>
      <c r="E626" s="146"/>
      <c r="F626" s="146"/>
      <c r="G626" s="146"/>
      <c r="H626" s="146"/>
      <c r="I626" s="146"/>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210"/>
      <c r="C627" s="131"/>
      <c r="D627" s="146"/>
      <c r="E627" s="146"/>
      <c r="F627" s="146"/>
      <c r="G627" s="146"/>
      <c r="H627" s="146"/>
      <c r="I627" s="146"/>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210"/>
      <c r="C628" s="131"/>
      <c r="D628" s="146"/>
      <c r="E628" s="146"/>
      <c r="F628" s="146"/>
      <c r="G628" s="146"/>
      <c r="H628" s="146"/>
      <c r="I628" s="146"/>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210"/>
      <c r="C629" s="131"/>
      <c r="D629" s="146"/>
      <c r="E629" s="146"/>
      <c r="F629" s="146"/>
      <c r="G629" s="146"/>
      <c r="H629" s="146"/>
      <c r="I629" s="146"/>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210"/>
      <c r="C630" s="131"/>
      <c r="D630" s="146"/>
      <c r="E630" s="146"/>
      <c r="F630" s="146"/>
      <c r="G630" s="146"/>
      <c r="H630" s="146"/>
      <c r="I630" s="146"/>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210"/>
      <c r="C631" s="131"/>
      <c r="D631" s="146"/>
      <c r="E631" s="146"/>
      <c r="F631" s="146"/>
      <c r="G631" s="146"/>
      <c r="H631" s="146"/>
      <c r="I631" s="146"/>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210"/>
      <c r="C632" s="131"/>
      <c r="D632" s="146"/>
      <c r="E632" s="146"/>
      <c r="F632" s="146"/>
      <c r="G632" s="146"/>
      <c r="H632" s="146"/>
      <c r="I632" s="146"/>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210"/>
      <c r="C633" s="131"/>
      <c r="D633" s="146"/>
      <c r="E633" s="146"/>
      <c r="F633" s="146"/>
      <c r="G633" s="146"/>
      <c r="H633" s="146"/>
      <c r="I633" s="146"/>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210"/>
      <c r="C634" s="131"/>
      <c r="D634" s="146"/>
      <c r="E634" s="146"/>
      <c r="F634" s="146"/>
      <c r="G634" s="146"/>
      <c r="H634" s="146"/>
      <c r="I634" s="146"/>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210"/>
      <c r="C635" s="131"/>
      <c r="D635" s="146"/>
      <c r="E635" s="146"/>
      <c r="F635" s="146"/>
      <c r="G635" s="146"/>
      <c r="H635" s="146"/>
      <c r="I635" s="146"/>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210"/>
      <c r="C636" s="131"/>
      <c r="D636" s="146"/>
      <c r="E636" s="146"/>
      <c r="F636" s="146"/>
      <c r="G636" s="146"/>
      <c r="H636" s="146"/>
      <c r="I636" s="146"/>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210"/>
      <c r="C637" s="131"/>
      <c r="D637" s="146"/>
      <c r="E637" s="146"/>
      <c r="F637" s="146"/>
      <c r="G637" s="146"/>
      <c r="H637" s="146"/>
      <c r="I637" s="146"/>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210"/>
      <c r="C638" s="131"/>
      <c r="D638" s="146"/>
      <c r="E638" s="146"/>
      <c r="F638" s="146"/>
      <c r="G638" s="146"/>
      <c r="H638" s="146"/>
      <c r="I638" s="146"/>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210"/>
      <c r="C639" s="131"/>
      <c r="D639" s="146"/>
      <c r="E639" s="146"/>
      <c r="F639" s="146"/>
      <c r="G639" s="146"/>
      <c r="H639" s="146"/>
      <c r="I639" s="146"/>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210"/>
      <c r="C640" s="131"/>
      <c r="D640" s="146"/>
      <c r="E640" s="146"/>
      <c r="F640" s="146"/>
      <c r="G640" s="146"/>
      <c r="H640" s="146"/>
      <c r="I640" s="146"/>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210"/>
      <c r="C641" s="131"/>
      <c r="D641" s="146"/>
      <c r="E641" s="146"/>
      <c r="F641" s="146"/>
      <c r="G641" s="146"/>
      <c r="H641" s="146"/>
      <c r="I641" s="146"/>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210"/>
      <c r="C642" s="131"/>
      <c r="D642" s="146"/>
      <c r="E642" s="146"/>
      <c r="F642" s="146"/>
      <c r="G642" s="146"/>
      <c r="H642" s="146"/>
      <c r="I642" s="146"/>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210"/>
      <c r="C643" s="131"/>
      <c r="D643" s="146"/>
      <c r="E643" s="146"/>
      <c r="F643" s="146"/>
      <c r="G643" s="146"/>
      <c r="H643" s="146"/>
      <c r="I643" s="146"/>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210"/>
      <c r="C644" s="131"/>
      <c r="D644" s="146"/>
      <c r="E644" s="146"/>
      <c r="F644" s="146"/>
      <c r="G644" s="146"/>
      <c r="H644" s="146"/>
      <c r="I644" s="146"/>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210"/>
      <c r="C645" s="131"/>
      <c r="D645" s="146"/>
      <c r="E645" s="146"/>
      <c r="F645" s="146"/>
      <c r="G645" s="146"/>
      <c r="H645" s="146"/>
      <c r="I645" s="146"/>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210"/>
      <c r="C646" s="131"/>
      <c r="D646" s="146"/>
      <c r="E646" s="146"/>
      <c r="F646" s="146"/>
      <c r="G646" s="146"/>
      <c r="H646" s="146"/>
      <c r="I646" s="146"/>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210"/>
      <c r="C647" s="131"/>
      <c r="D647" s="146"/>
      <c r="E647" s="146"/>
      <c r="F647" s="146"/>
      <c r="G647" s="146"/>
      <c r="H647" s="146"/>
      <c r="I647" s="146"/>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210"/>
      <c r="C648" s="131"/>
      <c r="D648" s="146"/>
      <c r="E648" s="146"/>
      <c r="F648" s="146"/>
      <c r="G648" s="146"/>
      <c r="H648" s="146"/>
      <c r="I648" s="146"/>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210"/>
      <c r="C649" s="131"/>
      <c r="D649" s="146"/>
      <c r="E649" s="146"/>
      <c r="F649" s="146"/>
      <c r="G649" s="146"/>
      <c r="H649" s="146"/>
      <c r="I649" s="146"/>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210"/>
      <c r="C650" s="131"/>
      <c r="D650" s="146"/>
      <c r="E650" s="146"/>
      <c r="F650" s="146"/>
      <c r="G650" s="146"/>
      <c r="H650" s="146"/>
      <c r="I650" s="146"/>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210"/>
      <c r="C651" s="131"/>
      <c r="D651" s="146"/>
      <c r="E651" s="146"/>
      <c r="F651" s="146"/>
      <c r="G651" s="146"/>
      <c r="H651" s="146"/>
      <c r="I651" s="146"/>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210"/>
      <c r="C652" s="131"/>
      <c r="D652" s="146"/>
      <c r="E652" s="146"/>
      <c r="F652" s="146"/>
      <c r="G652" s="146"/>
      <c r="H652" s="146"/>
      <c r="I652" s="146"/>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210"/>
      <c r="C653" s="131"/>
      <c r="D653" s="146"/>
      <c r="E653" s="146"/>
      <c r="F653" s="146"/>
      <c r="G653" s="146"/>
      <c r="H653" s="146"/>
      <c r="I653" s="146"/>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210"/>
      <c r="C654" s="131"/>
      <c r="D654" s="146"/>
      <c r="E654" s="146"/>
      <c r="F654" s="146"/>
      <c r="G654" s="146"/>
      <c r="H654" s="146"/>
      <c r="I654" s="146"/>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210"/>
      <c r="C655" s="131"/>
      <c r="D655" s="146"/>
      <c r="E655" s="146"/>
      <c r="F655" s="146"/>
      <c r="G655" s="146"/>
      <c r="H655" s="146"/>
      <c r="I655" s="146"/>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210"/>
      <c r="C656" s="131"/>
      <c r="D656" s="146"/>
      <c r="E656" s="146"/>
      <c r="F656" s="146"/>
      <c r="G656" s="146"/>
      <c r="H656" s="146"/>
      <c r="I656" s="146"/>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210"/>
      <c r="C657" s="131"/>
      <c r="D657" s="146"/>
      <c r="E657" s="146"/>
      <c r="F657" s="146"/>
      <c r="G657" s="146"/>
      <c r="H657" s="146"/>
      <c r="I657" s="146"/>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210"/>
      <c r="C658" s="131"/>
      <c r="D658" s="146"/>
      <c r="E658" s="146"/>
      <c r="F658" s="146"/>
      <c r="G658" s="146"/>
      <c r="H658" s="146"/>
      <c r="I658" s="146"/>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210"/>
      <c r="C659" s="131"/>
      <c r="D659" s="146"/>
      <c r="E659" s="146"/>
      <c r="F659" s="146"/>
      <c r="G659" s="146"/>
      <c r="H659" s="146"/>
      <c r="I659" s="146"/>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210"/>
      <c r="C660" s="131"/>
      <c r="D660" s="146"/>
      <c r="E660" s="146"/>
      <c r="F660" s="146"/>
      <c r="G660" s="146"/>
      <c r="H660" s="146"/>
      <c r="I660" s="146"/>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210"/>
      <c r="C661" s="131"/>
      <c r="D661" s="146"/>
      <c r="E661" s="146"/>
      <c r="F661" s="146"/>
      <c r="G661" s="146"/>
      <c r="H661" s="146"/>
      <c r="I661" s="146"/>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210"/>
      <c r="C662" s="131"/>
      <c r="D662" s="146"/>
      <c r="E662" s="146"/>
      <c r="F662" s="146"/>
      <c r="G662" s="146"/>
      <c r="H662" s="146"/>
      <c r="I662" s="146"/>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210"/>
      <c r="C663" s="131"/>
      <c r="D663" s="146"/>
      <c r="E663" s="146"/>
      <c r="F663" s="146"/>
      <c r="G663" s="146"/>
      <c r="H663" s="146"/>
      <c r="I663" s="146"/>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210"/>
      <c r="C664" s="131"/>
      <c r="D664" s="146"/>
      <c r="E664" s="146"/>
      <c r="F664" s="146"/>
      <c r="G664" s="146"/>
      <c r="H664" s="146"/>
      <c r="I664" s="146"/>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210"/>
      <c r="C665" s="131"/>
      <c r="D665" s="146"/>
      <c r="E665" s="146"/>
      <c r="F665" s="146"/>
      <c r="G665" s="146"/>
      <c r="H665" s="146"/>
      <c r="I665" s="146"/>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210"/>
      <c r="C666" s="131"/>
      <c r="D666" s="146"/>
      <c r="E666" s="146"/>
      <c r="F666" s="146"/>
      <c r="G666" s="146"/>
      <c r="H666" s="146"/>
      <c r="I666" s="146"/>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210"/>
      <c r="C667" s="131"/>
      <c r="D667" s="146"/>
      <c r="E667" s="146"/>
      <c r="F667" s="146"/>
      <c r="G667" s="146"/>
      <c r="H667" s="146"/>
      <c r="I667" s="146"/>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210"/>
      <c r="C668" s="131"/>
      <c r="D668" s="146"/>
      <c r="E668" s="146"/>
      <c r="F668" s="146"/>
      <c r="G668" s="146"/>
      <c r="H668" s="146"/>
      <c r="I668" s="146"/>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210"/>
      <c r="C669" s="131"/>
      <c r="D669" s="146"/>
      <c r="E669" s="146"/>
      <c r="F669" s="146"/>
      <c r="G669" s="146"/>
      <c r="H669" s="146"/>
      <c r="I669" s="146"/>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210"/>
      <c r="C670" s="131"/>
      <c r="D670" s="146"/>
      <c r="E670" s="146"/>
      <c r="F670" s="146"/>
      <c r="G670" s="146"/>
      <c r="H670" s="146"/>
      <c r="I670" s="146"/>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210"/>
      <c r="C671" s="131"/>
      <c r="D671" s="146"/>
      <c r="E671" s="146"/>
      <c r="F671" s="146"/>
      <c r="G671" s="146"/>
      <c r="H671" s="146"/>
      <c r="I671" s="146"/>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210"/>
      <c r="C672" s="131"/>
      <c r="D672" s="146"/>
      <c r="E672" s="146"/>
      <c r="F672" s="146"/>
      <c r="G672" s="146"/>
      <c r="H672" s="146"/>
      <c r="I672" s="146"/>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210"/>
      <c r="C673" s="131"/>
      <c r="D673" s="146"/>
      <c r="E673" s="146"/>
      <c r="F673" s="146"/>
      <c r="G673" s="146"/>
      <c r="H673" s="146"/>
      <c r="I673" s="146"/>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210"/>
      <c r="C674" s="131"/>
      <c r="D674" s="146"/>
      <c r="E674" s="146"/>
      <c r="F674" s="146"/>
      <c r="G674" s="146"/>
      <c r="H674" s="146"/>
      <c r="I674" s="146"/>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210"/>
      <c r="C675" s="131"/>
      <c r="D675" s="146"/>
      <c r="E675" s="146"/>
      <c r="F675" s="146"/>
      <c r="G675" s="146"/>
      <c r="H675" s="146"/>
      <c r="I675" s="146"/>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210"/>
      <c r="C676" s="131"/>
      <c r="D676" s="146"/>
      <c r="E676" s="146"/>
      <c r="F676" s="146"/>
      <c r="G676" s="146"/>
      <c r="H676" s="146"/>
      <c r="I676" s="146"/>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210"/>
      <c r="C677" s="131"/>
      <c r="D677" s="146"/>
      <c r="E677" s="146"/>
      <c r="F677" s="146"/>
      <c r="G677" s="146"/>
      <c r="H677" s="146"/>
      <c r="I677" s="146"/>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210"/>
      <c r="C678" s="131"/>
      <c r="D678" s="146"/>
      <c r="E678" s="146"/>
      <c r="F678" s="146"/>
      <c r="G678" s="146"/>
      <c r="H678" s="146"/>
      <c r="I678" s="146"/>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210"/>
      <c r="C679" s="131"/>
      <c r="D679" s="146"/>
      <c r="E679" s="146"/>
      <c r="F679" s="146"/>
      <c r="G679" s="146"/>
      <c r="H679" s="146"/>
      <c r="I679" s="146"/>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210"/>
      <c r="C680" s="131"/>
      <c r="D680" s="146"/>
      <c r="E680" s="146"/>
      <c r="F680" s="146"/>
      <c r="G680" s="146"/>
      <c r="H680" s="146"/>
      <c r="I680" s="146"/>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210"/>
      <c r="C681" s="131"/>
      <c r="D681" s="146"/>
      <c r="E681" s="146"/>
      <c r="F681" s="146"/>
      <c r="G681" s="146"/>
      <c r="H681" s="146"/>
      <c r="I681" s="146"/>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210"/>
      <c r="C682" s="131"/>
      <c r="D682" s="146"/>
      <c r="E682" s="146"/>
      <c r="F682" s="146"/>
      <c r="G682" s="146"/>
      <c r="H682" s="146"/>
      <c r="I682" s="146"/>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210"/>
      <c r="C683" s="131"/>
      <c r="D683" s="146"/>
      <c r="E683" s="146"/>
      <c r="F683" s="146"/>
      <c r="G683" s="146"/>
      <c r="H683" s="146"/>
      <c r="I683" s="146"/>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210"/>
      <c r="C684" s="131"/>
      <c r="D684" s="146"/>
      <c r="E684" s="146"/>
      <c r="F684" s="146"/>
      <c r="G684" s="146"/>
      <c r="H684" s="146"/>
      <c r="I684" s="146"/>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210"/>
      <c r="C685" s="131"/>
      <c r="D685" s="146"/>
      <c r="E685" s="146"/>
      <c r="F685" s="146"/>
      <c r="G685" s="146"/>
      <c r="H685" s="146"/>
      <c r="I685" s="146"/>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210"/>
      <c r="C686" s="131"/>
      <c r="D686" s="146"/>
      <c r="E686" s="146"/>
      <c r="F686" s="146"/>
      <c r="G686" s="146"/>
      <c r="H686" s="146"/>
      <c r="I686" s="146"/>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210"/>
      <c r="C687" s="131"/>
      <c r="D687" s="146"/>
      <c r="E687" s="146"/>
      <c r="F687" s="146"/>
      <c r="G687" s="146"/>
      <c r="H687" s="146"/>
      <c r="I687" s="146"/>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210"/>
      <c r="C688" s="131"/>
      <c r="D688" s="146"/>
      <c r="E688" s="146"/>
      <c r="F688" s="146"/>
      <c r="G688" s="146"/>
      <c r="H688" s="146"/>
      <c r="I688" s="146"/>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210"/>
      <c r="C689" s="131"/>
      <c r="D689" s="146"/>
      <c r="E689" s="146"/>
      <c r="F689" s="146"/>
      <c r="G689" s="146"/>
      <c r="H689" s="146"/>
      <c r="I689" s="146"/>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210"/>
      <c r="C690" s="131"/>
      <c r="D690" s="146"/>
      <c r="E690" s="146"/>
      <c r="F690" s="146"/>
      <c r="G690" s="146"/>
      <c r="H690" s="146"/>
      <c r="I690" s="146"/>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210"/>
      <c r="C691" s="131"/>
      <c r="D691" s="146"/>
      <c r="E691" s="146"/>
      <c r="F691" s="146"/>
      <c r="G691" s="146"/>
      <c r="H691" s="146"/>
      <c r="I691" s="146"/>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210"/>
      <c r="C692" s="131"/>
      <c r="D692" s="146"/>
      <c r="E692" s="146"/>
      <c r="F692" s="146"/>
      <c r="G692" s="146"/>
      <c r="H692" s="146"/>
      <c r="I692" s="146"/>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210"/>
      <c r="C693" s="131"/>
      <c r="D693" s="146"/>
      <c r="E693" s="146"/>
      <c r="F693" s="146"/>
      <c r="G693" s="146"/>
      <c r="H693" s="146"/>
      <c r="I693" s="146"/>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210"/>
      <c r="C694" s="131"/>
      <c r="D694" s="146"/>
      <c r="E694" s="146"/>
      <c r="F694" s="146"/>
      <c r="G694" s="146"/>
      <c r="H694" s="146"/>
      <c r="I694" s="146"/>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210"/>
      <c r="C695" s="131"/>
      <c r="D695" s="146"/>
      <c r="E695" s="146"/>
      <c r="F695" s="146"/>
      <c r="G695" s="146"/>
      <c r="H695" s="146"/>
      <c r="I695" s="146"/>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210"/>
      <c r="C696" s="131"/>
      <c r="D696" s="146"/>
      <c r="E696" s="146"/>
      <c r="F696" s="146"/>
      <c r="G696" s="146"/>
      <c r="H696" s="146"/>
      <c r="I696" s="146"/>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210"/>
      <c r="C697" s="131"/>
      <c r="D697" s="146"/>
      <c r="E697" s="146"/>
      <c r="F697" s="146"/>
      <c r="G697" s="146"/>
      <c r="H697" s="146"/>
      <c r="I697" s="146"/>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210"/>
      <c r="C698" s="131"/>
      <c r="D698" s="146"/>
      <c r="E698" s="146"/>
      <c r="F698" s="146"/>
      <c r="G698" s="146"/>
      <c r="H698" s="146"/>
      <c r="I698" s="146"/>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210"/>
      <c r="C699" s="131"/>
      <c r="D699" s="146"/>
      <c r="E699" s="146"/>
      <c r="F699" s="146"/>
      <c r="G699" s="146"/>
      <c r="H699" s="146"/>
      <c r="I699" s="146"/>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210"/>
      <c r="C700" s="131"/>
      <c r="D700" s="146"/>
      <c r="E700" s="146"/>
      <c r="F700" s="146"/>
      <c r="G700" s="146"/>
      <c r="H700" s="146"/>
      <c r="I700" s="146"/>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210"/>
      <c r="C701" s="131"/>
      <c r="D701" s="146"/>
      <c r="E701" s="146"/>
      <c r="F701" s="146"/>
      <c r="G701" s="146"/>
      <c r="H701" s="146"/>
      <c r="I701" s="146"/>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210"/>
      <c r="C702" s="131"/>
      <c r="D702" s="146"/>
      <c r="E702" s="146"/>
      <c r="F702" s="146"/>
      <c r="G702" s="146"/>
      <c r="H702" s="146"/>
      <c r="I702" s="146"/>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210"/>
      <c r="C703" s="131"/>
      <c r="D703" s="146"/>
      <c r="E703" s="146"/>
      <c r="F703" s="146"/>
      <c r="G703" s="146"/>
      <c r="H703" s="146"/>
      <c r="I703" s="146"/>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210"/>
      <c r="C704" s="131"/>
      <c r="D704" s="146"/>
      <c r="E704" s="146"/>
      <c r="F704" s="146"/>
      <c r="G704" s="146"/>
      <c r="H704" s="146"/>
      <c r="I704" s="146"/>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210"/>
      <c r="C705" s="131"/>
      <c r="D705" s="146"/>
      <c r="E705" s="146"/>
      <c r="F705" s="146"/>
      <c r="G705" s="146"/>
      <c r="H705" s="146"/>
      <c r="I705" s="146"/>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210"/>
      <c r="C706" s="131"/>
      <c r="D706" s="146"/>
      <c r="E706" s="146"/>
      <c r="F706" s="146"/>
      <c r="G706" s="146"/>
      <c r="H706" s="146"/>
      <c r="I706" s="146"/>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210"/>
      <c r="C707" s="131"/>
      <c r="D707" s="146"/>
      <c r="E707" s="146"/>
      <c r="F707" s="146"/>
      <c r="G707" s="146"/>
      <c r="H707" s="146"/>
      <c r="I707" s="146"/>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210"/>
      <c r="C708" s="131"/>
      <c r="D708" s="146"/>
      <c r="E708" s="146"/>
      <c r="F708" s="146"/>
      <c r="G708" s="146"/>
      <c r="H708" s="146"/>
      <c r="I708" s="146"/>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210"/>
      <c r="C709" s="131"/>
      <c r="D709" s="146"/>
      <c r="E709" s="146"/>
      <c r="F709" s="146"/>
      <c r="G709" s="146"/>
      <c r="H709" s="146"/>
      <c r="I709" s="146"/>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210"/>
      <c r="C710" s="131"/>
      <c r="D710" s="146"/>
      <c r="E710" s="146"/>
      <c r="F710" s="146"/>
      <c r="G710" s="146"/>
      <c r="H710" s="146"/>
      <c r="I710" s="146"/>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210"/>
      <c r="C711" s="131"/>
      <c r="D711" s="146"/>
      <c r="E711" s="146"/>
      <c r="F711" s="146"/>
      <c r="G711" s="146"/>
      <c r="H711" s="146"/>
      <c r="I711" s="146"/>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210"/>
      <c r="C712" s="131"/>
      <c r="D712" s="146"/>
      <c r="E712" s="146"/>
      <c r="F712" s="146"/>
      <c r="G712" s="146"/>
      <c r="H712" s="146"/>
      <c r="I712" s="146"/>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210"/>
      <c r="C713" s="131"/>
      <c r="D713" s="146"/>
      <c r="E713" s="146"/>
      <c r="F713" s="146"/>
      <c r="G713" s="146"/>
      <c r="H713" s="146"/>
      <c r="I713" s="146"/>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210"/>
      <c r="C714" s="131"/>
      <c r="D714" s="146"/>
      <c r="E714" s="146"/>
      <c r="F714" s="146"/>
      <c r="G714" s="146"/>
      <c r="H714" s="146"/>
      <c r="I714" s="146"/>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210"/>
      <c r="C715" s="131"/>
      <c r="D715" s="146"/>
      <c r="E715" s="146"/>
      <c r="F715" s="146"/>
      <c r="G715" s="146"/>
      <c r="H715" s="146"/>
      <c r="I715" s="146"/>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210"/>
      <c r="C716" s="131"/>
      <c r="D716" s="146"/>
      <c r="E716" s="146"/>
      <c r="F716" s="146"/>
      <c r="G716" s="146"/>
      <c r="H716" s="146"/>
      <c r="I716" s="146"/>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210"/>
      <c r="C717" s="131"/>
      <c r="D717" s="146"/>
      <c r="E717" s="146"/>
      <c r="F717" s="146"/>
      <c r="G717" s="146"/>
      <c r="H717" s="146"/>
      <c r="I717" s="146"/>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210"/>
      <c r="C718" s="131"/>
      <c r="D718" s="146"/>
      <c r="E718" s="146"/>
      <c r="F718" s="146"/>
      <c r="G718" s="146"/>
      <c r="H718" s="146"/>
      <c r="I718" s="146"/>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210"/>
      <c r="C719" s="131"/>
      <c r="D719" s="146"/>
      <c r="E719" s="146"/>
      <c r="F719" s="146"/>
      <c r="G719" s="146"/>
      <c r="H719" s="146"/>
      <c r="I719" s="146"/>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210"/>
      <c r="C720" s="131"/>
      <c r="D720" s="146"/>
      <c r="E720" s="146"/>
      <c r="F720" s="146"/>
      <c r="G720" s="146"/>
      <c r="H720" s="146"/>
      <c r="I720" s="146"/>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210"/>
      <c r="C721" s="131"/>
      <c r="D721" s="146"/>
      <c r="E721" s="146"/>
      <c r="F721" s="146"/>
      <c r="G721" s="146"/>
      <c r="H721" s="146"/>
      <c r="I721" s="146"/>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210"/>
      <c r="C722" s="131"/>
      <c r="D722" s="146"/>
      <c r="E722" s="146"/>
      <c r="F722" s="146"/>
      <c r="G722" s="146"/>
      <c r="H722" s="146"/>
      <c r="I722" s="146"/>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210"/>
      <c r="C723" s="131"/>
      <c r="D723" s="146"/>
      <c r="E723" s="146"/>
      <c r="F723" s="146"/>
      <c r="G723" s="146"/>
      <c r="H723" s="146"/>
      <c r="I723" s="146"/>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210"/>
      <c r="C724" s="131"/>
      <c r="D724" s="146"/>
      <c r="E724" s="146"/>
      <c r="F724" s="146"/>
      <c r="G724" s="146"/>
      <c r="H724" s="146"/>
      <c r="I724" s="146"/>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210"/>
      <c r="C725" s="131"/>
      <c r="D725" s="146"/>
      <c r="E725" s="146"/>
      <c r="F725" s="146"/>
      <c r="G725" s="146"/>
      <c r="H725" s="146"/>
      <c r="I725" s="146"/>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210"/>
      <c r="C726" s="131"/>
      <c r="D726" s="146"/>
      <c r="E726" s="146"/>
      <c r="F726" s="146"/>
      <c r="G726" s="146"/>
      <c r="H726" s="146"/>
      <c r="I726" s="146"/>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210"/>
      <c r="C727" s="131"/>
      <c r="D727" s="146"/>
      <c r="E727" s="146"/>
      <c r="F727" s="146"/>
      <c r="G727" s="146"/>
      <c r="H727" s="146"/>
      <c r="I727" s="146"/>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210"/>
      <c r="C728" s="131"/>
      <c r="D728" s="146"/>
      <c r="E728" s="146"/>
      <c r="F728" s="146"/>
      <c r="G728" s="146"/>
      <c r="H728" s="146"/>
      <c r="I728" s="146"/>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210"/>
      <c r="C729" s="131"/>
      <c r="D729" s="146"/>
      <c r="E729" s="146"/>
      <c r="F729" s="146"/>
      <c r="G729" s="146"/>
      <c r="H729" s="146"/>
      <c r="I729" s="146"/>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210"/>
      <c r="C730" s="131"/>
      <c r="D730" s="146"/>
      <c r="E730" s="146"/>
      <c r="F730" s="146"/>
      <c r="G730" s="146"/>
      <c r="H730" s="146"/>
      <c r="I730" s="146"/>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210"/>
      <c r="C731" s="131"/>
      <c r="D731" s="146"/>
      <c r="E731" s="146"/>
      <c r="F731" s="146"/>
      <c r="G731" s="146"/>
      <c r="H731" s="146"/>
      <c r="I731" s="146"/>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210"/>
      <c r="C732" s="131"/>
      <c r="D732" s="146"/>
      <c r="E732" s="146"/>
      <c r="F732" s="146"/>
      <c r="G732" s="146"/>
      <c r="H732" s="146"/>
      <c r="I732" s="146"/>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210"/>
      <c r="C733" s="131"/>
      <c r="D733" s="146"/>
      <c r="E733" s="146"/>
      <c r="F733" s="146"/>
      <c r="G733" s="146"/>
      <c r="H733" s="146"/>
      <c r="I733" s="146"/>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210"/>
      <c r="C734" s="131"/>
      <c r="D734" s="146"/>
      <c r="E734" s="146"/>
      <c r="F734" s="146"/>
      <c r="G734" s="146"/>
      <c r="H734" s="146"/>
      <c r="I734" s="146"/>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210"/>
      <c r="C735" s="131"/>
      <c r="D735" s="146"/>
      <c r="E735" s="146"/>
      <c r="F735" s="146"/>
      <c r="G735" s="146"/>
      <c r="H735" s="146"/>
      <c r="I735" s="146"/>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210"/>
      <c r="C736" s="131"/>
      <c r="D736" s="146"/>
      <c r="E736" s="146"/>
      <c r="F736" s="146"/>
      <c r="G736" s="146"/>
      <c r="H736" s="146"/>
      <c r="I736" s="146"/>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210"/>
      <c r="C737" s="131"/>
      <c r="D737" s="146"/>
      <c r="E737" s="146"/>
      <c r="F737" s="146"/>
      <c r="G737" s="146"/>
      <c r="H737" s="146"/>
      <c r="I737" s="146"/>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210"/>
      <c r="C738" s="131"/>
      <c r="D738" s="146"/>
      <c r="E738" s="146"/>
      <c r="F738" s="146"/>
      <c r="G738" s="146"/>
      <c r="H738" s="146"/>
      <c r="I738" s="146"/>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210"/>
      <c r="C739" s="131"/>
      <c r="D739" s="146"/>
      <c r="E739" s="146"/>
      <c r="F739" s="146"/>
      <c r="G739" s="146"/>
      <c r="H739" s="146"/>
      <c r="I739" s="146"/>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210"/>
      <c r="C740" s="131"/>
      <c r="D740" s="146"/>
      <c r="E740" s="146"/>
      <c r="F740" s="146"/>
      <c r="G740" s="146"/>
      <c r="H740" s="146"/>
      <c r="I740" s="146"/>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210"/>
      <c r="C741" s="131"/>
      <c r="D741" s="146"/>
      <c r="E741" s="146"/>
      <c r="F741" s="146"/>
      <c r="G741" s="146"/>
      <c r="H741" s="146"/>
      <c r="I741" s="146"/>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210"/>
      <c r="C742" s="131"/>
      <c r="D742" s="146"/>
      <c r="E742" s="146"/>
      <c r="F742" s="146"/>
      <c r="G742" s="146"/>
      <c r="H742" s="146"/>
      <c r="I742" s="146"/>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210"/>
      <c r="C743" s="131"/>
      <c r="D743" s="146"/>
      <c r="E743" s="146"/>
      <c r="F743" s="146"/>
      <c r="G743" s="146"/>
      <c r="H743" s="146"/>
      <c r="I743" s="146"/>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210"/>
      <c r="C744" s="131"/>
      <c r="D744" s="146"/>
      <c r="E744" s="146"/>
      <c r="F744" s="146"/>
      <c r="G744" s="146"/>
      <c r="H744" s="146"/>
      <c r="I744" s="146"/>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210"/>
      <c r="C745" s="131"/>
      <c r="D745" s="146"/>
      <c r="E745" s="146"/>
      <c r="F745" s="146"/>
      <c r="G745" s="146"/>
      <c r="H745" s="146"/>
      <c r="I745" s="146"/>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210"/>
      <c r="C746" s="131"/>
      <c r="D746" s="146"/>
      <c r="E746" s="146"/>
      <c r="F746" s="146"/>
      <c r="G746" s="146"/>
      <c r="H746" s="146"/>
      <c r="I746" s="146"/>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210"/>
      <c r="C747" s="131"/>
      <c r="D747" s="146"/>
      <c r="E747" s="146"/>
      <c r="F747" s="146"/>
      <c r="G747" s="146"/>
      <c r="H747" s="146"/>
      <c r="I747" s="146"/>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210"/>
      <c r="C748" s="131"/>
      <c r="D748" s="146"/>
      <c r="E748" s="146"/>
      <c r="F748" s="146"/>
      <c r="G748" s="146"/>
      <c r="H748" s="146"/>
      <c r="I748" s="146"/>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210"/>
      <c r="C749" s="131"/>
      <c r="D749" s="146"/>
      <c r="E749" s="146"/>
      <c r="F749" s="146"/>
      <c r="G749" s="146"/>
      <c r="H749" s="146"/>
      <c r="I749" s="146"/>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210"/>
      <c r="C750" s="131"/>
      <c r="D750" s="146"/>
      <c r="E750" s="146"/>
      <c r="F750" s="146"/>
      <c r="G750" s="146"/>
      <c r="H750" s="146"/>
      <c r="I750" s="146"/>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210"/>
      <c r="C751" s="131"/>
      <c r="D751" s="146"/>
      <c r="E751" s="146"/>
      <c r="F751" s="146"/>
      <c r="G751" s="146"/>
      <c r="H751" s="146"/>
      <c r="I751" s="146"/>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210"/>
      <c r="C752" s="131"/>
      <c r="D752" s="146"/>
      <c r="E752" s="146"/>
      <c r="F752" s="146"/>
      <c r="G752" s="146"/>
      <c r="H752" s="146"/>
      <c r="I752" s="146"/>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210"/>
      <c r="C753" s="131"/>
      <c r="D753" s="146"/>
      <c r="E753" s="146"/>
      <c r="F753" s="146"/>
      <c r="G753" s="146"/>
      <c r="H753" s="146"/>
      <c r="I753" s="146"/>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210"/>
      <c r="C754" s="131"/>
      <c r="D754" s="146"/>
      <c r="E754" s="146"/>
      <c r="F754" s="146"/>
      <c r="G754" s="146"/>
      <c r="H754" s="146"/>
      <c r="I754" s="146"/>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210"/>
      <c r="C755" s="131"/>
      <c r="D755" s="146"/>
      <c r="E755" s="146"/>
      <c r="F755" s="146"/>
      <c r="G755" s="146"/>
      <c r="H755" s="146"/>
      <c r="I755" s="146"/>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210"/>
      <c r="C756" s="131"/>
      <c r="D756" s="146"/>
      <c r="E756" s="146"/>
      <c r="F756" s="146"/>
      <c r="G756" s="146"/>
      <c r="H756" s="146"/>
      <c r="I756" s="146"/>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210"/>
      <c r="C757" s="131"/>
      <c r="D757" s="146"/>
      <c r="E757" s="146"/>
      <c r="F757" s="146"/>
      <c r="G757" s="146"/>
      <c r="H757" s="146"/>
      <c r="I757" s="146"/>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210"/>
      <c r="C758" s="131"/>
      <c r="D758" s="146"/>
      <c r="E758" s="146"/>
      <c r="F758" s="146"/>
      <c r="G758" s="146"/>
      <c r="H758" s="146"/>
      <c r="I758" s="146"/>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210"/>
      <c r="C759" s="131"/>
      <c r="D759" s="146"/>
      <c r="E759" s="146"/>
      <c r="F759" s="146"/>
      <c r="G759" s="146"/>
      <c r="H759" s="146"/>
      <c r="I759" s="146"/>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210"/>
      <c r="C760" s="131"/>
      <c r="D760" s="146"/>
      <c r="E760" s="146"/>
      <c r="F760" s="146"/>
      <c r="G760" s="146"/>
      <c r="H760" s="146"/>
      <c r="I760" s="146"/>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210"/>
      <c r="C761" s="131"/>
      <c r="D761" s="146"/>
      <c r="E761" s="146"/>
      <c r="F761" s="146"/>
      <c r="G761" s="146"/>
      <c r="H761" s="146"/>
      <c r="I761" s="146"/>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210"/>
      <c r="C762" s="131"/>
      <c r="D762" s="146"/>
      <c r="E762" s="146"/>
      <c r="F762" s="146"/>
      <c r="G762" s="146"/>
      <c r="H762" s="146"/>
      <c r="I762" s="146"/>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210"/>
      <c r="C763" s="131"/>
      <c r="D763" s="146"/>
      <c r="E763" s="146"/>
      <c r="F763" s="146"/>
      <c r="G763" s="146"/>
      <c r="H763" s="146"/>
      <c r="I763" s="146"/>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210"/>
      <c r="C764" s="131"/>
      <c r="D764" s="146"/>
      <c r="E764" s="146"/>
      <c r="F764" s="146"/>
      <c r="G764" s="146"/>
      <c r="H764" s="146"/>
      <c r="I764" s="146"/>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210"/>
      <c r="C765" s="131"/>
      <c r="D765" s="146"/>
      <c r="E765" s="146"/>
      <c r="F765" s="146"/>
      <c r="G765" s="146"/>
      <c r="H765" s="146"/>
      <c r="I765" s="146"/>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210"/>
      <c r="C766" s="131"/>
      <c r="D766" s="146"/>
      <c r="E766" s="146"/>
      <c r="F766" s="146"/>
      <c r="G766" s="146"/>
      <c r="H766" s="146"/>
      <c r="I766" s="146"/>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210"/>
      <c r="C767" s="131"/>
      <c r="D767" s="146"/>
      <c r="E767" s="146"/>
      <c r="F767" s="146"/>
      <c r="G767" s="146"/>
      <c r="H767" s="146"/>
      <c r="I767" s="146"/>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210"/>
      <c r="C768" s="131"/>
      <c r="D768" s="146"/>
      <c r="E768" s="146"/>
      <c r="F768" s="146"/>
      <c r="G768" s="146"/>
      <c r="H768" s="146"/>
      <c r="I768" s="146"/>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210"/>
      <c r="C769" s="131"/>
      <c r="D769" s="146"/>
      <c r="E769" s="146"/>
      <c r="F769" s="146"/>
      <c r="G769" s="146"/>
      <c r="H769" s="146"/>
      <c r="I769" s="146"/>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210"/>
      <c r="C770" s="131"/>
      <c r="D770" s="146"/>
      <c r="E770" s="146"/>
      <c r="F770" s="146"/>
      <c r="G770" s="146"/>
      <c r="H770" s="146"/>
      <c r="I770" s="146"/>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210"/>
      <c r="C771" s="131"/>
      <c r="D771" s="146"/>
      <c r="E771" s="146"/>
      <c r="F771" s="146"/>
      <c r="G771" s="146"/>
      <c r="H771" s="146"/>
      <c r="I771" s="146"/>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210"/>
      <c r="C772" s="131"/>
      <c r="D772" s="146"/>
      <c r="E772" s="146"/>
      <c r="F772" s="146"/>
      <c r="G772" s="146"/>
      <c r="H772" s="146"/>
      <c r="I772" s="146"/>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210"/>
      <c r="C773" s="131"/>
      <c r="D773" s="146"/>
      <c r="E773" s="146"/>
      <c r="F773" s="146"/>
      <c r="G773" s="146"/>
      <c r="H773" s="146"/>
      <c r="I773" s="146"/>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210"/>
      <c r="C774" s="131"/>
      <c r="D774" s="146"/>
      <c r="E774" s="146"/>
      <c r="F774" s="146"/>
      <c r="G774" s="146"/>
      <c r="H774" s="146"/>
      <c r="I774" s="146"/>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210"/>
      <c r="C775" s="131"/>
      <c r="D775" s="146"/>
      <c r="E775" s="146"/>
      <c r="F775" s="146"/>
      <c r="G775" s="146"/>
      <c r="H775" s="146"/>
      <c r="I775" s="146"/>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210"/>
      <c r="C776" s="131"/>
      <c r="D776" s="146"/>
      <c r="E776" s="146"/>
      <c r="F776" s="146"/>
      <c r="G776" s="146"/>
      <c r="H776" s="146"/>
      <c r="I776" s="146"/>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210"/>
      <c r="C777" s="131"/>
      <c r="D777" s="146"/>
      <c r="E777" s="146"/>
      <c r="F777" s="146"/>
      <c r="G777" s="146"/>
      <c r="H777" s="146"/>
      <c r="I777" s="146"/>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210"/>
      <c r="C778" s="131"/>
      <c r="D778" s="146"/>
      <c r="E778" s="146"/>
      <c r="F778" s="146"/>
      <c r="G778" s="146"/>
      <c r="H778" s="146"/>
      <c r="I778" s="146"/>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210"/>
      <c r="C779" s="131"/>
      <c r="D779" s="146"/>
      <c r="E779" s="146"/>
      <c r="F779" s="146"/>
      <c r="G779" s="146"/>
      <c r="H779" s="146"/>
      <c r="I779" s="146"/>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210"/>
      <c r="C780" s="131"/>
      <c r="D780" s="146"/>
      <c r="E780" s="146"/>
      <c r="F780" s="146"/>
      <c r="G780" s="146"/>
      <c r="H780" s="146"/>
      <c r="I780" s="146"/>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210"/>
      <c r="C781" s="131"/>
      <c r="D781" s="146"/>
      <c r="E781" s="146"/>
      <c r="F781" s="146"/>
      <c r="G781" s="146"/>
      <c r="H781" s="146"/>
      <c r="I781" s="146"/>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210"/>
      <c r="C782" s="131"/>
      <c r="D782" s="146"/>
      <c r="E782" s="146"/>
      <c r="F782" s="146"/>
      <c r="G782" s="146"/>
      <c r="H782" s="146"/>
      <c r="I782" s="146"/>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210"/>
      <c r="C783" s="131"/>
      <c r="D783" s="146"/>
      <c r="E783" s="146"/>
      <c r="F783" s="146"/>
      <c r="G783" s="146"/>
      <c r="H783" s="146"/>
      <c r="I783" s="146"/>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210"/>
      <c r="C784" s="131"/>
      <c r="D784" s="146"/>
      <c r="E784" s="146"/>
      <c r="F784" s="146"/>
      <c r="G784" s="146"/>
      <c r="H784" s="146"/>
      <c r="I784" s="146"/>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210"/>
      <c r="C785" s="131"/>
      <c r="D785" s="146"/>
      <c r="E785" s="146"/>
      <c r="F785" s="146"/>
      <c r="G785" s="146"/>
      <c r="H785" s="146"/>
      <c r="I785" s="146"/>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210"/>
      <c r="C786" s="131"/>
      <c r="D786" s="146"/>
      <c r="E786" s="146"/>
      <c r="F786" s="146"/>
      <c r="G786" s="146"/>
      <c r="H786" s="146"/>
      <c r="I786" s="146"/>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210"/>
      <c r="C787" s="131"/>
      <c r="D787" s="146"/>
      <c r="E787" s="146"/>
      <c r="F787" s="146"/>
      <c r="G787" s="146"/>
      <c r="H787" s="146"/>
      <c r="I787" s="146"/>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210"/>
      <c r="C788" s="131"/>
      <c r="D788" s="146"/>
      <c r="E788" s="146"/>
      <c r="F788" s="146"/>
      <c r="G788" s="146"/>
      <c r="H788" s="146"/>
      <c r="I788" s="146"/>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210"/>
      <c r="C789" s="131"/>
      <c r="D789" s="146"/>
      <c r="E789" s="146"/>
      <c r="F789" s="146"/>
      <c r="G789" s="146"/>
      <c r="H789" s="146"/>
      <c r="I789" s="146"/>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210"/>
      <c r="C790" s="131"/>
      <c r="D790" s="146"/>
      <c r="E790" s="146"/>
      <c r="F790" s="146"/>
      <c r="G790" s="146"/>
      <c r="H790" s="146"/>
      <c r="I790" s="146"/>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210"/>
      <c r="C791" s="131"/>
      <c r="D791" s="146"/>
      <c r="E791" s="146"/>
      <c r="F791" s="146"/>
      <c r="G791" s="146"/>
      <c r="H791" s="146"/>
      <c r="I791" s="146"/>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210"/>
      <c r="C792" s="131"/>
      <c r="D792" s="146"/>
      <c r="E792" s="146"/>
      <c r="F792" s="146"/>
      <c r="G792" s="146"/>
      <c r="H792" s="146"/>
      <c r="I792" s="146"/>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210"/>
      <c r="C793" s="131"/>
      <c r="D793" s="146"/>
      <c r="E793" s="146"/>
      <c r="F793" s="146"/>
      <c r="G793" s="146"/>
      <c r="H793" s="146"/>
      <c r="I793" s="146"/>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210"/>
      <c r="C794" s="131"/>
      <c r="D794" s="146"/>
      <c r="E794" s="146"/>
      <c r="F794" s="146"/>
      <c r="G794" s="146"/>
      <c r="H794" s="146"/>
      <c r="I794" s="146"/>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210"/>
      <c r="C795" s="131"/>
      <c r="D795" s="146"/>
      <c r="E795" s="146"/>
      <c r="F795" s="146"/>
      <c r="G795" s="146"/>
      <c r="H795" s="146"/>
      <c r="I795" s="146"/>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210"/>
      <c r="C796" s="131"/>
      <c r="D796" s="146"/>
      <c r="E796" s="146"/>
      <c r="F796" s="146"/>
      <c r="G796" s="146"/>
      <c r="H796" s="146"/>
      <c r="I796" s="146"/>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210"/>
      <c r="C797" s="131"/>
      <c r="D797" s="146"/>
      <c r="E797" s="146"/>
      <c r="F797" s="146"/>
      <c r="G797" s="146"/>
      <c r="H797" s="146"/>
      <c r="I797" s="146"/>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210"/>
      <c r="C798" s="131"/>
      <c r="D798" s="146"/>
      <c r="E798" s="146"/>
      <c r="F798" s="146"/>
      <c r="G798" s="146"/>
      <c r="H798" s="146"/>
      <c r="I798" s="146"/>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210"/>
      <c r="C799" s="131"/>
      <c r="D799" s="146"/>
      <c r="E799" s="146"/>
      <c r="F799" s="146"/>
      <c r="G799" s="146"/>
      <c r="H799" s="146"/>
      <c r="I799" s="146"/>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210"/>
      <c r="C800" s="131"/>
      <c r="D800" s="146"/>
      <c r="E800" s="146"/>
      <c r="F800" s="146"/>
      <c r="G800" s="146"/>
      <c r="H800" s="146"/>
      <c r="I800" s="146"/>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210"/>
      <c r="C801" s="131"/>
      <c r="D801" s="146"/>
      <c r="E801" s="146"/>
      <c r="F801" s="146"/>
      <c r="G801" s="146"/>
      <c r="H801" s="146"/>
      <c r="I801" s="146"/>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210"/>
      <c r="C802" s="131"/>
      <c r="D802" s="146"/>
      <c r="E802" s="146"/>
      <c r="F802" s="146"/>
      <c r="G802" s="146"/>
      <c r="H802" s="146"/>
      <c r="I802" s="146"/>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210"/>
      <c r="C803" s="131"/>
      <c r="D803" s="146"/>
      <c r="E803" s="146"/>
      <c r="F803" s="146"/>
      <c r="G803" s="146"/>
      <c r="H803" s="146"/>
      <c r="I803" s="146"/>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210"/>
      <c r="C804" s="131"/>
      <c r="D804" s="146"/>
      <c r="E804" s="146"/>
      <c r="F804" s="146"/>
      <c r="G804" s="146"/>
      <c r="H804" s="146"/>
      <c r="I804" s="146"/>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210"/>
      <c r="C805" s="131"/>
      <c r="D805" s="146"/>
      <c r="E805" s="146"/>
      <c r="F805" s="146"/>
      <c r="G805" s="146"/>
      <c r="H805" s="146"/>
      <c r="I805" s="146"/>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210"/>
      <c r="C806" s="131"/>
      <c r="D806" s="146"/>
      <c r="E806" s="146"/>
      <c r="F806" s="146"/>
      <c r="G806" s="146"/>
      <c r="H806" s="146"/>
      <c r="I806" s="146"/>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210"/>
      <c r="C807" s="131"/>
      <c r="D807" s="146"/>
      <c r="E807" s="146"/>
      <c r="F807" s="146"/>
      <c r="G807" s="146"/>
      <c r="H807" s="146"/>
      <c r="I807" s="146"/>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210"/>
      <c r="C808" s="131"/>
      <c r="D808" s="146"/>
      <c r="E808" s="146"/>
      <c r="F808" s="146"/>
      <c r="G808" s="146"/>
      <c r="H808" s="146"/>
      <c r="I808" s="146"/>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210"/>
      <c r="C809" s="131"/>
      <c r="D809" s="146"/>
      <c r="E809" s="146"/>
      <c r="F809" s="146"/>
      <c r="G809" s="146"/>
      <c r="H809" s="146"/>
      <c r="I809" s="146"/>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210"/>
      <c r="C810" s="131"/>
      <c r="D810" s="146"/>
      <c r="E810" s="146"/>
      <c r="F810" s="146"/>
      <c r="G810" s="146"/>
      <c r="H810" s="146"/>
      <c r="I810" s="146"/>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210"/>
      <c r="C811" s="131"/>
      <c r="D811" s="146"/>
      <c r="E811" s="146"/>
      <c r="F811" s="146"/>
      <c r="G811" s="146"/>
      <c r="H811" s="146"/>
      <c r="I811" s="146"/>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210"/>
      <c r="C812" s="131"/>
      <c r="D812" s="146"/>
      <c r="E812" s="146"/>
      <c r="F812" s="146"/>
      <c r="G812" s="146"/>
      <c r="H812" s="146"/>
      <c r="I812" s="146"/>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210"/>
      <c r="C813" s="131"/>
      <c r="D813" s="146"/>
      <c r="E813" s="146"/>
      <c r="F813" s="146"/>
      <c r="G813" s="146"/>
      <c r="H813" s="146"/>
      <c r="I813" s="146"/>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210"/>
      <c r="C814" s="131"/>
      <c r="D814" s="146"/>
      <c r="E814" s="146"/>
      <c r="F814" s="146"/>
      <c r="G814" s="146"/>
      <c r="H814" s="146"/>
      <c r="I814" s="146"/>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210"/>
      <c r="C815" s="131"/>
      <c r="D815" s="146"/>
      <c r="E815" s="146"/>
      <c r="F815" s="146"/>
      <c r="G815" s="146"/>
      <c r="H815" s="146"/>
      <c r="I815" s="146"/>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210"/>
      <c r="C816" s="131"/>
      <c r="D816" s="146"/>
      <c r="E816" s="146"/>
      <c r="F816" s="146"/>
      <c r="G816" s="146"/>
      <c r="H816" s="146"/>
      <c r="I816" s="146"/>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210"/>
      <c r="C817" s="131"/>
      <c r="D817" s="146"/>
      <c r="E817" s="146"/>
      <c r="F817" s="146"/>
      <c r="G817" s="146"/>
      <c r="H817" s="146"/>
      <c r="I817" s="146"/>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210"/>
      <c r="C818" s="131"/>
      <c r="D818" s="146"/>
      <c r="E818" s="146"/>
      <c r="F818" s="146"/>
      <c r="G818" s="146"/>
      <c r="H818" s="146"/>
      <c r="I818" s="146"/>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210"/>
      <c r="C819" s="131"/>
      <c r="D819" s="146"/>
      <c r="E819" s="146"/>
      <c r="F819" s="146"/>
      <c r="G819" s="146"/>
      <c r="H819" s="146"/>
      <c r="I819" s="146"/>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210"/>
      <c r="C820" s="131"/>
      <c r="D820" s="146"/>
      <c r="E820" s="146"/>
      <c r="F820" s="146"/>
      <c r="G820" s="146"/>
      <c r="H820" s="146"/>
      <c r="I820" s="146"/>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210"/>
      <c r="C821" s="131"/>
      <c r="D821" s="146"/>
      <c r="E821" s="146"/>
      <c r="F821" s="146"/>
      <c r="G821" s="146"/>
      <c r="H821" s="146"/>
      <c r="I821" s="146"/>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210"/>
      <c r="C822" s="131"/>
      <c r="D822" s="146"/>
      <c r="E822" s="146"/>
      <c r="F822" s="146"/>
      <c r="G822" s="146"/>
      <c r="H822" s="146"/>
      <c r="I822" s="146"/>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210"/>
      <c r="C823" s="131"/>
      <c r="D823" s="146"/>
      <c r="E823" s="146"/>
      <c r="F823" s="146"/>
      <c r="G823" s="146"/>
      <c r="H823" s="146"/>
      <c r="I823" s="146"/>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210"/>
      <c r="C824" s="131"/>
      <c r="D824" s="146"/>
      <c r="E824" s="146"/>
      <c r="F824" s="146"/>
      <c r="G824" s="146"/>
      <c r="H824" s="146"/>
      <c r="I824" s="146"/>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210"/>
      <c r="C825" s="131"/>
      <c r="D825" s="146"/>
      <c r="E825" s="146"/>
      <c r="F825" s="146"/>
      <c r="G825" s="146"/>
      <c r="H825" s="146"/>
      <c r="I825" s="146"/>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210"/>
      <c r="C826" s="131"/>
      <c r="D826" s="146"/>
      <c r="E826" s="146"/>
      <c r="F826" s="146"/>
      <c r="G826" s="146"/>
      <c r="H826" s="146"/>
      <c r="I826" s="146"/>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210"/>
      <c r="C827" s="131"/>
      <c r="D827" s="146"/>
      <c r="E827" s="146"/>
      <c r="F827" s="146"/>
      <c r="G827" s="146"/>
      <c r="H827" s="146"/>
      <c r="I827" s="146"/>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210"/>
      <c r="C828" s="131"/>
      <c r="D828" s="146"/>
      <c r="E828" s="146"/>
      <c r="F828" s="146"/>
      <c r="G828" s="146"/>
      <c r="H828" s="146"/>
      <c r="I828" s="146"/>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210"/>
      <c r="C829" s="131"/>
      <c r="D829" s="146"/>
      <c r="E829" s="146"/>
      <c r="F829" s="146"/>
      <c r="G829" s="146"/>
      <c r="H829" s="146"/>
      <c r="I829" s="146"/>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210"/>
      <c r="C830" s="131"/>
      <c r="D830" s="146"/>
      <c r="E830" s="146"/>
      <c r="F830" s="146"/>
      <c r="G830" s="146"/>
      <c r="H830" s="146"/>
      <c r="I830" s="146"/>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210"/>
      <c r="C831" s="131"/>
      <c r="D831" s="146"/>
      <c r="E831" s="146"/>
      <c r="F831" s="146"/>
      <c r="G831" s="146"/>
      <c r="H831" s="146"/>
      <c r="I831" s="146"/>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210"/>
      <c r="C832" s="131"/>
      <c r="D832" s="146"/>
      <c r="E832" s="146"/>
      <c r="F832" s="146"/>
      <c r="G832" s="146"/>
      <c r="H832" s="146"/>
      <c r="I832" s="146"/>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210"/>
      <c r="C833" s="131"/>
      <c r="D833" s="146"/>
      <c r="E833" s="146"/>
      <c r="F833" s="146"/>
      <c r="G833" s="146"/>
      <c r="H833" s="146"/>
      <c r="I833" s="146"/>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210"/>
      <c r="C834" s="131"/>
      <c r="D834" s="146"/>
      <c r="E834" s="146"/>
      <c r="F834" s="146"/>
      <c r="G834" s="146"/>
      <c r="H834" s="146"/>
      <c r="I834" s="146"/>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210"/>
      <c r="C835" s="131"/>
      <c r="D835" s="146"/>
      <c r="E835" s="146"/>
      <c r="F835" s="146"/>
      <c r="G835" s="146"/>
      <c r="H835" s="146"/>
      <c r="I835" s="146"/>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210"/>
      <c r="C836" s="131"/>
      <c r="D836" s="146"/>
      <c r="E836" s="146"/>
      <c r="F836" s="146"/>
      <c r="G836" s="146"/>
      <c r="H836" s="146"/>
      <c r="I836" s="146"/>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210"/>
      <c r="C837" s="131"/>
      <c r="D837" s="146"/>
      <c r="E837" s="146"/>
      <c r="F837" s="146"/>
      <c r="G837" s="146"/>
      <c r="H837" s="146"/>
      <c r="I837" s="146"/>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210"/>
      <c r="C838" s="131"/>
      <c r="D838" s="146"/>
      <c r="E838" s="146"/>
      <c r="F838" s="146"/>
      <c r="G838" s="146"/>
      <c r="H838" s="146"/>
      <c r="I838" s="146"/>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210"/>
      <c r="C839" s="131"/>
      <c r="D839" s="146"/>
      <c r="E839" s="146"/>
      <c r="F839" s="146"/>
      <c r="G839" s="146"/>
      <c r="H839" s="146"/>
      <c r="I839" s="146"/>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210"/>
      <c r="C840" s="131"/>
      <c r="D840" s="146"/>
      <c r="E840" s="146"/>
      <c r="F840" s="146"/>
      <c r="G840" s="146"/>
      <c r="H840" s="146"/>
      <c r="I840" s="146"/>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210"/>
      <c r="C841" s="131"/>
      <c r="D841" s="146"/>
      <c r="E841" s="146"/>
      <c r="F841" s="146"/>
      <c r="G841" s="146"/>
      <c r="H841" s="146"/>
      <c r="I841" s="146"/>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210"/>
      <c r="C842" s="131"/>
      <c r="D842" s="146"/>
      <c r="E842" s="146"/>
      <c r="F842" s="146"/>
      <c r="G842" s="146"/>
      <c r="H842" s="146"/>
      <c r="I842" s="146"/>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210"/>
      <c r="C843" s="131"/>
      <c r="D843" s="146"/>
      <c r="E843" s="146"/>
      <c r="F843" s="146"/>
      <c r="G843" s="146"/>
      <c r="H843" s="146"/>
      <c r="I843" s="146"/>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210"/>
      <c r="C844" s="131"/>
      <c r="D844" s="146"/>
      <c r="E844" s="146"/>
      <c r="F844" s="146"/>
      <c r="G844" s="146"/>
      <c r="H844" s="146"/>
      <c r="I844" s="146"/>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210"/>
      <c r="C845" s="131"/>
      <c r="D845" s="146"/>
      <c r="E845" s="146"/>
      <c r="F845" s="146"/>
      <c r="G845" s="146"/>
      <c r="H845" s="146"/>
      <c r="I845" s="146"/>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210"/>
      <c r="C846" s="131"/>
      <c r="D846" s="146"/>
      <c r="E846" s="146"/>
      <c r="F846" s="146"/>
      <c r="G846" s="146"/>
      <c r="H846" s="146"/>
      <c r="I846" s="146"/>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210"/>
      <c r="C847" s="131"/>
      <c r="D847" s="146"/>
      <c r="E847" s="146"/>
      <c r="F847" s="146"/>
      <c r="G847" s="146"/>
      <c r="H847" s="146"/>
      <c r="I847" s="146"/>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210"/>
      <c r="C848" s="131"/>
      <c r="D848" s="146"/>
      <c r="E848" s="146"/>
      <c r="F848" s="146"/>
      <c r="G848" s="146"/>
      <c r="H848" s="146"/>
      <c r="I848" s="146"/>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210"/>
      <c r="C849" s="131"/>
      <c r="D849" s="146"/>
      <c r="E849" s="146"/>
      <c r="F849" s="146"/>
      <c r="G849" s="146"/>
      <c r="H849" s="146"/>
      <c r="I849" s="146"/>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210"/>
      <c r="C850" s="131"/>
      <c r="D850" s="146"/>
      <c r="E850" s="146"/>
      <c r="F850" s="146"/>
      <c r="G850" s="146"/>
      <c r="H850" s="146"/>
      <c r="I850" s="146"/>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210"/>
      <c r="C851" s="131"/>
      <c r="D851" s="146"/>
      <c r="E851" s="146"/>
      <c r="F851" s="146"/>
      <c r="G851" s="146"/>
      <c r="H851" s="146"/>
      <c r="I851" s="146"/>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210"/>
      <c r="C852" s="131"/>
      <c r="D852" s="146"/>
      <c r="E852" s="146"/>
      <c r="F852" s="146"/>
      <c r="G852" s="146"/>
      <c r="H852" s="146"/>
      <c r="I852" s="146"/>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210"/>
      <c r="C853" s="131"/>
      <c r="D853" s="146"/>
      <c r="E853" s="146"/>
      <c r="F853" s="146"/>
      <c r="G853" s="146"/>
      <c r="H853" s="146"/>
      <c r="I853" s="146"/>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210"/>
      <c r="C854" s="131"/>
      <c r="D854" s="146"/>
      <c r="E854" s="146"/>
      <c r="F854" s="146"/>
      <c r="G854" s="146"/>
      <c r="H854" s="146"/>
      <c r="I854" s="146"/>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210"/>
      <c r="C855" s="131"/>
      <c r="D855" s="146"/>
      <c r="E855" s="146"/>
      <c r="F855" s="146"/>
      <c r="G855" s="146"/>
      <c r="H855" s="146"/>
      <c r="I855" s="146"/>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210"/>
      <c r="C856" s="131"/>
      <c r="D856" s="146"/>
      <c r="E856" s="146"/>
      <c r="F856" s="146"/>
      <c r="G856" s="146"/>
      <c r="H856" s="146"/>
      <c r="I856" s="146"/>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210"/>
      <c r="C857" s="131"/>
      <c r="D857" s="146"/>
      <c r="E857" s="146"/>
      <c r="F857" s="146"/>
      <c r="G857" s="146"/>
      <c r="H857" s="146"/>
      <c r="I857" s="146"/>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210"/>
      <c r="C858" s="131"/>
      <c r="D858" s="146"/>
      <c r="E858" s="146"/>
      <c r="F858" s="146"/>
      <c r="G858" s="146"/>
      <c r="H858" s="146"/>
      <c r="I858" s="146"/>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210"/>
      <c r="C859" s="131"/>
      <c r="D859" s="146"/>
      <c r="E859" s="146"/>
      <c r="F859" s="146"/>
      <c r="G859" s="146"/>
      <c r="H859" s="146"/>
      <c r="I859" s="146"/>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210"/>
      <c r="C860" s="131"/>
      <c r="D860" s="146"/>
      <c r="E860" s="146"/>
      <c r="F860" s="146"/>
      <c r="G860" s="146"/>
      <c r="H860" s="146"/>
      <c r="I860" s="146"/>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210"/>
      <c r="C861" s="131"/>
      <c r="D861" s="146"/>
      <c r="E861" s="146"/>
      <c r="F861" s="146"/>
      <c r="G861" s="146"/>
      <c r="H861" s="146"/>
      <c r="I861" s="146"/>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210"/>
      <c r="C862" s="131"/>
      <c r="D862" s="146"/>
      <c r="E862" s="146"/>
      <c r="F862" s="146"/>
      <c r="G862" s="146"/>
      <c r="H862" s="146"/>
      <c r="I862" s="146"/>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210"/>
      <c r="C863" s="131"/>
      <c r="D863" s="146"/>
      <c r="E863" s="146"/>
      <c r="F863" s="146"/>
      <c r="G863" s="146"/>
      <c r="H863" s="146"/>
      <c r="I863" s="146"/>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210"/>
      <c r="C864" s="131"/>
      <c r="D864" s="146"/>
      <c r="E864" s="146"/>
      <c r="F864" s="146"/>
      <c r="G864" s="146"/>
      <c r="H864" s="146"/>
      <c r="I864" s="146"/>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210"/>
      <c r="C865" s="131"/>
      <c r="D865" s="146"/>
      <c r="E865" s="146"/>
      <c r="F865" s="146"/>
      <c r="G865" s="146"/>
      <c r="H865" s="146"/>
      <c r="I865" s="146"/>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210"/>
      <c r="C866" s="131"/>
      <c r="D866" s="146"/>
      <c r="E866" s="146"/>
      <c r="F866" s="146"/>
      <c r="G866" s="146"/>
      <c r="H866" s="146"/>
      <c r="I866" s="146"/>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210"/>
      <c r="C867" s="131"/>
      <c r="D867" s="146"/>
      <c r="E867" s="146"/>
      <c r="F867" s="146"/>
      <c r="G867" s="146"/>
      <c r="H867" s="146"/>
      <c r="I867" s="146"/>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210"/>
      <c r="C868" s="131"/>
      <c r="D868" s="146"/>
      <c r="E868" s="146"/>
      <c r="F868" s="146"/>
      <c r="G868" s="146"/>
      <c r="H868" s="146"/>
      <c r="I868" s="146"/>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210"/>
      <c r="C869" s="131"/>
      <c r="D869" s="146"/>
      <c r="E869" s="146"/>
      <c r="F869" s="146"/>
      <c r="G869" s="146"/>
      <c r="H869" s="146"/>
      <c r="I869" s="146"/>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210"/>
      <c r="C870" s="131"/>
      <c r="D870" s="146"/>
      <c r="E870" s="146"/>
      <c r="F870" s="146"/>
      <c r="G870" s="146"/>
      <c r="H870" s="146"/>
      <c r="I870" s="146"/>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210"/>
      <c r="C871" s="131"/>
      <c r="D871" s="146"/>
      <c r="E871" s="146"/>
      <c r="F871" s="146"/>
      <c r="G871" s="146"/>
      <c r="H871" s="146"/>
      <c r="I871" s="146"/>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210"/>
      <c r="C872" s="131"/>
      <c r="D872" s="146"/>
      <c r="E872" s="146"/>
      <c r="F872" s="146"/>
      <c r="G872" s="146"/>
      <c r="H872" s="146"/>
      <c r="I872" s="146"/>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210"/>
      <c r="C873" s="131"/>
      <c r="D873" s="146"/>
      <c r="E873" s="146"/>
      <c r="F873" s="146"/>
      <c r="G873" s="146"/>
      <c r="H873" s="146"/>
      <c r="I873" s="146"/>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210"/>
      <c r="C874" s="131"/>
      <c r="D874" s="146"/>
      <c r="E874" s="146"/>
      <c r="F874" s="146"/>
      <c r="G874" s="146"/>
      <c r="H874" s="146"/>
      <c r="I874" s="146"/>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210"/>
      <c r="C875" s="131"/>
      <c r="D875" s="146"/>
      <c r="E875" s="146"/>
      <c r="F875" s="146"/>
      <c r="G875" s="146"/>
      <c r="H875" s="146"/>
      <c r="I875" s="146"/>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210"/>
      <c r="C876" s="131"/>
      <c r="D876" s="146"/>
      <c r="E876" s="146"/>
      <c r="F876" s="146"/>
      <c r="G876" s="146"/>
      <c r="H876" s="146"/>
      <c r="I876" s="146"/>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210"/>
      <c r="C877" s="131"/>
      <c r="D877" s="146"/>
      <c r="E877" s="146"/>
      <c r="F877" s="146"/>
      <c r="G877" s="146"/>
      <c r="H877" s="146"/>
      <c r="I877" s="146"/>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210"/>
      <c r="C878" s="131"/>
      <c r="D878" s="146"/>
      <c r="E878" s="146"/>
      <c r="F878" s="146"/>
      <c r="G878" s="146"/>
      <c r="H878" s="146"/>
      <c r="I878" s="146"/>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210"/>
      <c r="C879" s="131"/>
      <c r="D879" s="146"/>
      <c r="E879" s="146"/>
      <c r="F879" s="146"/>
      <c r="G879" s="146"/>
      <c r="H879" s="146"/>
      <c r="I879" s="146"/>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210"/>
      <c r="C880" s="131"/>
      <c r="D880" s="146"/>
      <c r="E880" s="146"/>
      <c r="F880" s="146"/>
      <c r="G880" s="146"/>
      <c r="H880" s="146"/>
      <c r="I880" s="146"/>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210"/>
      <c r="C881" s="131"/>
      <c r="D881" s="146"/>
      <c r="E881" s="146"/>
      <c r="F881" s="146"/>
      <c r="G881" s="146"/>
      <c r="H881" s="146"/>
      <c r="I881" s="146"/>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210"/>
      <c r="C882" s="131"/>
      <c r="D882" s="146"/>
      <c r="E882" s="146"/>
      <c r="F882" s="146"/>
      <c r="G882" s="146"/>
      <c r="H882" s="146"/>
      <c r="I882" s="146"/>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210"/>
      <c r="C883" s="131"/>
      <c r="D883" s="146"/>
      <c r="E883" s="146"/>
      <c r="F883" s="146"/>
      <c r="G883" s="146"/>
      <c r="H883" s="146"/>
      <c r="I883" s="146"/>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210"/>
      <c r="C884" s="131"/>
      <c r="D884" s="146"/>
      <c r="E884" s="146"/>
      <c r="F884" s="146"/>
      <c r="G884" s="146"/>
      <c r="H884" s="146"/>
      <c r="I884" s="146"/>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210"/>
      <c r="C885" s="131"/>
      <c r="D885" s="146"/>
      <c r="E885" s="146"/>
      <c r="F885" s="146"/>
      <c r="G885" s="146"/>
      <c r="H885" s="146"/>
      <c r="I885" s="146"/>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210"/>
      <c r="C886" s="131"/>
      <c r="D886" s="146"/>
      <c r="E886" s="146"/>
      <c r="F886" s="146"/>
      <c r="G886" s="146"/>
      <c r="H886" s="146"/>
      <c r="I886" s="146"/>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210"/>
      <c r="C887" s="131"/>
      <c r="D887" s="146"/>
      <c r="E887" s="146"/>
      <c r="F887" s="146"/>
      <c r="G887" s="146"/>
      <c r="H887" s="146"/>
      <c r="I887" s="146"/>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210"/>
      <c r="C888" s="131"/>
      <c r="D888" s="146"/>
      <c r="E888" s="146"/>
      <c r="F888" s="146"/>
      <c r="G888" s="146"/>
      <c r="H888" s="146"/>
      <c r="I888" s="146"/>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210"/>
      <c r="C889" s="131"/>
      <c r="D889" s="146"/>
      <c r="E889" s="146"/>
      <c r="F889" s="146"/>
      <c r="G889" s="146"/>
      <c r="H889" s="146"/>
      <c r="I889" s="146"/>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210"/>
      <c r="C890" s="131"/>
      <c r="D890" s="146"/>
      <c r="E890" s="146"/>
      <c r="F890" s="146"/>
      <c r="G890" s="146"/>
      <c r="H890" s="146"/>
      <c r="I890" s="146"/>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210"/>
      <c r="C891" s="131"/>
      <c r="D891" s="146"/>
      <c r="E891" s="146"/>
      <c r="F891" s="146"/>
      <c r="G891" s="146"/>
      <c r="H891" s="146"/>
      <c r="I891" s="146"/>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210"/>
      <c r="C892" s="131"/>
      <c r="D892" s="146"/>
      <c r="E892" s="146"/>
      <c r="F892" s="146"/>
      <c r="G892" s="146"/>
      <c r="H892" s="146"/>
      <c r="I892" s="146"/>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210"/>
      <c r="C893" s="131"/>
      <c r="D893" s="146"/>
      <c r="E893" s="146"/>
      <c r="F893" s="146"/>
      <c r="G893" s="146"/>
      <c r="H893" s="146"/>
      <c r="I893" s="146"/>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210"/>
      <c r="C894" s="131"/>
      <c r="D894" s="146"/>
      <c r="E894" s="146"/>
      <c r="F894" s="146"/>
      <c r="G894" s="146"/>
      <c r="H894" s="146"/>
      <c r="I894" s="146"/>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210"/>
      <c r="C895" s="131"/>
      <c r="D895" s="146"/>
      <c r="E895" s="146"/>
      <c r="F895" s="146"/>
      <c r="G895" s="146"/>
      <c r="H895" s="146"/>
      <c r="I895" s="146"/>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210"/>
      <c r="C896" s="131"/>
      <c r="D896" s="146"/>
      <c r="E896" s="146"/>
      <c r="F896" s="146"/>
      <c r="G896" s="146"/>
      <c r="H896" s="146"/>
      <c r="I896" s="146"/>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210"/>
      <c r="C897" s="131"/>
      <c r="D897" s="146"/>
      <c r="E897" s="146"/>
      <c r="F897" s="146"/>
      <c r="G897" s="146"/>
      <c r="H897" s="146"/>
      <c r="I897" s="146"/>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210"/>
      <c r="C898" s="131"/>
      <c r="D898" s="146"/>
      <c r="E898" s="146"/>
      <c r="F898" s="146"/>
      <c r="G898" s="146"/>
      <c r="H898" s="146"/>
      <c r="I898" s="146"/>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210"/>
      <c r="C899" s="131"/>
      <c r="D899" s="146"/>
      <c r="E899" s="146"/>
      <c r="F899" s="146"/>
      <c r="G899" s="146"/>
      <c r="H899" s="146"/>
      <c r="I899" s="146"/>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210"/>
      <c r="C900" s="131"/>
      <c r="D900" s="146"/>
      <c r="E900" s="146"/>
      <c r="F900" s="146"/>
      <c r="G900" s="146"/>
      <c r="H900" s="146"/>
      <c r="I900" s="146"/>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210"/>
      <c r="C901" s="131"/>
      <c r="D901" s="146"/>
      <c r="E901" s="146"/>
      <c r="F901" s="146"/>
      <c r="G901" s="146"/>
      <c r="H901" s="146"/>
      <c r="I901" s="146"/>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210"/>
      <c r="C902" s="131"/>
      <c r="D902" s="146"/>
      <c r="E902" s="146"/>
      <c r="F902" s="146"/>
      <c r="G902" s="146"/>
      <c r="H902" s="146"/>
      <c r="I902" s="146"/>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210"/>
      <c r="C903" s="131"/>
      <c r="D903" s="146"/>
      <c r="E903" s="146"/>
      <c r="F903" s="146"/>
      <c r="G903" s="146"/>
      <c r="H903" s="146"/>
      <c r="I903" s="146"/>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210"/>
      <c r="C904" s="131"/>
      <c r="D904" s="146"/>
      <c r="E904" s="146"/>
      <c r="F904" s="146"/>
      <c r="G904" s="146"/>
      <c r="H904" s="146"/>
      <c r="I904" s="146"/>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210"/>
      <c r="C905" s="131"/>
      <c r="D905" s="146"/>
      <c r="E905" s="146"/>
      <c r="F905" s="146"/>
      <c r="G905" s="146"/>
      <c r="H905" s="146"/>
      <c r="I905" s="146"/>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210"/>
      <c r="C906" s="131"/>
      <c r="D906" s="146"/>
      <c r="E906" s="146"/>
      <c r="F906" s="146"/>
      <c r="G906" s="146"/>
      <c r="H906" s="146"/>
      <c r="I906" s="146"/>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210"/>
      <c r="C907" s="131"/>
      <c r="D907" s="146"/>
      <c r="E907" s="146"/>
      <c r="F907" s="146"/>
      <c r="G907" s="146"/>
      <c r="H907" s="146"/>
      <c r="I907" s="146"/>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210"/>
      <c r="C908" s="131"/>
      <c r="D908" s="146"/>
      <c r="E908" s="146"/>
      <c r="F908" s="146"/>
      <c r="G908" s="146"/>
      <c r="H908" s="146"/>
      <c r="I908" s="146"/>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210"/>
      <c r="C909" s="131"/>
      <c r="D909" s="146"/>
      <c r="E909" s="146"/>
      <c r="F909" s="146"/>
      <c r="G909" s="146"/>
      <c r="H909" s="146"/>
      <c r="I909" s="146"/>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210"/>
      <c r="C910" s="131"/>
      <c r="D910" s="146"/>
      <c r="E910" s="146"/>
      <c r="F910" s="146"/>
      <c r="G910" s="146"/>
      <c r="H910" s="146"/>
      <c r="I910" s="146"/>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210"/>
      <c r="C911" s="131"/>
      <c r="D911" s="146"/>
      <c r="E911" s="146"/>
      <c r="F911" s="146"/>
      <c r="G911" s="146"/>
      <c r="H911" s="146"/>
      <c r="I911" s="146"/>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210"/>
      <c r="C912" s="131"/>
      <c r="D912" s="146"/>
      <c r="E912" s="146"/>
      <c r="F912" s="146"/>
      <c r="G912" s="146"/>
      <c r="H912" s="146"/>
      <c r="I912" s="146"/>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210"/>
      <c r="C913" s="131"/>
      <c r="D913" s="146"/>
      <c r="E913" s="146"/>
      <c r="F913" s="146"/>
      <c r="G913" s="146"/>
      <c r="H913" s="146"/>
      <c r="I913" s="146"/>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210"/>
      <c r="C914" s="131"/>
      <c r="D914" s="146"/>
      <c r="E914" s="146"/>
      <c r="F914" s="146"/>
      <c r="G914" s="146"/>
      <c r="H914" s="146"/>
      <c r="I914" s="146"/>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210"/>
      <c r="C915" s="131"/>
      <c r="D915" s="146"/>
      <c r="E915" s="146"/>
      <c r="F915" s="146"/>
      <c r="G915" s="146"/>
      <c r="H915" s="146"/>
      <c r="I915" s="146"/>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210"/>
      <c r="C916" s="131"/>
      <c r="D916" s="146"/>
      <c r="E916" s="146"/>
      <c r="F916" s="146"/>
      <c r="G916" s="146"/>
      <c r="H916" s="146"/>
      <c r="I916" s="146"/>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210"/>
      <c r="C917" s="131"/>
      <c r="D917" s="146"/>
      <c r="E917" s="146"/>
      <c r="F917" s="146"/>
      <c r="G917" s="146"/>
      <c r="H917" s="146"/>
      <c r="I917" s="146"/>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210"/>
      <c r="C918" s="131"/>
      <c r="D918" s="146"/>
      <c r="E918" s="146"/>
      <c r="F918" s="146"/>
      <c r="G918" s="146"/>
      <c r="H918" s="146"/>
      <c r="I918" s="146"/>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210"/>
      <c r="C919" s="131"/>
      <c r="D919" s="146"/>
      <c r="E919" s="146"/>
      <c r="F919" s="146"/>
      <c r="G919" s="146"/>
      <c r="H919" s="146"/>
      <c r="I919" s="146"/>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210"/>
      <c r="C920" s="131"/>
      <c r="D920" s="146"/>
      <c r="E920" s="146"/>
      <c r="F920" s="146"/>
      <c r="G920" s="146"/>
      <c r="H920" s="146"/>
      <c r="I920" s="146"/>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210"/>
      <c r="C921" s="131"/>
      <c r="D921" s="146"/>
      <c r="E921" s="146"/>
      <c r="F921" s="146"/>
      <c r="G921" s="146"/>
      <c r="H921" s="146"/>
      <c r="I921" s="146"/>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210"/>
      <c r="C922" s="131"/>
      <c r="D922" s="146"/>
      <c r="E922" s="146"/>
      <c r="F922" s="146"/>
      <c r="G922" s="146"/>
      <c r="H922" s="146"/>
      <c r="I922" s="146"/>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210"/>
      <c r="C923" s="131"/>
      <c r="D923" s="146"/>
      <c r="E923" s="146"/>
      <c r="F923" s="146"/>
      <c r="G923" s="146"/>
      <c r="H923" s="146"/>
      <c r="I923" s="146"/>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210"/>
      <c r="C924" s="131"/>
      <c r="D924" s="146"/>
      <c r="E924" s="146"/>
      <c r="F924" s="146"/>
      <c r="G924" s="146"/>
      <c r="H924" s="146"/>
      <c r="I924" s="146"/>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210"/>
      <c r="C925" s="131"/>
      <c r="D925" s="146"/>
      <c r="E925" s="146"/>
      <c r="F925" s="146"/>
      <c r="G925" s="146"/>
      <c r="H925" s="146"/>
      <c r="I925" s="146"/>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210"/>
      <c r="C926" s="131"/>
      <c r="D926" s="146"/>
      <c r="E926" s="146"/>
      <c r="F926" s="146"/>
      <c r="G926" s="146"/>
      <c r="H926" s="146"/>
      <c r="I926" s="146"/>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210"/>
      <c r="C927" s="131"/>
      <c r="D927" s="146"/>
      <c r="E927" s="146"/>
      <c r="F927" s="146"/>
      <c r="G927" s="146"/>
      <c r="H927" s="146"/>
      <c r="I927" s="146"/>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210"/>
      <c r="C928" s="131"/>
      <c r="D928" s="146"/>
      <c r="E928" s="146"/>
      <c r="F928" s="146"/>
      <c r="G928" s="146"/>
      <c r="H928" s="146"/>
      <c r="I928" s="146"/>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210"/>
      <c r="C929" s="131"/>
      <c r="D929" s="146"/>
      <c r="E929" s="146"/>
      <c r="F929" s="146"/>
      <c r="G929" s="146"/>
      <c r="H929" s="146"/>
      <c r="I929" s="146"/>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210"/>
      <c r="C930" s="131"/>
      <c r="D930" s="146"/>
      <c r="E930" s="146"/>
      <c r="F930" s="146"/>
      <c r="G930" s="146"/>
      <c r="H930" s="146"/>
      <c r="I930" s="146"/>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210"/>
      <c r="C931" s="131"/>
      <c r="D931" s="146"/>
      <c r="E931" s="146"/>
      <c r="F931" s="146"/>
      <c r="G931" s="146"/>
      <c r="H931" s="146"/>
      <c r="I931" s="146"/>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210"/>
      <c r="C932" s="131"/>
      <c r="D932" s="146"/>
      <c r="E932" s="146"/>
      <c r="F932" s="146"/>
      <c r="G932" s="146"/>
      <c r="H932" s="146"/>
      <c r="I932" s="146"/>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210"/>
      <c r="C933" s="131"/>
      <c r="D933" s="146"/>
      <c r="E933" s="146"/>
      <c r="F933" s="146"/>
      <c r="G933" s="146"/>
      <c r="H933" s="146"/>
      <c r="I933" s="146"/>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210"/>
      <c r="C934" s="131"/>
      <c r="D934" s="146"/>
      <c r="E934" s="146"/>
      <c r="F934" s="146"/>
      <c r="G934" s="146"/>
      <c r="H934" s="146"/>
      <c r="I934" s="146"/>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210"/>
      <c r="C935" s="131"/>
      <c r="D935" s="146"/>
      <c r="E935" s="146"/>
      <c r="F935" s="146"/>
      <c r="G935" s="146"/>
      <c r="H935" s="146"/>
      <c r="I935" s="146"/>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210"/>
      <c r="C936" s="131"/>
      <c r="D936" s="146"/>
      <c r="E936" s="146"/>
      <c r="F936" s="146"/>
      <c r="G936" s="146"/>
      <c r="H936" s="146"/>
      <c r="I936" s="146"/>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210"/>
      <c r="C937" s="131"/>
      <c r="D937" s="146"/>
      <c r="E937" s="146"/>
      <c r="F937" s="146"/>
      <c r="G937" s="146"/>
      <c r="H937" s="146"/>
      <c r="I937" s="146"/>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210"/>
      <c r="C938" s="131"/>
      <c r="D938" s="146"/>
      <c r="E938" s="146"/>
      <c r="F938" s="146"/>
      <c r="G938" s="146"/>
      <c r="H938" s="146"/>
      <c r="I938" s="146"/>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210"/>
      <c r="C939" s="131"/>
      <c r="D939" s="146"/>
      <c r="E939" s="146"/>
      <c r="F939" s="146"/>
      <c r="G939" s="146"/>
      <c r="H939" s="146"/>
      <c r="I939" s="146"/>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210"/>
      <c r="C940" s="131"/>
      <c r="D940" s="146"/>
      <c r="E940" s="146"/>
      <c r="F940" s="146"/>
      <c r="G940" s="146"/>
      <c r="H940" s="146"/>
      <c r="I940" s="146"/>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210"/>
      <c r="C941" s="131"/>
      <c r="D941" s="146"/>
      <c r="E941" s="146"/>
      <c r="F941" s="146"/>
      <c r="G941" s="146"/>
      <c r="H941" s="146"/>
      <c r="I941" s="146"/>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210"/>
      <c r="C942" s="131"/>
      <c r="D942" s="146"/>
      <c r="E942" s="146"/>
      <c r="F942" s="146"/>
      <c r="G942" s="146"/>
      <c r="H942" s="146"/>
      <c r="I942" s="146"/>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210"/>
      <c r="C943" s="131"/>
      <c r="D943" s="146"/>
      <c r="E943" s="146"/>
      <c r="F943" s="146"/>
      <c r="G943" s="146"/>
      <c r="H943" s="146"/>
      <c r="I943" s="146"/>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210"/>
      <c r="C944" s="131"/>
      <c r="D944" s="146"/>
      <c r="E944" s="146"/>
      <c r="F944" s="146"/>
      <c r="G944" s="146"/>
      <c r="H944" s="146"/>
      <c r="I944" s="146"/>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210"/>
      <c r="C945" s="131"/>
      <c r="D945" s="146"/>
      <c r="E945" s="146"/>
      <c r="F945" s="146"/>
      <c r="G945" s="146"/>
      <c r="H945" s="146"/>
      <c r="I945" s="146"/>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210"/>
      <c r="C946" s="131"/>
      <c r="D946" s="146"/>
      <c r="E946" s="146"/>
      <c r="F946" s="146"/>
      <c r="G946" s="146"/>
      <c r="H946" s="146"/>
      <c r="I946" s="146"/>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210"/>
      <c r="C947" s="131"/>
      <c r="D947" s="146"/>
      <c r="E947" s="146"/>
      <c r="F947" s="146"/>
      <c r="G947" s="146"/>
      <c r="H947" s="146"/>
      <c r="I947" s="146"/>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210"/>
      <c r="C948" s="131"/>
      <c r="D948" s="146"/>
      <c r="E948" s="146"/>
      <c r="F948" s="146"/>
      <c r="G948" s="146"/>
      <c r="H948" s="146"/>
      <c r="I948" s="146"/>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210"/>
      <c r="C949" s="131"/>
      <c r="D949" s="146"/>
      <c r="E949" s="146"/>
      <c r="F949" s="146"/>
      <c r="G949" s="146"/>
      <c r="H949" s="146"/>
      <c r="I949" s="146"/>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210"/>
      <c r="C950" s="131"/>
      <c r="D950" s="146"/>
      <c r="E950" s="146"/>
      <c r="F950" s="146"/>
      <c r="G950" s="146"/>
      <c r="H950" s="146"/>
      <c r="I950" s="146"/>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210"/>
      <c r="C951" s="131"/>
      <c r="D951" s="146"/>
      <c r="E951" s="146"/>
      <c r="F951" s="146"/>
      <c r="G951" s="146"/>
      <c r="H951" s="146"/>
      <c r="I951" s="146"/>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210"/>
      <c r="C952" s="131"/>
      <c r="D952" s="146"/>
      <c r="E952" s="146"/>
      <c r="F952" s="146"/>
      <c r="G952" s="146"/>
      <c r="H952" s="146"/>
      <c r="I952" s="146"/>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210"/>
      <c r="C953" s="131"/>
      <c r="D953" s="146"/>
      <c r="E953" s="146"/>
      <c r="F953" s="146"/>
      <c r="G953" s="146"/>
      <c r="H953" s="146"/>
      <c r="I953" s="146"/>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210"/>
      <c r="C954" s="131"/>
      <c r="D954" s="146"/>
      <c r="E954" s="146"/>
      <c r="F954" s="146"/>
      <c r="G954" s="146"/>
      <c r="H954" s="146"/>
      <c r="I954" s="146"/>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210"/>
      <c r="C955" s="131"/>
      <c r="D955" s="146"/>
      <c r="E955" s="146"/>
      <c r="F955" s="146"/>
      <c r="G955" s="146"/>
      <c r="H955" s="146"/>
      <c r="I955" s="146"/>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210"/>
      <c r="C956" s="131"/>
      <c r="D956" s="146"/>
      <c r="E956" s="146"/>
      <c r="F956" s="146"/>
      <c r="G956" s="146"/>
      <c r="H956" s="146"/>
      <c r="I956" s="146"/>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210"/>
      <c r="C957" s="131"/>
      <c r="D957" s="146"/>
      <c r="E957" s="146"/>
      <c r="F957" s="146"/>
      <c r="G957" s="146"/>
      <c r="H957" s="146"/>
      <c r="I957" s="146"/>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210"/>
      <c r="C958" s="131"/>
      <c r="D958" s="146"/>
      <c r="E958" s="146"/>
      <c r="F958" s="146"/>
      <c r="G958" s="146"/>
      <c r="H958" s="146"/>
      <c r="I958" s="146"/>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210"/>
      <c r="C959" s="131"/>
      <c r="D959" s="146"/>
      <c r="E959" s="146"/>
      <c r="F959" s="146"/>
      <c r="G959" s="146"/>
      <c r="H959" s="146"/>
      <c r="I959" s="146"/>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210"/>
      <c r="C960" s="131"/>
      <c r="D960" s="146"/>
      <c r="E960" s="146"/>
      <c r="F960" s="146"/>
      <c r="G960" s="146"/>
      <c r="H960" s="146"/>
      <c r="I960" s="146"/>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210"/>
      <c r="C961" s="131"/>
      <c r="D961" s="146"/>
      <c r="E961" s="146"/>
      <c r="F961" s="146"/>
      <c r="G961" s="146"/>
      <c r="H961" s="146"/>
      <c r="I961" s="146"/>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210"/>
      <c r="C962" s="131"/>
      <c r="D962" s="146"/>
      <c r="E962" s="146"/>
      <c r="F962" s="146"/>
      <c r="G962" s="146"/>
      <c r="H962" s="146"/>
      <c r="I962" s="146"/>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210"/>
      <c r="C963" s="131"/>
      <c r="D963" s="146"/>
      <c r="E963" s="146"/>
      <c r="F963" s="146"/>
      <c r="G963" s="146"/>
      <c r="H963" s="146"/>
      <c r="I963" s="146"/>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210"/>
      <c r="C964" s="131"/>
      <c r="D964" s="146"/>
      <c r="E964" s="146"/>
      <c r="F964" s="146"/>
      <c r="G964" s="146"/>
      <c r="H964" s="146"/>
      <c r="I964" s="146"/>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210"/>
      <c r="C965" s="131"/>
      <c r="D965" s="146"/>
      <c r="E965" s="146"/>
      <c r="F965" s="146"/>
      <c r="G965" s="146"/>
      <c r="H965" s="146"/>
      <c r="I965" s="146"/>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210"/>
      <c r="C966" s="131"/>
      <c r="D966" s="146"/>
      <c r="E966" s="146"/>
      <c r="F966" s="146"/>
      <c r="G966" s="146"/>
      <c r="H966" s="146"/>
      <c r="I966" s="146"/>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210"/>
      <c r="C967" s="131"/>
      <c r="D967" s="146"/>
      <c r="E967" s="146"/>
      <c r="F967" s="146"/>
      <c r="G967" s="146"/>
      <c r="H967" s="146"/>
      <c r="I967" s="146"/>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210"/>
      <c r="C968" s="131"/>
      <c r="D968" s="146"/>
      <c r="E968" s="146"/>
      <c r="F968" s="146"/>
      <c r="G968" s="146"/>
      <c r="H968" s="146"/>
      <c r="I968" s="146"/>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210"/>
      <c r="C969" s="131"/>
      <c r="D969" s="146"/>
      <c r="E969" s="146"/>
      <c r="F969" s="146"/>
      <c r="G969" s="146"/>
      <c r="H969" s="146"/>
      <c r="I969" s="146"/>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210"/>
      <c r="C970" s="131"/>
      <c r="D970" s="146"/>
      <c r="E970" s="146"/>
      <c r="F970" s="146"/>
      <c r="G970" s="146"/>
      <c r="H970" s="146"/>
      <c r="I970" s="146"/>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210"/>
      <c r="C971" s="131"/>
      <c r="D971" s="146"/>
      <c r="E971" s="146"/>
      <c r="F971" s="146"/>
      <c r="G971" s="146"/>
      <c r="H971" s="146"/>
      <c r="I971" s="146"/>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210"/>
      <c r="C972" s="131"/>
      <c r="D972" s="146"/>
      <c r="E972" s="146"/>
      <c r="F972" s="146"/>
      <c r="G972" s="146"/>
      <c r="H972" s="146"/>
      <c r="I972" s="146"/>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210"/>
      <c r="C973" s="131"/>
      <c r="D973" s="146"/>
      <c r="E973" s="146"/>
      <c r="F973" s="146"/>
      <c r="G973" s="146"/>
      <c r="H973" s="146"/>
      <c r="I973" s="146"/>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210"/>
      <c r="C974" s="131"/>
      <c r="D974" s="146"/>
      <c r="E974" s="146"/>
      <c r="F974" s="146"/>
      <c r="G974" s="146"/>
      <c r="H974" s="146"/>
      <c r="I974" s="146"/>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210"/>
      <c r="C975" s="131"/>
      <c r="D975" s="146"/>
      <c r="E975" s="146"/>
      <c r="F975" s="146"/>
      <c r="G975" s="146"/>
      <c r="H975" s="146"/>
      <c r="I975" s="146"/>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210"/>
      <c r="C976" s="131"/>
      <c r="D976" s="146"/>
      <c r="E976" s="146"/>
      <c r="F976" s="146"/>
      <c r="G976" s="146"/>
      <c r="H976" s="146"/>
      <c r="I976" s="146"/>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210"/>
      <c r="C977" s="131"/>
      <c r="D977" s="146"/>
      <c r="E977" s="146"/>
      <c r="F977" s="146"/>
      <c r="G977" s="146"/>
      <c r="H977" s="146"/>
      <c r="I977" s="146"/>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210"/>
      <c r="C978" s="131"/>
      <c r="D978" s="146"/>
      <c r="E978" s="146"/>
      <c r="F978" s="146"/>
      <c r="G978" s="146"/>
      <c r="H978" s="146"/>
      <c r="I978" s="146"/>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210"/>
      <c r="C979" s="131"/>
      <c r="D979" s="146"/>
      <c r="E979" s="146"/>
      <c r="F979" s="146"/>
      <c r="G979" s="146"/>
      <c r="H979" s="146"/>
      <c r="I979" s="146"/>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210"/>
      <c r="C980" s="131"/>
      <c r="D980" s="146"/>
      <c r="E980" s="146"/>
      <c r="F980" s="146"/>
      <c r="G980" s="146"/>
      <c r="H980" s="146"/>
      <c r="I980" s="146"/>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210"/>
      <c r="C981" s="131"/>
      <c r="D981" s="146"/>
      <c r="E981" s="146"/>
      <c r="F981" s="146"/>
      <c r="G981" s="146"/>
      <c r="H981" s="146"/>
      <c r="I981" s="146"/>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210"/>
      <c r="C982" s="131"/>
      <c r="D982" s="146"/>
      <c r="E982" s="146"/>
      <c r="F982" s="146"/>
      <c r="G982" s="146"/>
      <c r="H982" s="146"/>
      <c r="I982" s="146"/>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210"/>
      <c r="C983" s="131"/>
      <c r="D983" s="146"/>
      <c r="E983" s="146"/>
      <c r="F983" s="146"/>
      <c r="G983" s="146"/>
      <c r="H983" s="146"/>
      <c r="I983" s="146"/>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210"/>
      <c r="C984" s="131"/>
      <c r="D984" s="146"/>
      <c r="E984" s="146"/>
      <c r="F984" s="146"/>
      <c r="G984" s="146"/>
      <c r="H984" s="146"/>
      <c r="I984" s="146"/>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210"/>
      <c r="C985" s="131"/>
      <c r="D985" s="146"/>
      <c r="E985" s="146"/>
      <c r="F985" s="146"/>
      <c r="G985" s="146"/>
      <c r="H985" s="146"/>
      <c r="I985" s="146"/>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210"/>
      <c r="C986" s="131"/>
      <c r="D986" s="146"/>
      <c r="E986" s="146"/>
      <c r="F986" s="146"/>
      <c r="G986" s="146"/>
      <c r="H986" s="146"/>
      <c r="I986" s="146"/>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210"/>
      <c r="C987" s="131"/>
      <c r="D987" s="146"/>
      <c r="E987" s="146"/>
      <c r="F987" s="146"/>
      <c r="G987" s="146"/>
      <c r="H987" s="146"/>
      <c r="I987" s="146"/>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210"/>
      <c r="C988" s="131"/>
      <c r="D988" s="146"/>
      <c r="E988" s="146"/>
      <c r="F988" s="146"/>
      <c r="G988" s="146"/>
      <c r="H988" s="146"/>
      <c r="I988" s="146"/>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210"/>
      <c r="C989" s="131"/>
      <c r="D989" s="146"/>
      <c r="E989" s="146"/>
      <c r="F989" s="146"/>
      <c r="G989" s="146"/>
      <c r="H989" s="146"/>
      <c r="I989" s="146"/>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210"/>
      <c r="C990" s="131"/>
      <c r="D990" s="146"/>
      <c r="E990" s="146"/>
      <c r="F990" s="146"/>
      <c r="G990" s="146"/>
      <c r="H990" s="146"/>
      <c r="I990" s="146"/>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210"/>
      <c r="C991" s="131"/>
      <c r="D991" s="146"/>
      <c r="E991" s="146"/>
      <c r="F991" s="146"/>
      <c r="G991" s="146"/>
      <c r="H991" s="146"/>
      <c r="I991" s="146"/>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210"/>
      <c r="C992" s="131"/>
      <c r="D992" s="146"/>
      <c r="E992" s="146"/>
      <c r="F992" s="146"/>
      <c r="G992" s="146"/>
      <c r="H992" s="146"/>
      <c r="I992" s="146"/>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210"/>
      <c r="C993" s="131"/>
      <c r="D993" s="146"/>
      <c r="E993" s="146"/>
      <c r="F993" s="146"/>
      <c r="G993" s="146"/>
      <c r="H993" s="146"/>
      <c r="I993" s="146"/>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210"/>
      <c r="C994" s="131"/>
      <c r="D994" s="146"/>
      <c r="E994" s="146"/>
      <c r="F994" s="146"/>
      <c r="G994" s="146"/>
      <c r="H994" s="146"/>
      <c r="I994" s="146"/>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210"/>
      <c r="C995" s="131"/>
      <c r="D995" s="146"/>
      <c r="E995" s="146"/>
      <c r="F995" s="146"/>
      <c r="G995" s="146"/>
      <c r="H995" s="146"/>
      <c r="I995" s="146"/>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210"/>
      <c r="C996" s="131"/>
      <c r="D996" s="146"/>
      <c r="E996" s="146"/>
      <c r="F996" s="146"/>
      <c r="G996" s="146"/>
      <c r="H996" s="146"/>
      <c r="I996" s="146"/>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210"/>
      <c r="C997" s="131"/>
      <c r="D997" s="146"/>
      <c r="E997" s="146"/>
      <c r="F997" s="146"/>
      <c r="G997" s="146"/>
      <c r="H997" s="146"/>
      <c r="I997" s="146"/>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210"/>
      <c r="C998" s="131"/>
      <c r="D998" s="146"/>
      <c r="E998" s="146"/>
      <c r="F998" s="146"/>
      <c r="G998" s="146"/>
      <c r="H998" s="146"/>
      <c r="I998" s="146"/>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210"/>
      <c r="C999" s="131"/>
      <c r="D999" s="146"/>
      <c r="E999" s="146"/>
      <c r="F999" s="146"/>
      <c r="G999" s="146"/>
      <c r="H999" s="146"/>
      <c r="I999" s="146"/>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210"/>
      <c r="C1000" s="131"/>
      <c r="D1000" s="146"/>
      <c r="E1000" s="146"/>
      <c r="F1000" s="146"/>
      <c r="G1000" s="146"/>
      <c r="H1000" s="146"/>
      <c r="I1000" s="146"/>
      <c r="J1000" s="131"/>
      <c r="K1000" s="131"/>
      <c r="L1000" s="131"/>
      <c r="M1000" s="131"/>
      <c r="N1000" s="131"/>
      <c r="O1000" s="131"/>
      <c r="P1000" s="131"/>
      <c r="Q1000" s="131"/>
      <c r="R1000" s="131"/>
      <c r="S1000" s="131"/>
      <c r="T1000" s="131"/>
      <c r="U1000" s="131"/>
      <c r="V1000" s="131"/>
      <c r="W1000" s="131"/>
      <c r="X1000" s="131"/>
      <c r="Y1000" s="131"/>
      <c r="Z1000" s="131"/>
    </row>
  </sheetData>
  <mergeCells count="11">
    <mergeCell ref="C161:C162"/>
    <mergeCell ref="F161:H162"/>
    <mergeCell ref="C163:C164"/>
    <mergeCell ref="F163:H164"/>
    <mergeCell ref="B1:I1"/>
    <mergeCell ref="B2:I2"/>
    <mergeCell ref="B3:I3"/>
    <mergeCell ref="B4:I4"/>
    <mergeCell ref="B5:C6"/>
    <mergeCell ref="D5:H5"/>
    <mergeCell ref="I5:I6"/>
  </mergeCells>
  <dataValidations count="1">
    <dataValidation type="decimal" allowBlank="1" showErrorMessage="1" sqref="D9:E15 G9:H15 D17:E18 G17:H18 D20:E25 G20:H25 D27:E35 G27:H35 D37:E45 G37:H45 D47:E55 G47:H55 D57:E59 G57:H59 D61:E67 G61:H67 D71:E71 G71:H71 D73:E79 G73:H79 D83:E89 G83:H89 D91:E92 G91:H92 D94:E99 G94:H99 D101:E109 G101:H109 D111:E119 G111:H119 D121:E129 G121:H129 D131:E133 G131:H133 D135:E141 G135:H141 D145:E145 G145:H145 D147:E153 G147:H153">
      <formula1>-20000000000</formula1>
      <formula2>20000000000</formula2>
    </dataValidation>
  </dataValidations>
  <printOptions horizontalCentered="1"/>
  <pageMargins left="0.39370078740157483" right="0.39370078740157483" top="0.19685039370078741" bottom="0.70866141732283472" header="0" footer="0"/>
  <pageSetup scale="54" orientation="portrait"/>
  <headerFooter>
    <oddFooter>&amp;REstado Analítico del ejercicio del Presupuesto de Egresos detallado - LDF Clasificación por Objeto del Gasto (capítulo y concepto) Página &amp;P de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D8D8D8"/>
    <pageSetUpPr fitToPage="1"/>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926" t="str">
        <f>Validacion!A2</f>
        <v>Guadalajara</v>
      </c>
      <c r="B1" s="746"/>
      <c r="C1" s="746"/>
      <c r="D1" s="746"/>
      <c r="E1" s="746"/>
      <c r="F1" s="746"/>
      <c r="G1" s="746"/>
      <c r="H1" s="747"/>
      <c r="I1" s="126"/>
      <c r="J1" s="126"/>
      <c r="K1" s="126"/>
      <c r="L1" s="126"/>
      <c r="M1" s="126"/>
      <c r="N1" s="126"/>
      <c r="O1" s="126"/>
      <c r="P1" s="126"/>
      <c r="Q1" s="126"/>
      <c r="R1" s="126"/>
      <c r="S1" s="126"/>
      <c r="T1" s="126"/>
      <c r="U1" s="126"/>
      <c r="V1" s="126"/>
      <c r="W1" s="126"/>
      <c r="X1" s="126"/>
      <c r="Y1" s="126"/>
      <c r="Z1" s="126"/>
      <c r="AA1" s="126"/>
      <c r="AB1" s="126"/>
    </row>
    <row r="2" spans="1:28" ht="21">
      <c r="A2" s="775" t="s">
        <v>7410</v>
      </c>
      <c r="B2" s="749"/>
      <c r="C2" s="749"/>
      <c r="D2" s="749"/>
      <c r="E2" s="749"/>
      <c r="F2" s="749"/>
      <c r="G2" s="749"/>
      <c r="H2" s="750"/>
      <c r="I2" s="126"/>
      <c r="J2" s="126"/>
      <c r="K2" s="126"/>
      <c r="L2" s="126"/>
      <c r="M2" s="126"/>
      <c r="N2" s="126"/>
      <c r="O2" s="126"/>
      <c r="P2" s="126"/>
      <c r="Q2" s="126"/>
      <c r="R2" s="126"/>
      <c r="S2" s="126"/>
      <c r="T2" s="126"/>
      <c r="U2" s="126"/>
      <c r="V2" s="126"/>
      <c r="W2" s="126"/>
      <c r="X2" s="126"/>
      <c r="Y2" s="126"/>
      <c r="Z2" s="126"/>
      <c r="AA2" s="126"/>
      <c r="AB2" s="126"/>
    </row>
    <row r="3" spans="1:28" ht="18.75">
      <c r="A3" s="751" t="e">
        <f>'F6'!A3</f>
        <v>#REF!</v>
      </c>
      <c r="B3" s="749"/>
      <c r="C3" s="749"/>
      <c r="D3" s="749"/>
      <c r="E3" s="749"/>
      <c r="F3" s="749"/>
      <c r="G3" s="749"/>
      <c r="H3" s="750"/>
      <c r="I3" s="126"/>
      <c r="J3" s="126"/>
      <c r="K3" s="126"/>
      <c r="L3" s="126"/>
      <c r="M3" s="126"/>
      <c r="N3" s="126"/>
      <c r="O3" s="126"/>
      <c r="P3" s="126"/>
      <c r="Q3" s="126"/>
      <c r="R3" s="126"/>
      <c r="S3" s="126"/>
      <c r="T3" s="126"/>
      <c r="U3" s="126"/>
      <c r="V3" s="126"/>
      <c r="W3" s="126"/>
      <c r="X3" s="126"/>
      <c r="Y3" s="126"/>
      <c r="Z3" s="126"/>
      <c r="AA3" s="126"/>
      <c r="AB3" s="126"/>
    </row>
    <row r="4" spans="1:28" ht="18.75">
      <c r="A4" s="776" t="s">
        <v>4378</v>
      </c>
      <c r="B4" s="753"/>
      <c r="C4" s="753"/>
      <c r="D4" s="753"/>
      <c r="E4" s="753"/>
      <c r="F4" s="753"/>
      <c r="G4" s="753"/>
      <c r="H4" s="754"/>
      <c r="I4" s="126"/>
      <c r="J4" s="126"/>
      <c r="K4" s="126"/>
      <c r="L4" s="126"/>
      <c r="M4" s="126"/>
      <c r="N4" s="126"/>
      <c r="O4" s="126"/>
      <c r="P4" s="126"/>
      <c r="Q4" s="126"/>
      <c r="R4" s="126"/>
      <c r="S4" s="126"/>
      <c r="T4" s="126"/>
      <c r="U4" s="126"/>
      <c r="V4" s="126"/>
      <c r="W4" s="126"/>
      <c r="X4" s="126"/>
      <c r="Y4" s="126"/>
      <c r="Z4" s="126"/>
      <c r="AA4" s="126"/>
      <c r="AB4" s="126"/>
    </row>
    <row r="5" spans="1:28" ht="21">
      <c r="A5" s="930" t="s">
        <v>7411</v>
      </c>
      <c r="B5" s="778"/>
      <c r="C5" s="781" t="s">
        <v>7412</v>
      </c>
      <c r="D5" s="756"/>
      <c r="E5" s="756"/>
      <c r="F5" s="756"/>
      <c r="G5" s="756"/>
      <c r="H5" s="733"/>
      <c r="I5" s="126"/>
      <c r="J5" s="126"/>
      <c r="K5" s="126"/>
      <c r="L5" s="126"/>
      <c r="M5" s="126"/>
      <c r="N5" s="126"/>
      <c r="O5" s="126"/>
      <c r="P5" s="126"/>
      <c r="Q5" s="126"/>
      <c r="R5" s="126"/>
      <c r="S5" s="126"/>
      <c r="T5" s="126"/>
      <c r="U5" s="126"/>
      <c r="V5" s="126"/>
      <c r="W5" s="126"/>
      <c r="X5" s="126"/>
      <c r="Y5" s="126"/>
      <c r="Z5" s="126"/>
      <c r="AA5" s="126"/>
      <c r="AB5" s="126"/>
    </row>
    <row r="6" spans="1:28" ht="31.5">
      <c r="A6" s="779"/>
      <c r="B6" s="780"/>
      <c r="C6" s="127" t="s">
        <v>7413</v>
      </c>
      <c r="D6" s="127" t="s">
        <v>7414</v>
      </c>
      <c r="E6" s="127" t="s">
        <v>7415</v>
      </c>
      <c r="F6" s="127" t="s">
        <v>7416</v>
      </c>
      <c r="G6" s="127" t="s">
        <v>7417</v>
      </c>
      <c r="H6" s="127" t="s">
        <v>7418</v>
      </c>
      <c r="I6" s="126"/>
      <c r="J6" s="126"/>
      <c r="K6" s="126"/>
      <c r="L6" s="126"/>
      <c r="M6" s="126"/>
      <c r="N6" s="126"/>
      <c r="O6" s="126"/>
      <c r="P6" s="126"/>
      <c r="Q6" s="126"/>
      <c r="R6" s="126"/>
      <c r="S6" s="126"/>
      <c r="T6" s="126"/>
      <c r="U6" s="126"/>
      <c r="V6" s="126"/>
      <c r="W6" s="126"/>
      <c r="X6" s="126"/>
      <c r="Y6" s="126"/>
      <c r="Z6" s="126"/>
      <c r="AA6" s="126"/>
      <c r="AB6" s="126"/>
    </row>
    <row r="7" spans="1:28" ht="17.25" customHeight="1">
      <c r="A7" s="665" t="s">
        <v>1992</v>
      </c>
      <c r="B7" s="575"/>
      <c r="C7" s="666">
        <f>Balanza!G797</f>
        <v>3098766955.1999998</v>
      </c>
      <c r="D7" s="666">
        <f>Balanza!G985</f>
        <v>0</v>
      </c>
      <c r="E7" s="666">
        <f t="shared" ref="E7:E16" si="0">C7+D7</f>
        <v>3098766955.1999998</v>
      </c>
      <c r="F7" s="666">
        <f>Balanza!F1079</f>
        <v>2369059661.6899996</v>
      </c>
      <c r="G7" s="667">
        <f t="shared" ref="G7:G17" si="1">IF(E7=0,0,F7/E7)</f>
        <v>0.76451688556782627</v>
      </c>
      <c r="H7" s="667">
        <f t="shared" ref="H7:H17" si="2">1-G7</f>
        <v>0.23548311443217373</v>
      </c>
      <c r="I7" s="131"/>
      <c r="J7" s="131"/>
      <c r="K7" s="131"/>
      <c r="L7" s="131"/>
      <c r="M7" s="131"/>
      <c r="N7" s="131"/>
      <c r="O7" s="131"/>
      <c r="P7" s="131"/>
      <c r="Q7" s="131"/>
      <c r="R7" s="131"/>
      <c r="S7" s="131"/>
      <c r="T7" s="131"/>
      <c r="U7" s="131"/>
      <c r="V7" s="131"/>
      <c r="W7" s="131"/>
      <c r="X7" s="131"/>
      <c r="Y7" s="131"/>
      <c r="Z7" s="131"/>
      <c r="AA7" s="131"/>
      <c r="AB7" s="131"/>
    </row>
    <row r="8" spans="1:28" ht="17.25" customHeight="1">
      <c r="A8" s="668" t="s">
        <v>2007</v>
      </c>
      <c r="B8" s="580"/>
      <c r="C8" s="462">
        <f>Balanza!G807</f>
        <v>0</v>
      </c>
      <c r="D8" s="462">
        <f>Balanza!G995</f>
        <v>0</v>
      </c>
      <c r="E8" s="462">
        <f t="shared" si="0"/>
        <v>0</v>
      </c>
      <c r="F8" s="462">
        <f>Balanza!F1089</f>
        <v>0</v>
      </c>
      <c r="G8" s="669">
        <f t="shared" si="1"/>
        <v>0</v>
      </c>
      <c r="H8" s="669">
        <f t="shared" si="2"/>
        <v>1</v>
      </c>
      <c r="I8" s="131"/>
      <c r="J8" s="131"/>
      <c r="K8" s="131"/>
      <c r="L8" s="131"/>
      <c r="M8" s="131"/>
      <c r="N8" s="131"/>
      <c r="O8" s="131"/>
      <c r="P8" s="131"/>
      <c r="Q8" s="131"/>
      <c r="R8" s="131"/>
      <c r="S8" s="131"/>
      <c r="T8" s="131"/>
      <c r="U8" s="131"/>
      <c r="V8" s="131"/>
      <c r="W8" s="131"/>
      <c r="X8" s="131"/>
      <c r="Y8" s="131"/>
      <c r="Z8" s="131"/>
      <c r="AA8" s="131"/>
      <c r="AB8" s="131"/>
    </row>
    <row r="9" spans="1:28" ht="17.25" customHeight="1">
      <c r="A9" s="668" t="s">
        <v>2015</v>
      </c>
      <c r="B9" s="580"/>
      <c r="C9" s="462">
        <f>Balanza!G813</f>
        <v>0</v>
      </c>
      <c r="D9" s="462">
        <f>Balanza!G1001</f>
        <v>0</v>
      </c>
      <c r="E9" s="462">
        <f t="shared" si="0"/>
        <v>0</v>
      </c>
      <c r="F9" s="462">
        <f>Balanza!F1095</f>
        <v>0</v>
      </c>
      <c r="G9" s="669">
        <f t="shared" si="1"/>
        <v>0</v>
      </c>
      <c r="H9" s="669">
        <f t="shared" si="2"/>
        <v>1</v>
      </c>
      <c r="I9" s="131"/>
      <c r="J9" s="131"/>
      <c r="K9" s="131"/>
      <c r="L9" s="131"/>
      <c r="M9" s="131"/>
      <c r="N9" s="131"/>
      <c r="O9" s="131"/>
      <c r="P9" s="131"/>
      <c r="Q9" s="131"/>
      <c r="R9" s="131"/>
      <c r="S9" s="131"/>
      <c r="T9" s="131"/>
      <c r="U9" s="131"/>
      <c r="V9" s="131"/>
      <c r="W9" s="131"/>
      <c r="X9" s="131"/>
      <c r="Y9" s="131"/>
      <c r="Z9" s="131"/>
      <c r="AA9" s="131"/>
      <c r="AB9" s="131"/>
    </row>
    <row r="10" spans="1:28" ht="17.25" customHeight="1">
      <c r="A10" s="668" t="s">
        <v>2020</v>
      </c>
      <c r="B10" s="580"/>
      <c r="C10" s="462">
        <f>Balanza!G816</f>
        <v>1614044241.5100002</v>
      </c>
      <c r="D10" s="462">
        <f>Balanza!G1004</f>
        <v>0</v>
      </c>
      <c r="E10" s="462">
        <f t="shared" si="0"/>
        <v>1614044241.5100002</v>
      </c>
      <c r="F10" s="462">
        <f>Balanza!F1098</f>
        <v>677173940.41000009</v>
      </c>
      <c r="G10" s="669">
        <f t="shared" si="1"/>
        <v>0.41955104017252831</v>
      </c>
      <c r="H10" s="669">
        <f t="shared" si="2"/>
        <v>0.58044895982747169</v>
      </c>
      <c r="I10" s="131"/>
      <c r="J10" s="131"/>
      <c r="K10" s="131"/>
      <c r="L10" s="131"/>
      <c r="M10" s="131"/>
      <c r="N10" s="131"/>
      <c r="O10" s="131"/>
      <c r="P10" s="131"/>
      <c r="Q10" s="131"/>
      <c r="R10" s="131"/>
      <c r="S10" s="131"/>
      <c r="T10" s="131"/>
      <c r="U10" s="131"/>
      <c r="V10" s="131"/>
      <c r="W10" s="131"/>
      <c r="X10" s="131"/>
      <c r="Y10" s="131"/>
      <c r="Z10" s="131"/>
      <c r="AA10" s="131"/>
      <c r="AB10" s="131"/>
    </row>
    <row r="11" spans="1:28" ht="17.25" customHeight="1">
      <c r="A11" s="668" t="s">
        <v>1016</v>
      </c>
      <c r="B11" s="580"/>
      <c r="C11" s="462">
        <f>Balanza!G823</f>
        <v>178061060.72</v>
      </c>
      <c r="D11" s="462">
        <f>Balanza!G1011</f>
        <v>0</v>
      </c>
      <c r="E11" s="462">
        <f t="shared" si="0"/>
        <v>178061060.72</v>
      </c>
      <c r="F11" s="462">
        <f>Balanza!F1105</f>
        <v>100037434.66</v>
      </c>
      <c r="G11" s="669">
        <f t="shared" si="1"/>
        <v>0.5618153360172794</v>
      </c>
      <c r="H11" s="669">
        <f t="shared" si="2"/>
        <v>0.4381846639827206</v>
      </c>
      <c r="I11" s="131"/>
      <c r="J11" s="131"/>
      <c r="K11" s="131"/>
      <c r="L11" s="131"/>
      <c r="M11" s="131"/>
      <c r="N11" s="131"/>
      <c r="O11" s="131"/>
      <c r="P11" s="131"/>
      <c r="Q11" s="131"/>
      <c r="R11" s="131"/>
      <c r="S11" s="131"/>
      <c r="T11" s="131"/>
      <c r="U11" s="131"/>
      <c r="V11" s="131"/>
      <c r="W11" s="131"/>
      <c r="X11" s="131"/>
      <c r="Y11" s="131"/>
      <c r="Z11" s="131"/>
      <c r="AA11" s="131"/>
      <c r="AB11" s="131"/>
    </row>
    <row r="12" spans="1:28" ht="17.25" customHeight="1">
      <c r="A12" s="668" t="s">
        <v>2036</v>
      </c>
      <c r="B12" s="580"/>
      <c r="C12" s="462">
        <f>Balanza!G827</f>
        <v>112985915.93000001</v>
      </c>
      <c r="D12" s="462">
        <f>Balanza!G1015</f>
        <v>0</v>
      </c>
      <c r="E12" s="462">
        <f t="shared" si="0"/>
        <v>112985915.93000001</v>
      </c>
      <c r="F12" s="462">
        <f>Balanza!F1109</f>
        <v>87159634.730000004</v>
      </c>
      <c r="G12" s="669">
        <f t="shared" si="1"/>
        <v>0.77142034927609404</v>
      </c>
      <c r="H12" s="669">
        <f t="shared" si="2"/>
        <v>0.22857965072390596</v>
      </c>
      <c r="I12" s="131"/>
      <c r="J12" s="131"/>
      <c r="K12" s="131"/>
      <c r="L12" s="131"/>
      <c r="M12" s="131"/>
      <c r="N12" s="131"/>
      <c r="O12" s="131"/>
      <c r="P12" s="131"/>
      <c r="Q12" s="131"/>
      <c r="R12" s="131"/>
      <c r="S12" s="131"/>
      <c r="T12" s="131"/>
      <c r="U12" s="131"/>
      <c r="V12" s="131"/>
      <c r="W12" s="131"/>
      <c r="X12" s="131"/>
      <c r="Y12" s="131"/>
      <c r="Z12" s="131"/>
      <c r="AA12" s="131"/>
      <c r="AB12" s="131"/>
    </row>
    <row r="13" spans="1:28" ht="17.25" customHeight="1">
      <c r="A13" s="668" t="s">
        <v>2044</v>
      </c>
      <c r="B13" s="580"/>
      <c r="C13" s="462">
        <f>Balanza!G832</f>
        <v>0</v>
      </c>
      <c r="D13" s="462">
        <f>Balanza!G1020</f>
        <v>0</v>
      </c>
      <c r="E13" s="462">
        <f t="shared" si="0"/>
        <v>0</v>
      </c>
      <c r="F13" s="462">
        <f>Balanza!F1114</f>
        <v>0</v>
      </c>
      <c r="G13" s="669">
        <f t="shared" si="1"/>
        <v>0</v>
      </c>
      <c r="H13" s="669">
        <f t="shared" si="2"/>
        <v>1</v>
      </c>
      <c r="I13" s="131"/>
      <c r="J13" s="131"/>
      <c r="K13" s="131"/>
      <c r="L13" s="131"/>
      <c r="M13" s="131"/>
      <c r="N13" s="131"/>
      <c r="O13" s="131"/>
      <c r="P13" s="131"/>
      <c r="Q13" s="131"/>
      <c r="R13" s="131"/>
      <c r="S13" s="131"/>
      <c r="T13" s="131"/>
      <c r="U13" s="131"/>
      <c r="V13" s="131"/>
      <c r="W13" s="131"/>
      <c r="X13" s="131"/>
      <c r="Y13" s="131"/>
      <c r="Z13" s="131"/>
      <c r="AA13" s="131"/>
      <c r="AB13" s="131"/>
    </row>
    <row r="14" spans="1:28" ht="33.75" customHeight="1">
      <c r="A14" s="942" t="s">
        <v>2058</v>
      </c>
      <c r="B14" s="737"/>
      <c r="C14" s="462">
        <f>Balanza!G842</f>
        <v>7487281730.079999</v>
      </c>
      <c r="D14" s="462">
        <f>Balanza!G1030</f>
        <v>51584350.189999998</v>
      </c>
      <c r="E14" s="462">
        <f t="shared" si="0"/>
        <v>7538866080.2699986</v>
      </c>
      <c r="F14" s="462">
        <f>Balanza!F1124</f>
        <v>3824329059.9200001</v>
      </c>
      <c r="G14" s="669">
        <f t="shared" si="1"/>
        <v>0.50728173430864754</v>
      </c>
      <c r="H14" s="669">
        <f t="shared" si="2"/>
        <v>0.49271826569135246</v>
      </c>
      <c r="I14" s="131"/>
      <c r="J14" s="131"/>
      <c r="K14" s="131"/>
      <c r="L14" s="131"/>
      <c r="M14" s="131"/>
      <c r="N14" s="131"/>
      <c r="O14" s="131"/>
      <c r="P14" s="131"/>
      <c r="Q14" s="131"/>
      <c r="R14" s="131"/>
      <c r="S14" s="131"/>
      <c r="T14" s="131"/>
      <c r="U14" s="131"/>
      <c r="V14" s="131"/>
      <c r="W14" s="131"/>
      <c r="X14" s="131"/>
      <c r="Y14" s="131"/>
      <c r="Z14" s="131"/>
      <c r="AA14" s="131"/>
      <c r="AB14" s="131"/>
    </row>
    <row r="15" spans="1:28" ht="17.25" customHeight="1">
      <c r="A15" s="668" t="s">
        <v>2097</v>
      </c>
      <c r="B15" s="580"/>
      <c r="C15" s="462">
        <f>Balanza!G874</f>
        <v>0</v>
      </c>
      <c r="D15" s="462">
        <f>Balanza!G1062</f>
        <v>0</v>
      </c>
      <c r="E15" s="462">
        <f t="shared" si="0"/>
        <v>0</v>
      </c>
      <c r="F15" s="462">
        <f>Balanza!F1156</f>
        <v>0</v>
      </c>
      <c r="G15" s="669">
        <f t="shared" si="1"/>
        <v>0</v>
      </c>
      <c r="H15" s="669">
        <f t="shared" si="2"/>
        <v>1</v>
      </c>
      <c r="I15" s="131"/>
      <c r="J15" s="131"/>
      <c r="K15" s="131"/>
      <c r="L15" s="131"/>
      <c r="M15" s="131"/>
      <c r="N15" s="131"/>
      <c r="O15" s="131"/>
      <c r="P15" s="131"/>
      <c r="Q15" s="131"/>
      <c r="R15" s="131"/>
      <c r="S15" s="131"/>
      <c r="T15" s="131"/>
      <c r="U15" s="131"/>
      <c r="V15" s="131"/>
      <c r="W15" s="131"/>
      <c r="X15" s="131"/>
      <c r="Y15" s="131"/>
      <c r="Z15" s="131"/>
      <c r="AA15" s="131"/>
      <c r="AB15" s="131"/>
    </row>
    <row r="16" spans="1:28" ht="17.25" customHeight="1">
      <c r="A16" s="668" t="s">
        <v>2115</v>
      </c>
      <c r="B16" s="580"/>
      <c r="C16" s="462">
        <f>Balanza!G884</f>
        <v>0</v>
      </c>
      <c r="D16" s="462">
        <f>Balanza!G1072</f>
        <v>0</v>
      </c>
      <c r="E16" s="462">
        <f t="shared" si="0"/>
        <v>0</v>
      </c>
      <c r="F16" s="462">
        <f>Balanza!F1166</f>
        <v>0</v>
      </c>
      <c r="G16" s="669">
        <f t="shared" si="1"/>
        <v>0</v>
      </c>
      <c r="H16" s="669">
        <f t="shared" si="2"/>
        <v>1</v>
      </c>
      <c r="I16" s="131"/>
      <c r="J16" s="131"/>
      <c r="K16" s="131"/>
      <c r="L16" s="131"/>
      <c r="M16" s="131"/>
      <c r="N16" s="131"/>
      <c r="O16" s="131"/>
      <c r="P16" s="131"/>
      <c r="Q16" s="131"/>
      <c r="R16" s="131"/>
      <c r="S16" s="131"/>
      <c r="T16" s="131"/>
      <c r="U16" s="131"/>
      <c r="V16" s="131"/>
      <c r="W16" s="131"/>
      <c r="X16" s="131"/>
      <c r="Y16" s="131"/>
      <c r="Z16" s="131"/>
      <c r="AA16" s="131"/>
      <c r="AB16" s="131"/>
    </row>
    <row r="17" spans="1:28" ht="15" customHeight="1">
      <c r="A17" s="535"/>
      <c r="B17" s="585" t="s">
        <v>7203</v>
      </c>
      <c r="C17" s="586">
        <f t="shared" ref="C17:F17" si="3">SUM(C7:C16)</f>
        <v>12491139903.439999</v>
      </c>
      <c r="D17" s="586">
        <f t="shared" si="3"/>
        <v>51584350.189999998</v>
      </c>
      <c r="E17" s="586">
        <f t="shared" si="3"/>
        <v>12542724253.629999</v>
      </c>
      <c r="F17" s="586">
        <f t="shared" si="3"/>
        <v>7057759731.4099998</v>
      </c>
      <c r="G17" s="670">
        <f t="shared" si="1"/>
        <v>0.56269751201517548</v>
      </c>
      <c r="H17" s="670">
        <f t="shared" si="2"/>
        <v>0.43730248798482452</v>
      </c>
      <c r="I17" s="131"/>
      <c r="J17" s="131"/>
      <c r="K17" s="131"/>
      <c r="L17" s="131"/>
      <c r="M17" s="131"/>
      <c r="N17" s="131"/>
      <c r="O17" s="131"/>
      <c r="P17" s="131"/>
      <c r="Q17" s="131"/>
      <c r="R17" s="131"/>
      <c r="S17" s="131"/>
      <c r="T17" s="131"/>
      <c r="U17" s="131"/>
      <c r="V17" s="131"/>
      <c r="W17" s="131"/>
      <c r="X17" s="131"/>
      <c r="Y17" s="131"/>
      <c r="Z17" s="131"/>
      <c r="AA17" s="131"/>
      <c r="AB17" s="131"/>
    </row>
    <row r="18" spans="1:28">
      <c r="A18" s="144"/>
      <c r="B18" s="142"/>
      <c r="C18" s="145"/>
      <c r="D18" s="145"/>
      <c r="E18" s="145"/>
      <c r="F18" s="145"/>
      <c r="G18" s="145"/>
      <c r="H18" s="146"/>
      <c r="I18" s="131"/>
      <c r="J18" s="131"/>
      <c r="K18" s="131"/>
      <c r="L18" s="131"/>
      <c r="M18" s="131"/>
      <c r="N18" s="131"/>
      <c r="O18" s="131"/>
      <c r="P18" s="131"/>
      <c r="Q18" s="131"/>
      <c r="R18" s="131"/>
      <c r="S18" s="131"/>
      <c r="T18" s="131"/>
      <c r="U18" s="131"/>
      <c r="V18" s="131"/>
      <c r="W18" s="131"/>
      <c r="X18" s="131"/>
      <c r="Y18" s="131"/>
      <c r="Z18" s="131"/>
      <c r="AA18" s="131"/>
      <c r="AB18" s="131"/>
    </row>
    <row r="19" spans="1:28" ht="21">
      <c r="A19" s="930" t="s">
        <v>7419</v>
      </c>
      <c r="B19" s="778"/>
      <c r="C19" s="781" t="s">
        <v>7420</v>
      </c>
      <c r="D19" s="756"/>
      <c r="E19" s="756"/>
      <c r="F19" s="756"/>
      <c r="G19" s="756"/>
      <c r="H19" s="733"/>
      <c r="I19" s="126"/>
      <c r="J19" s="126"/>
      <c r="K19" s="126"/>
      <c r="L19" s="126"/>
      <c r="M19" s="126"/>
      <c r="N19" s="126"/>
      <c r="O19" s="126"/>
      <c r="P19" s="126"/>
      <c r="Q19" s="126"/>
      <c r="R19" s="126"/>
      <c r="S19" s="126"/>
      <c r="T19" s="126"/>
      <c r="U19" s="126"/>
      <c r="V19" s="126"/>
      <c r="W19" s="126"/>
      <c r="X19" s="126"/>
      <c r="Y19" s="126"/>
      <c r="Z19" s="126"/>
      <c r="AA19" s="126"/>
      <c r="AB19" s="126"/>
    </row>
    <row r="20" spans="1:28" ht="31.5">
      <c r="A20" s="779"/>
      <c r="B20" s="780"/>
      <c r="C20" s="127" t="s">
        <v>7421</v>
      </c>
      <c r="D20" s="127" t="s">
        <v>7422</v>
      </c>
      <c r="E20" s="127" t="s">
        <v>7415</v>
      </c>
      <c r="F20" s="127" t="s">
        <v>7416</v>
      </c>
      <c r="G20" s="127" t="s">
        <v>7417</v>
      </c>
      <c r="H20" s="127" t="s">
        <v>7423</v>
      </c>
      <c r="I20" s="126"/>
      <c r="J20" s="126"/>
      <c r="K20" s="126"/>
      <c r="L20" s="126"/>
      <c r="M20" s="126"/>
      <c r="N20" s="126"/>
      <c r="O20" s="126"/>
      <c r="P20" s="126"/>
      <c r="Q20" s="126"/>
      <c r="R20" s="126"/>
      <c r="S20" s="126"/>
      <c r="T20" s="126"/>
      <c r="U20" s="126"/>
      <c r="V20" s="126"/>
      <c r="W20" s="126"/>
      <c r="X20" s="126"/>
      <c r="Y20" s="126"/>
      <c r="Z20" s="126"/>
      <c r="AA20" s="126"/>
      <c r="AB20" s="126"/>
    </row>
    <row r="21" spans="1:28" ht="17.25" customHeight="1">
      <c r="A21" s="665" t="s">
        <v>2529</v>
      </c>
      <c r="B21" s="575"/>
      <c r="C21" s="666">
        <f>Balanza!H1268</f>
        <v>5678059773.5</v>
      </c>
      <c r="D21" s="666">
        <f>Balanza!H1540</f>
        <v>35939100</v>
      </c>
      <c r="E21" s="666">
        <f t="shared" ref="E21:E29" si="4">C21+D21</f>
        <v>5713998873.5</v>
      </c>
      <c r="F21" s="666">
        <f>Balanza!E1812</f>
        <v>2255249455.52</v>
      </c>
      <c r="G21" s="667">
        <f t="shared" ref="G21:G30" si="5">IF(E21=0,0,F21/E21)</f>
        <v>0.39468846694724502</v>
      </c>
      <c r="H21" s="667">
        <f t="shared" ref="H21:H30" si="6">1-G21</f>
        <v>0.60531153305275498</v>
      </c>
      <c r="I21" s="131"/>
      <c r="J21" s="131"/>
      <c r="K21" s="131"/>
      <c r="L21" s="131"/>
      <c r="M21" s="131"/>
      <c r="N21" s="131"/>
      <c r="O21" s="131"/>
      <c r="P21" s="131"/>
      <c r="Q21" s="131"/>
      <c r="R21" s="131"/>
      <c r="S21" s="131"/>
      <c r="T21" s="131"/>
      <c r="U21" s="131"/>
      <c r="V21" s="131"/>
      <c r="W21" s="131"/>
      <c r="X21" s="131"/>
      <c r="Y21" s="131"/>
      <c r="Z21" s="131"/>
      <c r="AA21" s="131"/>
      <c r="AB21" s="131"/>
    </row>
    <row r="22" spans="1:28" ht="17.25" customHeight="1">
      <c r="A22" s="668" t="s">
        <v>2559</v>
      </c>
      <c r="B22" s="580"/>
      <c r="C22" s="462">
        <f>Balanza!H1283</f>
        <v>754953776.33999991</v>
      </c>
      <c r="D22" s="462">
        <f>Balanza!H1555</f>
        <v>-19918474.669999998</v>
      </c>
      <c r="E22" s="462">
        <f t="shared" si="4"/>
        <v>735035301.66999996</v>
      </c>
      <c r="F22" s="462">
        <f>Balanza!E1827</f>
        <v>124168010.78</v>
      </c>
      <c r="G22" s="669">
        <f t="shared" si="5"/>
        <v>0.16892795556606646</v>
      </c>
      <c r="H22" s="669">
        <f t="shared" si="6"/>
        <v>0.83107204443393357</v>
      </c>
      <c r="I22" s="131"/>
      <c r="J22" s="131"/>
      <c r="K22" s="131"/>
      <c r="L22" s="131"/>
      <c r="M22" s="131"/>
      <c r="N22" s="131"/>
      <c r="O22" s="131"/>
      <c r="P22" s="131"/>
      <c r="Q22" s="131"/>
      <c r="R22" s="131"/>
      <c r="S22" s="131"/>
      <c r="T22" s="131"/>
      <c r="U22" s="131"/>
      <c r="V22" s="131"/>
      <c r="W22" s="131"/>
      <c r="X22" s="131"/>
      <c r="Y22" s="131"/>
      <c r="Z22" s="131"/>
      <c r="AA22" s="131"/>
      <c r="AB22" s="131"/>
    </row>
    <row r="23" spans="1:28" ht="17.25" customHeight="1">
      <c r="A23" s="668" t="s">
        <v>2597</v>
      </c>
      <c r="B23" s="580"/>
      <c r="C23" s="462">
        <f>Balanza!H1302</f>
        <v>2897895850.2199998</v>
      </c>
      <c r="D23" s="462">
        <f>Balanza!H1574</f>
        <v>-368652864.91000003</v>
      </c>
      <c r="E23" s="462">
        <f t="shared" si="4"/>
        <v>2529242985.3099999</v>
      </c>
      <c r="F23" s="462">
        <f>Balanza!E1846</f>
        <v>749596990.45000005</v>
      </c>
      <c r="G23" s="669">
        <f t="shared" si="5"/>
        <v>0.29637207449173758</v>
      </c>
      <c r="H23" s="669">
        <f t="shared" si="6"/>
        <v>0.70362792550826248</v>
      </c>
      <c r="I23" s="131"/>
      <c r="J23" s="131"/>
      <c r="K23" s="131"/>
      <c r="L23" s="131"/>
      <c r="M23" s="131"/>
      <c r="N23" s="131"/>
      <c r="O23" s="131"/>
      <c r="P23" s="131"/>
      <c r="Q23" s="131"/>
      <c r="R23" s="131"/>
      <c r="S23" s="131"/>
      <c r="T23" s="131"/>
      <c r="U23" s="131"/>
      <c r="V23" s="131"/>
      <c r="W23" s="131"/>
      <c r="X23" s="131"/>
      <c r="Y23" s="131"/>
      <c r="Z23" s="131"/>
      <c r="AA23" s="131"/>
      <c r="AB23" s="131"/>
    </row>
    <row r="24" spans="1:28" ht="17.25" customHeight="1">
      <c r="A24" s="668" t="s">
        <v>7424</v>
      </c>
      <c r="B24" s="580"/>
      <c r="C24" s="462">
        <f>Balanza!H1321</f>
        <v>1470913490.9000001</v>
      </c>
      <c r="D24" s="462">
        <f>Balanza!H1593</f>
        <v>7422074.0099999998</v>
      </c>
      <c r="E24" s="462">
        <f t="shared" si="4"/>
        <v>1478335564.9100001</v>
      </c>
      <c r="F24" s="462">
        <f>Balanza!E1865</f>
        <v>659923616.42000008</v>
      </c>
      <c r="G24" s="669">
        <f t="shared" si="5"/>
        <v>0.44639636093729212</v>
      </c>
      <c r="H24" s="669">
        <f t="shared" si="6"/>
        <v>0.55360363906270793</v>
      </c>
      <c r="I24" s="131"/>
      <c r="J24" s="131"/>
      <c r="K24" s="131"/>
      <c r="L24" s="131"/>
      <c r="M24" s="131"/>
      <c r="N24" s="131"/>
      <c r="O24" s="131"/>
      <c r="P24" s="131"/>
      <c r="Q24" s="131"/>
      <c r="R24" s="131"/>
      <c r="S24" s="131"/>
      <c r="T24" s="131"/>
      <c r="U24" s="131"/>
      <c r="V24" s="131"/>
      <c r="W24" s="131"/>
      <c r="X24" s="131"/>
      <c r="Y24" s="131"/>
      <c r="Z24" s="131"/>
      <c r="AA24" s="131"/>
      <c r="AB24" s="131"/>
    </row>
    <row r="25" spans="1:28" ht="17.25" customHeight="1">
      <c r="A25" s="668" t="s">
        <v>2673</v>
      </c>
      <c r="B25" s="580"/>
      <c r="C25" s="462">
        <f>Balanza!H1340</f>
        <v>239290141.56</v>
      </c>
      <c r="D25" s="462">
        <f>Balanza!H1612</f>
        <v>356426920.63999999</v>
      </c>
      <c r="E25" s="462">
        <f t="shared" si="4"/>
        <v>595717062.20000005</v>
      </c>
      <c r="F25" s="462">
        <f>Balanza!E1884</f>
        <v>86480925.650000006</v>
      </c>
      <c r="G25" s="669">
        <f t="shared" si="5"/>
        <v>0.14517114102897019</v>
      </c>
      <c r="H25" s="669">
        <f t="shared" si="6"/>
        <v>0.85482885897102978</v>
      </c>
      <c r="I25" s="131"/>
      <c r="J25" s="131"/>
      <c r="K25" s="131"/>
      <c r="L25" s="131"/>
      <c r="M25" s="131"/>
      <c r="N25" s="131"/>
      <c r="O25" s="131"/>
      <c r="P25" s="131"/>
      <c r="Q25" s="131"/>
      <c r="R25" s="131"/>
      <c r="S25" s="131"/>
      <c r="T25" s="131"/>
      <c r="U25" s="131"/>
      <c r="V25" s="131"/>
      <c r="W25" s="131"/>
      <c r="X25" s="131"/>
      <c r="Y25" s="131"/>
      <c r="Z25" s="131"/>
      <c r="AA25" s="131"/>
      <c r="AB25" s="131"/>
    </row>
    <row r="26" spans="1:28" ht="17.25" customHeight="1">
      <c r="A26" s="668" t="s">
        <v>2711</v>
      </c>
      <c r="B26" s="580"/>
      <c r="C26" s="462">
        <f>Balanza!H1359</f>
        <v>627881760</v>
      </c>
      <c r="D26" s="462">
        <f>Balanza!H1631</f>
        <v>303752222</v>
      </c>
      <c r="E26" s="462">
        <f t="shared" si="4"/>
        <v>931633982</v>
      </c>
      <c r="F26" s="462">
        <f>Balanza!E1903</f>
        <v>218230294.47</v>
      </c>
      <c r="G26" s="669">
        <f t="shared" si="5"/>
        <v>0.23424466978062636</v>
      </c>
      <c r="H26" s="669">
        <f t="shared" si="6"/>
        <v>0.76575533021937359</v>
      </c>
      <c r="I26" s="131"/>
      <c r="J26" s="131"/>
      <c r="K26" s="131"/>
      <c r="L26" s="131"/>
      <c r="M26" s="131"/>
      <c r="N26" s="131"/>
      <c r="O26" s="131"/>
      <c r="P26" s="131"/>
      <c r="Q26" s="131"/>
      <c r="R26" s="131"/>
      <c r="S26" s="131"/>
      <c r="T26" s="131"/>
      <c r="U26" s="131"/>
      <c r="V26" s="131"/>
      <c r="W26" s="131"/>
      <c r="X26" s="131"/>
      <c r="Y26" s="131"/>
      <c r="Z26" s="131"/>
      <c r="AA26" s="131"/>
      <c r="AB26" s="131"/>
    </row>
    <row r="27" spans="1:28" ht="17.25" customHeight="1">
      <c r="A27" s="668" t="s">
        <v>2725</v>
      </c>
      <c r="B27" s="580"/>
      <c r="C27" s="462">
        <f>Balanza!H1366</f>
        <v>581600137.83000004</v>
      </c>
      <c r="D27" s="462">
        <f>Balanza!H1638</f>
        <v>-581600137.83000004</v>
      </c>
      <c r="E27" s="462">
        <f t="shared" si="4"/>
        <v>0</v>
      </c>
      <c r="F27" s="462">
        <f>Balanza!E1910</f>
        <v>0</v>
      </c>
      <c r="G27" s="669">
        <f t="shared" si="5"/>
        <v>0</v>
      </c>
      <c r="H27" s="669">
        <f t="shared" si="6"/>
        <v>1</v>
      </c>
      <c r="I27" s="131"/>
      <c r="J27" s="131"/>
      <c r="K27" s="131"/>
      <c r="L27" s="131"/>
      <c r="M27" s="131"/>
      <c r="N27" s="131"/>
      <c r="O27" s="131"/>
      <c r="P27" s="131"/>
      <c r="Q27" s="131"/>
      <c r="R27" s="131"/>
      <c r="S27" s="131"/>
      <c r="T27" s="131"/>
      <c r="U27" s="131"/>
      <c r="V27" s="131"/>
      <c r="W27" s="131"/>
      <c r="X27" s="131"/>
      <c r="Y27" s="131"/>
      <c r="Z27" s="131"/>
      <c r="AA27" s="131"/>
      <c r="AB27" s="131"/>
    </row>
    <row r="28" spans="1:28" ht="15.75" customHeight="1">
      <c r="A28" s="668" t="s">
        <v>2755</v>
      </c>
      <c r="B28" s="671"/>
      <c r="C28" s="462">
        <f>Balanza!H1381</f>
        <v>0</v>
      </c>
      <c r="D28" s="462">
        <f>Balanza!H1653</f>
        <v>0</v>
      </c>
      <c r="E28" s="462">
        <f t="shared" si="4"/>
        <v>0</v>
      </c>
      <c r="F28" s="462">
        <f>Balanza!E1925</f>
        <v>0</v>
      </c>
      <c r="G28" s="669">
        <f t="shared" si="5"/>
        <v>0</v>
      </c>
      <c r="H28" s="669">
        <f t="shared" si="6"/>
        <v>1</v>
      </c>
      <c r="I28" s="131"/>
      <c r="J28" s="131"/>
      <c r="K28" s="131"/>
      <c r="L28" s="131"/>
      <c r="M28" s="131"/>
      <c r="N28" s="131"/>
      <c r="O28" s="131"/>
      <c r="P28" s="131"/>
      <c r="Q28" s="131"/>
      <c r="R28" s="131"/>
      <c r="S28" s="131"/>
      <c r="T28" s="131"/>
      <c r="U28" s="131"/>
      <c r="V28" s="131"/>
      <c r="W28" s="131"/>
      <c r="X28" s="131"/>
      <c r="Y28" s="131"/>
      <c r="Z28" s="131"/>
      <c r="AA28" s="131"/>
      <c r="AB28" s="131"/>
    </row>
    <row r="29" spans="1:28" ht="17.25" customHeight="1">
      <c r="A29" s="668" t="s">
        <v>2769</v>
      </c>
      <c r="B29" s="580"/>
      <c r="C29" s="462">
        <f>Balanza!H1388</f>
        <v>240544973.09</v>
      </c>
      <c r="D29" s="462">
        <f>Balanza!H1660</f>
        <v>318215510.94999999</v>
      </c>
      <c r="E29" s="462">
        <f t="shared" si="4"/>
        <v>558760484.03999996</v>
      </c>
      <c r="F29" s="462">
        <f>Balanza!E1932</f>
        <v>263882522.37</v>
      </c>
      <c r="G29" s="669">
        <f t="shared" si="5"/>
        <v>0.47226410941241409</v>
      </c>
      <c r="H29" s="669">
        <f t="shared" si="6"/>
        <v>0.52773589058758597</v>
      </c>
      <c r="I29" s="131"/>
      <c r="J29" s="131"/>
      <c r="K29" s="131"/>
      <c r="L29" s="131"/>
      <c r="M29" s="131"/>
      <c r="N29" s="131"/>
      <c r="O29" s="131"/>
      <c r="P29" s="131"/>
      <c r="Q29" s="131"/>
      <c r="R29" s="131"/>
      <c r="S29" s="131"/>
      <c r="T29" s="131"/>
      <c r="U29" s="131"/>
      <c r="V29" s="131"/>
      <c r="W29" s="131"/>
      <c r="X29" s="131"/>
      <c r="Y29" s="131"/>
      <c r="Z29" s="131"/>
      <c r="AA29" s="131"/>
      <c r="AB29" s="131"/>
    </row>
    <row r="30" spans="1:28" ht="15" customHeight="1">
      <c r="A30" s="535"/>
      <c r="B30" s="585" t="s">
        <v>7203</v>
      </c>
      <c r="C30" s="586">
        <f t="shared" ref="C30:F30" si="7">SUM(C21:C29)</f>
        <v>12491139903.439999</v>
      </c>
      <c r="D30" s="586">
        <f t="shared" si="7"/>
        <v>51584350.189999878</v>
      </c>
      <c r="E30" s="586">
        <f t="shared" si="7"/>
        <v>12542724253.630001</v>
      </c>
      <c r="F30" s="586">
        <f t="shared" si="7"/>
        <v>4357531815.6599998</v>
      </c>
      <c r="G30" s="670">
        <f t="shared" si="5"/>
        <v>0.34741510118098007</v>
      </c>
      <c r="H30" s="670">
        <f t="shared" si="6"/>
        <v>0.65258489881901993</v>
      </c>
      <c r="I30" s="131"/>
      <c r="J30" s="131"/>
      <c r="K30" s="131"/>
      <c r="L30" s="131"/>
      <c r="M30" s="131"/>
      <c r="N30" s="131"/>
      <c r="O30" s="131"/>
      <c r="P30" s="131"/>
      <c r="Q30" s="131"/>
      <c r="R30" s="131"/>
      <c r="S30" s="131"/>
      <c r="T30" s="131"/>
      <c r="U30" s="131"/>
      <c r="V30" s="131"/>
      <c r="W30" s="131"/>
      <c r="X30" s="131"/>
      <c r="Y30" s="131"/>
      <c r="Z30" s="131"/>
      <c r="AA30" s="131"/>
      <c r="AB30" s="131"/>
    </row>
    <row r="31" spans="1:28" ht="15" customHeight="1">
      <c r="A31" s="131"/>
      <c r="B31" s="1"/>
      <c r="C31" s="143"/>
      <c r="D31" s="143"/>
      <c r="E31" s="143"/>
      <c r="F31" s="143"/>
      <c r="G31" s="143"/>
      <c r="H31" s="143"/>
      <c r="I31" s="131"/>
      <c r="J31" s="131"/>
      <c r="K31" s="131"/>
      <c r="L31" s="131"/>
      <c r="M31" s="131"/>
      <c r="N31" s="131"/>
      <c r="O31" s="131"/>
      <c r="P31" s="131"/>
      <c r="Q31" s="131"/>
      <c r="R31" s="131"/>
      <c r="S31" s="131"/>
      <c r="T31" s="131"/>
      <c r="U31" s="131"/>
      <c r="V31" s="131"/>
      <c r="W31" s="131"/>
      <c r="X31" s="131"/>
      <c r="Y31" s="131"/>
      <c r="Z31" s="131"/>
      <c r="AA31" s="131"/>
      <c r="AB31" s="131"/>
    </row>
    <row r="32" spans="1:28" ht="15.75" customHeight="1">
      <c r="A32" s="588" t="s">
        <v>4422</v>
      </c>
      <c r="B32" s="126"/>
      <c r="C32" s="176"/>
      <c r="D32" s="176"/>
      <c r="E32" s="176"/>
      <c r="F32" s="176"/>
      <c r="G32" s="176"/>
      <c r="H32" s="176"/>
      <c r="I32" s="126"/>
      <c r="J32" s="126"/>
      <c r="K32" s="126"/>
      <c r="L32" s="126"/>
      <c r="M32" s="126"/>
      <c r="N32" s="126"/>
      <c r="O32" s="126"/>
      <c r="P32" s="126"/>
      <c r="Q32" s="126"/>
      <c r="R32" s="126"/>
      <c r="S32" s="126"/>
      <c r="T32" s="126"/>
      <c r="U32" s="126"/>
      <c r="V32" s="126"/>
      <c r="W32" s="126"/>
      <c r="X32" s="126"/>
      <c r="Y32" s="126"/>
      <c r="Z32" s="126"/>
      <c r="AA32" s="126"/>
      <c r="AB32" s="126"/>
    </row>
    <row r="33" spans="1:28" ht="15.75" customHeight="1">
      <c r="A33" s="178"/>
      <c r="B33" s="126"/>
      <c r="C33" s="176"/>
      <c r="D33" s="176"/>
      <c r="E33" s="176"/>
      <c r="F33" s="176"/>
      <c r="G33" s="176"/>
      <c r="H33" s="176"/>
      <c r="I33" s="126"/>
      <c r="J33" s="126"/>
      <c r="K33" s="126"/>
      <c r="L33" s="126"/>
      <c r="M33" s="126"/>
      <c r="N33" s="126"/>
      <c r="O33" s="126"/>
      <c r="P33" s="126"/>
      <c r="Q33" s="126"/>
      <c r="R33" s="126"/>
      <c r="S33" s="126"/>
      <c r="T33" s="126"/>
      <c r="U33" s="126"/>
      <c r="V33" s="126"/>
      <c r="W33" s="126"/>
      <c r="X33" s="126"/>
      <c r="Y33" s="126"/>
      <c r="Z33" s="126"/>
      <c r="AA33" s="126"/>
      <c r="AB33" s="126"/>
    </row>
    <row r="34" spans="1:28" ht="15.75" customHeight="1">
      <c r="A34" s="178"/>
      <c r="B34" s="126"/>
      <c r="C34" s="176"/>
      <c r="D34" s="176"/>
      <c r="E34" s="176"/>
      <c r="F34" s="176"/>
      <c r="G34" s="176"/>
      <c r="H34" s="176"/>
      <c r="I34" s="126"/>
      <c r="J34" s="126"/>
      <c r="K34" s="126"/>
      <c r="L34" s="126"/>
      <c r="M34" s="126"/>
      <c r="N34" s="126"/>
      <c r="O34" s="126"/>
      <c r="P34" s="126"/>
      <c r="Q34" s="126"/>
      <c r="R34" s="126"/>
      <c r="S34" s="126"/>
      <c r="T34" s="126"/>
      <c r="U34" s="126"/>
      <c r="V34" s="126"/>
      <c r="W34" s="126"/>
      <c r="X34" s="126"/>
      <c r="Y34" s="126"/>
      <c r="Z34" s="126"/>
      <c r="AA34" s="126"/>
      <c r="AB34" s="126"/>
    </row>
    <row r="35" spans="1:28" ht="15.75" customHeight="1">
      <c r="A35" s="126"/>
      <c r="B35" s="786" t="str">
        <f>Validacion!A7</f>
        <v>Vero</v>
      </c>
      <c r="C35" s="176"/>
      <c r="D35" s="786" t="str">
        <f>Validacion!A9</f>
        <v>Irlanda</v>
      </c>
      <c r="E35" s="787"/>
      <c r="F35" s="787"/>
      <c r="G35" s="309"/>
      <c r="H35" s="176"/>
      <c r="I35" s="126"/>
      <c r="J35" s="126"/>
      <c r="K35" s="126"/>
      <c r="L35" s="126"/>
      <c r="M35" s="126"/>
      <c r="N35" s="126"/>
      <c r="O35" s="126"/>
      <c r="P35" s="126"/>
      <c r="Q35" s="126"/>
      <c r="R35" s="126"/>
      <c r="S35" s="126"/>
      <c r="T35" s="126"/>
      <c r="U35" s="126"/>
      <c r="V35" s="126"/>
      <c r="W35" s="126"/>
      <c r="X35" s="126"/>
      <c r="Y35" s="126"/>
      <c r="Z35" s="126"/>
      <c r="AA35" s="126"/>
      <c r="AB35" s="126"/>
    </row>
    <row r="36" spans="1:28" ht="15.75" customHeight="1">
      <c r="A36" s="126"/>
      <c r="B36" s="725"/>
      <c r="C36" s="176"/>
      <c r="D36" s="725"/>
      <c r="E36" s="725"/>
      <c r="F36" s="725"/>
      <c r="G36" s="309"/>
      <c r="H36" s="179"/>
      <c r="I36" s="126"/>
      <c r="J36" s="126"/>
      <c r="K36" s="126"/>
      <c r="L36" s="126"/>
      <c r="M36" s="126"/>
      <c r="N36" s="126"/>
      <c r="O36" s="126"/>
      <c r="P36" s="126"/>
      <c r="Q36" s="126"/>
      <c r="R36" s="126"/>
      <c r="S36" s="126"/>
      <c r="T36" s="126"/>
      <c r="U36" s="126"/>
      <c r="V36" s="126"/>
      <c r="W36" s="126"/>
      <c r="X36" s="126"/>
      <c r="Y36" s="126"/>
      <c r="Z36" s="126"/>
      <c r="AA36" s="126"/>
      <c r="AB36" s="126"/>
    </row>
    <row r="37" spans="1:28" ht="15.75" customHeight="1">
      <c r="A37" s="126"/>
      <c r="B37" s="773" t="s">
        <v>4443</v>
      </c>
      <c r="C37" s="176"/>
      <c r="D37" s="774" t="s">
        <v>4444</v>
      </c>
      <c r="E37" s="725"/>
      <c r="F37" s="725"/>
      <c r="G37" s="180"/>
      <c r="H37" s="176"/>
      <c r="I37" s="126"/>
      <c r="J37" s="126"/>
      <c r="K37" s="126"/>
      <c r="L37" s="126"/>
      <c r="M37" s="126"/>
      <c r="N37" s="126"/>
      <c r="O37" s="126"/>
      <c r="P37" s="126"/>
      <c r="Q37" s="126"/>
      <c r="R37" s="126"/>
      <c r="S37" s="126"/>
      <c r="T37" s="126"/>
      <c r="U37" s="126"/>
      <c r="V37" s="126"/>
      <c r="W37" s="126"/>
      <c r="X37" s="126"/>
      <c r="Y37" s="126"/>
      <c r="Z37" s="126"/>
      <c r="AA37" s="126"/>
      <c r="AB37" s="126"/>
    </row>
    <row r="38" spans="1:28" ht="15" customHeight="1">
      <c r="A38" s="126"/>
      <c r="B38" s="725"/>
      <c r="C38" s="176"/>
      <c r="D38" s="725"/>
      <c r="E38" s="725"/>
      <c r="F38" s="725"/>
      <c r="G38" s="180"/>
      <c r="H38" s="181"/>
      <c r="I38" s="126"/>
      <c r="J38" s="126"/>
      <c r="K38" s="126"/>
      <c r="L38" s="126"/>
      <c r="M38" s="126"/>
      <c r="N38" s="126"/>
      <c r="O38" s="126"/>
      <c r="P38" s="126"/>
      <c r="Q38" s="126"/>
      <c r="R38" s="126"/>
      <c r="S38" s="126"/>
      <c r="T38" s="126"/>
      <c r="U38" s="126"/>
      <c r="V38" s="126"/>
      <c r="W38" s="126"/>
      <c r="X38" s="126"/>
      <c r="Y38" s="126"/>
      <c r="Z38" s="126"/>
      <c r="AA38" s="126"/>
      <c r="AB38" s="126"/>
    </row>
    <row r="39" spans="1:28" ht="15" customHeight="1">
      <c r="A39" s="126"/>
      <c r="B39" s="126"/>
      <c r="C39" s="176"/>
      <c r="D39" s="181"/>
      <c r="E39" s="181"/>
      <c r="F39" s="181"/>
      <c r="G39" s="181"/>
      <c r="H39" s="181"/>
      <c r="I39" s="126"/>
      <c r="J39" s="126"/>
      <c r="K39" s="126"/>
      <c r="L39" s="126"/>
      <c r="M39" s="126"/>
      <c r="N39" s="126"/>
      <c r="O39" s="126"/>
      <c r="P39" s="126"/>
      <c r="Q39" s="126"/>
      <c r="R39" s="126"/>
      <c r="S39" s="126"/>
      <c r="T39" s="126"/>
      <c r="U39" s="126"/>
      <c r="V39" s="126"/>
      <c r="W39" s="126"/>
      <c r="X39" s="126"/>
      <c r="Y39" s="126"/>
      <c r="Z39" s="126"/>
      <c r="AA39" s="126"/>
      <c r="AB39" s="126"/>
    </row>
    <row r="40" spans="1:28" ht="15" hidden="1" customHeight="1">
      <c r="A40" s="126"/>
      <c r="B40" s="126"/>
      <c r="C40" s="176"/>
      <c r="D40" s="181"/>
      <c r="E40" s="181"/>
      <c r="F40" s="181"/>
      <c r="G40" s="181"/>
      <c r="H40" s="181"/>
      <c r="I40" s="126"/>
      <c r="J40" s="126"/>
      <c r="K40" s="126"/>
      <c r="L40" s="126"/>
      <c r="M40" s="126"/>
      <c r="N40" s="126"/>
      <c r="O40" s="126"/>
      <c r="P40" s="126"/>
      <c r="Q40" s="126"/>
      <c r="R40" s="126"/>
      <c r="S40" s="126"/>
      <c r="T40" s="126"/>
      <c r="U40" s="126"/>
      <c r="V40" s="126"/>
      <c r="W40" s="126"/>
      <c r="X40" s="126"/>
      <c r="Y40" s="126"/>
      <c r="Z40" s="126"/>
      <c r="AA40" s="126"/>
      <c r="AB40" s="126"/>
    </row>
    <row r="41" spans="1:28" ht="15" hidden="1" customHeight="1">
      <c r="A41" s="126"/>
      <c r="B41" s="126"/>
      <c r="C41" s="176"/>
      <c r="D41" s="181"/>
      <c r="E41" s="181"/>
      <c r="F41" s="181"/>
      <c r="G41" s="181"/>
      <c r="H41" s="181"/>
      <c r="I41" s="126"/>
      <c r="J41" s="126"/>
      <c r="K41" s="126"/>
      <c r="L41" s="126"/>
      <c r="M41" s="126"/>
      <c r="N41" s="126"/>
      <c r="O41" s="126"/>
      <c r="P41" s="126"/>
      <c r="Q41" s="126"/>
      <c r="R41" s="126"/>
      <c r="S41" s="126"/>
      <c r="T41" s="126"/>
      <c r="U41" s="126"/>
      <c r="V41" s="126"/>
      <c r="W41" s="126"/>
      <c r="X41" s="126"/>
      <c r="Y41" s="126"/>
      <c r="Z41" s="126"/>
      <c r="AA41" s="126"/>
      <c r="AB41" s="126"/>
    </row>
    <row r="42" spans="1:28" ht="15.75" hidden="1" customHeight="1">
      <c r="A42" s="126"/>
      <c r="B42" s="126"/>
      <c r="C42" s="176"/>
      <c r="D42" s="176"/>
      <c r="E42" s="176"/>
      <c r="F42" s="176"/>
      <c r="G42" s="176"/>
      <c r="H42" s="176"/>
      <c r="I42" s="126"/>
      <c r="J42" s="126"/>
      <c r="K42" s="126"/>
      <c r="L42" s="126"/>
      <c r="M42" s="126"/>
      <c r="N42" s="126"/>
      <c r="O42" s="126"/>
      <c r="P42" s="126"/>
      <c r="Q42" s="126"/>
      <c r="R42" s="126"/>
      <c r="S42" s="126"/>
      <c r="T42" s="126"/>
      <c r="U42" s="126"/>
      <c r="V42" s="126"/>
      <c r="W42" s="126"/>
      <c r="X42" s="126"/>
      <c r="Y42" s="126"/>
      <c r="Z42" s="126"/>
      <c r="AA42" s="126"/>
      <c r="AB42" s="126"/>
    </row>
    <row r="43" spans="1:28" ht="15.75" hidden="1" customHeight="1">
      <c r="A43" s="126"/>
      <c r="B43" s="126"/>
      <c r="C43" s="176"/>
      <c r="D43" s="176"/>
      <c r="E43" s="176"/>
      <c r="F43" s="176"/>
      <c r="G43" s="176"/>
      <c r="H43" s="176"/>
      <c r="I43" s="126"/>
      <c r="J43" s="126"/>
      <c r="K43" s="126"/>
      <c r="L43" s="126"/>
      <c r="M43" s="126"/>
      <c r="N43" s="126"/>
      <c r="O43" s="126"/>
      <c r="P43" s="126"/>
      <c r="Q43" s="126"/>
      <c r="R43" s="126"/>
      <c r="S43" s="126"/>
      <c r="T43" s="126"/>
      <c r="U43" s="126"/>
      <c r="V43" s="126"/>
      <c r="W43" s="126"/>
      <c r="X43" s="126"/>
      <c r="Y43" s="126"/>
      <c r="Z43" s="126"/>
      <c r="AA43" s="126"/>
      <c r="AB43" s="126"/>
    </row>
    <row r="44" spans="1:28" ht="15.75" hidden="1" customHeight="1">
      <c r="A44" s="126"/>
      <c r="B44" s="126"/>
      <c r="C44" s="176"/>
      <c r="D44" s="176"/>
      <c r="E44" s="176"/>
      <c r="F44" s="176"/>
      <c r="G44" s="176"/>
      <c r="H44" s="176"/>
      <c r="I44" s="126"/>
      <c r="J44" s="126"/>
      <c r="K44" s="126"/>
      <c r="L44" s="126"/>
      <c r="M44" s="126"/>
      <c r="N44" s="126"/>
      <c r="O44" s="126"/>
      <c r="P44" s="126"/>
      <c r="Q44" s="126"/>
      <c r="R44" s="126"/>
      <c r="S44" s="126"/>
      <c r="T44" s="126"/>
      <c r="U44" s="126"/>
      <c r="V44" s="126"/>
      <c r="W44" s="126"/>
      <c r="X44" s="126"/>
      <c r="Y44" s="126"/>
      <c r="Z44" s="126"/>
      <c r="AA44" s="126"/>
      <c r="AB44" s="126"/>
    </row>
    <row r="45" spans="1:28" ht="15.75" hidden="1" customHeight="1">
      <c r="A45" s="126"/>
      <c r="B45" s="126"/>
      <c r="C45" s="176"/>
      <c r="D45" s="176"/>
      <c r="E45" s="176"/>
      <c r="F45" s="176"/>
      <c r="G45" s="176"/>
      <c r="H45" s="176"/>
      <c r="I45" s="126"/>
      <c r="J45" s="126"/>
      <c r="K45" s="126"/>
      <c r="L45" s="126"/>
      <c r="M45" s="126"/>
      <c r="N45" s="126"/>
      <c r="O45" s="126"/>
      <c r="P45" s="126"/>
      <c r="Q45" s="126"/>
      <c r="R45" s="126"/>
      <c r="S45" s="126"/>
      <c r="T45" s="126"/>
      <c r="U45" s="126"/>
      <c r="V45" s="126"/>
      <c r="W45" s="126"/>
      <c r="X45" s="126"/>
      <c r="Y45" s="126"/>
      <c r="Z45" s="126"/>
      <c r="AA45" s="126"/>
      <c r="AB45" s="126"/>
    </row>
    <row r="46" spans="1:28" ht="15.75" hidden="1" customHeight="1">
      <c r="A46" s="126"/>
      <c r="B46" s="126"/>
      <c r="C46" s="176"/>
      <c r="D46" s="176"/>
      <c r="E46" s="176"/>
      <c r="F46" s="176"/>
      <c r="G46" s="176"/>
      <c r="H46" s="176"/>
      <c r="I46" s="126"/>
      <c r="J46" s="126"/>
      <c r="K46" s="126"/>
      <c r="L46" s="126"/>
      <c r="M46" s="126"/>
      <c r="N46" s="126"/>
      <c r="O46" s="126"/>
      <c r="P46" s="126"/>
      <c r="Q46" s="126"/>
      <c r="R46" s="126"/>
      <c r="S46" s="126"/>
      <c r="T46" s="126"/>
      <c r="U46" s="126"/>
      <c r="V46" s="126"/>
      <c r="W46" s="126"/>
      <c r="X46" s="126"/>
      <c r="Y46" s="126"/>
      <c r="Z46" s="126"/>
      <c r="AA46" s="126"/>
      <c r="AB46" s="126"/>
    </row>
    <row r="47" spans="1:28" ht="15.75" hidden="1" customHeight="1">
      <c r="A47" s="126"/>
      <c r="B47" s="126"/>
      <c r="C47" s="176"/>
      <c r="D47" s="176"/>
      <c r="E47" s="176"/>
      <c r="F47" s="176"/>
      <c r="G47" s="176"/>
      <c r="H47" s="176"/>
      <c r="I47" s="126"/>
      <c r="J47" s="126"/>
      <c r="K47" s="126"/>
      <c r="L47" s="126"/>
      <c r="M47" s="126"/>
      <c r="N47" s="126"/>
      <c r="O47" s="126"/>
      <c r="P47" s="126"/>
      <c r="Q47" s="126"/>
      <c r="R47" s="126"/>
      <c r="S47" s="126"/>
      <c r="T47" s="126"/>
      <c r="U47" s="126"/>
      <c r="V47" s="126"/>
      <c r="W47" s="126"/>
      <c r="X47" s="126"/>
      <c r="Y47" s="126"/>
      <c r="Z47" s="126"/>
      <c r="AA47" s="126"/>
      <c r="AB47" s="126"/>
    </row>
    <row r="48" spans="1:28" ht="15.75" hidden="1" customHeight="1">
      <c r="A48" s="126"/>
      <c r="B48" s="126"/>
      <c r="C48" s="176"/>
      <c r="D48" s="176"/>
      <c r="E48" s="176"/>
      <c r="F48" s="176"/>
      <c r="G48" s="176"/>
      <c r="H48" s="176"/>
      <c r="I48" s="126"/>
      <c r="J48" s="126"/>
      <c r="K48" s="126"/>
      <c r="L48" s="126"/>
      <c r="M48" s="126"/>
      <c r="N48" s="126"/>
      <c r="O48" s="126"/>
      <c r="P48" s="126"/>
      <c r="Q48" s="126"/>
      <c r="R48" s="126"/>
      <c r="S48" s="126"/>
      <c r="T48" s="126"/>
      <c r="U48" s="126"/>
      <c r="V48" s="126"/>
      <c r="W48" s="126"/>
      <c r="X48" s="126"/>
      <c r="Y48" s="126"/>
      <c r="Z48" s="126"/>
      <c r="AA48" s="126"/>
      <c r="AB48" s="126"/>
    </row>
    <row r="49" spans="1:28" ht="15.75" hidden="1" customHeight="1">
      <c r="A49" s="126"/>
      <c r="B49" s="126"/>
      <c r="C49" s="176"/>
      <c r="D49" s="176"/>
      <c r="E49" s="176"/>
      <c r="F49" s="176"/>
      <c r="G49" s="176"/>
      <c r="H49" s="176"/>
      <c r="I49" s="126"/>
      <c r="J49" s="126"/>
      <c r="K49" s="126"/>
      <c r="L49" s="126"/>
      <c r="M49" s="126"/>
      <c r="N49" s="126"/>
      <c r="O49" s="126"/>
      <c r="P49" s="126"/>
      <c r="Q49" s="126"/>
      <c r="R49" s="126"/>
      <c r="S49" s="126"/>
      <c r="T49" s="126"/>
      <c r="U49" s="126"/>
      <c r="V49" s="126"/>
      <c r="W49" s="126"/>
      <c r="X49" s="126"/>
      <c r="Y49" s="126"/>
      <c r="Z49" s="126"/>
      <c r="AA49" s="126"/>
      <c r="AB49" s="126"/>
    </row>
    <row r="50" spans="1:28" ht="15.75" hidden="1" customHeight="1">
      <c r="A50" s="126"/>
      <c r="B50" s="126"/>
      <c r="C50" s="176"/>
      <c r="D50" s="176"/>
      <c r="E50" s="176"/>
      <c r="F50" s="176"/>
      <c r="G50" s="176"/>
      <c r="H50" s="176"/>
      <c r="I50" s="126"/>
      <c r="J50" s="126"/>
      <c r="K50" s="126"/>
      <c r="L50" s="126"/>
      <c r="M50" s="126"/>
      <c r="N50" s="126"/>
      <c r="O50" s="126"/>
      <c r="P50" s="126"/>
      <c r="Q50" s="126"/>
      <c r="R50" s="126"/>
      <c r="S50" s="126"/>
      <c r="T50" s="126"/>
      <c r="U50" s="126"/>
      <c r="V50" s="126"/>
      <c r="W50" s="126"/>
      <c r="X50" s="126"/>
      <c r="Y50" s="126"/>
      <c r="Z50" s="126"/>
      <c r="AA50" s="126"/>
      <c r="AB50" s="126"/>
    </row>
    <row r="51" spans="1:28" ht="15.75" hidden="1" customHeight="1">
      <c r="A51" s="126"/>
      <c r="B51" s="126"/>
      <c r="C51" s="176"/>
      <c r="D51" s="176"/>
      <c r="E51" s="176"/>
      <c r="F51" s="176"/>
      <c r="G51" s="176"/>
      <c r="H51" s="176"/>
      <c r="I51" s="126"/>
      <c r="J51" s="126"/>
      <c r="K51" s="126"/>
      <c r="L51" s="126"/>
      <c r="M51" s="126"/>
      <c r="N51" s="126"/>
      <c r="O51" s="126"/>
      <c r="P51" s="126"/>
      <c r="Q51" s="126"/>
      <c r="R51" s="126"/>
      <c r="S51" s="126"/>
      <c r="T51" s="126"/>
      <c r="U51" s="126"/>
      <c r="V51" s="126"/>
      <c r="W51" s="126"/>
      <c r="X51" s="126"/>
      <c r="Y51" s="126"/>
      <c r="Z51" s="126"/>
      <c r="AA51" s="126"/>
      <c r="AB51" s="126"/>
    </row>
    <row r="52" spans="1:28" ht="15.75" hidden="1" customHeight="1">
      <c r="A52" s="126"/>
      <c r="B52" s="126"/>
      <c r="C52" s="176"/>
      <c r="D52" s="176"/>
      <c r="E52" s="176"/>
      <c r="F52" s="176"/>
      <c r="G52" s="176"/>
      <c r="H52" s="176"/>
      <c r="I52" s="126"/>
      <c r="J52" s="126"/>
      <c r="K52" s="126"/>
      <c r="L52" s="126"/>
      <c r="M52" s="126"/>
      <c r="N52" s="126"/>
      <c r="O52" s="126"/>
      <c r="P52" s="126"/>
      <c r="Q52" s="126"/>
      <c r="R52" s="126"/>
      <c r="S52" s="126"/>
      <c r="T52" s="126"/>
      <c r="U52" s="126"/>
      <c r="V52" s="126"/>
      <c r="W52" s="126"/>
      <c r="X52" s="126"/>
      <c r="Y52" s="126"/>
      <c r="Z52" s="126"/>
      <c r="AA52" s="126"/>
      <c r="AB52" s="126"/>
    </row>
    <row r="53" spans="1:28" ht="15.75" hidden="1" customHeight="1">
      <c r="A53" s="126"/>
      <c r="B53" s="126"/>
      <c r="C53" s="176"/>
      <c r="D53" s="176"/>
      <c r="E53" s="176"/>
      <c r="F53" s="176"/>
      <c r="G53" s="176"/>
      <c r="H53" s="176"/>
      <c r="I53" s="126"/>
      <c r="J53" s="126"/>
      <c r="K53" s="126"/>
      <c r="L53" s="126"/>
      <c r="M53" s="126"/>
      <c r="N53" s="126"/>
      <c r="O53" s="126"/>
      <c r="P53" s="126"/>
      <c r="Q53" s="126"/>
      <c r="R53" s="126"/>
      <c r="S53" s="126"/>
      <c r="T53" s="126"/>
      <c r="U53" s="126"/>
      <c r="V53" s="126"/>
      <c r="W53" s="126"/>
      <c r="X53" s="126"/>
      <c r="Y53" s="126"/>
      <c r="Z53" s="126"/>
      <c r="AA53" s="126"/>
      <c r="AB53" s="126"/>
    </row>
    <row r="54" spans="1:28" ht="15.75" hidden="1" customHeight="1">
      <c r="A54" s="126"/>
      <c r="B54" s="126"/>
      <c r="C54" s="176"/>
      <c r="D54" s="176"/>
      <c r="E54" s="176"/>
      <c r="F54" s="176"/>
      <c r="G54" s="176"/>
      <c r="H54" s="176"/>
      <c r="I54" s="126"/>
      <c r="J54" s="126"/>
      <c r="K54" s="126"/>
      <c r="L54" s="126"/>
      <c r="M54" s="126"/>
      <c r="N54" s="126"/>
      <c r="O54" s="126"/>
      <c r="P54" s="126"/>
      <c r="Q54" s="126"/>
      <c r="R54" s="126"/>
      <c r="S54" s="126"/>
      <c r="T54" s="126"/>
      <c r="U54" s="126"/>
      <c r="V54" s="126"/>
      <c r="W54" s="126"/>
      <c r="X54" s="126"/>
      <c r="Y54" s="126"/>
      <c r="Z54" s="126"/>
      <c r="AA54" s="126"/>
      <c r="AB54" s="126"/>
    </row>
    <row r="55" spans="1:28" ht="15.75" hidden="1" customHeight="1">
      <c r="A55" s="126"/>
      <c r="B55" s="126"/>
      <c r="C55" s="176"/>
      <c r="D55" s="176"/>
      <c r="E55" s="176"/>
      <c r="F55" s="176"/>
      <c r="G55" s="176"/>
      <c r="H55" s="176"/>
      <c r="I55" s="126"/>
      <c r="J55" s="126"/>
      <c r="K55" s="126"/>
      <c r="L55" s="126"/>
      <c r="M55" s="126"/>
      <c r="N55" s="126"/>
      <c r="O55" s="126"/>
      <c r="P55" s="126"/>
      <c r="Q55" s="126"/>
      <c r="R55" s="126"/>
      <c r="S55" s="126"/>
      <c r="T55" s="126"/>
      <c r="U55" s="126"/>
      <c r="V55" s="126"/>
      <c r="W55" s="126"/>
      <c r="X55" s="126"/>
      <c r="Y55" s="126"/>
      <c r="Z55" s="126"/>
      <c r="AA55" s="126"/>
      <c r="AB55" s="126"/>
    </row>
    <row r="56" spans="1:28" ht="15.75" hidden="1" customHeight="1">
      <c r="A56" s="126"/>
      <c r="B56" s="126"/>
      <c r="C56" s="176"/>
      <c r="D56" s="176"/>
      <c r="E56" s="176"/>
      <c r="F56" s="176"/>
      <c r="G56" s="176"/>
      <c r="H56" s="176"/>
      <c r="I56" s="126"/>
      <c r="J56" s="126"/>
      <c r="K56" s="126"/>
      <c r="L56" s="126"/>
      <c r="M56" s="126"/>
      <c r="N56" s="126"/>
      <c r="O56" s="126"/>
      <c r="P56" s="126"/>
      <c r="Q56" s="126"/>
      <c r="R56" s="126"/>
      <c r="S56" s="126"/>
      <c r="T56" s="126"/>
      <c r="U56" s="126"/>
      <c r="V56" s="126"/>
      <c r="W56" s="126"/>
      <c r="X56" s="126"/>
      <c r="Y56" s="126"/>
      <c r="Z56" s="126"/>
      <c r="AA56" s="126"/>
      <c r="AB56" s="126"/>
    </row>
    <row r="57" spans="1:28" ht="15.75" hidden="1" customHeight="1">
      <c r="A57" s="126"/>
      <c r="B57" s="126"/>
      <c r="C57" s="176"/>
      <c r="D57" s="176"/>
      <c r="E57" s="176"/>
      <c r="F57" s="176"/>
      <c r="G57" s="176"/>
      <c r="H57" s="176"/>
      <c r="I57" s="126"/>
      <c r="J57" s="126"/>
      <c r="K57" s="126"/>
      <c r="L57" s="126"/>
      <c r="M57" s="126"/>
      <c r="N57" s="126"/>
      <c r="O57" s="126"/>
      <c r="P57" s="126"/>
      <c r="Q57" s="126"/>
      <c r="R57" s="126"/>
      <c r="S57" s="126"/>
      <c r="T57" s="126"/>
      <c r="U57" s="126"/>
      <c r="V57" s="126"/>
      <c r="W57" s="126"/>
      <c r="X57" s="126"/>
      <c r="Y57" s="126"/>
      <c r="Z57" s="126"/>
      <c r="AA57" s="126"/>
      <c r="AB57" s="126"/>
    </row>
    <row r="58" spans="1:28" ht="15.75" hidden="1" customHeight="1">
      <c r="A58" s="126"/>
      <c r="B58" s="126"/>
      <c r="C58" s="176"/>
      <c r="D58" s="176"/>
      <c r="E58" s="176"/>
      <c r="F58" s="176"/>
      <c r="G58" s="176"/>
      <c r="H58" s="176"/>
      <c r="I58" s="126"/>
      <c r="J58" s="126"/>
      <c r="K58" s="126"/>
      <c r="L58" s="126"/>
      <c r="M58" s="126"/>
      <c r="N58" s="126"/>
      <c r="O58" s="126"/>
      <c r="P58" s="126"/>
      <c r="Q58" s="126"/>
      <c r="R58" s="126"/>
      <c r="S58" s="126"/>
      <c r="T58" s="126"/>
      <c r="U58" s="126"/>
      <c r="V58" s="126"/>
      <c r="W58" s="126"/>
      <c r="X58" s="126"/>
      <c r="Y58" s="126"/>
      <c r="Z58" s="126"/>
      <c r="AA58" s="126"/>
      <c r="AB58" s="126"/>
    </row>
    <row r="59" spans="1:28" ht="15.75" hidden="1" customHeight="1">
      <c r="A59" s="126"/>
      <c r="B59" s="126"/>
      <c r="C59" s="176"/>
      <c r="D59" s="176"/>
      <c r="E59" s="176"/>
      <c r="F59" s="176"/>
      <c r="G59" s="176"/>
      <c r="H59" s="176"/>
      <c r="I59" s="126"/>
      <c r="J59" s="126"/>
      <c r="K59" s="126"/>
      <c r="L59" s="126"/>
      <c r="M59" s="126"/>
      <c r="N59" s="126"/>
      <c r="O59" s="126"/>
      <c r="P59" s="126"/>
      <c r="Q59" s="126"/>
      <c r="R59" s="126"/>
      <c r="S59" s="126"/>
      <c r="T59" s="126"/>
      <c r="U59" s="126"/>
      <c r="V59" s="126"/>
      <c r="W59" s="126"/>
      <c r="X59" s="126"/>
      <c r="Y59" s="126"/>
      <c r="Z59" s="126"/>
      <c r="AA59" s="126"/>
      <c r="AB59" s="126"/>
    </row>
    <row r="60" spans="1:28" ht="15.75" hidden="1" customHeight="1">
      <c r="A60" s="126"/>
      <c r="B60" s="126"/>
      <c r="C60" s="176"/>
      <c r="D60" s="176"/>
      <c r="E60" s="176"/>
      <c r="F60" s="176"/>
      <c r="G60" s="176"/>
      <c r="H60" s="176"/>
      <c r="I60" s="126"/>
      <c r="J60" s="126"/>
      <c r="K60" s="126"/>
      <c r="L60" s="126"/>
      <c r="M60" s="126"/>
      <c r="N60" s="126"/>
      <c r="O60" s="126"/>
      <c r="P60" s="126"/>
      <c r="Q60" s="126"/>
      <c r="R60" s="126"/>
      <c r="S60" s="126"/>
      <c r="T60" s="126"/>
      <c r="U60" s="126"/>
      <c r="V60" s="126"/>
      <c r="W60" s="126"/>
      <c r="X60" s="126"/>
      <c r="Y60" s="126"/>
      <c r="Z60" s="126"/>
      <c r="AA60" s="126"/>
      <c r="AB60" s="126"/>
    </row>
    <row r="61" spans="1:28" ht="15.75" hidden="1" customHeight="1">
      <c r="A61" s="126"/>
      <c r="B61" s="126"/>
      <c r="C61" s="176"/>
      <c r="D61" s="176"/>
      <c r="E61" s="176"/>
      <c r="F61" s="176"/>
      <c r="G61" s="176"/>
      <c r="H61" s="176"/>
      <c r="I61" s="126"/>
      <c r="J61" s="126"/>
      <c r="K61" s="126"/>
      <c r="L61" s="126"/>
      <c r="M61" s="126"/>
      <c r="N61" s="126"/>
      <c r="O61" s="126"/>
      <c r="P61" s="126"/>
      <c r="Q61" s="126"/>
      <c r="R61" s="126"/>
      <c r="S61" s="126"/>
      <c r="T61" s="126"/>
      <c r="U61" s="126"/>
      <c r="V61" s="126"/>
      <c r="W61" s="126"/>
      <c r="X61" s="126"/>
      <c r="Y61" s="126"/>
      <c r="Z61" s="126"/>
      <c r="AA61" s="126"/>
      <c r="AB61" s="126"/>
    </row>
    <row r="62" spans="1:28" ht="15.75" hidden="1" customHeight="1">
      <c r="A62" s="126"/>
      <c r="B62" s="126"/>
      <c r="C62" s="176"/>
      <c r="D62" s="176"/>
      <c r="E62" s="176"/>
      <c r="F62" s="176"/>
      <c r="G62" s="176"/>
      <c r="H62" s="176"/>
      <c r="I62" s="126"/>
      <c r="J62" s="126"/>
      <c r="K62" s="126"/>
      <c r="L62" s="126"/>
      <c r="M62" s="126"/>
      <c r="N62" s="126"/>
      <c r="O62" s="126"/>
      <c r="P62" s="126"/>
      <c r="Q62" s="126"/>
      <c r="R62" s="126"/>
      <c r="S62" s="126"/>
      <c r="T62" s="126"/>
      <c r="U62" s="126"/>
      <c r="V62" s="126"/>
      <c r="W62" s="126"/>
      <c r="X62" s="126"/>
      <c r="Y62" s="126"/>
      <c r="Z62" s="126"/>
      <c r="AA62" s="126"/>
      <c r="AB62" s="126"/>
    </row>
    <row r="63" spans="1:28" ht="15.75" hidden="1" customHeight="1">
      <c r="A63" s="126"/>
      <c r="B63" s="126"/>
      <c r="C63" s="176"/>
      <c r="D63" s="176"/>
      <c r="E63" s="176"/>
      <c r="F63" s="176"/>
      <c r="G63" s="176"/>
      <c r="H63" s="176"/>
      <c r="I63" s="126"/>
      <c r="J63" s="126"/>
      <c r="K63" s="126"/>
      <c r="L63" s="126"/>
      <c r="M63" s="126"/>
      <c r="N63" s="126"/>
      <c r="O63" s="126"/>
      <c r="P63" s="126"/>
      <c r="Q63" s="126"/>
      <c r="R63" s="126"/>
      <c r="S63" s="126"/>
      <c r="T63" s="126"/>
      <c r="U63" s="126"/>
      <c r="V63" s="126"/>
      <c r="W63" s="126"/>
      <c r="X63" s="126"/>
      <c r="Y63" s="126"/>
      <c r="Z63" s="126"/>
      <c r="AA63" s="126"/>
      <c r="AB63" s="126"/>
    </row>
    <row r="64" spans="1:28" ht="15.75" hidden="1" customHeight="1">
      <c r="A64" s="126"/>
      <c r="B64" s="126"/>
      <c r="C64" s="176"/>
      <c r="D64" s="176"/>
      <c r="E64" s="176"/>
      <c r="F64" s="176"/>
      <c r="G64" s="176"/>
      <c r="H64" s="176"/>
      <c r="I64" s="126"/>
      <c r="J64" s="126"/>
      <c r="K64" s="126"/>
      <c r="L64" s="126"/>
      <c r="M64" s="126"/>
      <c r="N64" s="126"/>
      <c r="O64" s="126"/>
      <c r="P64" s="126"/>
      <c r="Q64" s="126"/>
      <c r="R64" s="126"/>
      <c r="S64" s="126"/>
      <c r="T64" s="126"/>
      <c r="U64" s="126"/>
      <c r="V64" s="126"/>
      <c r="W64" s="126"/>
      <c r="X64" s="126"/>
      <c r="Y64" s="126"/>
      <c r="Z64" s="126"/>
      <c r="AA64" s="126"/>
      <c r="AB64" s="126"/>
    </row>
    <row r="65" spans="1:28" ht="15.75" hidden="1" customHeight="1">
      <c r="A65" s="126"/>
      <c r="B65" s="126"/>
      <c r="C65" s="176"/>
      <c r="D65" s="176"/>
      <c r="E65" s="176"/>
      <c r="F65" s="176"/>
      <c r="G65" s="176"/>
      <c r="H65" s="176"/>
      <c r="I65" s="126"/>
      <c r="J65" s="126"/>
      <c r="K65" s="126"/>
      <c r="L65" s="126"/>
      <c r="M65" s="126"/>
      <c r="N65" s="126"/>
      <c r="O65" s="126"/>
      <c r="P65" s="126"/>
      <c r="Q65" s="126"/>
      <c r="R65" s="126"/>
      <c r="S65" s="126"/>
      <c r="T65" s="126"/>
      <c r="U65" s="126"/>
      <c r="V65" s="126"/>
      <c r="W65" s="126"/>
      <c r="X65" s="126"/>
      <c r="Y65" s="126"/>
      <c r="Z65" s="126"/>
      <c r="AA65" s="126"/>
      <c r="AB65" s="126"/>
    </row>
    <row r="66" spans="1:28" ht="15.75" hidden="1" customHeight="1">
      <c r="A66" s="126"/>
      <c r="B66" s="126"/>
      <c r="C66" s="176"/>
      <c r="D66" s="176"/>
      <c r="E66" s="176"/>
      <c r="F66" s="176"/>
      <c r="G66" s="176"/>
      <c r="H66" s="176"/>
      <c r="I66" s="126"/>
      <c r="J66" s="126"/>
      <c r="K66" s="126"/>
      <c r="L66" s="126"/>
      <c r="M66" s="126"/>
      <c r="N66" s="126"/>
      <c r="O66" s="126"/>
      <c r="P66" s="126"/>
      <c r="Q66" s="126"/>
      <c r="R66" s="126"/>
      <c r="S66" s="126"/>
      <c r="T66" s="126"/>
      <c r="U66" s="126"/>
      <c r="V66" s="126"/>
      <c r="W66" s="126"/>
      <c r="X66" s="126"/>
      <c r="Y66" s="126"/>
      <c r="Z66" s="126"/>
      <c r="AA66" s="126"/>
      <c r="AB66" s="126"/>
    </row>
    <row r="67" spans="1:28" ht="15.75" hidden="1" customHeight="1">
      <c r="A67" s="126"/>
      <c r="B67" s="126"/>
      <c r="C67" s="176"/>
      <c r="D67" s="176"/>
      <c r="E67" s="176"/>
      <c r="F67" s="176"/>
      <c r="G67" s="176"/>
      <c r="H67" s="176"/>
      <c r="I67" s="126"/>
      <c r="J67" s="126"/>
      <c r="K67" s="126"/>
      <c r="L67" s="126"/>
      <c r="M67" s="126"/>
      <c r="N67" s="126"/>
      <c r="O67" s="126"/>
      <c r="P67" s="126"/>
      <c r="Q67" s="126"/>
      <c r="R67" s="126"/>
      <c r="S67" s="126"/>
      <c r="T67" s="126"/>
      <c r="U67" s="126"/>
      <c r="V67" s="126"/>
      <c r="W67" s="126"/>
      <c r="X67" s="126"/>
      <c r="Y67" s="126"/>
      <c r="Z67" s="126"/>
      <c r="AA67" s="126"/>
      <c r="AB67" s="126"/>
    </row>
    <row r="68" spans="1:28" ht="15.75" hidden="1" customHeight="1">
      <c r="A68" s="126"/>
      <c r="B68" s="126"/>
      <c r="C68" s="176"/>
      <c r="D68" s="176"/>
      <c r="E68" s="176"/>
      <c r="F68" s="176"/>
      <c r="G68" s="176"/>
      <c r="H68" s="176"/>
      <c r="I68" s="126"/>
      <c r="J68" s="126"/>
      <c r="K68" s="126"/>
      <c r="L68" s="126"/>
      <c r="M68" s="126"/>
      <c r="N68" s="126"/>
      <c r="O68" s="126"/>
      <c r="P68" s="126"/>
      <c r="Q68" s="126"/>
      <c r="R68" s="126"/>
      <c r="S68" s="126"/>
      <c r="T68" s="126"/>
      <c r="U68" s="126"/>
      <c r="V68" s="126"/>
      <c r="W68" s="126"/>
      <c r="X68" s="126"/>
      <c r="Y68" s="126"/>
      <c r="Z68" s="126"/>
      <c r="AA68" s="126"/>
      <c r="AB68" s="126"/>
    </row>
    <row r="69" spans="1:28" ht="15.75" hidden="1" customHeight="1">
      <c r="A69" s="126"/>
      <c r="B69" s="126"/>
      <c r="C69" s="176"/>
      <c r="D69" s="176"/>
      <c r="E69" s="176"/>
      <c r="F69" s="176"/>
      <c r="G69" s="176"/>
      <c r="H69" s="176"/>
      <c r="I69" s="126"/>
      <c r="J69" s="126"/>
      <c r="K69" s="126"/>
      <c r="L69" s="126"/>
      <c r="M69" s="126"/>
      <c r="N69" s="126"/>
      <c r="O69" s="126"/>
      <c r="P69" s="126"/>
      <c r="Q69" s="126"/>
      <c r="R69" s="126"/>
      <c r="S69" s="126"/>
      <c r="T69" s="126"/>
      <c r="U69" s="126"/>
      <c r="V69" s="126"/>
      <c r="W69" s="126"/>
      <c r="X69" s="126"/>
      <c r="Y69" s="126"/>
      <c r="Z69" s="126"/>
      <c r="AA69" s="126"/>
      <c r="AB69" s="126"/>
    </row>
    <row r="70" spans="1:28" ht="15.75" hidden="1" customHeight="1">
      <c r="A70" s="126"/>
      <c r="B70" s="126"/>
      <c r="C70" s="176"/>
      <c r="D70" s="176"/>
      <c r="E70" s="176"/>
      <c r="F70" s="176"/>
      <c r="G70" s="176"/>
      <c r="H70" s="176"/>
      <c r="I70" s="126"/>
      <c r="J70" s="126"/>
      <c r="K70" s="126"/>
      <c r="L70" s="126"/>
      <c r="M70" s="126"/>
      <c r="N70" s="126"/>
      <c r="O70" s="126"/>
      <c r="P70" s="126"/>
      <c r="Q70" s="126"/>
      <c r="R70" s="126"/>
      <c r="S70" s="126"/>
      <c r="T70" s="126"/>
      <c r="U70" s="126"/>
      <c r="V70" s="126"/>
      <c r="W70" s="126"/>
      <c r="X70" s="126"/>
      <c r="Y70" s="126"/>
      <c r="Z70" s="126"/>
      <c r="AA70" s="126"/>
      <c r="AB70" s="126"/>
    </row>
    <row r="71" spans="1:28" ht="15.75" hidden="1" customHeight="1">
      <c r="A71" s="126"/>
      <c r="B71" s="126"/>
      <c r="C71" s="176"/>
      <c r="D71" s="176"/>
      <c r="E71" s="176"/>
      <c r="F71" s="176"/>
      <c r="G71" s="176"/>
      <c r="H71" s="176"/>
      <c r="I71" s="126"/>
      <c r="J71" s="126"/>
      <c r="K71" s="126"/>
      <c r="L71" s="126"/>
      <c r="M71" s="126"/>
      <c r="N71" s="126"/>
      <c r="O71" s="126"/>
      <c r="P71" s="126"/>
      <c r="Q71" s="126"/>
      <c r="R71" s="126"/>
      <c r="S71" s="126"/>
      <c r="T71" s="126"/>
      <c r="U71" s="126"/>
      <c r="V71" s="126"/>
      <c r="W71" s="126"/>
      <c r="X71" s="126"/>
      <c r="Y71" s="126"/>
      <c r="Z71" s="126"/>
      <c r="AA71" s="126"/>
      <c r="AB71" s="126"/>
    </row>
    <row r="72" spans="1:28" ht="15.75" hidden="1" customHeight="1">
      <c r="A72" s="126"/>
      <c r="B72" s="126"/>
      <c r="C72" s="176"/>
      <c r="D72" s="176"/>
      <c r="E72" s="176"/>
      <c r="F72" s="176"/>
      <c r="G72" s="176"/>
      <c r="H72" s="176"/>
      <c r="I72" s="126"/>
      <c r="J72" s="126"/>
      <c r="K72" s="126"/>
      <c r="L72" s="126"/>
      <c r="M72" s="126"/>
      <c r="N72" s="126"/>
      <c r="O72" s="126"/>
      <c r="P72" s="126"/>
      <c r="Q72" s="126"/>
      <c r="R72" s="126"/>
      <c r="S72" s="126"/>
      <c r="T72" s="126"/>
      <c r="U72" s="126"/>
      <c r="V72" s="126"/>
      <c r="W72" s="126"/>
      <c r="X72" s="126"/>
      <c r="Y72" s="126"/>
      <c r="Z72" s="126"/>
      <c r="AA72" s="126"/>
      <c r="AB72" s="126"/>
    </row>
    <row r="73" spans="1:28" ht="15.75" hidden="1" customHeight="1">
      <c r="A73" s="126"/>
      <c r="B73" s="126"/>
      <c r="C73" s="176"/>
      <c r="D73" s="176"/>
      <c r="E73" s="176"/>
      <c r="F73" s="176"/>
      <c r="G73" s="176"/>
      <c r="H73" s="176"/>
      <c r="I73" s="126"/>
      <c r="J73" s="126"/>
      <c r="K73" s="126"/>
      <c r="L73" s="126"/>
      <c r="M73" s="126"/>
      <c r="N73" s="126"/>
      <c r="O73" s="126"/>
      <c r="P73" s="126"/>
      <c r="Q73" s="126"/>
      <c r="R73" s="126"/>
      <c r="S73" s="126"/>
      <c r="T73" s="126"/>
      <c r="U73" s="126"/>
      <c r="V73" s="126"/>
      <c r="W73" s="126"/>
      <c r="X73" s="126"/>
      <c r="Y73" s="126"/>
      <c r="Z73" s="126"/>
      <c r="AA73" s="126"/>
      <c r="AB73" s="126"/>
    </row>
    <row r="74" spans="1:28" ht="15.75" hidden="1" customHeight="1">
      <c r="A74" s="126"/>
      <c r="B74" s="126"/>
      <c r="C74" s="176"/>
      <c r="D74" s="176"/>
      <c r="E74" s="176"/>
      <c r="F74" s="176"/>
      <c r="G74" s="176"/>
      <c r="H74" s="176"/>
      <c r="I74" s="126"/>
      <c r="J74" s="126"/>
      <c r="K74" s="126"/>
      <c r="L74" s="126"/>
      <c r="M74" s="126"/>
      <c r="N74" s="126"/>
      <c r="O74" s="126"/>
      <c r="P74" s="126"/>
      <c r="Q74" s="126"/>
      <c r="R74" s="126"/>
      <c r="S74" s="126"/>
      <c r="T74" s="126"/>
      <c r="U74" s="126"/>
      <c r="V74" s="126"/>
      <c r="W74" s="126"/>
      <c r="X74" s="126"/>
      <c r="Y74" s="126"/>
      <c r="Z74" s="126"/>
      <c r="AA74" s="126"/>
      <c r="AB74" s="126"/>
    </row>
    <row r="75" spans="1:28" ht="15.75" hidden="1" customHeight="1">
      <c r="A75" s="126"/>
      <c r="B75" s="126"/>
      <c r="C75" s="176"/>
      <c r="D75" s="176"/>
      <c r="E75" s="176"/>
      <c r="F75" s="176"/>
      <c r="G75" s="176"/>
      <c r="H75" s="176"/>
      <c r="I75" s="126"/>
      <c r="J75" s="126"/>
      <c r="K75" s="126"/>
      <c r="L75" s="126"/>
      <c r="M75" s="126"/>
      <c r="N75" s="126"/>
      <c r="O75" s="126"/>
      <c r="P75" s="126"/>
      <c r="Q75" s="126"/>
      <c r="R75" s="126"/>
      <c r="S75" s="126"/>
      <c r="T75" s="126"/>
      <c r="U75" s="126"/>
      <c r="V75" s="126"/>
      <c r="W75" s="126"/>
      <c r="X75" s="126"/>
      <c r="Y75" s="126"/>
      <c r="Z75" s="126"/>
      <c r="AA75" s="126"/>
      <c r="AB75" s="126"/>
    </row>
    <row r="76" spans="1:28" ht="15.75" hidden="1" customHeight="1">
      <c r="A76" s="126"/>
      <c r="B76" s="126"/>
      <c r="C76" s="176"/>
      <c r="D76" s="176"/>
      <c r="E76" s="176"/>
      <c r="F76" s="176"/>
      <c r="G76" s="176"/>
      <c r="H76" s="176"/>
      <c r="I76" s="126"/>
      <c r="J76" s="126"/>
      <c r="K76" s="126"/>
      <c r="L76" s="126"/>
      <c r="M76" s="126"/>
      <c r="N76" s="126"/>
      <c r="O76" s="126"/>
      <c r="P76" s="126"/>
      <c r="Q76" s="126"/>
      <c r="R76" s="126"/>
      <c r="S76" s="126"/>
      <c r="T76" s="126"/>
      <c r="U76" s="126"/>
      <c r="V76" s="126"/>
      <c r="W76" s="126"/>
      <c r="X76" s="126"/>
      <c r="Y76" s="126"/>
      <c r="Z76" s="126"/>
      <c r="AA76" s="126"/>
      <c r="AB76" s="126"/>
    </row>
    <row r="77" spans="1:28" ht="15.75" hidden="1" customHeight="1">
      <c r="A77" s="126"/>
      <c r="B77" s="126"/>
      <c r="C77" s="176"/>
      <c r="D77" s="176"/>
      <c r="E77" s="176"/>
      <c r="F77" s="176"/>
      <c r="G77" s="176"/>
      <c r="H77" s="176"/>
      <c r="I77" s="126"/>
      <c r="J77" s="126"/>
      <c r="K77" s="126"/>
      <c r="L77" s="126"/>
      <c r="M77" s="126"/>
      <c r="N77" s="126"/>
      <c r="O77" s="126"/>
      <c r="P77" s="126"/>
      <c r="Q77" s="126"/>
      <c r="R77" s="126"/>
      <c r="S77" s="126"/>
      <c r="T77" s="126"/>
      <c r="U77" s="126"/>
      <c r="V77" s="126"/>
      <c r="W77" s="126"/>
      <c r="X77" s="126"/>
      <c r="Y77" s="126"/>
      <c r="Z77" s="126"/>
      <c r="AA77" s="126"/>
      <c r="AB77" s="126"/>
    </row>
    <row r="78" spans="1:28" ht="15.75" hidden="1" customHeight="1">
      <c r="A78" s="126"/>
      <c r="B78" s="126"/>
      <c r="C78" s="176"/>
      <c r="D78" s="176"/>
      <c r="E78" s="176"/>
      <c r="F78" s="176"/>
      <c r="G78" s="176"/>
      <c r="H78" s="176"/>
      <c r="I78" s="126"/>
      <c r="J78" s="126"/>
      <c r="K78" s="126"/>
      <c r="L78" s="126"/>
      <c r="M78" s="126"/>
      <c r="N78" s="126"/>
      <c r="O78" s="126"/>
      <c r="P78" s="126"/>
      <c r="Q78" s="126"/>
      <c r="R78" s="126"/>
      <c r="S78" s="126"/>
      <c r="T78" s="126"/>
      <c r="U78" s="126"/>
      <c r="V78" s="126"/>
      <c r="W78" s="126"/>
      <c r="X78" s="126"/>
      <c r="Y78" s="126"/>
      <c r="Z78" s="126"/>
      <c r="AA78" s="126"/>
      <c r="AB78" s="126"/>
    </row>
    <row r="79" spans="1:28" ht="15.75" hidden="1" customHeight="1">
      <c r="A79" s="126"/>
      <c r="B79" s="126"/>
      <c r="C79" s="176"/>
      <c r="D79" s="176"/>
      <c r="E79" s="176"/>
      <c r="F79" s="176"/>
      <c r="G79" s="176"/>
      <c r="H79" s="176"/>
      <c r="I79" s="126"/>
      <c r="J79" s="126"/>
      <c r="K79" s="126"/>
      <c r="L79" s="126"/>
      <c r="M79" s="126"/>
      <c r="N79" s="126"/>
      <c r="O79" s="126"/>
      <c r="P79" s="126"/>
      <c r="Q79" s="126"/>
      <c r="R79" s="126"/>
      <c r="S79" s="126"/>
      <c r="T79" s="126"/>
      <c r="U79" s="126"/>
      <c r="V79" s="126"/>
      <c r="W79" s="126"/>
      <c r="X79" s="126"/>
      <c r="Y79" s="126"/>
      <c r="Z79" s="126"/>
      <c r="AA79" s="126"/>
      <c r="AB79" s="126"/>
    </row>
    <row r="80" spans="1:28" ht="15.75" hidden="1" customHeight="1">
      <c r="A80" s="126"/>
      <c r="B80" s="126"/>
      <c r="C80" s="176"/>
      <c r="D80" s="176"/>
      <c r="E80" s="176"/>
      <c r="F80" s="176"/>
      <c r="G80" s="176"/>
      <c r="H80" s="176"/>
      <c r="I80" s="126"/>
      <c r="J80" s="126"/>
      <c r="K80" s="126"/>
      <c r="L80" s="126"/>
      <c r="M80" s="126"/>
      <c r="N80" s="126"/>
      <c r="O80" s="126"/>
      <c r="P80" s="126"/>
      <c r="Q80" s="126"/>
      <c r="R80" s="126"/>
      <c r="S80" s="126"/>
      <c r="T80" s="126"/>
      <c r="U80" s="126"/>
      <c r="V80" s="126"/>
      <c r="W80" s="126"/>
      <c r="X80" s="126"/>
      <c r="Y80" s="126"/>
      <c r="Z80" s="126"/>
      <c r="AA80" s="126"/>
      <c r="AB80" s="126"/>
    </row>
    <row r="81" spans="1:28" ht="15.75" hidden="1" customHeight="1">
      <c r="A81" s="126"/>
      <c r="B81" s="126"/>
      <c r="C81" s="176"/>
      <c r="D81" s="176"/>
      <c r="E81" s="176"/>
      <c r="F81" s="176"/>
      <c r="G81" s="176"/>
      <c r="H81" s="176"/>
      <c r="I81" s="126"/>
      <c r="J81" s="126"/>
      <c r="K81" s="126"/>
      <c r="L81" s="126"/>
      <c r="M81" s="126"/>
      <c r="N81" s="126"/>
      <c r="O81" s="126"/>
      <c r="P81" s="126"/>
      <c r="Q81" s="126"/>
      <c r="R81" s="126"/>
      <c r="S81" s="126"/>
      <c r="T81" s="126"/>
      <c r="U81" s="126"/>
      <c r="V81" s="126"/>
      <c r="W81" s="126"/>
      <c r="X81" s="126"/>
      <c r="Y81" s="126"/>
      <c r="Z81" s="126"/>
      <c r="AA81" s="126"/>
      <c r="AB81" s="126"/>
    </row>
    <row r="82" spans="1:28" ht="15.75" hidden="1" customHeight="1">
      <c r="A82" s="126"/>
      <c r="B82" s="126"/>
      <c r="C82" s="176"/>
      <c r="D82" s="176"/>
      <c r="E82" s="176"/>
      <c r="F82" s="176"/>
      <c r="G82" s="176"/>
      <c r="H82" s="176"/>
      <c r="I82" s="126"/>
      <c r="J82" s="126"/>
      <c r="K82" s="126"/>
      <c r="L82" s="126"/>
      <c r="M82" s="126"/>
      <c r="N82" s="126"/>
      <c r="O82" s="126"/>
      <c r="P82" s="126"/>
      <c r="Q82" s="126"/>
      <c r="R82" s="126"/>
      <c r="S82" s="126"/>
      <c r="T82" s="126"/>
      <c r="U82" s="126"/>
      <c r="V82" s="126"/>
      <c r="W82" s="126"/>
      <c r="X82" s="126"/>
      <c r="Y82" s="126"/>
      <c r="Z82" s="126"/>
      <c r="AA82" s="126"/>
      <c r="AB82" s="126"/>
    </row>
    <row r="83" spans="1:28" ht="15.75" hidden="1" customHeight="1">
      <c r="A83" s="126"/>
      <c r="B83" s="126"/>
      <c r="C83" s="176"/>
      <c r="D83" s="176"/>
      <c r="E83" s="176"/>
      <c r="F83" s="176"/>
      <c r="G83" s="176"/>
      <c r="H83" s="176"/>
      <c r="I83" s="126"/>
      <c r="J83" s="126"/>
      <c r="K83" s="126"/>
      <c r="L83" s="126"/>
      <c r="M83" s="126"/>
      <c r="N83" s="126"/>
      <c r="O83" s="126"/>
      <c r="P83" s="126"/>
      <c r="Q83" s="126"/>
      <c r="R83" s="126"/>
      <c r="S83" s="126"/>
      <c r="T83" s="126"/>
      <c r="U83" s="126"/>
      <c r="V83" s="126"/>
      <c r="W83" s="126"/>
      <c r="X83" s="126"/>
      <c r="Y83" s="126"/>
      <c r="Z83" s="126"/>
      <c r="AA83" s="126"/>
      <c r="AB83" s="126"/>
    </row>
    <row r="84" spans="1:28" ht="15.75" hidden="1" customHeight="1">
      <c r="A84" s="126"/>
      <c r="B84" s="126"/>
      <c r="C84" s="176"/>
      <c r="D84" s="176"/>
      <c r="E84" s="176"/>
      <c r="F84" s="176"/>
      <c r="G84" s="176"/>
      <c r="H84" s="176"/>
      <c r="I84" s="126"/>
      <c r="J84" s="126"/>
      <c r="K84" s="126"/>
      <c r="L84" s="126"/>
      <c r="M84" s="126"/>
      <c r="N84" s="126"/>
      <c r="O84" s="126"/>
      <c r="P84" s="126"/>
      <c r="Q84" s="126"/>
      <c r="R84" s="126"/>
      <c r="S84" s="126"/>
      <c r="T84" s="126"/>
      <c r="U84" s="126"/>
      <c r="V84" s="126"/>
      <c r="W84" s="126"/>
      <c r="X84" s="126"/>
      <c r="Y84" s="126"/>
      <c r="Z84" s="126"/>
      <c r="AA84" s="126"/>
      <c r="AB84" s="126"/>
    </row>
    <row r="85" spans="1:28" ht="15.75" hidden="1" customHeight="1">
      <c r="A85" s="126"/>
      <c r="B85" s="126"/>
      <c r="C85" s="176"/>
      <c r="D85" s="176"/>
      <c r="E85" s="176"/>
      <c r="F85" s="176"/>
      <c r="G85" s="176"/>
      <c r="H85" s="176"/>
      <c r="I85" s="126"/>
      <c r="J85" s="126"/>
      <c r="K85" s="126"/>
      <c r="L85" s="126"/>
      <c r="M85" s="126"/>
      <c r="N85" s="126"/>
      <c r="O85" s="126"/>
      <c r="P85" s="126"/>
      <c r="Q85" s="126"/>
      <c r="R85" s="126"/>
      <c r="S85" s="126"/>
      <c r="T85" s="126"/>
      <c r="U85" s="126"/>
      <c r="V85" s="126"/>
      <c r="W85" s="126"/>
      <c r="X85" s="126"/>
      <c r="Y85" s="126"/>
      <c r="Z85" s="126"/>
      <c r="AA85" s="126"/>
      <c r="AB85" s="126"/>
    </row>
    <row r="86" spans="1:28" ht="15.75" hidden="1" customHeight="1">
      <c r="A86" s="126"/>
      <c r="B86" s="126"/>
      <c r="C86" s="176"/>
      <c r="D86" s="176"/>
      <c r="E86" s="176"/>
      <c r="F86" s="176"/>
      <c r="G86" s="176"/>
      <c r="H86" s="176"/>
      <c r="I86" s="126"/>
      <c r="J86" s="126"/>
      <c r="K86" s="126"/>
      <c r="L86" s="126"/>
      <c r="M86" s="126"/>
      <c r="N86" s="126"/>
      <c r="O86" s="126"/>
      <c r="P86" s="126"/>
      <c r="Q86" s="126"/>
      <c r="R86" s="126"/>
      <c r="S86" s="126"/>
      <c r="T86" s="126"/>
      <c r="U86" s="126"/>
      <c r="V86" s="126"/>
      <c r="W86" s="126"/>
      <c r="X86" s="126"/>
      <c r="Y86" s="126"/>
      <c r="Z86" s="126"/>
      <c r="AA86" s="126"/>
      <c r="AB86" s="126"/>
    </row>
    <row r="87" spans="1:28" ht="15.75" hidden="1" customHeight="1">
      <c r="A87" s="126"/>
      <c r="B87" s="126"/>
      <c r="C87" s="176"/>
      <c r="D87" s="176"/>
      <c r="E87" s="176"/>
      <c r="F87" s="176"/>
      <c r="G87" s="176"/>
      <c r="H87" s="176"/>
      <c r="I87" s="126"/>
      <c r="J87" s="126"/>
      <c r="K87" s="126"/>
      <c r="L87" s="126"/>
      <c r="M87" s="126"/>
      <c r="N87" s="126"/>
      <c r="O87" s="126"/>
      <c r="P87" s="126"/>
      <c r="Q87" s="126"/>
      <c r="R87" s="126"/>
      <c r="S87" s="126"/>
      <c r="T87" s="126"/>
      <c r="U87" s="126"/>
      <c r="V87" s="126"/>
      <c r="W87" s="126"/>
      <c r="X87" s="126"/>
      <c r="Y87" s="126"/>
      <c r="Z87" s="126"/>
      <c r="AA87" s="126"/>
      <c r="AB87" s="126"/>
    </row>
    <row r="88" spans="1:28" ht="15.75" hidden="1" customHeight="1">
      <c r="A88" s="126"/>
      <c r="B88" s="126"/>
      <c r="C88" s="176"/>
      <c r="D88" s="176"/>
      <c r="E88" s="176"/>
      <c r="F88" s="176"/>
      <c r="G88" s="176"/>
      <c r="H88" s="176"/>
      <c r="I88" s="126"/>
      <c r="J88" s="126"/>
      <c r="K88" s="126"/>
      <c r="L88" s="126"/>
      <c r="M88" s="126"/>
      <c r="N88" s="126"/>
      <c r="O88" s="126"/>
      <c r="P88" s="126"/>
      <c r="Q88" s="126"/>
      <c r="R88" s="126"/>
      <c r="S88" s="126"/>
      <c r="T88" s="126"/>
      <c r="U88" s="126"/>
      <c r="V88" s="126"/>
      <c r="W88" s="126"/>
      <c r="X88" s="126"/>
      <c r="Y88" s="126"/>
      <c r="Z88" s="126"/>
      <c r="AA88" s="126"/>
      <c r="AB88" s="126"/>
    </row>
    <row r="89" spans="1:28" ht="15.75" hidden="1" customHeight="1">
      <c r="A89" s="126"/>
      <c r="B89" s="126"/>
      <c r="C89" s="176"/>
      <c r="D89" s="176"/>
      <c r="E89" s="176"/>
      <c r="F89" s="176"/>
      <c r="G89" s="176"/>
      <c r="H89" s="176"/>
      <c r="I89" s="126"/>
      <c r="J89" s="126"/>
      <c r="K89" s="126"/>
      <c r="L89" s="126"/>
      <c r="M89" s="126"/>
      <c r="N89" s="126"/>
      <c r="O89" s="126"/>
      <c r="P89" s="126"/>
      <c r="Q89" s="126"/>
      <c r="R89" s="126"/>
      <c r="S89" s="126"/>
      <c r="T89" s="126"/>
      <c r="U89" s="126"/>
      <c r="V89" s="126"/>
      <c r="W89" s="126"/>
      <c r="X89" s="126"/>
      <c r="Y89" s="126"/>
      <c r="Z89" s="126"/>
      <c r="AA89" s="126"/>
      <c r="AB89" s="126"/>
    </row>
    <row r="90" spans="1:28" ht="15.75" hidden="1" customHeight="1">
      <c r="A90" s="126"/>
      <c r="B90" s="126"/>
      <c r="C90" s="176"/>
      <c r="D90" s="176"/>
      <c r="E90" s="176"/>
      <c r="F90" s="176"/>
      <c r="G90" s="176"/>
      <c r="H90" s="176"/>
      <c r="I90" s="126"/>
      <c r="J90" s="126"/>
      <c r="K90" s="126"/>
      <c r="L90" s="126"/>
      <c r="M90" s="126"/>
      <c r="N90" s="126"/>
      <c r="O90" s="126"/>
      <c r="P90" s="126"/>
      <c r="Q90" s="126"/>
      <c r="R90" s="126"/>
      <c r="S90" s="126"/>
      <c r="T90" s="126"/>
      <c r="U90" s="126"/>
      <c r="V90" s="126"/>
      <c r="W90" s="126"/>
      <c r="X90" s="126"/>
      <c r="Y90" s="126"/>
      <c r="Z90" s="126"/>
      <c r="AA90" s="126"/>
      <c r="AB90" s="126"/>
    </row>
    <row r="91" spans="1:28" ht="15.75" hidden="1" customHeight="1">
      <c r="A91" s="126"/>
      <c r="B91" s="126"/>
      <c r="C91" s="176"/>
      <c r="D91" s="176"/>
      <c r="E91" s="176"/>
      <c r="F91" s="176"/>
      <c r="G91" s="176"/>
      <c r="H91" s="176"/>
      <c r="I91" s="126"/>
      <c r="J91" s="126"/>
      <c r="K91" s="126"/>
      <c r="L91" s="126"/>
      <c r="M91" s="126"/>
      <c r="N91" s="126"/>
      <c r="O91" s="126"/>
      <c r="P91" s="126"/>
      <c r="Q91" s="126"/>
      <c r="R91" s="126"/>
      <c r="S91" s="126"/>
      <c r="T91" s="126"/>
      <c r="U91" s="126"/>
      <c r="V91" s="126"/>
      <c r="W91" s="126"/>
      <c r="X91" s="126"/>
      <c r="Y91" s="126"/>
      <c r="Z91" s="126"/>
      <c r="AA91" s="126"/>
      <c r="AB91" s="126"/>
    </row>
    <row r="92" spans="1:28" ht="15.75" hidden="1" customHeight="1">
      <c r="A92" s="126"/>
      <c r="B92" s="126"/>
      <c r="C92" s="176"/>
      <c r="D92" s="176"/>
      <c r="E92" s="176"/>
      <c r="F92" s="176"/>
      <c r="G92" s="176"/>
      <c r="H92" s="176"/>
      <c r="I92" s="126"/>
      <c r="J92" s="126"/>
      <c r="K92" s="126"/>
      <c r="L92" s="126"/>
      <c r="M92" s="126"/>
      <c r="N92" s="126"/>
      <c r="O92" s="126"/>
      <c r="P92" s="126"/>
      <c r="Q92" s="126"/>
      <c r="R92" s="126"/>
      <c r="S92" s="126"/>
      <c r="T92" s="126"/>
      <c r="U92" s="126"/>
      <c r="V92" s="126"/>
      <c r="W92" s="126"/>
      <c r="X92" s="126"/>
      <c r="Y92" s="126"/>
      <c r="Z92" s="126"/>
      <c r="AA92" s="126"/>
      <c r="AB92" s="126"/>
    </row>
    <row r="93" spans="1:28" ht="15.75" hidden="1" customHeight="1">
      <c r="A93" s="126"/>
      <c r="B93" s="126"/>
      <c r="C93" s="176"/>
      <c r="D93" s="176"/>
      <c r="E93" s="176"/>
      <c r="F93" s="176"/>
      <c r="G93" s="176"/>
      <c r="H93" s="176"/>
      <c r="I93" s="126"/>
      <c r="J93" s="126"/>
      <c r="K93" s="126"/>
      <c r="L93" s="126"/>
      <c r="M93" s="126"/>
      <c r="N93" s="126"/>
      <c r="O93" s="126"/>
      <c r="P93" s="126"/>
      <c r="Q93" s="126"/>
      <c r="R93" s="126"/>
      <c r="S93" s="126"/>
      <c r="T93" s="126"/>
      <c r="U93" s="126"/>
      <c r="V93" s="126"/>
      <c r="W93" s="126"/>
      <c r="X93" s="126"/>
      <c r="Y93" s="126"/>
      <c r="Z93" s="126"/>
      <c r="AA93" s="126"/>
      <c r="AB93" s="126"/>
    </row>
    <row r="94" spans="1:28" ht="15.75" hidden="1" customHeight="1">
      <c r="A94" s="126"/>
      <c r="B94" s="126"/>
      <c r="C94" s="176"/>
      <c r="D94" s="176"/>
      <c r="E94" s="176"/>
      <c r="F94" s="176"/>
      <c r="G94" s="176"/>
      <c r="H94" s="176"/>
      <c r="I94" s="126"/>
      <c r="J94" s="126"/>
      <c r="K94" s="126"/>
      <c r="L94" s="126"/>
      <c r="M94" s="126"/>
      <c r="N94" s="126"/>
      <c r="O94" s="126"/>
      <c r="P94" s="126"/>
      <c r="Q94" s="126"/>
      <c r="R94" s="126"/>
      <c r="S94" s="126"/>
      <c r="T94" s="126"/>
      <c r="U94" s="126"/>
      <c r="V94" s="126"/>
      <c r="W94" s="126"/>
      <c r="X94" s="126"/>
      <c r="Y94" s="126"/>
      <c r="Z94" s="126"/>
      <c r="AA94" s="126"/>
      <c r="AB94" s="126"/>
    </row>
    <row r="95" spans="1:28" ht="15.75" hidden="1" customHeight="1">
      <c r="A95" s="126"/>
      <c r="B95" s="126"/>
      <c r="C95" s="176"/>
      <c r="D95" s="176"/>
      <c r="E95" s="176"/>
      <c r="F95" s="176"/>
      <c r="G95" s="176"/>
      <c r="H95" s="176"/>
      <c r="I95" s="126"/>
      <c r="J95" s="126"/>
      <c r="K95" s="126"/>
      <c r="L95" s="126"/>
      <c r="M95" s="126"/>
      <c r="N95" s="126"/>
      <c r="O95" s="126"/>
      <c r="P95" s="126"/>
      <c r="Q95" s="126"/>
      <c r="R95" s="126"/>
      <c r="S95" s="126"/>
      <c r="T95" s="126"/>
      <c r="U95" s="126"/>
      <c r="V95" s="126"/>
      <c r="W95" s="126"/>
      <c r="X95" s="126"/>
      <c r="Y95" s="126"/>
      <c r="Z95" s="126"/>
      <c r="AA95" s="126"/>
      <c r="AB95" s="126"/>
    </row>
    <row r="96" spans="1:28" ht="15.75" hidden="1" customHeight="1">
      <c r="A96" s="126"/>
      <c r="B96" s="126"/>
      <c r="C96" s="176"/>
      <c r="D96" s="176"/>
      <c r="E96" s="176"/>
      <c r="F96" s="176"/>
      <c r="G96" s="176"/>
      <c r="H96" s="176"/>
      <c r="I96" s="126"/>
      <c r="J96" s="126"/>
      <c r="K96" s="126"/>
      <c r="L96" s="126"/>
      <c r="M96" s="126"/>
      <c r="N96" s="126"/>
      <c r="O96" s="126"/>
      <c r="P96" s="126"/>
      <c r="Q96" s="126"/>
      <c r="R96" s="126"/>
      <c r="S96" s="126"/>
      <c r="T96" s="126"/>
      <c r="U96" s="126"/>
      <c r="V96" s="126"/>
      <c r="W96" s="126"/>
      <c r="X96" s="126"/>
      <c r="Y96" s="126"/>
      <c r="Z96" s="126"/>
      <c r="AA96" s="126"/>
      <c r="AB96" s="126"/>
    </row>
    <row r="97" spans="1:28" ht="15.75" hidden="1" customHeight="1">
      <c r="A97" s="126"/>
      <c r="B97" s="126"/>
      <c r="C97" s="176"/>
      <c r="D97" s="176"/>
      <c r="E97" s="176"/>
      <c r="F97" s="176"/>
      <c r="G97" s="176"/>
      <c r="H97" s="176"/>
      <c r="I97" s="126"/>
      <c r="J97" s="126"/>
      <c r="K97" s="126"/>
      <c r="L97" s="126"/>
      <c r="M97" s="126"/>
      <c r="N97" s="126"/>
      <c r="O97" s="126"/>
      <c r="P97" s="126"/>
      <c r="Q97" s="126"/>
      <c r="R97" s="126"/>
      <c r="S97" s="126"/>
      <c r="T97" s="126"/>
      <c r="U97" s="126"/>
      <c r="V97" s="126"/>
      <c r="W97" s="126"/>
      <c r="X97" s="126"/>
      <c r="Y97" s="126"/>
      <c r="Z97" s="126"/>
      <c r="AA97" s="126"/>
      <c r="AB97" s="126"/>
    </row>
    <row r="98" spans="1:28" ht="15.75" hidden="1" customHeight="1">
      <c r="A98" s="126"/>
      <c r="B98" s="126"/>
      <c r="C98" s="176"/>
      <c r="D98" s="176"/>
      <c r="E98" s="176"/>
      <c r="F98" s="176"/>
      <c r="G98" s="176"/>
      <c r="H98" s="176"/>
      <c r="I98" s="126"/>
      <c r="J98" s="126"/>
      <c r="K98" s="126"/>
      <c r="L98" s="126"/>
      <c r="M98" s="126"/>
      <c r="N98" s="126"/>
      <c r="O98" s="126"/>
      <c r="P98" s="126"/>
      <c r="Q98" s="126"/>
      <c r="R98" s="126"/>
      <c r="S98" s="126"/>
      <c r="T98" s="126"/>
      <c r="U98" s="126"/>
      <c r="V98" s="126"/>
      <c r="W98" s="126"/>
      <c r="X98" s="126"/>
      <c r="Y98" s="126"/>
      <c r="Z98" s="126"/>
      <c r="AA98" s="126"/>
      <c r="AB98" s="126"/>
    </row>
    <row r="99" spans="1:28" ht="15.75" hidden="1" customHeight="1">
      <c r="A99" s="126"/>
      <c r="B99" s="126"/>
      <c r="C99" s="176"/>
      <c r="D99" s="176"/>
      <c r="E99" s="176"/>
      <c r="F99" s="176"/>
      <c r="G99" s="176"/>
      <c r="H99" s="176"/>
      <c r="I99" s="126"/>
      <c r="J99" s="126"/>
      <c r="K99" s="126"/>
      <c r="L99" s="126"/>
      <c r="M99" s="126"/>
      <c r="N99" s="126"/>
      <c r="O99" s="126"/>
      <c r="P99" s="126"/>
      <c r="Q99" s="126"/>
      <c r="R99" s="126"/>
      <c r="S99" s="126"/>
      <c r="T99" s="126"/>
      <c r="U99" s="126"/>
      <c r="V99" s="126"/>
      <c r="W99" s="126"/>
      <c r="X99" s="126"/>
      <c r="Y99" s="126"/>
      <c r="Z99" s="126"/>
      <c r="AA99" s="126"/>
      <c r="AB99" s="126"/>
    </row>
    <row r="100" spans="1:28" ht="15.75" hidden="1" customHeight="1">
      <c r="A100" s="126"/>
      <c r="B100" s="126"/>
      <c r="C100" s="176"/>
      <c r="D100" s="176"/>
      <c r="E100" s="176"/>
      <c r="F100" s="176"/>
      <c r="G100" s="176"/>
      <c r="H100" s="176"/>
      <c r="I100" s="126"/>
      <c r="J100" s="126"/>
      <c r="K100" s="126"/>
      <c r="L100" s="126"/>
      <c r="M100" s="126"/>
      <c r="N100" s="126"/>
      <c r="O100" s="126"/>
      <c r="P100" s="126"/>
      <c r="Q100" s="126"/>
      <c r="R100" s="126"/>
      <c r="S100" s="126"/>
      <c r="T100" s="126"/>
      <c r="U100" s="126"/>
      <c r="V100" s="126"/>
      <c r="W100" s="126"/>
      <c r="X100" s="126"/>
      <c r="Y100" s="126"/>
      <c r="Z100" s="126"/>
      <c r="AA100" s="126"/>
      <c r="AB100" s="126"/>
    </row>
    <row r="101" spans="1:28" ht="15.75" hidden="1" customHeight="1">
      <c r="A101" s="126"/>
      <c r="B101" s="126"/>
      <c r="C101" s="176"/>
      <c r="D101" s="176"/>
      <c r="E101" s="176"/>
      <c r="F101" s="176"/>
      <c r="G101" s="176"/>
      <c r="H101" s="176"/>
      <c r="I101" s="126"/>
      <c r="J101" s="126"/>
      <c r="K101" s="126"/>
      <c r="L101" s="126"/>
      <c r="M101" s="126"/>
      <c r="N101" s="126"/>
      <c r="O101" s="126"/>
      <c r="P101" s="126"/>
      <c r="Q101" s="126"/>
      <c r="R101" s="126"/>
      <c r="S101" s="126"/>
      <c r="T101" s="126"/>
      <c r="U101" s="126"/>
      <c r="V101" s="126"/>
      <c r="W101" s="126"/>
      <c r="X101" s="126"/>
      <c r="Y101" s="126"/>
      <c r="Z101" s="126"/>
      <c r="AA101" s="126"/>
      <c r="AB101" s="126"/>
    </row>
    <row r="102" spans="1:28" ht="15.75" hidden="1" customHeight="1">
      <c r="A102" s="126"/>
      <c r="B102" s="126"/>
      <c r="C102" s="176"/>
      <c r="D102" s="176"/>
      <c r="E102" s="176"/>
      <c r="F102" s="176"/>
      <c r="G102" s="176"/>
      <c r="H102" s="176"/>
      <c r="I102" s="126"/>
      <c r="J102" s="126"/>
      <c r="K102" s="126"/>
      <c r="L102" s="126"/>
      <c r="M102" s="126"/>
      <c r="N102" s="126"/>
      <c r="O102" s="126"/>
      <c r="P102" s="126"/>
      <c r="Q102" s="126"/>
      <c r="R102" s="126"/>
      <c r="S102" s="126"/>
      <c r="T102" s="126"/>
      <c r="U102" s="126"/>
      <c r="V102" s="126"/>
      <c r="W102" s="126"/>
      <c r="X102" s="126"/>
      <c r="Y102" s="126"/>
      <c r="Z102" s="126"/>
      <c r="AA102" s="126"/>
      <c r="AB102" s="126"/>
    </row>
    <row r="103" spans="1:28" ht="15.75" hidden="1" customHeight="1">
      <c r="A103" s="126"/>
      <c r="B103" s="126"/>
      <c r="C103" s="176"/>
      <c r="D103" s="176"/>
      <c r="E103" s="176"/>
      <c r="F103" s="176"/>
      <c r="G103" s="176"/>
      <c r="H103" s="176"/>
      <c r="I103" s="126"/>
      <c r="J103" s="126"/>
      <c r="K103" s="126"/>
      <c r="L103" s="126"/>
      <c r="M103" s="126"/>
      <c r="N103" s="126"/>
      <c r="O103" s="126"/>
      <c r="P103" s="126"/>
      <c r="Q103" s="126"/>
      <c r="R103" s="126"/>
      <c r="S103" s="126"/>
      <c r="T103" s="126"/>
      <c r="U103" s="126"/>
      <c r="V103" s="126"/>
      <c r="W103" s="126"/>
      <c r="X103" s="126"/>
      <c r="Y103" s="126"/>
      <c r="Z103" s="126"/>
      <c r="AA103" s="126"/>
      <c r="AB103" s="126"/>
    </row>
    <row r="104" spans="1:28" ht="15.75" hidden="1" customHeight="1">
      <c r="A104" s="126"/>
      <c r="B104" s="126"/>
      <c r="C104" s="176"/>
      <c r="D104" s="176"/>
      <c r="E104" s="176"/>
      <c r="F104" s="176"/>
      <c r="G104" s="176"/>
      <c r="H104" s="176"/>
      <c r="I104" s="126"/>
      <c r="J104" s="126"/>
      <c r="K104" s="126"/>
      <c r="L104" s="126"/>
      <c r="M104" s="126"/>
      <c r="N104" s="126"/>
      <c r="O104" s="126"/>
      <c r="P104" s="126"/>
      <c r="Q104" s="126"/>
      <c r="R104" s="126"/>
      <c r="S104" s="126"/>
      <c r="T104" s="126"/>
      <c r="U104" s="126"/>
      <c r="V104" s="126"/>
      <c r="W104" s="126"/>
      <c r="X104" s="126"/>
      <c r="Y104" s="126"/>
      <c r="Z104" s="126"/>
      <c r="AA104" s="126"/>
      <c r="AB104" s="126"/>
    </row>
    <row r="105" spans="1:28" ht="15.75" hidden="1" customHeight="1">
      <c r="A105" s="126"/>
      <c r="B105" s="126"/>
      <c r="C105" s="176"/>
      <c r="D105" s="176"/>
      <c r="E105" s="176"/>
      <c r="F105" s="176"/>
      <c r="G105" s="176"/>
      <c r="H105" s="176"/>
      <c r="I105" s="126"/>
      <c r="J105" s="126"/>
      <c r="K105" s="126"/>
      <c r="L105" s="126"/>
      <c r="M105" s="126"/>
      <c r="N105" s="126"/>
      <c r="O105" s="126"/>
      <c r="P105" s="126"/>
      <c r="Q105" s="126"/>
      <c r="R105" s="126"/>
      <c r="S105" s="126"/>
      <c r="T105" s="126"/>
      <c r="U105" s="126"/>
      <c r="V105" s="126"/>
      <c r="W105" s="126"/>
      <c r="X105" s="126"/>
      <c r="Y105" s="126"/>
      <c r="Z105" s="126"/>
      <c r="AA105" s="126"/>
      <c r="AB105" s="126"/>
    </row>
    <row r="106" spans="1:28" ht="15.75" hidden="1" customHeight="1">
      <c r="A106" s="126"/>
      <c r="B106" s="126"/>
      <c r="C106" s="176"/>
      <c r="D106" s="176"/>
      <c r="E106" s="176"/>
      <c r="F106" s="176"/>
      <c r="G106" s="176"/>
      <c r="H106" s="176"/>
      <c r="I106" s="126"/>
      <c r="J106" s="126"/>
      <c r="K106" s="126"/>
      <c r="L106" s="126"/>
      <c r="M106" s="126"/>
      <c r="N106" s="126"/>
      <c r="O106" s="126"/>
      <c r="P106" s="126"/>
      <c r="Q106" s="126"/>
      <c r="R106" s="126"/>
      <c r="S106" s="126"/>
      <c r="T106" s="126"/>
      <c r="U106" s="126"/>
      <c r="V106" s="126"/>
      <c r="W106" s="126"/>
      <c r="X106" s="126"/>
      <c r="Y106" s="126"/>
      <c r="Z106" s="126"/>
      <c r="AA106" s="126"/>
      <c r="AB106" s="126"/>
    </row>
    <row r="107" spans="1:28" ht="15.75" hidden="1" customHeight="1">
      <c r="A107" s="126"/>
      <c r="B107" s="126"/>
      <c r="C107" s="176"/>
      <c r="D107" s="176"/>
      <c r="E107" s="176"/>
      <c r="F107" s="176"/>
      <c r="G107" s="176"/>
      <c r="H107" s="176"/>
      <c r="I107" s="126"/>
      <c r="J107" s="126"/>
      <c r="K107" s="126"/>
      <c r="L107" s="126"/>
      <c r="M107" s="126"/>
      <c r="N107" s="126"/>
      <c r="O107" s="126"/>
      <c r="P107" s="126"/>
      <c r="Q107" s="126"/>
      <c r="R107" s="126"/>
      <c r="S107" s="126"/>
      <c r="T107" s="126"/>
      <c r="U107" s="126"/>
      <c r="V107" s="126"/>
      <c r="W107" s="126"/>
      <c r="X107" s="126"/>
      <c r="Y107" s="126"/>
      <c r="Z107" s="126"/>
      <c r="AA107" s="126"/>
      <c r="AB107" s="126"/>
    </row>
    <row r="108" spans="1:28" ht="15.75" hidden="1" customHeight="1">
      <c r="A108" s="126"/>
      <c r="B108" s="126"/>
      <c r="C108" s="176"/>
      <c r="D108" s="176"/>
      <c r="E108" s="176"/>
      <c r="F108" s="176"/>
      <c r="G108" s="176"/>
      <c r="H108" s="176"/>
      <c r="I108" s="126"/>
      <c r="J108" s="126"/>
      <c r="K108" s="126"/>
      <c r="L108" s="126"/>
      <c r="M108" s="126"/>
      <c r="N108" s="126"/>
      <c r="O108" s="126"/>
      <c r="P108" s="126"/>
      <c r="Q108" s="126"/>
      <c r="R108" s="126"/>
      <c r="S108" s="126"/>
      <c r="T108" s="126"/>
      <c r="U108" s="126"/>
      <c r="V108" s="126"/>
      <c r="W108" s="126"/>
      <c r="X108" s="126"/>
      <c r="Y108" s="126"/>
      <c r="Z108" s="126"/>
      <c r="AA108" s="126"/>
      <c r="AB108" s="126"/>
    </row>
    <row r="109" spans="1:28" ht="15.75" hidden="1" customHeight="1">
      <c r="A109" s="126"/>
      <c r="B109" s="126"/>
      <c r="C109" s="176"/>
      <c r="D109" s="176"/>
      <c r="E109" s="176"/>
      <c r="F109" s="176"/>
      <c r="G109" s="176"/>
      <c r="H109" s="176"/>
      <c r="I109" s="126"/>
      <c r="J109" s="126"/>
      <c r="K109" s="126"/>
      <c r="L109" s="126"/>
      <c r="M109" s="126"/>
      <c r="N109" s="126"/>
      <c r="O109" s="126"/>
      <c r="P109" s="126"/>
      <c r="Q109" s="126"/>
      <c r="R109" s="126"/>
      <c r="S109" s="126"/>
      <c r="T109" s="126"/>
      <c r="U109" s="126"/>
      <c r="V109" s="126"/>
      <c r="W109" s="126"/>
      <c r="X109" s="126"/>
      <c r="Y109" s="126"/>
      <c r="Z109" s="126"/>
      <c r="AA109" s="126"/>
      <c r="AB109" s="126"/>
    </row>
    <row r="110" spans="1:28" ht="15.75" hidden="1" customHeight="1">
      <c r="A110" s="126"/>
      <c r="B110" s="126"/>
      <c r="C110" s="176"/>
      <c r="D110" s="176"/>
      <c r="E110" s="176"/>
      <c r="F110" s="176"/>
      <c r="G110" s="176"/>
      <c r="H110" s="176"/>
      <c r="I110" s="126"/>
      <c r="J110" s="126"/>
      <c r="K110" s="126"/>
      <c r="L110" s="126"/>
      <c r="M110" s="126"/>
      <c r="N110" s="126"/>
      <c r="O110" s="126"/>
      <c r="P110" s="126"/>
      <c r="Q110" s="126"/>
      <c r="R110" s="126"/>
      <c r="S110" s="126"/>
      <c r="T110" s="126"/>
      <c r="U110" s="126"/>
      <c r="V110" s="126"/>
      <c r="W110" s="126"/>
      <c r="X110" s="126"/>
      <c r="Y110" s="126"/>
      <c r="Z110" s="126"/>
      <c r="AA110" s="126"/>
      <c r="AB110" s="126"/>
    </row>
    <row r="111" spans="1:28" ht="15.75" hidden="1" customHeight="1">
      <c r="A111" s="126"/>
      <c r="B111" s="126"/>
      <c r="C111" s="176"/>
      <c r="D111" s="176"/>
      <c r="E111" s="176"/>
      <c r="F111" s="176"/>
      <c r="G111" s="176"/>
      <c r="H111" s="176"/>
      <c r="I111" s="126"/>
      <c r="J111" s="126"/>
      <c r="K111" s="126"/>
      <c r="L111" s="126"/>
      <c r="M111" s="126"/>
      <c r="N111" s="126"/>
      <c r="O111" s="126"/>
      <c r="P111" s="126"/>
      <c r="Q111" s="126"/>
      <c r="R111" s="126"/>
      <c r="S111" s="126"/>
      <c r="T111" s="126"/>
      <c r="U111" s="126"/>
      <c r="V111" s="126"/>
      <c r="W111" s="126"/>
      <c r="X111" s="126"/>
      <c r="Y111" s="126"/>
      <c r="Z111" s="126"/>
      <c r="AA111" s="126"/>
      <c r="AB111" s="126"/>
    </row>
    <row r="112" spans="1:28" ht="15.75" hidden="1" customHeight="1">
      <c r="A112" s="126"/>
      <c r="B112" s="126"/>
      <c r="C112" s="176"/>
      <c r="D112" s="176"/>
      <c r="E112" s="176"/>
      <c r="F112" s="176"/>
      <c r="G112" s="176"/>
      <c r="H112" s="176"/>
      <c r="I112" s="126"/>
      <c r="J112" s="126"/>
      <c r="K112" s="126"/>
      <c r="L112" s="126"/>
      <c r="M112" s="126"/>
      <c r="N112" s="126"/>
      <c r="O112" s="126"/>
      <c r="P112" s="126"/>
      <c r="Q112" s="126"/>
      <c r="R112" s="126"/>
      <c r="S112" s="126"/>
      <c r="T112" s="126"/>
      <c r="U112" s="126"/>
      <c r="V112" s="126"/>
      <c r="W112" s="126"/>
      <c r="X112" s="126"/>
      <c r="Y112" s="126"/>
      <c r="Z112" s="126"/>
      <c r="AA112" s="126"/>
      <c r="AB112" s="126"/>
    </row>
    <row r="113" spans="1:28" ht="15.75" hidden="1" customHeight="1">
      <c r="A113" s="126"/>
      <c r="B113" s="126"/>
      <c r="C113" s="176"/>
      <c r="D113" s="176"/>
      <c r="E113" s="176"/>
      <c r="F113" s="176"/>
      <c r="G113" s="176"/>
      <c r="H113" s="176"/>
      <c r="I113" s="126"/>
      <c r="J113" s="126"/>
      <c r="K113" s="126"/>
      <c r="L113" s="126"/>
      <c r="M113" s="126"/>
      <c r="N113" s="126"/>
      <c r="O113" s="126"/>
      <c r="P113" s="126"/>
      <c r="Q113" s="126"/>
      <c r="R113" s="126"/>
      <c r="S113" s="126"/>
      <c r="T113" s="126"/>
      <c r="U113" s="126"/>
      <c r="V113" s="126"/>
      <c r="W113" s="126"/>
      <c r="X113" s="126"/>
      <c r="Y113" s="126"/>
      <c r="Z113" s="126"/>
      <c r="AA113" s="126"/>
      <c r="AB113" s="126"/>
    </row>
    <row r="114" spans="1:28" ht="15.75" hidden="1" customHeight="1">
      <c r="A114" s="126"/>
      <c r="B114" s="126"/>
      <c r="C114" s="176"/>
      <c r="D114" s="176"/>
      <c r="E114" s="176"/>
      <c r="F114" s="176"/>
      <c r="G114" s="176"/>
      <c r="H114" s="176"/>
      <c r="I114" s="126"/>
      <c r="J114" s="126"/>
      <c r="K114" s="126"/>
      <c r="L114" s="126"/>
      <c r="M114" s="126"/>
      <c r="N114" s="126"/>
      <c r="O114" s="126"/>
      <c r="P114" s="126"/>
      <c r="Q114" s="126"/>
      <c r="R114" s="126"/>
      <c r="S114" s="126"/>
      <c r="T114" s="126"/>
      <c r="U114" s="126"/>
      <c r="V114" s="126"/>
      <c r="W114" s="126"/>
      <c r="X114" s="126"/>
      <c r="Y114" s="126"/>
      <c r="Z114" s="126"/>
      <c r="AA114" s="126"/>
      <c r="AB114" s="126"/>
    </row>
    <row r="115" spans="1:28" ht="15.75" hidden="1" customHeight="1">
      <c r="A115" s="126"/>
      <c r="B115" s="126"/>
      <c r="C115" s="176"/>
      <c r="D115" s="176"/>
      <c r="E115" s="176"/>
      <c r="F115" s="176"/>
      <c r="G115" s="176"/>
      <c r="H115" s="176"/>
      <c r="I115" s="126"/>
      <c r="J115" s="126"/>
      <c r="K115" s="126"/>
      <c r="L115" s="126"/>
      <c r="M115" s="126"/>
      <c r="N115" s="126"/>
      <c r="O115" s="126"/>
      <c r="P115" s="126"/>
      <c r="Q115" s="126"/>
      <c r="R115" s="126"/>
      <c r="S115" s="126"/>
      <c r="T115" s="126"/>
      <c r="U115" s="126"/>
      <c r="V115" s="126"/>
      <c r="W115" s="126"/>
      <c r="X115" s="126"/>
      <c r="Y115" s="126"/>
      <c r="Z115" s="126"/>
      <c r="AA115" s="126"/>
      <c r="AB115" s="126"/>
    </row>
    <row r="116" spans="1:28" ht="15.75" hidden="1" customHeight="1">
      <c r="A116" s="126"/>
      <c r="B116" s="126"/>
      <c r="C116" s="176"/>
      <c r="D116" s="176"/>
      <c r="E116" s="176"/>
      <c r="F116" s="176"/>
      <c r="G116" s="176"/>
      <c r="H116" s="176"/>
      <c r="I116" s="126"/>
      <c r="J116" s="126"/>
      <c r="K116" s="126"/>
      <c r="L116" s="126"/>
      <c r="M116" s="126"/>
      <c r="N116" s="126"/>
      <c r="O116" s="126"/>
      <c r="P116" s="126"/>
      <c r="Q116" s="126"/>
      <c r="R116" s="126"/>
      <c r="S116" s="126"/>
      <c r="T116" s="126"/>
      <c r="U116" s="126"/>
      <c r="V116" s="126"/>
      <c r="W116" s="126"/>
      <c r="X116" s="126"/>
      <c r="Y116" s="126"/>
      <c r="Z116" s="126"/>
      <c r="AA116" s="126"/>
      <c r="AB116" s="126"/>
    </row>
    <row r="117" spans="1:28" ht="15.75" hidden="1" customHeight="1">
      <c r="A117" s="126"/>
      <c r="B117" s="126"/>
      <c r="C117" s="176"/>
      <c r="D117" s="176"/>
      <c r="E117" s="176"/>
      <c r="F117" s="176"/>
      <c r="G117" s="176"/>
      <c r="H117" s="176"/>
      <c r="I117" s="126"/>
      <c r="J117" s="126"/>
      <c r="K117" s="126"/>
      <c r="L117" s="126"/>
      <c r="M117" s="126"/>
      <c r="N117" s="126"/>
      <c r="O117" s="126"/>
      <c r="P117" s="126"/>
      <c r="Q117" s="126"/>
      <c r="R117" s="126"/>
      <c r="S117" s="126"/>
      <c r="T117" s="126"/>
      <c r="U117" s="126"/>
      <c r="V117" s="126"/>
      <c r="W117" s="126"/>
      <c r="X117" s="126"/>
      <c r="Y117" s="126"/>
      <c r="Z117" s="126"/>
      <c r="AA117" s="126"/>
      <c r="AB117" s="126"/>
    </row>
    <row r="118" spans="1:28" ht="15.75" hidden="1" customHeight="1">
      <c r="A118" s="126"/>
      <c r="B118" s="126"/>
      <c r="C118" s="176"/>
      <c r="D118" s="176"/>
      <c r="E118" s="176"/>
      <c r="F118" s="176"/>
      <c r="G118" s="176"/>
      <c r="H118" s="176"/>
      <c r="I118" s="126"/>
      <c r="J118" s="126"/>
      <c r="K118" s="126"/>
      <c r="L118" s="126"/>
      <c r="M118" s="126"/>
      <c r="N118" s="126"/>
      <c r="O118" s="126"/>
      <c r="P118" s="126"/>
      <c r="Q118" s="126"/>
      <c r="R118" s="126"/>
      <c r="S118" s="126"/>
      <c r="T118" s="126"/>
      <c r="U118" s="126"/>
      <c r="V118" s="126"/>
      <c r="W118" s="126"/>
      <c r="X118" s="126"/>
      <c r="Y118" s="126"/>
      <c r="Z118" s="126"/>
      <c r="AA118" s="126"/>
      <c r="AB118" s="126"/>
    </row>
    <row r="119" spans="1:28" ht="15.75" hidden="1" customHeight="1">
      <c r="A119" s="126"/>
      <c r="B119" s="126"/>
      <c r="C119" s="176"/>
      <c r="D119" s="176"/>
      <c r="E119" s="176"/>
      <c r="F119" s="176"/>
      <c r="G119" s="176"/>
      <c r="H119" s="176"/>
      <c r="I119" s="126"/>
      <c r="J119" s="126"/>
      <c r="K119" s="126"/>
      <c r="L119" s="126"/>
      <c r="M119" s="126"/>
      <c r="N119" s="126"/>
      <c r="O119" s="126"/>
      <c r="P119" s="126"/>
      <c r="Q119" s="126"/>
      <c r="R119" s="126"/>
      <c r="S119" s="126"/>
      <c r="T119" s="126"/>
      <c r="U119" s="126"/>
      <c r="V119" s="126"/>
      <c r="W119" s="126"/>
      <c r="X119" s="126"/>
      <c r="Y119" s="126"/>
      <c r="Z119" s="126"/>
      <c r="AA119" s="126"/>
      <c r="AB119" s="126"/>
    </row>
    <row r="120" spans="1:28" ht="15.75" hidden="1" customHeight="1">
      <c r="A120" s="126"/>
      <c r="B120" s="126"/>
      <c r="C120" s="176"/>
      <c r="D120" s="176"/>
      <c r="E120" s="176"/>
      <c r="F120" s="176"/>
      <c r="G120" s="176"/>
      <c r="H120" s="176"/>
      <c r="I120" s="126"/>
      <c r="J120" s="126"/>
      <c r="K120" s="126"/>
      <c r="L120" s="126"/>
      <c r="M120" s="126"/>
      <c r="N120" s="126"/>
      <c r="O120" s="126"/>
      <c r="P120" s="126"/>
      <c r="Q120" s="126"/>
      <c r="R120" s="126"/>
      <c r="S120" s="126"/>
      <c r="T120" s="126"/>
      <c r="U120" s="126"/>
      <c r="V120" s="126"/>
      <c r="W120" s="126"/>
      <c r="X120" s="126"/>
      <c r="Y120" s="126"/>
      <c r="Z120" s="126"/>
      <c r="AA120" s="126"/>
      <c r="AB120" s="126"/>
    </row>
    <row r="121" spans="1:28" ht="15.75" hidden="1" customHeight="1">
      <c r="A121" s="126"/>
      <c r="B121" s="126"/>
      <c r="C121" s="176"/>
      <c r="D121" s="176"/>
      <c r="E121" s="176"/>
      <c r="F121" s="176"/>
      <c r="G121" s="176"/>
      <c r="H121" s="176"/>
      <c r="I121" s="126"/>
      <c r="J121" s="126"/>
      <c r="K121" s="126"/>
      <c r="L121" s="126"/>
      <c r="M121" s="126"/>
      <c r="N121" s="126"/>
      <c r="O121" s="126"/>
      <c r="P121" s="126"/>
      <c r="Q121" s="126"/>
      <c r="R121" s="126"/>
      <c r="S121" s="126"/>
      <c r="T121" s="126"/>
      <c r="U121" s="126"/>
      <c r="V121" s="126"/>
      <c r="W121" s="126"/>
      <c r="X121" s="126"/>
      <c r="Y121" s="126"/>
      <c r="Z121" s="126"/>
      <c r="AA121" s="126"/>
      <c r="AB121" s="126"/>
    </row>
    <row r="122" spans="1:28" ht="15.75" hidden="1" customHeight="1">
      <c r="A122" s="126"/>
      <c r="B122" s="126"/>
      <c r="C122" s="176"/>
      <c r="D122" s="176"/>
      <c r="E122" s="176"/>
      <c r="F122" s="176"/>
      <c r="G122" s="176"/>
      <c r="H122" s="176"/>
      <c r="I122" s="126"/>
      <c r="J122" s="126"/>
      <c r="K122" s="126"/>
      <c r="L122" s="126"/>
      <c r="M122" s="126"/>
      <c r="N122" s="126"/>
      <c r="O122" s="126"/>
      <c r="P122" s="126"/>
      <c r="Q122" s="126"/>
      <c r="R122" s="126"/>
      <c r="S122" s="126"/>
      <c r="T122" s="126"/>
      <c r="U122" s="126"/>
      <c r="V122" s="126"/>
      <c r="W122" s="126"/>
      <c r="X122" s="126"/>
      <c r="Y122" s="126"/>
      <c r="Z122" s="126"/>
      <c r="AA122" s="126"/>
      <c r="AB122" s="126"/>
    </row>
    <row r="123" spans="1:28" ht="15.75" hidden="1" customHeight="1">
      <c r="A123" s="126"/>
      <c r="B123" s="126"/>
      <c r="C123" s="176"/>
      <c r="D123" s="176"/>
      <c r="E123" s="176"/>
      <c r="F123" s="176"/>
      <c r="G123" s="176"/>
      <c r="H123" s="176"/>
      <c r="I123" s="126"/>
      <c r="J123" s="126"/>
      <c r="K123" s="126"/>
      <c r="L123" s="126"/>
      <c r="M123" s="126"/>
      <c r="N123" s="126"/>
      <c r="O123" s="126"/>
      <c r="P123" s="126"/>
      <c r="Q123" s="126"/>
      <c r="R123" s="126"/>
      <c r="S123" s="126"/>
      <c r="T123" s="126"/>
      <c r="U123" s="126"/>
      <c r="V123" s="126"/>
      <c r="W123" s="126"/>
      <c r="X123" s="126"/>
      <c r="Y123" s="126"/>
      <c r="Z123" s="126"/>
      <c r="AA123" s="126"/>
      <c r="AB123" s="126"/>
    </row>
    <row r="124" spans="1:28" ht="15.75" hidden="1" customHeight="1">
      <c r="A124" s="126"/>
      <c r="B124" s="126"/>
      <c r="C124" s="176"/>
      <c r="D124" s="176"/>
      <c r="E124" s="176"/>
      <c r="F124" s="176"/>
      <c r="G124" s="176"/>
      <c r="H124" s="176"/>
      <c r="I124" s="126"/>
      <c r="J124" s="126"/>
      <c r="K124" s="126"/>
      <c r="L124" s="126"/>
      <c r="M124" s="126"/>
      <c r="N124" s="126"/>
      <c r="O124" s="126"/>
      <c r="P124" s="126"/>
      <c r="Q124" s="126"/>
      <c r="R124" s="126"/>
      <c r="S124" s="126"/>
      <c r="T124" s="126"/>
      <c r="U124" s="126"/>
      <c r="V124" s="126"/>
      <c r="W124" s="126"/>
      <c r="X124" s="126"/>
      <c r="Y124" s="126"/>
      <c r="Z124" s="126"/>
      <c r="AA124" s="126"/>
      <c r="AB124" s="126"/>
    </row>
    <row r="125" spans="1:28" ht="15.75" hidden="1" customHeight="1">
      <c r="A125" s="126"/>
      <c r="B125" s="126"/>
      <c r="C125" s="176"/>
      <c r="D125" s="176"/>
      <c r="E125" s="176"/>
      <c r="F125" s="176"/>
      <c r="G125" s="176"/>
      <c r="H125" s="176"/>
      <c r="I125" s="126"/>
      <c r="J125" s="126"/>
      <c r="K125" s="126"/>
      <c r="L125" s="126"/>
      <c r="M125" s="126"/>
      <c r="N125" s="126"/>
      <c r="O125" s="126"/>
      <c r="P125" s="126"/>
      <c r="Q125" s="126"/>
      <c r="R125" s="126"/>
      <c r="S125" s="126"/>
      <c r="T125" s="126"/>
      <c r="U125" s="126"/>
      <c r="V125" s="126"/>
      <c r="W125" s="126"/>
      <c r="X125" s="126"/>
      <c r="Y125" s="126"/>
      <c r="Z125" s="126"/>
      <c r="AA125" s="126"/>
      <c r="AB125" s="126"/>
    </row>
    <row r="126" spans="1:28" ht="15.75" hidden="1" customHeight="1">
      <c r="A126" s="126"/>
      <c r="B126" s="126"/>
      <c r="C126" s="176"/>
      <c r="D126" s="176"/>
      <c r="E126" s="176"/>
      <c r="F126" s="176"/>
      <c r="G126" s="176"/>
      <c r="H126" s="176"/>
      <c r="I126" s="126"/>
      <c r="J126" s="126"/>
      <c r="K126" s="126"/>
      <c r="L126" s="126"/>
      <c r="M126" s="126"/>
      <c r="N126" s="126"/>
      <c r="O126" s="126"/>
      <c r="P126" s="126"/>
      <c r="Q126" s="126"/>
      <c r="R126" s="126"/>
      <c r="S126" s="126"/>
      <c r="T126" s="126"/>
      <c r="U126" s="126"/>
      <c r="V126" s="126"/>
      <c r="W126" s="126"/>
      <c r="X126" s="126"/>
      <c r="Y126" s="126"/>
      <c r="Z126" s="126"/>
      <c r="AA126" s="126"/>
      <c r="AB126" s="126"/>
    </row>
    <row r="127" spans="1:28" ht="15.75" hidden="1" customHeight="1">
      <c r="A127" s="126"/>
      <c r="B127" s="126"/>
      <c r="C127" s="176"/>
      <c r="D127" s="176"/>
      <c r="E127" s="176"/>
      <c r="F127" s="176"/>
      <c r="G127" s="176"/>
      <c r="H127" s="176"/>
      <c r="I127" s="126"/>
      <c r="J127" s="126"/>
      <c r="K127" s="126"/>
      <c r="L127" s="126"/>
      <c r="M127" s="126"/>
      <c r="N127" s="126"/>
      <c r="O127" s="126"/>
      <c r="P127" s="126"/>
      <c r="Q127" s="126"/>
      <c r="R127" s="126"/>
      <c r="S127" s="126"/>
      <c r="T127" s="126"/>
      <c r="U127" s="126"/>
      <c r="V127" s="126"/>
      <c r="W127" s="126"/>
      <c r="X127" s="126"/>
      <c r="Y127" s="126"/>
      <c r="Z127" s="126"/>
      <c r="AA127" s="126"/>
      <c r="AB127" s="126"/>
    </row>
    <row r="128" spans="1:28" ht="15.75" hidden="1" customHeight="1">
      <c r="A128" s="126"/>
      <c r="B128" s="126"/>
      <c r="C128" s="176"/>
      <c r="D128" s="176"/>
      <c r="E128" s="176"/>
      <c r="F128" s="176"/>
      <c r="G128" s="176"/>
      <c r="H128" s="176"/>
      <c r="I128" s="126"/>
      <c r="J128" s="126"/>
      <c r="K128" s="126"/>
      <c r="L128" s="126"/>
      <c r="M128" s="126"/>
      <c r="N128" s="126"/>
      <c r="O128" s="126"/>
      <c r="P128" s="126"/>
      <c r="Q128" s="126"/>
      <c r="R128" s="126"/>
      <c r="S128" s="126"/>
      <c r="T128" s="126"/>
      <c r="U128" s="126"/>
      <c r="V128" s="126"/>
      <c r="W128" s="126"/>
      <c r="X128" s="126"/>
      <c r="Y128" s="126"/>
      <c r="Z128" s="126"/>
      <c r="AA128" s="126"/>
      <c r="AB128" s="126"/>
    </row>
    <row r="129" spans="1:28" ht="15.75" hidden="1" customHeight="1">
      <c r="A129" s="126"/>
      <c r="B129" s="126"/>
      <c r="C129" s="176"/>
      <c r="D129" s="176"/>
      <c r="E129" s="176"/>
      <c r="F129" s="176"/>
      <c r="G129" s="176"/>
      <c r="H129" s="176"/>
      <c r="I129" s="126"/>
      <c r="J129" s="126"/>
      <c r="K129" s="126"/>
      <c r="L129" s="126"/>
      <c r="M129" s="126"/>
      <c r="N129" s="126"/>
      <c r="O129" s="126"/>
      <c r="P129" s="126"/>
      <c r="Q129" s="126"/>
      <c r="R129" s="126"/>
      <c r="S129" s="126"/>
      <c r="T129" s="126"/>
      <c r="U129" s="126"/>
      <c r="V129" s="126"/>
      <c r="W129" s="126"/>
      <c r="X129" s="126"/>
      <c r="Y129" s="126"/>
      <c r="Z129" s="126"/>
      <c r="AA129" s="126"/>
      <c r="AB129" s="126"/>
    </row>
    <row r="130" spans="1:28" ht="15.75" hidden="1" customHeight="1">
      <c r="A130" s="126"/>
      <c r="B130" s="126"/>
      <c r="C130" s="176"/>
      <c r="D130" s="176"/>
      <c r="E130" s="176"/>
      <c r="F130" s="176"/>
      <c r="G130" s="176"/>
      <c r="H130" s="176"/>
      <c r="I130" s="126"/>
      <c r="J130" s="126"/>
      <c r="K130" s="126"/>
      <c r="L130" s="126"/>
      <c r="M130" s="126"/>
      <c r="N130" s="126"/>
      <c r="O130" s="126"/>
      <c r="P130" s="126"/>
      <c r="Q130" s="126"/>
      <c r="R130" s="126"/>
      <c r="S130" s="126"/>
      <c r="T130" s="126"/>
      <c r="U130" s="126"/>
      <c r="V130" s="126"/>
      <c r="W130" s="126"/>
      <c r="X130" s="126"/>
      <c r="Y130" s="126"/>
      <c r="Z130" s="126"/>
      <c r="AA130" s="126"/>
      <c r="AB130" s="126"/>
    </row>
    <row r="131" spans="1:28" ht="15.75" customHeight="1">
      <c r="A131" s="126"/>
      <c r="B131" s="126"/>
      <c r="C131" s="176"/>
      <c r="D131" s="176"/>
      <c r="E131" s="176"/>
      <c r="F131" s="176"/>
      <c r="G131" s="176"/>
      <c r="H131" s="176"/>
      <c r="I131" s="126"/>
      <c r="J131" s="126"/>
      <c r="K131" s="126"/>
      <c r="L131" s="126"/>
      <c r="M131" s="126"/>
      <c r="N131" s="126"/>
      <c r="O131" s="126"/>
      <c r="P131" s="126"/>
      <c r="Q131" s="126"/>
      <c r="R131" s="126"/>
      <c r="S131" s="126"/>
      <c r="T131" s="126"/>
      <c r="U131" s="126"/>
      <c r="V131" s="126"/>
      <c r="W131" s="126"/>
      <c r="X131" s="126"/>
      <c r="Y131" s="126"/>
      <c r="Z131" s="126"/>
      <c r="AA131" s="126"/>
      <c r="AB131" s="126"/>
    </row>
    <row r="132" spans="1:28" ht="15.75" customHeight="1">
      <c r="A132" s="126"/>
      <c r="B132" s="126"/>
      <c r="C132" s="176"/>
      <c r="D132" s="176"/>
      <c r="E132" s="176"/>
      <c r="F132" s="176"/>
      <c r="G132" s="176"/>
      <c r="H132" s="176"/>
      <c r="I132" s="126"/>
      <c r="J132" s="126"/>
      <c r="K132" s="126"/>
      <c r="L132" s="126"/>
      <c r="M132" s="126"/>
      <c r="N132" s="126"/>
      <c r="O132" s="126"/>
      <c r="P132" s="126"/>
      <c r="Q132" s="126"/>
      <c r="R132" s="126"/>
      <c r="S132" s="126"/>
      <c r="T132" s="126"/>
      <c r="U132" s="126"/>
      <c r="V132" s="126"/>
      <c r="W132" s="126"/>
      <c r="X132" s="126"/>
      <c r="Y132" s="126"/>
      <c r="Z132" s="126"/>
      <c r="AA132" s="126"/>
      <c r="AB132" s="126"/>
    </row>
    <row r="133" spans="1:28" ht="15.75" customHeight="1">
      <c r="A133" s="126"/>
      <c r="B133" s="126"/>
      <c r="C133" s="176"/>
      <c r="D133" s="176"/>
      <c r="E133" s="176"/>
      <c r="F133" s="176"/>
      <c r="G133" s="176"/>
      <c r="H133" s="176"/>
      <c r="I133" s="126"/>
      <c r="J133" s="126"/>
      <c r="K133" s="126"/>
      <c r="L133" s="126"/>
      <c r="M133" s="126"/>
      <c r="N133" s="126"/>
      <c r="O133" s="126"/>
      <c r="P133" s="126"/>
      <c r="Q133" s="126"/>
      <c r="R133" s="126"/>
      <c r="S133" s="126"/>
      <c r="T133" s="126"/>
      <c r="U133" s="126"/>
      <c r="V133" s="126"/>
      <c r="W133" s="126"/>
      <c r="X133" s="126"/>
      <c r="Y133" s="126"/>
      <c r="Z133" s="126"/>
      <c r="AA133" s="126"/>
      <c r="AB133" s="126"/>
    </row>
    <row r="134" spans="1:28" ht="15.75" customHeight="1">
      <c r="A134" s="126"/>
      <c r="B134" s="126"/>
      <c r="C134" s="176"/>
      <c r="D134" s="176"/>
      <c r="E134" s="176"/>
      <c r="F134" s="176"/>
      <c r="G134" s="176"/>
      <c r="H134" s="176"/>
      <c r="I134" s="126"/>
      <c r="J134" s="126"/>
      <c r="K134" s="126"/>
      <c r="L134" s="126"/>
      <c r="M134" s="126"/>
      <c r="N134" s="126"/>
      <c r="O134" s="126"/>
      <c r="P134" s="126"/>
      <c r="Q134" s="126"/>
      <c r="R134" s="126"/>
      <c r="S134" s="126"/>
      <c r="T134" s="126"/>
      <c r="U134" s="126"/>
      <c r="V134" s="126"/>
      <c r="W134" s="126"/>
      <c r="X134" s="126"/>
      <c r="Y134" s="126"/>
      <c r="Z134" s="126"/>
      <c r="AA134" s="126"/>
      <c r="AB134" s="126"/>
    </row>
    <row r="135" spans="1:28" ht="15.75" customHeight="1">
      <c r="A135" s="126"/>
      <c r="B135" s="126"/>
      <c r="C135" s="176"/>
      <c r="D135" s="176"/>
      <c r="E135" s="176"/>
      <c r="F135" s="176"/>
      <c r="G135" s="176"/>
      <c r="H135" s="176"/>
      <c r="I135" s="126"/>
      <c r="J135" s="126"/>
      <c r="K135" s="126"/>
      <c r="L135" s="126"/>
      <c r="M135" s="126"/>
      <c r="N135" s="126"/>
      <c r="O135" s="126"/>
      <c r="P135" s="126"/>
      <c r="Q135" s="126"/>
      <c r="R135" s="126"/>
      <c r="S135" s="126"/>
      <c r="T135" s="126"/>
      <c r="U135" s="126"/>
      <c r="V135" s="126"/>
      <c r="W135" s="126"/>
      <c r="X135" s="126"/>
      <c r="Y135" s="126"/>
      <c r="Z135" s="126"/>
      <c r="AA135" s="126"/>
      <c r="AB135" s="126"/>
    </row>
    <row r="136" spans="1:28" ht="15.75" customHeight="1">
      <c r="A136" s="126"/>
      <c r="B136" s="126"/>
      <c r="C136" s="176"/>
      <c r="D136" s="176"/>
      <c r="E136" s="176"/>
      <c r="F136" s="176"/>
      <c r="G136" s="176"/>
      <c r="H136" s="176"/>
      <c r="I136" s="126"/>
      <c r="J136" s="126"/>
      <c r="K136" s="126"/>
      <c r="L136" s="126"/>
      <c r="M136" s="126"/>
      <c r="N136" s="126"/>
      <c r="O136" s="126"/>
      <c r="P136" s="126"/>
      <c r="Q136" s="126"/>
      <c r="R136" s="126"/>
      <c r="S136" s="126"/>
      <c r="T136" s="126"/>
      <c r="U136" s="126"/>
      <c r="V136" s="126"/>
      <c r="W136" s="126"/>
      <c r="X136" s="126"/>
      <c r="Y136" s="126"/>
      <c r="Z136" s="126"/>
      <c r="AA136" s="126"/>
      <c r="AB136" s="126"/>
    </row>
    <row r="137" spans="1:28" ht="15.75" customHeight="1">
      <c r="A137" s="126"/>
      <c r="B137" s="126"/>
      <c r="C137" s="176"/>
      <c r="D137" s="176"/>
      <c r="E137" s="176"/>
      <c r="F137" s="176"/>
      <c r="G137" s="176"/>
      <c r="H137" s="176"/>
      <c r="I137" s="126"/>
      <c r="J137" s="126"/>
      <c r="K137" s="126"/>
      <c r="L137" s="126"/>
      <c r="M137" s="126"/>
      <c r="N137" s="126"/>
      <c r="O137" s="126"/>
      <c r="P137" s="126"/>
      <c r="Q137" s="126"/>
      <c r="R137" s="126"/>
      <c r="S137" s="126"/>
      <c r="T137" s="126"/>
      <c r="U137" s="126"/>
      <c r="V137" s="126"/>
      <c r="W137" s="126"/>
      <c r="X137" s="126"/>
      <c r="Y137" s="126"/>
      <c r="Z137" s="126"/>
      <c r="AA137" s="126"/>
      <c r="AB137" s="126"/>
    </row>
    <row r="138" spans="1:28" ht="15.75" customHeight="1">
      <c r="A138" s="126"/>
      <c r="B138" s="126"/>
      <c r="C138" s="176"/>
      <c r="D138" s="176"/>
      <c r="E138" s="176"/>
      <c r="F138" s="176"/>
      <c r="G138" s="176"/>
      <c r="H138" s="176"/>
      <c r="I138" s="126"/>
      <c r="J138" s="126"/>
      <c r="K138" s="126"/>
      <c r="L138" s="126"/>
      <c r="M138" s="126"/>
      <c r="N138" s="126"/>
      <c r="O138" s="126"/>
      <c r="P138" s="126"/>
      <c r="Q138" s="126"/>
      <c r="R138" s="126"/>
      <c r="S138" s="126"/>
      <c r="T138" s="126"/>
      <c r="U138" s="126"/>
      <c r="V138" s="126"/>
      <c r="W138" s="126"/>
      <c r="X138" s="126"/>
      <c r="Y138" s="126"/>
      <c r="Z138" s="126"/>
      <c r="AA138" s="126"/>
      <c r="AB138" s="126"/>
    </row>
    <row r="139" spans="1:28" ht="15.75" customHeight="1">
      <c r="A139" s="126"/>
      <c r="B139" s="126"/>
      <c r="C139" s="176"/>
      <c r="D139" s="176"/>
      <c r="E139" s="176"/>
      <c r="F139" s="176"/>
      <c r="G139" s="176"/>
      <c r="H139" s="176"/>
      <c r="I139" s="126"/>
      <c r="J139" s="126"/>
      <c r="K139" s="126"/>
      <c r="L139" s="126"/>
      <c r="M139" s="126"/>
      <c r="N139" s="126"/>
      <c r="O139" s="126"/>
      <c r="P139" s="126"/>
      <c r="Q139" s="126"/>
      <c r="R139" s="126"/>
      <c r="S139" s="126"/>
      <c r="T139" s="126"/>
      <c r="U139" s="126"/>
      <c r="V139" s="126"/>
      <c r="W139" s="126"/>
      <c r="X139" s="126"/>
      <c r="Y139" s="126"/>
      <c r="Z139" s="126"/>
      <c r="AA139" s="126"/>
      <c r="AB139" s="126"/>
    </row>
    <row r="140" spans="1:28" ht="15.75" customHeight="1">
      <c r="A140" s="126"/>
      <c r="B140" s="126"/>
      <c r="C140" s="176"/>
      <c r="D140" s="176"/>
      <c r="E140" s="176"/>
      <c r="F140" s="176"/>
      <c r="G140" s="176"/>
      <c r="H140" s="176"/>
      <c r="I140" s="126"/>
      <c r="J140" s="126"/>
      <c r="K140" s="126"/>
      <c r="L140" s="126"/>
      <c r="M140" s="126"/>
      <c r="N140" s="126"/>
      <c r="O140" s="126"/>
      <c r="P140" s="126"/>
      <c r="Q140" s="126"/>
      <c r="R140" s="126"/>
      <c r="S140" s="126"/>
      <c r="T140" s="126"/>
      <c r="U140" s="126"/>
      <c r="V140" s="126"/>
      <c r="W140" s="126"/>
      <c r="X140" s="126"/>
      <c r="Y140" s="126"/>
      <c r="Z140" s="126"/>
      <c r="AA140" s="126"/>
      <c r="AB140" s="126"/>
    </row>
    <row r="141" spans="1:28" ht="15.75" customHeight="1">
      <c r="A141" s="126"/>
      <c r="B141" s="126"/>
      <c r="C141" s="176"/>
      <c r="D141" s="176"/>
      <c r="E141" s="176"/>
      <c r="F141" s="176"/>
      <c r="G141" s="176"/>
      <c r="H141" s="176"/>
      <c r="I141" s="126"/>
      <c r="J141" s="126"/>
      <c r="K141" s="126"/>
      <c r="L141" s="126"/>
      <c r="M141" s="126"/>
      <c r="N141" s="126"/>
      <c r="O141" s="126"/>
      <c r="P141" s="126"/>
      <c r="Q141" s="126"/>
      <c r="R141" s="126"/>
      <c r="S141" s="126"/>
      <c r="T141" s="126"/>
      <c r="U141" s="126"/>
      <c r="V141" s="126"/>
      <c r="W141" s="126"/>
      <c r="X141" s="126"/>
      <c r="Y141" s="126"/>
      <c r="Z141" s="126"/>
      <c r="AA141" s="126"/>
      <c r="AB141" s="126"/>
    </row>
    <row r="142" spans="1:28" ht="15.75" customHeight="1">
      <c r="A142" s="126"/>
      <c r="B142" s="126"/>
      <c r="C142" s="176"/>
      <c r="D142" s="176"/>
      <c r="E142" s="176"/>
      <c r="F142" s="176"/>
      <c r="G142" s="176"/>
      <c r="H142" s="176"/>
      <c r="I142" s="126"/>
      <c r="J142" s="126"/>
      <c r="K142" s="126"/>
      <c r="L142" s="126"/>
      <c r="M142" s="126"/>
      <c r="N142" s="126"/>
      <c r="O142" s="126"/>
      <c r="P142" s="126"/>
      <c r="Q142" s="126"/>
      <c r="R142" s="126"/>
      <c r="S142" s="126"/>
      <c r="T142" s="126"/>
      <c r="U142" s="126"/>
      <c r="V142" s="126"/>
      <c r="W142" s="126"/>
      <c r="X142" s="126"/>
      <c r="Y142" s="126"/>
      <c r="Z142" s="126"/>
      <c r="AA142" s="126"/>
      <c r="AB142" s="126"/>
    </row>
    <row r="143" spans="1:28" ht="15.75" customHeight="1">
      <c r="A143" s="126"/>
      <c r="B143" s="126"/>
      <c r="C143" s="176"/>
      <c r="D143" s="176"/>
      <c r="E143" s="176"/>
      <c r="F143" s="176"/>
      <c r="G143" s="176"/>
      <c r="H143" s="176"/>
      <c r="I143" s="126"/>
      <c r="J143" s="126"/>
      <c r="K143" s="126"/>
      <c r="L143" s="126"/>
      <c r="M143" s="126"/>
      <c r="N143" s="126"/>
      <c r="O143" s="126"/>
      <c r="P143" s="126"/>
      <c r="Q143" s="126"/>
      <c r="R143" s="126"/>
      <c r="S143" s="126"/>
      <c r="T143" s="126"/>
      <c r="U143" s="126"/>
      <c r="V143" s="126"/>
      <c r="W143" s="126"/>
      <c r="X143" s="126"/>
      <c r="Y143" s="126"/>
      <c r="Z143" s="126"/>
      <c r="AA143" s="126"/>
      <c r="AB143" s="126"/>
    </row>
    <row r="144" spans="1:28" ht="15.75" customHeight="1">
      <c r="A144" s="126"/>
      <c r="B144" s="126"/>
      <c r="C144" s="176"/>
      <c r="D144" s="176"/>
      <c r="E144" s="176"/>
      <c r="F144" s="176"/>
      <c r="G144" s="176"/>
      <c r="H144" s="176"/>
      <c r="I144" s="126"/>
      <c r="J144" s="126"/>
      <c r="K144" s="126"/>
      <c r="L144" s="126"/>
      <c r="M144" s="126"/>
      <c r="N144" s="126"/>
      <c r="O144" s="126"/>
      <c r="P144" s="126"/>
      <c r="Q144" s="126"/>
      <c r="R144" s="126"/>
      <c r="S144" s="126"/>
      <c r="T144" s="126"/>
      <c r="U144" s="126"/>
      <c r="V144" s="126"/>
      <c r="W144" s="126"/>
      <c r="X144" s="126"/>
      <c r="Y144" s="126"/>
      <c r="Z144" s="126"/>
      <c r="AA144" s="126"/>
      <c r="AB144" s="126"/>
    </row>
    <row r="145" spans="1:28" ht="15.75" customHeight="1">
      <c r="A145" s="126"/>
      <c r="B145" s="126"/>
      <c r="C145" s="176"/>
      <c r="D145" s="176"/>
      <c r="E145" s="176"/>
      <c r="F145" s="176"/>
      <c r="G145" s="176"/>
      <c r="H145" s="176"/>
      <c r="I145" s="126"/>
      <c r="J145" s="126"/>
      <c r="K145" s="126"/>
      <c r="L145" s="126"/>
      <c r="M145" s="126"/>
      <c r="N145" s="126"/>
      <c r="O145" s="126"/>
      <c r="P145" s="126"/>
      <c r="Q145" s="126"/>
      <c r="R145" s="126"/>
      <c r="S145" s="126"/>
      <c r="T145" s="126"/>
      <c r="U145" s="126"/>
      <c r="V145" s="126"/>
      <c r="W145" s="126"/>
      <c r="X145" s="126"/>
      <c r="Y145" s="126"/>
      <c r="Z145" s="126"/>
      <c r="AA145" s="126"/>
      <c r="AB145" s="126"/>
    </row>
    <row r="146" spans="1:28" ht="15.75" customHeight="1">
      <c r="A146" s="126"/>
      <c r="B146" s="126"/>
      <c r="C146" s="176"/>
      <c r="D146" s="176"/>
      <c r="E146" s="176"/>
      <c r="F146" s="176"/>
      <c r="G146" s="176"/>
      <c r="H146" s="176"/>
      <c r="I146" s="126"/>
      <c r="J146" s="126"/>
      <c r="K146" s="126"/>
      <c r="L146" s="126"/>
      <c r="M146" s="126"/>
      <c r="N146" s="126"/>
      <c r="O146" s="126"/>
      <c r="P146" s="126"/>
      <c r="Q146" s="126"/>
      <c r="R146" s="126"/>
      <c r="S146" s="126"/>
      <c r="T146" s="126"/>
      <c r="U146" s="126"/>
      <c r="V146" s="126"/>
      <c r="W146" s="126"/>
      <c r="X146" s="126"/>
      <c r="Y146" s="126"/>
      <c r="Z146" s="126"/>
      <c r="AA146" s="126"/>
      <c r="AB146" s="126"/>
    </row>
    <row r="147" spans="1:28" ht="15.75" customHeight="1">
      <c r="A147" s="126"/>
      <c r="B147" s="126"/>
      <c r="C147" s="176"/>
      <c r="D147" s="176"/>
      <c r="E147" s="176"/>
      <c r="F147" s="176"/>
      <c r="G147" s="176"/>
      <c r="H147" s="176"/>
      <c r="I147" s="126"/>
      <c r="J147" s="126"/>
      <c r="K147" s="126"/>
      <c r="L147" s="126"/>
      <c r="M147" s="126"/>
      <c r="N147" s="126"/>
      <c r="O147" s="126"/>
      <c r="P147" s="126"/>
      <c r="Q147" s="126"/>
      <c r="R147" s="126"/>
      <c r="S147" s="126"/>
      <c r="T147" s="126"/>
      <c r="U147" s="126"/>
      <c r="V147" s="126"/>
      <c r="W147" s="126"/>
      <c r="X147" s="126"/>
      <c r="Y147" s="126"/>
      <c r="Z147" s="126"/>
      <c r="AA147" s="126"/>
      <c r="AB147" s="126"/>
    </row>
    <row r="148" spans="1:28" ht="15.75" customHeight="1">
      <c r="A148" s="126"/>
      <c r="B148" s="126"/>
      <c r="C148" s="176"/>
      <c r="D148" s="176"/>
      <c r="E148" s="176"/>
      <c r="F148" s="176"/>
      <c r="G148" s="176"/>
      <c r="H148" s="176"/>
      <c r="I148" s="126"/>
      <c r="J148" s="126"/>
      <c r="K148" s="126"/>
      <c r="L148" s="126"/>
      <c r="M148" s="126"/>
      <c r="N148" s="126"/>
      <c r="O148" s="126"/>
      <c r="P148" s="126"/>
      <c r="Q148" s="126"/>
      <c r="R148" s="126"/>
      <c r="S148" s="126"/>
      <c r="T148" s="126"/>
      <c r="U148" s="126"/>
      <c r="V148" s="126"/>
      <c r="W148" s="126"/>
      <c r="X148" s="126"/>
      <c r="Y148" s="126"/>
      <c r="Z148" s="126"/>
      <c r="AA148" s="126"/>
      <c r="AB148" s="126"/>
    </row>
    <row r="149" spans="1:28" ht="15.75" customHeight="1">
      <c r="A149" s="126"/>
      <c r="B149" s="126"/>
      <c r="C149" s="176"/>
      <c r="D149" s="176"/>
      <c r="E149" s="176"/>
      <c r="F149" s="176"/>
      <c r="G149" s="176"/>
      <c r="H149" s="176"/>
      <c r="I149" s="126"/>
      <c r="J149" s="126"/>
      <c r="K149" s="126"/>
      <c r="L149" s="126"/>
      <c r="M149" s="126"/>
      <c r="N149" s="126"/>
      <c r="O149" s="126"/>
      <c r="P149" s="126"/>
      <c r="Q149" s="126"/>
      <c r="R149" s="126"/>
      <c r="S149" s="126"/>
      <c r="T149" s="126"/>
      <c r="U149" s="126"/>
      <c r="V149" s="126"/>
      <c r="W149" s="126"/>
      <c r="X149" s="126"/>
      <c r="Y149" s="126"/>
      <c r="Z149" s="126"/>
      <c r="AA149" s="126"/>
      <c r="AB149" s="126"/>
    </row>
    <row r="150" spans="1:28" ht="15.75" customHeight="1">
      <c r="A150" s="126"/>
      <c r="B150" s="126"/>
      <c r="C150" s="176"/>
      <c r="D150" s="176"/>
      <c r="E150" s="176"/>
      <c r="F150" s="176"/>
      <c r="G150" s="176"/>
      <c r="H150" s="176"/>
      <c r="I150" s="126"/>
      <c r="J150" s="126"/>
      <c r="K150" s="126"/>
      <c r="L150" s="126"/>
      <c r="M150" s="126"/>
      <c r="N150" s="126"/>
      <c r="O150" s="126"/>
      <c r="P150" s="126"/>
      <c r="Q150" s="126"/>
      <c r="R150" s="126"/>
      <c r="S150" s="126"/>
      <c r="T150" s="126"/>
      <c r="U150" s="126"/>
      <c r="V150" s="126"/>
      <c r="W150" s="126"/>
      <c r="X150" s="126"/>
      <c r="Y150" s="126"/>
      <c r="Z150" s="126"/>
      <c r="AA150" s="126"/>
      <c r="AB150" s="126"/>
    </row>
    <row r="151" spans="1:28" ht="15.75" customHeight="1">
      <c r="A151" s="126"/>
      <c r="B151" s="126"/>
      <c r="C151" s="176"/>
      <c r="D151" s="176"/>
      <c r="E151" s="176"/>
      <c r="F151" s="176"/>
      <c r="G151" s="176"/>
      <c r="H151" s="176"/>
      <c r="I151" s="126"/>
      <c r="J151" s="126"/>
      <c r="K151" s="126"/>
      <c r="L151" s="126"/>
      <c r="M151" s="126"/>
      <c r="N151" s="126"/>
      <c r="O151" s="126"/>
      <c r="P151" s="126"/>
      <c r="Q151" s="126"/>
      <c r="R151" s="126"/>
      <c r="S151" s="126"/>
      <c r="T151" s="126"/>
      <c r="U151" s="126"/>
      <c r="V151" s="126"/>
      <c r="W151" s="126"/>
      <c r="X151" s="126"/>
      <c r="Y151" s="126"/>
      <c r="Z151" s="126"/>
      <c r="AA151" s="126"/>
      <c r="AB151" s="126"/>
    </row>
    <row r="152" spans="1:28" ht="15.75" customHeight="1">
      <c r="A152" s="126"/>
      <c r="B152" s="126"/>
      <c r="C152" s="176"/>
      <c r="D152" s="176"/>
      <c r="E152" s="176"/>
      <c r="F152" s="176"/>
      <c r="G152" s="176"/>
      <c r="H152" s="176"/>
      <c r="I152" s="126"/>
      <c r="J152" s="126"/>
      <c r="K152" s="126"/>
      <c r="L152" s="126"/>
      <c r="M152" s="126"/>
      <c r="N152" s="126"/>
      <c r="O152" s="126"/>
      <c r="P152" s="126"/>
      <c r="Q152" s="126"/>
      <c r="R152" s="126"/>
      <c r="S152" s="126"/>
      <c r="T152" s="126"/>
      <c r="U152" s="126"/>
      <c r="V152" s="126"/>
      <c r="W152" s="126"/>
      <c r="X152" s="126"/>
      <c r="Y152" s="126"/>
      <c r="Z152" s="126"/>
      <c r="AA152" s="126"/>
      <c r="AB152" s="126"/>
    </row>
    <row r="153" spans="1:28" ht="15.75" customHeight="1">
      <c r="A153" s="126"/>
      <c r="B153" s="126"/>
      <c r="C153" s="176"/>
      <c r="D153" s="176"/>
      <c r="E153" s="176"/>
      <c r="F153" s="176"/>
      <c r="G153" s="176"/>
      <c r="H153" s="176"/>
      <c r="I153" s="126"/>
      <c r="J153" s="126"/>
      <c r="K153" s="126"/>
      <c r="L153" s="126"/>
      <c r="M153" s="126"/>
      <c r="N153" s="126"/>
      <c r="O153" s="126"/>
      <c r="P153" s="126"/>
      <c r="Q153" s="126"/>
      <c r="R153" s="126"/>
      <c r="S153" s="126"/>
      <c r="T153" s="126"/>
      <c r="U153" s="126"/>
      <c r="V153" s="126"/>
      <c r="W153" s="126"/>
      <c r="X153" s="126"/>
      <c r="Y153" s="126"/>
      <c r="Z153" s="126"/>
      <c r="AA153" s="126"/>
      <c r="AB153" s="126"/>
    </row>
    <row r="154" spans="1:28" ht="15.75" customHeight="1">
      <c r="A154" s="126"/>
      <c r="B154" s="126"/>
      <c r="C154" s="176"/>
      <c r="D154" s="176"/>
      <c r="E154" s="176"/>
      <c r="F154" s="176"/>
      <c r="G154" s="176"/>
      <c r="H154" s="176"/>
      <c r="I154" s="126"/>
      <c r="J154" s="126"/>
      <c r="K154" s="126"/>
      <c r="L154" s="126"/>
      <c r="M154" s="126"/>
      <c r="N154" s="126"/>
      <c r="O154" s="126"/>
      <c r="P154" s="126"/>
      <c r="Q154" s="126"/>
      <c r="R154" s="126"/>
      <c r="S154" s="126"/>
      <c r="T154" s="126"/>
      <c r="U154" s="126"/>
      <c r="V154" s="126"/>
      <c r="W154" s="126"/>
      <c r="X154" s="126"/>
      <c r="Y154" s="126"/>
      <c r="Z154" s="126"/>
      <c r="AA154" s="126"/>
      <c r="AB154" s="126"/>
    </row>
    <row r="155" spans="1:28" ht="15.75" customHeight="1">
      <c r="A155" s="126"/>
      <c r="B155" s="126"/>
      <c r="C155" s="176"/>
      <c r="D155" s="176"/>
      <c r="E155" s="176"/>
      <c r="F155" s="176"/>
      <c r="G155" s="176"/>
      <c r="H155" s="176"/>
      <c r="I155" s="126"/>
      <c r="J155" s="126"/>
      <c r="K155" s="126"/>
      <c r="L155" s="126"/>
      <c r="M155" s="126"/>
      <c r="N155" s="126"/>
      <c r="O155" s="126"/>
      <c r="P155" s="126"/>
      <c r="Q155" s="126"/>
      <c r="R155" s="126"/>
      <c r="S155" s="126"/>
      <c r="T155" s="126"/>
      <c r="U155" s="126"/>
      <c r="V155" s="126"/>
      <c r="W155" s="126"/>
      <c r="X155" s="126"/>
      <c r="Y155" s="126"/>
      <c r="Z155" s="126"/>
      <c r="AA155" s="126"/>
      <c r="AB155" s="126"/>
    </row>
    <row r="156" spans="1:28" ht="15.75" customHeight="1">
      <c r="A156" s="126"/>
      <c r="B156" s="126"/>
      <c r="C156" s="176"/>
      <c r="D156" s="176"/>
      <c r="E156" s="176"/>
      <c r="F156" s="176"/>
      <c r="G156" s="176"/>
      <c r="H156" s="176"/>
      <c r="I156" s="126"/>
      <c r="J156" s="126"/>
      <c r="K156" s="126"/>
      <c r="L156" s="126"/>
      <c r="M156" s="126"/>
      <c r="N156" s="126"/>
      <c r="O156" s="126"/>
      <c r="P156" s="126"/>
      <c r="Q156" s="126"/>
      <c r="R156" s="126"/>
      <c r="S156" s="126"/>
      <c r="T156" s="126"/>
      <c r="U156" s="126"/>
      <c r="V156" s="126"/>
      <c r="W156" s="126"/>
      <c r="X156" s="126"/>
      <c r="Y156" s="126"/>
      <c r="Z156" s="126"/>
      <c r="AA156" s="126"/>
      <c r="AB156" s="126"/>
    </row>
    <row r="157" spans="1:28" ht="15.75" customHeight="1">
      <c r="A157" s="126"/>
      <c r="B157" s="126"/>
      <c r="C157" s="176"/>
      <c r="D157" s="176"/>
      <c r="E157" s="176"/>
      <c r="F157" s="176"/>
      <c r="G157" s="176"/>
      <c r="H157" s="176"/>
      <c r="I157" s="126"/>
      <c r="J157" s="126"/>
      <c r="K157" s="126"/>
      <c r="L157" s="126"/>
      <c r="M157" s="126"/>
      <c r="N157" s="126"/>
      <c r="O157" s="126"/>
      <c r="P157" s="126"/>
      <c r="Q157" s="126"/>
      <c r="R157" s="126"/>
      <c r="S157" s="126"/>
      <c r="T157" s="126"/>
      <c r="U157" s="126"/>
      <c r="V157" s="126"/>
      <c r="W157" s="126"/>
      <c r="X157" s="126"/>
      <c r="Y157" s="126"/>
      <c r="Z157" s="126"/>
      <c r="AA157" s="126"/>
      <c r="AB157" s="126"/>
    </row>
    <row r="158" spans="1:28" ht="15.75" customHeight="1">
      <c r="A158" s="126"/>
      <c r="B158" s="126"/>
      <c r="C158" s="176"/>
      <c r="D158" s="176"/>
      <c r="E158" s="176"/>
      <c r="F158" s="176"/>
      <c r="G158" s="176"/>
      <c r="H158" s="176"/>
      <c r="I158" s="126"/>
      <c r="J158" s="126"/>
      <c r="K158" s="126"/>
      <c r="L158" s="126"/>
      <c r="M158" s="126"/>
      <c r="N158" s="126"/>
      <c r="O158" s="126"/>
      <c r="P158" s="126"/>
      <c r="Q158" s="126"/>
      <c r="R158" s="126"/>
      <c r="S158" s="126"/>
      <c r="T158" s="126"/>
      <c r="U158" s="126"/>
      <c r="V158" s="126"/>
      <c r="W158" s="126"/>
      <c r="X158" s="126"/>
      <c r="Y158" s="126"/>
      <c r="Z158" s="126"/>
      <c r="AA158" s="126"/>
      <c r="AB158" s="126"/>
    </row>
    <row r="159" spans="1:28" ht="15.75" customHeight="1">
      <c r="A159" s="126"/>
      <c r="B159" s="126"/>
      <c r="C159" s="176"/>
      <c r="D159" s="176"/>
      <c r="E159" s="176"/>
      <c r="F159" s="176"/>
      <c r="G159" s="176"/>
      <c r="H159" s="176"/>
      <c r="I159" s="126"/>
      <c r="J159" s="126"/>
      <c r="K159" s="126"/>
      <c r="L159" s="126"/>
      <c r="M159" s="126"/>
      <c r="N159" s="126"/>
      <c r="O159" s="126"/>
      <c r="P159" s="126"/>
      <c r="Q159" s="126"/>
      <c r="R159" s="126"/>
      <c r="S159" s="126"/>
      <c r="T159" s="126"/>
      <c r="U159" s="126"/>
      <c r="V159" s="126"/>
      <c r="W159" s="126"/>
      <c r="X159" s="126"/>
      <c r="Y159" s="126"/>
      <c r="Z159" s="126"/>
      <c r="AA159" s="126"/>
      <c r="AB159" s="126"/>
    </row>
    <row r="160" spans="1:28" ht="15.75" customHeight="1">
      <c r="A160" s="126"/>
      <c r="B160" s="126"/>
      <c r="C160" s="176"/>
      <c r="D160" s="176"/>
      <c r="E160" s="176"/>
      <c r="F160" s="176"/>
      <c r="G160" s="176"/>
      <c r="H160" s="176"/>
      <c r="I160" s="126"/>
      <c r="J160" s="126"/>
      <c r="K160" s="126"/>
      <c r="L160" s="126"/>
      <c r="M160" s="126"/>
      <c r="N160" s="126"/>
      <c r="O160" s="126"/>
      <c r="P160" s="126"/>
      <c r="Q160" s="126"/>
      <c r="R160" s="126"/>
      <c r="S160" s="126"/>
      <c r="T160" s="126"/>
      <c r="U160" s="126"/>
      <c r="V160" s="126"/>
      <c r="W160" s="126"/>
      <c r="X160" s="126"/>
      <c r="Y160" s="126"/>
      <c r="Z160" s="126"/>
      <c r="AA160" s="126"/>
      <c r="AB160" s="126"/>
    </row>
    <row r="161" spans="1:28" ht="15.75" customHeight="1">
      <c r="A161" s="126"/>
      <c r="B161" s="126"/>
      <c r="C161" s="176"/>
      <c r="D161" s="176"/>
      <c r="E161" s="176"/>
      <c r="F161" s="176"/>
      <c r="G161" s="176"/>
      <c r="H161" s="176"/>
      <c r="I161" s="126"/>
      <c r="J161" s="126"/>
      <c r="K161" s="126"/>
      <c r="L161" s="126"/>
      <c r="M161" s="126"/>
      <c r="N161" s="126"/>
      <c r="O161" s="126"/>
      <c r="P161" s="126"/>
      <c r="Q161" s="126"/>
      <c r="R161" s="126"/>
      <c r="S161" s="126"/>
      <c r="T161" s="126"/>
      <c r="U161" s="126"/>
      <c r="V161" s="126"/>
      <c r="W161" s="126"/>
      <c r="X161" s="126"/>
      <c r="Y161" s="126"/>
      <c r="Z161" s="126"/>
      <c r="AA161" s="126"/>
      <c r="AB161" s="126"/>
    </row>
    <row r="162" spans="1:28" ht="15.75" customHeight="1">
      <c r="A162" s="126"/>
      <c r="B162" s="126"/>
      <c r="C162" s="176"/>
      <c r="D162" s="176"/>
      <c r="E162" s="176"/>
      <c r="F162" s="176"/>
      <c r="G162" s="176"/>
      <c r="H162" s="176"/>
      <c r="I162" s="126"/>
      <c r="J162" s="126"/>
      <c r="K162" s="126"/>
      <c r="L162" s="126"/>
      <c r="M162" s="126"/>
      <c r="N162" s="126"/>
      <c r="O162" s="126"/>
      <c r="P162" s="126"/>
      <c r="Q162" s="126"/>
      <c r="R162" s="126"/>
      <c r="S162" s="126"/>
      <c r="T162" s="126"/>
      <c r="U162" s="126"/>
      <c r="V162" s="126"/>
      <c r="W162" s="126"/>
      <c r="X162" s="126"/>
      <c r="Y162" s="126"/>
      <c r="Z162" s="126"/>
      <c r="AA162" s="126"/>
      <c r="AB162" s="126"/>
    </row>
    <row r="163" spans="1:28" ht="15.75" customHeight="1">
      <c r="A163" s="126"/>
      <c r="B163" s="126"/>
      <c r="C163" s="176"/>
      <c r="D163" s="176"/>
      <c r="E163" s="176"/>
      <c r="F163" s="176"/>
      <c r="G163" s="176"/>
      <c r="H163" s="176"/>
      <c r="I163" s="126"/>
      <c r="J163" s="126"/>
      <c r="K163" s="126"/>
      <c r="L163" s="126"/>
      <c r="M163" s="126"/>
      <c r="N163" s="126"/>
      <c r="O163" s="126"/>
      <c r="P163" s="126"/>
      <c r="Q163" s="126"/>
      <c r="R163" s="126"/>
      <c r="S163" s="126"/>
      <c r="T163" s="126"/>
      <c r="U163" s="126"/>
      <c r="V163" s="126"/>
      <c r="W163" s="126"/>
      <c r="X163" s="126"/>
      <c r="Y163" s="126"/>
      <c r="Z163" s="126"/>
      <c r="AA163" s="126"/>
      <c r="AB163" s="126"/>
    </row>
    <row r="164" spans="1:28" ht="15.75" customHeight="1">
      <c r="A164" s="126"/>
      <c r="B164" s="126"/>
      <c r="C164" s="176"/>
      <c r="D164" s="176"/>
      <c r="E164" s="176"/>
      <c r="F164" s="176"/>
      <c r="G164" s="176"/>
      <c r="H164" s="176"/>
      <c r="I164" s="126"/>
      <c r="J164" s="126"/>
      <c r="K164" s="126"/>
      <c r="L164" s="126"/>
      <c r="M164" s="126"/>
      <c r="N164" s="126"/>
      <c r="O164" s="126"/>
      <c r="P164" s="126"/>
      <c r="Q164" s="126"/>
      <c r="R164" s="126"/>
      <c r="S164" s="126"/>
      <c r="T164" s="126"/>
      <c r="U164" s="126"/>
      <c r="V164" s="126"/>
      <c r="W164" s="126"/>
      <c r="X164" s="126"/>
      <c r="Y164" s="126"/>
      <c r="Z164" s="126"/>
      <c r="AA164" s="126"/>
      <c r="AB164" s="126"/>
    </row>
    <row r="165" spans="1:28" ht="15.75" customHeight="1">
      <c r="A165" s="126"/>
      <c r="B165" s="126"/>
      <c r="C165" s="176"/>
      <c r="D165" s="176"/>
      <c r="E165" s="176"/>
      <c r="F165" s="176"/>
      <c r="G165" s="176"/>
      <c r="H165" s="176"/>
      <c r="I165" s="126"/>
      <c r="J165" s="126"/>
      <c r="K165" s="126"/>
      <c r="L165" s="126"/>
      <c r="M165" s="126"/>
      <c r="N165" s="126"/>
      <c r="O165" s="126"/>
      <c r="P165" s="126"/>
      <c r="Q165" s="126"/>
      <c r="R165" s="126"/>
      <c r="S165" s="126"/>
      <c r="T165" s="126"/>
      <c r="U165" s="126"/>
      <c r="V165" s="126"/>
      <c r="W165" s="126"/>
      <c r="X165" s="126"/>
      <c r="Y165" s="126"/>
      <c r="Z165" s="126"/>
      <c r="AA165" s="126"/>
      <c r="AB165" s="126"/>
    </row>
    <row r="166" spans="1:28" ht="15.75" customHeight="1">
      <c r="A166" s="126"/>
      <c r="B166" s="126"/>
      <c r="C166" s="176"/>
      <c r="D166" s="176"/>
      <c r="E166" s="176"/>
      <c r="F166" s="176"/>
      <c r="G166" s="176"/>
      <c r="H166" s="176"/>
      <c r="I166" s="126"/>
      <c r="J166" s="126"/>
      <c r="K166" s="126"/>
      <c r="L166" s="126"/>
      <c r="M166" s="126"/>
      <c r="N166" s="126"/>
      <c r="O166" s="126"/>
      <c r="P166" s="126"/>
      <c r="Q166" s="126"/>
      <c r="R166" s="126"/>
      <c r="S166" s="126"/>
      <c r="T166" s="126"/>
      <c r="U166" s="126"/>
      <c r="V166" s="126"/>
      <c r="W166" s="126"/>
      <c r="X166" s="126"/>
      <c r="Y166" s="126"/>
      <c r="Z166" s="126"/>
      <c r="AA166" s="126"/>
      <c r="AB166" s="126"/>
    </row>
    <row r="167" spans="1:28" ht="15.75" customHeight="1">
      <c r="A167" s="126"/>
      <c r="B167" s="126"/>
      <c r="C167" s="176"/>
      <c r="D167" s="176"/>
      <c r="E167" s="176"/>
      <c r="F167" s="176"/>
      <c r="G167" s="176"/>
      <c r="H167" s="176"/>
      <c r="I167" s="126"/>
      <c r="J167" s="126"/>
      <c r="K167" s="126"/>
      <c r="L167" s="126"/>
      <c r="M167" s="126"/>
      <c r="N167" s="126"/>
      <c r="O167" s="126"/>
      <c r="P167" s="126"/>
      <c r="Q167" s="126"/>
      <c r="R167" s="126"/>
      <c r="S167" s="126"/>
      <c r="T167" s="126"/>
      <c r="U167" s="126"/>
      <c r="V167" s="126"/>
      <c r="W167" s="126"/>
      <c r="X167" s="126"/>
      <c r="Y167" s="126"/>
      <c r="Z167" s="126"/>
      <c r="AA167" s="126"/>
      <c r="AB167" s="126"/>
    </row>
    <row r="168" spans="1:28" ht="15.75" customHeight="1">
      <c r="A168" s="126"/>
      <c r="B168" s="126"/>
      <c r="C168" s="176"/>
      <c r="D168" s="176"/>
      <c r="E168" s="176"/>
      <c r="F168" s="176"/>
      <c r="G168" s="176"/>
      <c r="H168" s="176"/>
      <c r="I168" s="126"/>
      <c r="J168" s="126"/>
      <c r="K168" s="126"/>
      <c r="L168" s="126"/>
      <c r="M168" s="126"/>
      <c r="N168" s="126"/>
      <c r="O168" s="126"/>
      <c r="P168" s="126"/>
      <c r="Q168" s="126"/>
      <c r="R168" s="126"/>
      <c r="S168" s="126"/>
      <c r="T168" s="126"/>
      <c r="U168" s="126"/>
      <c r="V168" s="126"/>
      <c r="W168" s="126"/>
      <c r="X168" s="126"/>
      <c r="Y168" s="126"/>
      <c r="Z168" s="126"/>
      <c r="AA168" s="126"/>
      <c r="AB168" s="126"/>
    </row>
    <row r="169" spans="1:28" ht="15.75" customHeight="1">
      <c r="A169" s="126"/>
      <c r="B169" s="126"/>
      <c r="C169" s="176"/>
      <c r="D169" s="176"/>
      <c r="E169" s="176"/>
      <c r="F169" s="176"/>
      <c r="G169" s="176"/>
      <c r="H169" s="176"/>
      <c r="I169" s="126"/>
      <c r="J169" s="126"/>
      <c r="K169" s="126"/>
      <c r="L169" s="126"/>
      <c r="M169" s="126"/>
      <c r="N169" s="126"/>
      <c r="O169" s="126"/>
      <c r="P169" s="126"/>
      <c r="Q169" s="126"/>
      <c r="R169" s="126"/>
      <c r="S169" s="126"/>
      <c r="T169" s="126"/>
      <c r="U169" s="126"/>
      <c r="V169" s="126"/>
      <c r="W169" s="126"/>
      <c r="X169" s="126"/>
      <c r="Y169" s="126"/>
      <c r="Z169" s="126"/>
      <c r="AA169" s="126"/>
      <c r="AB169" s="126"/>
    </row>
    <row r="170" spans="1:28" ht="15.75" customHeight="1">
      <c r="A170" s="126"/>
      <c r="B170" s="126"/>
      <c r="C170" s="176"/>
      <c r="D170" s="176"/>
      <c r="E170" s="176"/>
      <c r="F170" s="176"/>
      <c r="G170" s="176"/>
      <c r="H170" s="176"/>
      <c r="I170" s="126"/>
      <c r="J170" s="126"/>
      <c r="K170" s="126"/>
      <c r="L170" s="126"/>
      <c r="M170" s="126"/>
      <c r="N170" s="126"/>
      <c r="O170" s="126"/>
      <c r="P170" s="126"/>
      <c r="Q170" s="126"/>
      <c r="R170" s="126"/>
      <c r="S170" s="126"/>
      <c r="T170" s="126"/>
      <c r="U170" s="126"/>
      <c r="V170" s="126"/>
      <c r="W170" s="126"/>
      <c r="X170" s="126"/>
      <c r="Y170" s="126"/>
      <c r="Z170" s="126"/>
      <c r="AA170" s="126"/>
      <c r="AB170" s="126"/>
    </row>
    <row r="171" spans="1:28" ht="15.75" customHeight="1">
      <c r="A171" s="126"/>
      <c r="B171" s="126"/>
      <c r="C171" s="176"/>
      <c r="D171" s="176"/>
      <c r="E171" s="176"/>
      <c r="F171" s="176"/>
      <c r="G171" s="176"/>
      <c r="H171" s="176"/>
      <c r="I171" s="126"/>
      <c r="J171" s="126"/>
      <c r="K171" s="126"/>
      <c r="L171" s="126"/>
      <c r="M171" s="126"/>
      <c r="N171" s="126"/>
      <c r="O171" s="126"/>
      <c r="P171" s="126"/>
      <c r="Q171" s="126"/>
      <c r="R171" s="126"/>
      <c r="S171" s="126"/>
      <c r="T171" s="126"/>
      <c r="U171" s="126"/>
      <c r="V171" s="126"/>
      <c r="W171" s="126"/>
      <c r="X171" s="126"/>
      <c r="Y171" s="126"/>
      <c r="Z171" s="126"/>
      <c r="AA171" s="126"/>
      <c r="AB171" s="126"/>
    </row>
    <row r="172" spans="1:28" ht="15.75" customHeight="1">
      <c r="A172" s="126"/>
      <c r="B172" s="126"/>
      <c r="C172" s="176"/>
      <c r="D172" s="176"/>
      <c r="E172" s="176"/>
      <c r="F172" s="176"/>
      <c r="G172" s="176"/>
      <c r="H172" s="176"/>
      <c r="I172" s="126"/>
      <c r="J172" s="126"/>
      <c r="K172" s="126"/>
      <c r="L172" s="126"/>
      <c r="M172" s="126"/>
      <c r="N172" s="126"/>
      <c r="O172" s="126"/>
      <c r="P172" s="126"/>
      <c r="Q172" s="126"/>
      <c r="R172" s="126"/>
      <c r="S172" s="126"/>
      <c r="T172" s="126"/>
      <c r="U172" s="126"/>
      <c r="V172" s="126"/>
      <c r="W172" s="126"/>
      <c r="X172" s="126"/>
      <c r="Y172" s="126"/>
      <c r="Z172" s="126"/>
      <c r="AA172" s="126"/>
      <c r="AB172" s="126"/>
    </row>
    <row r="173" spans="1:28" ht="15.75" customHeight="1">
      <c r="A173" s="126"/>
      <c r="B173" s="126"/>
      <c r="C173" s="176"/>
      <c r="D173" s="176"/>
      <c r="E173" s="176"/>
      <c r="F173" s="176"/>
      <c r="G173" s="176"/>
      <c r="H173" s="176"/>
      <c r="I173" s="126"/>
      <c r="J173" s="126"/>
      <c r="K173" s="126"/>
      <c r="L173" s="126"/>
      <c r="M173" s="126"/>
      <c r="N173" s="126"/>
      <c r="O173" s="126"/>
      <c r="P173" s="126"/>
      <c r="Q173" s="126"/>
      <c r="R173" s="126"/>
      <c r="S173" s="126"/>
      <c r="T173" s="126"/>
      <c r="U173" s="126"/>
      <c r="V173" s="126"/>
      <c r="W173" s="126"/>
      <c r="X173" s="126"/>
      <c r="Y173" s="126"/>
      <c r="Z173" s="126"/>
      <c r="AA173" s="126"/>
      <c r="AB173" s="126"/>
    </row>
    <row r="174" spans="1:28" ht="15.75" customHeight="1">
      <c r="A174" s="126"/>
      <c r="B174" s="126"/>
      <c r="C174" s="176"/>
      <c r="D174" s="176"/>
      <c r="E174" s="176"/>
      <c r="F174" s="176"/>
      <c r="G174" s="176"/>
      <c r="H174" s="176"/>
      <c r="I174" s="126"/>
      <c r="J174" s="126"/>
      <c r="K174" s="126"/>
      <c r="L174" s="126"/>
      <c r="M174" s="126"/>
      <c r="N174" s="126"/>
      <c r="O174" s="126"/>
      <c r="P174" s="126"/>
      <c r="Q174" s="126"/>
      <c r="R174" s="126"/>
      <c r="S174" s="126"/>
      <c r="T174" s="126"/>
      <c r="U174" s="126"/>
      <c r="V174" s="126"/>
      <c r="W174" s="126"/>
      <c r="X174" s="126"/>
      <c r="Y174" s="126"/>
      <c r="Z174" s="126"/>
      <c r="AA174" s="126"/>
      <c r="AB174" s="126"/>
    </row>
    <row r="175" spans="1:28" ht="15.75" customHeight="1">
      <c r="A175" s="126"/>
      <c r="B175" s="126"/>
      <c r="C175" s="176"/>
      <c r="D175" s="176"/>
      <c r="E175" s="176"/>
      <c r="F175" s="176"/>
      <c r="G175" s="176"/>
      <c r="H175" s="176"/>
      <c r="I175" s="126"/>
      <c r="J175" s="126"/>
      <c r="K175" s="126"/>
      <c r="L175" s="126"/>
      <c r="M175" s="126"/>
      <c r="N175" s="126"/>
      <c r="O175" s="126"/>
      <c r="P175" s="126"/>
      <c r="Q175" s="126"/>
      <c r="R175" s="126"/>
      <c r="S175" s="126"/>
      <c r="T175" s="126"/>
      <c r="U175" s="126"/>
      <c r="V175" s="126"/>
      <c r="W175" s="126"/>
      <c r="X175" s="126"/>
      <c r="Y175" s="126"/>
      <c r="Z175" s="126"/>
      <c r="AA175" s="126"/>
      <c r="AB175" s="126"/>
    </row>
    <row r="176" spans="1:28" ht="15.75" customHeight="1">
      <c r="A176" s="126"/>
      <c r="B176" s="126"/>
      <c r="C176" s="176"/>
      <c r="D176" s="176"/>
      <c r="E176" s="176"/>
      <c r="F176" s="176"/>
      <c r="G176" s="176"/>
      <c r="H176" s="176"/>
      <c r="I176" s="126"/>
      <c r="J176" s="126"/>
      <c r="K176" s="126"/>
      <c r="L176" s="126"/>
      <c r="M176" s="126"/>
      <c r="N176" s="126"/>
      <c r="O176" s="126"/>
      <c r="P176" s="126"/>
      <c r="Q176" s="126"/>
      <c r="R176" s="126"/>
      <c r="S176" s="126"/>
      <c r="T176" s="126"/>
      <c r="U176" s="126"/>
      <c r="V176" s="126"/>
      <c r="W176" s="126"/>
      <c r="X176" s="126"/>
      <c r="Y176" s="126"/>
      <c r="Z176" s="126"/>
      <c r="AA176" s="126"/>
      <c r="AB176" s="126"/>
    </row>
    <row r="177" spans="1:28" ht="15.75" customHeight="1">
      <c r="A177" s="126"/>
      <c r="B177" s="126"/>
      <c r="C177" s="176"/>
      <c r="D177" s="176"/>
      <c r="E177" s="176"/>
      <c r="F177" s="176"/>
      <c r="G177" s="176"/>
      <c r="H177" s="176"/>
      <c r="I177" s="126"/>
      <c r="J177" s="126"/>
      <c r="K177" s="126"/>
      <c r="L177" s="126"/>
      <c r="M177" s="126"/>
      <c r="N177" s="126"/>
      <c r="O177" s="126"/>
      <c r="P177" s="126"/>
      <c r="Q177" s="126"/>
      <c r="R177" s="126"/>
      <c r="S177" s="126"/>
      <c r="T177" s="126"/>
      <c r="U177" s="126"/>
      <c r="V177" s="126"/>
      <c r="W177" s="126"/>
      <c r="X177" s="126"/>
      <c r="Y177" s="126"/>
      <c r="Z177" s="126"/>
      <c r="AA177" s="126"/>
      <c r="AB177" s="126"/>
    </row>
    <row r="178" spans="1:28" ht="15.75" customHeight="1">
      <c r="A178" s="126"/>
      <c r="B178" s="126"/>
      <c r="C178" s="176"/>
      <c r="D178" s="176"/>
      <c r="E178" s="176"/>
      <c r="F178" s="176"/>
      <c r="G178" s="176"/>
      <c r="H178" s="176"/>
      <c r="I178" s="126"/>
      <c r="J178" s="126"/>
      <c r="K178" s="126"/>
      <c r="L178" s="126"/>
      <c r="M178" s="126"/>
      <c r="N178" s="126"/>
      <c r="O178" s="126"/>
      <c r="P178" s="126"/>
      <c r="Q178" s="126"/>
      <c r="R178" s="126"/>
      <c r="S178" s="126"/>
      <c r="T178" s="126"/>
      <c r="U178" s="126"/>
      <c r="V178" s="126"/>
      <c r="W178" s="126"/>
      <c r="X178" s="126"/>
      <c r="Y178" s="126"/>
      <c r="Z178" s="126"/>
      <c r="AA178" s="126"/>
      <c r="AB178" s="126"/>
    </row>
    <row r="179" spans="1:28" ht="15.75" customHeight="1">
      <c r="A179" s="126"/>
      <c r="B179" s="126"/>
      <c r="C179" s="176"/>
      <c r="D179" s="176"/>
      <c r="E179" s="176"/>
      <c r="F179" s="176"/>
      <c r="G179" s="176"/>
      <c r="H179" s="176"/>
      <c r="I179" s="126"/>
      <c r="J179" s="126"/>
      <c r="K179" s="126"/>
      <c r="L179" s="126"/>
      <c r="M179" s="126"/>
      <c r="N179" s="126"/>
      <c r="O179" s="126"/>
      <c r="P179" s="126"/>
      <c r="Q179" s="126"/>
      <c r="R179" s="126"/>
      <c r="S179" s="126"/>
      <c r="T179" s="126"/>
      <c r="U179" s="126"/>
      <c r="V179" s="126"/>
      <c r="W179" s="126"/>
      <c r="X179" s="126"/>
      <c r="Y179" s="126"/>
      <c r="Z179" s="126"/>
      <c r="AA179" s="126"/>
      <c r="AB179" s="126"/>
    </row>
    <row r="180" spans="1:28" ht="15.75" customHeight="1">
      <c r="A180" s="126"/>
      <c r="B180" s="126"/>
      <c r="C180" s="176"/>
      <c r="D180" s="176"/>
      <c r="E180" s="176"/>
      <c r="F180" s="176"/>
      <c r="G180" s="176"/>
      <c r="H180" s="176"/>
      <c r="I180" s="126"/>
      <c r="J180" s="126"/>
      <c r="K180" s="126"/>
      <c r="L180" s="126"/>
      <c r="M180" s="126"/>
      <c r="N180" s="126"/>
      <c r="O180" s="126"/>
      <c r="P180" s="126"/>
      <c r="Q180" s="126"/>
      <c r="R180" s="126"/>
      <c r="S180" s="126"/>
      <c r="T180" s="126"/>
      <c r="U180" s="126"/>
      <c r="V180" s="126"/>
      <c r="W180" s="126"/>
      <c r="X180" s="126"/>
      <c r="Y180" s="126"/>
      <c r="Z180" s="126"/>
      <c r="AA180" s="126"/>
      <c r="AB180" s="126"/>
    </row>
    <row r="181" spans="1:28" ht="15.75" customHeight="1">
      <c r="A181" s="126"/>
      <c r="B181" s="126"/>
      <c r="C181" s="176"/>
      <c r="D181" s="176"/>
      <c r="E181" s="176"/>
      <c r="F181" s="176"/>
      <c r="G181" s="176"/>
      <c r="H181" s="176"/>
      <c r="I181" s="126"/>
      <c r="J181" s="126"/>
      <c r="K181" s="126"/>
      <c r="L181" s="126"/>
      <c r="M181" s="126"/>
      <c r="N181" s="126"/>
      <c r="O181" s="126"/>
      <c r="P181" s="126"/>
      <c r="Q181" s="126"/>
      <c r="R181" s="126"/>
      <c r="S181" s="126"/>
      <c r="T181" s="126"/>
      <c r="U181" s="126"/>
      <c r="V181" s="126"/>
      <c r="W181" s="126"/>
      <c r="X181" s="126"/>
      <c r="Y181" s="126"/>
      <c r="Z181" s="126"/>
      <c r="AA181" s="126"/>
      <c r="AB181" s="126"/>
    </row>
    <row r="182" spans="1:28" ht="15.75" customHeight="1">
      <c r="A182" s="126"/>
      <c r="B182" s="126"/>
      <c r="C182" s="176"/>
      <c r="D182" s="176"/>
      <c r="E182" s="176"/>
      <c r="F182" s="176"/>
      <c r="G182" s="176"/>
      <c r="H182" s="176"/>
      <c r="I182" s="126"/>
      <c r="J182" s="126"/>
      <c r="K182" s="126"/>
      <c r="L182" s="126"/>
      <c r="M182" s="126"/>
      <c r="N182" s="126"/>
      <c r="O182" s="126"/>
      <c r="P182" s="126"/>
      <c r="Q182" s="126"/>
      <c r="R182" s="126"/>
      <c r="S182" s="126"/>
      <c r="T182" s="126"/>
      <c r="U182" s="126"/>
      <c r="V182" s="126"/>
      <c r="W182" s="126"/>
      <c r="X182" s="126"/>
      <c r="Y182" s="126"/>
      <c r="Z182" s="126"/>
      <c r="AA182" s="126"/>
      <c r="AB182" s="126"/>
    </row>
    <row r="183" spans="1:28" ht="15.75" customHeight="1">
      <c r="A183" s="126"/>
      <c r="B183" s="126"/>
      <c r="C183" s="176"/>
      <c r="D183" s="176"/>
      <c r="E183" s="176"/>
      <c r="F183" s="176"/>
      <c r="G183" s="176"/>
      <c r="H183" s="176"/>
      <c r="I183" s="126"/>
      <c r="J183" s="126"/>
      <c r="K183" s="126"/>
      <c r="L183" s="126"/>
      <c r="M183" s="126"/>
      <c r="N183" s="126"/>
      <c r="O183" s="126"/>
      <c r="P183" s="126"/>
      <c r="Q183" s="126"/>
      <c r="R183" s="126"/>
      <c r="S183" s="126"/>
      <c r="T183" s="126"/>
      <c r="U183" s="126"/>
      <c r="V183" s="126"/>
      <c r="W183" s="126"/>
      <c r="X183" s="126"/>
      <c r="Y183" s="126"/>
      <c r="Z183" s="126"/>
      <c r="AA183" s="126"/>
      <c r="AB183" s="126"/>
    </row>
    <row r="184" spans="1:28" ht="15.75" customHeight="1">
      <c r="A184" s="126"/>
      <c r="B184" s="126"/>
      <c r="C184" s="176"/>
      <c r="D184" s="176"/>
      <c r="E184" s="176"/>
      <c r="F184" s="176"/>
      <c r="G184" s="176"/>
      <c r="H184" s="176"/>
      <c r="I184" s="126"/>
      <c r="J184" s="126"/>
      <c r="K184" s="126"/>
      <c r="L184" s="126"/>
      <c r="M184" s="126"/>
      <c r="N184" s="126"/>
      <c r="O184" s="126"/>
      <c r="P184" s="126"/>
      <c r="Q184" s="126"/>
      <c r="R184" s="126"/>
      <c r="S184" s="126"/>
      <c r="T184" s="126"/>
      <c r="U184" s="126"/>
      <c r="V184" s="126"/>
      <c r="W184" s="126"/>
      <c r="X184" s="126"/>
      <c r="Y184" s="126"/>
      <c r="Z184" s="126"/>
      <c r="AA184" s="126"/>
      <c r="AB184" s="126"/>
    </row>
    <row r="185" spans="1:28" ht="15.75" customHeight="1">
      <c r="A185" s="126"/>
      <c r="B185" s="126"/>
      <c r="C185" s="176"/>
      <c r="D185" s="176"/>
      <c r="E185" s="176"/>
      <c r="F185" s="176"/>
      <c r="G185" s="176"/>
      <c r="H185" s="176"/>
      <c r="I185" s="126"/>
      <c r="J185" s="126"/>
      <c r="K185" s="126"/>
      <c r="L185" s="126"/>
      <c r="M185" s="126"/>
      <c r="N185" s="126"/>
      <c r="O185" s="126"/>
      <c r="P185" s="126"/>
      <c r="Q185" s="126"/>
      <c r="R185" s="126"/>
      <c r="S185" s="126"/>
      <c r="T185" s="126"/>
      <c r="U185" s="126"/>
      <c r="V185" s="126"/>
      <c r="W185" s="126"/>
      <c r="X185" s="126"/>
      <c r="Y185" s="126"/>
      <c r="Z185" s="126"/>
      <c r="AA185" s="126"/>
      <c r="AB185" s="126"/>
    </row>
    <row r="186" spans="1:28" ht="15.75" customHeight="1">
      <c r="A186" s="126"/>
      <c r="B186" s="126"/>
      <c r="C186" s="176"/>
      <c r="D186" s="176"/>
      <c r="E186" s="176"/>
      <c r="F186" s="176"/>
      <c r="G186" s="176"/>
      <c r="H186" s="176"/>
      <c r="I186" s="126"/>
      <c r="J186" s="126"/>
      <c r="K186" s="126"/>
      <c r="L186" s="126"/>
      <c r="M186" s="126"/>
      <c r="N186" s="126"/>
      <c r="O186" s="126"/>
      <c r="P186" s="126"/>
      <c r="Q186" s="126"/>
      <c r="R186" s="126"/>
      <c r="S186" s="126"/>
      <c r="T186" s="126"/>
      <c r="U186" s="126"/>
      <c r="V186" s="126"/>
      <c r="W186" s="126"/>
      <c r="X186" s="126"/>
      <c r="Y186" s="126"/>
      <c r="Z186" s="126"/>
      <c r="AA186" s="126"/>
      <c r="AB186" s="126"/>
    </row>
    <row r="187" spans="1:28" ht="15.75" customHeight="1">
      <c r="A187" s="126"/>
      <c r="B187" s="126"/>
      <c r="C187" s="176"/>
      <c r="D187" s="176"/>
      <c r="E187" s="176"/>
      <c r="F187" s="176"/>
      <c r="G187" s="176"/>
      <c r="H187" s="176"/>
      <c r="I187" s="126"/>
      <c r="J187" s="126"/>
      <c r="K187" s="126"/>
      <c r="L187" s="126"/>
      <c r="M187" s="126"/>
      <c r="N187" s="126"/>
      <c r="O187" s="126"/>
      <c r="P187" s="126"/>
      <c r="Q187" s="126"/>
      <c r="R187" s="126"/>
      <c r="S187" s="126"/>
      <c r="T187" s="126"/>
      <c r="U187" s="126"/>
      <c r="V187" s="126"/>
      <c r="W187" s="126"/>
      <c r="X187" s="126"/>
      <c r="Y187" s="126"/>
      <c r="Z187" s="126"/>
      <c r="AA187" s="126"/>
      <c r="AB187" s="126"/>
    </row>
    <row r="188" spans="1:28" ht="15.75" customHeight="1">
      <c r="A188" s="126"/>
      <c r="B188" s="126"/>
      <c r="C188" s="176"/>
      <c r="D188" s="176"/>
      <c r="E188" s="176"/>
      <c r="F188" s="176"/>
      <c r="G188" s="176"/>
      <c r="H188" s="176"/>
      <c r="I188" s="126"/>
      <c r="J188" s="126"/>
      <c r="K188" s="126"/>
      <c r="L188" s="126"/>
      <c r="M188" s="126"/>
      <c r="N188" s="126"/>
      <c r="O188" s="126"/>
      <c r="P188" s="126"/>
      <c r="Q188" s="126"/>
      <c r="R188" s="126"/>
      <c r="S188" s="126"/>
      <c r="T188" s="126"/>
      <c r="U188" s="126"/>
      <c r="V188" s="126"/>
      <c r="W188" s="126"/>
      <c r="X188" s="126"/>
      <c r="Y188" s="126"/>
      <c r="Z188" s="126"/>
      <c r="AA188" s="126"/>
      <c r="AB188" s="126"/>
    </row>
    <row r="189" spans="1:28" ht="15.75" customHeight="1">
      <c r="A189" s="126"/>
      <c r="B189" s="126"/>
      <c r="C189" s="176"/>
      <c r="D189" s="176"/>
      <c r="E189" s="176"/>
      <c r="F189" s="176"/>
      <c r="G189" s="176"/>
      <c r="H189" s="176"/>
      <c r="I189" s="126"/>
      <c r="J189" s="126"/>
      <c r="K189" s="126"/>
      <c r="L189" s="126"/>
      <c r="M189" s="126"/>
      <c r="N189" s="126"/>
      <c r="O189" s="126"/>
      <c r="P189" s="126"/>
      <c r="Q189" s="126"/>
      <c r="R189" s="126"/>
      <c r="S189" s="126"/>
      <c r="T189" s="126"/>
      <c r="U189" s="126"/>
      <c r="V189" s="126"/>
      <c r="W189" s="126"/>
      <c r="X189" s="126"/>
      <c r="Y189" s="126"/>
      <c r="Z189" s="126"/>
      <c r="AA189" s="126"/>
      <c r="AB189" s="126"/>
    </row>
    <row r="190" spans="1:28" ht="15.75" customHeight="1">
      <c r="A190" s="126"/>
      <c r="B190" s="126"/>
      <c r="C190" s="176"/>
      <c r="D190" s="176"/>
      <c r="E190" s="176"/>
      <c r="F190" s="176"/>
      <c r="G190" s="176"/>
      <c r="H190" s="176"/>
      <c r="I190" s="126"/>
      <c r="J190" s="126"/>
      <c r="K190" s="126"/>
      <c r="L190" s="126"/>
      <c r="M190" s="126"/>
      <c r="N190" s="126"/>
      <c r="O190" s="126"/>
      <c r="P190" s="126"/>
      <c r="Q190" s="126"/>
      <c r="R190" s="126"/>
      <c r="S190" s="126"/>
      <c r="T190" s="126"/>
      <c r="U190" s="126"/>
      <c r="V190" s="126"/>
      <c r="W190" s="126"/>
      <c r="X190" s="126"/>
      <c r="Y190" s="126"/>
      <c r="Z190" s="126"/>
      <c r="AA190" s="126"/>
      <c r="AB190" s="126"/>
    </row>
    <row r="191" spans="1:28" ht="15.75" customHeight="1">
      <c r="A191" s="126"/>
      <c r="B191" s="126"/>
      <c r="C191" s="176"/>
      <c r="D191" s="176"/>
      <c r="E191" s="176"/>
      <c r="F191" s="176"/>
      <c r="G191" s="176"/>
      <c r="H191" s="176"/>
      <c r="I191" s="126"/>
      <c r="J191" s="126"/>
      <c r="K191" s="126"/>
      <c r="L191" s="126"/>
      <c r="M191" s="126"/>
      <c r="N191" s="126"/>
      <c r="O191" s="126"/>
      <c r="P191" s="126"/>
      <c r="Q191" s="126"/>
      <c r="R191" s="126"/>
      <c r="S191" s="126"/>
      <c r="T191" s="126"/>
      <c r="U191" s="126"/>
      <c r="V191" s="126"/>
      <c r="W191" s="126"/>
      <c r="X191" s="126"/>
      <c r="Y191" s="126"/>
      <c r="Z191" s="126"/>
      <c r="AA191" s="126"/>
      <c r="AB191" s="126"/>
    </row>
    <row r="192" spans="1:28" ht="15.75" customHeight="1">
      <c r="A192" s="126"/>
      <c r="B192" s="126"/>
      <c r="C192" s="176"/>
      <c r="D192" s="176"/>
      <c r="E192" s="176"/>
      <c r="F192" s="176"/>
      <c r="G192" s="176"/>
      <c r="H192" s="176"/>
      <c r="I192" s="126"/>
      <c r="J192" s="126"/>
      <c r="K192" s="126"/>
      <c r="L192" s="126"/>
      <c r="M192" s="126"/>
      <c r="N192" s="126"/>
      <c r="O192" s="126"/>
      <c r="P192" s="126"/>
      <c r="Q192" s="126"/>
      <c r="R192" s="126"/>
      <c r="S192" s="126"/>
      <c r="T192" s="126"/>
      <c r="U192" s="126"/>
      <c r="V192" s="126"/>
      <c r="W192" s="126"/>
      <c r="X192" s="126"/>
      <c r="Y192" s="126"/>
      <c r="Z192" s="126"/>
      <c r="AA192" s="126"/>
      <c r="AB192" s="126"/>
    </row>
    <row r="193" spans="1:28" ht="15.75" customHeight="1">
      <c r="A193" s="126"/>
      <c r="B193" s="126"/>
      <c r="C193" s="176"/>
      <c r="D193" s="176"/>
      <c r="E193" s="176"/>
      <c r="F193" s="176"/>
      <c r="G193" s="176"/>
      <c r="H193" s="176"/>
      <c r="I193" s="126"/>
      <c r="J193" s="126"/>
      <c r="K193" s="126"/>
      <c r="L193" s="126"/>
      <c r="M193" s="126"/>
      <c r="N193" s="126"/>
      <c r="O193" s="126"/>
      <c r="P193" s="126"/>
      <c r="Q193" s="126"/>
      <c r="R193" s="126"/>
      <c r="S193" s="126"/>
      <c r="T193" s="126"/>
      <c r="U193" s="126"/>
      <c r="V193" s="126"/>
      <c r="W193" s="126"/>
      <c r="X193" s="126"/>
      <c r="Y193" s="126"/>
      <c r="Z193" s="126"/>
      <c r="AA193" s="126"/>
      <c r="AB193" s="126"/>
    </row>
    <row r="194" spans="1:28" ht="15.75" customHeight="1">
      <c r="A194" s="126"/>
      <c r="B194" s="126"/>
      <c r="C194" s="176"/>
      <c r="D194" s="176"/>
      <c r="E194" s="176"/>
      <c r="F194" s="176"/>
      <c r="G194" s="176"/>
      <c r="H194" s="176"/>
      <c r="I194" s="126"/>
      <c r="J194" s="126"/>
      <c r="K194" s="126"/>
      <c r="L194" s="126"/>
      <c r="M194" s="126"/>
      <c r="N194" s="126"/>
      <c r="O194" s="126"/>
      <c r="P194" s="126"/>
      <c r="Q194" s="126"/>
      <c r="R194" s="126"/>
      <c r="S194" s="126"/>
      <c r="T194" s="126"/>
      <c r="U194" s="126"/>
      <c r="V194" s="126"/>
      <c r="W194" s="126"/>
      <c r="X194" s="126"/>
      <c r="Y194" s="126"/>
      <c r="Z194" s="126"/>
      <c r="AA194" s="126"/>
      <c r="AB194" s="126"/>
    </row>
    <row r="195" spans="1:28" ht="15.75" customHeight="1">
      <c r="A195" s="126"/>
      <c r="B195" s="126"/>
      <c r="C195" s="176"/>
      <c r="D195" s="176"/>
      <c r="E195" s="176"/>
      <c r="F195" s="176"/>
      <c r="G195" s="176"/>
      <c r="H195" s="176"/>
      <c r="I195" s="126"/>
      <c r="J195" s="126"/>
      <c r="K195" s="126"/>
      <c r="L195" s="126"/>
      <c r="M195" s="126"/>
      <c r="N195" s="126"/>
      <c r="O195" s="126"/>
      <c r="P195" s="126"/>
      <c r="Q195" s="126"/>
      <c r="R195" s="126"/>
      <c r="S195" s="126"/>
      <c r="T195" s="126"/>
      <c r="U195" s="126"/>
      <c r="V195" s="126"/>
      <c r="W195" s="126"/>
      <c r="X195" s="126"/>
      <c r="Y195" s="126"/>
      <c r="Z195" s="126"/>
      <c r="AA195" s="126"/>
      <c r="AB195" s="126"/>
    </row>
    <row r="196" spans="1:28" ht="15.75" customHeight="1">
      <c r="A196" s="126"/>
      <c r="B196" s="126"/>
      <c r="C196" s="176"/>
      <c r="D196" s="176"/>
      <c r="E196" s="176"/>
      <c r="F196" s="176"/>
      <c r="G196" s="176"/>
      <c r="H196" s="176"/>
      <c r="I196" s="126"/>
      <c r="J196" s="126"/>
      <c r="K196" s="126"/>
      <c r="L196" s="126"/>
      <c r="M196" s="126"/>
      <c r="N196" s="126"/>
      <c r="O196" s="126"/>
      <c r="P196" s="126"/>
      <c r="Q196" s="126"/>
      <c r="R196" s="126"/>
      <c r="S196" s="126"/>
      <c r="T196" s="126"/>
      <c r="U196" s="126"/>
      <c r="V196" s="126"/>
      <c r="W196" s="126"/>
      <c r="X196" s="126"/>
      <c r="Y196" s="126"/>
      <c r="Z196" s="126"/>
      <c r="AA196" s="126"/>
      <c r="AB196" s="126"/>
    </row>
    <row r="197" spans="1:28" ht="15.75" customHeight="1">
      <c r="A197" s="126"/>
      <c r="B197" s="126"/>
      <c r="C197" s="176"/>
      <c r="D197" s="176"/>
      <c r="E197" s="176"/>
      <c r="F197" s="176"/>
      <c r="G197" s="176"/>
      <c r="H197" s="176"/>
      <c r="I197" s="126"/>
      <c r="J197" s="126"/>
      <c r="K197" s="126"/>
      <c r="L197" s="126"/>
      <c r="M197" s="126"/>
      <c r="N197" s="126"/>
      <c r="O197" s="126"/>
      <c r="P197" s="126"/>
      <c r="Q197" s="126"/>
      <c r="R197" s="126"/>
      <c r="S197" s="126"/>
      <c r="T197" s="126"/>
      <c r="U197" s="126"/>
      <c r="V197" s="126"/>
      <c r="W197" s="126"/>
      <c r="X197" s="126"/>
      <c r="Y197" s="126"/>
      <c r="Z197" s="126"/>
      <c r="AA197" s="126"/>
      <c r="AB197" s="126"/>
    </row>
    <row r="198" spans="1:28" ht="15.75" customHeight="1">
      <c r="A198" s="126"/>
      <c r="B198" s="126"/>
      <c r="C198" s="176"/>
      <c r="D198" s="176"/>
      <c r="E198" s="176"/>
      <c r="F198" s="176"/>
      <c r="G198" s="176"/>
      <c r="H198" s="176"/>
      <c r="I198" s="126"/>
      <c r="J198" s="126"/>
      <c r="K198" s="126"/>
      <c r="L198" s="126"/>
      <c r="M198" s="126"/>
      <c r="N198" s="126"/>
      <c r="O198" s="126"/>
      <c r="P198" s="126"/>
      <c r="Q198" s="126"/>
      <c r="R198" s="126"/>
      <c r="S198" s="126"/>
      <c r="T198" s="126"/>
      <c r="U198" s="126"/>
      <c r="V198" s="126"/>
      <c r="W198" s="126"/>
      <c r="X198" s="126"/>
      <c r="Y198" s="126"/>
      <c r="Z198" s="126"/>
      <c r="AA198" s="126"/>
      <c r="AB198" s="126"/>
    </row>
    <row r="199" spans="1:28" ht="15.75" customHeight="1">
      <c r="A199" s="126"/>
      <c r="B199" s="126"/>
      <c r="C199" s="176"/>
      <c r="D199" s="176"/>
      <c r="E199" s="176"/>
      <c r="F199" s="176"/>
      <c r="G199" s="176"/>
      <c r="H199" s="176"/>
      <c r="I199" s="126"/>
      <c r="J199" s="126"/>
      <c r="K199" s="126"/>
      <c r="L199" s="126"/>
      <c r="M199" s="126"/>
      <c r="N199" s="126"/>
      <c r="O199" s="126"/>
      <c r="P199" s="126"/>
      <c r="Q199" s="126"/>
      <c r="R199" s="126"/>
      <c r="S199" s="126"/>
      <c r="T199" s="126"/>
      <c r="U199" s="126"/>
      <c r="V199" s="126"/>
      <c r="W199" s="126"/>
      <c r="X199" s="126"/>
      <c r="Y199" s="126"/>
      <c r="Z199" s="126"/>
      <c r="AA199" s="126"/>
      <c r="AB199" s="126"/>
    </row>
    <row r="200" spans="1:28" ht="15.75" customHeight="1">
      <c r="A200" s="126"/>
      <c r="B200" s="126"/>
      <c r="C200" s="176"/>
      <c r="D200" s="176"/>
      <c r="E200" s="176"/>
      <c r="F200" s="176"/>
      <c r="G200" s="176"/>
      <c r="H200" s="176"/>
      <c r="I200" s="126"/>
      <c r="J200" s="126"/>
      <c r="K200" s="126"/>
      <c r="L200" s="126"/>
      <c r="M200" s="126"/>
      <c r="N200" s="126"/>
      <c r="O200" s="126"/>
      <c r="P200" s="126"/>
      <c r="Q200" s="126"/>
      <c r="R200" s="126"/>
      <c r="S200" s="126"/>
      <c r="T200" s="126"/>
      <c r="U200" s="126"/>
      <c r="V200" s="126"/>
      <c r="W200" s="126"/>
      <c r="X200" s="126"/>
      <c r="Y200" s="126"/>
      <c r="Z200" s="126"/>
      <c r="AA200" s="126"/>
      <c r="AB200" s="126"/>
    </row>
    <row r="201" spans="1:28" ht="15.75" customHeight="1">
      <c r="A201" s="126"/>
      <c r="B201" s="126"/>
      <c r="C201" s="176"/>
      <c r="D201" s="176"/>
      <c r="E201" s="176"/>
      <c r="F201" s="176"/>
      <c r="G201" s="176"/>
      <c r="H201" s="176"/>
      <c r="I201" s="126"/>
      <c r="J201" s="126"/>
      <c r="K201" s="126"/>
      <c r="L201" s="126"/>
      <c r="M201" s="126"/>
      <c r="N201" s="126"/>
      <c r="O201" s="126"/>
      <c r="P201" s="126"/>
      <c r="Q201" s="126"/>
      <c r="R201" s="126"/>
      <c r="S201" s="126"/>
      <c r="T201" s="126"/>
      <c r="U201" s="126"/>
      <c r="V201" s="126"/>
      <c r="W201" s="126"/>
      <c r="X201" s="126"/>
      <c r="Y201" s="126"/>
      <c r="Z201" s="126"/>
      <c r="AA201" s="126"/>
      <c r="AB201" s="126"/>
    </row>
    <row r="202" spans="1:28" ht="15.75" customHeight="1">
      <c r="A202" s="126"/>
      <c r="B202" s="126"/>
      <c r="C202" s="176"/>
      <c r="D202" s="176"/>
      <c r="E202" s="176"/>
      <c r="F202" s="176"/>
      <c r="G202" s="176"/>
      <c r="H202" s="176"/>
      <c r="I202" s="126"/>
      <c r="J202" s="126"/>
      <c r="K202" s="126"/>
      <c r="L202" s="126"/>
      <c r="M202" s="126"/>
      <c r="N202" s="126"/>
      <c r="O202" s="126"/>
      <c r="P202" s="126"/>
      <c r="Q202" s="126"/>
      <c r="R202" s="126"/>
      <c r="S202" s="126"/>
      <c r="T202" s="126"/>
      <c r="U202" s="126"/>
      <c r="V202" s="126"/>
      <c r="W202" s="126"/>
      <c r="X202" s="126"/>
      <c r="Y202" s="126"/>
      <c r="Z202" s="126"/>
      <c r="AA202" s="126"/>
      <c r="AB202" s="126"/>
    </row>
    <row r="203" spans="1:28" ht="15.75" customHeight="1">
      <c r="A203" s="126"/>
      <c r="B203" s="126"/>
      <c r="C203" s="176"/>
      <c r="D203" s="176"/>
      <c r="E203" s="176"/>
      <c r="F203" s="176"/>
      <c r="G203" s="176"/>
      <c r="H203" s="176"/>
      <c r="I203" s="126"/>
      <c r="J203" s="126"/>
      <c r="K203" s="126"/>
      <c r="L203" s="126"/>
      <c r="M203" s="126"/>
      <c r="N203" s="126"/>
      <c r="O203" s="126"/>
      <c r="P203" s="126"/>
      <c r="Q203" s="126"/>
      <c r="R203" s="126"/>
      <c r="S203" s="126"/>
      <c r="T203" s="126"/>
      <c r="U203" s="126"/>
      <c r="V203" s="126"/>
      <c r="W203" s="126"/>
      <c r="X203" s="126"/>
      <c r="Y203" s="126"/>
      <c r="Z203" s="126"/>
      <c r="AA203" s="126"/>
      <c r="AB203" s="126"/>
    </row>
    <row r="204" spans="1:28" ht="15.75" customHeight="1">
      <c r="A204" s="126"/>
      <c r="B204" s="126"/>
      <c r="C204" s="176"/>
      <c r="D204" s="176"/>
      <c r="E204" s="176"/>
      <c r="F204" s="176"/>
      <c r="G204" s="176"/>
      <c r="H204" s="176"/>
      <c r="I204" s="126"/>
      <c r="J204" s="126"/>
      <c r="K204" s="126"/>
      <c r="L204" s="126"/>
      <c r="M204" s="126"/>
      <c r="N204" s="126"/>
      <c r="O204" s="126"/>
      <c r="P204" s="126"/>
      <c r="Q204" s="126"/>
      <c r="R204" s="126"/>
      <c r="S204" s="126"/>
      <c r="T204" s="126"/>
      <c r="U204" s="126"/>
      <c r="V204" s="126"/>
      <c r="W204" s="126"/>
      <c r="X204" s="126"/>
      <c r="Y204" s="126"/>
      <c r="Z204" s="126"/>
      <c r="AA204" s="126"/>
      <c r="AB204" s="126"/>
    </row>
    <row r="205" spans="1:28" ht="15.75" customHeight="1">
      <c r="A205" s="126"/>
      <c r="B205" s="126"/>
      <c r="C205" s="176"/>
      <c r="D205" s="176"/>
      <c r="E205" s="176"/>
      <c r="F205" s="176"/>
      <c r="G205" s="176"/>
      <c r="H205" s="176"/>
      <c r="I205" s="126"/>
      <c r="J205" s="126"/>
      <c r="K205" s="126"/>
      <c r="L205" s="126"/>
      <c r="M205" s="126"/>
      <c r="N205" s="126"/>
      <c r="O205" s="126"/>
      <c r="P205" s="126"/>
      <c r="Q205" s="126"/>
      <c r="R205" s="126"/>
      <c r="S205" s="126"/>
      <c r="T205" s="126"/>
      <c r="U205" s="126"/>
      <c r="V205" s="126"/>
      <c r="W205" s="126"/>
      <c r="X205" s="126"/>
      <c r="Y205" s="126"/>
      <c r="Z205" s="126"/>
      <c r="AA205" s="126"/>
      <c r="AB205" s="126"/>
    </row>
    <row r="206" spans="1:28" ht="15.75" customHeight="1">
      <c r="A206" s="126"/>
      <c r="B206" s="126"/>
      <c r="C206" s="176"/>
      <c r="D206" s="176"/>
      <c r="E206" s="176"/>
      <c r="F206" s="176"/>
      <c r="G206" s="176"/>
      <c r="H206" s="176"/>
      <c r="I206" s="126"/>
      <c r="J206" s="126"/>
      <c r="K206" s="126"/>
      <c r="L206" s="126"/>
      <c r="M206" s="126"/>
      <c r="N206" s="126"/>
      <c r="O206" s="126"/>
      <c r="P206" s="126"/>
      <c r="Q206" s="126"/>
      <c r="R206" s="126"/>
      <c r="S206" s="126"/>
      <c r="T206" s="126"/>
      <c r="U206" s="126"/>
      <c r="V206" s="126"/>
      <c r="W206" s="126"/>
      <c r="X206" s="126"/>
      <c r="Y206" s="126"/>
      <c r="Z206" s="126"/>
      <c r="AA206" s="126"/>
      <c r="AB206" s="126"/>
    </row>
    <row r="207" spans="1:28" ht="15.75" customHeight="1">
      <c r="A207" s="126"/>
      <c r="B207" s="126"/>
      <c r="C207" s="176"/>
      <c r="D207" s="176"/>
      <c r="E207" s="176"/>
      <c r="F207" s="176"/>
      <c r="G207" s="176"/>
      <c r="H207" s="176"/>
      <c r="I207" s="126"/>
      <c r="J207" s="126"/>
      <c r="K207" s="126"/>
      <c r="L207" s="126"/>
      <c r="M207" s="126"/>
      <c r="N207" s="126"/>
      <c r="O207" s="126"/>
      <c r="P207" s="126"/>
      <c r="Q207" s="126"/>
      <c r="R207" s="126"/>
      <c r="S207" s="126"/>
      <c r="T207" s="126"/>
      <c r="U207" s="126"/>
      <c r="V207" s="126"/>
      <c r="W207" s="126"/>
      <c r="X207" s="126"/>
      <c r="Y207" s="126"/>
      <c r="Z207" s="126"/>
      <c r="AA207" s="126"/>
      <c r="AB207" s="126"/>
    </row>
    <row r="208" spans="1:28" ht="15.75" customHeight="1">
      <c r="A208" s="126"/>
      <c r="B208" s="126"/>
      <c r="C208" s="176"/>
      <c r="D208" s="176"/>
      <c r="E208" s="176"/>
      <c r="F208" s="176"/>
      <c r="G208" s="176"/>
      <c r="H208" s="176"/>
      <c r="I208" s="126"/>
      <c r="J208" s="126"/>
      <c r="K208" s="126"/>
      <c r="L208" s="126"/>
      <c r="M208" s="126"/>
      <c r="N208" s="126"/>
      <c r="O208" s="126"/>
      <c r="P208" s="126"/>
      <c r="Q208" s="126"/>
      <c r="R208" s="126"/>
      <c r="S208" s="126"/>
      <c r="T208" s="126"/>
      <c r="U208" s="126"/>
      <c r="V208" s="126"/>
      <c r="W208" s="126"/>
      <c r="X208" s="126"/>
      <c r="Y208" s="126"/>
      <c r="Z208" s="126"/>
      <c r="AA208" s="126"/>
      <c r="AB208" s="126"/>
    </row>
    <row r="209" spans="1:28" ht="15.75" customHeight="1">
      <c r="A209" s="126"/>
      <c r="B209" s="126"/>
      <c r="C209" s="176"/>
      <c r="D209" s="176"/>
      <c r="E209" s="176"/>
      <c r="F209" s="176"/>
      <c r="G209" s="176"/>
      <c r="H209" s="176"/>
      <c r="I209" s="126"/>
      <c r="J209" s="126"/>
      <c r="K209" s="126"/>
      <c r="L209" s="126"/>
      <c r="M209" s="126"/>
      <c r="N209" s="126"/>
      <c r="O209" s="126"/>
      <c r="P209" s="126"/>
      <c r="Q209" s="126"/>
      <c r="R209" s="126"/>
      <c r="S209" s="126"/>
      <c r="T209" s="126"/>
      <c r="U209" s="126"/>
      <c r="V209" s="126"/>
      <c r="W209" s="126"/>
      <c r="X209" s="126"/>
      <c r="Y209" s="126"/>
      <c r="Z209" s="126"/>
      <c r="AA209" s="126"/>
      <c r="AB209" s="126"/>
    </row>
    <row r="210" spans="1:28" ht="15.75" customHeight="1">
      <c r="A210" s="126"/>
      <c r="B210" s="126"/>
      <c r="C210" s="176"/>
      <c r="D210" s="176"/>
      <c r="E210" s="176"/>
      <c r="F210" s="176"/>
      <c r="G210" s="176"/>
      <c r="H210" s="176"/>
      <c r="I210" s="126"/>
      <c r="J210" s="126"/>
      <c r="K210" s="126"/>
      <c r="L210" s="126"/>
      <c r="M210" s="126"/>
      <c r="N210" s="126"/>
      <c r="O210" s="126"/>
      <c r="P210" s="126"/>
      <c r="Q210" s="126"/>
      <c r="R210" s="126"/>
      <c r="S210" s="126"/>
      <c r="T210" s="126"/>
      <c r="U210" s="126"/>
      <c r="V210" s="126"/>
      <c r="W210" s="126"/>
      <c r="X210" s="126"/>
      <c r="Y210" s="126"/>
      <c r="Z210" s="126"/>
      <c r="AA210" s="126"/>
      <c r="AB210" s="126"/>
    </row>
    <row r="211" spans="1:28" ht="15.75" customHeight="1">
      <c r="A211" s="126"/>
      <c r="B211" s="126"/>
      <c r="C211" s="176"/>
      <c r="D211" s="176"/>
      <c r="E211" s="176"/>
      <c r="F211" s="176"/>
      <c r="G211" s="176"/>
      <c r="H211" s="176"/>
      <c r="I211" s="126"/>
      <c r="J211" s="126"/>
      <c r="K211" s="126"/>
      <c r="L211" s="126"/>
      <c r="M211" s="126"/>
      <c r="N211" s="126"/>
      <c r="O211" s="126"/>
      <c r="P211" s="126"/>
      <c r="Q211" s="126"/>
      <c r="R211" s="126"/>
      <c r="S211" s="126"/>
      <c r="T211" s="126"/>
      <c r="U211" s="126"/>
      <c r="V211" s="126"/>
      <c r="W211" s="126"/>
      <c r="X211" s="126"/>
      <c r="Y211" s="126"/>
      <c r="Z211" s="126"/>
      <c r="AA211" s="126"/>
      <c r="AB211" s="126"/>
    </row>
    <row r="212" spans="1:28" ht="15.75" customHeight="1">
      <c r="A212" s="126"/>
      <c r="B212" s="126"/>
      <c r="C212" s="176"/>
      <c r="D212" s="176"/>
      <c r="E212" s="176"/>
      <c r="F212" s="176"/>
      <c r="G212" s="176"/>
      <c r="H212" s="176"/>
      <c r="I212" s="126"/>
      <c r="J212" s="126"/>
      <c r="K212" s="126"/>
      <c r="L212" s="126"/>
      <c r="M212" s="126"/>
      <c r="N212" s="126"/>
      <c r="O212" s="126"/>
      <c r="P212" s="126"/>
      <c r="Q212" s="126"/>
      <c r="R212" s="126"/>
      <c r="S212" s="126"/>
      <c r="T212" s="126"/>
      <c r="U212" s="126"/>
      <c r="V212" s="126"/>
      <c r="W212" s="126"/>
      <c r="X212" s="126"/>
      <c r="Y212" s="126"/>
      <c r="Z212" s="126"/>
      <c r="AA212" s="126"/>
      <c r="AB212" s="126"/>
    </row>
    <row r="213" spans="1:28" ht="15.75" customHeight="1">
      <c r="A213" s="126"/>
      <c r="B213" s="126"/>
      <c r="C213" s="176"/>
      <c r="D213" s="176"/>
      <c r="E213" s="176"/>
      <c r="F213" s="176"/>
      <c r="G213" s="176"/>
      <c r="H213" s="176"/>
      <c r="I213" s="126"/>
      <c r="J213" s="126"/>
      <c r="K213" s="126"/>
      <c r="L213" s="126"/>
      <c r="M213" s="126"/>
      <c r="N213" s="126"/>
      <c r="O213" s="126"/>
      <c r="P213" s="126"/>
      <c r="Q213" s="126"/>
      <c r="R213" s="126"/>
      <c r="S213" s="126"/>
      <c r="T213" s="126"/>
      <c r="U213" s="126"/>
      <c r="V213" s="126"/>
      <c r="W213" s="126"/>
      <c r="X213" s="126"/>
      <c r="Y213" s="126"/>
      <c r="Z213" s="126"/>
      <c r="AA213" s="126"/>
      <c r="AB213" s="126"/>
    </row>
    <row r="214" spans="1:28" ht="15.75" customHeight="1">
      <c r="A214" s="126"/>
      <c r="B214" s="126"/>
      <c r="C214" s="176"/>
      <c r="D214" s="176"/>
      <c r="E214" s="176"/>
      <c r="F214" s="176"/>
      <c r="G214" s="176"/>
      <c r="H214" s="176"/>
      <c r="I214" s="126"/>
      <c r="J214" s="126"/>
      <c r="K214" s="126"/>
      <c r="L214" s="126"/>
      <c r="M214" s="126"/>
      <c r="N214" s="126"/>
      <c r="O214" s="126"/>
      <c r="P214" s="126"/>
      <c r="Q214" s="126"/>
      <c r="R214" s="126"/>
      <c r="S214" s="126"/>
      <c r="T214" s="126"/>
      <c r="U214" s="126"/>
      <c r="V214" s="126"/>
      <c r="W214" s="126"/>
      <c r="X214" s="126"/>
      <c r="Y214" s="126"/>
      <c r="Z214" s="126"/>
      <c r="AA214" s="126"/>
      <c r="AB214" s="126"/>
    </row>
    <row r="215" spans="1:28" ht="15.75" customHeight="1">
      <c r="A215" s="126"/>
      <c r="B215" s="126"/>
      <c r="C215" s="176"/>
      <c r="D215" s="176"/>
      <c r="E215" s="176"/>
      <c r="F215" s="176"/>
      <c r="G215" s="176"/>
      <c r="H215" s="176"/>
      <c r="I215" s="126"/>
      <c r="J215" s="126"/>
      <c r="K215" s="126"/>
      <c r="L215" s="126"/>
      <c r="M215" s="126"/>
      <c r="N215" s="126"/>
      <c r="O215" s="126"/>
      <c r="P215" s="126"/>
      <c r="Q215" s="126"/>
      <c r="R215" s="126"/>
      <c r="S215" s="126"/>
      <c r="T215" s="126"/>
      <c r="U215" s="126"/>
      <c r="V215" s="126"/>
      <c r="W215" s="126"/>
      <c r="X215" s="126"/>
      <c r="Y215" s="126"/>
      <c r="Z215" s="126"/>
      <c r="AA215" s="126"/>
      <c r="AB215" s="126"/>
    </row>
    <row r="216" spans="1:28" ht="15.75" customHeight="1">
      <c r="A216" s="126"/>
      <c r="B216" s="126"/>
      <c r="C216" s="176"/>
      <c r="D216" s="176"/>
      <c r="E216" s="176"/>
      <c r="F216" s="176"/>
      <c r="G216" s="176"/>
      <c r="H216" s="176"/>
      <c r="I216" s="126"/>
      <c r="J216" s="126"/>
      <c r="K216" s="126"/>
      <c r="L216" s="126"/>
      <c r="M216" s="126"/>
      <c r="N216" s="126"/>
      <c r="O216" s="126"/>
      <c r="P216" s="126"/>
      <c r="Q216" s="126"/>
      <c r="R216" s="126"/>
      <c r="S216" s="126"/>
      <c r="T216" s="126"/>
      <c r="U216" s="126"/>
      <c r="V216" s="126"/>
      <c r="W216" s="126"/>
      <c r="X216" s="126"/>
      <c r="Y216" s="126"/>
      <c r="Z216" s="126"/>
      <c r="AA216" s="126"/>
      <c r="AB216" s="126"/>
    </row>
    <row r="217" spans="1:28" ht="15.75" customHeight="1">
      <c r="A217" s="126"/>
      <c r="B217" s="126"/>
      <c r="C217" s="176"/>
      <c r="D217" s="176"/>
      <c r="E217" s="176"/>
      <c r="F217" s="176"/>
      <c r="G217" s="176"/>
      <c r="H217" s="176"/>
      <c r="I217" s="126"/>
      <c r="J217" s="126"/>
      <c r="K217" s="126"/>
      <c r="L217" s="126"/>
      <c r="M217" s="126"/>
      <c r="N217" s="126"/>
      <c r="O217" s="126"/>
      <c r="P217" s="126"/>
      <c r="Q217" s="126"/>
      <c r="R217" s="126"/>
      <c r="S217" s="126"/>
      <c r="T217" s="126"/>
      <c r="U217" s="126"/>
      <c r="V217" s="126"/>
      <c r="W217" s="126"/>
      <c r="X217" s="126"/>
      <c r="Y217" s="126"/>
      <c r="Z217" s="126"/>
      <c r="AA217" s="126"/>
      <c r="AB217" s="126"/>
    </row>
    <row r="218" spans="1:28" ht="15.75" customHeight="1">
      <c r="A218" s="126"/>
      <c r="B218" s="126"/>
      <c r="C218" s="176"/>
      <c r="D218" s="176"/>
      <c r="E218" s="176"/>
      <c r="F218" s="176"/>
      <c r="G218" s="176"/>
      <c r="H218" s="176"/>
      <c r="I218" s="126"/>
      <c r="J218" s="126"/>
      <c r="K218" s="126"/>
      <c r="L218" s="126"/>
      <c r="M218" s="126"/>
      <c r="N218" s="126"/>
      <c r="O218" s="126"/>
      <c r="P218" s="126"/>
      <c r="Q218" s="126"/>
      <c r="R218" s="126"/>
      <c r="S218" s="126"/>
      <c r="T218" s="126"/>
      <c r="U218" s="126"/>
      <c r="V218" s="126"/>
      <c r="W218" s="126"/>
      <c r="X218" s="126"/>
      <c r="Y218" s="126"/>
      <c r="Z218" s="126"/>
      <c r="AA218" s="126"/>
      <c r="AB218" s="126"/>
    </row>
    <row r="219" spans="1:28" ht="15.75" customHeight="1">
      <c r="A219" s="126"/>
      <c r="B219" s="126"/>
      <c r="C219" s="176"/>
      <c r="D219" s="176"/>
      <c r="E219" s="176"/>
      <c r="F219" s="176"/>
      <c r="G219" s="176"/>
      <c r="H219" s="176"/>
      <c r="I219" s="126"/>
      <c r="J219" s="126"/>
      <c r="K219" s="126"/>
      <c r="L219" s="126"/>
      <c r="M219" s="126"/>
      <c r="N219" s="126"/>
      <c r="O219" s="126"/>
      <c r="P219" s="126"/>
      <c r="Q219" s="126"/>
      <c r="R219" s="126"/>
      <c r="S219" s="126"/>
      <c r="T219" s="126"/>
      <c r="U219" s="126"/>
      <c r="V219" s="126"/>
      <c r="W219" s="126"/>
      <c r="X219" s="126"/>
      <c r="Y219" s="126"/>
      <c r="Z219" s="126"/>
      <c r="AA219" s="126"/>
      <c r="AB219" s="126"/>
    </row>
    <row r="220" spans="1:28" ht="15.75" customHeight="1">
      <c r="A220" s="126"/>
      <c r="B220" s="126"/>
      <c r="C220" s="176"/>
      <c r="D220" s="176"/>
      <c r="E220" s="176"/>
      <c r="F220" s="176"/>
      <c r="G220" s="176"/>
      <c r="H220" s="176"/>
      <c r="I220" s="126"/>
      <c r="J220" s="126"/>
      <c r="K220" s="126"/>
      <c r="L220" s="126"/>
      <c r="M220" s="126"/>
      <c r="N220" s="126"/>
      <c r="O220" s="126"/>
      <c r="P220" s="126"/>
      <c r="Q220" s="126"/>
      <c r="R220" s="126"/>
      <c r="S220" s="126"/>
      <c r="T220" s="126"/>
      <c r="U220" s="126"/>
      <c r="V220" s="126"/>
      <c r="W220" s="126"/>
      <c r="X220" s="126"/>
      <c r="Y220" s="126"/>
      <c r="Z220" s="126"/>
      <c r="AA220" s="126"/>
      <c r="AB220" s="126"/>
    </row>
    <row r="221" spans="1:28" ht="15.75" customHeight="1">
      <c r="A221" s="126"/>
      <c r="B221" s="126"/>
      <c r="C221" s="176"/>
      <c r="D221" s="176"/>
      <c r="E221" s="176"/>
      <c r="F221" s="176"/>
      <c r="G221" s="176"/>
      <c r="H221" s="176"/>
      <c r="I221" s="126"/>
      <c r="J221" s="126"/>
      <c r="K221" s="126"/>
      <c r="L221" s="126"/>
      <c r="M221" s="126"/>
      <c r="N221" s="126"/>
      <c r="O221" s="126"/>
      <c r="P221" s="126"/>
      <c r="Q221" s="126"/>
      <c r="R221" s="126"/>
      <c r="S221" s="126"/>
      <c r="T221" s="126"/>
      <c r="U221" s="126"/>
      <c r="V221" s="126"/>
      <c r="W221" s="126"/>
      <c r="X221" s="126"/>
      <c r="Y221" s="126"/>
      <c r="Z221" s="126"/>
      <c r="AA221" s="126"/>
      <c r="AB221" s="126"/>
    </row>
    <row r="222" spans="1:28" ht="15.75" customHeight="1">
      <c r="A222" s="126"/>
      <c r="B222" s="126"/>
      <c r="C222" s="176"/>
      <c r="D222" s="176"/>
      <c r="E222" s="176"/>
      <c r="F222" s="176"/>
      <c r="G222" s="176"/>
      <c r="H222" s="176"/>
      <c r="I222" s="126"/>
      <c r="J222" s="126"/>
      <c r="K222" s="126"/>
      <c r="L222" s="126"/>
      <c r="M222" s="126"/>
      <c r="N222" s="126"/>
      <c r="O222" s="126"/>
      <c r="P222" s="126"/>
      <c r="Q222" s="126"/>
      <c r="R222" s="126"/>
      <c r="S222" s="126"/>
      <c r="T222" s="126"/>
      <c r="U222" s="126"/>
      <c r="V222" s="126"/>
      <c r="W222" s="126"/>
      <c r="X222" s="126"/>
      <c r="Y222" s="126"/>
      <c r="Z222" s="126"/>
      <c r="AA222" s="126"/>
      <c r="AB222" s="126"/>
    </row>
    <row r="223" spans="1:28" ht="15.75" customHeight="1">
      <c r="A223" s="126"/>
      <c r="B223" s="126"/>
      <c r="C223" s="176"/>
      <c r="D223" s="176"/>
      <c r="E223" s="176"/>
      <c r="F223" s="176"/>
      <c r="G223" s="176"/>
      <c r="H223" s="176"/>
      <c r="I223" s="126"/>
      <c r="J223" s="126"/>
      <c r="K223" s="126"/>
      <c r="L223" s="126"/>
      <c r="M223" s="126"/>
      <c r="N223" s="126"/>
      <c r="O223" s="126"/>
      <c r="P223" s="126"/>
      <c r="Q223" s="126"/>
      <c r="R223" s="126"/>
      <c r="S223" s="126"/>
      <c r="T223" s="126"/>
      <c r="U223" s="126"/>
      <c r="V223" s="126"/>
      <c r="W223" s="126"/>
      <c r="X223" s="126"/>
      <c r="Y223" s="126"/>
      <c r="Z223" s="126"/>
      <c r="AA223" s="126"/>
      <c r="AB223" s="126"/>
    </row>
    <row r="224" spans="1:28" ht="15.75" customHeight="1">
      <c r="A224" s="126"/>
      <c r="B224" s="126"/>
      <c r="C224" s="176"/>
      <c r="D224" s="176"/>
      <c r="E224" s="176"/>
      <c r="F224" s="176"/>
      <c r="G224" s="176"/>
      <c r="H224" s="176"/>
      <c r="I224" s="126"/>
      <c r="J224" s="126"/>
      <c r="K224" s="126"/>
      <c r="L224" s="126"/>
      <c r="M224" s="126"/>
      <c r="N224" s="126"/>
      <c r="O224" s="126"/>
      <c r="P224" s="126"/>
      <c r="Q224" s="126"/>
      <c r="R224" s="126"/>
      <c r="S224" s="126"/>
      <c r="T224" s="126"/>
      <c r="U224" s="126"/>
      <c r="V224" s="126"/>
      <c r="W224" s="126"/>
      <c r="X224" s="126"/>
      <c r="Y224" s="126"/>
      <c r="Z224" s="126"/>
      <c r="AA224" s="126"/>
      <c r="AB224" s="126"/>
    </row>
    <row r="225" spans="1:28" ht="15.75" customHeight="1">
      <c r="A225" s="126"/>
      <c r="B225" s="126"/>
      <c r="C225" s="176"/>
      <c r="D225" s="176"/>
      <c r="E225" s="176"/>
      <c r="F225" s="176"/>
      <c r="G225" s="176"/>
      <c r="H225" s="176"/>
      <c r="I225" s="126"/>
      <c r="J225" s="126"/>
      <c r="K225" s="126"/>
      <c r="L225" s="126"/>
      <c r="M225" s="126"/>
      <c r="N225" s="126"/>
      <c r="O225" s="126"/>
      <c r="P225" s="126"/>
      <c r="Q225" s="126"/>
      <c r="R225" s="126"/>
      <c r="S225" s="126"/>
      <c r="T225" s="126"/>
      <c r="U225" s="126"/>
      <c r="V225" s="126"/>
      <c r="W225" s="126"/>
      <c r="X225" s="126"/>
      <c r="Y225" s="126"/>
      <c r="Z225" s="126"/>
      <c r="AA225" s="126"/>
      <c r="AB225" s="126"/>
    </row>
    <row r="226" spans="1:28" ht="15.75" customHeight="1">
      <c r="A226" s="126"/>
      <c r="B226" s="126"/>
      <c r="C226" s="176"/>
      <c r="D226" s="176"/>
      <c r="E226" s="176"/>
      <c r="F226" s="176"/>
      <c r="G226" s="176"/>
      <c r="H226" s="176"/>
      <c r="I226" s="126"/>
      <c r="J226" s="126"/>
      <c r="K226" s="126"/>
      <c r="L226" s="126"/>
      <c r="M226" s="126"/>
      <c r="N226" s="126"/>
      <c r="O226" s="126"/>
      <c r="P226" s="126"/>
      <c r="Q226" s="126"/>
      <c r="R226" s="126"/>
      <c r="S226" s="126"/>
      <c r="T226" s="126"/>
      <c r="U226" s="126"/>
      <c r="V226" s="126"/>
      <c r="W226" s="126"/>
      <c r="X226" s="126"/>
      <c r="Y226" s="126"/>
      <c r="Z226" s="126"/>
      <c r="AA226" s="126"/>
      <c r="AB226" s="126"/>
    </row>
    <row r="227" spans="1:28" ht="15.75" customHeight="1">
      <c r="A227" s="126"/>
      <c r="B227" s="126"/>
      <c r="C227" s="176"/>
      <c r="D227" s="176"/>
      <c r="E227" s="176"/>
      <c r="F227" s="176"/>
      <c r="G227" s="176"/>
      <c r="H227" s="176"/>
      <c r="I227" s="126"/>
      <c r="J227" s="126"/>
      <c r="K227" s="126"/>
      <c r="L227" s="126"/>
      <c r="M227" s="126"/>
      <c r="N227" s="126"/>
      <c r="O227" s="126"/>
      <c r="P227" s="126"/>
      <c r="Q227" s="126"/>
      <c r="R227" s="126"/>
      <c r="S227" s="126"/>
      <c r="T227" s="126"/>
      <c r="U227" s="126"/>
      <c r="V227" s="126"/>
      <c r="W227" s="126"/>
      <c r="X227" s="126"/>
      <c r="Y227" s="126"/>
      <c r="Z227" s="126"/>
      <c r="AA227" s="126"/>
      <c r="AB227" s="126"/>
    </row>
    <row r="228" spans="1:28" ht="15.75" customHeight="1">
      <c r="A228" s="126"/>
      <c r="B228" s="126"/>
      <c r="C228" s="176"/>
      <c r="D228" s="176"/>
      <c r="E228" s="176"/>
      <c r="F228" s="176"/>
      <c r="G228" s="176"/>
      <c r="H228" s="176"/>
      <c r="I228" s="126"/>
      <c r="J228" s="126"/>
      <c r="K228" s="126"/>
      <c r="L228" s="126"/>
      <c r="M228" s="126"/>
      <c r="N228" s="126"/>
      <c r="O228" s="126"/>
      <c r="P228" s="126"/>
      <c r="Q228" s="126"/>
      <c r="R228" s="126"/>
      <c r="S228" s="126"/>
      <c r="T228" s="126"/>
      <c r="U228" s="126"/>
      <c r="V228" s="126"/>
      <c r="W228" s="126"/>
      <c r="X228" s="126"/>
      <c r="Y228" s="126"/>
      <c r="Z228" s="126"/>
      <c r="AA228" s="126"/>
      <c r="AB228" s="126"/>
    </row>
    <row r="229" spans="1:28" ht="15.75" customHeight="1">
      <c r="A229" s="126"/>
      <c r="B229" s="126"/>
      <c r="C229" s="176"/>
      <c r="D229" s="176"/>
      <c r="E229" s="176"/>
      <c r="F229" s="176"/>
      <c r="G229" s="176"/>
      <c r="H229" s="176"/>
      <c r="I229" s="126"/>
      <c r="J229" s="126"/>
      <c r="K229" s="126"/>
      <c r="L229" s="126"/>
      <c r="M229" s="126"/>
      <c r="N229" s="126"/>
      <c r="O229" s="126"/>
      <c r="P229" s="126"/>
      <c r="Q229" s="126"/>
      <c r="R229" s="126"/>
      <c r="S229" s="126"/>
      <c r="T229" s="126"/>
      <c r="U229" s="126"/>
      <c r="V229" s="126"/>
      <c r="W229" s="126"/>
      <c r="X229" s="126"/>
      <c r="Y229" s="126"/>
      <c r="Z229" s="126"/>
      <c r="AA229" s="126"/>
      <c r="AB229" s="126"/>
    </row>
    <row r="230" spans="1:28" ht="15.75" customHeight="1">
      <c r="A230" s="126"/>
      <c r="B230" s="126"/>
      <c r="C230" s="176"/>
      <c r="D230" s="176"/>
      <c r="E230" s="176"/>
      <c r="F230" s="176"/>
      <c r="G230" s="176"/>
      <c r="H230" s="176"/>
      <c r="I230" s="126"/>
      <c r="J230" s="126"/>
      <c r="K230" s="126"/>
      <c r="L230" s="126"/>
      <c r="M230" s="126"/>
      <c r="N230" s="126"/>
      <c r="O230" s="126"/>
      <c r="P230" s="126"/>
      <c r="Q230" s="126"/>
      <c r="R230" s="126"/>
      <c r="S230" s="126"/>
      <c r="T230" s="126"/>
      <c r="U230" s="126"/>
      <c r="V230" s="126"/>
      <c r="W230" s="126"/>
      <c r="X230" s="126"/>
      <c r="Y230" s="126"/>
      <c r="Z230" s="126"/>
      <c r="AA230" s="126"/>
      <c r="AB230" s="126"/>
    </row>
    <row r="231" spans="1:28" ht="15.75" customHeight="1">
      <c r="A231" s="126"/>
      <c r="B231" s="126"/>
      <c r="C231" s="176"/>
      <c r="D231" s="176"/>
      <c r="E231" s="176"/>
      <c r="F231" s="176"/>
      <c r="G231" s="176"/>
      <c r="H231" s="176"/>
      <c r="I231" s="126"/>
      <c r="J231" s="126"/>
      <c r="K231" s="126"/>
      <c r="L231" s="126"/>
      <c r="M231" s="126"/>
      <c r="N231" s="126"/>
      <c r="O231" s="126"/>
      <c r="P231" s="126"/>
      <c r="Q231" s="126"/>
      <c r="R231" s="126"/>
      <c r="S231" s="126"/>
      <c r="T231" s="126"/>
      <c r="U231" s="126"/>
      <c r="V231" s="126"/>
      <c r="W231" s="126"/>
      <c r="X231" s="126"/>
      <c r="Y231" s="126"/>
      <c r="Z231" s="126"/>
      <c r="AA231" s="126"/>
      <c r="AB231" s="126"/>
    </row>
    <row r="232" spans="1:28" ht="15.75" customHeight="1">
      <c r="A232" s="126"/>
      <c r="B232" s="126"/>
      <c r="C232" s="176"/>
      <c r="D232" s="176"/>
      <c r="E232" s="176"/>
      <c r="F232" s="176"/>
      <c r="G232" s="176"/>
      <c r="H232" s="176"/>
      <c r="I232" s="126"/>
      <c r="J232" s="126"/>
      <c r="K232" s="126"/>
      <c r="L232" s="126"/>
      <c r="M232" s="126"/>
      <c r="N232" s="126"/>
      <c r="O232" s="126"/>
      <c r="P232" s="126"/>
      <c r="Q232" s="126"/>
      <c r="R232" s="126"/>
      <c r="S232" s="126"/>
      <c r="T232" s="126"/>
      <c r="U232" s="126"/>
      <c r="V232" s="126"/>
      <c r="W232" s="126"/>
      <c r="X232" s="126"/>
      <c r="Y232" s="126"/>
      <c r="Z232" s="126"/>
      <c r="AA232" s="126"/>
      <c r="AB232" s="126"/>
    </row>
    <row r="233" spans="1:28" ht="15.75" customHeight="1">
      <c r="A233" s="126"/>
      <c r="B233" s="126"/>
      <c r="C233" s="176"/>
      <c r="D233" s="176"/>
      <c r="E233" s="176"/>
      <c r="F233" s="176"/>
      <c r="G233" s="176"/>
      <c r="H233" s="176"/>
      <c r="I233" s="126"/>
      <c r="J233" s="126"/>
      <c r="K233" s="126"/>
      <c r="L233" s="126"/>
      <c r="M233" s="126"/>
      <c r="N233" s="126"/>
      <c r="O233" s="126"/>
      <c r="P233" s="126"/>
      <c r="Q233" s="126"/>
      <c r="R233" s="126"/>
      <c r="S233" s="126"/>
      <c r="T233" s="126"/>
      <c r="U233" s="126"/>
      <c r="V233" s="126"/>
      <c r="W233" s="126"/>
      <c r="X233" s="126"/>
      <c r="Y233" s="126"/>
      <c r="Z233" s="126"/>
      <c r="AA233" s="126"/>
      <c r="AB233" s="126"/>
    </row>
    <row r="234" spans="1:28" ht="15.75" customHeight="1">
      <c r="A234" s="126"/>
      <c r="B234" s="126"/>
      <c r="C234" s="176"/>
      <c r="D234" s="176"/>
      <c r="E234" s="176"/>
      <c r="F234" s="176"/>
      <c r="G234" s="176"/>
      <c r="H234" s="176"/>
      <c r="I234" s="126"/>
      <c r="J234" s="126"/>
      <c r="K234" s="126"/>
      <c r="L234" s="126"/>
      <c r="M234" s="126"/>
      <c r="N234" s="126"/>
      <c r="O234" s="126"/>
      <c r="P234" s="126"/>
      <c r="Q234" s="126"/>
      <c r="R234" s="126"/>
      <c r="S234" s="126"/>
      <c r="T234" s="126"/>
      <c r="U234" s="126"/>
      <c r="V234" s="126"/>
      <c r="W234" s="126"/>
      <c r="X234" s="126"/>
      <c r="Y234" s="126"/>
      <c r="Z234" s="126"/>
      <c r="AA234" s="126"/>
      <c r="AB234" s="126"/>
    </row>
    <row r="235" spans="1:28" ht="15.75" customHeight="1">
      <c r="A235" s="126"/>
      <c r="B235" s="126"/>
      <c r="C235" s="176"/>
      <c r="D235" s="176"/>
      <c r="E235" s="176"/>
      <c r="F235" s="176"/>
      <c r="G235" s="176"/>
      <c r="H235" s="176"/>
      <c r="I235" s="126"/>
      <c r="J235" s="126"/>
      <c r="K235" s="126"/>
      <c r="L235" s="126"/>
      <c r="M235" s="126"/>
      <c r="N235" s="126"/>
      <c r="O235" s="126"/>
      <c r="P235" s="126"/>
      <c r="Q235" s="126"/>
      <c r="R235" s="126"/>
      <c r="S235" s="126"/>
      <c r="T235" s="126"/>
      <c r="U235" s="126"/>
      <c r="V235" s="126"/>
      <c r="W235" s="126"/>
      <c r="X235" s="126"/>
      <c r="Y235" s="126"/>
      <c r="Z235" s="126"/>
      <c r="AA235" s="126"/>
      <c r="AB235" s="126"/>
    </row>
    <row r="236" spans="1:28" ht="15.75" customHeight="1">
      <c r="A236" s="126"/>
      <c r="B236" s="126"/>
      <c r="C236" s="176"/>
      <c r="D236" s="176"/>
      <c r="E236" s="176"/>
      <c r="F236" s="176"/>
      <c r="G236" s="176"/>
      <c r="H236" s="176"/>
      <c r="I236" s="126"/>
      <c r="J236" s="126"/>
      <c r="K236" s="126"/>
      <c r="L236" s="126"/>
      <c r="M236" s="126"/>
      <c r="N236" s="126"/>
      <c r="O236" s="126"/>
      <c r="P236" s="126"/>
      <c r="Q236" s="126"/>
      <c r="R236" s="126"/>
      <c r="S236" s="126"/>
      <c r="T236" s="126"/>
      <c r="U236" s="126"/>
      <c r="V236" s="126"/>
      <c r="W236" s="126"/>
      <c r="X236" s="126"/>
      <c r="Y236" s="126"/>
      <c r="Z236" s="126"/>
      <c r="AA236" s="126"/>
      <c r="AB236" s="126"/>
    </row>
    <row r="237" spans="1:28" ht="15.75" customHeight="1">
      <c r="A237" s="126"/>
      <c r="B237" s="126"/>
      <c r="C237" s="176"/>
      <c r="D237" s="176"/>
      <c r="E237" s="176"/>
      <c r="F237" s="176"/>
      <c r="G237" s="176"/>
      <c r="H237" s="176"/>
      <c r="I237" s="126"/>
      <c r="J237" s="126"/>
      <c r="K237" s="126"/>
      <c r="L237" s="126"/>
      <c r="M237" s="126"/>
      <c r="N237" s="126"/>
      <c r="O237" s="126"/>
      <c r="P237" s="126"/>
      <c r="Q237" s="126"/>
      <c r="R237" s="126"/>
      <c r="S237" s="126"/>
      <c r="T237" s="126"/>
      <c r="U237" s="126"/>
      <c r="V237" s="126"/>
      <c r="W237" s="126"/>
      <c r="X237" s="126"/>
      <c r="Y237" s="126"/>
      <c r="Z237" s="126"/>
      <c r="AA237" s="126"/>
      <c r="AB237" s="126"/>
    </row>
    <row r="238" spans="1:28" ht="15.75" customHeight="1">
      <c r="A238" s="126"/>
      <c r="B238" s="126"/>
      <c r="C238" s="176"/>
      <c r="D238" s="176"/>
      <c r="E238" s="176"/>
      <c r="F238" s="176"/>
      <c r="G238" s="176"/>
      <c r="H238" s="176"/>
      <c r="I238" s="126"/>
      <c r="J238" s="126"/>
      <c r="K238" s="126"/>
      <c r="L238" s="126"/>
      <c r="M238" s="126"/>
      <c r="N238" s="126"/>
      <c r="O238" s="126"/>
      <c r="P238" s="126"/>
      <c r="Q238" s="126"/>
      <c r="R238" s="126"/>
      <c r="S238" s="126"/>
      <c r="T238" s="126"/>
      <c r="U238" s="126"/>
      <c r="V238" s="126"/>
      <c r="W238" s="126"/>
      <c r="X238" s="126"/>
      <c r="Y238" s="126"/>
      <c r="Z238" s="126"/>
      <c r="AA238" s="126"/>
      <c r="AB238" s="126"/>
    </row>
    <row r="239" spans="1:28" ht="15.75" customHeight="1">
      <c r="A239" s="126"/>
      <c r="B239" s="126"/>
      <c r="C239" s="176"/>
      <c r="D239" s="176"/>
      <c r="E239" s="176"/>
      <c r="F239" s="176"/>
      <c r="G239" s="176"/>
      <c r="H239" s="176"/>
      <c r="I239" s="126"/>
      <c r="J239" s="126"/>
      <c r="K239" s="126"/>
      <c r="L239" s="126"/>
      <c r="M239" s="126"/>
      <c r="N239" s="126"/>
      <c r="O239" s="126"/>
      <c r="P239" s="126"/>
      <c r="Q239" s="126"/>
      <c r="R239" s="126"/>
      <c r="S239" s="126"/>
      <c r="T239" s="126"/>
      <c r="U239" s="126"/>
      <c r="V239" s="126"/>
      <c r="W239" s="126"/>
      <c r="X239" s="126"/>
      <c r="Y239" s="126"/>
      <c r="Z239" s="126"/>
      <c r="AA239" s="126"/>
      <c r="AB239" s="126"/>
    </row>
    <row r="240" spans="1:28" ht="15.75" customHeight="1">
      <c r="A240" s="126"/>
      <c r="B240" s="126"/>
      <c r="C240" s="176"/>
      <c r="D240" s="176"/>
      <c r="E240" s="176"/>
      <c r="F240" s="176"/>
      <c r="G240" s="176"/>
      <c r="H240" s="176"/>
      <c r="I240" s="126"/>
      <c r="J240" s="126"/>
      <c r="K240" s="126"/>
      <c r="L240" s="126"/>
      <c r="M240" s="126"/>
      <c r="N240" s="126"/>
      <c r="O240" s="126"/>
      <c r="P240" s="126"/>
      <c r="Q240" s="126"/>
      <c r="R240" s="126"/>
      <c r="S240" s="126"/>
      <c r="T240" s="126"/>
      <c r="U240" s="126"/>
      <c r="V240" s="126"/>
      <c r="W240" s="126"/>
      <c r="X240" s="126"/>
      <c r="Y240" s="126"/>
      <c r="Z240" s="126"/>
      <c r="AA240" s="126"/>
      <c r="AB240" s="126"/>
    </row>
    <row r="241" spans="1:28" ht="15.75" customHeight="1">
      <c r="A241" s="126"/>
      <c r="B241" s="126"/>
      <c r="C241" s="176"/>
      <c r="D241" s="176"/>
      <c r="E241" s="176"/>
      <c r="F241" s="176"/>
      <c r="G241" s="176"/>
      <c r="H241" s="176"/>
      <c r="I241" s="126"/>
      <c r="J241" s="126"/>
      <c r="K241" s="126"/>
      <c r="L241" s="126"/>
      <c r="M241" s="126"/>
      <c r="N241" s="126"/>
      <c r="O241" s="126"/>
      <c r="P241" s="126"/>
      <c r="Q241" s="126"/>
      <c r="R241" s="126"/>
      <c r="S241" s="126"/>
      <c r="T241" s="126"/>
      <c r="U241" s="126"/>
      <c r="V241" s="126"/>
      <c r="W241" s="126"/>
      <c r="X241" s="126"/>
      <c r="Y241" s="126"/>
      <c r="Z241" s="126"/>
      <c r="AA241" s="126"/>
      <c r="AB241" s="126"/>
    </row>
    <row r="242" spans="1:28" ht="15.75" customHeight="1">
      <c r="A242" s="126"/>
      <c r="B242" s="126"/>
      <c r="C242" s="176"/>
      <c r="D242" s="176"/>
      <c r="E242" s="176"/>
      <c r="F242" s="176"/>
      <c r="G242" s="176"/>
      <c r="H242" s="176"/>
      <c r="I242" s="126"/>
      <c r="J242" s="126"/>
      <c r="K242" s="126"/>
      <c r="L242" s="126"/>
      <c r="M242" s="126"/>
      <c r="N242" s="126"/>
      <c r="O242" s="126"/>
      <c r="P242" s="126"/>
      <c r="Q242" s="126"/>
      <c r="R242" s="126"/>
      <c r="S242" s="126"/>
      <c r="T242" s="126"/>
      <c r="U242" s="126"/>
      <c r="V242" s="126"/>
      <c r="W242" s="126"/>
      <c r="X242" s="126"/>
      <c r="Y242" s="126"/>
      <c r="Z242" s="126"/>
      <c r="AA242" s="126"/>
      <c r="AB242" s="126"/>
    </row>
    <row r="243" spans="1:28" ht="15.75" customHeight="1">
      <c r="A243" s="126"/>
      <c r="B243" s="126"/>
      <c r="C243" s="176"/>
      <c r="D243" s="176"/>
      <c r="E243" s="176"/>
      <c r="F243" s="176"/>
      <c r="G243" s="176"/>
      <c r="H243" s="176"/>
      <c r="I243" s="126"/>
      <c r="J243" s="126"/>
      <c r="K243" s="126"/>
      <c r="L243" s="126"/>
      <c r="M243" s="126"/>
      <c r="N243" s="126"/>
      <c r="O243" s="126"/>
      <c r="P243" s="126"/>
      <c r="Q243" s="126"/>
      <c r="R243" s="126"/>
      <c r="S243" s="126"/>
      <c r="T243" s="126"/>
      <c r="U243" s="126"/>
      <c r="V243" s="126"/>
      <c r="W243" s="126"/>
      <c r="X243" s="126"/>
      <c r="Y243" s="126"/>
      <c r="Z243" s="126"/>
      <c r="AA243" s="126"/>
      <c r="AB243" s="126"/>
    </row>
    <row r="244" spans="1:28" ht="15.75" customHeight="1">
      <c r="A244" s="126"/>
      <c r="B244" s="126"/>
      <c r="C244" s="176"/>
      <c r="D244" s="176"/>
      <c r="E244" s="176"/>
      <c r="F244" s="176"/>
      <c r="G244" s="176"/>
      <c r="H244" s="176"/>
      <c r="I244" s="126"/>
      <c r="J244" s="126"/>
      <c r="K244" s="126"/>
      <c r="L244" s="126"/>
      <c r="M244" s="126"/>
      <c r="N244" s="126"/>
      <c r="O244" s="126"/>
      <c r="P244" s="126"/>
      <c r="Q244" s="126"/>
      <c r="R244" s="126"/>
      <c r="S244" s="126"/>
      <c r="T244" s="126"/>
      <c r="U244" s="126"/>
      <c r="V244" s="126"/>
      <c r="W244" s="126"/>
      <c r="X244" s="126"/>
      <c r="Y244" s="126"/>
      <c r="Z244" s="126"/>
      <c r="AA244" s="126"/>
      <c r="AB244" s="126"/>
    </row>
    <row r="245" spans="1:28" ht="15.75" customHeight="1">
      <c r="A245" s="126"/>
      <c r="B245" s="126"/>
      <c r="C245" s="176"/>
      <c r="D245" s="176"/>
      <c r="E245" s="176"/>
      <c r="F245" s="176"/>
      <c r="G245" s="176"/>
      <c r="H245" s="176"/>
      <c r="I245" s="126"/>
      <c r="J245" s="126"/>
      <c r="K245" s="126"/>
      <c r="L245" s="126"/>
      <c r="M245" s="126"/>
      <c r="N245" s="126"/>
      <c r="O245" s="126"/>
      <c r="P245" s="126"/>
      <c r="Q245" s="126"/>
      <c r="R245" s="126"/>
      <c r="S245" s="126"/>
      <c r="T245" s="126"/>
      <c r="U245" s="126"/>
      <c r="V245" s="126"/>
      <c r="W245" s="126"/>
      <c r="X245" s="126"/>
      <c r="Y245" s="126"/>
      <c r="Z245" s="126"/>
      <c r="AA245" s="126"/>
      <c r="AB245" s="126"/>
    </row>
    <row r="246" spans="1:28" ht="15.75" customHeight="1">
      <c r="A246" s="126"/>
      <c r="B246" s="126"/>
      <c r="C246" s="176"/>
      <c r="D246" s="176"/>
      <c r="E246" s="176"/>
      <c r="F246" s="176"/>
      <c r="G246" s="176"/>
      <c r="H246" s="176"/>
      <c r="I246" s="126"/>
      <c r="J246" s="126"/>
      <c r="K246" s="126"/>
      <c r="L246" s="126"/>
      <c r="M246" s="126"/>
      <c r="N246" s="126"/>
      <c r="O246" s="126"/>
      <c r="P246" s="126"/>
      <c r="Q246" s="126"/>
      <c r="R246" s="126"/>
      <c r="S246" s="126"/>
      <c r="T246" s="126"/>
      <c r="U246" s="126"/>
      <c r="V246" s="126"/>
      <c r="W246" s="126"/>
      <c r="X246" s="126"/>
      <c r="Y246" s="126"/>
      <c r="Z246" s="126"/>
      <c r="AA246" s="126"/>
      <c r="AB246" s="126"/>
    </row>
    <row r="247" spans="1:28" ht="15.75" customHeight="1">
      <c r="A247" s="126"/>
      <c r="B247" s="126"/>
      <c r="C247" s="176"/>
      <c r="D247" s="176"/>
      <c r="E247" s="176"/>
      <c r="F247" s="176"/>
      <c r="G247" s="176"/>
      <c r="H247" s="176"/>
      <c r="I247" s="126"/>
      <c r="J247" s="126"/>
      <c r="K247" s="126"/>
      <c r="L247" s="126"/>
      <c r="M247" s="126"/>
      <c r="N247" s="126"/>
      <c r="O247" s="126"/>
      <c r="P247" s="126"/>
      <c r="Q247" s="126"/>
      <c r="R247" s="126"/>
      <c r="S247" s="126"/>
      <c r="T247" s="126"/>
      <c r="U247" s="126"/>
      <c r="V247" s="126"/>
      <c r="W247" s="126"/>
      <c r="X247" s="126"/>
      <c r="Y247" s="126"/>
      <c r="Z247" s="126"/>
      <c r="AA247" s="126"/>
      <c r="AB247" s="126"/>
    </row>
    <row r="248" spans="1:28" ht="15.75" customHeight="1">
      <c r="A248" s="126"/>
      <c r="B248" s="126"/>
      <c r="C248" s="176"/>
      <c r="D248" s="176"/>
      <c r="E248" s="176"/>
      <c r="F248" s="176"/>
      <c r="G248" s="176"/>
      <c r="H248" s="176"/>
      <c r="I248" s="126"/>
      <c r="J248" s="126"/>
      <c r="K248" s="126"/>
      <c r="L248" s="126"/>
      <c r="M248" s="126"/>
      <c r="N248" s="126"/>
      <c r="O248" s="126"/>
      <c r="P248" s="126"/>
      <c r="Q248" s="126"/>
      <c r="R248" s="126"/>
      <c r="S248" s="126"/>
      <c r="T248" s="126"/>
      <c r="U248" s="126"/>
      <c r="V248" s="126"/>
      <c r="W248" s="126"/>
      <c r="X248" s="126"/>
      <c r="Y248" s="126"/>
      <c r="Z248" s="126"/>
      <c r="AA248" s="126"/>
      <c r="AB248" s="126"/>
    </row>
    <row r="249" spans="1:28" ht="15.75" customHeight="1">
      <c r="A249" s="126"/>
      <c r="B249" s="126"/>
      <c r="C249" s="176"/>
      <c r="D249" s="176"/>
      <c r="E249" s="176"/>
      <c r="F249" s="176"/>
      <c r="G249" s="176"/>
      <c r="H249" s="176"/>
      <c r="I249" s="126"/>
      <c r="J249" s="126"/>
      <c r="K249" s="126"/>
      <c r="L249" s="126"/>
      <c r="M249" s="126"/>
      <c r="N249" s="126"/>
      <c r="O249" s="126"/>
      <c r="P249" s="126"/>
      <c r="Q249" s="126"/>
      <c r="R249" s="126"/>
      <c r="S249" s="126"/>
      <c r="T249" s="126"/>
      <c r="U249" s="126"/>
      <c r="V249" s="126"/>
      <c r="W249" s="126"/>
      <c r="X249" s="126"/>
      <c r="Y249" s="126"/>
      <c r="Z249" s="126"/>
      <c r="AA249" s="126"/>
      <c r="AB249" s="126"/>
    </row>
    <row r="250" spans="1:28" ht="15.75" customHeight="1">
      <c r="A250" s="126"/>
      <c r="B250" s="126"/>
      <c r="C250" s="176"/>
      <c r="D250" s="176"/>
      <c r="E250" s="176"/>
      <c r="F250" s="176"/>
      <c r="G250" s="176"/>
      <c r="H250" s="176"/>
      <c r="I250" s="126"/>
      <c r="J250" s="126"/>
      <c r="K250" s="126"/>
      <c r="L250" s="126"/>
      <c r="M250" s="126"/>
      <c r="N250" s="126"/>
      <c r="O250" s="126"/>
      <c r="P250" s="126"/>
      <c r="Q250" s="126"/>
      <c r="R250" s="126"/>
      <c r="S250" s="126"/>
      <c r="T250" s="126"/>
      <c r="U250" s="126"/>
      <c r="V250" s="126"/>
      <c r="W250" s="126"/>
      <c r="X250" s="126"/>
      <c r="Y250" s="126"/>
      <c r="Z250" s="126"/>
      <c r="AA250" s="126"/>
      <c r="AB250" s="126"/>
    </row>
    <row r="251" spans="1:28" ht="15.75" customHeight="1">
      <c r="A251" s="126"/>
      <c r="B251" s="126"/>
      <c r="C251" s="176"/>
      <c r="D251" s="176"/>
      <c r="E251" s="176"/>
      <c r="F251" s="176"/>
      <c r="G251" s="176"/>
      <c r="H251" s="176"/>
      <c r="I251" s="126"/>
      <c r="J251" s="126"/>
      <c r="K251" s="126"/>
      <c r="L251" s="126"/>
      <c r="M251" s="126"/>
      <c r="N251" s="126"/>
      <c r="O251" s="126"/>
      <c r="P251" s="126"/>
      <c r="Q251" s="126"/>
      <c r="R251" s="126"/>
      <c r="S251" s="126"/>
      <c r="T251" s="126"/>
      <c r="U251" s="126"/>
      <c r="V251" s="126"/>
      <c r="W251" s="126"/>
      <c r="X251" s="126"/>
      <c r="Y251" s="126"/>
      <c r="Z251" s="126"/>
      <c r="AA251" s="126"/>
      <c r="AB251" s="126"/>
    </row>
    <row r="252" spans="1:28" ht="15.75" customHeight="1">
      <c r="A252" s="126"/>
      <c r="B252" s="126"/>
      <c r="C252" s="176"/>
      <c r="D252" s="176"/>
      <c r="E252" s="176"/>
      <c r="F252" s="176"/>
      <c r="G252" s="176"/>
      <c r="H252" s="176"/>
      <c r="I252" s="126"/>
      <c r="J252" s="126"/>
      <c r="K252" s="126"/>
      <c r="L252" s="126"/>
      <c r="M252" s="126"/>
      <c r="N252" s="126"/>
      <c r="O252" s="126"/>
      <c r="P252" s="126"/>
      <c r="Q252" s="126"/>
      <c r="R252" s="126"/>
      <c r="S252" s="126"/>
      <c r="T252" s="126"/>
      <c r="U252" s="126"/>
      <c r="V252" s="126"/>
      <c r="W252" s="126"/>
      <c r="X252" s="126"/>
      <c r="Y252" s="126"/>
      <c r="Z252" s="126"/>
      <c r="AA252" s="126"/>
      <c r="AB252" s="126"/>
    </row>
    <row r="253" spans="1:28" ht="15.75" customHeight="1">
      <c r="A253" s="126"/>
      <c r="B253" s="126"/>
      <c r="C253" s="176"/>
      <c r="D253" s="176"/>
      <c r="E253" s="176"/>
      <c r="F253" s="176"/>
      <c r="G253" s="176"/>
      <c r="H253" s="176"/>
      <c r="I253" s="126"/>
      <c r="J253" s="126"/>
      <c r="K253" s="126"/>
      <c r="L253" s="126"/>
      <c r="M253" s="126"/>
      <c r="N253" s="126"/>
      <c r="O253" s="126"/>
      <c r="P253" s="126"/>
      <c r="Q253" s="126"/>
      <c r="R253" s="126"/>
      <c r="S253" s="126"/>
      <c r="T253" s="126"/>
      <c r="U253" s="126"/>
      <c r="V253" s="126"/>
      <c r="W253" s="126"/>
      <c r="X253" s="126"/>
      <c r="Y253" s="126"/>
      <c r="Z253" s="126"/>
      <c r="AA253" s="126"/>
      <c r="AB253" s="126"/>
    </row>
    <row r="254" spans="1:28" ht="15.75" customHeight="1">
      <c r="A254" s="126"/>
      <c r="B254" s="126"/>
      <c r="C254" s="176"/>
      <c r="D254" s="176"/>
      <c r="E254" s="176"/>
      <c r="F254" s="176"/>
      <c r="G254" s="176"/>
      <c r="H254" s="176"/>
      <c r="I254" s="126"/>
      <c r="J254" s="126"/>
      <c r="K254" s="126"/>
      <c r="L254" s="126"/>
      <c r="M254" s="126"/>
      <c r="N254" s="126"/>
      <c r="O254" s="126"/>
      <c r="P254" s="126"/>
      <c r="Q254" s="126"/>
      <c r="R254" s="126"/>
      <c r="S254" s="126"/>
      <c r="T254" s="126"/>
      <c r="U254" s="126"/>
      <c r="V254" s="126"/>
      <c r="W254" s="126"/>
      <c r="X254" s="126"/>
      <c r="Y254" s="126"/>
      <c r="Z254" s="126"/>
      <c r="AA254" s="126"/>
      <c r="AB254" s="126"/>
    </row>
    <row r="255" spans="1:28" ht="15.75" customHeight="1">
      <c r="A255" s="126"/>
      <c r="B255" s="126"/>
      <c r="C255" s="176"/>
      <c r="D255" s="176"/>
      <c r="E255" s="176"/>
      <c r="F255" s="176"/>
      <c r="G255" s="176"/>
      <c r="H255" s="176"/>
      <c r="I255" s="126"/>
      <c r="J255" s="126"/>
      <c r="K255" s="126"/>
      <c r="L255" s="126"/>
      <c r="M255" s="126"/>
      <c r="N255" s="126"/>
      <c r="O255" s="126"/>
      <c r="P255" s="126"/>
      <c r="Q255" s="126"/>
      <c r="R255" s="126"/>
      <c r="S255" s="126"/>
      <c r="T255" s="126"/>
      <c r="U255" s="126"/>
      <c r="V255" s="126"/>
      <c r="W255" s="126"/>
      <c r="X255" s="126"/>
      <c r="Y255" s="126"/>
      <c r="Z255" s="126"/>
      <c r="AA255" s="126"/>
      <c r="AB255" s="126"/>
    </row>
    <row r="256" spans="1:28" ht="15.75" customHeight="1">
      <c r="A256" s="126"/>
      <c r="B256" s="126"/>
      <c r="C256" s="176"/>
      <c r="D256" s="176"/>
      <c r="E256" s="176"/>
      <c r="F256" s="176"/>
      <c r="G256" s="176"/>
      <c r="H256" s="176"/>
      <c r="I256" s="126"/>
      <c r="J256" s="126"/>
      <c r="K256" s="126"/>
      <c r="L256" s="126"/>
      <c r="M256" s="126"/>
      <c r="N256" s="126"/>
      <c r="O256" s="126"/>
      <c r="P256" s="126"/>
      <c r="Q256" s="126"/>
      <c r="R256" s="126"/>
      <c r="S256" s="126"/>
      <c r="T256" s="126"/>
      <c r="U256" s="126"/>
      <c r="V256" s="126"/>
      <c r="W256" s="126"/>
      <c r="X256" s="126"/>
      <c r="Y256" s="126"/>
      <c r="Z256" s="126"/>
      <c r="AA256" s="126"/>
      <c r="AB256" s="126"/>
    </row>
    <row r="257" spans="1:28" ht="15.75" customHeight="1">
      <c r="A257" s="126"/>
      <c r="B257" s="126"/>
      <c r="C257" s="176"/>
      <c r="D257" s="176"/>
      <c r="E257" s="176"/>
      <c r="F257" s="176"/>
      <c r="G257" s="176"/>
      <c r="H257" s="176"/>
      <c r="I257" s="126"/>
      <c r="J257" s="126"/>
      <c r="K257" s="126"/>
      <c r="L257" s="126"/>
      <c r="M257" s="126"/>
      <c r="N257" s="126"/>
      <c r="O257" s="126"/>
      <c r="P257" s="126"/>
      <c r="Q257" s="126"/>
      <c r="R257" s="126"/>
      <c r="S257" s="126"/>
      <c r="T257" s="126"/>
      <c r="U257" s="126"/>
      <c r="V257" s="126"/>
      <c r="W257" s="126"/>
      <c r="X257" s="126"/>
      <c r="Y257" s="126"/>
      <c r="Z257" s="126"/>
      <c r="AA257" s="126"/>
      <c r="AB257" s="126"/>
    </row>
    <row r="258" spans="1:28" ht="15.75" customHeight="1">
      <c r="A258" s="126"/>
      <c r="B258" s="126"/>
      <c r="C258" s="176"/>
      <c r="D258" s="176"/>
      <c r="E258" s="176"/>
      <c r="F258" s="176"/>
      <c r="G258" s="176"/>
      <c r="H258" s="176"/>
      <c r="I258" s="126"/>
      <c r="J258" s="126"/>
      <c r="K258" s="126"/>
      <c r="L258" s="126"/>
      <c r="M258" s="126"/>
      <c r="N258" s="126"/>
      <c r="O258" s="126"/>
      <c r="P258" s="126"/>
      <c r="Q258" s="126"/>
      <c r="R258" s="126"/>
      <c r="S258" s="126"/>
      <c r="T258" s="126"/>
      <c r="U258" s="126"/>
      <c r="V258" s="126"/>
      <c r="W258" s="126"/>
      <c r="X258" s="126"/>
      <c r="Y258" s="126"/>
      <c r="Z258" s="126"/>
      <c r="AA258" s="126"/>
      <c r="AB258" s="126"/>
    </row>
    <row r="259" spans="1:28" ht="15.75" customHeight="1">
      <c r="A259" s="126"/>
      <c r="B259" s="126"/>
      <c r="C259" s="176"/>
      <c r="D259" s="176"/>
      <c r="E259" s="176"/>
      <c r="F259" s="176"/>
      <c r="G259" s="176"/>
      <c r="H259" s="176"/>
      <c r="I259" s="126"/>
      <c r="J259" s="126"/>
      <c r="K259" s="126"/>
      <c r="L259" s="126"/>
      <c r="M259" s="126"/>
      <c r="N259" s="126"/>
      <c r="O259" s="126"/>
      <c r="P259" s="126"/>
      <c r="Q259" s="126"/>
      <c r="R259" s="126"/>
      <c r="S259" s="126"/>
      <c r="T259" s="126"/>
      <c r="U259" s="126"/>
      <c r="V259" s="126"/>
      <c r="W259" s="126"/>
      <c r="X259" s="126"/>
      <c r="Y259" s="126"/>
      <c r="Z259" s="126"/>
      <c r="AA259" s="126"/>
      <c r="AB259" s="126"/>
    </row>
    <row r="260" spans="1:28" ht="15.75" customHeight="1">
      <c r="A260" s="126"/>
      <c r="B260" s="126"/>
      <c r="C260" s="176"/>
      <c r="D260" s="176"/>
      <c r="E260" s="176"/>
      <c r="F260" s="176"/>
      <c r="G260" s="176"/>
      <c r="H260" s="176"/>
      <c r="I260" s="126"/>
      <c r="J260" s="126"/>
      <c r="K260" s="126"/>
      <c r="L260" s="126"/>
      <c r="M260" s="126"/>
      <c r="N260" s="126"/>
      <c r="O260" s="126"/>
      <c r="P260" s="126"/>
      <c r="Q260" s="126"/>
      <c r="R260" s="126"/>
      <c r="S260" s="126"/>
      <c r="T260" s="126"/>
      <c r="U260" s="126"/>
      <c r="V260" s="126"/>
      <c r="W260" s="126"/>
      <c r="X260" s="126"/>
      <c r="Y260" s="126"/>
      <c r="Z260" s="126"/>
      <c r="AA260" s="126"/>
      <c r="AB260" s="126"/>
    </row>
    <row r="261" spans="1:28" ht="15.75" customHeight="1">
      <c r="A261" s="126"/>
      <c r="B261" s="126"/>
      <c r="C261" s="176"/>
      <c r="D261" s="176"/>
      <c r="E261" s="176"/>
      <c r="F261" s="176"/>
      <c r="G261" s="176"/>
      <c r="H261" s="176"/>
      <c r="I261" s="126"/>
      <c r="J261" s="126"/>
      <c r="K261" s="126"/>
      <c r="L261" s="126"/>
      <c r="M261" s="126"/>
      <c r="N261" s="126"/>
      <c r="O261" s="126"/>
      <c r="P261" s="126"/>
      <c r="Q261" s="126"/>
      <c r="R261" s="126"/>
      <c r="S261" s="126"/>
      <c r="T261" s="126"/>
      <c r="U261" s="126"/>
      <c r="V261" s="126"/>
      <c r="W261" s="126"/>
      <c r="X261" s="126"/>
      <c r="Y261" s="126"/>
      <c r="Z261" s="126"/>
      <c r="AA261" s="126"/>
      <c r="AB261" s="126"/>
    </row>
    <row r="262" spans="1:28" ht="15.75" customHeight="1">
      <c r="A262" s="126"/>
      <c r="B262" s="126"/>
      <c r="C262" s="176"/>
      <c r="D262" s="176"/>
      <c r="E262" s="176"/>
      <c r="F262" s="176"/>
      <c r="G262" s="176"/>
      <c r="H262" s="176"/>
      <c r="I262" s="126"/>
      <c r="J262" s="126"/>
      <c r="K262" s="126"/>
      <c r="L262" s="126"/>
      <c r="M262" s="126"/>
      <c r="N262" s="126"/>
      <c r="O262" s="126"/>
      <c r="P262" s="126"/>
      <c r="Q262" s="126"/>
      <c r="R262" s="126"/>
      <c r="S262" s="126"/>
      <c r="T262" s="126"/>
      <c r="U262" s="126"/>
      <c r="V262" s="126"/>
      <c r="W262" s="126"/>
      <c r="X262" s="126"/>
      <c r="Y262" s="126"/>
      <c r="Z262" s="126"/>
      <c r="AA262" s="126"/>
      <c r="AB262" s="126"/>
    </row>
    <row r="263" spans="1:28" ht="15.75" customHeight="1">
      <c r="A263" s="126"/>
      <c r="B263" s="126"/>
      <c r="C263" s="176"/>
      <c r="D263" s="176"/>
      <c r="E263" s="176"/>
      <c r="F263" s="176"/>
      <c r="G263" s="176"/>
      <c r="H263" s="176"/>
      <c r="I263" s="126"/>
      <c r="J263" s="126"/>
      <c r="K263" s="126"/>
      <c r="L263" s="126"/>
      <c r="M263" s="126"/>
      <c r="N263" s="126"/>
      <c r="O263" s="126"/>
      <c r="P263" s="126"/>
      <c r="Q263" s="126"/>
      <c r="R263" s="126"/>
      <c r="S263" s="126"/>
      <c r="T263" s="126"/>
      <c r="U263" s="126"/>
      <c r="V263" s="126"/>
      <c r="W263" s="126"/>
      <c r="X263" s="126"/>
      <c r="Y263" s="126"/>
      <c r="Z263" s="126"/>
      <c r="AA263" s="126"/>
      <c r="AB263" s="126"/>
    </row>
    <row r="264" spans="1:28" ht="15.75" customHeight="1">
      <c r="A264" s="126"/>
      <c r="B264" s="126"/>
      <c r="C264" s="176"/>
      <c r="D264" s="176"/>
      <c r="E264" s="176"/>
      <c r="F264" s="176"/>
      <c r="G264" s="176"/>
      <c r="H264" s="176"/>
      <c r="I264" s="126"/>
      <c r="J264" s="126"/>
      <c r="K264" s="126"/>
      <c r="L264" s="126"/>
      <c r="M264" s="126"/>
      <c r="N264" s="126"/>
      <c r="O264" s="126"/>
      <c r="P264" s="126"/>
      <c r="Q264" s="126"/>
      <c r="R264" s="126"/>
      <c r="S264" s="126"/>
      <c r="T264" s="126"/>
      <c r="U264" s="126"/>
      <c r="V264" s="126"/>
      <c r="W264" s="126"/>
      <c r="X264" s="126"/>
      <c r="Y264" s="126"/>
      <c r="Z264" s="126"/>
      <c r="AA264" s="126"/>
      <c r="AB264" s="126"/>
    </row>
    <row r="265" spans="1:28" ht="15.75" customHeight="1">
      <c r="A265" s="126"/>
      <c r="B265" s="126"/>
      <c r="C265" s="176"/>
      <c r="D265" s="176"/>
      <c r="E265" s="176"/>
      <c r="F265" s="176"/>
      <c r="G265" s="176"/>
      <c r="H265" s="176"/>
      <c r="I265" s="126"/>
      <c r="J265" s="126"/>
      <c r="K265" s="126"/>
      <c r="L265" s="126"/>
      <c r="M265" s="126"/>
      <c r="N265" s="126"/>
      <c r="O265" s="126"/>
      <c r="P265" s="126"/>
      <c r="Q265" s="126"/>
      <c r="R265" s="126"/>
      <c r="S265" s="126"/>
      <c r="T265" s="126"/>
      <c r="U265" s="126"/>
      <c r="V265" s="126"/>
      <c r="W265" s="126"/>
      <c r="X265" s="126"/>
      <c r="Y265" s="126"/>
      <c r="Z265" s="126"/>
      <c r="AA265" s="126"/>
      <c r="AB265" s="126"/>
    </row>
    <row r="266" spans="1:28" ht="15.75" customHeight="1">
      <c r="A266" s="126"/>
      <c r="B266" s="126"/>
      <c r="C266" s="176"/>
      <c r="D266" s="176"/>
      <c r="E266" s="176"/>
      <c r="F266" s="176"/>
      <c r="G266" s="176"/>
      <c r="H266" s="176"/>
      <c r="I266" s="126"/>
      <c r="J266" s="126"/>
      <c r="K266" s="126"/>
      <c r="L266" s="126"/>
      <c r="M266" s="126"/>
      <c r="N266" s="126"/>
      <c r="O266" s="126"/>
      <c r="P266" s="126"/>
      <c r="Q266" s="126"/>
      <c r="R266" s="126"/>
      <c r="S266" s="126"/>
      <c r="T266" s="126"/>
      <c r="U266" s="126"/>
      <c r="V266" s="126"/>
      <c r="W266" s="126"/>
      <c r="X266" s="126"/>
      <c r="Y266" s="126"/>
      <c r="Z266" s="126"/>
      <c r="AA266" s="126"/>
      <c r="AB266" s="126"/>
    </row>
    <row r="267" spans="1:28" ht="15.75" customHeight="1">
      <c r="A267" s="126"/>
      <c r="B267" s="126"/>
      <c r="C267" s="176"/>
      <c r="D267" s="176"/>
      <c r="E267" s="176"/>
      <c r="F267" s="176"/>
      <c r="G267" s="176"/>
      <c r="H267" s="176"/>
      <c r="I267" s="126"/>
      <c r="J267" s="126"/>
      <c r="K267" s="126"/>
      <c r="L267" s="126"/>
      <c r="M267" s="126"/>
      <c r="N267" s="126"/>
      <c r="O267" s="126"/>
      <c r="P267" s="126"/>
      <c r="Q267" s="126"/>
      <c r="R267" s="126"/>
      <c r="S267" s="126"/>
      <c r="T267" s="126"/>
      <c r="U267" s="126"/>
      <c r="V267" s="126"/>
      <c r="W267" s="126"/>
      <c r="X267" s="126"/>
      <c r="Y267" s="126"/>
      <c r="Z267" s="126"/>
      <c r="AA267" s="126"/>
      <c r="AB267" s="126"/>
    </row>
    <row r="268" spans="1:28" ht="15.75" customHeight="1">
      <c r="A268" s="126"/>
      <c r="B268" s="126"/>
      <c r="C268" s="176"/>
      <c r="D268" s="176"/>
      <c r="E268" s="176"/>
      <c r="F268" s="176"/>
      <c r="G268" s="176"/>
      <c r="H268" s="176"/>
      <c r="I268" s="126"/>
      <c r="J268" s="126"/>
      <c r="K268" s="126"/>
      <c r="L268" s="126"/>
      <c r="M268" s="126"/>
      <c r="N268" s="126"/>
      <c r="O268" s="126"/>
      <c r="P268" s="126"/>
      <c r="Q268" s="126"/>
      <c r="R268" s="126"/>
      <c r="S268" s="126"/>
      <c r="T268" s="126"/>
      <c r="U268" s="126"/>
      <c r="V268" s="126"/>
      <c r="W268" s="126"/>
      <c r="X268" s="126"/>
      <c r="Y268" s="126"/>
      <c r="Z268" s="126"/>
      <c r="AA268" s="126"/>
      <c r="AB268" s="126"/>
    </row>
    <row r="269" spans="1:28" ht="15.75" customHeight="1">
      <c r="A269" s="126"/>
      <c r="B269" s="126"/>
      <c r="C269" s="176"/>
      <c r="D269" s="176"/>
      <c r="E269" s="176"/>
      <c r="F269" s="176"/>
      <c r="G269" s="176"/>
      <c r="H269" s="176"/>
      <c r="I269" s="126"/>
      <c r="J269" s="126"/>
      <c r="K269" s="126"/>
      <c r="L269" s="126"/>
      <c r="M269" s="126"/>
      <c r="N269" s="126"/>
      <c r="O269" s="126"/>
      <c r="P269" s="126"/>
      <c r="Q269" s="126"/>
      <c r="R269" s="126"/>
      <c r="S269" s="126"/>
      <c r="T269" s="126"/>
      <c r="U269" s="126"/>
      <c r="V269" s="126"/>
      <c r="W269" s="126"/>
      <c r="X269" s="126"/>
      <c r="Y269" s="126"/>
      <c r="Z269" s="126"/>
      <c r="AA269" s="126"/>
      <c r="AB269" s="126"/>
    </row>
    <row r="270" spans="1:28" ht="15.75" customHeight="1">
      <c r="A270" s="126"/>
      <c r="B270" s="126"/>
      <c r="C270" s="176"/>
      <c r="D270" s="176"/>
      <c r="E270" s="176"/>
      <c r="F270" s="176"/>
      <c r="G270" s="176"/>
      <c r="H270" s="176"/>
      <c r="I270" s="126"/>
      <c r="J270" s="126"/>
      <c r="K270" s="126"/>
      <c r="L270" s="126"/>
      <c r="M270" s="126"/>
      <c r="N270" s="126"/>
      <c r="O270" s="126"/>
      <c r="P270" s="126"/>
      <c r="Q270" s="126"/>
      <c r="R270" s="126"/>
      <c r="S270" s="126"/>
      <c r="T270" s="126"/>
      <c r="U270" s="126"/>
      <c r="V270" s="126"/>
      <c r="W270" s="126"/>
      <c r="X270" s="126"/>
      <c r="Y270" s="126"/>
      <c r="Z270" s="126"/>
      <c r="AA270" s="126"/>
      <c r="AB270" s="126"/>
    </row>
    <row r="271" spans="1:28" ht="15.75" customHeight="1">
      <c r="A271" s="126"/>
      <c r="B271" s="126"/>
      <c r="C271" s="176"/>
      <c r="D271" s="176"/>
      <c r="E271" s="176"/>
      <c r="F271" s="176"/>
      <c r="G271" s="176"/>
      <c r="H271" s="176"/>
      <c r="I271" s="126"/>
      <c r="J271" s="126"/>
      <c r="K271" s="126"/>
      <c r="L271" s="126"/>
      <c r="M271" s="126"/>
      <c r="N271" s="126"/>
      <c r="O271" s="126"/>
      <c r="P271" s="126"/>
      <c r="Q271" s="126"/>
      <c r="R271" s="126"/>
      <c r="S271" s="126"/>
      <c r="T271" s="126"/>
      <c r="U271" s="126"/>
      <c r="V271" s="126"/>
      <c r="W271" s="126"/>
      <c r="X271" s="126"/>
      <c r="Y271" s="126"/>
      <c r="Z271" s="126"/>
      <c r="AA271" s="126"/>
      <c r="AB271" s="126"/>
    </row>
    <row r="272" spans="1:28" ht="15.75" customHeight="1">
      <c r="A272" s="126"/>
      <c r="B272" s="126"/>
      <c r="C272" s="176"/>
      <c r="D272" s="176"/>
      <c r="E272" s="176"/>
      <c r="F272" s="176"/>
      <c r="G272" s="176"/>
      <c r="H272" s="176"/>
      <c r="I272" s="126"/>
      <c r="J272" s="126"/>
      <c r="K272" s="126"/>
      <c r="L272" s="126"/>
      <c r="M272" s="126"/>
      <c r="N272" s="126"/>
      <c r="O272" s="126"/>
      <c r="P272" s="126"/>
      <c r="Q272" s="126"/>
      <c r="R272" s="126"/>
      <c r="S272" s="126"/>
      <c r="T272" s="126"/>
      <c r="U272" s="126"/>
      <c r="V272" s="126"/>
      <c r="W272" s="126"/>
      <c r="X272" s="126"/>
      <c r="Y272" s="126"/>
      <c r="Z272" s="126"/>
      <c r="AA272" s="126"/>
      <c r="AB272" s="126"/>
    </row>
    <row r="273" spans="1:28" ht="15.75" customHeight="1">
      <c r="A273" s="126"/>
      <c r="B273" s="126"/>
      <c r="C273" s="176"/>
      <c r="D273" s="176"/>
      <c r="E273" s="176"/>
      <c r="F273" s="176"/>
      <c r="G273" s="176"/>
      <c r="H273" s="176"/>
      <c r="I273" s="126"/>
      <c r="J273" s="126"/>
      <c r="K273" s="126"/>
      <c r="L273" s="126"/>
      <c r="M273" s="126"/>
      <c r="N273" s="126"/>
      <c r="O273" s="126"/>
      <c r="P273" s="126"/>
      <c r="Q273" s="126"/>
      <c r="R273" s="126"/>
      <c r="S273" s="126"/>
      <c r="T273" s="126"/>
      <c r="U273" s="126"/>
      <c r="V273" s="126"/>
      <c r="W273" s="126"/>
      <c r="X273" s="126"/>
      <c r="Y273" s="126"/>
      <c r="Z273" s="126"/>
      <c r="AA273" s="126"/>
      <c r="AB273" s="126"/>
    </row>
    <row r="274" spans="1:28" ht="15.75" customHeight="1">
      <c r="A274" s="126"/>
      <c r="B274" s="126"/>
      <c r="C274" s="176"/>
      <c r="D274" s="176"/>
      <c r="E274" s="176"/>
      <c r="F274" s="176"/>
      <c r="G274" s="176"/>
      <c r="H274" s="176"/>
      <c r="I274" s="126"/>
      <c r="J274" s="126"/>
      <c r="K274" s="126"/>
      <c r="L274" s="126"/>
      <c r="M274" s="126"/>
      <c r="N274" s="126"/>
      <c r="O274" s="126"/>
      <c r="P274" s="126"/>
      <c r="Q274" s="126"/>
      <c r="R274" s="126"/>
      <c r="S274" s="126"/>
      <c r="T274" s="126"/>
      <c r="U274" s="126"/>
      <c r="V274" s="126"/>
      <c r="W274" s="126"/>
      <c r="X274" s="126"/>
      <c r="Y274" s="126"/>
      <c r="Z274" s="126"/>
      <c r="AA274" s="126"/>
      <c r="AB274" s="126"/>
    </row>
    <row r="275" spans="1:28" ht="15.75" customHeight="1">
      <c r="A275" s="126"/>
      <c r="B275" s="126"/>
      <c r="C275" s="176"/>
      <c r="D275" s="176"/>
      <c r="E275" s="176"/>
      <c r="F275" s="176"/>
      <c r="G275" s="176"/>
      <c r="H275" s="176"/>
      <c r="I275" s="126"/>
      <c r="J275" s="126"/>
      <c r="K275" s="126"/>
      <c r="L275" s="126"/>
      <c r="M275" s="126"/>
      <c r="N275" s="126"/>
      <c r="O275" s="126"/>
      <c r="P275" s="126"/>
      <c r="Q275" s="126"/>
      <c r="R275" s="126"/>
      <c r="S275" s="126"/>
      <c r="T275" s="126"/>
      <c r="U275" s="126"/>
      <c r="V275" s="126"/>
      <c r="W275" s="126"/>
      <c r="X275" s="126"/>
      <c r="Y275" s="126"/>
      <c r="Z275" s="126"/>
      <c r="AA275" s="126"/>
      <c r="AB275" s="126"/>
    </row>
    <row r="276" spans="1:28" ht="15.75" customHeight="1">
      <c r="A276" s="126"/>
      <c r="B276" s="126"/>
      <c r="C276" s="176"/>
      <c r="D276" s="176"/>
      <c r="E276" s="176"/>
      <c r="F276" s="176"/>
      <c r="G276" s="176"/>
      <c r="H276" s="176"/>
      <c r="I276" s="126"/>
      <c r="J276" s="126"/>
      <c r="K276" s="126"/>
      <c r="L276" s="126"/>
      <c r="M276" s="126"/>
      <c r="N276" s="126"/>
      <c r="O276" s="126"/>
      <c r="P276" s="126"/>
      <c r="Q276" s="126"/>
      <c r="R276" s="126"/>
      <c r="S276" s="126"/>
      <c r="T276" s="126"/>
      <c r="U276" s="126"/>
      <c r="V276" s="126"/>
      <c r="W276" s="126"/>
      <c r="X276" s="126"/>
      <c r="Y276" s="126"/>
      <c r="Z276" s="126"/>
      <c r="AA276" s="126"/>
      <c r="AB276" s="126"/>
    </row>
    <row r="277" spans="1:28" ht="15.75" customHeight="1">
      <c r="A277" s="126"/>
      <c r="B277" s="126"/>
      <c r="C277" s="176"/>
      <c r="D277" s="176"/>
      <c r="E277" s="176"/>
      <c r="F277" s="176"/>
      <c r="G277" s="176"/>
      <c r="H277" s="176"/>
      <c r="I277" s="126"/>
      <c r="J277" s="126"/>
      <c r="K277" s="126"/>
      <c r="L277" s="126"/>
      <c r="M277" s="126"/>
      <c r="N277" s="126"/>
      <c r="O277" s="126"/>
      <c r="P277" s="126"/>
      <c r="Q277" s="126"/>
      <c r="R277" s="126"/>
      <c r="S277" s="126"/>
      <c r="T277" s="126"/>
      <c r="U277" s="126"/>
      <c r="V277" s="126"/>
      <c r="W277" s="126"/>
      <c r="X277" s="126"/>
      <c r="Y277" s="126"/>
      <c r="Z277" s="126"/>
      <c r="AA277" s="126"/>
      <c r="AB277" s="126"/>
    </row>
    <row r="278" spans="1:28" ht="15.75" customHeight="1">
      <c r="A278" s="126"/>
      <c r="B278" s="126"/>
      <c r="C278" s="176"/>
      <c r="D278" s="176"/>
      <c r="E278" s="176"/>
      <c r="F278" s="176"/>
      <c r="G278" s="176"/>
      <c r="H278" s="176"/>
      <c r="I278" s="126"/>
      <c r="J278" s="126"/>
      <c r="K278" s="126"/>
      <c r="L278" s="126"/>
      <c r="M278" s="126"/>
      <c r="N278" s="126"/>
      <c r="O278" s="126"/>
      <c r="P278" s="126"/>
      <c r="Q278" s="126"/>
      <c r="R278" s="126"/>
      <c r="S278" s="126"/>
      <c r="T278" s="126"/>
      <c r="U278" s="126"/>
      <c r="V278" s="126"/>
      <c r="W278" s="126"/>
      <c r="X278" s="126"/>
      <c r="Y278" s="126"/>
      <c r="Z278" s="126"/>
      <c r="AA278" s="126"/>
      <c r="AB278" s="126"/>
    </row>
    <row r="279" spans="1:28" ht="15.75" customHeight="1">
      <c r="A279" s="126"/>
      <c r="B279" s="126"/>
      <c r="C279" s="176"/>
      <c r="D279" s="176"/>
      <c r="E279" s="176"/>
      <c r="F279" s="176"/>
      <c r="G279" s="176"/>
      <c r="H279" s="176"/>
      <c r="I279" s="126"/>
      <c r="J279" s="126"/>
      <c r="K279" s="126"/>
      <c r="L279" s="126"/>
      <c r="M279" s="126"/>
      <c r="N279" s="126"/>
      <c r="O279" s="126"/>
      <c r="P279" s="126"/>
      <c r="Q279" s="126"/>
      <c r="R279" s="126"/>
      <c r="S279" s="126"/>
      <c r="T279" s="126"/>
      <c r="U279" s="126"/>
      <c r="V279" s="126"/>
      <c r="W279" s="126"/>
      <c r="X279" s="126"/>
      <c r="Y279" s="126"/>
      <c r="Z279" s="126"/>
      <c r="AA279" s="126"/>
      <c r="AB279" s="126"/>
    </row>
    <row r="280" spans="1:28" ht="15.75" customHeight="1">
      <c r="A280" s="126"/>
      <c r="B280" s="126"/>
      <c r="C280" s="176"/>
      <c r="D280" s="176"/>
      <c r="E280" s="176"/>
      <c r="F280" s="176"/>
      <c r="G280" s="176"/>
      <c r="H280" s="176"/>
      <c r="I280" s="126"/>
      <c r="J280" s="126"/>
      <c r="K280" s="126"/>
      <c r="L280" s="126"/>
      <c r="M280" s="126"/>
      <c r="N280" s="126"/>
      <c r="O280" s="126"/>
      <c r="P280" s="126"/>
      <c r="Q280" s="126"/>
      <c r="R280" s="126"/>
      <c r="S280" s="126"/>
      <c r="T280" s="126"/>
      <c r="U280" s="126"/>
      <c r="V280" s="126"/>
      <c r="W280" s="126"/>
      <c r="X280" s="126"/>
      <c r="Y280" s="126"/>
      <c r="Z280" s="126"/>
      <c r="AA280" s="126"/>
      <c r="AB280" s="126"/>
    </row>
    <row r="281" spans="1:28" ht="15.75" customHeight="1">
      <c r="A281" s="126"/>
      <c r="B281" s="126"/>
      <c r="C281" s="176"/>
      <c r="D281" s="176"/>
      <c r="E281" s="176"/>
      <c r="F281" s="176"/>
      <c r="G281" s="176"/>
      <c r="H281" s="176"/>
      <c r="I281" s="126"/>
      <c r="J281" s="126"/>
      <c r="K281" s="126"/>
      <c r="L281" s="126"/>
      <c r="M281" s="126"/>
      <c r="N281" s="126"/>
      <c r="O281" s="126"/>
      <c r="P281" s="126"/>
      <c r="Q281" s="126"/>
      <c r="R281" s="126"/>
      <c r="S281" s="126"/>
      <c r="T281" s="126"/>
      <c r="U281" s="126"/>
      <c r="V281" s="126"/>
      <c r="W281" s="126"/>
      <c r="X281" s="126"/>
      <c r="Y281" s="126"/>
      <c r="Z281" s="126"/>
      <c r="AA281" s="126"/>
      <c r="AB281" s="126"/>
    </row>
    <row r="282" spans="1:28" ht="15.75" customHeight="1">
      <c r="A282" s="126"/>
      <c r="B282" s="126"/>
      <c r="C282" s="176"/>
      <c r="D282" s="176"/>
      <c r="E282" s="176"/>
      <c r="F282" s="176"/>
      <c r="G282" s="176"/>
      <c r="H282" s="176"/>
      <c r="I282" s="126"/>
      <c r="J282" s="126"/>
      <c r="K282" s="126"/>
      <c r="L282" s="126"/>
      <c r="M282" s="126"/>
      <c r="N282" s="126"/>
      <c r="O282" s="126"/>
      <c r="P282" s="126"/>
      <c r="Q282" s="126"/>
      <c r="R282" s="126"/>
      <c r="S282" s="126"/>
      <c r="T282" s="126"/>
      <c r="U282" s="126"/>
      <c r="V282" s="126"/>
      <c r="W282" s="126"/>
      <c r="X282" s="126"/>
      <c r="Y282" s="126"/>
      <c r="Z282" s="126"/>
      <c r="AA282" s="126"/>
      <c r="AB282" s="126"/>
    </row>
    <row r="283" spans="1:28" ht="15.75" customHeight="1">
      <c r="A283" s="126"/>
      <c r="B283" s="126"/>
      <c r="C283" s="176"/>
      <c r="D283" s="176"/>
      <c r="E283" s="176"/>
      <c r="F283" s="176"/>
      <c r="G283" s="176"/>
      <c r="H283" s="176"/>
      <c r="I283" s="126"/>
      <c r="J283" s="126"/>
      <c r="K283" s="126"/>
      <c r="L283" s="126"/>
      <c r="M283" s="126"/>
      <c r="N283" s="126"/>
      <c r="O283" s="126"/>
      <c r="P283" s="126"/>
      <c r="Q283" s="126"/>
      <c r="R283" s="126"/>
      <c r="S283" s="126"/>
      <c r="T283" s="126"/>
      <c r="U283" s="126"/>
      <c r="V283" s="126"/>
      <c r="W283" s="126"/>
      <c r="X283" s="126"/>
      <c r="Y283" s="126"/>
      <c r="Z283" s="126"/>
      <c r="AA283" s="126"/>
      <c r="AB283" s="126"/>
    </row>
    <row r="284" spans="1:28" ht="15.75" customHeight="1">
      <c r="A284" s="126"/>
      <c r="B284" s="126"/>
      <c r="C284" s="176"/>
      <c r="D284" s="176"/>
      <c r="E284" s="176"/>
      <c r="F284" s="176"/>
      <c r="G284" s="176"/>
      <c r="H284" s="176"/>
      <c r="I284" s="126"/>
      <c r="J284" s="126"/>
      <c r="K284" s="126"/>
      <c r="L284" s="126"/>
      <c r="M284" s="126"/>
      <c r="N284" s="126"/>
      <c r="O284" s="126"/>
      <c r="P284" s="126"/>
      <c r="Q284" s="126"/>
      <c r="R284" s="126"/>
      <c r="S284" s="126"/>
      <c r="T284" s="126"/>
      <c r="U284" s="126"/>
      <c r="V284" s="126"/>
      <c r="W284" s="126"/>
      <c r="X284" s="126"/>
      <c r="Y284" s="126"/>
      <c r="Z284" s="126"/>
      <c r="AA284" s="126"/>
      <c r="AB284" s="126"/>
    </row>
    <row r="285" spans="1:28" ht="15.75" customHeight="1">
      <c r="A285" s="126"/>
      <c r="B285" s="126"/>
      <c r="C285" s="176"/>
      <c r="D285" s="176"/>
      <c r="E285" s="176"/>
      <c r="F285" s="176"/>
      <c r="G285" s="176"/>
      <c r="H285" s="176"/>
      <c r="I285" s="126"/>
      <c r="J285" s="126"/>
      <c r="K285" s="126"/>
      <c r="L285" s="126"/>
      <c r="M285" s="126"/>
      <c r="N285" s="126"/>
      <c r="O285" s="126"/>
      <c r="P285" s="126"/>
      <c r="Q285" s="126"/>
      <c r="R285" s="126"/>
      <c r="S285" s="126"/>
      <c r="T285" s="126"/>
      <c r="U285" s="126"/>
      <c r="V285" s="126"/>
      <c r="W285" s="126"/>
      <c r="X285" s="126"/>
      <c r="Y285" s="126"/>
      <c r="Z285" s="126"/>
      <c r="AA285" s="126"/>
      <c r="AB285" s="126"/>
    </row>
    <row r="286" spans="1:28" ht="15.75" customHeight="1">
      <c r="A286" s="126"/>
      <c r="B286" s="126"/>
      <c r="C286" s="176"/>
      <c r="D286" s="176"/>
      <c r="E286" s="176"/>
      <c r="F286" s="176"/>
      <c r="G286" s="176"/>
      <c r="H286" s="176"/>
      <c r="I286" s="126"/>
      <c r="J286" s="126"/>
      <c r="K286" s="126"/>
      <c r="L286" s="126"/>
      <c r="M286" s="126"/>
      <c r="N286" s="126"/>
      <c r="O286" s="126"/>
      <c r="P286" s="126"/>
      <c r="Q286" s="126"/>
      <c r="R286" s="126"/>
      <c r="S286" s="126"/>
      <c r="T286" s="126"/>
      <c r="U286" s="126"/>
      <c r="V286" s="126"/>
      <c r="W286" s="126"/>
      <c r="X286" s="126"/>
      <c r="Y286" s="126"/>
      <c r="Z286" s="126"/>
      <c r="AA286" s="126"/>
      <c r="AB286" s="126"/>
    </row>
    <row r="287" spans="1:28" ht="15.75" customHeight="1">
      <c r="A287" s="126"/>
      <c r="B287" s="126"/>
      <c r="C287" s="176"/>
      <c r="D287" s="176"/>
      <c r="E287" s="176"/>
      <c r="F287" s="176"/>
      <c r="G287" s="176"/>
      <c r="H287" s="176"/>
      <c r="I287" s="126"/>
      <c r="J287" s="126"/>
      <c r="K287" s="126"/>
      <c r="L287" s="126"/>
      <c r="M287" s="126"/>
      <c r="N287" s="126"/>
      <c r="O287" s="126"/>
      <c r="P287" s="126"/>
      <c r="Q287" s="126"/>
      <c r="R287" s="126"/>
      <c r="S287" s="126"/>
      <c r="T287" s="126"/>
      <c r="U287" s="126"/>
      <c r="V287" s="126"/>
      <c r="W287" s="126"/>
      <c r="X287" s="126"/>
      <c r="Y287" s="126"/>
      <c r="Z287" s="126"/>
      <c r="AA287" s="126"/>
      <c r="AB287" s="126"/>
    </row>
    <row r="288" spans="1:28" ht="15.75" customHeight="1">
      <c r="A288" s="126"/>
      <c r="B288" s="126"/>
      <c r="C288" s="176"/>
      <c r="D288" s="176"/>
      <c r="E288" s="176"/>
      <c r="F288" s="176"/>
      <c r="G288" s="176"/>
      <c r="H288" s="176"/>
      <c r="I288" s="126"/>
      <c r="J288" s="126"/>
      <c r="K288" s="126"/>
      <c r="L288" s="126"/>
      <c r="M288" s="126"/>
      <c r="N288" s="126"/>
      <c r="O288" s="126"/>
      <c r="P288" s="126"/>
      <c r="Q288" s="126"/>
      <c r="R288" s="126"/>
      <c r="S288" s="126"/>
      <c r="T288" s="126"/>
      <c r="U288" s="126"/>
      <c r="V288" s="126"/>
      <c r="W288" s="126"/>
      <c r="X288" s="126"/>
      <c r="Y288" s="126"/>
      <c r="Z288" s="126"/>
      <c r="AA288" s="126"/>
      <c r="AB288" s="126"/>
    </row>
    <row r="289" spans="1:28" ht="15.75" customHeight="1">
      <c r="A289" s="126"/>
      <c r="B289" s="126"/>
      <c r="C289" s="176"/>
      <c r="D289" s="176"/>
      <c r="E289" s="176"/>
      <c r="F289" s="176"/>
      <c r="G289" s="176"/>
      <c r="H289" s="176"/>
      <c r="I289" s="126"/>
      <c r="J289" s="126"/>
      <c r="K289" s="126"/>
      <c r="L289" s="126"/>
      <c r="M289" s="126"/>
      <c r="N289" s="126"/>
      <c r="O289" s="126"/>
      <c r="P289" s="126"/>
      <c r="Q289" s="126"/>
      <c r="R289" s="126"/>
      <c r="S289" s="126"/>
      <c r="T289" s="126"/>
      <c r="U289" s="126"/>
      <c r="V289" s="126"/>
      <c r="W289" s="126"/>
      <c r="X289" s="126"/>
      <c r="Y289" s="126"/>
      <c r="Z289" s="126"/>
      <c r="AA289" s="126"/>
      <c r="AB289" s="126"/>
    </row>
    <row r="290" spans="1:28" ht="15.75" customHeight="1">
      <c r="A290" s="126"/>
      <c r="B290" s="126"/>
      <c r="C290" s="176"/>
      <c r="D290" s="176"/>
      <c r="E290" s="176"/>
      <c r="F290" s="176"/>
      <c r="G290" s="176"/>
      <c r="H290" s="176"/>
      <c r="I290" s="126"/>
      <c r="J290" s="126"/>
      <c r="K290" s="126"/>
      <c r="L290" s="126"/>
      <c r="M290" s="126"/>
      <c r="N290" s="126"/>
      <c r="O290" s="126"/>
      <c r="P290" s="126"/>
      <c r="Q290" s="126"/>
      <c r="R290" s="126"/>
      <c r="S290" s="126"/>
      <c r="T290" s="126"/>
      <c r="U290" s="126"/>
      <c r="V290" s="126"/>
      <c r="W290" s="126"/>
      <c r="X290" s="126"/>
      <c r="Y290" s="126"/>
      <c r="Z290" s="126"/>
      <c r="AA290" s="126"/>
      <c r="AB290" s="126"/>
    </row>
    <row r="291" spans="1:28" ht="15.75" customHeight="1">
      <c r="A291" s="126"/>
      <c r="B291" s="126"/>
      <c r="C291" s="176"/>
      <c r="D291" s="176"/>
      <c r="E291" s="176"/>
      <c r="F291" s="176"/>
      <c r="G291" s="176"/>
      <c r="H291" s="176"/>
      <c r="I291" s="126"/>
      <c r="J291" s="126"/>
      <c r="K291" s="126"/>
      <c r="L291" s="126"/>
      <c r="M291" s="126"/>
      <c r="N291" s="126"/>
      <c r="O291" s="126"/>
      <c r="P291" s="126"/>
      <c r="Q291" s="126"/>
      <c r="R291" s="126"/>
      <c r="S291" s="126"/>
      <c r="T291" s="126"/>
      <c r="U291" s="126"/>
      <c r="V291" s="126"/>
      <c r="W291" s="126"/>
      <c r="X291" s="126"/>
      <c r="Y291" s="126"/>
      <c r="Z291" s="126"/>
      <c r="AA291" s="126"/>
      <c r="AB291" s="126"/>
    </row>
    <row r="292" spans="1:28" ht="15.75" customHeight="1">
      <c r="A292" s="126"/>
      <c r="B292" s="126"/>
      <c r="C292" s="176"/>
      <c r="D292" s="176"/>
      <c r="E292" s="176"/>
      <c r="F292" s="176"/>
      <c r="G292" s="176"/>
      <c r="H292" s="176"/>
      <c r="I292" s="126"/>
      <c r="J292" s="126"/>
      <c r="K292" s="126"/>
      <c r="L292" s="126"/>
      <c r="M292" s="126"/>
      <c r="N292" s="126"/>
      <c r="O292" s="126"/>
      <c r="P292" s="126"/>
      <c r="Q292" s="126"/>
      <c r="R292" s="126"/>
      <c r="S292" s="126"/>
      <c r="T292" s="126"/>
      <c r="U292" s="126"/>
      <c r="V292" s="126"/>
      <c r="W292" s="126"/>
      <c r="X292" s="126"/>
      <c r="Y292" s="126"/>
      <c r="Z292" s="126"/>
      <c r="AA292" s="126"/>
      <c r="AB292" s="126"/>
    </row>
    <row r="293" spans="1:28" ht="15.75" customHeight="1">
      <c r="A293" s="126"/>
      <c r="B293" s="126"/>
      <c r="C293" s="176"/>
      <c r="D293" s="176"/>
      <c r="E293" s="176"/>
      <c r="F293" s="176"/>
      <c r="G293" s="176"/>
      <c r="H293" s="176"/>
      <c r="I293" s="126"/>
      <c r="J293" s="126"/>
      <c r="K293" s="126"/>
      <c r="L293" s="126"/>
      <c r="M293" s="126"/>
      <c r="N293" s="126"/>
      <c r="O293" s="126"/>
      <c r="P293" s="126"/>
      <c r="Q293" s="126"/>
      <c r="R293" s="126"/>
      <c r="S293" s="126"/>
      <c r="T293" s="126"/>
      <c r="U293" s="126"/>
      <c r="V293" s="126"/>
      <c r="W293" s="126"/>
      <c r="X293" s="126"/>
      <c r="Y293" s="126"/>
      <c r="Z293" s="126"/>
      <c r="AA293" s="126"/>
      <c r="AB293" s="126"/>
    </row>
    <row r="294" spans="1:28" ht="15.75" customHeight="1">
      <c r="A294" s="126"/>
      <c r="B294" s="126"/>
      <c r="C294" s="176"/>
      <c r="D294" s="176"/>
      <c r="E294" s="176"/>
      <c r="F294" s="176"/>
      <c r="G294" s="176"/>
      <c r="H294" s="176"/>
      <c r="I294" s="126"/>
      <c r="J294" s="126"/>
      <c r="K294" s="126"/>
      <c r="L294" s="126"/>
      <c r="M294" s="126"/>
      <c r="N294" s="126"/>
      <c r="O294" s="126"/>
      <c r="P294" s="126"/>
      <c r="Q294" s="126"/>
      <c r="R294" s="126"/>
      <c r="S294" s="126"/>
      <c r="T294" s="126"/>
      <c r="U294" s="126"/>
      <c r="V294" s="126"/>
      <c r="W294" s="126"/>
      <c r="X294" s="126"/>
      <c r="Y294" s="126"/>
      <c r="Z294" s="126"/>
      <c r="AA294" s="126"/>
      <c r="AB294" s="126"/>
    </row>
    <row r="295" spans="1:28" ht="15.75" customHeight="1">
      <c r="A295" s="126"/>
      <c r="B295" s="126"/>
      <c r="C295" s="176"/>
      <c r="D295" s="176"/>
      <c r="E295" s="176"/>
      <c r="F295" s="176"/>
      <c r="G295" s="176"/>
      <c r="H295" s="176"/>
      <c r="I295" s="126"/>
      <c r="J295" s="126"/>
      <c r="K295" s="126"/>
      <c r="L295" s="126"/>
      <c r="M295" s="126"/>
      <c r="N295" s="126"/>
      <c r="O295" s="126"/>
      <c r="P295" s="126"/>
      <c r="Q295" s="126"/>
      <c r="R295" s="126"/>
      <c r="S295" s="126"/>
      <c r="T295" s="126"/>
      <c r="U295" s="126"/>
      <c r="V295" s="126"/>
      <c r="W295" s="126"/>
      <c r="X295" s="126"/>
      <c r="Y295" s="126"/>
      <c r="Z295" s="126"/>
      <c r="AA295" s="126"/>
      <c r="AB295" s="126"/>
    </row>
    <row r="296" spans="1:28" ht="15.75" customHeight="1">
      <c r="A296" s="126"/>
      <c r="B296" s="126"/>
      <c r="C296" s="176"/>
      <c r="D296" s="176"/>
      <c r="E296" s="176"/>
      <c r="F296" s="176"/>
      <c r="G296" s="176"/>
      <c r="H296" s="176"/>
      <c r="I296" s="126"/>
      <c r="J296" s="126"/>
      <c r="K296" s="126"/>
      <c r="L296" s="126"/>
      <c r="M296" s="126"/>
      <c r="N296" s="126"/>
      <c r="O296" s="126"/>
      <c r="P296" s="126"/>
      <c r="Q296" s="126"/>
      <c r="R296" s="126"/>
      <c r="S296" s="126"/>
      <c r="T296" s="126"/>
      <c r="U296" s="126"/>
      <c r="V296" s="126"/>
      <c r="W296" s="126"/>
      <c r="X296" s="126"/>
      <c r="Y296" s="126"/>
      <c r="Z296" s="126"/>
      <c r="AA296" s="126"/>
      <c r="AB296" s="126"/>
    </row>
    <row r="297" spans="1:28" ht="15.75" customHeight="1">
      <c r="A297" s="126"/>
      <c r="B297" s="126"/>
      <c r="C297" s="176"/>
      <c r="D297" s="176"/>
      <c r="E297" s="176"/>
      <c r="F297" s="176"/>
      <c r="G297" s="176"/>
      <c r="H297" s="176"/>
      <c r="I297" s="126"/>
      <c r="J297" s="126"/>
      <c r="K297" s="126"/>
      <c r="L297" s="126"/>
      <c r="M297" s="126"/>
      <c r="N297" s="126"/>
      <c r="O297" s="126"/>
      <c r="P297" s="126"/>
      <c r="Q297" s="126"/>
      <c r="R297" s="126"/>
      <c r="S297" s="126"/>
      <c r="T297" s="126"/>
      <c r="U297" s="126"/>
      <c r="V297" s="126"/>
      <c r="W297" s="126"/>
      <c r="X297" s="126"/>
      <c r="Y297" s="126"/>
      <c r="Z297" s="126"/>
      <c r="AA297" s="126"/>
      <c r="AB297" s="126"/>
    </row>
    <row r="298" spans="1:28" ht="15.75" customHeight="1">
      <c r="A298" s="126"/>
      <c r="B298" s="126"/>
      <c r="C298" s="176"/>
      <c r="D298" s="176"/>
      <c r="E298" s="176"/>
      <c r="F298" s="176"/>
      <c r="G298" s="176"/>
      <c r="H298" s="176"/>
      <c r="I298" s="126"/>
      <c r="J298" s="126"/>
      <c r="K298" s="126"/>
      <c r="L298" s="126"/>
      <c r="M298" s="126"/>
      <c r="N298" s="126"/>
      <c r="O298" s="126"/>
      <c r="P298" s="126"/>
      <c r="Q298" s="126"/>
      <c r="R298" s="126"/>
      <c r="S298" s="126"/>
      <c r="T298" s="126"/>
      <c r="U298" s="126"/>
      <c r="V298" s="126"/>
      <c r="W298" s="126"/>
      <c r="X298" s="126"/>
      <c r="Y298" s="126"/>
      <c r="Z298" s="126"/>
      <c r="AA298" s="126"/>
      <c r="AB298" s="126"/>
    </row>
    <row r="299" spans="1:28" ht="15.75" customHeight="1">
      <c r="A299" s="126"/>
      <c r="B299" s="126"/>
      <c r="C299" s="176"/>
      <c r="D299" s="176"/>
      <c r="E299" s="176"/>
      <c r="F299" s="176"/>
      <c r="G299" s="176"/>
      <c r="H299" s="176"/>
      <c r="I299" s="126"/>
      <c r="J299" s="126"/>
      <c r="K299" s="126"/>
      <c r="L299" s="126"/>
      <c r="M299" s="126"/>
      <c r="N299" s="126"/>
      <c r="O299" s="126"/>
      <c r="P299" s="126"/>
      <c r="Q299" s="126"/>
      <c r="R299" s="126"/>
      <c r="S299" s="126"/>
      <c r="T299" s="126"/>
      <c r="U299" s="126"/>
      <c r="V299" s="126"/>
      <c r="W299" s="126"/>
      <c r="X299" s="126"/>
      <c r="Y299" s="126"/>
      <c r="Z299" s="126"/>
      <c r="AA299" s="126"/>
      <c r="AB299" s="126"/>
    </row>
    <row r="300" spans="1:28" ht="15.75" customHeight="1">
      <c r="A300" s="126"/>
      <c r="B300" s="126"/>
      <c r="C300" s="176"/>
      <c r="D300" s="176"/>
      <c r="E300" s="176"/>
      <c r="F300" s="176"/>
      <c r="G300" s="176"/>
      <c r="H300" s="176"/>
      <c r="I300" s="126"/>
      <c r="J300" s="126"/>
      <c r="K300" s="126"/>
      <c r="L300" s="126"/>
      <c r="M300" s="126"/>
      <c r="N300" s="126"/>
      <c r="O300" s="126"/>
      <c r="P300" s="126"/>
      <c r="Q300" s="126"/>
      <c r="R300" s="126"/>
      <c r="S300" s="126"/>
      <c r="T300" s="126"/>
      <c r="U300" s="126"/>
      <c r="V300" s="126"/>
      <c r="W300" s="126"/>
      <c r="X300" s="126"/>
      <c r="Y300" s="126"/>
      <c r="Z300" s="126"/>
      <c r="AA300" s="126"/>
      <c r="AB300" s="126"/>
    </row>
    <row r="301" spans="1:28" ht="15.75" customHeight="1">
      <c r="A301" s="126"/>
      <c r="B301" s="126"/>
      <c r="C301" s="176"/>
      <c r="D301" s="176"/>
      <c r="E301" s="176"/>
      <c r="F301" s="176"/>
      <c r="G301" s="176"/>
      <c r="H301" s="176"/>
      <c r="I301" s="126"/>
      <c r="J301" s="126"/>
      <c r="K301" s="126"/>
      <c r="L301" s="126"/>
      <c r="M301" s="126"/>
      <c r="N301" s="126"/>
      <c r="O301" s="126"/>
      <c r="P301" s="126"/>
      <c r="Q301" s="126"/>
      <c r="R301" s="126"/>
      <c r="S301" s="126"/>
      <c r="T301" s="126"/>
      <c r="U301" s="126"/>
      <c r="V301" s="126"/>
      <c r="W301" s="126"/>
      <c r="X301" s="126"/>
      <c r="Y301" s="126"/>
      <c r="Z301" s="126"/>
      <c r="AA301" s="126"/>
      <c r="AB301" s="126"/>
    </row>
    <row r="302" spans="1:28" ht="15.75" customHeight="1">
      <c r="A302" s="126"/>
      <c r="B302" s="126"/>
      <c r="C302" s="176"/>
      <c r="D302" s="176"/>
      <c r="E302" s="176"/>
      <c r="F302" s="176"/>
      <c r="G302" s="176"/>
      <c r="H302" s="176"/>
      <c r="I302" s="126"/>
      <c r="J302" s="126"/>
      <c r="K302" s="126"/>
      <c r="L302" s="126"/>
      <c r="M302" s="126"/>
      <c r="N302" s="126"/>
      <c r="O302" s="126"/>
      <c r="P302" s="126"/>
      <c r="Q302" s="126"/>
      <c r="R302" s="126"/>
      <c r="S302" s="126"/>
      <c r="T302" s="126"/>
      <c r="U302" s="126"/>
      <c r="V302" s="126"/>
      <c r="W302" s="126"/>
      <c r="X302" s="126"/>
      <c r="Y302" s="126"/>
      <c r="Z302" s="126"/>
      <c r="AA302" s="126"/>
      <c r="AB302" s="126"/>
    </row>
    <row r="303" spans="1:28" ht="15.75" customHeight="1">
      <c r="A303" s="126"/>
      <c r="B303" s="126"/>
      <c r="C303" s="176"/>
      <c r="D303" s="176"/>
      <c r="E303" s="176"/>
      <c r="F303" s="176"/>
      <c r="G303" s="176"/>
      <c r="H303" s="176"/>
      <c r="I303" s="126"/>
      <c r="J303" s="126"/>
      <c r="K303" s="126"/>
      <c r="L303" s="126"/>
      <c r="M303" s="126"/>
      <c r="N303" s="126"/>
      <c r="O303" s="126"/>
      <c r="P303" s="126"/>
      <c r="Q303" s="126"/>
      <c r="R303" s="126"/>
      <c r="S303" s="126"/>
      <c r="T303" s="126"/>
      <c r="U303" s="126"/>
      <c r="V303" s="126"/>
      <c r="W303" s="126"/>
      <c r="X303" s="126"/>
      <c r="Y303" s="126"/>
      <c r="Z303" s="126"/>
      <c r="AA303" s="126"/>
      <c r="AB303" s="126"/>
    </row>
    <row r="304" spans="1:28" ht="15.75" customHeight="1">
      <c r="A304" s="126"/>
      <c r="B304" s="126"/>
      <c r="C304" s="176"/>
      <c r="D304" s="176"/>
      <c r="E304" s="176"/>
      <c r="F304" s="176"/>
      <c r="G304" s="176"/>
      <c r="H304" s="176"/>
      <c r="I304" s="126"/>
      <c r="J304" s="126"/>
      <c r="K304" s="126"/>
      <c r="L304" s="126"/>
      <c r="M304" s="126"/>
      <c r="N304" s="126"/>
      <c r="O304" s="126"/>
      <c r="P304" s="126"/>
      <c r="Q304" s="126"/>
      <c r="R304" s="126"/>
      <c r="S304" s="126"/>
      <c r="T304" s="126"/>
      <c r="U304" s="126"/>
      <c r="V304" s="126"/>
      <c r="W304" s="126"/>
      <c r="X304" s="126"/>
      <c r="Y304" s="126"/>
      <c r="Z304" s="126"/>
      <c r="AA304" s="126"/>
      <c r="AB304" s="126"/>
    </row>
    <row r="305" spans="1:28" ht="15.75" customHeight="1">
      <c r="A305" s="126"/>
      <c r="B305" s="126"/>
      <c r="C305" s="176"/>
      <c r="D305" s="176"/>
      <c r="E305" s="176"/>
      <c r="F305" s="176"/>
      <c r="G305" s="176"/>
      <c r="H305" s="176"/>
      <c r="I305" s="126"/>
      <c r="J305" s="126"/>
      <c r="K305" s="126"/>
      <c r="L305" s="126"/>
      <c r="M305" s="126"/>
      <c r="N305" s="126"/>
      <c r="O305" s="126"/>
      <c r="P305" s="126"/>
      <c r="Q305" s="126"/>
      <c r="R305" s="126"/>
      <c r="S305" s="126"/>
      <c r="T305" s="126"/>
      <c r="U305" s="126"/>
      <c r="V305" s="126"/>
      <c r="W305" s="126"/>
      <c r="X305" s="126"/>
      <c r="Y305" s="126"/>
      <c r="Z305" s="126"/>
      <c r="AA305" s="126"/>
      <c r="AB305" s="126"/>
    </row>
    <row r="306" spans="1:28" ht="15.75" customHeight="1">
      <c r="A306" s="126"/>
      <c r="B306" s="126"/>
      <c r="C306" s="176"/>
      <c r="D306" s="176"/>
      <c r="E306" s="176"/>
      <c r="F306" s="176"/>
      <c r="G306" s="176"/>
      <c r="H306" s="176"/>
      <c r="I306" s="126"/>
      <c r="J306" s="126"/>
      <c r="K306" s="126"/>
      <c r="L306" s="126"/>
      <c r="M306" s="126"/>
      <c r="N306" s="126"/>
      <c r="O306" s="126"/>
      <c r="P306" s="126"/>
      <c r="Q306" s="126"/>
      <c r="R306" s="126"/>
      <c r="S306" s="126"/>
      <c r="T306" s="126"/>
      <c r="U306" s="126"/>
      <c r="V306" s="126"/>
      <c r="W306" s="126"/>
      <c r="X306" s="126"/>
      <c r="Y306" s="126"/>
      <c r="Z306" s="126"/>
      <c r="AA306" s="126"/>
      <c r="AB306" s="126"/>
    </row>
    <row r="307" spans="1:28" ht="15.75" customHeight="1">
      <c r="A307" s="126"/>
      <c r="B307" s="126"/>
      <c r="C307" s="176"/>
      <c r="D307" s="176"/>
      <c r="E307" s="176"/>
      <c r="F307" s="176"/>
      <c r="G307" s="176"/>
      <c r="H307" s="176"/>
      <c r="I307" s="126"/>
      <c r="J307" s="126"/>
      <c r="K307" s="126"/>
      <c r="L307" s="126"/>
      <c r="M307" s="126"/>
      <c r="N307" s="126"/>
      <c r="O307" s="126"/>
      <c r="P307" s="126"/>
      <c r="Q307" s="126"/>
      <c r="R307" s="126"/>
      <c r="S307" s="126"/>
      <c r="T307" s="126"/>
      <c r="U307" s="126"/>
      <c r="V307" s="126"/>
      <c r="W307" s="126"/>
      <c r="X307" s="126"/>
      <c r="Y307" s="126"/>
      <c r="Z307" s="126"/>
      <c r="AA307" s="126"/>
      <c r="AB307" s="126"/>
    </row>
    <row r="308" spans="1:28" ht="15.75" customHeight="1">
      <c r="A308" s="126"/>
      <c r="B308" s="126"/>
      <c r="C308" s="176"/>
      <c r="D308" s="176"/>
      <c r="E308" s="176"/>
      <c r="F308" s="176"/>
      <c r="G308" s="176"/>
      <c r="H308" s="176"/>
      <c r="I308" s="126"/>
      <c r="J308" s="126"/>
      <c r="K308" s="126"/>
      <c r="L308" s="126"/>
      <c r="M308" s="126"/>
      <c r="N308" s="126"/>
      <c r="O308" s="126"/>
      <c r="P308" s="126"/>
      <c r="Q308" s="126"/>
      <c r="R308" s="126"/>
      <c r="S308" s="126"/>
      <c r="T308" s="126"/>
      <c r="U308" s="126"/>
      <c r="V308" s="126"/>
      <c r="W308" s="126"/>
      <c r="X308" s="126"/>
      <c r="Y308" s="126"/>
      <c r="Z308" s="126"/>
      <c r="AA308" s="126"/>
      <c r="AB308" s="126"/>
    </row>
    <row r="309" spans="1:28" ht="15.75" customHeight="1">
      <c r="A309" s="126"/>
      <c r="B309" s="126"/>
      <c r="C309" s="176"/>
      <c r="D309" s="176"/>
      <c r="E309" s="176"/>
      <c r="F309" s="176"/>
      <c r="G309" s="176"/>
      <c r="H309" s="176"/>
      <c r="I309" s="126"/>
      <c r="J309" s="126"/>
      <c r="K309" s="126"/>
      <c r="L309" s="126"/>
      <c r="M309" s="126"/>
      <c r="N309" s="126"/>
      <c r="O309" s="126"/>
      <c r="P309" s="126"/>
      <c r="Q309" s="126"/>
      <c r="R309" s="126"/>
      <c r="S309" s="126"/>
      <c r="T309" s="126"/>
      <c r="U309" s="126"/>
      <c r="V309" s="126"/>
      <c r="W309" s="126"/>
      <c r="X309" s="126"/>
      <c r="Y309" s="126"/>
      <c r="Z309" s="126"/>
      <c r="AA309" s="126"/>
      <c r="AB309" s="126"/>
    </row>
    <row r="310" spans="1:28" ht="15.75" customHeight="1">
      <c r="A310" s="126"/>
      <c r="B310" s="126"/>
      <c r="C310" s="176"/>
      <c r="D310" s="176"/>
      <c r="E310" s="176"/>
      <c r="F310" s="176"/>
      <c r="G310" s="176"/>
      <c r="H310" s="176"/>
      <c r="I310" s="126"/>
      <c r="J310" s="126"/>
      <c r="K310" s="126"/>
      <c r="L310" s="126"/>
      <c r="M310" s="126"/>
      <c r="N310" s="126"/>
      <c r="O310" s="126"/>
      <c r="P310" s="126"/>
      <c r="Q310" s="126"/>
      <c r="R310" s="126"/>
      <c r="S310" s="126"/>
      <c r="T310" s="126"/>
      <c r="U310" s="126"/>
      <c r="V310" s="126"/>
      <c r="W310" s="126"/>
      <c r="X310" s="126"/>
      <c r="Y310" s="126"/>
      <c r="Z310" s="126"/>
      <c r="AA310" s="126"/>
      <c r="AB310" s="126"/>
    </row>
    <row r="311" spans="1:28" ht="15.75" customHeight="1">
      <c r="A311" s="126"/>
      <c r="B311" s="126"/>
      <c r="C311" s="176"/>
      <c r="D311" s="176"/>
      <c r="E311" s="176"/>
      <c r="F311" s="176"/>
      <c r="G311" s="176"/>
      <c r="H311" s="176"/>
      <c r="I311" s="126"/>
      <c r="J311" s="126"/>
      <c r="K311" s="126"/>
      <c r="L311" s="126"/>
      <c r="M311" s="126"/>
      <c r="N311" s="126"/>
      <c r="O311" s="126"/>
      <c r="P311" s="126"/>
      <c r="Q311" s="126"/>
      <c r="R311" s="126"/>
      <c r="S311" s="126"/>
      <c r="T311" s="126"/>
      <c r="U311" s="126"/>
      <c r="V311" s="126"/>
      <c r="W311" s="126"/>
      <c r="X311" s="126"/>
      <c r="Y311" s="126"/>
      <c r="Z311" s="126"/>
      <c r="AA311" s="126"/>
      <c r="AB311" s="126"/>
    </row>
    <row r="312" spans="1:28" ht="15.75" customHeight="1">
      <c r="A312" s="126"/>
      <c r="B312" s="126"/>
      <c r="C312" s="176"/>
      <c r="D312" s="176"/>
      <c r="E312" s="176"/>
      <c r="F312" s="176"/>
      <c r="G312" s="176"/>
      <c r="H312" s="176"/>
      <c r="I312" s="126"/>
      <c r="J312" s="126"/>
      <c r="K312" s="126"/>
      <c r="L312" s="126"/>
      <c r="M312" s="126"/>
      <c r="N312" s="126"/>
      <c r="O312" s="126"/>
      <c r="P312" s="126"/>
      <c r="Q312" s="126"/>
      <c r="R312" s="126"/>
      <c r="S312" s="126"/>
      <c r="T312" s="126"/>
      <c r="U312" s="126"/>
      <c r="V312" s="126"/>
      <c r="W312" s="126"/>
      <c r="X312" s="126"/>
      <c r="Y312" s="126"/>
      <c r="Z312" s="126"/>
      <c r="AA312" s="126"/>
      <c r="AB312" s="126"/>
    </row>
    <row r="313" spans="1:28" ht="15.75" customHeight="1">
      <c r="A313" s="126"/>
      <c r="B313" s="126"/>
      <c r="C313" s="176"/>
      <c r="D313" s="176"/>
      <c r="E313" s="176"/>
      <c r="F313" s="176"/>
      <c r="G313" s="176"/>
      <c r="H313" s="176"/>
      <c r="I313" s="126"/>
      <c r="J313" s="126"/>
      <c r="K313" s="126"/>
      <c r="L313" s="126"/>
      <c r="M313" s="126"/>
      <c r="N313" s="126"/>
      <c r="O313" s="126"/>
      <c r="P313" s="126"/>
      <c r="Q313" s="126"/>
      <c r="R313" s="126"/>
      <c r="S313" s="126"/>
      <c r="T313" s="126"/>
      <c r="U313" s="126"/>
      <c r="V313" s="126"/>
      <c r="W313" s="126"/>
      <c r="X313" s="126"/>
      <c r="Y313" s="126"/>
      <c r="Z313" s="126"/>
      <c r="AA313" s="126"/>
      <c r="AB313" s="126"/>
    </row>
    <row r="314" spans="1:28" ht="15.75" customHeight="1">
      <c r="A314" s="126"/>
      <c r="B314" s="126"/>
      <c r="C314" s="176"/>
      <c r="D314" s="176"/>
      <c r="E314" s="176"/>
      <c r="F314" s="176"/>
      <c r="G314" s="176"/>
      <c r="H314" s="176"/>
      <c r="I314" s="126"/>
      <c r="J314" s="126"/>
      <c r="K314" s="126"/>
      <c r="L314" s="126"/>
      <c r="M314" s="126"/>
      <c r="N314" s="126"/>
      <c r="O314" s="126"/>
      <c r="P314" s="126"/>
      <c r="Q314" s="126"/>
      <c r="R314" s="126"/>
      <c r="S314" s="126"/>
      <c r="T314" s="126"/>
      <c r="U314" s="126"/>
      <c r="V314" s="126"/>
      <c r="W314" s="126"/>
      <c r="X314" s="126"/>
      <c r="Y314" s="126"/>
      <c r="Z314" s="126"/>
      <c r="AA314" s="126"/>
      <c r="AB314" s="126"/>
    </row>
    <row r="315" spans="1:28" ht="15.75" customHeight="1">
      <c r="A315" s="126"/>
      <c r="B315" s="126"/>
      <c r="C315" s="176"/>
      <c r="D315" s="176"/>
      <c r="E315" s="176"/>
      <c r="F315" s="176"/>
      <c r="G315" s="176"/>
      <c r="H315" s="176"/>
      <c r="I315" s="126"/>
      <c r="J315" s="126"/>
      <c r="K315" s="126"/>
      <c r="L315" s="126"/>
      <c r="M315" s="126"/>
      <c r="N315" s="126"/>
      <c r="O315" s="126"/>
      <c r="P315" s="126"/>
      <c r="Q315" s="126"/>
      <c r="R315" s="126"/>
      <c r="S315" s="126"/>
      <c r="T315" s="126"/>
      <c r="U315" s="126"/>
      <c r="V315" s="126"/>
      <c r="W315" s="126"/>
      <c r="X315" s="126"/>
      <c r="Y315" s="126"/>
      <c r="Z315" s="126"/>
      <c r="AA315" s="126"/>
      <c r="AB315" s="126"/>
    </row>
    <row r="316" spans="1:28" ht="15.75" customHeight="1">
      <c r="A316" s="126"/>
      <c r="B316" s="126"/>
      <c r="C316" s="176"/>
      <c r="D316" s="176"/>
      <c r="E316" s="176"/>
      <c r="F316" s="176"/>
      <c r="G316" s="176"/>
      <c r="H316" s="176"/>
      <c r="I316" s="126"/>
      <c r="J316" s="126"/>
      <c r="K316" s="126"/>
      <c r="L316" s="126"/>
      <c r="M316" s="126"/>
      <c r="N316" s="126"/>
      <c r="O316" s="126"/>
      <c r="P316" s="126"/>
      <c r="Q316" s="126"/>
      <c r="R316" s="126"/>
      <c r="S316" s="126"/>
      <c r="T316" s="126"/>
      <c r="U316" s="126"/>
      <c r="V316" s="126"/>
      <c r="W316" s="126"/>
      <c r="X316" s="126"/>
      <c r="Y316" s="126"/>
      <c r="Z316" s="126"/>
      <c r="AA316" s="126"/>
      <c r="AB316" s="126"/>
    </row>
    <row r="317" spans="1:28" ht="15.75" customHeight="1">
      <c r="A317" s="126"/>
      <c r="B317" s="126"/>
      <c r="C317" s="176"/>
      <c r="D317" s="176"/>
      <c r="E317" s="176"/>
      <c r="F317" s="176"/>
      <c r="G317" s="176"/>
      <c r="H317" s="176"/>
      <c r="I317" s="126"/>
      <c r="J317" s="126"/>
      <c r="K317" s="126"/>
      <c r="L317" s="126"/>
      <c r="M317" s="126"/>
      <c r="N317" s="126"/>
      <c r="O317" s="126"/>
      <c r="P317" s="126"/>
      <c r="Q317" s="126"/>
      <c r="R317" s="126"/>
      <c r="S317" s="126"/>
      <c r="T317" s="126"/>
      <c r="U317" s="126"/>
      <c r="V317" s="126"/>
      <c r="W317" s="126"/>
      <c r="X317" s="126"/>
      <c r="Y317" s="126"/>
      <c r="Z317" s="126"/>
      <c r="AA317" s="126"/>
      <c r="AB317" s="126"/>
    </row>
    <row r="318" spans="1:28" ht="15.75" customHeight="1">
      <c r="A318" s="126"/>
      <c r="B318" s="126"/>
      <c r="C318" s="176"/>
      <c r="D318" s="176"/>
      <c r="E318" s="176"/>
      <c r="F318" s="176"/>
      <c r="G318" s="176"/>
      <c r="H318" s="176"/>
      <c r="I318" s="126"/>
      <c r="J318" s="126"/>
      <c r="K318" s="126"/>
      <c r="L318" s="126"/>
      <c r="M318" s="126"/>
      <c r="N318" s="126"/>
      <c r="O318" s="126"/>
      <c r="P318" s="126"/>
      <c r="Q318" s="126"/>
      <c r="R318" s="126"/>
      <c r="S318" s="126"/>
      <c r="T318" s="126"/>
      <c r="U318" s="126"/>
      <c r="V318" s="126"/>
      <c r="W318" s="126"/>
      <c r="X318" s="126"/>
      <c r="Y318" s="126"/>
      <c r="Z318" s="126"/>
      <c r="AA318" s="126"/>
      <c r="AB318" s="126"/>
    </row>
    <row r="319" spans="1:28" ht="15.75" customHeight="1">
      <c r="A319" s="126"/>
      <c r="B319" s="126"/>
      <c r="C319" s="176"/>
      <c r="D319" s="176"/>
      <c r="E319" s="176"/>
      <c r="F319" s="176"/>
      <c r="G319" s="176"/>
      <c r="H319" s="176"/>
      <c r="I319" s="126"/>
      <c r="J319" s="126"/>
      <c r="K319" s="126"/>
      <c r="L319" s="126"/>
      <c r="M319" s="126"/>
      <c r="N319" s="126"/>
      <c r="O319" s="126"/>
      <c r="P319" s="126"/>
      <c r="Q319" s="126"/>
      <c r="R319" s="126"/>
      <c r="S319" s="126"/>
      <c r="T319" s="126"/>
      <c r="U319" s="126"/>
      <c r="V319" s="126"/>
      <c r="W319" s="126"/>
      <c r="X319" s="126"/>
      <c r="Y319" s="126"/>
      <c r="Z319" s="126"/>
      <c r="AA319" s="126"/>
      <c r="AB319" s="126"/>
    </row>
    <row r="320" spans="1:28" ht="15.75" customHeight="1">
      <c r="A320" s="126"/>
      <c r="B320" s="126"/>
      <c r="C320" s="176"/>
      <c r="D320" s="176"/>
      <c r="E320" s="176"/>
      <c r="F320" s="176"/>
      <c r="G320" s="176"/>
      <c r="H320" s="176"/>
      <c r="I320" s="126"/>
      <c r="J320" s="126"/>
      <c r="K320" s="126"/>
      <c r="L320" s="126"/>
      <c r="M320" s="126"/>
      <c r="N320" s="126"/>
      <c r="O320" s="126"/>
      <c r="P320" s="126"/>
      <c r="Q320" s="126"/>
      <c r="R320" s="126"/>
      <c r="S320" s="126"/>
      <c r="T320" s="126"/>
      <c r="U320" s="126"/>
      <c r="V320" s="126"/>
      <c r="W320" s="126"/>
      <c r="X320" s="126"/>
      <c r="Y320" s="126"/>
      <c r="Z320" s="126"/>
      <c r="AA320" s="126"/>
      <c r="AB320" s="126"/>
    </row>
    <row r="321" spans="1:28" ht="15.75" customHeight="1">
      <c r="A321" s="126"/>
      <c r="B321" s="126"/>
      <c r="C321" s="176"/>
      <c r="D321" s="176"/>
      <c r="E321" s="176"/>
      <c r="F321" s="176"/>
      <c r="G321" s="176"/>
      <c r="H321" s="176"/>
      <c r="I321" s="126"/>
      <c r="J321" s="126"/>
      <c r="K321" s="126"/>
      <c r="L321" s="126"/>
      <c r="M321" s="126"/>
      <c r="N321" s="126"/>
      <c r="O321" s="126"/>
      <c r="P321" s="126"/>
      <c r="Q321" s="126"/>
      <c r="R321" s="126"/>
      <c r="S321" s="126"/>
      <c r="T321" s="126"/>
      <c r="U321" s="126"/>
      <c r="V321" s="126"/>
      <c r="W321" s="126"/>
      <c r="X321" s="126"/>
      <c r="Y321" s="126"/>
      <c r="Z321" s="126"/>
      <c r="AA321" s="126"/>
      <c r="AB321" s="126"/>
    </row>
    <row r="322" spans="1:28" ht="15.75" customHeight="1">
      <c r="A322" s="126"/>
      <c r="B322" s="126"/>
      <c r="C322" s="176"/>
      <c r="D322" s="176"/>
      <c r="E322" s="176"/>
      <c r="F322" s="176"/>
      <c r="G322" s="176"/>
      <c r="H322" s="176"/>
      <c r="I322" s="126"/>
      <c r="J322" s="126"/>
      <c r="K322" s="126"/>
      <c r="L322" s="126"/>
      <c r="M322" s="126"/>
      <c r="N322" s="126"/>
      <c r="O322" s="126"/>
      <c r="P322" s="126"/>
      <c r="Q322" s="126"/>
      <c r="R322" s="126"/>
      <c r="S322" s="126"/>
      <c r="T322" s="126"/>
      <c r="U322" s="126"/>
      <c r="V322" s="126"/>
      <c r="W322" s="126"/>
      <c r="X322" s="126"/>
      <c r="Y322" s="126"/>
      <c r="Z322" s="126"/>
      <c r="AA322" s="126"/>
      <c r="AB322" s="126"/>
    </row>
    <row r="323" spans="1:28" ht="15.75" customHeight="1">
      <c r="A323" s="126"/>
      <c r="B323" s="126"/>
      <c r="C323" s="176"/>
      <c r="D323" s="176"/>
      <c r="E323" s="176"/>
      <c r="F323" s="176"/>
      <c r="G323" s="176"/>
      <c r="H323" s="176"/>
      <c r="I323" s="126"/>
      <c r="J323" s="126"/>
      <c r="K323" s="126"/>
      <c r="L323" s="126"/>
      <c r="M323" s="126"/>
      <c r="N323" s="126"/>
      <c r="O323" s="126"/>
      <c r="P323" s="126"/>
      <c r="Q323" s="126"/>
      <c r="R323" s="126"/>
      <c r="S323" s="126"/>
      <c r="T323" s="126"/>
      <c r="U323" s="126"/>
      <c r="V323" s="126"/>
      <c r="W323" s="126"/>
      <c r="X323" s="126"/>
      <c r="Y323" s="126"/>
      <c r="Z323" s="126"/>
      <c r="AA323" s="126"/>
      <c r="AB323" s="126"/>
    </row>
    <row r="324" spans="1:28" ht="15.75" customHeight="1">
      <c r="A324" s="126"/>
      <c r="B324" s="126"/>
      <c r="C324" s="176"/>
      <c r="D324" s="176"/>
      <c r="E324" s="176"/>
      <c r="F324" s="176"/>
      <c r="G324" s="176"/>
      <c r="H324" s="176"/>
      <c r="I324" s="126"/>
      <c r="J324" s="126"/>
      <c r="K324" s="126"/>
      <c r="L324" s="126"/>
      <c r="M324" s="126"/>
      <c r="N324" s="126"/>
      <c r="O324" s="126"/>
      <c r="P324" s="126"/>
      <c r="Q324" s="126"/>
      <c r="R324" s="126"/>
      <c r="S324" s="126"/>
      <c r="T324" s="126"/>
      <c r="U324" s="126"/>
      <c r="V324" s="126"/>
      <c r="W324" s="126"/>
      <c r="X324" s="126"/>
      <c r="Y324" s="126"/>
      <c r="Z324" s="126"/>
      <c r="AA324" s="126"/>
      <c r="AB324" s="126"/>
    </row>
    <row r="325" spans="1:28" ht="15.75" customHeight="1">
      <c r="A325" s="126"/>
      <c r="B325" s="126"/>
      <c r="C325" s="176"/>
      <c r="D325" s="176"/>
      <c r="E325" s="176"/>
      <c r="F325" s="176"/>
      <c r="G325" s="176"/>
      <c r="H325" s="176"/>
      <c r="I325" s="126"/>
      <c r="J325" s="126"/>
      <c r="K325" s="126"/>
      <c r="L325" s="126"/>
      <c r="M325" s="126"/>
      <c r="N325" s="126"/>
      <c r="O325" s="126"/>
      <c r="P325" s="126"/>
      <c r="Q325" s="126"/>
      <c r="R325" s="126"/>
      <c r="S325" s="126"/>
      <c r="T325" s="126"/>
      <c r="U325" s="126"/>
      <c r="V325" s="126"/>
      <c r="W325" s="126"/>
      <c r="X325" s="126"/>
      <c r="Y325" s="126"/>
      <c r="Z325" s="126"/>
      <c r="AA325" s="126"/>
      <c r="AB325" s="126"/>
    </row>
    <row r="326" spans="1:28" ht="15.75" customHeight="1">
      <c r="A326" s="126"/>
      <c r="B326" s="126"/>
      <c r="C326" s="176"/>
      <c r="D326" s="176"/>
      <c r="E326" s="176"/>
      <c r="F326" s="176"/>
      <c r="G326" s="176"/>
      <c r="H326" s="176"/>
      <c r="I326" s="126"/>
      <c r="J326" s="126"/>
      <c r="K326" s="126"/>
      <c r="L326" s="126"/>
      <c r="M326" s="126"/>
      <c r="N326" s="126"/>
      <c r="O326" s="126"/>
      <c r="P326" s="126"/>
      <c r="Q326" s="126"/>
      <c r="R326" s="126"/>
      <c r="S326" s="126"/>
      <c r="T326" s="126"/>
      <c r="U326" s="126"/>
      <c r="V326" s="126"/>
      <c r="W326" s="126"/>
      <c r="X326" s="126"/>
      <c r="Y326" s="126"/>
      <c r="Z326" s="126"/>
      <c r="AA326" s="126"/>
      <c r="AB326" s="126"/>
    </row>
    <row r="327" spans="1:28" ht="15.75" customHeight="1">
      <c r="A327" s="126"/>
      <c r="B327" s="126"/>
      <c r="C327" s="176"/>
      <c r="D327" s="176"/>
      <c r="E327" s="176"/>
      <c r="F327" s="176"/>
      <c r="G327" s="176"/>
      <c r="H327" s="176"/>
      <c r="I327" s="126"/>
      <c r="J327" s="126"/>
      <c r="K327" s="126"/>
      <c r="L327" s="126"/>
      <c r="M327" s="126"/>
      <c r="N327" s="126"/>
      <c r="O327" s="126"/>
      <c r="P327" s="126"/>
      <c r="Q327" s="126"/>
      <c r="R327" s="126"/>
      <c r="S327" s="126"/>
      <c r="T327" s="126"/>
      <c r="U327" s="126"/>
      <c r="V327" s="126"/>
      <c r="W327" s="126"/>
      <c r="X327" s="126"/>
      <c r="Y327" s="126"/>
      <c r="Z327" s="126"/>
      <c r="AA327" s="126"/>
      <c r="AB327" s="126"/>
    </row>
    <row r="328" spans="1:28" ht="15.75" customHeight="1">
      <c r="A328" s="126"/>
      <c r="B328" s="126"/>
      <c r="C328" s="176"/>
      <c r="D328" s="176"/>
      <c r="E328" s="176"/>
      <c r="F328" s="176"/>
      <c r="G328" s="176"/>
      <c r="H328" s="176"/>
      <c r="I328" s="126"/>
      <c r="J328" s="126"/>
      <c r="K328" s="126"/>
      <c r="L328" s="126"/>
      <c r="M328" s="126"/>
      <c r="N328" s="126"/>
      <c r="O328" s="126"/>
      <c r="P328" s="126"/>
      <c r="Q328" s="126"/>
      <c r="R328" s="126"/>
      <c r="S328" s="126"/>
      <c r="T328" s="126"/>
      <c r="U328" s="126"/>
      <c r="V328" s="126"/>
      <c r="W328" s="126"/>
      <c r="X328" s="126"/>
      <c r="Y328" s="126"/>
      <c r="Z328" s="126"/>
      <c r="AA328" s="126"/>
      <c r="AB328" s="126"/>
    </row>
    <row r="329" spans="1:28" ht="15.75" customHeight="1">
      <c r="A329" s="126"/>
      <c r="B329" s="126"/>
      <c r="C329" s="176"/>
      <c r="D329" s="176"/>
      <c r="E329" s="176"/>
      <c r="F329" s="176"/>
      <c r="G329" s="176"/>
      <c r="H329" s="176"/>
      <c r="I329" s="126"/>
      <c r="J329" s="126"/>
      <c r="K329" s="126"/>
      <c r="L329" s="126"/>
      <c r="M329" s="126"/>
      <c r="N329" s="126"/>
      <c r="O329" s="126"/>
      <c r="P329" s="126"/>
      <c r="Q329" s="126"/>
      <c r="R329" s="126"/>
      <c r="S329" s="126"/>
      <c r="T329" s="126"/>
      <c r="U329" s="126"/>
      <c r="V329" s="126"/>
      <c r="W329" s="126"/>
      <c r="X329" s="126"/>
      <c r="Y329" s="126"/>
      <c r="Z329" s="126"/>
      <c r="AA329" s="126"/>
      <c r="AB329" s="126"/>
    </row>
    <row r="330" spans="1:28" ht="15.75" customHeight="1">
      <c r="A330" s="126"/>
      <c r="B330" s="126"/>
      <c r="C330" s="176"/>
      <c r="D330" s="176"/>
      <c r="E330" s="176"/>
      <c r="F330" s="176"/>
      <c r="G330" s="176"/>
      <c r="H330" s="176"/>
      <c r="I330" s="126"/>
      <c r="J330" s="126"/>
      <c r="K330" s="126"/>
      <c r="L330" s="126"/>
      <c r="M330" s="126"/>
      <c r="N330" s="126"/>
      <c r="O330" s="126"/>
      <c r="P330" s="126"/>
      <c r="Q330" s="126"/>
      <c r="R330" s="126"/>
      <c r="S330" s="126"/>
      <c r="T330" s="126"/>
      <c r="U330" s="126"/>
      <c r="V330" s="126"/>
      <c r="W330" s="126"/>
      <c r="X330" s="126"/>
      <c r="Y330" s="126"/>
      <c r="Z330" s="126"/>
      <c r="AA330" s="126"/>
      <c r="AB330" s="126"/>
    </row>
    <row r="331" spans="1:28" ht="15.75" customHeight="1">
      <c r="A331" s="126"/>
      <c r="B331" s="126"/>
      <c r="C331" s="176"/>
      <c r="D331" s="176"/>
      <c r="E331" s="176"/>
      <c r="F331" s="176"/>
      <c r="G331" s="176"/>
      <c r="H331" s="176"/>
      <c r="I331" s="126"/>
      <c r="J331" s="126"/>
      <c r="K331" s="126"/>
      <c r="L331" s="126"/>
      <c r="M331" s="126"/>
      <c r="N331" s="126"/>
      <c r="O331" s="126"/>
      <c r="P331" s="126"/>
      <c r="Q331" s="126"/>
      <c r="R331" s="126"/>
      <c r="S331" s="126"/>
      <c r="T331" s="126"/>
      <c r="U331" s="126"/>
      <c r="V331" s="126"/>
      <c r="W331" s="126"/>
      <c r="X331" s="126"/>
      <c r="Y331" s="126"/>
      <c r="Z331" s="126"/>
      <c r="AA331" s="126"/>
      <c r="AB331" s="126"/>
    </row>
    <row r="332" spans="1:28" ht="15.75" customHeight="1">
      <c r="A332" s="126"/>
      <c r="B332" s="126"/>
      <c r="C332" s="176"/>
      <c r="D332" s="176"/>
      <c r="E332" s="176"/>
      <c r="F332" s="176"/>
      <c r="G332" s="176"/>
      <c r="H332" s="176"/>
      <c r="I332" s="126"/>
      <c r="J332" s="126"/>
      <c r="K332" s="126"/>
      <c r="L332" s="126"/>
      <c r="M332" s="126"/>
      <c r="N332" s="126"/>
      <c r="O332" s="126"/>
      <c r="P332" s="126"/>
      <c r="Q332" s="126"/>
      <c r="R332" s="126"/>
      <c r="S332" s="126"/>
      <c r="T332" s="126"/>
      <c r="U332" s="126"/>
      <c r="V332" s="126"/>
      <c r="W332" s="126"/>
      <c r="X332" s="126"/>
      <c r="Y332" s="126"/>
      <c r="Z332" s="126"/>
      <c r="AA332" s="126"/>
      <c r="AB332" s="126"/>
    </row>
    <row r="333" spans="1:28" ht="15.75" customHeight="1">
      <c r="A333" s="126"/>
      <c r="B333" s="126"/>
      <c r="C333" s="176"/>
      <c r="D333" s="176"/>
      <c r="E333" s="176"/>
      <c r="F333" s="176"/>
      <c r="G333" s="176"/>
      <c r="H333" s="176"/>
      <c r="I333" s="126"/>
      <c r="J333" s="126"/>
      <c r="K333" s="126"/>
      <c r="L333" s="126"/>
      <c r="M333" s="126"/>
      <c r="N333" s="126"/>
      <c r="O333" s="126"/>
      <c r="P333" s="126"/>
      <c r="Q333" s="126"/>
      <c r="R333" s="126"/>
      <c r="S333" s="126"/>
      <c r="T333" s="126"/>
      <c r="U333" s="126"/>
      <c r="V333" s="126"/>
      <c r="W333" s="126"/>
      <c r="X333" s="126"/>
      <c r="Y333" s="126"/>
      <c r="Z333" s="126"/>
      <c r="AA333" s="126"/>
      <c r="AB333" s="126"/>
    </row>
    <row r="334" spans="1:28" ht="15.75" customHeight="1">
      <c r="A334" s="126"/>
      <c r="B334" s="126"/>
      <c r="C334" s="176"/>
      <c r="D334" s="176"/>
      <c r="E334" s="176"/>
      <c r="F334" s="176"/>
      <c r="G334" s="176"/>
      <c r="H334" s="176"/>
      <c r="I334" s="126"/>
      <c r="J334" s="126"/>
      <c r="K334" s="126"/>
      <c r="L334" s="126"/>
      <c r="M334" s="126"/>
      <c r="N334" s="126"/>
      <c r="O334" s="126"/>
      <c r="P334" s="126"/>
      <c r="Q334" s="126"/>
      <c r="R334" s="126"/>
      <c r="S334" s="126"/>
      <c r="T334" s="126"/>
      <c r="U334" s="126"/>
      <c r="V334" s="126"/>
      <c r="W334" s="126"/>
      <c r="X334" s="126"/>
      <c r="Y334" s="126"/>
      <c r="Z334" s="126"/>
      <c r="AA334" s="126"/>
      <c r="AB334" s="126"/>
    </row>
    <row r="335" spans="1:28" ht="15.75" customHeight="1">
      <c r="A335" s="126"/>
      <c r="B335" s="126"/>
      <c r="C335" s="176"/>
      <c r="D335" s="176"/>
      <c r="E335" s="176"/>
      <c r="F335" s="176"/>
      <c r="G335" s="176"/>
      <c r="H335" s="176"/>
      <c r="I335" s="126"/>
      <c r="J335" s="126"/>
      <c r="K335" s="126"/>
      <c r="L335" s="126"/>
      <c r="M335" s="126"/>
      <c r="N335" s="126"/>
      <c r="O335" s="126"/>
      <c r="P335" s="126"/>
      <c r="Q335" s="126"/>
      <c r="R335" s="126"/>
      <c r="S335" s="126"/>
      <c r="T335" s="126"/>
      <c r="U335" s="126"/>
      <c r="V335" s="126"/>
      <c r="W335" s="126"/>
      <c r="X335" s="126"/>
      <c r="Y335" s="126"/>
      <c r="Z335" s="126"/>
      <c r="AA335" s="126"/>
      <c r="AB335" s="126"/>
    </row>
    <row r="336" spans="1:28" ht="15.75" customHeight="1">
      <c r="A336" s="126"/>
      <c r="B336" s="126"/>
      <c r="C336" s="176"/>
      <c r="D336" s="176"/>
      <c r="E336" s="176"/>
      <c r="F336" s="176"/>
      <c r="G336" s="176"/>
      <c r="H336" s="176"/>
      <c r="I336" s="126"/>
      <c r="J336" s="126"/>
      <c r="K336" s="126"/>
      <c r="L336" s="126"/>
      <c r="M336" s="126"/>
      <c r="N336" s="126"/>
      <c r="O336" s="126"/>
      <c r="P336" s="126"/>
      <c r="Q336" s="126"/>
      <c r="R336" s="126"/>
      <c r="S336" s="126"/>
      <c r="T336" s="126"/>
      <c r="U336" s="126"/>
      <c r="V336" s="126"/>
      <c r="W336" s="126"/>
      <c r="X336" s="126"/>
      <c r="Y336" s="126"/>
      <c r="Z336" s="126"/>
      <c r="AA336" s="126"/>
      <c r="AB336" s="126"/>
    </row>
    <row r="337" spans="1:28" ht="15.75" customHeight="1">
      <c r="A337" s="126"/>
      <c r="B337" s="126"/>
      <c r="C337" s="176"/>
      <c r="D337" s="176"/>
      <c r="E337" s="176"/>
      <c r="F337" s="176"/>
      <c r="G337" s="176"/>
      <c r="H337" s="176"/>
      <c r="I337" s="126"/>
      <c r="J337" s="126"/>
      <c r="K337" s="126"/>
      <c r="L337" s="126"/>
      <c r="M337" s="126"/>
      <c r="N337" s="126"/>
      <c r="O337" s="126"/>
      <c r="P337" s="126"/>
      <c r="Q337" s="126"/>
      <c r="R337" s="126"/>
      <c r="S337" s="126"/>
      <c r="T337" s="126"/>
      <c r="U337" s="126"/>
      <c r="V337" s="126"/>
      <c r="W337" s="126"/>
      <c r="X337" s="126"/>
      <c r="Y337" s="126"/>
      <c r="Z337" s="126"/>
      <c r="AA337" s="126"/>
      <c r="AB337" s="126"/>
    </row>
    <row r="338" spans="1:28" ht="15.75" customHeight="1">
      <c r="A338" s="126"/>
      <c r="B338" s="126"/>
      <c r="C338" s="176"/>
      <c r="D338" s="176"/>
      <c r="E338" s="176"/>
      <c r="F338" s="176"/>
      <c r="G338" s="176"/>
      <c r="H338" s="176"/>
      <c r="I338" s="126"/>
      <c r="J338" s="126"/>
      <c r="K338" s="126"/>
      <c r="L338" s="126"/>
      <c r="M338" s="126"/>
      <c r="N338" s="126"/>
      <c r="O338" s="126"/>
      <c r="P338" s="126"/>
      <c r="Q338" s="126"/>
      <c r="R338" s="126"/>
      <c r="S338" s="126"/>
      <c r="T338" s="126"/>
      <c r="U338" s="126"/>
      <c r="V338" s="126"/>
      <c r="W338" s="126"/>
      <c r="X338" s="126"/>
      <c r="Y338" s="126"/>
      <c r="Z338" s="126"/>
      <c r="AA338" s="126"/>
      <c r="AB338" s="126"/>
    </row>
    <row r="339" spans="1:28" ht="15.75" customHeight="1">
      <c r="A339" s="126"/>
      <c r="B339" s="126"/>
      <c r="C339" s="176"/>
      <c r="D339" s="176"/>
      <c r="E339" s="176"/>
      <c r="F339" s="176"/>
      <c r="G339" s="176"/>
      <c r="H339" s="176"/>
      <c r="I339" s="126"/>
      <c r="J339" s="126"/>
      <c r="K339" s="126"/>
      <c r="L339" s="126"/>
      <c r="M339" s="126"/>
      <c r="N339" s="126"/>
      <c r="O339" s="126"/>
      <c r="P339" s="126"/>
      <c r="Q339" s="126"/>
      <c r="R339" s="126"/>
      <c r="S339" s="126"/>
      <c r="T339" s="126"/>
      <c r="U339" s="126"/>
      <c r="V339" s="126"/>
      <c r="W339" s="126"/>
      <c r="X339" s="126"/>
      <c r="Y339" s="126"/>
      <c r="Z339" s="126"/>
      <c r="AA339" s="126"/>
      <c r="AB339" s="126"/>
    </row>
    <row r="340" spans="1:28" ht="15.75" customHeight="1">
      <c r="A340" s="126"/>
      <c r="B340" s="126"/>
      <c r="C340" s="176"/>
      <c r="D340" s="176"/>
      <c r="E340" s="176"/>
      <c r="F340" s="176"/>
      <c r="G340" s="176"/>
      <c r="H340" s="176"/>
      <c r="I340" s="126"/>
      <c r="J340" s="126"/>
      <c r="K340" s="126"/>
      <c r="L340" s="126"/>
      <c r="M340" s="126"/>
      <c r="N340" s="126"/>
      <c r="O340" s="126"/>
      <c r="P340" s="126"/>
      <c r="Q340" s="126"/>
      <c r="R340" s="126"/>
      <c r="S340" s="126"/>
      <c r="T340" s="126"/>
      <c r="U340" s="126"/>
      <c r="V340" s="126"/>
      <c r="W340" s="126"/>
      <c r="X340" s="126"/>
      <c r="Y340" s="126"/>
      <c r="Z340" s="126"/>
      <c r="AA340" s="126"/>
      <c r="AB340" s="126"/>
    </row>
    <row r="341" spans="1:28" ht="15.75" customHeight="1">
      <c r="A341" s="126"/>
      <c r="B341" s="126"/>
      <c r="C341" s="176"/>
      <c r="D341" s="176"/>
      <c r="E341" s="176"/>
      <c r="F341" s="176"/>
      <c r="G341" s="176"/>
      <c r="H341" s="176"/>
      <c r="I341" s="126"/>
      <c r="J341" s="126"/>
      <c r="K341" s="126"/>
      <c r="L341" s="126"/>
      <c r="M341" s="126"/>
      <c r="N341" s="126"/>
      <c r="O341" s="126"/>
      <c r="P341" s="126"/>
      <c r="Q341" s="126"/>
      <c r="R341" s="126"/>
      <c r="S341" s="126"/>
      <c r="T341" s="126"/>
      <c r="U341" s="126"/>
      <c r="V341" s="126"/>
      <c r="W341" s="126"/>
      <c r="X341" s="126"/>
      <c r="Y341" s="126"/>
      <c r="Z341" s="126"/>
      <c r="AA341" s="126"/>
      <c r="AB341" s="126"/>
    </row>
    <row r="342" spans="1:28" ht="15.75" customHeight="1">
      <c r="A342" s="126"/>
      <c r="B342" s="126"/>
      <c r="C342" s="176"/>
      <c r="D342" s="176"/>
      <c r="E342" s="176"/>
      <c r="F342" s="176"/>
      <c r="G342" s="176"/>
      <c r="H342" s="176"/>
      <c r="I342" s="126"/>
      <c r="J342" s="126"/>
      <c r="K342" s="126"/>
      <c r="L342" s="126"/>
      <c r="M342" s="126"/>
      <c r="N342" s="126"/>
      <c r="O342" s="126"/>
      <c r="P342" s="126"/>
      <c r="Q342" s="126"/>
      <c r="R342" s="126"/>
      <c r="S342" s="126"/>
      <c r="T342" s="126"/>
      <c r="U342" s="126"/>
      <c r="V342" s="126"/>
      <c r="W342" s="126"/>
      <c r="X342" s="126"/>
      <c r="Y342" s="126"/>
      <c r="Z342" s="126"/>
      <c r="AA342" s="126"/>
      <c r="AB342" s="126"/>
    </row>
    <row r="343" spans="1:28" ht="15.75" customHeight="1">
      <c r="A343" s="126"/>
      <c r="B343" s="126"/>
      <c r="C343" s="176"/>
      <c r="D343" s="176"/>
      <c r="E343" s="176"/>
      <c r="F343" s="176"/>
      <c r="G343" s="176"/>
      <c r="H343" s="176"/>
      <c r="I343" s="126"/>
      <c r="J343" s="126"/>
      <c r="K343" s="126"/>
      <c r="L343" s="126"/>
      <c r="M343" s="126"/>
      <c r="N343" s="126"/>
      <c r="O343" s="126"/>
      <c r="P343" s="126"/>
      <c r="Q343" s="126"/>
      <c r="R343" s="126"/>
      <c r="S343" s="126"/>
      <c r="T343" s="126"/>
      <c r="U343" s="126"/>
      <c r="V343" s="126"/>
      <c r="W343" s="126"/>
      <c r="X343" s="126"/>
      <c r="Y343" s="126"/>
      <c r="Z343" s="126"/>
      <c r="AA343" s="126"/>
      <c r="AB343" s="126"/>
    </row>
    <row r="344" spans="1:28" ht="15.75" customHeight="1">
      <c r="A344" s="126"/>
      <c r="B344" s="126"/>
      <c r="C344" s="176"/>
      <c r="D344" s="176"/>
      <c r="E344" s="176"/>
      <c r="F344" s="176"/>
      <c r="G344" s="176"/>
      <c r="H344" s="176"/>
      <c r="I344" s="126"/>
      <c r="J344" s="126"/>
      <c r="K344" s="126"/>
      <c r="L344" s="126"/>
      <c r="M344" s="126"/>
      <c r="N344" s="126"/>
      <c r="O344" s="126"/>
      <c r="P344" s="126"/>
      <c r="Q344" s="126"/>
      <c r="R344" s="126"/>
      <c r="S344" s="126"/>
      <c r="T344" s="126"/>
      <c r="U344" s="126"/>
      <c r="V344" s="126"/>
      <c r="W344" s="126"/>
      <c r="X344" s="126"/>
      <c r="Y344" s="126"/>
      <c r="Z344" s="126"/>
      <c r="AA344" s="126"/>
      <c r="AB344" s="126"/>
    </row>
    <row r="345" spans="1:28" ht="15.75" customHeight="1">
      <c r="A345" s="126"/>
      <c r="B345" s="126"/>
      <c r="C345" s="176"/>
      <c r="D345" s="176"/>
      <c r="E345" s="176"/>
      <c r="F345" s="176"/>
      <c r="G345" s="176"/>
      <c r="H345" s="176"/>
      <c r="I345" s="126"/>
      <c r="J345" s="126"/>
      <c r="K345" s="126"/>
      <c r="L345" s="126"/>
      <c r="M345" s="126"/>
      <c r="N345" s="126"/>
      <c r="O345" s="126"/>
      <c r="P345" s="126"/>
      <c r="Q345" s="126"/>
      <c r="R345" s="126"/>
      <c r="S345" s="126"/>
      <c r="T345" s="126"/>
      <c r="U345" s="126"/>
      <c r="V345" s="126"/>
      <c r="W345" s="126"/>
      <c r="X345" s="126"/>
      <c r="Y345" s="126"/>
      <c r="Z345" s="126"/>
      <c r="AA345" s="126"/>
      <c r="AB345" s="126"/>
    </row>
    <row r="346" spans="1:28" ht="15.75" customHeight="1">
      <c r="A346" s="126"/>
      <c r="B346" s="126"/>
      <c r="C346" s="176"/>
      <c r="D346" s="176"/>
      <c r="E346" s="176"/>
      <c r="F346" s="176"/>
      <c r="G346" s="176"/>
      <c r="H346" s="176"/>
      <c r="I346" s="126"/>
      <c r="J346" s="126"/>
      <c r="K346" s="126"/>
      <c r="L346" s="126"/>
      <c r="M346" s="126"/>
      <c r="N346" s="126"/>
      <c r="O346" s="126"/>
      <c r="P346" s="126"/>
      <c r="Q346" s="126"/>
      <c r="R346" s="126"/>
      <c r="S346" s="126"/>
      <c r="T346" s="126"/>
      <c r="U346" s="126"/>
      <c r="V346" s="126"/>
      <c r="W346" s="126"/>
      <c r="X346" s="126"/>
      <c r="Y346" s="126"/>
      <c r="Z346" s="126"/>
      <c r="AA346" s="126"/>
      <c r="AB346" s="126"/>
    </row>
    <row r="347" spans="1:28" ht="15.75" customHeight="1">
      <c r="A347" s="126"/>
      <c r="B347" s="126"/>
      <c r="C347" s="176"/>
      <c r="D347" s="176"/>
      <c r="E347" s="176"/>
      <c r="F347" s="176"/>
      <c r="G347" s="176"/>
      <c r="H347" s="176"/>
      <c r="I347" s="126"/>
      <c r="J347" s="126"/>
      <c r="K347" s="126"/>
      <c r="L347" s="126"/>
      <c r="M347" s="126"/>
      <c r="N347" s="126"/>
      <c r="O347" s="126"/>
      <c r="P347" s="126"/>
      <c r="Q347" s="126"/>
      <c r="R347" s="126"/>
      <c r="S347" s="126"/>
      <c r="T347" s="126"/>
      <c r="U347" s="126"/>
      <c r="V347" s="126"/>
      <c r="W347" s="126"/>
      <c r="X347" s="126"/>
      <c r="Y347" s="126"/>
      <c r="Z347" s="126"/>
      <c r="AA347" s="126"/>
      <c r="AB347" s="126"/>
    </row>
    <row r="348" spans="1:28" ht="15.75" customHeight="1">
      <c r="A348" s="126"/>
      <c r="B348" s="126"/>
      <c r="C348" s="176"/>
      <c r="D348" s="176"/>
      <c r="E348" s="176"/>
      <c r="F348" s="176"/>
      <c r="G348" s="176"/>
      <c r="H348" s="176"/>
      <c r="I348" s="126"/>
      <c r="J348" s="126"/>
      <c r="K348" s="126"/>
      <c r="L348" s="126"/>
      <c r="M348" s="126"/>
      <c r="N348" s="126"/>
      <c r="O348" s="126"/>
      <c r="P348" s="126"/>
      <c r="Q348" s="126"/>
      <c r="R348" s="126"/>
      <c r="S348" s="126"/>
      <c r="T348" s="126"/>
      <c r="U348" s="126"/>
      <c r="V348" s="126"/>
      <c r="W348" s="126"/>
      <c r="X348" s="126"/>
      <c r="Y348" s="126"/>
      <c r="Z348" s="126"/>
      <c r="AA348" s="126"/>
      <c r="AB348" s="126"/>
    </row>
    <row r="349" spans="1:28" ht="15.75" customHeight="1">
      <c r="A349" s="126"/>
      <c r="B349" s="126"/>
      <c r="C349" s="176"/>
      <c r="D349" s="176"/>
      <c r="E349" s="176"/>
      <c r="F349" s="176"/>
      <c r="G349" s="176"/>
      <c r="H349" s="176"/>
      <c r="I349" s="126"/>
      <c r="J349" s="126"/>
      <c r="K349" s="126"/>
      <c r="L349" s="126"/>
      <c r="M349" s="126"/>
      <c r="N349" s="126"/>
      <c r="O349" s="126"/>
      <c r="P349" s="126"/>
      <c r="Q349" s="126"/>
      <c r="R349" s="126"/>
      <c r="S349" s="126"/>
      <c r="T349" s="126"/>
      <c r="U349" s="126"/>
      <c r="V349" s="126"/>
      <c r="W349" s="126"/>
      <c r="X349" s="126"/>
      <c r="Y349" s="126"/>
      <c r="Z349" s="126"/>
      <c r="AA349" s="126"/>
      <c r="AB349" s="126"/>
    </row>
    <row r="350" spans="1:28" ht="15.75" customHeight="1">
      <c r="A350" s="126"/>
      <c r="B350" s="126"/>
      <c r="C350" s="176"/>
      <c r="D350" s="176"/>
      <c r="E350" s="176"/>
      <c r="F350" s="176"/>
      <c r="G350" s="176"/>
      <c r="H350" s="176"/>
      <c r="I350" s="126"/>
      <c r="J350" s="126"/>
      <c r="K350" s="126"/>
      <c r="L350" s="126"/>
      <c r="M350" s="126"/>
      <c r="N350" s="126"/>
      <c r="O350" s="126"/>
      <c r="P350" s="126"/>
      <c r="Q350" s="126"/>
      <c r="R350" s="126"/>
      <c r="S350" s="126"/>
      <c r="T350" s="126"/>
      <c r="U350" s="126"/>
      <c r="V350" s="126"/>
      <c r="W350" s="126"/>
      <c r="X350" s="126"/>
      <c r="Y350" s="126"/>
      <c r="Z350" s="126"/>
      <c r="AA350" s="126"/>
      <c r="AB350" s="126"/>
    </row>
    <row r="351" spans="1:28" ht="15.75" customHeight="1">
      <c r="A351" s="126"/>
      <c r="B351" s="126"/>
      <c r="C351" s="176"/>
      <c r="D351" s="176"/>
      <c r="E351" s="176"/>
      <c r="F351" s="176"/>
      <c r="G351" s="176"/>
      <c r="H351" s="176"/>
      <c r="I351" s="126"/>
      <c r="J351" s="126"/>
      <c r="K351" s="126"/>
      <c r="L351" s="126"/>
      <c r="M351" s="126"/>
      <c r="N351" s="126"/>
      <c r="O351" s="126"/>
      <c r="P351" s="126"/>
      <c r="Q351" s="126"/>
      <c r="R351" s="126"/>
      <c r="S351" s="126"/>
      <c r="T351" s="126"/>
      <c r="U351" s="126"/>
      <c r="V351" s="126"/>
      <c r="W351" s="126"/>
      <c r="X351" s="126"/>
      <c r="Y351" s="126"/>
      <c r="Z351" s="126"/>
      <c r="AA351" s="126"/>
      <c r="AB351" s="126"/>
    </row>
    <row r="352" spans="1:28" ht="15.75" customHeight="1">
      <c r="A352" s="126"/>
      <c r="B352" s="126"/>
      <c r="C352" s="176"/>
      <c r="D352" s="176"/>
      <c r="E352" s="176"/>
      <c r="F352" s="176"/>
      <c r="G352" s="176"/>
      <c r="H352" s="176"/>
      <c r="I352" s="126"/>
      <c r="J352" s="126"/>
      <c r="K352" s="126"/>
      <c r="L352" s="126"/>
      <c r="M352" s="126"/>
      <c r="N352" s="126"/>
      <c r="O352" s="126"/>
      <c r="P352" s="126"/>
      <c r="Q352" s="126"/>
      <c r="R352" s="126"/>
      <c r="S352" s="126"/>
      <c r="T352" s="126"/>
      <c r="U352" s="126"/>
      <c r="V352" s="126"/>
      <c r="W352" s="126"/>
      <c r="X352" s="126"/>
      <c r="Y352" s="126"/>
      <c r="Z352" s="126"/>
      <c r="AA352" s="126"/>
      <c r="AB352" s="126"/>
    </row>
    <row r="353" spans="1:28" ht="15.75" customHeight="1">
      <c r="A353" s="126"/>
      <c r="B353" s="126"/>
      <c r="C353" s="176"/>
      <c r="D353" s="176"/>
      <c r="E353" s="176"/>
      <c r="F353" s="176"/>
      <c r="G353" s="176"/>
      <c r="H353" s="176"/>
      <c r="I353" s="126"/>
      <c r="J353" s="126"/>
      <c r="K353" s="126"/>
      <c r="L353" s="126"/>
      <c r="M353" s="126"/>
      <c r="N353" s="126"/>
      <c r="O353" s="126"/>
      <c r="P353" s="126"/>
      <c r="Q353" s="126"/>
      <c r="R353" s="126"/>
      <c r="S353" s="126"/>
      <c r="T353" s="126"/>
      <c r="U353" s="126"/>
      <c r="V353" s="126"/>
      <c r="W353" s="126"/>
      <c r="X353" s="126"/>
      <c r="Y353" s="126"/>
      <c r="Z353" s="126"/>
      <c r="AA353" s="126"/>
      <c r="AB353" s="126"/>
    </row>
    <row r="354" spans="1:28" ht="15.75" customHeight="1">
      <c r="A354" s="126"/>
      <c r="B354" s="126"/>
      <c r="C354" s="176"/>
      <c r="D354" s="176"/>
      <c r="E354" s="176"/>
      <c r="F354" s="176"/>
      <c r="G354" s="176"/>
      <c r="H354" s="176"/>
      <c r="I354" s="126"/>
      <c r="J354" s="126"/>
      <c r="K354" s="126"/>
      <c r="L354" s="126"/>
      <c r="M354" s="126"/>
      <c r="N354" s="126"/>
      <c r="O354" s="126"/>
      <c r="P354" s="126"/>
      <c r="Q354" s="126"/>
      <c r="R354" s="126"/>
      <c r="S354" s="126"/>
      <c r="T354" s="126"/>
      <c r="U354" s="126"/>
      <c r="V354" s="126"/>
      <c r="W354" s="126"/>
      <c r="X354" s="126"/>
      <c r="Y354" s="126"/>
      <c r="Z354" s="126"/>
      <c r="AA354" s="126"/>
      <c r="AB354" s="126"/>
    </row>
    <row r="355" spans="1:28" ht="15.75" customHeight="1">
      <c r="A355" s="126"/>
      <c r="B355" s="126"/>
      <c r="C355" s="176"/>
      <c r="D355" s="176"/>
      <c r="E355" s="176"/>
      <c r="F355" s="176"/>
      <c r="G355" s="176"/>
      <c r="H355" s="176"/>
      <c r="I355" s="126"/>
      <c r="J355" s="126"/>
      <c r="K355" s="126"/>
      <c r="L355" s="126"/>
      <c r="M355" s="126"/>
      <c r="N355" s="126"/>
      <c r="O355" s="126"/>
      <c r="P355" s="126"/>
      <c r="Q355" s="126"/>
      <c r="R355" s="126"/>
      <c r="S355" s="126"/>
      <c r="T355" s="126"/>
      <c r="U355" s="126"/>
      <c r="V355" s="126"/>
      <c r="W355" s="126"/>
      <c r="X355" s="126"/>
      <c r="Y355" s="126"/>
      <c r="Z355" s="126"/>
      <c r="AA355" s="126"/>
      <c r="AB355" s="126"/>
    </row>
    <row r="356" spans="1:28" ht="15.75" customHeight="1">
      <c r="A356" s="126"/>
      <c r="B356" s="126"/>
      <c r="C356" s="176"/>
      <c r="D356" s="176"/>
      <c r="E356" s="176"/>
      <c r="F356" s="176"/>
      <c r="G356" s="176"/>
      <c r="H356" s="176"/>
      <c r="I356" s="126"/>
      <c r="J356" s="126"/>
      <c r="K356" s="126"/>
      <c r="L356" s="126"/>
      <c r="M356" s="126"/>
      <c r="N356" s="126"/>
      <c r="O356" s="126"/>
      <c r="P356" s="126"/>
      <c r="Q356" s="126"/>
      <c r="R356" s="126"/>
      <c r="S356" s="126"/>
      <c r="T356" s="126"/>
      <c r="U356" s="126"/>
      <c r="V356" s="126"/>
      <c r="W356" s="126"/>
      <c r="X356" s="126"/>
      <c r="Y356" s="126"/>
      <c r="Z356" s="126"/>
      <c r="AA356" s="126"/>
      <c r="AB356" s="126"/>
    </row>
    <row r="357" spans="1:28" ht="15.75" customHeight="1">
      <c r="A357" s="126"/>
      <c r="B357" s="126"/>
      <c r="C357" s="176"/>
      <c r="D357" s="176"/>
      <c r="E357" s="176"/>
      <c r="F357" s="176"/>
      <c r="G357" s="176"/>
      <c r="H357" s="176"/>
      <c r="I357" s="126"/>
      <c r="J357" s="126"/>
      <c r="K357" s="126"/>
      <c r="L357" s="126"/>
      <c r="M357" s="126"/>
      <c r="N357" s="126"/>
      <c r="O357" s="126"/>
      <c r="P357" s="126"/>
      <c r="Q357" s="126"/>
      <c r="R357" s="126"/>
      <c r="S357" s="126"/>
      <c r="T357" s="126"/>
      <c r="U357" s="126"/>
      <c r="V357" s="126"/>
      <c r="W357" s="126"/>
      <c r="X357" s="126"/>
      <c r="Y357" s="126"/>
      <c r="Z357" s="126"/>
      <c r="AA357" s="126"/>
      <c r="AB357" s="126"/>
    </row>
    <row r="358" spans="1:28" ht="15.75" customHeight="1">
      <c r="A358" s="126"/>
      <c r="B358" s="126"/>
      <c r="C358" s="176"/>
      <c r="D358" s="176"/>
      <c r="E358" s="176"/>
      <c r="F358" s="176"/>
      <c r="G358" s="176"/>
      <c r="H358" s="176"/>
      <c r="I358" s="126"/>
      <c r="J358" s="126"/>
      <c r="K358" s="126"/>
      <c r="L358" s="126"/>
      <c r="M358" s="126"/>
      <c r="N358" s="126"/>
      <c r="O358" s="126"/>
      <c r="P358" s="126"/>
      <c r="Q358" s="126"/>
      <c r="R358" s="126"/>
      <c r="S358" s="126"/>
      <c r="T358" s="126"/>
      <c r="U358" s="126"/>
      <c r="V358" s="126"/>
      <c r="W358" s="126"/>
      <c r="X358" s="126"/>
      <c r="Y358" s="126"/>
      <c r="Z358" s="126"/>
      <c r="AA358" s="126"/>
      <c r="AB358" s="126"/>
    </row>
    <row r="359" spans="1:28" ht="15.75" customHeight="1">
      <c r="A359" s="126"/>
      <c r="B359" s="126"/>
      <c r="C359" s="176"/>
      <c r="D359" s="176"/>
      <c r="E359" s="176"/>
      <c r="F359" s="176"/>
      <c r="G359" s="176"/>
      <c r="H359" s="176"/>
      <c r="I359" s="126"/>
      <c r="J359" s="126"/>
      <c r="K359" s="126"/>
      <c r="L359" s="126"/>
      <c r="M359" s="126"/>
      <c r="N359" s="126"/>
      <c r="O359" s="126"/>
      <c r="P359" s="126"/>
      <c r="Q359" s="126"/>
      <c r="R359" s="126"/>
      <c r="S359" s="126"/>
      <c r="T359" s="126"/>
      <c r="U359" s="126"/>
      <c r="V359" s="126"/>
      <c r="W359" s="126"/>
      <c r="X359" s="126"/>
      <c r="Y359" s="126"/>
      <c r="Z359" s="126"/>
      <c r="AA359" s="126"/>
      <c r="AB359" s="126"/>
    </row>
    <row r="360" spans="1:28" ht="15.75" customHeight="1">
      <c r="A360" s="126"/>
      <c r="B360" s="126"/>
      <c r="C360" s="176"/>
      <c r="D360" s="176"/>
      <c r="E360" s="176"/>
      <c r="F360" s="176"/>
      <c r="G360" s="176"/>
      <c r="H360" s="176"/>
      <c r="I360" s="126"/>
      <c r="J360" s="126"/>
      <c r="K360" s="126"/>
      <c r="L360" s="126"/>
      <c r="M360" s="126"/>
      <c r="N360" s="126"/>
      <c r="O360" s="126"/>
      <c r="P360" s="126"/>
      <c r="Q360" s="126"/>
      <c r="R360" s="126"/>
      <c r="S360" s="126"/>
      <c r="T360" s="126"/>
      <c r="U360" s="126"/>
      <c r="V360" s="126"/>
      <c r="W360" s="126"/>
      <c r="X360" s="126"/>
      <c r="Y360" s="126"/>
      <c r="Z360" s="126"/>
      <c r="AA360" s="126"/>
      <c r="AB360" s="126"/>
    </row>
    <row r="361" spans="1:28" ht="15.75" customHeight="1">
      <c r="A361" s="126"/>
      <c r="B361" s="126"/>
      <c r="C361" s="176"/>
      <c r="D361" s="176"/>
      <c r="E361" s="176"/>
      <c r="F361" s="176"/>
      <c r="G361" s="176"/>
      <c r="H361" s="176"/>
      <c r="I361" s="126"/>
      <c r="J361" s="126"/>
      <c r="K361" s="126"/>
      <c r="L361" s="126"/>
      <c r="M361" s="126"/>
      <c r="N361" s="126"/>
      <c r="O361" s="126"/>
      <c r="P361" s="126"/>
      <c r="Q361" s="126"/>
      <c r="R361" s="126"/>
      <c r="S361" s="126"/>
      <c r="T361" s="126"/>
      <c r="U361" s="126"/>
      <c r="V361" s="126"/>
      <c r="W361" s="126"/>
      <c r="X361" s="126"/>
      <c r="Y361" s="126"/>
      <c r="Z361" s="126"/>
      <c r="AA361" s="126"/>
      <c r="AB361" s="126"/>
    </row>
    <row r="362" spans="1:28" ht="15.75" customHeight="1">
      <c r="A362" s="126"/>
      <c r="B362" s="126"/>
      <c r="C362" s="176"/>
      <c r="D362" s="176"/>
      <c r="E362" s="176"/>
      <c r="F362" s="176"/>
      <c r="G362" s="176"/>
      <c r="H362" s="176"/>
      <c r="I362" s="126"/>
      <c r="J362" s="126"/>
      <c r="K362" s="126"/>
      <c r="L362" s="126"/>
      <c r="M362" s="126"/>
      <c r="N362" s="126"/>
      <c r="O362" s="126"/>
      <c r="P362" s="126"/>
      <c r="Q362" s="126"/>
      <c r="R362" s="126"/>
      <c r="S362" s="126"/>
      <c r="T362" s="126"/>
      <c r="U362" s="126"/>
      <c r="V362" s="126"/>
      <c r="W362" s="126"/>
      <c r="X362" s="126"/>
      <c r="Y362" s="126"/>
      <c r="Z362" s="126"/>
      <c r="AA362" s="126"/>
      <c r="AB362" s="126"/>
    </row>
    <row r="363" spans="1:28" ht="15.75" customHeight="1">
      <c r="A363" s="126"/>
      <c r="B363" s="126"/>
      <c r="C363" s="176"/>
      <c r="D363" s="176"/>
      <c r="E363" s="176"/>
      <c r="F363" s="176"/>
      <c r="G363" s="176"/>
      <c r="H363" s="176"/>
      <c r="I363" s="126"/>
      <c r="J363" s="126"/>
      <c r="K363" s="126"/>
      <c r="L363" s="126"/>
      <c r="M363" s="126"/>
      <c r="N363" s="126"/>
      <c r="O363" s="126"/>
      <c r="P363" s="126"/>
      <c r="Q363" s="126"/>
      <c r="R363" s="126"/>
      <c r="S363" s="126"/>
      <c r="T363" s="126"/>
      <c r="U363" s="126"/>
      <c r="V363" s="126"/>
      <c r="W363" s="126"/>
      <c r="X363" s="126"/>
      <c r="Y363" s="126"/>
      <c r="Z363" s="126"/>
      <c r="AA363" s="126"/>
      <c r="AB363" s="126"/>
    </row>
    <row r="364" spans="1:28" ht="15.75" customHeight="1">
      <c r="A364" s="126"/>
      <c r="B364" s="126"/>
      <c r="C364" s="176"/>
      <c r="D364" s="176"/>
      <c r="E364" s="176"/>
      <c r="F364" s="176"/>
      <c r="G364" s="176"/>
      <c r="H364" s="176"/>
      <c r="I364" s="126"/>
      <c r="J364" s="126"/>
      <c r="K364" s="126"/>
      <c r="L364" s="126"/>
      <c r="M364" s="126"/>
      <c r="N364" s="126"/>
      <c r="O364" s="126"/>
      <c r="P364" s="126"/>
      <c r="Q364" s="126"/>
      <c r="R364" s="126"/>
      <c r="S364" s="126"/>
      <c r="T364" s="126"/>
      <c r="U364" s="126"/>
      <c r="V364" s="126"/>
      <c r="W364" s="126"/>
      <c r="X364" s="126"/>
      <c r="Y364" s="126"/>
      <c r="Z364" s="126"/>
      <c r="AA364" s="126"/>
      <c r="AB364" s="126"/>
    </row>
    <row r="365" spans="1:28" ht="15.75" customHeight="1">
      <c r="A365" s="126"/>
      <c r="B365" s="126"/>
      <c r="C365" s="176"/>
      <c r="D365" s="176"/>
      <c r="E365" s="176"/>
      <c r="F365" s="176"/>
      <c r="G365" s="176"/>
      <c r="H365" s="176"/>
      <c r="I365" s="126"/>
      <c r="J365" s="126"/>
      <c r="K365" s="126"/>
      <c r="L365" s="126"/>
      <c r="M365" s="126"/>
      <c r="N365" s="126"/>
      <c r="O365" s="126"/>
      <c r="P365" s="126"/>
      <c r="Q365" s="126"/>
      <c r="R365" s="126"/>
      <c r="S365" s="126"/>
      <c r="T365" s="126"/>
      <c r="U365" s="126"/>
      <c r="V365" s="126"/>
      <c r="W365" s="126"/>
      <c r="X365" s="126"/>
      <c r="Y365" s="126"/>
      <c r="Z365" s="126"/>
      <c r="AA365" s="126"/>
      <c r="AB365" s="126"/>
    </row>
    <row r="366" spans="1:28" ht="15.75" customHeight="1">
      <c r="A366" s="126"/>
      <c r="B366" s="126"/>
      <c r="C366" s="176"/>
      <c r="D366" s="176"/>
      <c r="E366" s="176"/>
      <c r="F366" s="176"/>
      <c r="G366" s="176"/>
      <c r="H366" s="176"/>
      <c r="I366" s="126"/>
      <c r="J366" s="126"/>
      <c r="K366" s="126"/>
      <c r="L366" s="126"/>
      <c r="M366" s="126"/>
      <c r="N366" s="126"/>
      <c r="O366" s="126"/>
      <c r="P366" s="126"/>
      <c r="Q366" s="126"/>
      <c r="R366" s="126"/>
      <c r="S366" s="126"/>
      <c r="T366" s="126"/>
      <c r="U366" s="126"/>
      <c r="V366" s="126"/>
      <c r="W366" s="126"/>
      <c r="X366" s="126"/>
      <c r="Y366" s="126"/>
      <c r="Z366" s="126"/>
      <c r="AA366" s="126"/>
      <c r="AB366" s="126"/>
    </row>
    <row r="367" spans="1:28" ht="15.75" customHeight="1">
      <c r="A367" s="126"/>
      <c r="B367" s="126"/>
      <c r="C367" s="176"/>
      <c r="D367" s="176"/>
      <c r="E367" s="176"/>
      <c r="F367" s="176"/>
      <c r="G367" s="176"/>
      <c r="H367" s="176"/>
      <c r="I367" s="126"/>
      <c r="J367" s="126"/>
      <c r="K367" s="126"/>
      <c r="L367" s="126"/>
      <c r="M367" s="126"/>
      <c r="N367" s="126"/>
      <c r="O367" s="126"/>
      <c r="P367" s="126"/>
      <c r="Q367" s="126"/>
      <c r="R367" s="126"/>
      <c r="S367" s="126"/>
      <c r="T367" s="126"/>
      <c r="U367" s="126"/>
      <c r="V367" s="126"/>
      <c r="W367" s="126"/>
      <c r="X367" s="126"/>
      <c r="Y367" s="126"/>
      <c r="Z367" s="126"/>
      <c r="AA367" s="126"/>
      <c r="AB367" s="126"/>
    </row>
    <row r="368" spans="1:28" ht="15.75" customHeight="1">
      <c r="A368" s="126"/>
      <c r="B368" s="126"/>
      <c r="C368" s="176"/>
      <c r="D368" s="176"/>
      <c r="E368" s="176"/>
      <c r="F368" s="176"/>
      <c r="G368" s="176"/>
      <c r="H368" s="176"/>
      <c r="I368" s="126"/>
      <c r="J368" s="126"/>
      <c r="K368" s="126"/>
      <c r="L368" s="126"/>
      <c r="M368" s="126"/>
      <c r="N368" s="126"/>
      <c r="O368" s="126"/>
      <c r="P368" s="126"/>
      <c r="Q368" s="126"/>
      <c r="R368" s="126"/>
      <c r="S368" s="126"/>
      <c r="T368" s="126"/>
      <c r="U368" s="126"/>
      <c r="V368" s="126"/>
      <c r="W368" s="126"/>
      <c r="X368" s="126"/>
      <c r="Y368" s="126"/>
      <c r="Z368" s="126"/>
      <c r="AA368" s="126"/>
      <c r="AB368" s="126"/>
    </row>
    <row r="369" spans="1:28" ht="15.75" customHeight="1">
      <c r="A369" s="126"/>
      <c r="B369" s="126"/>
      <c r="C369" s="176"/>
      <c r="D369" s="176"/>
      <c r="E369" s="176"/>
      <c r="F369" s="176"/>
      <c r="G369" s="176"/>
      <c r="H369" s="176"/>
      <c r="I369" s="126"/>
      <c r="J369" s="126"/>
      <c r="K369" s="126"/>
      <c r="L369" s="126"/>
      <c r="M369" s="126"/>
      <c r="N369" s="126"/>
      <c r="O369" s="126"/>
      <c r="P369" s="126"/>
      <c r="Q369" s="126"/>
      <c r="R369" s="126"/>
      <c r="S369" s="126"/>
      <c r="T369" s="126"/>
      <c r="U369" s="126"/>
      <c r="V369" s="126"/>
      <c r="W369" s="126"/>
      <c r="X369" s="126"/>
      <c r="Y369" s="126"/>
      <c r="Z369" s="126"/>
      <c r="AA369" s="126"/>
      <c r="AB369" s="126"/>
    </row>
    <row r="370" spans="1:28" ht="15.75" customHeight="1">
      <c r="A370" s="126"/>
      <c r="B370" s="126"/>
      <c r="C370" s="176"/>
      <c r="D370" s="176"/>
      <c r="E370" s="176"/>
      <c r="F370" s="176"/>
      <c r="G370" s="176"/>
      <c r="H370" s="176"/>
      <c r="I370" s="126"/>
      <c r="J370" s="126"/>
      <c r="K370" s="126"/>
      <c r="L370" s="126"/>
      <c r="M370" s="126"/>
      <c r="N370" s="126"/>
      <c r="O370" s="126"/>
      <c r="P370" s="126"/>
      <c r="Q370" s="126"/>
      <c r="R370" s="126"/>
      <c r="S370" s="126"/>
      <c r="T370" s="126"/>
      <c r="U370" s="126"/>
      <c r="V370" s="126"/>
      <c r="W370" s="126"/>
      <c r="X370" s="126"/>
      <c r="Y370" s="126"/>
      <c r="Z370" s="126"/>
      <c r="AA370" s="126"/>
      <c r="AB370" s="126"/>
    </row>
    <row r="371" spans="1:28" ht="15.75" customHeight="1">
      <c r="A371" s="126"/>
      <c r="B371" s="126"/>
      <c r="C371" s="176"/>
      <c r="D371" s="176"/>
      <c r="E371" s="176"/>
      <c r="F371" s="176"/>
      <c r="G371" s="176"/>
      <c r="H371" s="176"/>
      <c r="I371" s="126"/>
      <c r="J371" s="126"/>
      <c r="K371" s="126"/>
      <c r="L371" s="126"/>
      <c r="M371" s="126"/>
      <c r="N371" s="126"/>
      <c r="O371" s="126"/>
      <c r="P371" s="126"/>
      <c r="Q371" s="126"/>
      <c r="R371" s="126"/>
      <c r="S371" s="126"/>
      <c r="T371" s="126"/>
      <c r="U371" s="126"/>
      <c r="V371" s="126"/>
      <c r="W371" s="126"/>
      <c r="X371" s="126"/>
      <c r="Y371" s="126"/>
      <c r="Z371" s="126"/>
      <c r="AA371" s="126"/>
      <c r="AB371" s="126"/>
    </row>
    <row r="372" spans="1:28" ht="15.75" customHeight="1">
      <c r="A372" s="126"/>
      <c r="B372" s="126"/>
      <c r="C372" s="176"/>
      <c r="D372" s="176"/>
      <c r="E372" s="176"/>
      <c r="F372" s="176"/>
      <c r="G372" s="176"/>
      <c r="H372" s="176"/>
      <c r="I372" s="126"/>
      <c r="J372" s="126"/>
      <c r="K372" s="126"/>
      <c r="L372" s="126"/>
      <c r="M372" s="126"/>
      <c r="N372" s="126"/>
      <c r="O372" s="126"/>
      <c r="P372" s="126"/>
      <c r="Q372" s="126"/>
      <c r="R372" s="126"/>
      <c r="S372" s="126"/>
      <c r="T372" s="126"/>
      <c r="U372" s="126"/>
      <c r="V372" s="126"/>
      <c r="W372" s="126"/>
      <c r="X372" s="126"/>
      <c r="Y372" s="126"/>
      <c r="Z372" s="126"/>
      <c r="AA372" s="126"/>
      <c r="AB372" s="126"/>
    </row>
    <row r="373" spans="1:28" ht="15.75" customHeight="1">
      <c r="A373" s="126"/>
      <c r="B373" s="126"/>
      <c r="C373" s="176"/>
      <c r="D373" s="176"/>
      <c r="E373" s="176"/>
      <c r="F373" s="176"/>
      <c r="G373" s="176"/>
      <c r="H373" s="176"/>
      <c r="I373" s="126"/>
      <c r="J373" s="126"/>
      <c r="K373" s="126"/>
      <c r="L373" s="126"/>
      <c r="M373" s="126"/>
      <c r="N373" s="126"/>
      <c r="O373" s="126"/>
      <c r="P373" s="126"/>
      <c r="Q373" s="126"/>
      <c r="R373" s="126"/>
      <c r="S373" s="126"/>
      <c r="T373" s="126"/>
      <c r="U373" s="126"/>
      <c r="V373" s="126"/>
      <c r="W373" s="126"/>
      <c r="X373" s="126"/>
      <c r="Y373" s="126"/>
      <c r="Z373" s="126"/>
      <c r="AA373" s="126"/>
      <c r="AB373" s="126"/>
    </row>
    <row r="374" spans="1:28" ht="15.75" customHeight="1">
      <c r="A374" s="126"/>
      <c r="B374" s="126"/>
      <c r="C374" s="176"/>
      <c r="D374" s="176"/>
      <c r="E374" s="176"/>
      <c r="F374" s="176"/>
      <c r="G374" s="176"/>
      <c r="H374" s="176"/>
      <c r="I374" s="126"/>
      <c r="J374" s="126"/>
      <c r="K374" s="126"/>
      <c r="L374" s="126"/>
      <c r="M374" s="126"/>
      <c r="N374" s="126"/>
      <c r="O374" s="126"/>
      <c r="P374" s="126"/>
      <c r="Q374" s="126"/>
      <c r="R374" s="126"/>
      <c r="S374" s="126"/>
      <c r="T374" s="126"/>
      <c r="U374" s="126"/>
      <c r="V374" s="126"/>
      <c r="W374" s="126"/>
      <c r="X374" s="126"/>
      <c r="Y374" s="126"/>
      <c r="Z374" s="126"/>
      <c r="AA374" s="126"/>
      <c r="AB374" s="126"/>
    </row>
    <row r="375" spans="1:28" ht="15.75" customHeight="1">
      <c r="A375" s="126"/>
      <c r="B375" s="126"/>
      <c r="C375" s="176"/>
      <c r="D375" s="176"/>
      <c r="E375" s="176"/>
      <c r="F375" s="176"/>
      <c r="G375" s="176"/>
      <c r="H375" s="176"/>
      <c r="I375" s="126"/>
      <c r="J375" s="126"/>
      <c r="K375" s="126"/>
      <c r="L375" s="126"/>
      <c r="M375" s="126"/>
      <c r="N375" s="126"/>
      <c r="O375" s="126"/>
      <c r="P375" s="126"/>
      <c r="Q375" s="126"/>
      <c r="R375" s="126"/>
      <c r="S375" s="126"/>
      <c r="T375" s="126"/>
      <c r="U375" s="126"/>
      <c r="V375" s="126"/>
      <c r="W375" s="126"/>
      <c r="X375" s="126"/>
      <c r="Y375" s="126"/>
      <c r="Z375" s="126"/>
      <c r="AA375" s="126"/>
      <c r="AB375" s="126"/>
    </row>
    <row r="376" spans="1:28" ht="15.75" customHeight="1">
      <c r="A376" s="126"/>
      <c r="B376" s="126"/>
      <c r="C376" s="176"/>
      <c r="D376" s="176"/>
      <c r="E376" s="176"/>
      <c r="F376" s="176"/>
      <c r="G376" s="176"/>
      <c r="H376" s="176"/>
      <c r="I376" s="126"/>
      <c r="J376" s="126"/>
      <c r="K376" s="126"/>
      <c r="L376" s="126"/>
      <c r="M376" s="126"/>
      <c r="N376" s="126"/>
      <c r="O376" s="126"/>
      <c r="P376" s="126"/>
      <c r="Q376" s="126"/>
      <c r="R376" s="126"/>
      <c r="S376" s="126"/>
      <c r="T376" s="126"/>
      <c r="U376" s="126"/>
      <c r="V376" s="126"/>
      <c r="W376" s="126"/>
      <c r="X376" s="126"/>
      <c r="Y376" s="126"/>
      <c r="Z376" s="126"/>
      <c r="AA376" s="126"/>
      <c r="AB376" s="126"/>
    </row>
    <row r="377" spans="1:28" ht="15.75" customHeight="1">
      <c r="A377" s="126"/>
      <c r="B377" s="126"/>
      <c r="C377" s="176"/>
      <c r="D377" s="176"/>
      <c r="E377" s="176"/>
      <c r="F377" s="176"/>
      <c r="G377" s="176"/>
      <c r="H377" s="176"/>
      <c r="I377" s="126"/>
      <c r="J377" s="126"/>
      <c r="K377" s="126"/>
      <c r="L377" s="126"/>
      <c r="M377" s="126"/>
      <c r="N377" s="126"/>
      <c r="O377" s="126"/>
      <c r="P377" s="126"/>
      <c r="Q377" s="126"/>
      <c r="R377" s="126"/>
      <c r="S377" s="126"/>
      <c r="T377" s="126"/>
      <c r="U377" s="126"/>
      <c r="V377" s="126"/>
      <c r="W377" s="126"/>
      <c r="X377" s="126"/>
      <c r="Y377" s="126"/>
      <c r="Z377" s="126"/>
      <c r="AA377" s="126"/>
      <c r="AB377" s="126"/>
    </row>
    <row r="378" spans="1:28" ht="15.75" customHeight="1">
      <c r="A378" s="126"/>
      <c r="B378" s="126"/>
      <c r="C378" s="176"/>
      <c r="D378" s="176"/>
      <c r="E378" s="176"/>
      <c r="F378" s="176"/>
      <c r="G378" s="176"/>
      <c r="H378" s="176"/>
      <c r="I378" s="126"/>
      <c r="J378" s="126"/>
      <c r="K378" s="126"/>
      <c r="L378" s="126"/>
      <c r="M378" s="126"/>
      <c r="N378" s="126"/>
      <c r="O378" s="126"/>
      <c r="P378" s="126"/>
      <c r="Q378" s="126"/>
      <c r="R378" s="126"/>
      <c r="S378" s="126"/>
      <c r="T378" s="126"/>
      <c r="U378" s="126"/>
      <c r="V378" s="126"/>
      <c r="W378" s="126"/>
      <c r="X378" s="126"/>
      <c r="Y378" s="126"/>
      <c r="Z378" s="126"/>
      <c r="AA378" s="126"/>
      <c r="AB378" s="126"/>
    </row>
    <row r="379" spans="1:28" ht="15.75" customHeight="1">
      <c r="A379" s="126"/>
      <c r="B379" s="126"/>
      <c r="C379" s="176"/>
      <c r="D379" s="176"/>
      <c r="E379" s="176"/>
      <c r="F379" s="176"/>
      <c r="G379" s="176"/>
      <c r="H379" s="176"/>
      <c r="I379" s="126"/>
      <c r="J379" s="126"/>
      <c r="K379" s="126"/>
      <c r="L379" s="126"/>
      <c r="M379" s="126"/>
      <c r="N379" s="126"/>
      <c r="O379" s="126"/>
      <c r="P379" s="126"/>
      <c r="Q379" s="126"/>
      <c r="R379" s="126"/>
      <c r="S379" s="126"/>
      <c r="T379" s="126"/>
      <c r="U379" s="126"/>
      <c r="V379" s="126"/>
      <c r="W379" s="126"/>
      <c r="X379" s="126"/>
      <c r="Y379" s="126"/>
      <c r="Z379" s="126"/>
      <c r="AA379" s="126"/>
      <c r="AB379" s="126"/>
    </row>
    <row r="380" spans="1:28" ht="15.75" customHeight="1">
      <c r="A380" s="126"/>
      <c r="B380" s="126"/>
      <c r="C380" s="176"/>
      <c r="D380" s="176"/>
      <c r="E380" s="176"/>
      <c r="F380" s="176"/>
      <c r="G380" s="176"/>
      <c r="H380" s="176"/>
      <c r="I380" s="126"/>
      <c r="J380" s="126"/>
      <c r="K380" s="126"/>
      <c r="L380" s="126"/>
      <c r="M380" s="126"/>
      <c r="N380" s="126"/>
      <c r="O380" s="126"/>
      <c r="P380" s="126"/>
      <c r="Q380" s="126"/>
      <c r="R380" s="126"/>
      <c r="S380" s="126"/>
      <c r="T380" s="126"/>
      <c r="U380" s="126"/>
      <c r="V380" s="126"/>
      <c r="W380" s="126"/>
      <c r="X380" s="126"/>
      <c r="Y380" s="126"/>
      <c r="Z380" s="126"/>
      <c r="AA380" s="126"/>
      <c r="AB380" s="126"/>
    </row>
    <row r="381" spans="1:28" ht="15.75" customHeight="1">
      <c r="A381" s="126"/>
      <c r="B381" s="126"/>
      <c r="C381" s="176"/>
      <c r="D381" s="176"/>
      <c r="E381" s="176"/>
      <c r="F381" s="176"/>
      <c r="G381" s="176"/>
      <c r="H381" s="176"/>
      <c r="I381" s="126"/>
      <c r="J381" s="126"/>
      <c r="K381" s="126"/>
      <c r="L381" s="126"/>
      <c r="M381" s="126"/>
      <c r="N381" s="126"/>
      <c r="O381" s="126"/>
      <c r="P381" s="126"/>
      <c r="Q381" s="126"/>
      <c r="R381" s="126"/>
      <c r="S381" s="126"/>
      <c r="T381" s="126"/>
      <c r="U381" s="126"/>
      <c r="V381" s="126"/>
      <c r="W381" s="126"/>
      <c r="X381" s="126"/>
      <c r="Y381" s="126"/>
      <c r="Z381" s="126"/>
      <c r="AA381" s="126"/>
      <c r="AB381" s="126"/>
    </row>
    <row r="382" spans="1:28" ht="15.75" customHeight="1">
      <c r="A382" s="126"/>
      <c r="B382" s="126"/>
      <c r="C382" s="176"/>
      <c r="D382" s="176"/>
      <c r="E382" s="176"/>
      <c r="F382" s="176"/>
      <c r="G382" s="176"/>
      <c r="H382" s="176"/>
      <c r="I382" s="126"/>
      <c r="J382" s="126"/>
      <c r="K382" s="126"/>
      <c r="L382" s="126"/>
      <c r="M382" s="126"/>
      <c r="N382" s="126"/>
      <c r="O382" s="126"/>
      <c r="P382" s="126"/>
      <c r="Q382" s="126"/>
      <c r="R382" s="126"/>
      <c r="S382" s="126"/>
      <c r="T382" s="126"/>
      <c r="U382" s="126"/>
      <c r="V382" s="126"/>
      <c r="W382" s="126"/>
      <c r="X382" s="126"/>
      <c r="Y382" s="126"/>
      <c r="Z382" s="126"/>
      <c r="AA382" s="126"/>
      <c r="AB382" s="126"/>
    </row>
    <row r="383" spans="1:28" ht="15.75" customHeight="1">
      <c r="A383" s="126"/>
      <c r="B383" s="126"/>
      <c r="C383" s="176"/>
      <c r="D383" s="176"/>
      <c r="E383" s="176"/>
      <c r="F383" s="176"/>
      <c r="G383" s="176"/>
      <c r="H383" s="176"/>
      <c r="I383" s="126"/>
      <c r="J383" s="126"/>
      <c r="K383" s="126"/>
      <c r="L383" s="126"/>
      <c r="M383" s="126"/>
      <c r="N383" s="126"/>
      <c r="O383" s="126"/>
      <c r="P383" s="126"/>
      <c r="Q383" s="126"/>
      <c r="R383" s="126"/>
      <c r="S383" s="126"/>
      <c r="T383" s="126"/>
      <c r="U383" s="126"/>
      <c r="V383" s="126"/>
      <c r="W383" s="126"/>
      <c r="X383" s="126"/>
      <c r="Y383" s="126"/>
      <c r="Z383" s="126"/>
      <c r="AA383" s="126"/>
      <c r="AB383" s="126"/>
    </row>
    <row r="384" spans="1:28" ht="15.75" customHeight="1">
      <c r="A384" s="126"/>
      <c r="B384" s="126"/>
      <c r="C384" s="176"/>
      <c r="D384" s="176"/>
      <c r="E384" s="176"/>
      <c r="F384" s="176"/>
      <c r="G384" s="176"/>
      <c r="H384" s="176"/>
      <c r="I384" s="126"/>
      <c r="J384" s="126"/>
      <c r="K384" s="126"/>
      <c r="L384" s="126"/>
      <c r="M384" s="126"/>
      <c r="N384" s="126"/>
      <c r="O384" s="126"/>
      <c r="P384" s="126"/>
      <c r="Q384" s="126"/>
      <c r="R384" s="126"/>
      <c r="S384" s="126"/>
      <c r="T384" s="126"/>
      <c r="U384" s="126"/>
      <c r="V384" s="126"/>
      <c r="W384" s="126"/>
      <c r="X384" s="126"/>
      <c r="Y384" s="126"/>
      <c r="Z384" s="126"/>
      <c r="AA384" s="126"/>
      <c r="AB384" s="126"/>
    </row>
    <row r="385" spans="1:28" ht="15.75" customHeight="1">
      <c r="A385" s="126"/>
      <c r="B385" s="126"/>
      <c r="C385" s="176"/>
      <c r="D385" s="176"/>
      <c r="E385" s="176"/>
      <c r="F385" s="176"/>
      <c r="G385" s="176"/>
      <c r="H385" s="176"/>
      <c r="I385" s="126"/>
      <c r="J385" s="126"/>
      <c r="K385" s="126"/>
      <c r="L385" s="126"/>
      <c r="M385" s="126"/>
      <c r="N385" s="126"/>
      <c r="O385" s="126"/>
      <c r="P385" s="126"/>
      <c r="Q385" s="126"/>
      <c r="R385" s="126"/>
      <c r="S385" s="126"/>
      <c r="T385" s="126"/>
      <c r="U385" s="126"/>
      <c r="V385" s="126"/>
      <c r="W385" s="126"/>
      <c r="X385" s="126"/>
      <c r="Y385" s="126"/>
      <c r="Z385" s="126"/>
      <c r="AA385" s="126"/>
      <c r="AB385" s="126"/>
    </row>
    <row r="386" spans="1:28" ht="15.75" customHeight="1">
      <c r="A386" s="126"/>
      <c r="B386" s="126"/>
      <c r="C386" s="176"/>
      <c r="D386" s="176"/>
      <c r="E386" s="176"/>
      <c r="F386" s="176"/>
      <c r="G386" s="176"/>
      <c r="H386" s="176"/>
      <c r="I386" s="126"/>
      <c r="J386" s="126"/>
      <c r="K386" s="126"/>
      <c r="L386" s="126"/>
      <c r="M386" s="126"/>
      <c r="N386" s="126"/>
      <c r="O386" s="126"/>
      <c r="P386" s="126"/>
      <c r="Q386" s="126"/>
      <c r="R386" s="126"/>
      <c r="S386" s="126"/>
      <c r="T386" s="126"/>
      <c r="U386" s="126"/>
      <c r="V386" s="126"/>
      <c r="W386" s="126"/>
      <c r="X386" s="126"/>
      <c r="Y386" s="126"/>
      <c r="Z386" s="126"/>
      <c r="AA386" s="126"/>
      <c r="AB386" s="126"/>
    </row>
    <row r="387" spans="1:28" ht="15.75" customHeight="1">
      <c r="A387" s="126"/>
      <c r="B387" s="126"/>
      <c r="C387" s="176"/>
      <c r="D387" s="176"/>
      <c r="E387" s="176"/>
      <c r="F387" s="176"/>
      <c r="G387" s="176"/>
      <c r="H387" s="176"/>
      <c r="I387" s="126"/>
      <c r="J387" s="126"/>
      <c r="K387" s="126"/>
      <c r="L387" s="126"/>
      <c r="M387" s="126"/>
      <c r="N387" s="126"/>
      <c r="O387" s="126"/>
      <c r="P387" s="126"/>
      <c r="Q387" s="126"/>
      <c r="R387" s="126"/>
      <c r="S387" s="126"/>
      <c r="T387" s="126"/>
      <c r="U387" s="126"/>
      <c r="V387" s="126"/>
      <c r="W387" s="126"/>
      <c r="X387" s="126"/>
      <c r="Y387" s="126"/>
      <c r="Z387" s="126"/>
      <c r="AA387" s="126"/>
      <c r="AB387" s="126"/>
    </row>
    <row r="388" spans="1:28" ht="15.75" customHeight="1">
      <c r="A388" s="126"/>
      <c r="B388" s="126"/>
      <c r="C388" s="176"/>
      <c r="D388" s="176"/>
      <c r="E388" s="176"/>
      <c r="F388" s="176"/>
      <c r="G388" s="176"/>
      <c r="H388" s="176"/>
      <c r="I388" s="126"/>
      <c r="J388" s="126"/>
      <c r="K388" s="126"/>
      <c r="L388" s="126"/>
      <c r="M388" s="126"/>
      <c r="N388" s="126"/>
      <c r="O388" s="126"/>
      <c r="P388" s="126"/>
      <c r="Q388" s="126"/>
      <c r="R388" s="126"/>
      <c r="S388" s="126"/>
      <c r="T388" s="126"/>
      <c r="U388" s="126"/>
      <c r="V388" s="126"/>
      <c r="W388" s="126"/>
      <c r="X388" s="126"/>
      <c r="Y388" s="126"/>
      <c r="Z388" s="126"/>
      <c r="AA388" s="126"/>
      <c r="AB388" s="126"/>
    </row>
    <row r="389" spans="1:28" ht="15.75" customHeight="1">
      <c r="A389" s="126"/>
      <c r="B389" s="126"/>
      <c r="C389" s="176"/>
      <c r="D389" s="176"/>
      <c r="E389" s="176"/>
      <c r="F389" s="176"/>
      <c r="G389" s="176"/>
      <c r="H389" s="176"/>
      <c r="I389" s="126"/>
      <c r="J389" s="126"/>
      <c r="K389" s="126"/>
      <c r="L389" s="126"/>
      <c r="M389" s="126"/>
      <c r="N389" s="126"/>
      <c r="O389" s="126"/>
      <c r="P389" s="126"/>
      <c r="Q389" s="126"/>
      <c r="R389" s="126"/>
      <c r="S389" s="126"/>
      <c r="T389" s="126"/>
      <c r="U389" s="126"/>
      <c r="V389" s="126"/>
      <c r="W389" s="126"/>
      <c r="X389" s="126"/>
      <c r="Y389" s="126"/>
      <c r="Z389" s="126"/>
      <c r="AA389" s="126"/>
      <c r="AB389" s="126"/>
    </row>
    <row r="390" spans="1:28" ht="15.75" customHeight="1">
      <c r="A390" s="126"/>
      <c r="B390" s="126"/>
      <c r="C390" s="176"/>
      <c r="D390" s="176"/>
      <c r="E390" s="176"/>
      <c r="F390" s="176"/>
      <c r="G390" s="176"/>
      <c r="H390" s="176"/>
      <c r="I390" s="126"/>
      <c r="J390" s="126"/>
      <c r="K390" s="126"/>
      <c r="L390" s="126"/>
      <c r="M390" s="126"/>
      <c r="N390" s="126"/>
      <c r="O390" s="126"/>
      <c r="P390" s="126"/>
      <c r="Q390" s="126"/>
      <c r="R390" s="126"/>
      <c r="S390" s="126"/>
      <c r="T390" s="126"/>
      <c r="U390" s="126"/>
      <c r="V390" s="126"/>
      <c r="W390" s="126"/>
      <c r="X390" s="126"/>
      <c r="Y390" s="126"/>
      <c r="Z390" s="126"/>
      <c r="AA390" s="126"/>
      <c r="AB390" s="126"/>
    </row>
    <row r="391" spans="1:28" ht="15.75" customHeight="1">
      <c r="A391" s="126"/>
      <c r="B391" s="126"/>
      <c r="C391" s="176"/>
      <c r="D391" s="176"/>
      <c r="E391" s="176"/>
      <c r="F391" s="176"/>
      <c r="G391" s="176"/>
      <c r="H391" s="176"/>
      <c r="I391" s="126"/>
      <c r="J391" s="126"/>
      <c r="K391" s="126"/>
      <c r="L391" s="126"/>
      <c r="M391" s="126"/>
      <c r="N391" s="126"/>
      <c r="O391" s="126"/>
      <c r="P391" s="126"/>
      <c r="Q391" s="126"/>
      <c r="R391" s="126"/>
      <c r="S391" s="126"/>
      <c r="T391" s="126"/>
      <c r="U391" s="126"/>
      <c r="V391" s="126"/>
      <c r="W391" s="126"/>
      <c r="X391" s="126"/>
      <c r="Y391" s="126"/>
      <c r="Z391" s="126"/>
      <c r="AA391" s="126"/>
      <c r="AB391" s="126"/>
    </row>
    <row r="392" spans="1:28" ht="15.75" customHeight="1">
      <c r="A392" s="126"/>
      <c r="B392" s="126"/>
      <c r="C392" s="176"/>
      <c r="D392" s="176"/>
      <c r="E392" s="176"/>
      <c r="F392" s="176"/>
      <c r="G392" s="176"/>
      <c r="H392" s="176"/>
      <c r="I392" s="126"/>
      <c r="J392" s="126"/>
      <c r="K392" s="126"/>
      <c r="L392" s="126"/>
      <c r="M392" s="126"/>
      <c r="N392" s="126"/>
      <c r="O392" s="126"/>
      <c r="P392" s="126"/>
      <c r="Q392" s="126"/>
      <c r="R392" s="126"/>
      <c r="S392" s="126"/>
      <c r="T392" s="126"/>
      <c r="U392" s="126"/>
      <c r="V392" s="126"/>
      <c r="W392" s="126"/>
      <c r="X392" s="126"/>
      <c r="Y392" s="126"/>
      <c r="Z392" s="126"/>
      <c r="AA392" s="126"/>
      <c r="AB392" s="126"/>
    </row>
    <row r="393" spans="1:28" ht="15.75" customHeight="1">
      <c r="A393" s="126"/>
      <c r="B393" s="126"/>
      <c r="C393" s="176"/>
      <c r="D393" s="176"/>
      <c r="E393" s="176"/>
      <c r="F393" s="176"/>
      <c r="G393" s="176"/>
      <c r="H393" s="176"/>
      <c r="I393" s="126"/>
      <c r="J393" s="126"/>
      <c r="K393" s="126"/>
      <c r="L393" s="126"/>
      <c r="M393" s="126"/>
      <c r="N393" s="126"/>
      <c r="O393" s="126"/>
      <c r="P393" s="126"/>
      <c r="Q393" s="126"/>
      <c r="R393" s="126"/>
      <c r="S393" s="126"/>
      <c r="T393" s="126"/>
      <c r="U393" s="126"/>
      <c r="V393" s="126"/>
      <c r="W393" s="126"/>
      <c r="X393" s="126"/>
      <c r="Y393" s="126"/>
      <c r="Z393" s="126"/>
      <c r="AA393" s="126"/>
      <c r="AB393" s="126"/>
    </row>
    <row r="394" spans="1:28" ht="15.75" customHeight="1">
      <c r="A394" s="126"/>
      <c r="B394" s="126"/>
      <c r="C394" s="176"/>
      <c r="D394" s="176"/>
      <c r="E394" s="176"/>
      <c r="F394" s="176"/>
      <c r="G394" s="176"/>
      <c r="H394" s="176"/>
      <c r="I394" s="126"/>
      <c r="J394" s="126"/>
      <c r="K394" s="126"/>
      <c r="L394" s="126"/>
      <c r="M394" s="126"/>
      <c r="N394" s="126"/>
      <c r="O394" s="126"/>
      <c r="P394" s="126"/>
      <c r="Q394" s="126"/>
      <c r="R394" s="126"/>
      <c r="S394" s="126"/>
      <c r="T394" s="126"/>
      <c r="U394" s="126"/>
      <c r="V394" s="126"/>
      <c r="W394" s="126"/>
      <c r="X394" s="126"/>
      <c r="Y394" s="126"/>
      <c r="Z394" s="126"/>
      <c r="AA394" s="126"/>
      <c r="AB394" s="126"/>
    </row>
    <row r="395" spans="1:28" ht="15.75" customHeight="1">
      <c r="A395" s="126"/>
      <c r="B395" s="126"/>
      <c r="C395" s="176"/>
      <c r="D395" s="176"/>
      <c r="E395" s="176"/>
      <c r="F395" s="176"/>
      <c r="G395" s="176"/>
      <c r="H395" s="176"/>
      <c r="I395" s="126"/>
      <c r="J395" s="126"/>
      <c r="K395" s="126"/>
      <c r="L395" s="126"/>
      <c r="M395" s="126"/>
      <c r="N395" s="126"/>
      <c r="O395" s="126"/>
      <c r="P395" s="126"/>
      <c r="Q395" s="126"/>
      <c r="R395" s="126"/>
      <c r="S395" s="126"/>
      <c r="T395" s="126"/>
      <c r="U395" s="126"/>
      <c r="V395" s="126"/>
      <c r="W395" s="126"/>
      <c r="X395" s="126"/>
      <c r="Y395" s="126"/>
      <c r="Z395" s="126"/>
      <c r="AA395" s="126"/>
      <c r="AB395" s="126"/>
    </row>
    <row r="396" spans="1:28" ht="15.75" customHeight="1">
      <c r="A396" s="126"/>
      <c r="B396" s="126"/>
      <c r="C396" s="176"/>
      <c r="D396" s="176"/>
      <c r="E396" s="176"/>
      <c r="F396" s="176"/>
      <c r="G396" s="176"/>
      <c r="H396" s="176"/>
      <c r="I396" s="126"/>
      <c r="J396" s="126"/>
      <c r="K396" s="126"/>
      <c r="L396" s="126"/>
      <c r="M396" s="126"/>
      <c r="N396" s="126"/>
      <c r="O396" s="126"/>
      <c r="P396" s="126"/>
      <c r="Q396" s="126"/>
      <c r="R396" s="126"/>
      <c r="S396" s="126"/>
      <c r="T396" s="126"/>
      <c r="U396" s="126"/>
      <c r="V396" s="126"/>
      <c r="W396" s="126"/>
      <c r="X396" s="126"/>
      <c r="Y396" s="126"/>
      <c r="Z396" s="126"/>
      <c r="AA396" s="126"/>
      <c r="AB396" s="126"/>
    </row>
    <row r="397" spans="1:28" ht="15.75" customHeight="1">
      <c r="A397" s="126"/>
      <c r="B397" s="126"/>
      <c r="C397" s="176"/>
      <c r="D397" s="176"/>
      <c r="E397" s="176"/>
      <c r="F397" s="176"/>
      <c r="G397" s="176"/>
      <c r="H397" s="176"/>
      <c r="I397" s="126"/>
      <c r="J397" s="126"/>
      <c r="K397" s="126"/>
      <c r="L397" s="126"/>
      <c r="M397" s="126"/>
      <c r="N397" s="126"/>
      <c r="O397" s="126"/>
      <c r="P397" s="126"/>
      <c r="Q397" s="126"/>
      <c r="R397" s="126"/>
      <c r="S397" s="126"/>
      <c r="T397" s="126"/>
      <c r="U397" s="126"/>
      <c r="V397" s="126"/>
      <c r="W397" s="126"/>
      <c r="X397" s="126"/>
      <c r="Y397" s="126"/>
      <c r="Z397" s="126"/>
      <c r="AA397" s="126"/>
      <c r="AB397" s="126"/>
    </row>
    <row r="398" spans="1:28" ht="15.75" customHeight="1">
      <c r="A398" s="126"/>
      <c r="B398" s="126"/>
      <c r="C398" s="176"/>
      <c r="D398" s="176"/>
      <c r="E398" s="176"/>
      <c r="F398" s="176"/>
      <c r="G398" s="176"/>
      <c r="H398" s="176"/>
      <c r="I398" s="126"/>
      <c r="J398" s="126"/>
      <c r="K398" s="126"/>
      <c r="L398" s="126"/>
      <c r="M398" s="126"/>
      <c r="N398" s="126"/>
      <c r="O398" s="126"/>
      <c r="P398" s="126"/>
      <c r="Q398" s="126"/>
      <c r="R398" s="126"/>
      <c r="S398" s="126"/>
      <c r="T398" s="126"/>
      <c r="U398" s="126"/>
      <c r="V398" s="126"/>
      <c r="W398" s="126"/>
      <c r="X398" s="126"/>
      <c r="Y398" s="126"/>
      <c r="Z398" s="126"/>
      <c r="AA398" s="126"/>
      <c r="AB398" s="126"/>
    </row>
    <row r="399" spans="1:28" ht="15.75" customHeight="1">
      <c r="A399" s="126"/>
      <c r="B399" s="126"/>
      <c r="C399" s="176"/>
      <c r="D399" s="176"/>
      <c r="E399" s="176"/>
      <c r="F399" s="176"/>
      <c r="G399" s="176"/>
      <c r="H399" s="176"/>
      <c r="I399" s="126"/>
      <c r="J399" s="126"/>
      <c r="K399" s="126"/>
      <c r="L399" s="126"/>
      <c r="M399" s="126"/>
      <c r="N399" s="126"/>
      <c r="O399" s="126"/>
      <c r="P399" s="126"/>
      <c r="Q399" s="126"/>
      <c r="R399" s="126"/>
      <c r="S399" s="126"/>
      <c r="T399" s="126"/>
      <c r="U399" s="126"/>
      <c r="V399" s="126"/>
      <c r="W399" s="126"/>
      <c r="X399" s="126"/>
      <c r="Y399" s="126"/>
      <c r="Z399" s="126"/>
      <c r="AA399" s="126"/>
      <c r="AB399" s="126"/>
    </row>
    <row r="400" spans="1:28" ht="15.75" customHeight="1">
      <c r="A400" s="126"/>
      <c r="B400" s="126"/>
      <c r="C400" s="176"/>
      <c r="D400" s="176"/>
      <c r="E400" s="176"/>
      <c r="F400" s="176"/>
      <c r="G400" s="176"/>
      <c r="H400" s="176"/>
      <c r="I400" s="126"/>
      <c r="J400" s="126"/>
      <c r="K400" s="126"/>
      <c r="L400" s="126"/>
      <c r="M400" s="126"/>
      <c r="N400" s="126"/>
      <c r="O400" s="126"/>
      <c r="P400" s="126"/>
      <c r="Q400" s="126"/>
      <c r="R400" s="126"/>
      <c r="S400" s="126"/>
      <c r="T400" s="126"/>
      <c r="U400" s="126"/>
      <c r="V400" s="126"/>
      <c r="W400" s="126"/>
      <c r="X400" s="126"/>
      <c r="Y400" s="126"/>
      <c r="Z400" s="126"/>
      <c r="AA400" s="126"/>
      <c r="AB400" s="126"/>
    </row>
    <row r="401" spans="1:28" ht="15.75" customHeight="1">
      <c r="A401" s="126"/>
      <c r="B401" s="126"/>
      <c r="C401" s="176"/>
      <c r="D401" s="176"/>
      <c r="E401" s="176"/>
      <c r="F401" s="176"/>
      <c r="G401" s="176"/>
      <c r="H401" s="176"/>
      <c r="I401" s="126"/>
      <c r="J401" s="126"/>
      <c r="K401" s="126"/>
      <c r="L401" s="126"/>
      <c r="M401" s="126"/>
      <c r="N401" s="126"/>
      <c r="O401" s="126"/>
      <c r="P401" s="126"/>
      <c r="Q401" s="126"/>
      <c r="R401" s="126"/>
      <c r="S401" s="126"/>
      <c r="T401" s="126"/>
      <c r="U401" s="126"/>
      <c r="V401" s="126"/>
      <c r="W401" s="126"/>
      <c r="X401" s="126"/>
      <c r="Y401" s="126"/>
      <c r="Z401" s="126"/>
      <c r="AA401" s="126"/>
      <c r="AB401" s="126"/>
    </row>
    <row r="402" spans="1:28" ht="15.75" customHeight="1">
      <c r="A402" s="126"/>
      <c r="B402" s="126"/>
      <c r="C402" s="176"/>
      <c r="D402" s="176"/>
      <c r="E402" s="176"/>
      <c r="F402" s="176"/>
      <c r="G402" s="176"/>
      <c r="H402" s="176"/>
      <c r="I402" s="126"/>
      <c r="J402" s="126"/>
      <c r="K402" s="126"/>
      <c r="L402" s="126"/>
      <c r="M402" s="126"/>
      <c r="N402" s="126"/>
      <c r="O402" s="126"/>
      <c r="P402" s="126"/>
      <c r="Q402" s="126"/>
      <c r="R402" s="126"/>
      <c r="S402" s="126"/>
      <c r="T402" s="126"/>
      <c r="U402" s="126"/>
      <c r="V402" s="126"/>
      <c r="W402" s="126"/>
      <c r="X402" s="126"/>
      <c r="Y402" s="126"/>
      <c r="Z402" s="126"/>
      <c r="AA402" s="126"/>
      <c r="AB402" s="126"/>
    </row>
    <row r="403" spans="1:28" ht="15.75" customHeight="1">
      <c r="A403" s="126"/>
      <c r="B403" s="126"/>
      <c r="C403" s="176"/>
      <c r="D403" s="176"/>
      <c r="E403" s="176"/>
      <c r="F403" s="176"/>
      <c r="G403" s="176"/>
      <c r="H403" s="176"/>
      <c r="I403" s="126"/>
      <c r="J403" s="126"/>
      <c r="K403" s="126"/>
      <c r="L403" s="126"/>
      <c r="M403" s="126"/>
      <c r="N403" s="126"/>
      <c r="O403" s="126"/>
      <c r="P403" s="126"/>
      <c r="Q403" s="126"/>
      <c r="R403" s="126"/>
      <c r="S403" s="126"/>
      <c r="T403" s="126"/>
      <c r="U403" s="126"/>
      <c r="V403" s="126"/>
      <c r="W403" s="126"/>
      <c r="X403" s="126"/>
      <c r="Y403" s="126"/>
      <c r="Z403" s="126"/>
      <c r="AA403" s="126"/>
      <c r="AB403" s="126"/>
    </row>
    <row r="404" spans="1:28" ht="15.75" customHeight="1">
      <c r="A404" s="126"/>
      <c r="B404" s="126"/>
      <c r="C404" s="176"/>
      <c r="D404" s="176"/>
      <c r="E404" s="176"/>
      <c r="F404" s="176"/>
      <c r="G404" s="176"/>
      <c r="H404" s="176"/>
      <c r="I404" s="126"/>
      <c r="J404" s="126"/>
      <c r="K404" s="126"/>
      <c r="L404" s="126"/>
      <c r="M404" s="126"/>
      <c r="N404" s="126"/>
      <c r="O404" s="126"/>
      <c r="P404" s="126"/>
      <c r="Q404" s="126"/>
      <c r="R404" s="126"/>
      <c r="S404" s="126"/>
      <c r="T404" s="126"/>
      <c r="U404" s="126"/>
      <c r="V404" s="126"/>
      <c r="W404" s="126"/>
      <c r="X404" s="126"/>
      <c r="Y404" s="126"/>
      <c r="Z404" s="126"/>
      <c r="AA404" s="126"/>
      <c r="AB404" s="126"/>
    </row>
    <row r="405" spans="1:28" ht="15.75" customHeight="1">
      <c r="A405" s="126"/>
      <c r="B405" s="126"/>
      <c r="C405" s="176"/>
      <c r="D405" s="176"/>
      <c r="E405" s="176"/>
      <c r="F405" s="176"/>
      <c r="G405" s="176"/>
      <c r="H405" s="176"/>
      <c r="I405" s="126"/>
      <c r="J405" s="126"/>
      <c r="K405" s="126"/>
      <c r="L405" s="126"/>
      <c r="M405" s="126"/>
      <c r="N405" s="126"/>
      <c r="O405" s="126"/>
      <c r="P405" s="126"/>
      <c r="Q405" s="126"/>
      <c r="R405" s="126"/>
      <c r="S405" s="126"/>
      <c r="T405" s="126"/>
      <c r="U405" s="126"/>
      <c r="V405" s="126"/>
      <c r="W405" s="126"/>
      <c r="X405" s="126"/>
      <c r="Y405" s="126"/>
      <c r="Z405" s="126"/>
      <c r="AA405" s="126"/>
      <c r="AB405" s="126"/>
    </row>
    <row r="406" spans="1:28" ht="15.75" customHeight="1">
      <c r="A406" s="126"/>
      <c r="B406" s="126"/>
      <c r="C406" s="176"/>
      <c r="D406" s="176"/>
      <c r="E406" s="176"/>
      <c r="F406" s="176"/>
      <c r="G406" s="176"/>
      <c r="H406" s="176"/>
      <c r="I406" s="126"/>
      <c r="J406" s="126"/>
      <c r="K406" s="126"/>
      <c r="L406" s="126"/>
      <c r="M406" s="126"/>
      <c r="N406" s="126"/>
      <c r="O406" s="126"/>
      <c r="P406" s="126"/>
      <c r="Q406" s="126"/>
      <c r="R406" s="126"/>
      <c r="S406" s="126"/>
      <c r="T406" s="126"/>
      <c r="U406" s="126"/>
      <c r="V406" s="126"/>
      <c r="W406" s="126"/>
      <c r="X406" s="126"/>
      <c r="Y406" s="126"/>
      <c r="Z406" s="126"/>
      <c r="AA406" s="126"/>
      <c r="AB406" s="126"/>
    </row>
    <row r="407" spans="1:28" ht="15.75" customHeight="1">
      <c r="A407" s="126"/>
      <c r="B407" s="126"/>
      <c r="C407" s="176"/>
      <c r="D407" s="176"/>
      <c r="E407" s="176"/>
      <c r="F407" s="176"/>
      <c r="G407" s="176"/>
      <c r="H407" s="176"/>
      <c r="I407" s="126"/>
      <c r="J407" s="126"/>
      <c r="K407" s="126"/>
      <c r="L407" s="126"/>
      <c r="M407" s="126"/>
      <c r="N407" s="126"/>
      <c r="O407" s="126"/>
      <c r="P407" s="126"/>
      <c r="Q407" s="126"/>
      <c r="R407" s="126"/>
      <c r="S407" s="126"/>
      <c r="T407" s="126"/>
      <c r="U407" s="126"/>
      <c r="V407" s="126"/>
      <c r="W407" s="126"/>
      <c r="X407" s="126"/>
      <c r="Y407" s="126"/>
      <c r="Z407" s="126"/>
      <c r="AA407" s="126"/>
      <c r="AB407" s="126"/>
    </row>
    <row r="408" spans="1:28" ht="15.75" customHeight="1">
      <c r="A408" s="126"/>
      <c r="B408" s="126"/>
      <c r="C408" s="176"/>
      <c r="D408" s="176"/>
      <c r="E408" s="176"/>
      <c r="F408" s="176"/>
      <c r="G408" s="176"/>
      <c r="H408" s="176"/>
      <c r="I408" s="126"/>
      <c r="J408" s="126"/>
      <c r="K408" s="126"/>
      <c r="L408" s="126"/>
      <c r="M408" s="126"/>
      <c r="N408" s="126"/>
      <c r="O408" s="126"/>
      <c r="P408" s="126"/>
      <c r="Q408" s="126"/>
      <c r="R408" s="126"/>
      <c r="S408" s="126"/>
      <c r="T408" s="126"/>
      <c r="U408" s="126"/>
      <c r="V408" s="126"/>
      <c r="W408" s="126"/>
      <c r="X408" s="126"/>
      <c r="Y408" s="126"/>
      <c r="Z408" s="126"/>
      <c r="AA408" s="126"/>
      <c r="AB408" s="126"/>
    </row>
    <row r="409" spans="1:28" ht="15.75" customHeight="1">
      <c r="A409" s="126"/>
      <c r="B409" s="126"/>
      <c r="C409" s="176"/>
      <c r="D409" s="176"/>
      <c r="E409" s="176"/>
      <c r="F409" s="176"/>
      <c r="G409" s="176"/>
      <c r="H409" s="176"/>
      <c r="I409" s="126"/>
      <c r="J409" s="126"/>
      <c r="K409" s="126"/>
      <c r="L409" s="126"/>
      <c r="M409" s="126"/>
      <c r="N409" s="126"/>
      <c r="O409" s="126"/>
      <c r="P409" s="126"/>
      <c r="Q409" s="126"/>
      <c r="R409" s="126"/>
      <c r="S409" s="126"/>
      <c r="T409" s="126"/>
      <c r="U409" s="126"/>
      <c r="V409" s="126"/>
      <c r="W409" s="126"/>
      <c r="X409" s="126"/>
      <c r="Y409" s="126"/>
      <c r="Z409" s="126"/>
      <c r="AA409" s="126"/>
      <c r="AB409" s="126"/>
    </row>
    <row r="410" spans="1:28" ht="15.75" customHeight="1">
      <c r="A410" s="126"/>
      <c r="B410" s="126"/>
      <c r="C410" s="176"/>
      <c r="D410" s="176"/>
      <c r="E410" s="176"/>
      <c r="F410" s="176"/>
      <c r="G410" s="176"/>
      <c r="H410" s="176"/>
      <c r="I410" s="126"/>
      <c r="J410" s="126"/>
      <c r="K410" s="126"/>
      <c r="L410" s="126"/>
      <c r="M410" s="126"/>
      <c r="N410" s="126"/>
      <c r="O410" s="126"/>
      <c r="P410" s="126"/>
      <c r="Q410" s="126"/>
      <c r="R410" s="126"/>
      <c r="S410" s="126"/>
      <c r="T410" s="126"/>
      <c r="U410" s="126"/>
      <c r="V410" s="126"/>
      <c r="W410" s="126"/>
      <c r="X410" s="126"/>
      <c r="Y410" s="126"/>
      <c r="Z410" s="126"/>
      <c r="AA410" s="126"/>
      <c r="AB410" s="126"/>
    </row>
    <row r="411" spans="1:28" ht="15.75" customHeight="1">
      <c r="A411" s="126"/>
      <c r="B411" s="126"/>
      <c r="C411" s="176"/>
      <c r="D411" s="176"/>
      <c r="E411" s="176"/>
      <c r="F411" s="176"/>
      <c r="G411" s="176"/>
      <c r="H411" s="176"/>
      <c r="I411" s="126"/>
      <c r="J411" s="126"/>
      <c r="K411" s="126"/>
      <c r="L411" s="126"/>
      <c r="M411" s="126"/>
      <c r="N411" s="126"/>
      <c r="O411" s="126"/>
      <c r="P411" s="126"/>
      <c r="Q411" s="126"/>
      <c r="R411" s="126"/>
      <c r="S411" s="126"/>
      <c r="T411" s="126"/>
      <c r="U411" s="126"/>
      <c r="V411" s="126"/>
      <c r="W411" s="126"/>
      <c r="X411" s="126"/>
      <c r="Y411" s="126"/>
      <c r="Z411" s="126"/>
      <c r="AA411" s="126"/>
      <c r="AB411" s="126"/>
    </row>
    <row r="412" spans="1:28" ht="15.75" customHeight="1">
      <c r="A412" s="126"/>
      <c r="B412" s="126"/>
      <c r="C412" s="176"/>
      <c r="D412" s="176"/>
      <c r="E412" s="176"/>
      <c r="F412" s="176"/>
      <c r="G412" s="176"/>
      <c r="H412" s="176"/>
      <c r="I412" s="126"/>
      <c r="J412" s="126"/>
      <c r="K412" s="126"/>
      <c r="L412" s="126"/>
      <c r="M412" s="126"/>
      <c r="N412" s="126"/>
      <c r="O412" s="126"/>
      <c r="P412" s="126"/>
      <c r="Q412" s="126"/>
      <c r="R412" s="126"/>
      <c r="S412" s="126"/>
      <c r="T412" s="126"/>
      <c r="U412" s="126"/>
      <c r="V412" s="126"/>
      <c r="W412" s="126"/>
      <c r="X412" s="126"/>
      <c r="Y412" s="126"/>
      <c r="Z412" s="126"/>
      <c r="AA412" s="126"/>
      <c r="AB412" s="126"/>
    </row>
    <row r="413" spans="1:28" ht="15.75" customHeight="1">
      <c r="A413" s="126"/>
      <c r="B413" s="126"/>
      <c r="C413" s="176"/>
      <c r="D413" s="176"/>
      <c r="E413" s="176"/>
      <c r="F413" s="176"/>
      <c r="G413" s="176"/>
      <c r="H413" s="176"/>
      <c r="I413" s="126"/>
      <c r="J413" s="126"/>
      <c r="K413" s="126"/>
      <c r="L413" s="126"/>
      <c r="M413" s="126"/>
      <c r="N413" s="126"/>
      <c r="O413" s="126"/>
      <c r="P413" s="126"/>
      <c r="Q413" s="126"/>
      <c r="R413" s="126"/>
      <c r="S413" s="126"/>
      <c r="T413" s="126"/>
      <c r="U413" s="126"/>
      <c r="V413" s="126"/>
      <c r="W413" s="126"/>
      <c r="X413" s="126"/>
      <c r="Y413" s="126"/>
      <c r="Z413" s="126"/>
      <c r="AA413" s="126"/>
      <c r="AB413" s="126"/>
    </row>
    <row r="414" spans="1:28" ht="15.75" customHeight="1">
      <c r="A414" s="126"/>
      <c r="B414" s="126"/>
      <c r="C414" s="176"/>
      <c r="D414" s="176"/>
      <c r="E414" s="176"/>
      <c r="F414" s="176"/>
      <c r="G414" s="176"/>
      <c r="H414" s="176"/>
      <c r="I414" s="126"/>
      <c r="J414" s="126"/>
      <c r="K414" s="126"/>
      <c r="L414" s="126"/>
      <c r="M414" s="126"/>
      <c r="N414" s="126"/>
      <c r="O414" s="126"/>
      <c r="P414" s="126"/>
      <c r="Q414" s="126"/>
      <c r="R414" s="126"/>
      <c r="S414" s="126"/>
      <c r="T414" s="126"/>
      <c r="U414" s="126"/>
      <c r="V414" s="126"/>
      <c r="W414" s="126"/>
      <c r="X414" s="126"/>
      <c r="Y414" s="126"/>
      <c r="Z414" s="126"/>
      <c r="AA414" s="126"/>
      <c r="AB414" s="126"/>
    </row>
    <row r="415" spans="1:28" ht="15.75" customHeight="1">
      <c r="A415" s="126"/>
      <c r="B415" s="126"/>
      <c r="C415" s="176"/>
      <c r="D415" s="176"/>
      <c r="E415" s="176"/>
      <c r="F415" s="176"/>
      <c r="G415" s="176"/>
      <c r="H415" s="176"/>
      <c r="I415" s="126"/>
      <c r="J415" s="126"/>
      <c r="K415" s="126"/>
      <c r="L415" s="126"/>
      <c r="M415" s="126"/>
      <c r="N415" s="126"/>
      <c r="O415" s="126"/>
      <c r="P415" s="126"/>
      <c r="Q415" s="126"/>
      <c r="R415" s="126"/>
      <c r="S415" s="126"/>
      <c r="T415" s="126"/>
      <c r="U415" s="126"/>
      <c r="V415" s="126"/>
      <c r="W415" s="126"/>
      <c r="X415" s="126"/>
      <c r="Y415" s="126"/>
      <c r="Z415" s="126"/>
      <c r="AA415" s="126"/>
      <c r="AB415" s="126"/>
    </row>
    <row r="416" spans="1:28" ht="15.75" customHeight="1">
      <c r="A416" s="126"/>
      <c r="B416" s="126"/>
      <c r="C416" s="176"/>
      <c r="D416" s="176"/>
      <c r="E416" s="176"/>
      <c r="F416" s="176"/>
      <c r="G416" s="176"/>
      <c r="H416" s="176"/>
      <c r="I416" s="126"/>
      <c r="J416" s="126"/>
      <c r="K416" s="126"/>
      <c r="L416" s="126"/>
      <c r="M416" s="126"/>
      <c r="N416" s="126"/>
      <c r="O416" s="126"/>
      <c r="P416" s="126"/>
      <c r="Q416" s="126"/>
      <c r="R416" s="126"/>
      <c r="S416" s="126"/>
      <c r="T416" s="126"/>
      <c r="U416" s="126"/>
      <c r="V416" s="126"/>
      <c r="W416" s="126"/>
      <c r="X416" s="126"/>
      <c r="Y416" s="126"/>
      <c r="Z416" s="126"/>
      <c r="AA416" s="126"/>
      <c r="AB416" s="126"/>
    </row>
    <row r="417" spans="1:28" ht="15.75" customHeight="1">
      <c r="A417" s="126"/>
      <c r="B417" s="126"/>
      <c r="C417" s="176"/>
      <c r="D417" s="176"/>
      <c r="E417" s="176"/>
      <c r="F417" s="176"/>
      <c r="G417" s="176"/>
      <c r="H417" s="176"/>
      <c r="I417" s="126"/>
      <c r="J417" s="126"/>
      <c r="K417" s="126"/>
      <c r="L417" s="126"/>
      <c r="M417" s="126"/>
      <c r="N417" s="126"/>
      <c r="O417" s="126"/>
      <c r="P417" s="126"/>
      <c r="Q417" s="126"/>
      <c r="R417" s="126"/>
      <c r="S417" s="126"/>
      <c r="T417" s="126"/>
      <c r="U417" s="126"/>
      <c r="V417" s="126"/>
      <c r="W417" s="126"/>
      <c r="X417" s="126"/>
      <c r="Y417" s="126"/>
      <c r="Z417" s="126"/>
      <c r="AA417" s="126"/>
      <c r="AB417" s="126"/>
    </row>
    <row r="418" spans="1:28" ht="15.75" customHeight="1">
      <c r="A418" s="126"/>
      <c r="B418" s="126"/>
      <c r="C418" s="176"/>
      <c r="D418" s="176"/>
      <c r="E418" s="176"/>
      <c r="F418" s="176"/>
      <c r="G418" s="176"/>
      <c r="H418" s="176"/>
      <c r="I418" s="126"/>
      <c r="J418" s="126"/>
      <c r="K418" s="126"/>
      <c r="L418" s="126"/>
      <c r="M418" s="126"/>
      <c r="N418" s="126"/>
      <c r="O418" s="126"/>
      <c r="P418" s="126"/>
      <c r="Q418" s="126"/>
      <c r="R418" s="126"/>
      <c r="S418" s="126"/>
      <c r="T418" s="126"/>
      <c r="U418" s="126"/>
      <c r="V418" s="126"/>
      <c r="W418" s="126"/>
      <c r="X418" s="126"/>
      <c r="Y418" s="126"/>
      <c r="Z418" s="126"/>
      <c r="AA418" s="126"/>
      <c r="AB418" s="126"/>
    </row>
    <row r="419" spans="1:28" ht="15.75" customHeight="1">
      <c r="A419" s="126"/>
      <c r="B419" s="126"/>
      <c r="C419" s="176"/>
      <c r="D419" s="176"/>
      <c r="E419" s="176"/>
      <c r="F419" s="176"/>
      <c r="G419" s="176"/>
      <c r="H419" s="176"/>
      <c r="I419" s="126"/>
      <c r="J419" s="126"/>
      <c r="K419" s="126"/>
      <c r="L419" s="126"/>
      <c r="M419" s="126"/>
      <c r="N419" s="126"/>
      <c r="O419" s="126"/>
      <c r="P419" s="126"/>
      <c r="Q419" s="126"/>
      <c r="R419" s="126"/>
      <c r="S419" s="126"/>
      <c r="T419" s="126"/>
      <c r="U419" s="126"/>
      <c r="V419" s="126"/>
      <c r="W419" s="126"/>
      <c r="X419" s="126"/>
      <c r="Y419" s="126"/>
      <c r="Z419" s="126"/>
      <c r="AA419" s="126"/>
      <c r="AB419" s="126"/>
    </row>
    <row r="420" spans="1:28" ht="15.75" customHeight="1">
      <c r="A420" s="126"/>
      <c r="B420" s="126"/>
      <c r="C420" s="176"/>
      <c r="D420" s="176"/>
      <c r="E420" s="176"/>
      <c r="F420" s="176"/>
      <c r="G420" s="176"/>
      <c r="H420" s="176"/>
      <c r="I420" s="126"/>
      <c r="J420" s="126"/>
      <c r="K420" s="126"/>
      <c r="L420" s="126"/>
      <c r="M420" s="126"/>
      <c r="N420" s="126"/>
      <c r="O420" s="126"/>
      <c r="P420" s="126"/>
      <c r="Q420" s="126"/>
      <c r="R420" s="126"/>
      <c r="S420" s="126"/>
      <c r="T420" s="126"/>
      <c r="U420" s="126"/>
      <c r="V420" s="126"/>
      <c r="W420" s="126"/>
      <c r="X420" s="126"/>
      <c r="Y420" s="126"/>
      <c r="Z420" s="126"/>
      <c r="AA420" s="126"/>
      <c r="AB420" s="126"/>
    </row>
    <row r="421" spans="1:28" ht="15.75" customHeight="1">
      <c r="A421" s="126"/>
      <c r="B421" s="126"/>
      <c r="C421" s="176"/>
      <c r="D421" s="176"/>
      <c r="E421" s="176"/>
      <c r="F421" s="176"/>
      <c r="G421" s="176"/>
      <c r="H421" s="176"/>
      <c r="I421" s="126"/>
      <c r="J421" s="126"/>
      <c r="K421" s="126"/>
      <c r="L421" s="126"/>
      <c r="M421" s="126"/>
      <c r="N421" s="126"/>
      <c r="O421" s="126"/>
      <c r="P421" s="126"/>
      <c r="Q421" s="126"/>
      <c r="R421" s="126"/>
      <c r="S421" s="126"/>
      <c r="T421" s="126"/>
      <c r="U421" s="126"/>
      <c r="V421" s="126"/>
      <c r="W421" s="126"/>
      <c r="X421" s="126"/>
      <c r="Y421" s="126"/>
      <c r="Z421" s="126"/>
      <c r="AA421" s="126"/>
      <c r="AB421" s="126"/>
    </row>
    <row r="422" spans="1:28" ht="15.75" customHeight="1">
      <c r="A422" s="126"/>
      <c r="B422" s="126"/>
      <c r="C422" s="176"/>
      <c r="D422" s="176"/>
      <c r="E422" s="176"/>
      <c r="F422" s="176"/>
      <c r="G422" s="176"/>
      <c r="H422" s="176"/>
      <c r="I422" s="126"/>
      <c r="J422" s="126"/>
      <c r="K422" s="126"/>
      <c r="L422" s="126"/>
      <c r="M422" s="126"/>
      <c r="N422" s="126"/>
      <c r="O422" s="126"/>
      <c r="P422" s="126"/>
      <c r="Q422" s="126"/>
      <c r="R422" s="126"/>
      <c r="S422" s="126"/>
      <c r="T422" s="126"/>
      <c r="U422" s="126"/>
      <c r="V422" s="126"/>
      <c r="W422" s="126"/>
      <c r="X422" s="126"/>
      <c r="Y422" s="126"/>
      <c r="Z422" s="126"/>
      <c r="AA422" s="126"/>
      <c r="AB422" s="126"/>
    </row>
    <row r="423" spans="1:28" ht="15.75" customHeight="1">
      <c r="A423" s="126"/>
      <c r="B423" s="126"/>
      <c r="C423" s="176"/>
      <c r="D423" s="176"/>
      <c r="E423" s="176"/>
      <c r="F423" s="176"/>
      <c r="G423" s="176"/>
      <c r="H423" s="176"/>
      <c r="I423" s="126"/>
      <c r="J423" s="126"/>
      <c r="K423" s="126"/>
      <c r="L423" s="126"/>
      <c r="M423" s="126"/>
      <c r="N423" s="126"/>
      <c r="O423" s="126"/>
      <c r="P423" s="126"/>
      <c r="Q423" s="126"/>
      <c r="R423" s="126"/>
      <c r="S423" s="126"/>
      <c r="T423" s="126"/>
      <c r="U423" s="126"/>
      <c r="V423" s="126"/>
      <c r="W423" s="126"/>
      <c r="X423" s="126"/>
      <c r="Y423" s="126"/>
      <c r="Z423" s="126"/>
      <c r="AA423" s="126"/>
      <c r="AB423" s="126"/>
    </row>
    <row r="424" spans="1:28" ht="15.75" customHeight="1">
      <c r="A424" s="126"/>
      <c r="B424" s="126"/>
      <c r="C424" s="176"/>
      <c r="D424" s="176"/>
      <c r="E424" s="176"/>
      <c r="F424" s="176"/>
      <c r="G424" s="176"/>
      <c r="H424" s="176"/>
      <c r="I424" s="126"/>
      <c r="J424" s="126"/>
      <c r="K424" s="126"/>
      <c r="L424" s="126"/>
      <c r="M424" s="126"/>
      <c r="N424" s="126"/>
      <c r="O424" s="126"/>
      <c r="P424" s="126"/>
      <c r="Q424" s="126"/>
      <c r="R424" s="126"/>
      <c r="S424" s="126"/>
      <c r="T424" s="126"/>
      <c r="U424" s="126"/>
      <c r="V424" s="126"/>
      <c r="W424" s="126"/>
      <c r="X424" s="126"/>
      <c r="Y424" s="126"/>
      <c r="Z424" s="126"/>
      <c r="AA424" s="126"/>
      <c r="AB424" s="126"/>
    </row>
    <row r="425" spans="1:28" ht="15.75" customHeight="1">
      <c r="A425" s="126"/>
      <c r="B425" s="126"/>
      <c r="C425" s="176"/>
      <c r="D425" s="176"/>
      <c r="E425" s="176"/>
      <c r="F425" s="176"/>
      <c r="G425" s="176"/>
      <c r="H425" s="176"/>
      <c r="I425" s="126"/>
      <c r="J425" s="126"/>
      <c r="K425" s="126"/>
      <c r="L425" s="126"/>
      <c r="M425" s="126"/>
      <c r="N425" s="126"/>
      <c r="O425" s="126"/>
      <c r="P425" s="126"/>
      <c r="Q425" s="126"/>
      <c r="R425" s="126"/>
      <c r="S425" s="126"/>
      <c r="T425" s="126"/>
      <c r="U425" s="126"/>
      <c r="V425" s="126"/>
      <c r="W425" s="126"/>
      <c r="X425" s="126"/>
      <c r="Y425" s="126"/>
      <c r="Z425" s="126"/>
      <c r="AA425" s="126"/>
      <c r="AB425" s="126"/>
    </row>
    <row r="426" spans="1:28" ht="15.75" customHeight="1">
      <c r="A426" s="126"/>
      <c r="B426" s="126"/>
      <c r="C426" s="176"/>
      <c r="D426" s="176"/>
      <c r="E426" s="176"/>
      <c r="F426" s="176"/>
      <c r="G426" s="176"/>
      <c r="H426" s="176"/>
      <c r="I426" s="126"/>
      <c r="J426" s="126"/>
      <c r="K426" s="126"/>
      <c r="L426" s="126"/>
      <c r="M426" s="126"/>
      <c r="N426" s="126"/>
      <c r="O426" s="126"/>
      <c r="P426" s="126"/>
      <c r="Q426" s="126"/>
      <c r="R426" s="126"/>
      <c r="S426" s="126"/>
      <c r="T426" s="126"/>
      <c r="U426" s="126"/>
      <c r="V426" s="126"/>
      <c r="W426" s="126"/>
      <c r="X426" s="126"/>
      <c r="Y426" s="126"/>
      <c r="Z426" s="126"/>
      <c r="AA426" s="126"/>
      <c r="AB426" s="126"/>
    </row>
    <row r="427" spans="1:28" ht="15.75" customHeight="1">
      <c r="A427" s="126"/>
      <c r="B427" s="126"/>
      <c r="C427" s="176"/>
      <c r="D427" s="176"/>
      <c r="E427" s="176"/>
      <c r="F427" s="176"/>
      <c r="G427" s="176"/>
      <c r="H427" s="176"/>
      <c r="I427" s="126"/>
      <c r="J427" s="126"/>
      <c r="K427" s="126"/>
      <c r="L427" s="126"/>
      <c r="M427" s="126"/>
      <c r="N427" s="126"/>
      <c r="O427" s="126"/>
      <c r="P427" s="126"/>
      <c r="Q427" s="126"/>
      <c r="R427" s="126"/>
      <c r="S427" s="126"/>
      <c r="T427" s="126"/>
      <c r="U427" s="126"/>
      <c r="V427" s="126"/>
      <c r="W427" s="126"/>
      <c r="X427" s="126"/>
      <c r="Y427" s="126"/>
      <c r="Z427" s="126"/>
      <c r="AA427" s="126"/>
      <c r="AB427" s="126"/>
    </row>
    <row r="428" spans="1:28" ht="15.75" customHeight="1">
      <c r="A428" s="126"/>
      <c r="B428" s="126"/>
      <c r="C428" s="176"/>
      <c r="D428" s="176"/>
      <c r="E428" s="176"/>
      <c r="F428" s="176"/>
      <c r="G428" s="176"/>
      <c r="H428" s="176"/>
      <c r="I428" s="126"/>
      <c r="J428" s="126"/>
      <c r="K428" s="126"/>
      <c r="L428" s="126"/>
      <c r="M428" s="126"/>
      <c r="N428" s="126"/>
      <c r="O428" s="126"/>
      <c r="P428" s="126"/>
      <c r="Q428" s="126"/>
      <c r="R428" s="126"/>
      <c r="S428" s="126"/>
      <c r="T428" s="126"/>
      <c r="U428" s="126"/>
      <c r="V428" s="126"/>
      <c r="W428" s="126"/>
      <c r="X428" s="126"/>
      <c r="Y428" s="126"/>
      <c r="Z428" s="126"/>
      <c r="AA428" s="126"/>
      <c r="AB428" s="126"/>
    </row>
    <row r="429" spans="1:28" ht="15.75" customHeight="1">
      <c r="A429" s="126"/>
      <c r="B429" s="126"/>
      <c r="C429" s="176"/>
      <c r="D429" s="176"/>
      <c r="E429" s="176"/>
      <c r="F429" s="176"/>
      <c r="G429" s="176"/>
      <c r="H429" s="176"/>
      <c r="I429" s="126"/>
      <c r="J429" s="126"/>
      <c r="K429" s="126"/>
      <c r="L429" s="126"/>
      <c r="M429" s="126"/>
      <c r="N429" s="126"/>
      <c r="O429" s="126"/>
      <c r="P429" s="126"/>
      <c r="Q429" s="126"/>
      <c r="R429" s="126"/>
      <c r="S429" s="126"/>
      <c r="T429" s="126"/>
      <c r="U429" s="126"/>
      <c r="V429" s="126"/>
      <c r="W429" s="126"/>
      <c r="X429" s="126"/>
      <c r="Y429" s="126"/>
      <c r="Z429" s="126"/>
      <c r="AA429" s="126"/>
      <c r="AB429" s="126"/>
    </row>
    <row r="430" spans="1:28" ht="15.75" customHeight="1">
      <c r="A430" s="126"/>
      <c r="B430" s="126"/>
      <c r="C430" s="176"/>
      <c r="D430" s="176"/>
      <c r="E430" s="176"/>
      <c r="F430" s="176"/>
      <c r="G430" s="176"/>
      <c r="H430" s="176"/>
      <c r="I430" s="126"/>
      <c r="J430" s="126"/>
      <c r="K430" s="126"/>
      <c r="L430" s="126"/>
      <c r="M430" s="126"/>
      <c r="N430" s="126"/>
      <c r="O430" s="126"/>
      <c r="P430" s="126"/>
      <c r="Q430" s="126"/>
      <c r="R430" s="126"/>
      <c r="S430" s="126"/>
      <c r="T430" s="126"/>
      <c r="U430" s="126"/>
      <c r="V430" s="126"/>
      <c r="W430" s="126"/>
      <c r="X430" s="126"/>
      <c r="Y430" s="126"/>
      <c r="Z430" s="126"/>
      <c r="AA430" s="126"/>
      <c r="AB430" s="126"/>
    </row>
    <row r="431" spans="1:28" ht="15.75" customHeight="1">
      <c r="A431" s="126"/>
      <c r="B431" s="126"/>
      <c r="C431" s="176"/>
      <c r="D431" s="176"/>
      <c r="E431" s="176"/>
      <c r="F431" s="176"/>
      <c r="G431" s="176"/>
      <c r="H431" s="176"/>
      <c r="I431" s="126"/>
      <c r="J431" s="126"/>
      <c r="K431" s="126"/>
      <c r="L431" s="126"/>
      <c r="M431" s="126"/>
      <c r="N431" s="126"/>
      <c r="O431" s="126"/>
      <c r="P431" s="126"/>
      <c r="Q431" s="126"/>
      <c r="R431" s="126"/>
      <c r="S431" s="126"/>
      <c r="T431" s="126"/>
      <c r="U431" s="126"/>
      <c r="V431" s="126"/>
      <c r="W431" s="126"/>
      <c r="X431" s="126"/>
      <c r="Y431" s="126"/>
      <c r="Z431" s="126"/>
      <c r="AA431" s="126"/>
      <c r="AB431" s="126"/>
    </row>
    <row r="432" spans="1:28" ht="15.75" customHeight="1">
      <c r="A432" s="126"/>
      <c r="B432" s="126"/>
      <c r="C432" s="176"/>
      <c r="D432" s="176"/>
      <c r="E432" s="176"/>
      <c r="F432" s="176"/>
      <c r="G432" s="176"/>
      <c r="H432" s="176"/>
      <c r="I432" s="126"/>
      <c r="J432" s="126"/>
      <c r="K432" s="126"/>
      <c r="L432" s="126"/>
      <c r="M432" s="126"/>
      <c r="N432" s="126"/>
      <c r="O432" s="126"/>
      <c r="P432" s="126"/>
      <c r="Q432" s="126"/>
      <c r="R432" s="126"/>
      <c r="S432" s="126"/>
      <c r="T432" s="126"/>
      <c r="U432" s="126"/>
      <c r="V432" s="126"/>
      <c r="W432" s="126"/>
      <c r="X432" s="126"/>
      <c r="Y432" s="126"/>
      <c r="Z432" s="126"/>
      <c r="AA432" s="126"/>
      <c r="AB432" s="126"/>
    </row>
    <row r="433" spans="1:28" ht="15.75" customHeight="1">
      <c r="A433" s="126"/>
      <c r="B433" s="126"/>
      <c r="C433" s="176"/>
      <c r="D433" s="176"/>
      <c r="E433" s="176"/>
      <c r="F433" s="176"/>
      <c r="G433" s="176"/>
      <c r="H433" s="176"/>
      <c r="I433" s="126"/>
      <c r="J433" s="126"/>
      <c r="K433" s="126"/>
      <c r="L433" s="126"/>
      <c r="M433" s="126"/>
      <c r="N433" s="126"/>
      <c r="O433" s="126"/>
      <c r="P433" s="126"/>
      <c r="Q433" s="126"/>
      <c r="R433" s="126"/>
      <c r="S433" s="126"/>
      <c r="T433" s="126"/>
      <c r="U433" s="126"/>
      <c r="V433" s="126"/>
      <c r="W433" s="126"/>
      <c r="X433" s="126"/>
      <c r="Y433" s="126"/>
      <c r="Z433" s="126"/>
      <c r="AA433" s="126"/>
      <c r="AB433" s="126"/>
    </row>
    <row r="434" spans="1:28" ht="15.75" customHeight="1">
      <c r="A434" s="126"/>
      <c r="B434" s="126"/>
      <c r="C434" s="176"/>
      <c r="D434" s="176"/>
      <c r="E434" s="176"/>
      <c r="F434" s="176"/>
      <c r="G434" s="176"/>
      <c r="H434" s="176"/>
      <c r="I434" s="126"/>
      <c r="J434" s="126"/>
      <c r="K434" s="126"/>
      <c r="L434" s="126"/>
      <c r="M434" s="126"/>
      <c r="N434" s="126"/>
      <c r="O434" s="126"/>
      <c r="P434" s="126"/>
      <c r="Q434" s="126"/>
      <c r="R434" s="126"/>
      <c r="S434" s="126"/>
      <c r="T434" s="126"/>
      <c r="U434" s="126"/>
      <c r="V434" s="126"/>
      <c r="W434" s="126"/>
      <c r="X434" s="126"/>
      <c r="Y434" s="126"/>
      <c r="Z434" s="126"/>
      <c r="AA434" s="126"/>
      <c r="AB434" s="126"/>
    </row>
    <row r="435" spans="1:28" ht="15.75" customHeight="1">
      <c r="A435" s="126"/>
      <c r="B435" s="126"/>
      <c r="C435" s="176"/>
      <c r="D435" s="176"/>
      <c r="E435" s="176"/>
      <c r="F435" s="176"/>
      <c r="G435" s="176"/>
      <c r="H435" s="176"/>
      <c r="I435" s="126"/>
      <c r="J435" s="126"/>
      <c r="K435" s="126"/>
      <c r="L435" s="126"/>
      <c r="M435" s="126"/>
      <c r="N435" s="126"/>
      <c r="O435" s="126"/>
      <c r="P435" s="126"/>
      <c r="Q435" s="126"/>
      <c r="R435" s="126"/>
      <c r="S435" s="126"/>
      <c r="T435" s="126"/>
      <c r="U435" s="126"/>
      <c r="V435" s="126"/>
      <c r="W435" s="126"/>
      <c r="X435" s="126"/>
      <c r="Y435" s="126"/>
      <c r="Z435" s="126"/>
      <c r="AA435" s="126"/>
      <c r="AB435" s="126"/>
    </row>
    <row r="436" spans="1:28" ht="15.75" customHeight="1">
      <c r="A436" s="126"/>
      <c r="B436" s="126"/>
      <c r="C436" s="176"/>
      <c r="D436" s="176"/>
      <c r="E436" s="176"/>
      <c r="F436" s="176"/>
      <c r="G436" s="176"/>
      <c r="H436" s="176"/>
      <c r="I436" s="126"/>
      <c r="J436" s="126"/>
      <c r="K436" s="126"/>
      <c r="L436" s="126"/>
      <c r="M436" s="126"/>
      <c r="N436" s="126"/>
      <c r="O436" s="126"/>
      <c r="P436" s="126"/>
      <c r="Q436" s="126"/>
      <c r="R436" s="126"/>
      <c r="S436" s="126"/>
      <c r="T436" s="126"/>
      <c r="U436" s="126"/>
      <c r="V436" s="126"/>
      <c r="W436" s="126"/>
      <c r="X436" s="126"/>
      <c r="Y436" s="126"/>
      <c r="Z436" s="126"/>
      <c r="AA436" s="126"/>
      <c r="AB436" s="126"/>
    </row>
    <row r="437" spans="1:28" ht="15.75" customHeight="1">
      <c r="A437" s="126"/>
      <c r="B437" s="126"/>
      <c r="C437" s="176"/>
      <c r="D437" s="176"/>
      <c r="E437" s="176"/>
      <c r="F437" s="176"/>
      <c r="G437" s="176"/>
      <c r="H437" s="176"/>
      <c r="I437" s="126"/>
      <c r="J437" s="126"/>
      <c r="K437" s="126"/>
      <c r="L437" s="126"/>
      <c r="M437" s="126"/>
      <c r="N437" s="126"/>
      <c r="O437" s="126"/>
      <c r="P437" s="126"/>
      <c r="Q437" s="126"/>
      <c r="R437" s="126"/>
      <c r="S437" s="126"/>
      <c r="T437" s="126"/>
      <c r="U437" s="126"/>
      <c r="V437" s="126"/>
      <c r="W437" s="126"/>
      <c r="X437" s="126"/>
      <c r="Y437" s="126"/>
      <c r="Z437" s="126"/>
      <c r="AA437" s="126"/>
      <c r="AB437" s="126"/>
    </row>
    <row r="438" spans="1:28" ht="15.75" customHeight="1">
      <c r="A438" s="126"/>
      <c r="B438" s="126"/>
      <c r="C438" s="176"/>
      <c r="D438" s="176"/>
      <c r="E438" s="176"/>
      <c r="F438" s="176"/>
      <c r="G438" s="176"/>
      <c r="H438" s="176"/>
      <c r="I438" s="126"/>
      <c r="J438" s="126"/>
      <c r="K438" s="126"/>
      <c r="L438" s="126"/>
      <c r="M438" s="126"/>
      <c r="N438" s="126"/>
      <c r="O438" s="126"/>
      <c r="P438" s="126"/>
      <c r="Q438" s="126"/>
      <c r="R438" s="126"/>
      <c r="S438" s="126"/>
      <c r="T438" s="126"/>
      <c r="U438" s="126"/>
      <c r="V438" s="126"/>
      <c r="W438" s="126"/>
      <c r="X438" s="126"/>
      <c r="Y438" s="126"/>
      <c r="Z438" s="126"/>
      <c r="AA438" s="126"/>
      <c r="AB438" s="126"/>
    </row>
    <row r="439" spans="1:28" ht="15.75" customHeight="1">
      <c r="A439" s="126"/>
      <c r="B439" s="126"/>
      <c r="C439" s="176"/>
      <c r="D439" s="176"/>
      <c r="E439" s="176"/>
      <c r="F439" s="176"/>
      <c r="G439" s="176"/>
      <c r="H439" s="176"/>
      <c r="I439" s="126"/>
      <c r="J439" s="126"/>
      <c r="K439" s="126"/>
      <c r="L439" s="126"/>
      <c r="M439" s="126"/>
      <c r="N439" s="126"/>
      <c r="O439" s="126"/>
      <c r="P439" s="126"/>
      <c r="Q439" s="126"/>
      <c r="R439" s="126"/>
      <c r="S439" s="126"/>
      <c r="T439" s="126"/>
      <c r="U439" s="126"/>
      <c r="V439" s="126"/>
      <c r="W439" s="126"/>
      <c r="X439" s="126"/>
      <c r="Y439" s="126"/>
      <c r="Z439" s="126"/>
      <c r="AA439" s="126"/>
      <c r="AB439" s="126"/>
    </row>
    <row r="440" spans="1:28" ht="15.75" customHeight="1">
      <c r="A440" s="126"/>
      <c r="B440" s="126"/>
      <c r="C440" s="176"/>
      <c r="D440" s="176"/>
      <c r="E440" s="176"/>
      <c r="F440" s="176"/>
      <c r="G440" s="176"/>
      <c r="H440" s="176"/>
      <c r="I440" s="126"/>
      <c r="J440" s="126"/>
      <c r="K440" s="126"/>
      <c r="L440" s="126"/>
      <c r="M440" s="126"/>
      <c r="N440" s="126"/>
      <c r="O440" s="126"/>
      <c r="P440" s="126"/>
      <c r="Q440" s="126"/>
      <c r="R440" s="126"/>
      <c r="S440" s="126"/>
      <c r="T440" s="126"/>
      <c r="U440" s="126"/>
      <c r="V440" s="126"/>
      <c r="W440" s="126"/>
      <c r="X440" s="126"/>
      <c r="Y440" s="126"/>
      <c r="Z440" s="126"/>
      <c r="AA440" s="126"/>
      <c r="AB440" s="126"/>
    </row>
    <row r="441" spans="1:28" ht="15.75" customHeight="1">
      <c r="A441" s="126"/>
      <c r="B441" s="126"/>
      <c r="C441" s="176"/>
      <c r="D441" s="176"/>
      <c r="E441" s="176"/>
      <c r="F441" s="176"/>
      <c r="G441" s="176"/>
      <c r="H441" s="176"/>
      <c r="I441" s="126"/>
      <c r="J441" s="126"/>
      <c r="K441" s="126"/>
      <c r="L441" s="126"/>
      <c r="M441" s="126"/>
      <c r="N441" s="126"/>
      <c r="O441" s="126"/>
      <c r="P441" s="126"/>
      <c r="Q441" s="126"/>
      <c r="R441" s="126"/>
      <c r="S441" s="126"/>
      <c r="T441" s="126"/>
      <c r="U441" s="126"/>
      <c r="V441" s="126"/>
      <c r="W441" s="126"/>
      <c r="X441" s="126"/>
      <c r="Y441" s="126"/>
      <c r="Z441" s="126"/>
      <c r="AA441" s="126"/>
      <c r="AB441" s="126"/>
    </row>
    <row r="442" spans="1:28" ht="15.75" customHeight="1">
      <c r="A442" s="126"/>
      <c r="B442" s="126"/>
      <c r="C442" s="176"/>
      <c r="D442" s="176"/>
      <c r="E442" s="176"/>
      <c r="F442" s="176"/>
      <c r="G442" s="176"/>
      <c r="H442" s="176"/>
      <c r="I442" s="126"/>
      <c r="J442" s="126"/>
      <c r="K442" s="126"/>
      <c r="L442" s="126"/>
      <c r="M442" s="126"/>
      <c r="N442" s="126"/>
      <c r="O442" s="126"/>
      <c r="P442" s="126"/>
      <c r="Q442" s="126"/>
      <c r="R442" s="126"/>
      <c r="S442" s="126"/>
      <c r="T442" s="126"/>
      <c r="U442" s="126"/>
      <c r="V442" s="126"/>
      <c r="W442" s="126"/>
      <c r="X442" s="126"/>
      <c r="Y442" s="126"/>
      <c r="Z442" s="126"/>
      <c r="AA442" s="126"/>
      <c r="AB442" s="126"/>
    </row>
    <row r="443" spans="1:28" ht="15.75" customHeight="1">
      <c r="A443" s="126"/>
      <c r="B443" s="126"/>
      <c r="C443" s="176"/>
      <c r="D443" s="176"/>
      <c r="E443" s="176"/>
      <c r="F443" s="176"/>
      <c r="G443" s="176"/>
      <c r="H443" s="176"/>
      <c r="I443" s="126"/>
      <c r="J443" s="126"/>
      <c r="K443" s="126"/>
      <c r="L443" s="126"/>
      <c r="M443" s="126"/>
      <c r="N443" s="126"/>
      <c r="O443" s="126"/>
      <c r="P443" s="126"/>
      <c r="Q443" s="126"/>
      <c r="R443" s="126"/>
      <c r="S443" s="126"/>
      <c r="T443" s="126"/>
      <c r="U443" s="126"/>
      <c r="V443" s="126"/>
      <c r="W443" s="126"/>
      <c r="X443" s="126"/>
      <c r="Y443" s="126"/>
      <c r="Z443" s="126"/>
      <c r="AA443" s="126"/>
      <c r="AB443" s="126"/>
    </row>
    <row r="444" spans="1:28" ht="15.75" customHeight="1">
      <c r="A444" s="126"/>
      <c r="B444" s="126"/>
      <c r="C444" s="176"/>
      <c r="D444" s="176"/>
      <c r="E444" s="176"/>
      <c r="F444" s="176"/>
      <c r="G444" s="176"/>
      <c r="H444" s="176"/>
      <c r="I444" s="126"/>
      <c r="J444" s="126"/>
      <c r="K444" s="126"/>
      <c r="L444" s="126"/>
      <c r="M444" s="126"/>
      <c r="N444" s="126"/>
      <c r="O444" s="126"/>
      <c r="P444" s="126"/>
      <c r="Q444" s="126"/>
      <c r="R444" s="126"/>
      <c r="S444" s="126"/>
      <c r="T444" s="126"/>
      <c r="U444" s="126"/>
      <c r="V444" s="126"/>
      <c r="W444" s="126"/>
      <c r="X444" s="126"/>
      <c r="Y444" s="126"/>
      <c r="Z444" s="126"/>
      <c r="AA444" s="126"/>
      <c r="AB444" s="126"/>
    </row>
    <row r="445" spans="1:28" ht="15.75" customHeight="1">
      <c r="A445" s="126"/>
      <c r="B445" s="126"/>
      <c r="C445" s="176"/>
      <c r="D445" s="176"/>
      <c r="E445" s="176"/>
      <c r="F445" s="176"/>
      <c r="G445" s="176"/>
      <c r="H445" s="176"/>
      <c r="I445" s="126"/>
      <c r="J445" s="126"/>
      <c r="K445" s="126"/>
      <c r="L445" s="126"/>
      <c r="M445" s="126"/>
      <c r="N445" s="126"/>
      <c r="O445" s="126"/>
      <c r="P445" s="126"/>
      <c r="Q445" s="126"/>
      <c r="R445" s="126"/>
      <c r="S445" s="126"/>
      <c r="T445" s="126"/>
      <c r="U445" s="126"/>
      <c r="V445" s="126"/>
      <c r="W445" s="126"/>
      <c r="X445" s="126"/>
      <c r="Y445" s="126"/>
      <c r="Z445" s="126"/>
      <c r="AA445" s="126"/>
      <c r="AB445" s="126"/>
    </row>
    <row r="446" spans="1:28" ht="15.75" customHeight="1">
      <c r="A446" s="126"/>
      <c r="B446" s="126"/>
      <c r="C446" s="176"/>
      <c r="D446" s="176"/>
      <c r="E446" s="176"/>
      <c r="F446" s="176"/>
      <c r="G446" s="176"/>
      <c r="H446" s="176"/>
      <c r="I446" s="126"/>
      <c r="J446" s="126"/>
      <c r="K446" s="126"/>
      <c r="L446" s="126"/>
      <c r="M446" s="126"/>
      <c r="N446" s="126"/>
      <c r="O446" s="126"/>
      <c r="P446" s="126"/>
      <c r="Q446" s="126"/>
      <c r="R446" s="126"/>
      <c r="S446" s="126"/>
      <c r="T446" s="126"/>
      <c r="U446" s="126"/>
      <c r="V446" s="126"/>
      <c r="W446" s="126"/>
      <c r="X446" s="126"/>
      <c r="Y446" s="126"/>
      <c r="Z446" s="126"/>
      <c r="AA446" s="126"/>
      <c r="AB446" s="126"/>
    </row>
    <row r="447" spans="1:28" ht="15.75" customHeight="1">
      <c r="A447" s="126"/>
      <c r="B447" s="126"/>
      <c r="C447" s="176"/>
      <c r="D447" s="176"/>
      <c r="E447" s="176"/>
      <c r="F447" s="176"/>
      <c r="G447" s="176"/>
      <c r="H447" s="176"/>
      <c r="I447" s="126"/>
      <c r="J447" s="126"/>
      <c r="K447" s="126"/>
      <c r="L447" s="126"/>
      <c r="M447" s="126"/>
      <c r="N447" s="126"/>
      <c r="O447" s="126"/>
      <c r="P447" s="126"/>
      <c r="Q447" s="126"/>
      <c r="R447" s="126"/>
      <c r="S447" s="126"/>
      <c r="T447" s="126"/>
      <c r="U447" s="126"/>
      <c r="V447" s="126"/>
      <c r="W447" s="126"/>
      <c r="X447" s="126"/>
      <c r="Y447" s="126"/>
      <c r="Z447" s="126"/>
      <c r="AA447" s="126"/>
      <c r="AB447" s="126"/>
    </row>
    <row r="448" spans="1:28" ht="15.75" customHeight="1">
      <c r="A448" s="126"/>
      <c r="B448" s="126"/>
      <c r="C448" s="176"/>
      <c r="D448" s="176"/>
      <c r="E448" s="176"/>
      <c r="F448" s="176"/>
      <c r="G448" s="176"/>
      <c r="H448" s="176"/>
      <c r="I448" s="126"/>
      <c r="J448" s="126"/>
      <c r="K448" s="126"/>
      <c r="L448" s="126"/>
      <c r="M448" s="126"/>
      <c r="N448" s="126"/>
      <c r="O448" s="126"/>
      <c r="P448" s="126"/>
      <c r="Q448" s="126"/>
      <c r="R448" s="126"/>
      <c r="S448" s="126"/>
      <c r="T448" s="126"/>
      <c r="U448" s="126"/>
      <c r="V448" s="126"/>
      <c r="W448" s="126"/>
      <c r="X448" s="126"/>
      <c r="Y448" s="126"/>
      <c r="Z448" s="126"/>
      <c r="AA448" s="126"/>
      <c r="AB448" s="126"/>
    </row>
    <row r="449" spans="1:28" ht="15.75" customHeight="1">
      <c r="A449" s="126"/>
      <c r="B449" s="126"/>
      <c r="C449" s="176"/>
      <c r="D449" s="176"/>
      <c r="E449" s="176"/>
      <c r="F449" s="176"/>
      <c r="G449" s="176"/>
      <c r="H449" s="176"/>
      <c r="I449" s="126"/>
      <c r="J449" s="126"/>
      <c r="K449" s="126"/>
      <c r="L449" s="126"/>
      <c r="M449" s="126"/>
      <c r="N449" s="126"/>
      <c r="O449" s="126"/>
      <c r="P449" s="126"/>
      <c r="Q449" s="126"/>
      <c r="R449" s="126"/>
      <c r="S449" s="126"/>
      <c r="T449" s="126"/>
      <c r="U449" s="126"/>
      <c r="V449" s="126"/>
      <c r="W449" s="126"/>
      <c r="X449" s="126"/>
      <c r="Y449" s="126"/>
      <c r="Z449" s="126"/>
      <c r="AA449" s="126"/>
      <c r="AB449" s="126"/>
    </row>
    <row r="450" spans="1:28" ht="15.75" customHeight="1">
      <c r="A450" s="126"/>
      <c r="B450" s="126"/>
      <c r="C450" s="176"/>
      <c r="D450" s="176"/>
      <c r="E450" s="176"/>
      <c r="F450" s="176"/>
      <c r="G450" s="176"/>
      <c r="H450" s="176"/>
      <c r="I450" s="126"/>
      <c r="J450" s="126"/>
      <c r="K450" s="126"/>
      <c r="L450" s="126"/>
      <c r="M450" s="126"/>
      <c r="N450" s="126"/>
      <c r="O450" s="126"/>
      <c r="P450" s="126"/>
      <c r="Q450" s="126"/>
      <c r="R450" s="126"/>
      <c r="S450" s="126"/>
      <c r="T450" s="126"/>
      <c r="U450" s="126"/>
      <c r="V450" s="126"/>
      <c r="W450" s="126"/>
      <c r="X450" s="126"/>
      <c r="Y450" s="126"/>
      <c r="Z450" s="126"/>
      <c r="AA450" s="126"/>
      <c r="AB450" s="126"/>
    </row>
    <row r="451" spans="1:28" ht="15.75" customHeight="1">
      <c r="A451" s="126"/>
      <c r="B451" s="126"/>
      <c r="C451" s="176"/>
      <c r="D451" s="176"/>
      <c r="E451" s="176"/>
      <c r="F451" s="176"/>
      <c r="G451" s="176"/>
      <c r="H451" s="176"/>
      <c r="I451" s="126"/>
      <c r="J451" s="126"/>
      <c r="K451" s="126"/>
      <c r="L451" s="126"/>
      <c r="M451" s="126"/>
      <c r="N451" s="126"/>
      <c r="O451" s="126"/>
      <c r="P451" s="126"/>
      <c r="Q451" s="126"/>
      <c r="R451" s="126"/>
      <c r="S451" s="126"/>
      <c r="T451" s="126"/>
      <c r="U451" s="126"/>
      <c r="V451" s="126"/>
      <c r="W451" s="126"/>
      <c r="X451" s="126"/>
      <c r="Y451" s="126"/>
      <c r="Z451" s="126"/>
      <c r="AA451" s="126"/>
      <c r="AB451" s="126"/>
    </row>
    <row r="452" spans="1:28" ht="15.75" customHeight="1">
      <c r="A452" s="126"/>
      <c r="B452" s="126"/>
      <c r="C452" s="176"/>
      <c r="D452" s="176"/>
      <c r="E452" s="176"/>
      <c r="F452" s="176"/>
      <c r="G452" s="176"/>
      <c r="H452" s="176"/>
      <c r="I452" s="126"/>
      <c r="J452" s="126"/>
      <c r="K452" s="126"/>
      <c r="L452" s="126"/>
      <c r="M452" s="126"/>
      <c r="N452" s="126"/>
      <c r="O452" s="126"/>
      <c r="P452" s="126"/>
      <c r="Q452" s="126"/>
      <c r="R452" s="126"/>
      <c r="S452" s="126"/>
      <c r="T452" s="126"/>
      <c r="U452" s="126"/>
      <c r="V452" s="126"/>
      <c r="W452" s="126"/>
      <c r="X452" s="126"/>
      <c r="Y452" s="126"/>
      <c r="Z452" s="126"/>
      <c r="AA452" s="126"/>
      <c r="AB452" s="126"/>
    </row>
    <row r="453" spans="1:28" ht="15.75" customHeight="1">
      <c r="A453" s="126"/>
      <c r="B453" s="126"/>
      <c r="C453" s="176"/>
      <c r="D453" s="176"/>
      <c r="E453" s="176"/>
      <c r="F453" s="176"/>
      <c r="G453" s="176"/>
      <c r="H453" s="176"/>
      <c r="I453" s="126"/>
      <c r="J453" s="126"/>
      <c r="K453" s="126"/>
      <c r="L453" s="126"/>
      <c r="M453" s="126"/>
      <c r="N453" s="126"/>
      <c r="O453" s="126"/>
      <c r="P453" s="126"/>
      <c r="Q453" s="126"/>
      <c r="R453" s="126"/>
      <c r="S453" s="126"/>
      <c r="T453" s="126"/>
      <c r="U453" s="126"/>
      <c r="V453" s="126"/>
      <c r="W453" s="126"/>
      <c r="X453" s="126"/>
      <c r="Y453" s="126"/>
      <c r="Z453" s="126"/>
      <c r="AA453" s="126"/>
      <c r="AB453" s="126"/>
    </row>
    <row r="454" spans="1:28" ht="15.75" customHeight="1">
      <c r="A454" s="126"/>
      <c r="B454" s="126"/>
      <c r="C454" s="176"/>
      <c r="D454" s="176"/>
      <c r="E454" s="176"/>
      <c r="F454" s="176"/>
      <c r="G454" s="176"/>
      <c r="H454" s="176"/>
      <c r="I454" s="126"/>
      <c r="J454" s="126"/>
      <c r="K454" s="126"/>
      <c r="L454" s="126"/>
      <c r="M454" s="126"/>
      <c r="N454" s="126"/>
      <c r="O454" s="126"/>
      <c r="P454" s="126"/>
      <c r="Q454" s="126"/>
      <c r="R454" s="126"/>
      <c r="S454" s="126"/>
      <c r="T454" s="126"/>
      <c r="U454" s="126"/>
      <c r="V454" s="126"/>
      <c r="W454" s="126"/>
      <c r="X454" s="126"/>
      <c r="Y454" s="126"/>
      <c r="Z454" s="126"/>
      <c r="AA454" s="126"/>
      <c r="AB454" s="126"/>
    </row>
    <row r="455" spans="1:28" ht="15.75" customHeight="1">
      <c r="A455" s="126"/>
      <c r="B455" s="126"/>
      <c r="C455" s="176"/>
      <c r="D455" s="176"/>
      <c r="E455" s="176"/>
      <c r="F455" s="176"/>
      <c r="G455" s="176"/>
      <c r="H455" s="176"/>
      <c r="I455" s="126"/>
      <c r="J455" s="126"/>
      <c r="K455" s="126"/>
      <c r="L455" s="126"/>
      <c r="M455" s="126"/>
      <c r="N455" s="126"/>
      <c r="O455" s="126"/>
      <c r="P455" s="126"/>
      <c r="Q455" s="126"/>
      <c r="R455" s="126"/>
      <c r="S455" s="126"/>
      <c r="T455" s="126"/>
      <c r="U455" s="126"/>
      <c r="V455" s="126"/>
      <c r="W455" s="126"/>
      <c r="X455" s="126"/>
      <c r="Y455" s="126"/>
      <c r="Z455" s="126"/>
      <c r="AA455" s="126"/>
      <c r="AB455" s="126"/>
    </row>
    <row r="456" spans="1:28" ht="15.75" customHeight="1">
      <c r="A456" s="126"/>
      <c r="B456" s="126"/>
      <c r="C456" s="176"/>
      <c r="D456" s="176"/>
      <c r="E456" s="176"/>
      <c r="F456" s="176"/>
      <c r="G456" s="176"/>
      <c r="H456" s="176"/>
      <c r="I456" s="126"/>
      <c r="J456" s="126"/>
      <c r="K456" s="126"/>
      <c r="L456" s="126"/>
      <c r="M456" s="126"/>
      <c r="N456" s="126"/>
      <c r="O456" s="126"/>
      <c r="P456" s="126"/>
      <c r="Q456" s="126"/>
      <c r="R456" s="126"/>
      <c r="S456" s="126"/>
      <c r="T456" s="126"/>
      <c r="U456" s="126"/>
      <c r="V456" s="126"/>
      <c r="W456" s="126"/>
      <c r="X456" s="126"/>
      <c r="Y456" s="126"/>
      <c r="Z456" s="126"/>
      <c r="AA456" s="126"/>
      <c r="AB456" s="126"/>
    </row>
    <row r="457" spans="1:28" ht="15.75" customHeight="1">
      <c r="A457" s="126"/>
      <c r="B457" s="126"/>
      <c r="C457" s="176"/>
      <c r="D457" s="176"/>
      <c r="E457" s="176"/>
      <c r="F457" s="176"/>
      <c r="G457" s="176"/>
      <c r="H457" s="176"/>
      <c r="I457" s="126"/>
      <c r="J457" s="126"/>
      <c r="K457" s="126"/>
      <c r="L457" s="126"/>
      <c r="M457" s="126"/>
      <c r="N457" s="126"/>
      <c r="O457" s="126"/>
      <c r="P457" s="126"/>
      <c r="Q457" s="126"/>
      <c r="R457" s="126"/>
      <c r="S457" s="126"/>
      <c r="T457" s="126"/>
      <c r="U457" s="126"/>
      <c r="V457" s="126"/>
      <c r="W457" s="126"/>
      <c r="X457" s="126"/>
      <c r="Y457" s="126"/>
      <c r="Z457" s="126"/>
      <c r="AA457" s="126"/>
      <c r="AB457" s="126"/>
    </row>
    <row r="458" spans="1:28" ht="15.75" customHeight="1">
      <c r="A458" s="126"/>
      <c r="B458" s="126"/>
      <c r="C458" s="176"/>
      <c r="D458" s="176"/>
      <c r="E458" s="176"/>
      <c r="F458" s="176"/>
      <c r="G458" s="176"/>
      <c r="H458" s="176"/>
      <c r="I458" s="126"/>
      <c r="J458" s="126"/>
      <c r="K458" s="126"/>
      <c r="L458" s="126"/>
      <c r="M458" s="126"/>
      <c r="N458" s="126"/>
      <c r="O458" s="126"/>
      <c r="P458" s="126"/>
      <c r="Q458" s="126"/>
      <c r="R458" s="126"/>
      <c r="S458" s="126"/>
      <c r="T458" s="126"/>
      <c r="U458" s="126"/>
      <c r="V458" s="126"/>
      <c r="W458" s="126"/>
      <c r="X458" s="126"/>
      <c r="Y458" s="126"/>
      <c r="Z458" s="126"/>
      <c r="AA458" s="126"/>
      <c r="AB458" s="126"/>
    </row>
    <row r="459" spans="1:28" ht="15.75" customHeight="1">
      <c r="A459" s="126"/>
      <c r="B459" s="126"/>
      <c r="C459" s="176"/>
      <c r="D459" s="176"/>
      <c r="E459" s="176"/>
      <c r="F459" s="176"/>
      <c r="G459" s="176"/>
      <c r="H459" s="176"/>
      <c r="I459" s="126"/>
      <c r="J459" s="126"/>
      <c r="K459" s="126"/>
      <c r="L459" s="126"/>
      <c r="M459" s="126"/>
      <c r="N459" s="126"/>
      <c r="O459" s="126"/>
      <c r="P459" s="126"/>
      <c r="Q459" s="126"/>
      <c r="R459" s="126"/>
      <c r="S459" s="126"/>
      <c r="T459" s="126"/>
      <c r="U459" s="126"/>
      <c r="V459" s="126"/>
      <c r="W459" s="126"/>
      <c r="X459" s="126"/>
      <c r="Y459" s="126"/>
      <c r="Z459" s="126"/>
      <c r="AA459" s="126"/>
      <c r="AB459" s="126"/>
    </row>
    <row r="460" spans="1:28" ht="15.75" customHeight="1">
      <c r="A460" s="126"/>
      <c r="B460" s="126"/>
      <c r="C460" s="176"/>
      <c r="D460" s="176"/>
      <c r="E460" s="176"/>
      <c r="F460" s="176"/>
      <c r="G460" s="176"/>
      <c r="H460" s="176"/>
      <c r="I460" s="126"/>
      <c r="J460" s="126"/>
      <c r="K460" s="126"/>
      <c r="L460" s="126"/>
      <c r="M460" s="126"/>
      <c r="N460" s="126"/>
      <c r="O460" s="126"/>
      <c r="P460" s="126"/>
      <c r="Q460" s="126"/>
      <c r="R460" s="126"/>
      <c r="S460" s="126"/>
      <c r="T460" s="126"/>
      <c r="U460" s="126"/>
      <c r="V460" s="126"/>
      <c r="W460" s="126"/>
      <c r="X460" s="126"/>
      <c r="Y460" s="126"/>
      <c r="Z460" s="126"/>
      <c r="AA460" s="126"/>
      <c r="AB460" s="126"/>
    </row>
    <row r="461" spans="1:28" ht="15.75" customHeight="1">
      <c r="A461" s="126"/>
      <c r="B461" s="126"/>
      <c r="C461" s="176"/>
      <c r="D461" s="176"/>
      <c r="E461" s="176"/>
      <c r="F461" s="176"/>
      <c r="G461" s="176"/>
      <c r="H461" s="176"/>
      <c r="I461" s="126"/>
      <c r="J461" s="126"/>
      <c r="K461" s="126"/>
      <c r="L461" s="126"/>
      <c r="M461" s="126"/>
      <c r="N461" s="126"/>
      <c r="O461" s="126"/>
      <c r="P461" s="126"/>
      <c r="Q461" s="126"/>
      <c r="R461" s="126"/>
      <c r="S461" s="126"/>
      <c r="T461" s="126"/>
      <c r="U461" s="126"/>
      <c r="V461" s="126"/>
      <c r="W461" s="126"/>
      <c r="X461" s="126"/>
      <c r="Y461" s="126"/>
      <c r="Z461" s="126"/>
      <c r="AA461" s="126"/>
      <c r="AB461" s="126"/>
    </row>
    <row r="462" spans="1:28" ht="15.75" customHeight="1">
      <c r="A462" s="126"/>
      <c r="B462" s="126"/>
      <c r="C462" s="176"/>
      <c r="D462" s="176"/>
      <c r="E462" s="176"/>
      <c r="F462" s="176"/>
      <c r="G462" s="176"/>
      <c r="H462" s="176"/>
      <c r="I462" s="126"/>
      <c r="J462" s="126"/>
      <c r="K462" s="126"/>
      <c r="L462" s="126"/>
      <c r="M462" s="126"/>
      <c r="N462" s="126"/>
      <c r="O462" s="126"/>
      <c r="P462" s="126"/>
      <c r="Q462" s="126"/>
      <c r="R462" s="126"/>
      <c r="S462" s="126"/>
      <c r="T462" s="126"/>
      <c r="U462" s="126"/>
      <c r="V462" s="126"/>
      <c r="W462" s="126"/>
      <c r="X462" s="126"/>
      <c r="Y462" s="126"/>
      <c r="Z462" s="126"/>
      <c r="AA462" s="126"/>
      <c r="AB462" s="126"/>
    </row>
    <row r="463" spans="1:28" ht="15.75" customHeight="1">
      <c r="A463" s="126"/>
      <c r="B463" s="126"/>
      <c r="C463" s="176"/>
      <c r="D463" s="176"/>
      <c r="E463" s="176"/>
      <c r="F463" s="176"/>
      <c r="G463" s="176"/>
      <c r="H463" s="176"/>
      <c r="I463" s="126"/>
      <c r="J463" s="126"/>
      <c r="K463" s="126"/>
      <c r="L463" s="126"/>
      <c r="M463" s="126"/>
      <c r="N463" s="126"/>
      <c r="O463" s="126"/>
      <c r="P463" s="126"/>
      <c r="Q463" s="126"/>
      <c r="R463" s="126"/>
      <c r="S463" s="126"/>
      <c r="T463" s="126"/>
      <c r="U463" s="126"/>
      <c r="V463" s="126"/>
      <c r="W463" s="126"/>
      <c r="X463" s="126"/>
      <c r="Y463" s="126"/>
      <c r="Z463" s="126"/>
      <c r="AA463" s="126"/>
      <c r="AB463" s="126"/>
    </row>
    <row r="464" spans="1:28" ht="15.75" customHeight="1">
      <c r="A464" s="126"/>
      <c r="B464" s="126"/>
      <c r="C464" s="176"/>
      <c r="D464" s="176"/>
      <c r="E464" s="176"/>
      <c r="F464" s="176"/>
      <c r="G464" s="176"/>
      <c r="H464" s="176"/>
      <c r="I464" s="126"/>
      <c r="J464" s="126"/>
      <c r="K464" s="126"/>
      <c r="L464" s="126"/>
      <c r="M464" s="126"/>
      <c r="N464" s="126"/>
      <c r="O464" s="126"/>
      <c r="P464" s="126"/>
      <c r="Q464" s="126"/>
      <c r="R464" s="126"/>
      <c r="S464" s="126"/>
      <c r="T464" s="126"/>
      <c r="U464" s="126"/>
      <c r="V464" s="126"/>
      <c r="W464" s="126"/>
      <c r="X464" s="126"/>
      <c r="Y464" s="126"/>
      <c r="Z464" s="126"/>
      <c r="AA464" s="126"/>
      <c r="AB464" s="126"/>
    </row>
    <row r="465" spans="1:28" ht="15.75" customHeight="1">
      <c r="A465" s="126"/>
      <c r="B465" s="126"/>
      <c r="C465" s="176"/>
      <c r="D465" s="176"/>
      <c r="E465" s="176"/>
      <c r="F465" s="176"/>
      <c r="G465" s="176"/>
      <c r="H465" s="176"/>
      <c r="I465" s="126"/>
      <c r="J465" s="126"/>
      <c r="K465" s="126"/>
      <c r="L465" s="126"/>
      <c r="M465" s="126"/>
      <c r="N465" s="126"/>
      <c r="O465" s="126"/>
      <c r="P465" s="126"/>
      <c r="Q465" s="126"/>
      <c r="R465" s="126"/>
      <c r="S465" s="126"/>
      <c r="T465" s="126"/>
      <c r="U465" s="126"/>
      <c r="V465" s="126"/>
      <c r="W465" s="126"/>
      <c r="X465" s="126"/>
      <c r="Y465" s="126"/>
      <c r="Z465" s="126"/>
      <c r="AA465" s="126"/>
      <c r="AB465" s="126"/>
    </row>
    <row r="466" spans="1:28" ht="15.75" customHeight="1">
      <c r="A466" s="126"/>
      <c r="B466" s="126"/>
      <c r="C466" s="176"/>
      <c r="D466" s="176"/>
      <c r="E466" s="176"/>
      <c r="F466" s="176"/>
      <c r="G466" s="176"/>
      <c r="H466" s="176"/>
      <c r="I466" s="126"/>
      <c r="J466" s="126"/>
      <c r="K466" s="126"/>
      <c r="L466" s="126"/>
      <c r="M466" s="126"/>
      <c r="N466" s="126"/>
      <c r="O466" s="126"/>
      <c r="P466" s="126"/>
      <c r="Q466" s="126"/>
      <c r="R466" s="126"/>
      <c r="S466" s="126"/>
      <c r="T466" s="126"/>
      <c r="U466" s="126"/>
      <c r="V466" s="126"/>
      <c r="W466" s="126"/>
      <c r="X466" s="126"/>
      <c r="Y466" s="126"/>
      <c r="Z466" s="126"/>
      <c r="AA466" s="126"/>
      <c r="AB466" s="126"/>
    </row>
    <row r="467" spans="1:28" ht="15.75" customHeight="1">
      <c r="A467" s="126"/>
      <c r="B467" s="126"/>
      <c r="C467" s="176"/>
      <c r="D467" s="176"/>
      <c r="E467" s="176"/>
      <c r="F467" s="176"/>
      <c r="G467" s="176"/>
      <c r="H467" s="176"/>
      <c r="I467" s="126"/>
      <c r="J467" s="126"/>
      <c r="K467" s="126"/>
      <c r="L467" s="126"/>
      <c r="M467" s="126"/>
      <c r="N467" s="126"/>
      <c r="O467" s="126"/>
      <c r="P467" s="126"/>
      <c r="Q467" s="126"/>
      <c r="R467" s="126"/>
      <c r="S467" s="126"/>
      <c r="T467" s="126"/>
      <c r="U467" s="126"/>
      <c r="V467" s="126"/>
      <c r="W467" s="126"/>
      <c r="X467" s="126"/>
      <c r="Y467" s="126"/>
      <c r="Z467" s="126"/>
      <c r="AA467" s="126"/>
      <c r="AB467" s="126"/>
    </row>
    <row r="468" spans="1:28" ht="15.75" customHeight="1">
      <c r="A468" s="126"/>
      <c r="B468" s="126"/>
      <c r="C468" s="176"/>
      <c r="D468" s="176"/>
      <c r="E468" s="176"/>
      <c r="F468" s="176"/>
      <c r="G468" s="176"/>
      <c r="H468" s="176"/>
      <c r="I468" s="126"/>
      <c r="J468" s="126"/>
      <c r="K468" s="126"/>
      <c r="L468" s="126"/>
      <c r="M468" s="126"/>
      <c r="N468" s="126"/>
      <c r="O468" s="126"/>
      <c r="P468" s="126"/>
      <c r="Q468" s="126"/>
      <c r="R468" s="126"/>
      <c r="S468" s="126"/>
      <c r="T468" s="126"/>
      <c r="U468" s="126"/>
      <c r="V468" s="126"/>
      <c r="W468" s="126"/>
      <c r="X468" s="126"/>
      <c r="Y468" s="126"/>
      <c r="Z468" s="126"/>
      <c r="AA468" s="126"/>
      <c r="AB468" s="126"/>
    </row>
    <row r="469" spans="1:28" ht="15.75" customHeight="1">
      <c r="A469" s="126"/>
      <c r="B469" s="126"/>
      <c r="C469" s="176"/>
      <c r="D469" s="176"/>
      <c r="E469" s="176"/>
      <c r="F469" s="176"/>
      <c r="G469" s="176"/>
      <c r="H469" s="176"/>
      <c r="I469" s="126"/>
      <c r="J469" s="126"/>
      <c r="K469" s="126"/>
      <c r="L469" s="126"/>
      <c r="M469" s="126"/>
      <c r="N469" s="126"/>
      <c r="O469" s="126"/>
      <c r="P469" s="126"/>
      <c r="Q469" s="126"/>
      <c r="R469" s="126"/>
      <c r="S469" s="126"/>
      <c r="T469" s="126"/>
      <c r="U469" s="126"/>
      <c r="V469" s="126"/>
      <c r="W469" s="126"/>
      <c r="X469" s="126"/>
      <c r="Y469" s="126"/>
      <c r="Z469" s="126"/>
      <c r="AA469" s="126"/>
      <c r="AB469" s="126"/>
    </row>
    <row r="470" spans="1:28" ht="15.75" customHeight="1">
      <c r="A470" s="126"/>
      <c r="B470" s="126"/>
      <c r="C470" s="176"/>
      <c r="D470" s="176"/>
      <c r="E470" s="176"/>
      <c r="F470" s="176"/>
      <c r="G470" s="176"/>
      <c r="H470" s="176"/>
      <c r="I470" s="126"/>
      <c r="J470" s="126"/>
      <c r="K470" s="126"/>
      <c r="L470" s="126"/>
      <c r="M470" s="126"/>
      <c r="N470" s="126"/>
      <c r="O470" s="126"/>
      <c r="P470" s="126"/>
      <c r="Q470" s="126"/>
      <c r="R470" s="126"/>
      <c r="S470" s="126"/>
      <c r="T470" s="126"/>
      <c r="U470" s="126"/>
      <c r="V470" s="126"/>
      <c r="W470" s="126"/>
      <c r="X470" s="126"/>
      <c r="Y470" s="126"/>
      <c r="Z470" s="126"/>
      <c r="AA470" s="126"/>
      <c r="AB470" s="126"/>
    </row>
    <row r="471" spans="1:28" ht="15.75" customHeight="1">
      <c r="A471" s="126"/>
      <c r="B471" s="126"/>
      <c r="C471" s="176"/>
      <c r="D471" s="176"/>
      <c r="E471" s="176"/>
      <c r="F471" s="176"/>
      <c r="G471" s="176"/>
      <c r="H471" s="176"/>
      <c r="I471" s="126"/>
      <c r="J471" s="126"/>
      <c r="K471" s="126"/>
      <c r="L471" s="126"/>
      <c r="M471" s="126"/>
      <c r="N471" s="126"/>
      <c r="O471" s="126"/>
      <c r="P471" s="126"/>
      <c r="Q471" s="126"/>
      <c r="R471" s="126"/>
      <c r="S471" s="126"/>
      <c r="T471" s="126"/>
      <c r="U471" s="126"/>
      <c r="V471" s="126"/>
      <c r="W471" s="126"/>
      <c r="X471" s="126"/>
      <c r="Y471" s="126"/>
      <c r="Z471" s="126"/>
      <c r="AA471" s="126"/>
      <c r="AB471" s="126"/>
    </row>
    <row r="472" spans="1:28" ht="15.75" customHeight="1">
      <c r="A472" s="126"/>
      <c r="B472" s="126"/>
      <c r="C472" s="176"/>
      <c r="D472" s="176"/>
      <c r="E472" s="176"/>
      <c r="F472" s="176"/>
      <c r="G472" s="176"/>
      <c r="H472" s="176"/>
      <c r="I472" s="126"/>
      <c r="J472" s="126"/>
      <c r="K472" s="126"/>
      <c r="L472" s="126"/>
      <c r="M472" s="126"/>
      <c r="N472" s="126"/>
      <c r="O472" s="126"/>
      <c r="P472" s="126"/>
      <c r="Q472" s="126"/>
      <c r="R472" s="126"/>
      <c r="S472" s="126"/>
      <c r="T472" s="126"/>
      <c r="U472" s="126"/>
      <c r="V472" s="126"/>
      <c r="W472" s="126"/>
      <c r="X472" s="126"/>
      <c r="Y472" s="126"/>
      <c r="Z472" s="126"/>
      <c r="AA472" s="126"/>
      <c r="AB472" s="126"/>
    </row>
    <row r="473" spans="1:28" ht="15.75" customHeight="1">
      <c r="A473" s="126"/>
      <c r="B473" s="126"/>
      <c r="C473" s="176"/>
      <c r="D473" s="176"/>
      <c r="E473" s="176"/>
      <c r="F473" s="176"/>
      <c r="G473" s="176"/>
      <c r="H473" s="176"/>
      <c r="I473" s="126"/>
      <c r="J473" s="126"/>
      <c r="K473" s="126"/>
      <c r="L473" s="126"/>
      <c r="M473" s="126"/>
      <c r="N473" s="126"/>
      <c r="O473" s="126"/>
      <c r="P473" s="126"/>
      <c r="Q473" s="126"/>
      <c r="R473" s="126"/>
      <c r="S473" s="126"/>
      <c r="T473" s="126"/>
      <c r="U473" s="126"/>
      <c r="V473" s="126"/>
      <c r="W473" s="126"/>
      <c r="X473" s="126"/>
      <c r="Y473" s="126"/>
      <c r="Z473" s="126"/>
      <c r="AA473" s="126"/>
      <c r="AB473" s="126"/>
    </row>
    <row r="474" spans="1:28" ht="15.75" customHeight="1">
      <c r="A474" s="126"/>
      <c r="B474" s="126"/>
      <c r="C474" s="176"/>
      <c r="D474" s="176"/>
      <c r="E474" s="176"/>
      <c r="F474" s="176"/>
      <c r="G474" s="176"/>
      <c r="H474" s="176"/>
      <c r="I474" s="126"/>
      <c r="J474" s="126"/>
      <c r="K474" s="126"/>
      <c r="L474" s="126"/>
      <c r="M474" s="126"/>
      <c r="N474" s="126"/>
      <c r="O474" s="126"/>
      <c r="P474" s="126"/>
      <c r="Q474" s="126"/>
      <c r="R474" s="126"/>
      <c r="S474" s="126"/>
      <c r="T474" s="126"/>
      <c r="U474" s="126"/>
      <c r="V474" s="126"/>
      <c r="W474" s="126"/>
      <c r="X474" s="126"/>
      <c r="Y474" s="126"/>
      <c r="Z474" s="126"/>
      <c r="AA474" s="126"/>
      <c r="AB474" s="126"/>
    </row>
    <row r="475" spans="1:28" ht="15.75" customHeight="1">
      <c r="A475" s="126"/>
      <c r="B475" s="126"/>
      <c r="C475" s="176"/>
      <c r="D475" s="176"/>
      <c r="E475" s="176"/>
      <c r="F475" s="176"/>
      <c r="G475" s="176"/>
      <c r="H475" s="176"/>
      <c r="I475" s="126"/>
      <c r="J475" s="126"/>
      <c r="K475" s="126"/>
      <c r="L475" s="126"/>
      <c r="M475" s="126"/>
      <c r="N475" s="126"/>
      <c r="O475" s="126"/>
      <c r="P475" s="126"/>
      <c r="Q475" s="126"/>
      <c r="R475" s="126"/>
      <c r="S475" s="126"/>
      <c r="T475" s="126"/>
      <c r="U475" s="126"/>
      <c r="V475" s="126"/>
      <c r="W475" s="126"/>
      <c r="X475" s="126"/>
      <c r="Y475" s="126"/>
      <c r="Z475" s="126"/>
      <c r="AA475" s="126"/>
      <c r="AB475" s="126"/>
    </row>
    <row r="476" spans="1:28" ht="15.75" customHeight="1">
      <c r="A476" s="126"/>
      <c r="B476" s="126"/>
      <c r="C476" s="176"/>
      <c r="D476" s="176"/>
      <c r="E476" s="176"/>
      <c r="F476" s="176"/>
      <c r="G476" s="176"/>
      <c r="H476" s="176"/>
      <c r="I476" s="126"/>
      <c r="J476" s="126"/>
      <c r="K476" s="126"/>
      <c r="L476" s="126"/>
      <c r="M476" s="126"/>
      <c r="N476" s="126"/>
      <c r="O476" s="126"/>
      <c r="P476" s="126"/>
      <c r="Q476" s="126"/>
      <c r="R476" s="126"/>
      <c r="S476" s="126"/>
      <c r="T476" s="126"/>
      <c r="U476" s="126"/>
      <c r="V476" s="126"/>
      <c r="W476" s="126"/>
      <c r="X476" s="126"/>
      <c r="Y476" s="126"/>
      <c r="Z476" s="126"/>
      <c r="AA476" s="126"/>
      <c r="AB476" s="126"/>
    </row>
    <row r="477" spans="1:28" ht="15.75" customHeight="1">
      <c r="A477" s="126"/>
      <c r="B477" s="126"/>
      <c r="C477" s="176"/>
      <c r="D477" s="176"/>
      <c r="E477" s="176"/>
      <c r="F477" s="176"/>
      <c r="G477" s="176"/>
      <c r="H477" s="176"/>
      <c r="I477" s="126"/>
      <c r="J477" s="126"/>
      <c r="K477" s="126"/>
      <c r="L477" s="126"/>
      <c r="M477" s="126"/>
      <c r="N477" s="126"/>
      <c r="O477" s="126"/>
      <c r="P477" s="126"/>
      <c r="Q477" s="126"/>
      <c r="R477" s="126"/>
      <c r="S477" s="126"/>
      <c r="T477" s="126"/>
      <c r="U477" s="126"/>
      <c r="V477" s="126"/>
      <c r="W477" s="126"/>
      <c r="X477" s="126"/>
      <c r="Y477" s="126"/>
      <c r="Z477" s="126"/>
      <c r="AA477" s="126"/>
      <c r="AB477" s="126"/>
    </row>
    <row r="478" spans="1:28" ht="15.75" customHeight="1">
      <c r="A478" s="126"/>
      <c r="B478" s="126"/>
      <c r="C478" s="176"/>
      <c r="D478" s="176"/>
      <c r="E478" s="176"/>
      <c r="F478" s="176"/>
      <c r="G478" s="176"/>
      <c r="H478" s="176"/>
      <c r="I478" s="126"/>
      <c r="J478" s="126"/>
      <c r="K478" s="126"/>
      <c r="L478" s="126"/>
      <c r="M478" s="126"/>
      <c r="N478" s="126"/>
      <c r="O478" s="126"/>
      <c r="P478" s="126"/>
      <c r="Q478" s="126"/>
      <c r="R478" s="126"/>
      <c r="S478" s="126"/>
      <c r="T478" s="126"/>
      <c r="U478" s="126"/>
      <c r="V478" s="126"/>
      <c r="W478" s="126"/>
      <c r="X478" s="126"/>
      <c r="Y478" s="126"/>
      <c r="Z478" s="126"/>
      <c r="AA478" s="126"/>
      <c r="AB478" s="126"/>
    </row>
    <row r="479" spans="1:28" ht="15.75" customHeight="1">
      <c r="A479" s="126"/>
      <c r="B479" s="126"/>
      <c r="C479" s="176"/>
      <c r="D479" s="176"/>
      <c r="E479" s="176"/>
      <c r="F479" s="176"/>
      <c r="G479" s="176"/>
      <c r="H479" s="176"/>
      <c r="I479" s="126"/>
      <c r="J479" s="126"/>
      <c r="K479" s="126"/>
      <c r="L479" s="126"/>
      <c r="M479" s="126"/>
      <c r="N479" s="126"/>
      <c r="O479" s="126"/>
      <c r="P479" s="126"/>
      <c r="Q479" s="126"/>
      <c r="R479" s="126"/>
      <c r="S479" s="126"/>
      <c r="T479" s="126"/>
      <c r="U479" s="126"/>
      <c r="V479" s="126"/>
      <c r="W479" s="126"/>
      <c r="X479" s="126"/>
      <c r="Y479" s="126"/>
      <c r="Z479" s="126"/>
      <c r="AA479" s="126"/>
      <c r="AB479" s="126"/>
    </row>
    <row r="480" spans="1:28" ht="15.75" customHeight="1">
      <c r="A480" s="126"/>
      <c r="B480" s="126"/>
      <c r="C480" s="176"/>
      <c r="D480" s="176"/>
      <c r="E480" s="176"/>
      <c r="F480" s="176"/>
      <c r="G480" s="176"/>
      <c r="H480" s="176"/>
      <c r="I480" s="126"/>
      <c r="J480" s="126"/>
      <c r="K480" s="126"/>
      <c r="L480" s="126"/>
      <c r="M480" s="126"/>
      <c r="N480" s="126"/>
      <c r="O480" s="126"/>
      <c r="P480" s="126"/>
      <c r="Q480" s="126"/>
      <c r="R480" s="126"/>
      <c r="S480" s="126"/>
      <c r="T480" s="126"/>
      <c r="U480" s="126"/>
      <c r="V480" s="126"/>
      <c r="W480" s="126"/>
      <c r="X480" s="126"/>
      <c r="Y480" s="126"/>
      <c r="Z480" s="126"/>
      <c r="AA480" s="126"/>
      <c r="AB480" s="126"/>
    </row>
    <row r="481" spans="1:28" ht="15.75" customHeight="1">
      <c r="A481" s="126"/>
      <c r="B481" s="126"/>
      <c r="C481" s="176"/>
      <c r="D481" s="176"/>
      <c r="E481" s="176"/>
      <c r="F481" s="176"/>
      <c r="G481" s="176"/>
      <c r="H481" s="176"/>
      <c r="I481" s="126"/>
      <c r="J481" s="126"/>
      <c r="K481" s="126"/>
      <c r="L481" s="126"/>
      <c r="M481" s="126"/>
      <c r="N481" s="126"/>
      <c r="O481" s="126"/>
      <c r="P481" s="126"/>
      <c r="Q481" s="126"/>
      <c r="R481" s="126"/>
      <c r="S481" s="126"/>
      <c r="T481" s="126"/>
      <c r="U481" s="126"/>
      <c r="V481" s="126"/>
      <c r="W481" s="126"/>
      <c r="X481" s="126"/>
      <c r="Y481" s="126"/>
      <c r="Z481" s="126"/>
      <c r="AA481" s="126"/>
      <c r="AB481" s="126"/>
    </row>
    <row r="482" spans="1:28" ht="15.75" customHeight="1">
      <c r="A482" s="126"/>
      <c r="B482" s="126"/>
      <c r="C482" s="176"/>
      <c r="D482" s="176"/>
      <c r="E482" s="176"/>
      <c r="F482" s="176"/>
      <c r="G482" s="176"/>
      <c r="H482" s="176"/>
      <c r="I482" s="126"/>
      <c r="J482" s="126"/>
      <c r="K482" s="126"/>
      <c r="L482" s="126"/>
      <c r="M482" s="126"/>
      <c r="N482" s="126"/>
      <c r="O482" s="126"/>
      <c r="P482" s="126"/>
      <c r="Q482" s="126"/>
      <c r="R482" s="126"/>
      <c r="S482" s="126"/>
      <c r="T482" s="126"/>
      <c r="U482" s="126"/>
      <c r="V482" s="126"/>
      <c r="W482" s="126"/>
      <c r="X482" s="126"/>
      <c r="Y482" s="126"/>
      <c r="Z482" s="126"/>
      <c r="AA482" s="126"/>
      <c r="AB482" s="126"/>
    </row>
    <row r="483" spans="1:28" ht="15.75" customHeight="1">
      <c r="A483" s="126"/>
      <c r="B483" s="126"/>
      <c r="C483" s="176"/>
      <c r="D483" s="176"/>
      <c r="E483" s="176"/>
      <c r="F483" s="176"/>
      <c r="G483" s="176"/>
      <c r="H483" s="176"/>
      <c r="I483" s="126"/>
      <c r="J483" s="126"/>
      <c r="K483" s="126"/>
      <c r="L483" s="126"/>
      <c r="M483" s="126"/>
      <c r="N483" s="126"/>
      <c r="O483" s="126"/>
      <c r="P483" s="126"/>
      <c r="Q483" s="126"/>
      <c r="R483" s="126"/>
      <c r="S483" s="126"/>
      <c r="T483" s="126"/>
      <c r="U483" s="126"/>
      <c r="V483" s="126"/>
      <c r="W483" s="126"/>
      <c r="X483" s="126"/>
      <c r="Y483" s="126"/>
      <c r="Z483" s="126"/>
      <c r="AA483" s="126"/>
      <c r="AB483" s="126"/>
    </row>
    <row r="484" spans="1:28" ht="15.75" customHeight="1">
      <c r="A484" s="126"/>
      <c r="B484" s="126"/>
      <c r="C484" s="176"/>
      <c r="D484" s="176"/>
      <c r="E484" s="176"/>
      <c r="F484" s="176"/>
      <c r="G484" s="176"/>
      <c r="H484" s="176"/>
      <c r="I484" s="126"/>
      <c r="J484" s="126"/>
      <c r="K484" s="126"/>
      <c r="L484" s="126"/>
      <c r="M484" s="126"/>
      <c r="N484" s="126"/>
      <c r="O484" s="126"/>
      <c r="P484" s="126"/>
      <c r="Q484" s="126"/>
      <c r="R484" s="126"/>
      <c r="S484" s="126"/>
      <c r="T484" s="126"/>
      <c r="U484" s="126"/>
      <c r="V484" s="126"/>
      <c r="W484" s="126"/>
      <c r="X484" s="126"/>
      <c r="Y484" s="126"/>
      <c r="Z484" s="126"/>
      <c r="AA484" s="126"/>
      <c r="AB484" s="126"/>
    </row>
    <row r="485" spans="1:28" ht="15.75" customHeight="1">
      <c r="A485" s="126"/>
      <c r="B485" s="126"/>
      <c r="C485" s="176"/>
      <c r="D485" s="176"/>
      <c r="E485" s="176"/>
      <c r="F485" s="176"/>
      <c r="G485" s="176"/>
      <c r="H485" s="176"/>
      <c r="I485" s="126"/>
      <c r="J485" s="126"/>
      <c r="K485" s="126"/>
      <c r="L485" s="126"/>
      <c r="M485" s="126"/>
      <c r="N485" s="126"/>
      <c r="O485" s="126"/>
      <c r="P485" s="126"/>
      <c r="Q485" s="126"/>
      <c r="R485" s="126"/>
      <c r="S485" s="126"/>
      <c r="T485" s="126"/>
      <c r="U485" s="126"/>
      <c r="V485" s="126"/>
      <c r="W485" s="126"/>
      <c r="X485" s="126"/>
      <c r="Y485" s="126"/>
      <c r="Z485" s="126"/>
      <c r="AA485" s="126"/>
      <c r="AB485" s="126"/>
    </row>
    <row r="486" spans="1:28" ht="15.75" customHeight="1">
      <c r="A486" s="126"/>
      <c r="B486" s="126"/>
      <c r="C486" s="176"/>
      <c r="D486" s="176"/>
      <c r="E486" s="176"/>
      <c r="F486" s="176"/>
      <c r="G486" s="176"/>
      <c r="H486" s="176"/>
      <c r="I486" s="126"/>
      <c r="J486" s="126"/>
      <c r="K486" s="126"/>
      <c r="L486" s="126"/>
      <c r="M486" s="126"/>
      <c r="N486" s="126"/>
      <c r="O486" s="126"/>
      <c r="P486" s="126"/>
      <c r="Q486" s="126"/>
      <c r="R486" s="126"/>
      <c r="S486" s="126"/>
      <c r="T486" s="126"/>
      <c r="U486" s="126"/>
      <c r="V486" s="126"/>
      <c r="W486" s="126"/>
      <c r="X486" s="126"/>
      <c r="Y486" s="126"/>
      <c r="Z486" s="126"/>
      <c r="AA486" s="126"/>
      <c r="AB486" s="126"/>
    </row>
    <row r="487" spans="1:28" ht="15.75" customHeight="1">
      <c r="A487" s="126"/>
      <c r="B487" s="126"/>
      <c r="C487" s="176"/>
      <c r="D487" s="176"/>
      <c r="E487" s="176"/>
      <c r="F487" s="176"/>
      <c r="G487" s="176"/>
      <c r="H487" s="176"/>
      <c r="I487" s="126"/>
      <c r="J487" s="126"/>
      <c r="K487" s="126"/>
      <c r="L487" s="126"/>
      <c r="M487" s="126"/>
      <c r="N487" s="126"/>
      <c r="O487" s="126"/>
      <c r="P487" s="126"/>
      <c r="Q487" s="126"/>
      <c r="R487" s="126"/>
      <c r="S487" s="126"/>
      <c r="T487" s="126"/>
      <c r="U487" s="126"/>
      <c r="V487" s="126"/>
      <c r="W487" s="126"/>
      <c r="X487" s="126"/>
      <c r="Y487" s="126"/>
      <c r="Z487" s="126"/>
      <c r="AA487" s="126"/>
      <c r="AB487" s="126"/>
    </row>
    <row r="488" spans="1:28" ht="15.75" customHeight="1">
      <c r="A488" s="126"/>
      <c r="B488" s="126"/>
      <c r="C488" s="176"/>
      <c r="D488" s="176"/>
      <c r="E488" s="176"/>
      <c r="F488" s="176"/>
      <c r="G488" s="176"/>
      <c r="H488" s="176"/>
      <c r="I488" s="126"/>
      <c r="J488" s="126"/>
      <c r="K488" s="126"/>
      <c r="L488" s="126"/>
      <c r="M488" s="126"/>
      <c r="N488" s="126"/>
      <c r="O488" s="126"/>
      <c r="P488" s="126"/>
      <c r="Q488" s="126"/>
      <c r="R488" s="126"/>
      <c r="S488" s="126"/>
      <c r="T488" s="126"/>
      <c r="U488" s="126"/>
      <c r="V488" s="126"/>
      <c r="W488" s="126"/>
      <c r="X488" s="126"/>
      <c r="Y488" s="126"/>
      <c r="Z488" s="126"/>
      <c r="AA488" s="126"/>
      <c r="AB488" s="126"/>
    </row>
    <row r="489" spans="1:28" ht="15.75" customHeight="1">
      <c r="A489" s="126"/>
      <c r="B489" s="126"/>
      <c r="C489" s="176"/>
      <c r="D489" s="176"/>
      <c r="E489" s="176"/>
      <c r="F489" s="176"/>
      <c r="G489" s="176"/>
      <c r="H489" s="176"/>
      <c r="I489" s="126"/>
      <c r="J489" s="126"/>
      <c r="K489" s="126"/>
      <c r="L489" s="126"/>
      <c r="M489" s="126"/>
      <c r="N489" s="126"/>
      <c r="O489" s="126"/>
      <c r="P489" s="126"/>
      <c r="Q489" s="126"/>
      <c r="R489" s="126"/>
      <c r="S489" s="126"/>
      <c r="T489" s="126"/>
      <c r="U489" s="126"/>
      <c r="V489" s="126"/>
      <c r="W489" s="126"/>
      <c r="X489" s="126"/>
      <c r="Y489" s="126"/>
      <c r="Z489" s="126"/>
      <c r="AA489" s="126"/>
      <c r="AB489" s="126"/>
    </row>
    <row r="490" spans="1:28" ht="15.75" customHeight="1">
      <c r="A490" s="126"/>
      <c r="B490" s="126"/>
      <c r="C490" s="176"/>
      <c r="D490" s="176"/>
      <c r="E490" s="176"/>
      <c r="F490" s="176"/>
      <c r="G490" s="176"/>
      <c r="H490" s="176"/>
      <c r="I490" s="126"/>
      <c r="J490" s="126"/>
      <c r="K490" s="126"/>
      <c r="L490" s="126"/>
      <c r="M490" s="126"/>
      <c r="N490" s="126"/>
      <c r="O490" s="126"/>
      <c r="P490" s="126"/>
      <c r="Q490" s="126"/>
      <c r="R490" s="126"/>
      <c r="S490" s="126"/>
      <c r="T490" s="126"/>
      <c r="U490" s="126"/>
      <c r="V490" s="126"/>
      <c r="W490" s="126"/>
      <c r="X490" s="126"/>
      <c r="Y490" s="126"/>
      <c r="Z490" s="126"/>
      <c r="AA490" s="126"/>
      <c r="AB490" s="126"/>
    </row>
    <row r="491" spans="1:28" ht="15.75" customHeight="1">
      <c r="A491" s="126"/>
      <c r="B491" s="126"/>
      <c r="C491" s="176"/>
      <c r="D491" s="176"/>
      <c r="E491" s="176"/>
      <c r="F491" s="176"/>
      <c r="G491" s="176"/>
      <c r="H491" s="176"/>
      <c r="I491" s="126"/>
      <c r="J491" s="126"/>
      <c r="K491" s="126"/>
      <c r="L491" s="126"/>
      <c r="M491" s="126"/>
      <c r="N491" s="126"/>
      <c r="O491" s="126"/>
      <c r="P491" s="126"/>
      <c r="Q491" s="126"/>
      <c r="R491" s="126"/>
      <c r="S491" s="126"/>
      <c r="T491" s="126"/>
      <c r="U491" s="126"/>
      <c r="V491" s="126"/>
      <c r="W491" s="126"/>
      <c r="X491" s="126"/>
      <c r="Y491" s="126"/>
      <c r="Z491" s="126"/>
      <c r="AA491" s="126"/>
      <c r="AB491" s="126"/>
    </row>
    <row r="492" spans="1:28" ht="15.75" customHeight="1">
      <c r="A492" s="126"/>
      <c r="B492" s="126"/>
      <c r="C492" s="176"/>
      <c r="D492" s="176"/>
      <c r="E492" s="176"/>
      <c r="F492" s="176"/>
      <c r="G492" s="176"/>
      <c r="H492" s="176"/>
      <c r="I492" s="126"/>
      <c r="J492" s="126"/>
      <c r="K492" s="126"/>
      <c r="L492" s="126"/>
      <c r="M492" s="126"/>
      <c r="N492" s="126"/>
      <c r="O492" s="126"/>
      <c r="P492" s="126"/>
      <c r="Q492" s="126"/>
      <c r="R492" s="126"/>
      <c r="S492" s="126"/>
      <c r="T492" s="126"/>
      <c r="U492" s="126"/>
      <c r="V492" s="126"/>
      <c r="W492" s="126"/>
      <c r="X492" s="126"/>
      <c r="Y492" s="126"/>
      <c r="Z492" s="126"/>
      <c r="AA492" s="126"/>
      <c r="AB492" s="126"/>
    </row>
    <row r="493" spans="1:28" ht="15.75" customHeight="1">
      <c r="A493" s="126"/>
      <c r="B493" s="126"/>
      <c r="C493" s="176"/>
      <c r="D493" s="176"/>
      <c r="E493" s="176"/>
      <c r="F493" s="176"/>
      <c r="G493" s="176"/>
      <c r="H493" s="176"/>
      <c r="I493" s="126"/>
      <c r="J493" s="126"/>
      <c r="K493" s="126"/>
      <c r="L493" s="126"/>
      <c r="M493" s="126"/>
      <c r="N493" s="126"/>
      <c r="O493" s="126"/>
      <c r="P493" s="126"/>
      <c r="Q493" s="126"/>
      <c r="R493" s="126"/>
      <c r="S493" s="126"/>
      <c r="T493" s="126"/>
      <c r="U493" s="126"/>
      <c r="V493" s="126"/>
      <c r="W493" s="126"/>
      <c r="X493" s="126"/>
      <c r="Y493" s="126"/>
      <c r="Z493" s="126"/>
      <c r="AA493" s="126"/>
      <c r="AB493" s="126"/>
    </row>
    <row r="494" spans="1:28" ht="15.75" customHeight="1">
      <c r="A494" s="126"/>
      <c r="B494" s="126"/>
      <c r="C494" s="176"/>
      <c r="D494" s="176"/>
      <c r="E494" s="176"/>
      <c r="F494" s="176"/>
      <c r="G494" s="176"/>
      <c r="H494" s="176"/>
      <c r="I494" s="126"/>
      <c r="J494" s="126"/>
      <c r="K494" s="126"/>
      <c r="L494" s="126"/>
      <c r="M494" s="126"/>
      <c r="N494" s="126"/>
      <c r="O494" s="126"/>
      <c r="P494" s="126"/>
      <c r="Q494" s="126"/>
      <c r="R494" s="126"/>
      <c r="S494" s="126"/>
      <c r="T494" s="126"/>
      <c r="U494" s="126"/>
      <c r="V494" s="126"/>
      <c r="W494" s="126"/>
      <c r="X494" s="126"/>
      <c r="Y494" s="126"/>
      <c r="Z494" s="126"/>
      <c r="AA494" s="126"/>
      <c r="AB494" s="126"/>
    </row>
    <row r="495" spans="1:28" ht="15.75" customHeight="1">
      <c r="A495" s="126"/>
      <c r="B495" s="126"/>
      <c r="C495" s="176"/>
      <c r="D495" s="176"/>
      <c r="E495" s="176"/>
      <c r="F495" s="176"/>
      <c r="G495" s="176"/>
      <c r="H495" s="176"/>
      <c r="I495" s="126"/>
      <c r="J495" s="126"/>
      <c r="K495" s="126"/>
      <c r="L495" s="126"/>
      <c r="M495" s="126"/>
      <c r="N495" s="126"/>
      <c r="O495" s="126"/>
      <c r="P495" s="126"/>
      <c r="Q495" s="126"/>
      <c r="R495" s="126"/>
      <c r="S495" s="126"/>
      <c r="T495" s="126"/>
      <c r="U495" s="126"/>
      <c r="V495" s="126"/>
      <c r="W495" s="126"/>
      <c r="X495" s="126"/>
      <c r="Y495" s="126"/>
      <c r="Z495" s="126"/>
      <c r="AA495" s="126"/>
      <c r="AB495" s="126"/>
    </row>
    <row r="496" spans="1:28" ht="15.75" customHeight="1">
      <c r="A496" s="126"/>
      <c r="B496" s="126"/>
      <c r="C496" s="176"/>
      <c r="D496" s="176"/>
      <c r="E496" s="176"/>
      <c r="F496" s="176"/>
      <c r="G496" s="176"/>
      <c r="H496" s="176"/>
      <c r="I496" s="126"/>
      <c r="J496" s="126"/>
      <c r="K496" s="126"/>
      <c r="L496" s="126"/>
      <c r="M496" s="126"/>
      <c r="N496" s="126"/>
      <c r="O496" s="126"/>
      <c r="P496" s="126"/>
      <c r="Q496" s="126"/>
      <c r="R496" s="126"/>
      <c r="S496" s="126"/>
      <c r="T496" s="126"/>
      <c r="U496" s="126"/>
      <c r="V496" s="126"/>
      <c r="W496" s="126"/>
      <c r="X496" s="126"/>
      <c r="Y496" s="126"/>
      <c r="Z496" s="126"/>
      <c r="AA496" s="126"/>
      <c r="AB496" s="126"/>
    </row>
    <row r="497" spans="1:28" ht="15.75" customHeight="1">
      <c r="A497" s="126"/>
      <c r="B497" s="126"/>
      <c r="C497" s="176"/>
      <c r="D497" s="176"/>
      <c r="E497" s="176"/>
      <c r="F497" s="176"/>
      <c r="G497" s="176"/>
      <c r="H497" s="176"/>
      <c r="I497" s="126"/>
      <c r="J497" s="126"/>
      <c r="K497" s="126"/>
      <c r="L497" s="126"/>
      <c r="M497" s="126"/>
      <c r="N497" s="126"/>
      <c r="O497" s="126"/>
      <c r="P497" s="126"/>
      <c r="Q497" s="126"/>
      <c r="R497" s="126"/>
      <c r="S497" s="126"/>
      <c r="T497" s="126"/>
      <c r="U497" s="126"/>
      <c r="V497" s="126"/>
      <c r="W497" s="126"/>
      <c r="X497" s="126"/>
      <c r="Y497" s="126"/>
      <c r="Z497" s="126"/>
      <c r="AA497" s="126"/>
      <c r="AB497" s="126"/>
    </row>
    <row r="498" spans="1:28" ht="15.75" customHeight="1">
      <c r="A498" s="126"/>
      <c r="B498" s="126"/>
      <c r="C498" s="176"/>
      <c r="D498" s="176"/>
      <c r="E498" s="176"/>
      <c r="F498" s="176"/>
      <c r="G498" s="176"/>
      <c r="H498" s="176"/>
      <c r="I498" s="126"/>
      <c r="J498" s="126"/>
      <c r="K498" s="126"/>
      <c r="L498" s="126"/>
      <c r="M498" s="126"/>
      <c r="N498" s="126"/>
      <c r="O498" s="126"/>
      <c r="P498" s="126"/>
      <c r="Q498" s="126"/>
      <c r="R498" s="126"/>
      <c r="S498" s="126"/>
      <c r="T498" s="126"/>
      <c r="U498" s="126"/>
      <c r="V498" s="126"/>
      <c r="W498" s="126"/>
      <c r="X498" s="126"/>
      <c r="Y498" s="126"/>
      <c r="Z498" s="126"/>
      <c r="AA498" s="126"/>
      <c r="AB498" s="126"/>
    </row>
    <row r="499" spans="1:28" ht="15.75" customHeight="1">
      <c r="A499" s="126"/>
      <c r="B499" s="126"/>
      <c r="C499" s="176"/>
      <c r="D499" s="176"/>
      <c r="E499" s="176"/>
      <c r="F499" s="176"/>
      <c r="G499" s="176"/>
      <c r="H499" s="176"/>
      <c r="I499" s="126"/>
      <c r="J499" s="126"/>
      <c r="K499" s="126"/>
      <c r="L499" s="126"/>
      <c r="M499" s="126"/>
      <c r="N499" s="126"/>
      <c r="O499" s="126"/>
      <c r="P499" s="126"/>
      <c r="Q499" s="126"/>
      <c r="R499" s="126"/>
      <c r="S499" s="126"/>
      <c r="T499" s="126"/>
      <c r="U499" s="126"/>
      <c r="V499" s="126"/>
      <c r="W499" s="126"/>
      <c r="X499" s="126"/>
      <c r="Y499" s="126"/>
      <c r="Z499" s="126"/>
      <c r="AA499" s="126"/>
      <c r="AB499" s="126"/>
    </row>
    <row r="500" spans="1:28" ht="15.75" customHeight="1">
      <c r="A500" s="126"/>
      <c r="B500" s="126"/>
      <c r="C500" s="176"/>
      <c r="D500" s="176"/>
      <c r="E500" s="176"/>
      <c r="F500" s="176"/>
      <c r="G500" s="176"/>
      <c r="H500" s="176"/>
      <c r="I500" s="126"/>
      <c r="J500" s="126"/>
      <c r="K500" s="126"/>
      <c r="L500" s="126"/>
      <c r="M500" s="126"/>
      <c r="N500" s="126"/>
      <c r="O500" s="126"/>
      <c r="P500" s="126"/>
      <c r="Q500" s="126"/>
      <c r="R500" s="126"/>
      <c r="S500" s="126"/>
      <c r="T500" s="126"/>
      <c r="U500" s="126"/>
      <c r="V500" s="126"/>
      <c r="W500" s="126"/>
      <c r="X500" s="126"/>
      <c r="Y500" s="126"/>
      <c r="Z500" s="126"/>
      <c r="AA500" s="126"/>
      <c r="AB500" s="126"/>
    </row>
    <row r="501" spans="1:28" ht="15.75" customHeight="1">
      <c r="A501" s="126"/>
      <c r="B501" s="126"/>
      <c r="C501" s="176"/>
      <c r="D501" s="176"/>
      <c r="E501" s="176"/>
      <c r="F501" s="176"/>
      <c r="G501" s="176"/>
      <c r="H501" s="176"/>
      <c r="I501" s="126"/>
      <c r="J501" s="126"/>
      <c r="K501" s="126"/>
      <c r="L501" s="126"/>
      <c r="M501" s="126"/>
      <c r="N501" s="126"/>
      <c r="O501" s="126"/>
      <c r="P501" s="126"/>
      <c r="Q501" s="126"/>
      <c r="R501" s="126"/>
      <c r="S501" s="126"/>
      <c r="T501" s="126"/>
      <c r="U501" s="126"/>
      <c r="V501" s="126"/>
      <c r="W501" s="126"/>
      <c r="X501" s="126"/>
      <c r="Y501" s="126"/>
      <c r="Z501" s="126"/>
      <c r="AA501" s="126"/>
      <c r="AB501" s="126"/>
    </row>
    <row r="502" spans="1:28" ht="15.75" customHeight="1">
      <c r="A502" s="126"/>
      <c r="B502" s="126"/>
      <c r="C502" s="176"/>
      <c r="D502" s="176"/>
      <c r="E502" s="176"/>
      <c r="F502" s="176"/>
      <c r="G502" s="176"/>
      <c r="H502" s="176"/>
      <c r="I502" s="126"/>
      <c r="J502" s="126"/>
      <c r="K502" s="126"/>
      <c r="L502" s="126"/>
      <c r="M502" s="126"/>
      <c r="N502" s="126"/>
      <c r="O502" s="126"/>
      <c r="P502" s="126"/>
      <c r="Q502" s="126"/>
      <c r="R502" s="126"/>
      <c r="S502" s="126"/>
      <c r="T502" s="126"/>
      <c r="U502" s="126"/>
      <c r="V502" s="126"/>
      <c r="W502" s="126"/>
      <c r="X502" s="126"/>
      <c r="Y502" s="126"/>
      <c r="Z502" s="126"/>
      <c r="AA502" s="126"/>
      <c r="AB502" s="126"/>
    </row>
    <row r="503" spans="1:28" ht="15.75" customHeight="1">
      <c r="A503" s="126"/>
      <c r="B503" s="126"/>
      <c r="C503" s="176"/>
      <c r="D503" s="176"/>
      <c r="E503" s="176"/>
      <c r="F503" s="176"/>
      <c r="G503" s="176"/>
      <c r="H503" s="176"/>
      <c r="I503" s="126"/>
      <c r="J503" s="126"/>
      <c r="K503" s="126"/>
      <c r="L503" s="126"/>
      <c r="M503" s="126"/>
      <c r="N503" s="126"/>
      <c r="O503" s="126"/>
      <c r="P503" s="126"/>
      <c r="Q503" s="126"/>
      <c r="R503" s="126"/>
      <c r="S503" s="126"/>
      <c r="T503" s="126"/>
      <c r="U503" s="126"/>
      <c r="V503" s="126"/>
      <c r="W503" s="126"/>
      <c r="X503" s="126"/>
      <c r="Y503" s="126"/>
      <c r="Z503" s="126"/>
      <c r="AA503" s="126"/>
      <c r="AB503" s="126"/>
    </row>
    <row r="504" spans="1:28" ht="15.75" customHeight="1">
      <c r="A504" s="126"/>
      <c r="B504" s="126"/>
      <c r="C504" s="176"/>
      <c r="D504" s="176"/>
      <c r="E504" s="176"/>
      <c r="F504" s="176"/>
      <c r="G504" s="176"/>
      <c r="H504" s="176"/>
      <c r="I504" s="126"/>
      <c r="J504" s="126"/>
      <c r="K504" s="126"/>
      <c r="L504" s="126"/>
      <c r="M504" s="126"/>
      <c r="N504" s="126"/>
      <c r="O504" s="126"/>
      <c r="P504" s="126"/>
      <c r="Q504" s="126"/>
      <c r="R504" s="126"/>
      <c r="S504" s="126"/>
      <c r="T504" s="126"/>
      <c r="U504" s="126"/>
      <c r="V504" s="126"/>
      <c r="W504" s="126"/>
      <c r="X504" s="126"/>
      <c r="Y504" s="126"/>
      <c r="Z504" s="126"/>
      <c r="AA504" s="126"/>
      <c r="AB504" s="126"/>
    </row>
    <row r="505" spans="1:28" ht="15.75" customHeight="1">
      <c r="A505" s="126"/>
      <c r="B505" s="126"/>
      <c r="C505" s="176"/>
      <c r="D505" s="176"/>
      <c r="E505" s="176"/>
      <c r="F505" s="176"/>
      <c r="G505" s="176"/>
      <c r="H505" s="176"/>
      <c r="I505" s="126"/>
      <c r="J505" s="126"/>
      <c r="K505" s="126"/>
      <c r="L505" s="126"/>
      <c r="M505" s="126"/>
      <c r="N505" s="126"/>
      <c r="O505" s="126"/>
      <c r="P505" s="126"/>
      <c r="Q505" s="126"/>
      <c r="R505" s="126"/>
      <c r="S505" s="126"/>
      <c r="T505" s="126"/>
      <c r="U505" s="126"/>
      <c r="V505" s="126"/>
      <c r="W505" s="126"/>
      <c r="X505" s="126"/>
      <c r="Y505" s="126"/>
      <c r="Z505" s="126"/>
      <c r="AA505" s="126"/>
      <c r="AB505" s="126"/>
    </row>
    <row r="506" spans="1:28" ht="15.75" customHeight="1">
      <c r="A506" s="126"/>
      <c r="B506" s="126"/>
      <c r="C506" s="176"/>
      <c r="D506" s="176"/>
      <c r="E506" s="176"/>
      <c r="F506" s="176"/>
      <c r="G506" s="176"/>
      <c r="H506" s="176"/>
      <c r="I506" s="126"/>
      <c r="J506" s="126"/>
      <c r="K506" s="126"/>
      <c r="L506" s="126"/>
      <c r="M506" s="126"/>
      <c r="N506" s="126"/>
      <c r="O506" s="126"/>
      <c r="P506" s="126"/>
      <c r="Q506" s="126"/>
      <c r="R506" s="126"/>
      <c r="S506" s="126"/>
      <c r="T506" s="126"/>
      <c r="U506" s="126"/>
      <c r="V506" s="126"/>
      <c r="W506" s="126"/>
      <c r="X506" s="126"/>
      <c r="Y506" s="126"/>
      <c r="Z506" s="126"/>
      <c r="AA506" s="126"/>
      <c r="AB506" s="126"/>
    </row>
    <row r="507" spans="1:28" ht="15.75" customHeight="1">
      <c r="A507" s="126"/>
      <c r="B507" s="126"/>
      <c r="C507" s="176"/>
      <c r="D507" s="176"/>
      <c r="E507" s="176"/>
      <c r="F507" s="176"/>
      <c r="G507" s="176"/>
      <c r="H507" s="176"/>
      <c r="I507" s="126"/>
      <c r="J507" s="126"/>
      <c r="K507" s="126"/>
      <c r="L507" s="126"/>
      <c r="M507" s="126"/>
      <c r="N507" s="126"/>
      <c r="O507" s="126"/>
      <c r="P507" s="126"/>
      <c r="Q507" s="126"/>
      <c r="R507" s="126"/>
      <c r="S507" s="126"/>
      <c r="T507" s="126"/>
      <c r="U507" s="126"/>
      <c r="V507" s="126"/>
      <c r="W507" s="126"/>
      <c r="X507" s="126"/>
      <c r="Y507" s="126"/>
      <c r="Z507" s="126"/>
      <c r="AA507" s="126"/>
      <c r="AB507" s="126"/>
    </row>
    <row r="508" spans="1:28" ht="15.75" customHeight="1">
      <c r="A508" s="126"/>
      <c r="B508" s="126"/>
      <c r="C508" s="176"/>
      <c r="D508" s="176"/>
      <c r="E508" s="176"/>
      <c r="F508" s="176"/>
      <c r="G508" s="176"/>
      <c r="H508" s="176"/>
      <c r="I508" s="126"/>
      <c r="J508" s="126"/>
      <c r="K508" s="126"/>
      <c r="L508" s="126"/>
      <c r="M508" s="126"/>
      <c r="N508" s="126"/>
      <c r="O508" s="126"/>
      <c r="P508" s="126"/>
      <c r="Q508" s="126"/>
      <c r="R508" s="126"/>
      <c r="S508" s="126"/>
      <c r="T508" s="126"/>
      <c r="U508" s="126"/>
      <c r="V508" s="126"/>
      <c r="W508" s="126"/>
      <c r="X508" s="126"/>
      <c r="Y508" s="126"/>
      <c r="Z508" s="126"/>
      <c r="AA508" s="126"/>
      <c r="AB508" s="126"/>
    </row>
    <row r="509" spans="1:28" ht="15.75" customHeight="1">
      <c r="A509" s="126"/>
      <c r="B509" s="126"/>
      <c r="C509" s="176"/>
      <c r="D509" s="176"/>
      <c r="E509" s="176"/>
      <c r="F509" s="176"/>
      <c r="G509" s="176"/>
      <c r="H509" s="176"/>
      <c r="I509" s="126"/>
      <c r="J509" s="126"/>
      <c r="K509" s="126"/>
      <c r="L509" s="126"/>
      <c r="M509" s="126"/>
      <c r="N509" s="126"/>
      <c r="O509" s="126"/>
      <c r="P509" s="126"/>
      <c r="Q509" s="126"/>
      <c r="R509" s="126"/>
      <c r="S509" s="126"/>
      <c r="T509" s="126"/>
      <c r="U509" s="126"/>
      <c r="V509" s="126"/>
      <c r="W509" s="126"/>
      <c r="X509" s="126"/>
      <c r="Y509" s="126"/>
      <c r="Z509" s="126"/>
      <c r="AA509" s="126"/>
      <c r="AB509" s="126"/>
    </row>
    <row r="510" spans="1:28" ht="15.75" customHeight="1">
      <c r="A510" s="126"/>
      <c r="B510" s="126"/>
      <c r="C510" s="176"/>
      <c r="D510" s="176"/>
      <c r="E510" s="176"/>
      <c r="F510" s="176"/>
      <c r="G510" s="176"/>
      <c r="H510" s="176"/>
      <c r="I510" s="126"/>
      <c r="J510" s="126"/>
      <c r="K510" s="126"/>
      <c r="L510" s="126"/>
      <c r="M510" s="126"/>
      <c r="N510" s="126"/>
      <c r="O510" s="126"/>
      <c r="P510" s="126"/>
      <c r="Q510" s="126"/>
      <c r="R510" s="126"/>
      <c r="S510" s="126"/>
      <c r="T510" s="126"/>
      <c r="U510" s="126"/>
      <c r="V510" s="126"/>
      <c r="W510" s="126"/>
      <c r="X510" s="126"/>
      <c r="Y510" s="126"/>
      <c r="Z510" s="126"/>
      <c r="AA510" s="126"/>
      <c r="AB510" s="126"/>
    </row>
    <row r="511" spans="1:28" ht="15.75" customHeight="1">
      <c r="A511" s="126"/>
      <c r="B511" s="126"/>
      <c r="C511" s="176"/>
      <c r="D511" s="176"/>
      <c r="E511" s="176"/>
      <c r="F511" s="176"/>
      <c r="G511" s="176"/>
      <c r="H511" s="176"/>
      <c r="I511" s="126"/>
      <c r="J511" s="126"/>
      <c r="K511" s="126"/>
      <c r="L511" s="126"/>
      <c r="M511" s="126"/>
      <c r="N511" s="126"/>
      <c r="O511" s="126"/>
      <c r="P511" s="126"/>
      <c r="Q511" s="126"/>
      <c r="R511" s="126"/>
      <c r="S511" s="126"/>
      <c r="T511" s="126"/>
      <c r="U511" s="126"/>
      <c r="V511" s="126"/>
      <c r="W511" s="126"/>
      <c r="X511" s="126"/>
      <c r="Y511" s="126"/>
      <c r="Z511" s="126"/>
      <c r="AA511" s="126"/>
      <c r="AB511" s="126"/>
    </row>
    <row r="512" spans="1:28" ht="15.75" customHeight="1">
      <c r="A512" s="126"/>
      <c r="B512" s="126"/>
      <c r="C512" s="176"/>
      <c r="D512" s="176"/>
      <c r="E512" s="176"/>
      <c r="F512" s="176"/>
      <c r="G512" s="176"/>
      <c r="H512" s="176"/>
      <c r="I512" s="126"/>
      <c r="J512" s="126"/>
      <c r="K512" s="126"/>
      <c r="L512" s="126"/>
      <c r="M512" s="126"/>
      <c r="N512" s="126"/>
      <c r="O512" s="126"/>
      <c r="P512" s="126"/>
      <c r="Q512" s="126"/>
      <c r="R512" s="126"/>
      <c r="S512" s="126"/>
      <c r="T512" s="126"/>
      <c r="U512" s="126"/>
      <c r="V512" s="126"/>
      <c r="W512" s="126"/>
      <c r="X512" s="126"/>
      <c r="Y512" s="126"/>
      <c r="Z512" s="126"/>
      <c r="AA512" s="126"/>
      <c r="AB512" s="126"/>
    </row>
    <row r="513" spans="1:28" ht="15.75" customHeight="1">
      <c r="A513" s="126"/>
      <c r="B513" s="126"/>
      <c r="C513" s="176"/>
      <c r="D513" s="176"/>
      <c r="E513" s="176"/>
      <c r="F513" s="176"/>
      <c r="G513" s="176"/>
      <c r="H513" s="176"/>
      <c r="I513" s="126"/>
      <c r="J513" s="126"/>
      <c r="K513" s="126"/>
      <c r="L513" s="126"/>
      <c r="M513" s="126"/>
      <c r="N513" s="126"/>
      <c r="O513" s="126"/>
      <c r="P513" s="126"/>
      <c r="Q513" s="126"/>
      <c r="R513" s="126"/>
      <c r="S513" s="126"/>
      <c r="T513" s="126"/>
      <c r="U513" s="126"/>
      <c r="V513" s="126"/>
      <c r="W513" s="126"/>
      <c r="X513" s="126"/>
      <c r="Y513" s="126"/>
      <c r="Z513" s="126"/>
      <c r="AA513" s="126"/>
      <c r="AB513" s="126"/>
    </row>
    <row r="514" spans="1:28" ht="15.75" customHeight="1">
      <c r="A514" s="126"/>
      <c r="B514" s="126"/>
      <c r="C514" s="176"/>
      <c r="D514" s="176"/>
      <c r="E514" s="176"/>
      <c r="F514" s="176"/>
      <c r="G514" s="176"/>
      <c r="H514" s="176"/>
      <c r="I514" s="126"/>
      <c r="J514" s="126"/>
      <c r="K514" s="126"/>
      <c r="L514" s="126"/>
      <c r="M514" s="126"/>
      <c r="N514" s="126"/>
      <c r="O514" s="126"/>
      <c r="P514" s="126"/>
      <c r="Q514" s="126"/>
      <c r="R514" s="126"/>
      <c r="S514" s="126"/>
      <c r="T514" s="126"/>
      <c r="U514" s="126"/>
      <c r="V514" s="126"/>
      <c r="W514" s="126"/>
      <c r="X514" s="126"/>
      <c r="Y514" s="126"/>
      <c r="Z514" s="126"/>
      <c r="AA514" s="126"/>
      <c r="AB514" s="126"/>
    </row>
    <row r="515" spans="1:28" ht="15.75" customHeight="1">
      <c r="A515" s="126"/>
      <c r="B515" s="126"/>
      <c r="C515" s="176"/>
      <c r="D515" s="176"/>
      <c r="E515" s="176"/>
      <c r="F515" s="176"/>
      <c r="G515" s="176"/>
      <c r="H515" s="176"/>
      <c r="I515" s="126"/>
      <c r="J515" s="126"/>
      <c r="K515" s="126"/>
      <c r="L515" s="126"/>
      <c r="M515" s="126"/>
      <c r="N515" s="126"/>
      <c r="O515" s="126"/>
      <c r="P515" s="126"/>
      <c r="Q515" s="126"/>
      <c r="R515" s="126"/>
      <c r="S515" s="126"/>
      <c r="T515" s="126"/>
      <c r="U515" s="126"/>
      <c r="V515" s="126"/>
      <c r="W515" s="126"/>
      <c r="X515" s="126"/>
      <c r="Y515" s="126"/>
      <c r="Z515" s="126"/>
      <c r="AA515" s="126"/>
      <c r="AB515" s="126"/>
    </row>
    <row r="516" spans="1:28" ht="15.75" customHeight="1">
      <c r="A516" s="126"/>
      <c r="B516" s="126"/>
      <c r="C516" s="176"/>
      <c r="D516" s="176"/>
      <c r="E516" s="176"/>
      <c r="F516" s="176"/>
      <c r="G516" s="176"/>
      <c r="H516" s="176"/>
      <c r="I516" s="126"/>
      <c r="J516" s="126"/>
      <c r="K516" s="126"/>
      <c r="L516" s="126"/>
      <c r="M516" s="126"/>
      <c r="N516" s="126"/>
      <c r="O516" s="126"/>
      <c r="P516" s="126"/>
      <c r="Q516" s="126"/>
      <c r="R516" s="126"/>
      <c r="S516" s="126"/>
      <c r="T516" s="126"/>
      <c r="U516" s="126"/>
      <c r="V516" s="126"/>
      <c r="W516" s="126"/>
      <c r="X516" s="126"/>
      <c r="Y516" s="126"/>
      <c r="Z516" s="126"/>
      <c r="AA516" s="126"/>
      <c r="AB516" s="126"/>
    </row>
    <row r="517" spans="1:28" ht="15.75" customHeight="1">
      <c r="A517" s="126"/>
      <c r="B517" s="126"/>
      <c r="C517" s="176"/>
      <c r="D517" s="176"/>
      <c r="E517" s="176"/>
      <c r="F517" s="176"/>
      <c r="G517" s="176"/>
      <c r="H517" s="176"/>
      <c r="I517" s="126"/>
      <c r="J517" s="126"/>
      <c r="K517" s="126"/>
      <c r="L517" s="126"/>
      <c r="M517" s="126"/>
      <c r="N517" s="126"/>
      <c r="O517" s="126"/>
      <c r="P517" s="126"/>
      <c r="Q517" s="126"/>
      <c r="R517" s="126"/>
      <c r="S517" s="126"/>
      <c r="T517" s="126"/>
      <c r="U517" s="126"/>
      <c r="V517" s="126"/>
      <c r="W517" s="126"/>
      <c r="X517" s="126"/>
      <c r="Y517" s="126"/>
      <c r="Z517" s="126"/>
      <c r="AA517" s="126"/>
      <c r="AB517" s="126"/>
    </row>
    <row r="518" spans="1:28" ht="15.75" customHeight="1">
      <c r="A518" s="126"/>
      <c r="B518" s="126"/>
      <c r="C518" s="176"/>
      <c r="D518" s="176"/>
      <c r="E518" s="176"/>
      <c r="F518" s="176"/>
      <c r="G518" s="176"/>
      <c r="H518" s="176"/>
      <c r="I518" s="126"/>
      <c r="J518" s="126"/>
      <c r="K518" s="126"/>
      <c r="L518" s="126"/>
      <c r="M518" s="126"/>
      <c r="N518" s="126"/>
      <c r="O518" s="126"/>
      <c r="P518" s="126"/>
      <c r="Q518" s="126"/>
      <c r="R518" s="126"/>
      <c r="S518" s="126"/>
      <c r="T518" s="126"/>
      <c r="U518" s="126"/>
      <c r="V518" s="126"/>
      <c r="W518" s="126"/>
      <c r="X518" s="126"/>
      <c r="Y518" s="126"/>
      <c r="Z518" s="126"/>
      <c r="AA518" s="126"/>
      <c r="AB518" s="126"/>
    </row>
    <row r="519" spans="1:28" ht="15.75" customHeight="1">
      <c r="A519" s="126"/>
      <c r="B519" s="126"/>
      <c r="C519" s="176"/>
      <c r="D519" s="176"/>
      <c r="E519" s="176"/>
      <c r="F519" s="176"/>
      <c r="G519" s="176"/>
      <c r="H519" s="176"/>
      <c r="I519" s="126"/>
      <c r="J519" s="126"/>
      <c r="K519" s="126"/>
      <c r="L519" s="126"/>
      <c r="M519" s="126"/>
      <c r="N519" s="126"/>
      <c r="O519" s="126"/>
      <c r="P519" s="126"/>
      <c r="Q519" s="126"/>
      <c r="R519" s="126"/>
      <c r="S519" s="126"/>
      <c r="T519" s="126"/>
      <c r="U519" s="126"/>
      <c r="V519" s="126"/>
      <c r="W519" s="126"/>
      <c r="X519" s="126"/>
      <c r="Y519" s="126"/>
      <c r="Z519" s="126"/>
      <c r="AA519" s="126"/>
      <c r="AB519" s="126"/>
    </row>
    <row r="520" spans="1:28" ht="15.75" customHeight="1">
      <c r="A520" s="126"/>
      <c r="B520" s="126"/>
      <c r="C520" s="176"/>
      <c r="D520" s="176"/>
      <c r="E520" s="176"/>
      <c r="F520" s="176"/>
      <c r="G520" s="176"/>
      <c r="H520" s="176"/>
      <c r="I520" s="126"/>
      <c r="J520" s="126"/>
      <c r="K520" s="126"/>
      <c r="L520" s="126"/>
      <c r="M520" s="126"/>
      <c r="N520" s="126"/>
      <c r="O520" s="126"/>
      <c r="P520" s="126"/>
      <c r="Q520" s="126"/>
      <c r="R520" s="126"/>
      <c r="S520" s="126"/>
      <c r="T520" s="126"/>
      <c r="U520" s="126"/>
      <c r="V520" s="126"/>
      <c r="W520" s="126"/>
      <c r="X520" s="126"/>
      <c r="Y520" s="126"/>
      <c r="Z520" s="126"/>
      <c r="AA520" s="126"/>
      <c r="AB520" s="126"/>
    </row>
    <row r="521" spans="1:28" ht="15.75" customHeight="1">
      <c r="A521" s="126"/>
      <c r="B521" s="126"/>
      <c r="C521" s="176"/>
      <c r="D521" s="176"/>
      <c r="E521" s="176"/>
      <c r="F521" s="176"/>
      <c r="G521" s="176"/>
      <c r="H521" s="176"/>
      <c r="I521" s="126"/>
      <c r="J521" s="126"/>
      <c r="K521" s="126"/>
      <c r="L521" s="126"/>
      <c r="M521" s="126"/>
      <c r="N521" s="126"/>
      <c r="O521" s="126"/>
      <c r="P521" s="126"/>
      <c r="Q521" s="126"/>
      <c r="R521" s="126"/>
      <c r="S521" s="126"/>
      <c r="T521" s="126"/>
      <c r="U521" s="126"/>
      <c r="V521" s="126"/>
      <c r="W521" s="126"/>
      <c r="X521" s="126"/>
      <c r="Y521" s="126"/>
      <c r="Z521" s="126"/>
      <c r="AA521" s="126"/>
      <c r="AB521" s="126"/>
    </row>
    <row r="522" spans="1:28" ht="15.75" customHeight="1">
      <c r="A522" s="126"/>
      <c r="B522" s="126"/>
      <c r="C522" s="176"/>
      <c r="D522" s="176"/>
      <c r="E522" s="176"/>
      <c r="F522" s="176"/>
      <c r="G522" s="176"/>
      <c r="H522" s="176"/>
      <c r="I522" s="126"/>
      <c r="J522" s="126"/>
      <c r="K522" s="126"/>
      <c r="L522" s="126"/>
      <c r="M522" s="126"/>
      <c r="N522" s="126"/>
      <c r="O522" s="126"/>
      <c r="P522" s="126"/>
      <c r="Q522" s="126"/>
      <c r="R522" s="126"/>
      <c r="S522" s="126"/>
      <c r="T522" s="126"/>
      <c r="U522" s="126"/>
      <c r="V522" s="126"/>
      <c r="W522" s="126"/>
      <c r="X522" s="126"/>
      <c r="Y522" s="126"/>
      <c r="Z522" s="126"/>
      <c r="AA522" s="126"/>
      <c r="AB522" s="126"/>
    </row>
    <row r="523" spans="1:28" ht="15.75" customHeight="1">
      <c r="A523" s="126"/>
      <c r="B523" s="126"/>
      <c r="C523" s="176"/>
      <c r="D523" s="176"/>
      <c r="E523" s="176"/>
      <c r="F523" s="176"/>
      <c r="G523" s="176"/>
      <c r="H523" s="176"/>
      <c r="I523" s="126"/>
      <c r="J523" s="126"/>
      <c r="K523" s="126"/>
      <c r="L523" s="126"/>
      <c r="M523" s="126"/>
      <c r="N523" s="126"/>
      <c r="O523" s="126"/>
      <c r="P523" s="126"/>
      <c r="Q523" s="126"/>
      <c r="R523" s="126"/>
      <c r="S523" s="126"/>
      <c r="T523" s="126"/>
      <c r="U523" s="126"/>
      <c r="V523" s="126"/>
      <c r="W523" s="126"/>
      <c r="X523" s="126"/>
      <c r="Y523" s="126"/>
      <c r="Z523" s="126"/>
      <c r="AA523" s="126"/>
      <c r="AB523" s="126"/>
    </row>
    <row r="524" spans="1:28" ht="15.75" customHeight="1">
      <c r="A524" s="126"/>
      <c r="B524" s="126"/>
      <c r="C524" s="176"/>
      <c r="D524" s="176"/>
      <c r="E524" s="176"/>
      <c r="F524" s="176"/>
      <c r="G524" s="176"/>
      <c r="H524" s="176"/>
      <c r="I524" s="126"/>
      <c r="J524" s="126"/>
      <c r="K524" s="126"/>
      <c r="L524" s="126"/>
      <c r="M524" s="126"/>
      <c r="N524" s="126"/>
      <c r="O524" s="126"/>
      <c r="P524" s="126"/>
      <c r="Q524" s="126"/>
      <c r="R524" s="126"/>
      <c r="S524" s="126"/>
      <c r="T524" s="126"/>
      <c r="U524" s="126"/>
      <c r="V524" s="126"/>
      <c r="W524" s="126"/>
      <c r="X524" s="126"/>
      <c r="Y524" s="126"/>
      <c r="Z524" s="126"/>
      <c r="AA524" s="126"/>
      <c r="AB524" s="126"/>
    </row>
    <row r="525" spans="1:28" ht="15.75" customHeight="1">
      <c r="A525" s="126"/>
      <c r="B525" s="126"/>
      <c r="C525" s="176"/>
      <c r="D525" s="176"/>
      <c r="E525" s="176"/>
      <c r="F525" s="176"/>
      <c r="G525" s="176"/>
      <c r="H525" s="176"/>
      <c r="I525" s="126"/>
      <c r="J525" s="126"/>
      <c r="K525" s="126"/>
      <c r="L525" s="126"/>
      <c r="M525" s="126"/>
      <c r="N525" s="126"/>
      <c r="O525" s="126"/>
      <c r="P525" s="126"/>
      <c r="Q525" s="126"/>
      <c r="R525" s="126"/>
      <c r="S525" s="126"/>
      <c r="T525" s="126"/>
      <c r="U525" s="126"/>
      <c r="V525" s="126"/>
      <c r="W525" s="126"/>
      <c r="X525" s="126"/>
      <c r="Y525" s="126"/>
      <c r="Z525" s="126"/>
      <c r="AA525" s="126"/>
      <c r="AB525" s="126"/>
    </row>
    <row r="526" spans="1:28" ht="15.75" customHeight="1">
      <c r="A526" s="126"/>
      <c r="B526" s="126"/>
      <c r="C526" s="176"/>
      <c r="D526" s="176"/>
      <c r="E526" s="176"/>
      <c r="F526" s="176"/>
      <c r="G526" s="176"/>
      <c r="H526" s="176"/>
      <c r="I526" s="126"/>
      <c r="J526" s="126"/>
      <c r="K526" s="126"/>
      <c r="L526" s="126"/>
      <c r="M526" s="126"/>
      <c r="N526" s="126"/>
      <c r="O526" s="126"/>
      <c r="P526" s="126"/>
      <c r="Q526" s="126"/>
      <c r="R526" s="126"/>
      <c r="S526" s="126"/>
      <c r="T526" s="126"/>
      <c r="U526" s="126"/>
      <c r="V526" s="126"/>
      <c r="W526" s="126"/>
      <c r="X526" s="126"/>
      <c r="Y526" s="126"/>
      <c r="Z526" s="126"/>
      <c r="AA526" s="126"/>
      <c r="AB526" s="126"/>
    </row>
    <row r="527" spans="1:28" ht="15.75" customHeight="1">
      <c r="A527" s="126"/>
      <c r="B527" s="126"/>
      <c r="C527" s="176"/>
      <c r="D527" s="176"/>
      <c r="E527" s="176"/>
      <c r="F527" s="176"/>
      <c r="G527" s="176"/>
      <c r="H527" s="176"/>
      <c r="I527" s="126"/>
      <c r="J527" s="126"/>
      <c r="K527" s="126"/>
      <c r="L527" s="126"/>
      <c r="M527" s="126"/>
      <c r="N527" s="126"/>
      <c r="O527" s="126"/>
      <c r="P527" s="126"/>
      <c r="Q527" s="126"/>
      <c r="R527" s="126"/>
      <c r="S527" s="126"/>
      <c r="T527" s="126"/>
      <c r="U527" s="126"/>
      <c r="V527" s="126"/>
      <c r="W527" s="126"/>
      <c r="X527" s="126"/>
      <c r="Y527" s="126"/>
      <c r="Z527" s="126"/>
      <c r="AA527" s="126"/>
      <c r="AB527" s="126"/>
    </row>
    <row r="528" spans="1:28" ht="15.75" customHeight="1">
      <c r="A528" s="126"/>
      <c r="B528" s="126"/>
      <c r="C528" s="176"/>
      <c r="D528" s="176"/>
      <c r="E528" s="176"/>
      <c r="F528" s="176"/>
      <c r="G528" s="176"/>
      <c r="H528" s="176"/>
      <c r="I528" s="126"/>
      <c r="J528" s="126"/>
      <c r="K528" s="126"/>
      <c r="L528" s="126"/>
      <c r="M528" s="126"/>
      <c r="N528" s="126"/>
      <c r="O528" s="126"/>
      <c r="P528" s="126"/>
      <c r="Q528" s="126"/>
      <c r="R528" s="126"/>
      <c r="S528" s="126"/>
      <c r="T528" s="126"/>
      <c r="U528" s="126"/>
      <c r="V528" s="126"/>
      <c r="W528" s="126"/>
      <c r="X528" s="126"/>
      <c r="Y528" s="126"/>
      <c r="Z528" s="126"/>
      <c r="AA528" s="126"/>
      <c r="AB528" s="126"/>
    </row>
    <row r="529" spans="1:28" ht="15.75" customHeight="1">
      <c r="A529" s="126"/>
      <c r="B529" s="126"/>
      <c r="C529" s="176"/>
      <c r="D529" s="176"/>
      <c r="E529" s="176"/>
      <c r="F529" s="176"/>
      <c r="G529" s="176"/>
      <c r="H529" s="176"/>
      <c r="I529" s="126"/>
      <c r="J529" s="126"/>
      <c r="K529" s="126"/>
      <c r="L529" s="126"/>
      <c r="M529" s="126"/>
      <c r="N529" s="126"/>
      <c r="O529" s="126"/>
      <c r="P529" s="126"/>
      <c r="Q529" s="126"/>
      <c r="R529" s="126"/>
      <c r="S529" s="126"/>
      <c r="T529" s="126"/>
      <c r="U529" s="126"/>
      <c r="V529" s="126"/>
      <c r="W529" s="126"/>
      <c r="X529" s="126"/>
      <c r="Y529" s="126"/>
      <c r="Z529" s="126"/>
      <c r="AA529" s="126"/>
      <c r="AB529" s="126"/>
    </row>
    <row r="530" spans="1:28" ht="15.75" customHeight="1">
      <c r="A530" s="126"/>
      <c r="B530" s="126"/>
      <c r="C530" s="176"/>
      <c r="D530" s="176"/>
      <c r="E530" s="176"/>
      <c r="F530" s="176"/>
      <c r="G530" s="176"/>
      <c r="H530" s="176"/>
      <c r="I530" s="126"/>
      <c r="J530" s="126"/>
      <c r="K530" s="126"/>
      <c r="L530" s="126"/>
      <c r="M530" s="126"/>
      <c r="N530" s="126"/>
      <c r="O530" s="126"/>
      <c r="P530" s="126"/>
      <c r="Q530" s="126"/>
      <c r="R530" s="126"/>
      <c r="S530" s="126"/>
      <c r="T530" s="126"/>
      <c r="U530" s="126"/>
      <c r="V530" s="126"/>
      <c r="W530" s="126"/>
      <c r="X530" s="126"/>
      <c r="Y530" s="126"/>
      <c r="Z530" s="126"/>
      <c r="AA530" s="126"/>
      <c r="AB530" s="126"/>
    </row>
    <row r="531" spans="1:28" ht="15.75" customHeight="1">
      <c r="A531" s="126"/>
      <c r="B531" s="126"/>
      <c r="C531" s="176"/>
      <c r="D531" s="176"/>
      <c r="E531" s="176"/>
      <c r="F531" s="176"/>
      <c r="G531" s="176"/>
      <c r="H531" s="176"/>
      <c r="I531" s="126"/>
      <c r="J531" s="126"/>
      <c r="K531" s="126"/>
      <c r="L531" s="126"/>
      <c r="M531" s="126"/>
      <c r="N531" s="126"/>
      <c r="O531" s="126"/>
      <c r="P531" s="126"/>
      <c r="Q531" s="126"/>
      <c r="R531" s="126"/>
      <c r="S531" s="126"/>
      <c r="T531" s="126"/>
      <c r="U531" s="126"/>
      <c r="V531" s="126"/>
      <c r="W531" s="126"/>
      <c r="X531" s="126"/>
      <c r="Y531" s="126"/>
      <c r="Z531" s="126"/>
      <c r="AA531" s="126"/>
      <c r="AB531" s="126"/>
    </row>
    <row r="532" spans="1:28" ht="15.75" customHeight="1">
      <c r="A532" s="126"/>
      <c r="B532" s="126"/>
      <c r="C532" s="176"/>
      <c r="D532" s="176"/>
      <c r="E532" s="176"/>
      <c r="F532" s="176"/>
      <c r="G532" s="176"/>
      <c r="H532" s="176"/>
      <c r="I532" s="126"/>
      <c r="J532" s="126"/>
      <c r="K532" s="126"/>
      <c r="L532" s="126"/>
      <c r="M532" s="126"/>
      <c r="N532" s="126"/>
      <c r="O532" s="126"/>
      <c r="P532" s="126"/>
      <c r="Q532" s="126"/>
      <c r="R532" s="126"/>
      <c r="S532" s="126"/>
      <c r="T532" s="126"/>
      <c r="U532" s="126"/>
      <c r="V532" s="126"/>
      <c r="W532" s="126"/>
      <c r="X532" s="126"/>
      <c r="Y532" s="126"/>
      <c r="Z532" s="126"/>
      <c r="AA532" s="126"/>
      <c r="AB532" s="126"/>
    </row>
    <row r="533" spans="1:28" ht="15.75" customHeight="1">
      <c r="A533" s="126"/>
      <c r="B533" s="126"/>
      <c r="C533" s="176"/>
      <c r="D533" s="176"/>
      <c r="E533" s="176"/>
      <c r="F533" s="176"/>
      <c r="G533" s="176"/>
      <c r="H533" s="176"/>
      <c r="I533" s="126"/>
      <c r="J533" s="126"/>
      <c r="K533" s="126"/>
      <c r="L533" s="126"/>
      <c r="M533" s="126"/>
      <c r="N533" s="126"/>
      <c r="O533" s="126"/>
      <c r="P533" s="126"/>
      <c r="Q533" s="126"/>
      <c r="R533" s="126"/>
      <c r="S533" s="126"/>
      <c r="T533" s="126"/>
      <c r="U533" s="126"/>
      <c r="V533" s="126"/>
      <c r="W533" s="126"/>
      <c r="X533" s="126"/>
      <c r="Y533" s="126"/>
      <c r="Z533" s="126"/>
      <c r="AA533" s="126"/>
      <c r="AB533" s="126"/>
    </row>
    <row r="534" spans="1:28" ht="15.75" customHeight="1">
      <c r="A534" s="126"/>
      <c r="B534" s="126"/>
      <c r="C534" s="176"/>
      <c r="D534" s="176"/>
      <c r="E534" s="176"/>
      <c r="F534" s="176"/>
      <c r="G534" s="176"/>
      <c r="H534" s="176"/>
      <c r="I534" s="126"/>
      <c r="J534" s="126"/>
      <c r="K534" s="126"/>
      <c r="L534" s="126"/>
      <c r="M534" s="126"/>
      <c r="N534" s="126"/>
      <c r="O534" s="126"/>
      <c r="P534" s="126"/>
      <c r="Q534" s="126"/>
      <c r="R534" s="126"/>
      <c r="S534" s="126"/>
      <c r="T534" s="126"/>
      <c r="U534" s="126"/>
      <c r="V534" s="126"/>
      <c r="W534" s="126"/>
      <c r="X534" s="126"/>
      <c r="Y534" s="126"/>
      <c r="Z534" s="126"/>
      <c r="AA534" s="126"/>
      <c r="AB534" s="126"/>
    </row>
    <row r="535" spans="1:28" ht="15.75" customHeight="1">
      <c r="A535" s="126"/>
      <c r="B535" s="126"/>
      <c r="C535" s="176"/>
      <c r="D535" s="176"/>
      <c r="E535" s="176"/>
      <c r="F535" s="176"/>
      <c r="G535" s="176"/>
      <c r="H535" s="176"/>
      <c r="I535" s="126"/>
      <c r="J535" s="126"/>
      <c r="K535" s="126"/>
      <c r="L535" s="126"/>
      <c r="M535" s="126"/>
      <c r="N535" s="126"/>
      <c r="O535" s="126"/>
      <c r="P535" s="126"/>
      <c r="Q535" s="126"/>
      <c r="R535" s="126"/>
      <c r="S535" s="126"/>
      <c r="T535" s="126"/>
      <c r="U535" s="126"/>
      <c r="V535" s="126"/>
      <c r="W535" s="126"/>
      <c r="X535" s="126"/>
      <c r="Y535" s="126"/>
      <c r="Z535" s="126"/>
      <c r="AA535" s="126"/>
      <c r="AB535" s="126"/>
    </row>
    <row r="536" spans="1:28" ht="15.75" customHeight="1">
      <c r="A536" s="126"/>
      <c r="B536" s="126"/>
      <c r="C536" s="176"/>
      <c r="D536" s="176"/>
      <c r="E536" s="176"/>
      <c r="F536" s="176"/>
      <c r="G536" s="176"/>
      <c r="H536" s="176"/>
      <c r="I536" s="126"/>
      <c r="J536" s="126"/>
      <c r="K536" s="126"/>
      <c r="L536" s="126"/>
      <c r="M536" s="126"/>
      <c r="N536" s="126"/>
      <c r="O536" s="126"/>
      <c r="P536" s="126"/>
      <c r="Q536" s="126"/>
      <c r="R536" s="126"/>
      <c r="S536" s="126"/>
      <c r="T536" s="126"/>
      <c r="U536" s="126"/>
      <c r="V536" s="126"/>
      <c r="W536" s="126"/>
      <c r="X536" s="126"/>
      <c r="Y536" s="126"/>
      <c r="Z536" s="126"/>
      <c r="AA536" s="126"/>
      <c r="AB536" s="126"/>
    </row>
    <row r="537" spans="1:28" ht="15.75" customHeight="1">
      <c r="A537" s="126"/>
      <c r="B537" s="126"/>
      <c r="C537" s="176"/>
      <c r="D537" s="176"/>
      <c r="E537" s="176"/>
      <c r="F537" s="176"/>
      <c r="G537" s="176"/>
      <c r="H537" s="176"/>
      <c r="I537" s="126"/>
      <c r="J537" s="126"/>
      <c r="K537" s="126"/>
      <c r="L537" s="126"/>
      <c r="M537" s="126"/>
      <c r="N537" s="126"/>
      <c r="O537" s="126"/>
      <c r="P537" s="126"/>
      <c r="Q537" s="126"/>
      <c r="R537" s="126"/>
      <c r="S537" s="126"/>
      <c r="T537" s="126"/>
      <c r="U537" s="126"/>
      <c r="V537" s="126"/>
      <c r="W537" s="126"/>
      <c r="X537" s="126"/>
      <c r="Y537" s="126"/>
      <c r="Z537" s="126"/>
      <c r="AA537" s="126"/>
      <c r="AB537" s="126"/>
    </row>
    <row r="538" spans="1:28" ht="15.75" customHeight="1">
      <c r="A538" s="126"/>
      <c r="B538" s="126"/>
      <c r="C538" s="176"/>
      <c r="D538" s="176"/>
      <c r="E538" s="176"/>
      <c r="F538" s="176"/>
      <c r="G538" s="176"/>
      <c r="H538" s="176"/>
      <c r="I538" s="126"/>
      <c r="J538" s="126"/>
      <c r="K538" s="126"/>
      <c r="L538" s="126"/>
      <c r="M538" s="126"/>
      <c r="N538" s="126"/>
      <c r="O538" s="126"/>
      <c r="P538" s="126"/>
      <c r="Q538" s="126"/>
      <c r="R538" s="126"/>
      <c r="S538" s="126"/>
      <c r="T538" s="126"/>
      <c r="U538" s="126"/>
      <c r="V538" s="126"/>
      <c r="W538" s="126"/>
      <c r="X538" s="126"/>
      <c r="Y538" s="126"/>
      <c r="Z538" s="126"/>
      <c r="AA538" s="126"/>
      <c r="AB538" s="126"/>
    </row>
    <row r="539" spans="1:28" ht="15.75" customHeight="1">
      <c r="A539" s="126"/>
      <c r="B539" s="126"/>
      <c r="C539" s="176"/>
      <c r="D539" s="176"/>
      <c r="E539" s="176"/>
      <c r="F539" s="176"/>
      <c r="G539" s="176"/>
      <c r="H539" s="176"/>
      <c r="I539" s="126"/>
      <c r="J539" s="126"/>
      <c r="K539" s="126"/>
      <c r="L539" s="126"/>
      <c r="M539" s="126"/>
      <c r="N539" s="126"/>
      <c r="O539" s="126"/>
      <c r="P539" s="126"/>
      <c r="Q539" s="126"/>
      <c r="R539" s="126"/>
      <c r="S539" s="126"/>
      <c r="T539" s="126"/>
      <c r="U539" s="126"/>
      <c r="V539" s="126"/>
      <c r="W539" s="126"/>
      <c r="X539" s="126"/>
      <c r="Y539" s="126"/>
      <c r="Z539" s="126"/>
      <c r="AA539" s="126"/>
      <c r="AB539" s="126"/>
    </row>
    <row r="540" spans="1:28" ht="15.75" customHeight="1">
      <c r="A540" s="126"/>
      <c r="B540" s="126"/>
      <c r="C540" s="176"/>
      <c r="D540" s="176"/>
      <c r="E540" s="176"/>
      <c r="F540" s="176"/>
      <c r="G540" s="176"/>
      <c r="H540" s="176"/>
      <c r="I540" s="126"/>
      <c r="J540" s="126"/>
      <c r="K540" s="126"/>
      <c r="L540" s="126"/>
      <c r="M540" s="126"/>
      <c r="N540" s="126"/>
      <c r="O540" s="126"/>
      <c r="P540" s="126"/>
      <c r="Q540" s="126"/>
      <c r="R540" s="126"/>
      <c r="S540" s="126"/>
      <c r="T540" s="126"/>
      <c r="U540" s="126"/>
      <c r="V540" s="126"/>
      <c r="W540" s="126"/>
      <c r="X540" s="126"/>
      <c r="Y540" s="126"/>
      <c r="Z540" s="126"/>
      <c r="AA540" s="126"/>
      <c r="AB540" s="126"/>
    </row>
    <row r="541" spans="1:28" ht="15.75" customHeight="1">
      <c r="A541" s="126"/>
      <c r="B541" s="126"/>
      <c r="C541" s="176"/>
      <c r="D541" s="176"/>
      <c r="E541" s="176"/>
      <c r="F541" s="176"/>
      <c r="G541" s="176"/>
      <c r="H541" s="176"/>
      <c r="I541" s="126"/>
      <c r="J541" s="126"/>
      <c r="K541" s="126"/>
      <c r="L541" s="126"/>
      <c r="M541" s="126"/>
      <c r="N541" s="126"/>
      <c r="O541" s="126"/>
      <c r="P541" s="126"/>
      <c r="Q541" s="126"/>
      <c r="R541" s="126"/>
      <c r="S541" s="126"/>
      <c r="T541" s="126"/>
      <c r="U541" s="126"/>
      <c r="V541" s="126"/>
      <c r="W541" s="126"/>
      <c r="X541" s="126"/>
      <c r="Y541" s="126"/>
      <c r="Z541" s="126"/>
      <c r="AA541" s="126"/>
      <c r="AB541" s="126"/>
    </row>
    <row r="542" spans="1:28" ht="15.75" customHeight="1">
      <c r="A542" s="126"/>
      <c r="B542" s="126"/>
      <c r="C542" s="176"/>
      <c r="D542" s="176"/>
      <c r="E542" s="176"/>
      <c r="F542" s="176"/>
      <c r="G542" s="176"/>
      <c r="H542" s="176"/>
      <c r="I542" s="126"/>
      <c r="J542" s="126"/>
      <c r="K542" s="126"/>
      <c r="L542" s="126"/>
      <c r="M542" s="126"/>
      <c r="N542" s="126"/>
      <c r="O542" s="126"/>
      <c r="P542" s="126"/>
      <c r="Q542" s="126"/>
      <c r="R542" s="126"/>
      <c r="S542" s="126"/>
      <c r="T542" s="126"/>
      <c r="U542" s="126"/>
      <c r="V542" s="126"/>
      <c r="W542" s="126"/>
      <c r="X542" s="126"/>
      <c r="Y542" s="126"/>
      <c r="Z542" s="126"/>
      <c r="AA542" s="126"/>
      <c r="AB542" s="126"/>
    </row>
    <row r="543" spans="1:28" ht="15.75" customHeight="1">
      <c r="A543" s="126"/>
      <c r="B543" s="126"/>
      <c r="C543" s="176"/>
      <c r="D543" s="176"/>
      <c r="E543" s="176"/>
      <c r="F543" s="176"/>
      <c r="G543" s="176"/>
      <c r="H543" s="176"/>
      <c r="I543" s="126"/>
      <c r="J543" s="126"/>
      <c r="K543" s="126"/>
      <c r="L543" s="126"/>
      <c r="M543" s="126"/>
      <c r="N543" s="126"/>
      <c r="O543" s="126"/>
      <c r="P543" s="126"/>
      <c r="Q543" s="126"/>
      <c r="R543" s="126"/>
      <c r="S543" s="126"/>
      <c r="T543" s="126"/>
      <c r="U543" s="126"/>
      <c r="V543" s="126"/>
      <c r="W543" s="126"/>
      <c r="X543" s="126"/>
      <c r="Y543" s="126"/>
      <c r="Z543" s="126"/>
      <c r="AA543" s="126"/>
      <c r="AB543" s="126"/>
    </row>
    <row r="544" spans="1:28" ht="15.75" customHeight="1">
      <c r="A544" s="126"/>
      <c r="B544" s="126"/>
      <c r="C544" s="176"/>
      <c r="D544" s="176"/>
      <c r="E544" s="176"/>
      <c r="F544" s="176"/>
      <c r="G544" s="176"/>
      <c r="H544" s="176"/>
      <c r="I544" s="126"/>
      <c r="J544" s="126"/>
      <c r="K544" s="126"/>
      <c r="L544" s="126"/>
      <c r="M544" s="126"/>
      <c r="N544" s="126"/>
      <c r="O544" s="126"/>
      <c r="P544" s="126"/>
      <c r="Q544" s="126"/>
      <c r="R544" s="126"/>
      <c r="S544" s="126"/>
      <c r="T544" s="126"/>
      <c r="U544" s="126"/>
      <c r="V544" s="126"/>
      <c r="W544" s="126"/>
      <c r="X544" s="126"/>
      <c r="Y544" s="126"/>
      <c r="Z544" s="126"/>
      <c r="AA544" s="126"/>
      <c r="AB544" s="126"/>
    </row>
    <row r="545" spans="1:28" ht="15.75" customHeight="1">
      <c r="A545" s="126"/>
      <c r="B545" s="126"/>
      <c r="C545" s="176"/>
      <c r="D545" s="176"/>
      <c r="E545" s="176"/>
      <c r="F545" s="176"/>
      <c r="G545" s="176"/>
      <c r="H545" s="176"/>
      <c r="I545" s="126"/>
      <c r="J545" s="126"/>
      <c r="K545" s="126"/>
      <c r="L545" s="126"/>
      <c r="M545" s="126"/>
      <c r="N545" s="126"/>
      <c r="O545" s="126"/>
      <c r="P545" s="126"/>
      <c r="Q545" s="126"/>
      <c r="R545" s="126"/>
      <c r="S545" s="126"/>
      <c r="T545" s="126"/>
      <c r="U545" s="126"/>
      <c r="V545" s="126"/>
      <c r="W545" s="126"/>
      <c r="X545" s="126"/>
      <c r="Y545" s="126"/>
      <c r="Z545" s="126"/>
      <c r="AA545" s="126"/>
      <c r="AB545" s="126"/>
    </row>
    <row r="546" spans="1:28" ht="15.75" customHeight="1">
      <c r="A546" s="126"/>
      <c r="B546" s="126"/>
      <c r="C546" s="176"/>
      <c r="D546" s="176"/>
      <c r="E546" s="176"/>
      <c r="F546" s="176"/>
      <c r="G546" s="176"/>
      <c r="H546" s="176"/>
      <c r="I546" s="126"/>
      <c r="J546" s="126"/>
      <c r="K546" s="126"/>
      <c r="L546" s="126"/>
      <c r="M546" s="126"/>
      <c r="N546" s="126"/>
      <c r="O546" s="126"/>
      <c r="P546" s="126"/>
      <c r="Q546" s="126"/>
      <c r="R546" s="126"/>
      <c r="S546" s="126"/>
      <c r="T546" s="126"/>
      <c r="U546" s="126"/>
      <c r="V546" s="126"/>
      <c r="W546" s="126"/>
      <c r="X546" s="126"/>
      <c r="Y546" s="126"/>
      <c r="Z546" s="126"/>
      <c r="AA546" s="126"/>
      <c r="AB546" s="126"/>
    </row>
    <row r="547" spans="1:28" ht="15.75" customHeight="1">
      <c r="A547" s="126"/>
      <c r="B547" s="126"/>
      <c r="C547" s="176"/>
      <c r="D547" s="176"/>
      <c r="E547" s="176"/>
      <c r="F547" s="176"/>
      <c r="G547" s="176"/>
      <c r="H547" s="176"/>
      <c r="I547" s="126"/>
      <c r="J547" s="126"/>
      <c r="K547" s="126"/>
      <c r="L547" s="126"/>
      <c r="M547" s="126"/>
      <c r="N547" s="126"/>
      <c r="O547" s="126"/>
      <c r="P547" s="126"/>
      <c r="Q547" s="126"/>
      <c r="R547" s="126"/>
      <c r="S547" s="126"/>
      <c r="T547" s="126"/>
      <c r="U547" s="126"/>
      <c r="V547" s="126"/>
      <c r="W547" s="126"/>
      <c r="X547" s="126"/>
      <c r="Y547" s="126"/>
      <c r="Z547" s="126"/>
      <c r="AA547" s="126"/>
      <c r="AB547" s="126"/>
    </row>
    <row r="548" spans="1:28" ht="15.75" customHeight="1">
      <c r="A548" s="126"/>
      <c r="B548" s="126"/>
      <c r="C548" s="176"/>
      <c r="D548" s="176"/>
      <c r="E548" s="176"/>
      <c r="F548" s="176"/>
      <c r="G548" s="176"/>
      <c r="H548" s="176"/>
      <c r="I548" s="126"/>
      <c r="J548" s="126"/>
      <c r="K548" s="126"/>
      <c r="L548" s="126"/>
      <c r="M548" s="126"/>
      <c r="N548" s="126"/>
      <c r="O548" s="126"/>
      <c r="P548" s="126"/>
      <c r="Q548" s="126"/>
      <c r="R548" s="126"/>
      <c r="S548" s="126"/>
      <c r="T548" s="126"/>
      <c r="U548" s="126"/>
      <c r="V548" s="126"/>
      <c r="W548" s="126"/>
      <c r="X548" s="126"/>
      <c r="Y548" s="126"/>
      <c r="Z548" s="126"/>
      <c r="AA548" s="126"/>
      <c r="AB548" s="126"/>
    </row>
    <row r="549" spans="1:28" ht="15.75" customHeight="1">
      <c r="A549" s="126"/>
      <c r="B549" s="126"/>
      <c r="C549" s="176"/>
      <c r="D549" s="176"/>
      <c r="E549" s="176"/>
      <c r="F549" s="176"/>
      <c r="G549" s="176"/>
      <c r="H549" s="176"/>
      <c r="I549" s="126"/>
      <c r="J549" s="126"/>
      <c r="K549" s="126"/>
      <c r="L549" s="126"/>
      <c r="M549" s="126"/>
      <c r="N549" s="126"/>
      <c r="O549" s="126"/>
      <c r="P549" s="126"/>
      <c r="Q549" s="126"/>
      <c r="R549" s="126"/>
      <c r="S549" s="126"/>
      <c r="T549" s="126"/>
      <c r="U549" s="126"/>
      <c r="V549" s="126"/>
      <c r="W549" s="126"/>
      <c r="X549" s="126"/>
      <c r="Y549" s="126"/>
      <c r="Z549" s="126"/>
      <c r="AA549" s="126"/>
      <c r="AB549" s="126"/>
    </row>
    <row r="550" spans="1:28" ht="15.75" customHeight="1">
      <c r="A550" s="126"/>
      <c r="B550" s="126"/>
      <c r="C550" s="176"/>
      <c r="D550" s="176"/>
      <c r="E550" s="176"/>
      <c r="F550" s="176"/>
      <c r="G550" s="176"/>
      <c r="H550" s="176"/>
      <c r="I550" s="126"/>
      <c r="J550" s="126"/>
      <c r="K550" s="126"/>
      <c r="L550" s="126"/>
      <c r="M550" s="126"/>
      <c r="N550" s="126"/>
      <c r="O550" s="126"/>
      <c r="P550" s="126"/>
      <c r="Q550" s="126"/>
      <c r="R550" s="126"/>
      <c r="S550" s="126"/>
      <c r="T550" s="126"/>
      <c r="U550" s="126"/>
      <c r="V550" s="126"/>
      <c r="W550" s="126"/>
      <c r="X550" s="126"/>
      <c r="Y550" s="126"/>
      <c r="Z550" s="126"/>
      <c r="AA550" s="126"/>
      <c r="AB550" s="126"/>
    </row>
    <row r="551" spans="1:28" ht="15.75" customHeight="1">
      <c r="A551" s="126"/>
      <c r="B551" s="126"/>
      <c r="C551" s="176"/>
      <c r="D551" s="176"/>
      <c r="E551" s="176"/>
      <c r="F551" s="176"/>
      <c r="G551" s="176"/>
      <c r="H551" s="176"/>
      <c r="I551" s="126"/>
      <c r="J551" s="126"/>
      <c r="K551" s="126"/>
      <c r="L551" s="126"/>
      <c r="M551" s="126"/>
      <c r="N551" s="126"/>
      <c r="O551" s="126"/>
      <c r="P551" s="126"/>
      <c r="Q551" s="126"/>
      <c r="R551" s="126"/>
      <c r="S551" s="126"/>
      <c r="T551" s="126"/>
      <c r="U551" s="126"/>
      <c r="V551" s="126"/>
      <c r="W551" s="126"/>
      <c r="X551" s="126"/>
      <c r="Y551" s="126"/>
      <c r="Z551" s="126"/>
      <c r="AA551" s="126"/>
      <c r="AB551" s="126"/>
    </row>
    <row r="552" spans="1:28" ht="15.75" customHeight="1">
      <c r="A552" s="126"/>
      <c r="B552" s="126"/>
      <c r="C552" s="176"/>
      <c r="D552" s="176"/>
      <c r="E552" s="176"/>
      <c r="F552" s="176"/>
      <c r="G552" s="176"/>
      <c r="H552" s="176"/>
      <c r="I552" s="126"/>
      <c r="J552" s="126"/>
      <c r="K552" s="126"/>
      <c r="L552" s="126"/>
      <c r="M552" s="126"/>
      <c r="N552" s="126"/>
      <c r="O552" s="126"/>
      <c r="P552" s="126"/>
      <c r="Q552" s="126"/>
      <c r="R552" s="126"/>
      <c r="S552" s="126"/>
      <c r="T552" s="126"/>
      <c r="U552" s="126"/>
      <c r="V552" s="126"/>
      <c r="W552" s="126"/>
      <c r="X552" s="126"/>
      <c r="Y552" s="126"/>
      <c r="Z552" s="126"/>
      <c r="AA552" s="126"/>
      <c r="AB552" s="126"/>
    </row>
    <row r="553" spans="1:28" ht="15.75" customHeight="1">
      <c r="A553" s="126"/>
      <c r="B553" s="126"/>
      <c r="C553" s="176"/>
      <c r="D553" s="176"/>
      <c r="E553" s="176"/>
      <c r="F553" s="176"/>
      <c r="G553" s="176"/>
      <c r="H553" s="176"/>
      <c r="I553" s="126"/>
      <c r="J553" s="126"/>
      <c r="K553" s="126"/>
      <c r="L553" s="126"/>
      <c r="M553" s="126"/>
      <c r="N553" s="126"/>
      <c r="O553" s="126"/>
      <c r="P553" s="126"/>
      <c r="Q553" s="126"/>
      <c r="R553" s="126"/>
      <c r="S553" s="126"/>
      <c r="T553" s="126"/>
      <c r="U553" s="126"/>
      <c r="V553" s="126"/>
      <c r="W553" s="126"/>
      <c r="X553" s="126"/>
      <c r="Y553" s="126"/>
      <c r="Z553" s="126"/>
      <c r="AA553" s="126"/>
      <c r="AB553" s="126"/>
    </row>
    <row r="554" spans="1:28" ht="15.75" customHeight="1">
      <c r="A554" s="126"/>
      <c r="B554" s="126"/>
      <c r="C554" s="176"/>
      <c r="D554" s="176"/>
      <c r="E554" s="176"/>
      <c r="F554" s="176"/>
      <c r="G554" s="176"/>
      <c r="H554" s="176"/>
      <c r="I554" s="126"/>
      <c r="J554" s="126"/>
      <c r="K554" s="126"/>
      <c r="L554" s="126"/>
      <c r="M554" s="126"/>
      <c r="N554" s="126"/>
      <c r="O554" s="126"/>
      <c r="P554" s="126"/>
      <c r="Q554" s="126"/>
      <c r="R554" s="126"/>
      <c r="S554" s="126"/>
      <c r="T554" s="126"/>
      <c r="U554" s="126"/>
      <c r="V554" s="126"/>
      <c r="W554" s="126"/>
      <c r="X554" s="126"/>
      <c r="Y554" s="126"/>
      <c r="Z554" s="126"/>
      <c r="AA554" s="126"/>
      <c r="AB554" s="126"/>
    </row>
    <row r="555" spans="1:28" ht="15.75" customHeight="1">
      <c r="A555" s="126"/>
      <c r="B555" s="126"/>
      <c r="C555" s="176"/>
      <c r="D555" s="176"/>
      <c r="E555" s="176"/>
      <c r="F555" s="176"/>
      <c r="G555" s="176"/>
      <c r="H555" s="176"/>
      <c r="I555" s="126"/>
      <c r="J555" s="126"/>
      <c r="K555" s="126"/>
      <c r="L555" s="126"/>
      <c r="M555" s="126"/>
      <c r="N555" s="126"/>
      <c r="O555" s="126"/>
      <c r="P555" s="126"/>
      <c r="Q555" s="126"/>
      <c r="R555" s="126"/>
      <c r="S555" s="126"/>
      <c r="T555" s="126"/>
      <c r="U555" s="126"/>
      <c r="V555" s="126"/>
      <c r="W555" s="126"/>
      <c r="X555" s="126"/>
      <c r="Y555" s="126"/>
      <c r="Z555" s="126"/>
      <c r="AA555" s="126"/>
      <c r="AB555" s="126"/>
    </row>
    <row r="556" spans="1:28" ht="15.75" customHeight="1">
      <c r="A556" s="126"/>
      <c r="B556" s="126"/>
      <c r="C556" s="176"/>
      <c r="D556" s="176"/>
      <c r="E556" s="176"/>
      <c r="F556" s="176"/>
      <c r="G556" s="176"/>
      <c r="H556" s="176"/>
      <c r="I556" s="126"/>
      <c r="J556" s="126"/>
      <c r="K556" s="126"/>
      <c r="L556" s="126"/>
      <c r="M556" s="126"/>
      <c r="N556" s="126"/>
      <c r="O556" s="126"/>
      <c r="P556" s="126"/>
      <c r="Q556" s="126"/>
      <c r="R556" s="126"/>
      <c r="S556" s="126"/>
      <c r="T556" s="126"/>
      <c r="U556" s="126"/>
      <c r="V556" s="126"/>
      <c r="W556" s="126"/>
      <c r="X556" s="126"/>
      <c r="Y556" s="126"/>
      <c r="Z556" s="126"/>
      <c r="AA556" s="126"/>
      <c r="AB556" s="126"/>
    </row>
    <row r="557" spans="1:28" ht="15.75" customHeight="1">
      <c r="A557" s="126"/>
      <c r="B557" s="126"/>
      <c r="C557" s="176"/>
      <c r="D557" s="176"/>
      <c r="E557" s="176"/>
      <c r="F557" s="176"/>
      <c r="G557" s="176"/>
      <c r="H557" s="176"/>
      <c r="I557" s="126"/>
      <c r="J557" s="126"/>
      <c r="K557" s="126"/>
      <c r="L557" s="126"/>
      <c r="M557" s="126"/>
      <c r="N557" s="126"/>
      <c r="O557" s="126"/>
      <c r="P557" s="126"/>
      <c r="Q557" s="126"/>
      <c r="R557" s="126"/>
      <c r="S557" s="126"/>
      <c r="T557" s="126"/>
      <c r="U557" s="126"/>
      <c r="V557" s="126"/>
      <c r="W557" s="126"/>
      <c r="X557" s="126"/>
      <c r="Y557" s="126"/>
      <c r="Z557" s="126"/>
      <c r="AA557" s="126"/>
      <c r="AB557" s="126"/>
    </row>
    <row r="558" spans="1:28" ht="15.75" customHeight="1">
      <c r="A558" s="126"/>
      <c r="B558" s="126"/>
      <c r="C558" s="176"/>
      <c r="D558" s="176"/>
      <c r="E558" s="176"/>
      <c r="F558" s="176"/>
      <c r="G558" s="176"/>
      <c r="H558" s="176"/>
      <c r="I558" s="126"/>
      <c r="J558" s="126"/>
      <c r="K558" s="126"/>
      <c r="L558" s="126"/>
      <c r="M558" s="126"/>
      <c r="N558" s="126"/>
      <c r="O558" s="126"/>
      <c r="P558" s="126"/>
      <c r="Q558" s="126"/>
      <c r="R558" s="126"/>
      <c r="S558" s="126"/>
      <c r="T558" s="126"/>
      <c r="U558" s="126"/>
      <c r="V558" s="126"/>
      <c r="W558" s="126"/>
      <c r="X558" s="126"/>
      <c r="Y558" s="126"/>
      <c r="Z558" s="126"/>
      <c r="AA558" s="126"/>
      <c r="AB558" s="126"/>
    </row>
    <row r="559" spans="1:28" ht="15.75" customHeight="1">
      <c r="A559" s="126"/>
      <c r="B559" s="126"/>
      <c r="C559" s="176"/>
      <c r="D559" s="176"/>
      <c r="E559" s="176"/>
      <c r="F559" s="176"/>
      <c r="G559" s="176"/>
      <c r="H559" s="176"/>
      <c r="I559" s="126"/>
      <c r="J559" s="126"/>
      <c r="K559" s="126"/>
      <c r="L559" s="126"/>
      <c r="M559" s="126"/>
      <c r="N559" s="126"/>
      <c r="O559" s="126"/>
      <c r="P559" s="126"/>
      <c r="Q559" s="126"/>
      <c r="R559" s="126"/>
      <c r="S559" s="126"/>
      <c r="T559" s="126"/>
      <c r="U559" s="126"/>
      <c r="V559" s="126"/>
      <c r="W559" s="126"/>
      <c r="X559" s="126"/>
      <c r="Y559" s="126"/>
      <c r="Z559" s="126"/>
      <c r="AA559" s="126"/>
      <c r="AB559" s="126"/>
    </row>
    <row r="560" spans="1:28" ht="15.75" customHeight="1">
      <c r="A560" s="126"/>
      <c r="B560" s="126"/>
      <c r="C560" s="176"/>
      <c r="D560" s="176"/>
      <c r="E560" s="176"/>
      <c r="F560" s="176"/>
      <c r="G560" s="176"/>
      <c r="H560" s="176"/>
      <c r="I560" s="126"/>
      <c r="J560" s="126"/>
      <c r="K560" s="126"/>
      <c r="L560" s="126"/>
      <c r="M560" s="126"/>
      <c r="N560" s="126"/>
      <c r="O560" s="126"/>
      <c r="P560" s="126"/>
      <c r="Q560" s="126"/>
      <c r="R560" s="126"/>
      <c r="S560" s="126"/>
      <c r="T560" s="126"/>
      <c r="U560" s="126"/>
      <c r="V560" s="126"/>
      <c r="W560" s="126"/>
      <c r="X560" s="126"/>
      <c r="Y560" s="126"/>
      <c r="Z560" s="126"/>
      <c r="AA560" s="126"/>
      <c r="AB560" s="126"/>
    </row>
    <row r="561" spans="1:28" ht="15.75" customHeight="1">
      <c r="A561" s="126"/>
      <c r="B561" s="126"/>
      <c r="C561" s="176"/>
      <c r="D561" s="176"/>
      <c r="E561" s="176"/>
      <c r="F561" s="176"/>
      <c r="G561" s="176"/>
      <c r="H561" s="176"/>
      <c r="I561" s="126"/>
      <c r="J561" s="126"/>
      <c r="K561" s="126"/>
      <c r="L561" s="126"/>
      <c r="M561" s="126"/>
      <c r="N561" s="126"/>
      <c r="O561" s="126"/>
      <c r="P561" s="126"/>
      <c r="Q561" s="126"/>
      <c r="R561" s="126"/>
      <c r="S561" s="126"/>
      <c r="T561" s="126"/>
      <c r="U561" s="126"/>
      <c r="V561" s="126"/>
      <c r="W561" s="126"/>
      <c r="X561" s="126"/>
      <c r="Y561" s="126"/>
      <c r="Z561" s="126"/>
      <c r="AA561" s="126"/>
      <c r="AB561" s="126"/>
    </row>
    <row r="562" spans="1:28" ht="15.75" customHeight="1">
      <c r="A562" s="126"/>
      <c r="B562" s="126"/>
      <c r="C562" s="176"/>
      <c r="D562" s="176"/>
      <c r="E562" s="176"/>
      <c r="F562" s="176"/>
      <c r="G562" s="176"/>
      <c r="H562" s="176"/>
      <c r="I562" s="126"/>
      <c r="J562" s="126"/>
      <c r="K562" s="126"/>
      <c r="L562" s="126"/>
      <c r="M562" s="126"/>
      <c r="N562" s="126"/>
      <c r="O562" s="126"/>
      <c r="P562" s="126"/>
      <c r="Q562" s="126"/>
      <c r="R562" s="126"/>
      <c r="S562" s="126"/>
      <c r="T562" s="126"/>
      <c r="U562" s="126"/>
      <c r="V562" s="126"/>
      <c r="W562" s="126"/>
      <c r="X562" s="126"/>
      <c r="Y562" s="126"/>
      <c r="Z562" s="126"/>
      <c r="AA562" s="126"/>
      <c r="AB562" s="126"/>
    </row>
    <row r="563" spans="1:28" ht="15.75" customHeight="1">
      <c r="A563" s="126"/>
      <c r="B563" s="126"/>
      <c r="C563" s="176"/>
      <c r="D563" s="176"/>
      <c r="E563" s="176"/>
      <c r="F563" s="176"/>
      <c r="G563" s="176"/>
      <c r="H563" s="176"/>
      <c r="I563" s="126"/>
      <c r="J563" s="126"/>
      <c r="K563" s="126"/>
      <c r="L563" s="126"/>
      <c r="M563" s="126"/>
      <c r="N563" s="126"/>
      <c r="O563" s="126"/>
      <c r="P563" s="126"/>
      <c r="Q563" s="126"/>
      <c r="R563" s="126"/>
      <c r="S563" s="126"/>
      <c r="T563" s="126"/>
      <c r="U563" s="126"/>
      <c r="V563" s="126"/>
      <c r="W563" s="126"/>
      <c r="X563" s="126"/>
      <c r="Y563" s="126"/>
      <c r="Z563" s="126"/>
      <c r="AA563" s="126"/>
      <c r="AB563" s="126"/>
    </row>
    <row r="564" spans="1:28" ht="15.75" customHeight="1">
      <c r="A564" s="126"/>
      <c r="B564" s="126"/>
      <c r="C564" s="176"/>
      <c r="D564" s="176"/>
      <c r="E564" s="176"/>
      <c r="F564" s="176"/>
      <c r="G564" s="176"/>
      <c r="H564" s="176"/>
      <c r="I564" s="126"/>
      <c r="J564" s="126"/>
      <c r="K564" s="126"/>
      <c r="L564" s="126"/>
      <c r="M564" s="126"/>
      <c r="N564" s="126"/>
      <c r="O564" s="126"/>
      <c r="P564" s="126"/>
      <c r="Q564" s="126"/>
      <c r="R564" s="126"/>
      <c r="S564" s="126"/>
      <c r="T564" s="126"/>
      <c r="U564" s="126"/>
      <c r="V564" s="126"/>
      <c r="W564" s="126"/>
      <c r="X564" s="126"/>
      <c r="Y564" s="126"/>
      <c r="Z564" s="126"/>
      <c r="AA564" s="126"/>
      <c r="AB564" s="126"/>
    </row>
    <row r="565" spans="1:28" ht="15.75" customHeight="1">
      <c r="A565" s="126"/>
      <c r="B565" s="126"/>
      <c r="C565" s="176"/>
      <c r="D565" s="176"/>
      <c r="E565" s="176"/>
      <c r="F565" s="176"/>
      <c r="G565" s="176"/>
      <c r="H565" s="176"/>
      <c r="I565" s="126"/>
      <c r="J565" s="126"/>
      <c r="K565" s="126"/>
      <c r="L565" s="126"/>
      <c r="M565" s="126"/>
      <c r="N565" s="126"/>
      <c r="O565" s="126"/>
      <c r="P565" s="126"/>
      <c r="Q565" s="126"/>
      <c r="R565" s="126"/>
      <c r="S565" s="126"/>
      <c r="T565" s="126"/>
      <c r="U565" s="126"/>
      <c r="V565" s="126"/>
      <c r="W565" s="126"/>
      <c r="X565" s="126"/>
      <c r="Y565" s="126"/>
      <c r="Z565" s="126"/>
      <c r="AA565" s="126"/>
      <c r="AB565" s="126"/>
    </row>
    <row r="566" spans="1:28" ht="15.75" customHeight="1">
      <c r="A566" s="126"/>
      <c r="B566" s="126"/>
      <c r="C566" s="176"/>
      <c r="D566" s="176"/>
      <c r="E566" s="176"/>
      <c r="F566" s="176"/>
      <c r="G566" s="176"/>
      <c r="H566" s="176"/>
      <c r="I566" s="126"/>
      <c r="J566" s="126"/>
      <c r="K566" s="126"/>
      <c r="L566" s="126"/>
      <c r="M566" s="126"/>
      <c r="N566" s="126"/>
      <c r="O566" s="126"/>
      <c r="P566" s="126"/>
      <c r="Q566" s="126"/>
      <c r="R566" s="126"/>
      <c r="S566" s="126"/>
      <c r="T566" s="126"/>
      <c r="U566" s="126"/>
      <c r="V566" s="126"/>
      <c r="W566" s="126"/>
      <c r="X566" s="126"/>
      <c r="Y566" s="126"/>
      <c r="Z566" s="126"/>
      <c r="AA566" s="126"/>
      <c r="AB566" s="126"/>
    </row>
    <row r="567" spans="1:28" ht="15.75" customHeight="1">
      <c r="A567" s="126"/>
      <c r="B567" s="126"/>
      <c r="C567" s="176"/>
      <c r="D567" s="176"/>
      <c r="E567" s="176"/>
      <c r="F567" s="176"/>
      <c r="G567" s="176"/>
      <c r="H567" s="176"/>
      <c r="I567" s="126"/>
      <c r="J567" s="126"/>
      <c r="K567" s="126"/>
      <c r="L567" s="126"/>
      <c r="M567" s="126"/>
      <c r="N567" s="126"/>
      <c r="O567" s="126"/>
      <c r="P567" s="126"/>
      <c r="Q567" s="126"/>
      <c r="R567" s="126"/>
      <c r="S567" s="126"/>
      <c r="T567" s="126"/>
      <c r="U567" s="126"/>
      <c r="V567" s="126"/>
      <c r="W567" s="126"/>
      <c r="X567" s="126"/>
      <c r="Y567" s="126"/>
      <c r="Z567" s="126"/>
      <c r="AA567" s="126"/>
      <c r="AB567" s="126"/>
    </row>
    <row r="568" spans="1:28" ht="15.75" customHeight="1">
      <c r="A568" s="126"/>
      <c r="B568" s="126"/>
      <c r="C568" s="176"/>
      <c r="D568" s="176"/>
      <c r="E568" s="176"/>
      <c r="F568" s="176"/>
      <c r="G568" s="176"/>
      <c r="H568" s="176"/>
      <c r="I568" s="126"/>
      <c r="J568" s="126"/>
      <c r="K568" s="126"/>
      <c r="L568" s="126"/>
      <c r="M568" s="126"/>
      <c r="N568" s="126"/>
      <c r="O568" s="126"/>
      <c r="P568" s="126"/>
      <c r="Q568" s="126"/>
      <c r="R568" s="126"/>
      <c r="S568" s="126"/>
      <c r="T568" s="126"/>
      <c r="U568" s="126"/>
      <c r="V568" s="126"/>
      <c r="W568" s="126"/>
      <c r="X568" s="126"/>
      <c r="Y568" s="126"/>
      <c r="Z568" s="126"/>
      <c r="AA568" s="126"/>
      <c r="AB568" s="126"/>
    </row>
    <row r="569" spans="1:28" ht="15.75" customHeight="1">
      <c r="A569" s="126"/>
      <c r="B569" s="126"/>
      <c r="C569" s="176"/>
      <c r="D569" s="176"/>
      <c r="E569" s="176"/>
      <c r="F569" s="176"/>
      <c r="G569" s="176"/>
      <c r="H569" s="176"/>
      <c r="I569" s="126"/>
      <c r="J569" s="126"/>
      <c r="K569" s="126"/>
      <c r="L569" s="126"/>
      <c r="M569" s="126"/>
      <c r="N569" s="126"/>
      <c r="O569" s="126"/>
      <c r="P569" s="126"/>
      <c r="Q569" s="126"/>
      <c r="R569" s="126"/>
      <c r="S569" s="126"/>
      <c r="T569" s="126"/>
      <c r="U569" s="126"/>
      <c r="V569" s="126"/>
      <c r="W569" s="126"/>
      <c r="X569" s="126"/>
      <c r="Y569" s="126"/>
      <c r="Z569" s="126"/>
      <c r="AA569" s="126"/>
      <c r="AB569" s="126"/>
    </row>
    <row r="570" spans="1:28" ht="15.75" customHeight="1">
      <c r="A570" s="126"/>
      <c r="B570" s="126"/>
      <c r="C570" s="176"/>
      <c r="D570" s="176"/>
      <c r="E570" s="176"/>
      <c r="F570" s="176"/>
      <c r="G570" s="176"/>
      <c r="H570" s="176"/>
      <c r="I570" s="126"/>
      <c r="J570" s="126"/>
      <c r="K570" s="126"/>
      <c r="L570" s="126"/>
      <c r="M570" s="126"/>
      <c r="N570" s="126"/>
      <c r="O570" s="126"/>
      <c r="P570" s="126"/>
      <c r="Q570" s="126"/>
      <c r="R570" s="126"/>
      <c r="S570" s="126"/>
      <c r="T570" s="126"/>
      <c r="U570" s="126"/>
      <c r="V570" s="126"/>
      <c r="W570" s="126"/>
      <c r="X570" s="126"/>
      <c r="Y570" s="126"/>
      <c r="Z570" s="126"/>
      <c r="AA570" s="126"/>
      <c r="AB570" s="126"/>
    </row>
    <row r="571" spans="1:28" ht="15.75" customHeight="1">
      <c r="A571" s="126"/>
      <c r="B571" s="126"/>
      <c r="C571" s="176"/>
      <c r="D571" s="176"/>
      <c r="E571" s="176"/>
      <c r="F571" s="176"/>
      <c r="G571" s="176"/>
      <c r="H571" s="176"/>
      <c r="I571" s="126"/>
      <c r="J571" s="126"/>
      <c r="K571" s="126"/>
      <c r="L571" s="126"/>
      <c r="M571" s="126"/>
      <c r="N571" s="126"/>
      <c r="O571" s="126"/>
      <c r="P571" s="126"/>
      <c r="Q571" s="126"/>
      <c r="R571" s="126"/>
      <c r="S571" s="126"/>
      <c r="T571" s="126"/>
      <c r="U571" s="126"/>
      <c r="V571" s="126"/>
      <c r="W571" s="126"/>
      <c r="X571" s="126"/>
      <c r="Y571" s="126"/>
      <c r="Z571" s="126"/>
      <c r="AA571" s="126"/>
      <c r="AB571" s="126"/>
    </row>
    <row r="572" spans="1:28" ht="15.75" customHeight="1">
      <c r="A572" s="126"/>
      <c r="B572" s="126"/>
      <c r="C572" s="176"/>
      <c r="D572" s="176"/>
      <c r="E572" s="176"/>
      <c r="F572" s="176"/>
      <c r="G572" s="176"/>
      <c r="H572" s="176"/>
      <c r="I572" s="126"/>
      <c r="J572" s="126"/>
      <c r="K572" s="126"/>
      <c r="L572" s="126"/>
      <c r="M572" s="126"/>
      <c r="N572" s="126"/>
      <c r="O572" s="126"/>
      <c r="P572" s="126"/>
      <c r="Q572" s="126"/>
      <c r="R572" s="126"/>
      <c r="S572" s="126"/>
      <c r="T572" s="126"/>
      <c r="U572" s="126"/>
      <c r="V572" s="126"/>
      <c r="W572" s="126"/>
      <c r="X572" s="126"/>
      <c r="Y572" s="126"/>
      <c r="Z572" s="126"/>
      <c r="AA572" s="126"/>
      <c r="AB572" s="126"/>
    </row>
    <row r="573" spans="1:28" ht="15.75" customHeight="1">
      <c r="A573" s="126"/>
      <c r="B573" s="126"/>
      <c r="C573" s="176"/>
      <c r="D573" s="176"/>
      <c r="E573" s="176"/>
      <c r="F573" s="176"/>
      <c r="G573" s="176"/>
      <c r="H573" s="176"/>
      <c r="I573" s="126"/>
      <c r="J573" s="126"/>
      <c r="K573" s="126"/>
      <c r="L573" s="126"/>
      <c r="M573" s="126"/>
      <c r="N573" s="126"/>
      <c r="O573" s="126"/>
      <c r="P573" s="126"/>
      <c r="Q573" s="126"/>
      <c r="R573" s="126"/>
      <c r="S573" s="126"/>
      <c r="T573" s="126"/>
      <c r="U573" s="126"/>
      <c r="V573" s="126"/>
      <c r="W573" s="126"/>
      <c r="X573" s="126"/>
      <c r="Y573" s="126"/>
      <c r="Z573" s="126"/>
      <c r="AA573" s="126"/>
      <c r="AB573" s="126"/>
    </row>
    <row r="574" spans="1:28" ht="15.75" customHeight="1">
      <c r="A574" s="126"/>
      <c r="B574" s="126"/>
      <c r="C574" s="176"/>
      <c r="D574" s="176"/>
      <c r="E574" s="176"/>
      <c r="F574" s="176"/>
      <c r="G574" s="176"/>
      <c r="H574" s="176"/>
      <c r="I574" s="126"/>
      <c r="J574" s="126"/>
      <c r="K574" s="126"/>
      <c r="L574" s="126"/>
      <c r="M574" s="126"/>
      <c r="N574" s="126"/>
      <c r="O574" s="126"/>
      <c r="P574" s="126"/>
      <c r="Q574" s="126"/>
      <c r="R574" s="126"/>
      <c r="S574" s="126"/>
      <c r="T574" s="126"/>
      <c r="U574" s="126"/>
      <c r="V574" s="126"/>
      <c r="W574" s="126"/>
      <c r="X574" s="126"/>
      <c r="Y574" s="126"/>
      <c r="Z574" s="126"/>
      <c r="AA574" s="126"/>
      <c r="AB574" s="126"/>
    </row>
    <row r="575" spans="1:28" ht="15.75" customHeight="1">
      <c r="A575" s="126"/>
      <c r="B575" s="126"/>
      <c r="C575" s="176"/>
      <c r="D575" s="176"/>
      <c r="E575" s="176"/>
      <c r="F575" s="176"/>
      <c r="G575" s="176"/>
      <c r="H575" s="176"/>
      <c r="I575" s="126"/>
      <c r="J575" s="126"/>
      <c r="K575" s="126"/>
      <c r="L575" s="126"/>
      <c r="M575" s="126"/>
      <c r="N575" s="126"/>
      <c r="O575" s="126"/>
      <c r="P575" s="126"/>
      <c r="Q575" s="126"/>
      <c r="R575" s="126"/>
      <c r="S575" s="126"/>
      <c r="T575" s="126"/>
      <c r="U575" s="126"/>
      <c r="V575" s="126"/>
      <c r="W575" s="126"/>
      <c r="X575" s="126"/>
      <c r="Y575" s="126"/>
      <c r="Z575" s="126"/>
      <c r="AA575" s="126"/>
      <c r="AB575" s="126"/>
    </row>
    <row r="576" spans="1:28" ht="15.75" customHeight="1">
      <c r="A576" s="126"/>
      <c r="B576" s="126"/>
      <c r="C576" s="176"/>
      <c r="D576" s="176"/>
      <c r="E576" s="176"/>
      <c r="F576" s="176"/>
      <c r="G576" s="176"/>
      <c r="H576" s="176"/>
      <c r="I576" s="126"/>
      <c r="J576" s="126"/>
      <c r="K576" s="126"/>
      <c r="L576" s="126"/>
      <c r="M576" s="126"/>
      <c r="N576" s="126"/>
      <c r="O576" s="126"/>
      <c r="P576" s="126"/>
      <c r="Q576" s="126"/>
      <c r="R576" s="126"/>
      <c r="S576" s="126"/>
      <c r="T576" s="126"/>
      <c r="U576" s="126"/>
      <c r="V576" s="126"/>
      <c r="W576" s="126"/>
      <c r="X576" s="126"/>
      <c r="Y576" s="126"/>
      <c r="Z576" s="126"/>
      <c r="AA576" s="126"/>
      <c r="AB576" s="126"/>
    </row>
    <row r="577" spans="1:28" ht="15.75" customHeight="1">
      <c r="A577" s="126"/>
      <c r="B577" s="126"/>
      <c r="C577" s="176"/>
      <c r="D577" s="176"/>
      <c r="E577" s="176"/>
      <c r="F577" s="176"/>
      <c r="G577" s="176"/>
      <c r="H577" s="176"/>
      <c r="I577" s="126"/>
      <c r="J577" s="126"/>
      <c r="K577" s="126"/>
      <c r="L577" s="126"/>
      <c r="M577" s="126"/>
      <c r="N577" s="126"/>
      <c r="O577" s="126"/>
      <c r="P577" s="126"/>
      <c r="Q577" s="126"/>
      <c r="R577" s="126"/>
      <c r="S577" s="126"/>
      <c r="T577" s="126"/>
      <c r="U577" s="126"/>
      <c r="V577" s="126"/>
      <c r="W577" s="126"/>
      <c r="X577" s="126"/>
      <c r="Y577" s="126"/>
      <c r="Z577" s="126"/>
      <c r="AA577" s="126"/>
      <c r="AB577" s="126"/>
    </row>
    <row r="578" spans="1:28" ht="15.75" customHeight="1">
      <c r="A578" s="126"/>
      <c r="B578" s="126"/>
      <c r="C578" s="176"/>
      <c r="D578" s="176"/>
      <c r="E578" s="176"/>
      <c r="F578" s="176"/>
      <c r="G578" s="176"/>
      <c r="H578" s="176"/>
      <c r="I578" s="126"/>
      <c r="J578" s="126"/>
      <c r="K578" s="126"/>
      <c r="L578" s="126"/>
      <c r="M578" s="126"/>
      <c r="N578" s="126"/>
      <c r="O578" s="126"/>
      <c r="P578" s="126"/>
      <c r="Q578" s="126"/>
      <c r="R578" s="126"/>
      <c r="S578" s="126"/>
      <c r="T578" s="126"/>
      <c r="U578" s="126"/>
      <c r="V578" s="126"/>
      <c r="W578" s="126"/>
      <c r="X578" s="126"/>
      <c r="Y578" s="126"/>
      <c r="Z578" s="126"/>
      <c r="AA578" s="126"/>
      <c r="AB578" s="126"/>
    </row>
    <row r="579" spans="1:28" ht="15.75" customHeight="1">
      <c r="A579" s="126"/>
      <c r="B579" s="126"/>
      <c r="C579" s="176"/>
      <c r="D579" s="176"/>
      <c r="E579" s="176"/>
      <c r="F579" s="176"/>
      <c r="G579" s="176"/>
      <c r="H579" s="176"/>
      <c r="I579" s="126"/>
      <c r="J579" s="126"/>
      <c r="K579" s="126"/>
      <c r="L579" s="126"/>
      <c r="M579" s="126"/>
      <c r="N579" s="126"/>
      <c r="O579" s="126"/>
      <c r="P579" s="126"/>
      <c r="Q579" s="126"/>
      <c r="R579" s="126"/>
      <c r="S579" s="126"/>
      <c r="T579" s="126"/>
      <c r="U579" s="126"/>
      <c r="V579" s="126"/>
      <c r="W579" s="126"/>
      <c r="X579" s="126"/>
      <c r="Y579" s="126"/>
      <c r="Z579" s="126"/>
      <c r="AA579" s="126"/>
      <c r="AB579" s="126"/>
    </row>
    <row r="580" spans="1:28" ht="15.75" customHeight="1">
      <c r="A580" s="126"/>
      <c r="B580" s="126"/>
      <c r="C580" s="176"/>
      <c r="D580" s="176"/>
      <c r="E580" s="176"/>
      <c r="F580" s="176"/>
      <c r="G580" s="176"/>
      <c r="H580" s="176"/>
      <c r="I580" s="126"/>
      <c r="J580" s="126"/>
      <c r="K580" s="126"/>
      <c r="L580" s="126"/>
      <c r="M580" s="126"/>
      <c r="N580" s="126"/>
      <c r="O580" s="126"/>
      <c r="P580" s="126"/>
      <c r="Q580" s="126"/>
      <c r="R580" s="126"/>
      <c r="S580" s="126"/>
      <c r="T580" s="126"/>
      <c r="U580" s="126"/>
      <c r="V580" s="126"/>
      <c r="W580" s="126"/>
      <c r="X580" s="126"/>
      <c r="Y580" s="126"/>
      <c r="Z580" s="126"/>
      <c r="AA580" s="126"/>
      <c r="AB580" s="126"/>
    </row>
    <row r="581" spans="1:28" ht="15.75" customHeight="1">
      <c r="A581" s="126"/>
      <c r="B581" s="126"/>
      <c r="C581" s="176"/>
      <c r="D581" s="176"/>
      <c r="E581" s="176"/>
      <c r="F581" s="176"/>
      <c r="G581" s="176"/>
      <c r="H581" s="176"/>
      <c r="I581" s="126"/>
      <c r="J581" s="126"/>
      <c r="K581" s="126"/>
      <c r="L581" s="126"/>
      <c r="M581" s="126"/>
      <c r="N581" s="126"/>
      <c r="O581" s="126"/>
      <c r="P581" s="126"/>
      <c r="Q581" s="126"/>
      <c r="R581" s="126"/>
      <c r="S581" s="126"/>
      <c r="T581" s="126"/>
      <c r="U581" s="126"/>
      <c r="V581" s="126"/>
      <c r="W581" s="126"/>
      <c r="X581" s="126"/>
      <c r="Y581" s="126"/>
      <c r="Z581" s="126"/>
      <c r="AA581" s="126"/>
      <c r="AB581" s="126"/>
    </row>
    <row r="582" spans="1:28" ht="15.75" customHeight="1">
      <c r="A582" s="126"/>
      <c r="B582" s="126"/>
      <c r="C582" s="176"/>
      <c r="D582" s="176"/>
      <c r="E582" s="176"/>
      <c r="F582" s="176"/>
      <c r="G582" s="176"/>
      <c r="H582" s="176"/>
      <c r="I582" s="126"/>
      <c r="J582" s="126"/>
      <c r="K582" s="126"/>
      <c r="L582" s="126"/>
      <c r="M582" s="126"/>
      <c r="N582" s="126"/>
      <c r="O582" s="126"/>
      <c r="P582" s="126"/>
      <c r="Q582" s="126"/>
      <c r="R582" s="126"/>
      <c r="S582" s="126"/>
      <c r="T582" s="126"/>
      <c r="U582" s="126"/>
      <c r="V582" s="126"/>
      <c r="W582" s="126"/>
      <c r="X582" s="126"/>
      <c r="Y582" s="126"/>
      <c r="Z582" s="126"/>
      <c r="AA582" s="126"/>
      <c r="AB582" s="126"/>
    </row>
    <row r="583" spans="1:28" ht="15.75" customHeight="1">
      <c r="A583" s="126"/>
      <c r="B583" s="126"/>
      <c r="C583" s="176"/>
      <c r="D583" s="176"/>
      <c r="E583" s="176"/>
      <c r="F583" s="176"/>
      <c r="G583" s="176"/>
      <c r="H583" s="176"/>
      <c r="I583" s="126"/>
      <c r="J583" s="126"/>
      <c r="K583" s="126"/>
      <c r="L583" s="126"/>
      <c r="M583" s="126"/>
      <c r="N583" s="126"/>
      <c r="O583" s="126"/>
      <c r="P583" s="126"/>
      <c r="Q583" s="126"/>
      <c r="R583" s="126"/>
      <c r="S583" s="126"/>
      <c r="T583" s="126"/>
      <c r="U583" s="126"/>
      <c r="V583" s="126"/>
      <c r="W583" s="126"/>
      <c r="X583" s="126"/>
      <c r="Y583" s="126"/>
      <c r="Z583" s="126"/>
      <c r="AA583" s="126"/>
      <c r="AB583" s="126"/>
    </row>
    <row r="584" spans="1:28" ht="15.75" customHeight="1">
      <c r="A584" s="126"/>
      <c r="B584" s="126"/>
      <c r="C584" s="176"/>
      <c r="D584" s="176"/>
      <c r="E584" s="176"/>
      <c r="F584" s="176"/>
      <c r="G584" s="176"/>
      <c r="H584" s="176"/>
      <c r="I584" s="126"/>
      <c r="J584" s="126"/>
      <c r="K584" s="126"/>
      <c r="L584" s="126"/>
      <c r="M584" s="126"/>
      <c r="N584" s="126"/>
      <c r="O584" s="126"/>
      <c r="P584" s="126"/>
      <c r="Q584" s="126"/>
      <c r="R584" s="126"/>
      <c r="S584" s="126"/>
      <c r="T584" s="126"/>
      <c r="U584" s="126"/>
      <c r="V584" s="126"/>
      <c r="W584" s="126"/>
      <c r="X584" s="126"/>
      <c r="Y584" s="126"/>
      <c r="Z584" s="126"/>
      <c r="AA584" s="126"/>
      <c r="AB584" s="126"/>
    </row>
    <row r="585" spans="1:28" ht="15.75" customHeight="1">
      <c r="A585" s="126"/>
      <c r="B585" s="126"/>
      <c r="C585" s="176"/>
      <c r="D585" s="176"/>
      <c r="E585" s="176"/>
      <c r="F585" s="176"/>
      <c r="G585" s="176"/>
      <c r="H585" s="176"/>
      <c r="I585" s="126"/>
      <c r="J585" s="126"/>
      <c r="K585" s="126"/>
      <c r="L585" s="126"/>
      <c r="M585" s="126"/>
      <c r="N585" s="126"/>
      <c r="O585" s="126"/>
      <c r="P585" s="126"/>
      <c r="Q585" s="126"/>
      <c r="R585" s="126"/>
      <c r="S585" s="126"/>
      <c r="T585" s="126"/>
      <c r="U585" s="126"/>
      <c r="V585" s="126"/>
      <c r="W585" s="126"/>
      <c r="X585" s="126"/>
      <c r="Y585" s="126"/>
      <c r="Z585" s="126"/>
      <c r="AA585" s="126"/>
      <c r="AB585" s="126"/>
    </row>
    <row r="586" spans="1:28" ht="15.75" customHeight="1">
      <c r="A586" s="126"/>
      <c r="B586" s="126"/>
      <c r="C586" s="176"/>
      <c r="D586" s="176"/>
      <c r="E586" s="176"/>
      <c r="F586" s="176"/>
      <c r="G586" s="176"/>
      <c r="H586" s="176"/>
      <c r="I586" s="126"/>
      <c r="J586" s="126"/>
      <c r="K586" s="126"/>
      <c r="L586" s="126"/>
      <c r="M586" s="126"/>
      <c r="N586" s="126"/>
      <c r="O586" s="126"/>
      <c r="P586" s="126"/>
      <c r="Q586" s="126"/>
      <c r="R586" s="126"/>
      <c r="S586" s="126"/>
      <c r="T586" s="126"/>
      <c r="U586" s="126"/>
      <c r="V586" s="126"/>
      <c r="W586" s="126"/>
      <c r="X586" s="126"/>
      <c r="Y586" s="126"/>
      <c r="Z586" s="126"/>
      <c r="AA586" s="126"/>
      <c r="AB586" s="126"/>
    </row>
    <row r="587" spans="1:28" ht="15.75" customHeight="1">
      <c r="A587" s="126"/>
      <c r="B587" s="126"/>
      <c r="C587" s="176"/>
      <c r="D587" s="176"/>
      <c r="E587" s="176"/>
      <c r="F587" s="176"/>
      <c r="G587" s="176"/>
      <c r="H587" s="176"/>
      <c r="I587" s="126"/>
      <c r="J587" s="126"/>
      <c r="K587" s="126"/>
      <c r="L587" s="126"/>
      <c r="M587" s="126"/>
      <c r="N587" s="126"/>
      <c r="O587" s="126"/>
      <c r="P587" s="126"/>
      <c r="Q587" s="126"/>
      <c r="R587" s="126"/>
      <c r="S587" s="126"/>
      <c r="T587" s="126"/>
      <c r="U587" s="126"/>
      <c r="V587" s="126"/>
      <c r="W587" s="126"/>
      <c r="X587" s="126"/>
      <c r="Y587" s="126"/>
      <c r="Z587" s="126"/>
      <c r="AA587" s="126"/>
      <c r="AB587" s="126"/>
    </row>
    <row r="588" spans="1:28" ht="15.75" customHeight="1">
      <c r="A588" s="126"/>
      <c r="B588" s="126"/>
      <c r="C588" s="176"/>
      <c r="D588" s="176"/>
      <c r="E588" s="176"/>
      <c r="F588" s="176"/>
      <c r="G588" s="176"/>
      <c r="H588" s="176"/>
      <c r="I588" s="126"/>
      <c r="J588" s="126"/>
      <c r="K588" s="126"/>
      <c r="L588" s="126"/>
      <c r="M588" s="126"/>
      <c r="N588" s="126"/>
      <c r="O588" s="126"/>
      <c r="P588" s="126"/>
      <c r="Q588" s="126"/>
      <c r="R588" s="126"/>
      <c r="S588" s="126"/>
      <c r="T588" s="126"/>
      <c r="U588" s="126"/>
      <c r="V588" s="126"/>
      <c r="W588" s="126"/>
      <c r="X588" s="126"/>
      <c r="Y588" s="126"/>
      <c r="Z588" s="126"/>
      <c r="AA588" s="126"/>
      <c r="AB588" s="126"/>
    </row>
    <row r="589" spans="1:28" ht="15.75" customHeight="1">
      <c r="A589" s="126"/>
      <c r="B589" s="126"/>
      <c r="C589" s="176"/>
      <c r="D589" s="176"/>
      <c r="E589" s="176"/>
      <c r="F589" s="176"/>
      <c r="G589" s="176"/>
      <c r="H589" s="176"/>
      <c r="I589" s="126"/>
      <c r="J589" s="126"/>
      <c r="K589" s="126"/>
      <c r="L589" s="126"/>
      <c r="M589" s="126"/>
      <c r="N589" s="126"/>
      <c r="O589" s="126"/>
      <c r="P589" s="126"/>
      <c r="Q589" s="126"/>
      <c r="R589" s="126"/>
      <c r="S589" s="126"/>
      <c r="T589" s="126"/>
      <c r="U589" s="126"/>
      <c r="V589" s="126"/>
      <c r="W589" s="126"/>
      <c r="X589" s="126"/>
      <c r="Y589" s="126"/>
      <c r="Z589" s="126"/>
      <c r="AA589" s="126"/>
      <c r="AB589" s="126"/>
    </row>
    <row r="590" spans="1:28" ht="15.75" customHeight="1">
      <c r="A590" s="126"/>
      <c r="B590" s="126"/>
      <c r="C590" s="176"/>
      <c r="D590" s="176"/>
      <c r="E590" s="176"/>
      <c r="F590" s="176"/>
      <c r="G590" s="176"/>
      <c r="H590" s="176"/>
      <c r="I590" s="126"/>
      <c r="J590" s="126"/>
      <c r="K590" s="126"/>
      <c r="L590" s="126"/>
      <c r="M590" s="126"/>
      <c r="N590" s="126"/>
      <c r="O590" s="126"/>
      <c r="P590" s="126"/>
      <c r="Q590" s="126"/>
      <c r="R590" s="126"/>
      <c r="S590" s="126"/>
      <c r="T590" s="126"/>
      <c r="U590" s="126"/>
      <c r="V590" s="126"/>
      <c r="W590" s="126"/>
      <c r="X590" s="126"/>
      <c r="Y590" s="126"/>
      <c r="Z590" s="126"/>
      <c r="AA590" s="126"/>
      <c r="AB590" s="126"/>
    </row>
    <row r="591" spans="1:28" ht="15.75" customHeight="1">
      <c r="A591" s="126"/>
      <c r="B591" s="126"/>
      <c r="C591" s="176"/>
      <c r="D591" s="176"/>
      <c r="E591" s="176"/>
      <c r="F591" s="176"/>
      <c r="G591" s="176"/>
      <c r="H591" s="176"/>
      <c r="I591" s="126"/>
      <c r="J591" s="126"/>
      <c r="K591" s="126"/>
      <c r="L591" s="126"/>
      <c r="M591" s="126"/>
      <c r="N591" s="126"/>
      <c r="O591" s="126"/>
      <c r="P591" s="126"/>
      <c r="Q591" s="126"/>
      <c r="R591" s="126"/>
      <c r="S591" s="126"/>
      <c r="T591" s="126"/>
      <c r="U591" s="126"/>
      <c r="V591" s="126"/>
      <c r="W591" s="126"/>
      <c r="X591" s="126"/>
      <c r="Y591" s="126"/>
      <c r="Z591" s="126"/>
      <c r="AA591" s="126"/>
      <c r="AB591" s="126"/>
    </row>
    <row r="592" spans="1:28" ht="15.75" customHeight="1">
      <c r="A592" s="126"/>
      <c r="B592" s="126"/>
      <c r="C592" s="176"/>
      <c r="D592" s="176"/>
      <c r="E592" s="176"/>
      <c r="F592" s="176"/>
      <c r="G592" s="176"/>
      <c r="H592" s="176"/>
      <c r="I592" s="126"/>
      <c r="J592" s="126"/>
      <c r="K592" s="126"/>
      <c r="L592" s="126"/>
      <c r="M592" s="126"/>
      <c r="N592" s="126"/>
      <c r="O592" s="126"/>
      <c r="P592" s="126"/>
      <c r="Q592" s="126"/>
      <c r="R592" s="126"/>
      <c r="S592" s="126"/>
      <c r="T592" s="126"/>
      <c r="U592" s="126"/>
      <c r="V592" s="126"/>
      <c r="W592" s="126"/>
      <c r="X592" s="126"/>
      <c r="Y592" s="126"/>
      <c r="Z592" s="126"/>
      <c r="AA592" s="126"/>
      <c r="AB592" s="126"/>
    </row>
    <row r="593" spans="1:28" ht="15.75" customHeight="1">
      <c r="A593" s="126"/>
      <c r="B593" s="126"/>
      <c r="C593" s="176"/>
      <c r="D593" s="176"/>
      <c r="E593" s="176"/>
      <c r="F593" s="176"/>
      <c r="G593" s="176"/>
      <c r="H593" s="176"/>
      <c r="I593" s="126"/>
      <c r="J593" s="126"/>
      <c r="K593" s="126"/>
      <c r="L593" s="126"/>
      <c r="M593" s="126"/>
      <c r="N593" s="126"/>
      <c r="O593" s="126"/>
      <c r="P593" s="126"/>
      <c r="Q593" s="126"/>
      <c r="R593" s="126"/>
      <c r="S593" s="126"/>
      <c r="T593" s="126"/>
      <c r="U593" s="126"/>
      <c r="V593" s="126"/>
      <c r="W593" s="126"/>
      <c r="X593" s="126"/>
      <c r="Y593" s="126"/>
      <c r="Z593" s="126"/>
      <c r="AA593" s="126"/>
      <c r="AB593" s="126"/>
    </row>
    <row r="594" spans="1:28" ht="15.75" customHeight="1">
      <c r="A594" s="126"/>
      <c r="B594" s="126"/>
      <c r="C594" s="176"/>
      <c r="D594" s="176"/>
      <c r="E594" s="176"/>
      <c r="F594" s="176"/>
      <c r="G594" s="176"/>
      <c r="H594" s="176"/>
      <c r="I594" s="126"/>
      <c r="J594" s="126"/>
      <c r="K594" s="126"/>
      <c r="L594" s="126"/>
      <c r="M594" s="126"/>
      <c r="N594" s="126"/>
      <c r="O594" s="126"/>
      <c r="P594" s="126"/>
      <c r="Q594" s="126"/>
      <c r="R594" s="126"/>
      <c r="S594" s="126"/>
      <c r="T594" s="126"/>
      <c r="U594" s="126"/>
      <c r="V594" s="126"/>
      <c r="W594" s="126"/>
      <c r="X594" s="126"/>
      <c r="Y594" s="126"/>
      <c r="Z594" s="126"/>
      <c r="AA594" s="126"/>
      <c r="AB594" s="126"/>
    </row>
    <row r="595" spans="1:28" ht="15.75" customHeight="1">
      <c r="A595" s="126"/>
      <c r="B595" s="126"/>
      <c r="C595" s="176"/>
      <c r="D595" s="176"/>
      <c r="E595" s="176"/>
      <c r="F595" s="176"/>
      <c r="G595" s="176"/>
      <c r="H595" s="176"/>
      <c r="I595" s="126"/>
      <c r="J595" s="126"/>
      <c r="K595" s="126"/>
      <c r="L595" s="126"/>
      <c r="M595" s="126"/>
      <c r="N595" s="126"/>
      <c r="O595" s="126"/>
      <c r="P595" s="126"/>
      <c r="Q595" s="126"/>
      <c r="R595" s="126"/>
      <c r="S595" s="126"/>
      <c r="T595" s="126"/>
      <c r="U595" s="126"/>
      <c r="V595" s="126"/>
      <c r="W595" s="126"/>
      <c r="X595" s="126"/>
      <c r="Y595" s="126"/>
      <c r="Z595" s="126"/>
      <c r="AA595" s="126"/>
      <c r="AB595" s="126"/>
    </row>
    <row r="596" spans="1:28" ht="15.75" customHeight="1">
      <c r="A596" s="126"/>
      <c r="B596" s="126"/>
      <c r="C596" s="176"/>
      <c r="D596" s="176"/>
      <c r="E596" s="176"/>
      <c r="F596" s="176"/>
      <c r="G596" s="176"/>
      <c r="H596" s="176"/>
      <c r="I596" s="126"/>
      <c r="J596" s="126"/>
      <c r="K596" s="126"/>
      <c r="L596" s="126"/>
      <c r="M596" s="126"/>
      <c r="N596" s="126"/>
      <c r="O596" s="126"/>
      <c r="P596" s="126"/>
      <c r="Q596" s="126"/>
      <c r="R596" s="126"/>
      <c r="S596" s="126"/>
      <c r="T596" s="126"/>
      <c r="U596" s="126"/>
      <c r="V596" s="126"/>
      <c r="W596" s="126"/>
      <c r="X596" s="126"/>
      <c r="Y596" s="126"/>
      <c r="Z596" s="126"/>
      <c r="AA596" s="126"/>
      <c r="AB596" s="126"/>
    </row>
    <row r="597" spans="1:28" ht="15.75" customHeight="1">
      <c r="A597" s="126"/>
      <c r="B597" s="126"/>
      <c r="C597" s="176"/>
      <c r="D597" s="176"/>
      <c r="E597" s="176"/>
      <c r="F597" s="176"/>
      <c r="G597" s="176"/>
      <c r="H597" s="176"/>
      <c r="I597" s="126"/>
      <c r="J597" s="126"/>
      <c r="K597" s="126"/>
      <c r="L597" s="126"/>
      <c r="M597" s="126"/>
      <c r="N597" s="126"/>
      <c r="O597" s="126"/>
      <c r="P597" s="126"/>
      <c r="Q597" s="126"/>
      <c r="R597" s="126"/>
      <c r="S597" s="126"/>
      <c r="T597" s="126"/>
      <c r="U597" s="126"/>
      <c r="V597" s="126"/>
      <c r="W597" s="126"/>
      <c r="X597" s="126"/>
      <c r="Y597" s="126"/>
      <c r="Z597" s="126"/>
      <c r="AA597" s="126"/>
      <c r="AB597" s="126"/>
    </row>
    <row r="598" spans="1:28" ht="15.75" customHeight="1">
      <c r="A598" s="126"/>
      <c r="B598" s="126"/>
      <c r="C598" s="176"/>
      <c r="D598" s="176"/>
      <c r="E598" s="176"/>
      <c r="F598" s="176"/>
      <c r="G598" s="176"/>
      <c r="H598" s="176"/>
      <c r="I598" s="126"/>
      <c r="J598" s="126"/>
      <c r="K598" s="126"/>
      <c r="L598" s="126"/>
      <c r="M598" s="126"/>
      <c r="N598" s="126"/>
      <c r="O598" s="126"/>
      <c r="P598" s="126"/>
      <c r="Q598" s="126"/>
      <c r="R598" s="126"/>
      <c r="S598" s="126"/>
      <c r="T598" s="126"/>
      <c r="U598" s="126"/>
      <c r="V598" s="126"/>
      <c r="W598" s="126"/>
      <c r="X598" s="126"/>
      <c r="Y598" s="126"/>
      <c r="Z598" s="126"/>
      <c r="AA598" s="126"/>
      <c r="AB598" s="126"/>
    </row>
    <row r="599" spans="1:28" ht="15.75" customHeight="1">
      <c r="A599" s="126"/>
      <c r="B599" s="126"/>
      <c r="C599" s="176"/>
      <c r="D599" s="176"/>
      <c r="E599" s="176"/>
      <c r="F599" s="176"/>
      <c r="G599" s="176"/>
      <c r="H599" s="176"/>
      <c r="I599" s="126"/>
      <c r="J599" s="126"/>
      <c r="K599" s="126"/>
      <c r="L599" s="126"/>
      <c r="M599" s="126"/>
      <c r="N599" s="126"/>
      <c r="O599" s="126"/>
      <c r="P599" s="126"/>
      <c r="Q599" s="126"/>
      <c r="R599" s="126"/>
      <c r="S599" s="126"/>
      <c r="T599" s="126"/>
      <c r="U599" s="126"/>
      <c r="V599" s="126"/>
      <c r="W599" s="126"/>
      <c r="X599" s="126"/>
      <c r="Y599" s="126"/>
      <c r="Z599" s="126"/>
      <c r="AA599" s="126"/>
      <c r="AB599" s="126"/>
    </row>
    <row r="600" spans="1:28" ht="15.75" customHeight="1">
      <c r="A600" s="126"/>
      <c r="B600" s="126"/>
      <c r="C600" s="176"/>
      <c r="D600" s="176"/>
      <c r="E600" s="176"/>
      <c r="F600" s="176"/>
      <c r="G600" s="176"/>
      <c r="H600" s="176"/>
      <c r="I600" s="126"/>
      <c r="J600" s="126"/>
      <c r="K600" s="126"/>
      <c r="L600" s="126"/>
      <c r="M600" s="126"/>
      <c r="N600" s="126"/>
      <c r="O600" s="126"/>
      <c r="P600" s="126"/>
      <c r="Q600" s="126"/>
      <c r="R600" s="126"/>
      <c r="S600" s="126"/>
      <c r="T600" s="126"/>
      <c r="U600" s="126"/>
      <c r="V600" s="126"/>
      <c r="W600" s="126"/>
      <c r="X600" s="126"/>
      <c r="Y600" s="126"/>
      <c r="Z600" s="126"/>
      <c r="AA600" s="126"/>
      <c r="AB600" s="126"/>
    </row>
    <row r="601" spans="1:28" ht="15.75" customHeight="1">
      <c r="A601" s="126"/>
      <c r="B601" s="126"/>
      <c r="C601" s="176"/>
      <c r="D601" s="176"/>
      <c r="E601" s="176"/>
      <c r="F601" s="176"/>
      <c r="G601" s="176"/>
      <c r="H601" s="176"/>
      <c r="I601" s="126"/>
      <c r="J601" s="126"/>
      <c r="K601" s="126"/>
      <c r="L601" s="126"/>
      <c r="M601" s="126"/>
      <c r="N601" s="126"/>
      <c r="O601" s="126"/>
      <c r="P601" s="126"/>
      <c r="Q601" s="126"/>
      <c r="R601" s="126"/>
      <c r="S601" s="126"/>
      <c r="T601" s="126"/>
      <c r="U601" s="126"/>
      <c r="V601" s="126"/>
      <c r="W601" s="126"/>
      <c r="X601" s="126"/>
      <c r="Y601" s="126"/>
      <c r="Z601" s="126"/>
      <c r="AA601" s="126"/>
      <c r="AB601" s="126"/>
    </row>
    <row r="602" spans="1:28" ht="15.75" customHeight="1">
      <c r="A602" s="126"/>
      <c r="B602" s="126"/>
      <c r="C602" s="176"/>
      <c r="D602" s="176"/>
      <c r="E602" s="176"/>
      <c r="F602" s="176"/>
      <c r="G602" s="176"/>
      <c r="H602" s="176"/>
      <c r="I602" s="126"/>
      <c r="J602" s="126"/>
      <c r="K602" s="126"/>
      <c r="L602" s="126"/>
      <c r="M602" s="126"/>
      <c r="N602" s="126"/>
      <c r="O602" s="126"/>
      <c r="P602" s="126"/>
      <c r="Q602" s="126"/>
      <c r="R602" s="126"/>
      <c r="S602" s="126"/>
      <c r="T602" s="126"/>
      <c r="U602" s="126"/>
      <c r="V602" s="126"/>
      <c r="W602" s="126"/>
      <c r="X602" s="126"/>
      <c r="Y602" s="126"/>
      <c r="Z602" s="126"/>
      <c r="AA602" s="126"/>
      <c r="AB602" s="126"/>
    </row>
    <row r="603" spans="1:28" ht="15.75" customHeight="1">
      <c r="A603" s="126"/>
      <c r="B603" s="126"/>
      <c r="C603" s="176"/>
      <c r="D603" s="176"/>
      <c r="E603" s="176"/>
      <c r="F603" s="176"/>
      <c r="G603" s="176"/>
      <c r="H603" s="176"/>
      <c r="I603" s="126"/>
      <c r="J603" s="126"/>
      <c r="K603" s="126"/>
      <c r="L603" s="126"/>
      <c r="M603" s="126"/>
      <c r="N603" s="126"/>
      <c r="O603" s="126"/>
      <c r="P603" s="126"/>
      <c r="Q603" s="126"/>
      <c r="R603" s="126"/>
      <c r="S603" s="126"/>
      <c r="T603" s="126"/>
      <c r="U603" s="126"/>
      <c r="V603" s="126"/>
      <c r="W603" s="126"/>
      <c r="X603" s="126"/>
      <c r="Y603" s="126"/>
      <c r="Z603" s="126"/>
      <c r="AA603" s="126"/>
      <c r="AB603" s="126"/>
    </row>
    <row r="604" spans="1:28" ht="15.75" customHeight="1">
      <c r="A604" s="126"/>
      <c r="B604" s="126"/>
      <c r="C604" s="176"/>
      <c r="D604" s="176"/>
      <c r="E604" s="176"/>
      <c r="F604" s="176"/>
      <c r="G604" s="176"/>
      <c r="H604" s="176"/>
      <c r="I604" s="126"/>
      <c r="J604" s="126"/>
      <c r="K604" s="126"/>
      <c r="L604" s="126"/>
      <c r="M604" s="126"/>
      <c r="N604" s="126"/>
      <c r="O604" s="126"/>
      <c r="P604" s="126"/>
      <c r="Q604" s="126"/>
      <c r="R604" s="126"/>
      <c r="S604" s="126"/>
      <c r="T604" s="126"/>
      <c r="U604" s="126"/>
      <c r="V604" s="126"/>
      <c r="W604" s="126"/>
      <c r="X604" s="126"/>
      <c r="Y604" s="126"/>
      <c r="Z604" s="126"/>
      <c r="AA604" s="126"/>
      <c r="AB604" s="126"/>
    </row>
    <row r="605" spans="1:28" ht="15.75" customHeight="1">
      <c r="A605" s="126"/>
      <c r="B605" s="126"/>
      <c r="C605" s="176"/>
      <c r="D605" s="176"/>
      <c r="E605" s="176"/>
      <c r="F605" s="176"/>
      <c r="G605" s="176"/>
      <c r="H605" s="176"/>
      <c r="I605" s="126"/>
      <c r="J605" s="126"/>
      <c r="K605" s="126"/>
      <c r="L605" s="126"/>
      <c r="M605" s="126"/>
      <c r="N605" s="126"/>
      <c r="O605" s="126"/>
      <c r="P605" s="126"/>
      <c r="Q605" s="126"/>
      <c r="R605" s="126"/>
      <c r="S605" s="126"/>
      <c r="T605" s="126"/>
      <c r="U605" s="126"/>
      <c r="V605" s="126"/>
      <c r="W605" s="126"/>
      <c r="X605" s="126"/>
      <c r="Y605" s="126"/>
      <c r="Z605" s="126"/>
      <c r="AA605" s="126"/>
      <c r="AB605" s="126"/>
    </row>
    <row r="606" spans="1:28" ht="15.75" customHeight="1">
      <c r="A606" s="126"/>
      <c r="B606" s="126"/>
      <c r="C606" s="176"/>
      <c r="D606" s="176"/>
      <c r="E606" s="176"/>
      <c r="F606" s="176"/>
      <c r="G606" s="176"/>
      <c r="H606" s="176"/>
      <c r="I606" s="126"/>
      <c r="J606" s="126"/>
      <c r="K606" s="126"/>
      <c r="L606" s="126"/>
      <c r="M606" s="126"/>
      <c r="N606" s="126"/>
      <c r="O606" s="126"/>
      <c r="P606" s="126"/>
      <c r="Q606" s="126"/>
      <c r="R606" s="126"/>
      <c r="S606" s="126"/>
      <c r="T606" s="126"/>
      <c r="U606" s="126"/>
      <c r="V606" s="126"/>
      <c r="W606" s="126"/>
      <c r="X606" s="126"/>
      <c r="Y606" s="126"/>
      <c r="Z606" s="126"/>
      <c r="AA606" s="126"/>
      <c r="AB606" s="126"/>
    </row>
    <row r="607" spans="1:28" ht="15.75" customHeight="1">
      <c r="A607" s="126"/>
      <c r="B607" s="126"/>
      <c r="C607" s="176"/>
      <c r="D607" s="176"/>
      <c r="E607" s="176"/>
      <c r="F607" s="176"/>
      <c r="G607" s="176"/>
      <c r="H607" s="176"/>
      <c r="I607" s="126"/>
      <c r="J607" s="126"/>
      <c r="K607" s="126"/>
      <c r="L607" s="126"/>
      <c r="M607" s="126"/>
      <c r="N607" s="126"/>
      <c r="O607" s="126"/>
      <c r="P607" s="126"/>
      <c r="Q607" s="126"/>
      <c r="R607" s="126"/>
      <c r="S607" s="126"/>
      <c r="T607" s="126"/>
      <c r="U607" s="126"/>
      <c r="V607" s="126"/>
      <c r="W607" s="126"/>
      <c r="X607" s="126"/>
      <c r="Y607" s="126"/>
      <c r="Z607" s="126"/>
      <c r="AA607" s="126"/>
      <c r="AB607" s="126"/>
    </row>
    <row r="608" spans="1:28" ht="15.75" customHeight="1">
      <c r="A608" s="126"/>
      <c r="B608" s="126"/>
      <c r="C608" s="176"/>
      <c r="D608" s="176"/>
      <c r="E608" s="176"/>
      <c r="F608" s="176"/>
      <c r="G608" s="176"/>
      <c r="H608" s="176"/>
      <c r="I608" s="126"/>
      <c r="J608" s="126"/>
      <c r="K608" s="126"/>
      <c r="L608" s="126"/>
      <c r="M608" s="126"/>
      <c r="N608" s="126"/>
      <c r="O608" s="126"/>
      <c r="P608" s="126"/>
      <c r="Q608" s="126"/>
      <c r="R608" s="126"/>
      <c r="S608" s="126"/>
      <c r="T608" s="126"/>
      <c r="U608" s="126"/>
      <c r="V608" s="126"/>
      <c r="W608" s="126"/>
      <c r="X608" s="126"/>
      <c r="Y608" s="126"/>
      <c r="Z608" s="126"/>
      <c r="AA608" s="126"/>
      <c r="AB608" s="126"/>
    </row>
    <row r="609" spans="1:28" ht="15.75" customHeight="1">
      <c r="A609" s="126"/>
      <c r="B609" s="126"/>
      <c r="C609" s="176"/>
      <c r="D609" s="176"/>
      <c r="E609" s="176"/>
      <c r="F609" s="176"/>
      <c r="G609" s="176"/>
      <c r="H609" s="176"/>
      <c r="I609" s="126"/>
      <c r="J609" s="126"/>
      <c r="K609" s="126"/>
      <c r="L609" s="126"/>
      <c r="M609" s="126"/>
      <c r="N609" s="126"/>
      <c r="O609" s="126"/>
      <c r="P609" s="126"/>
      <c r="Q609" s="126"/>
      <c r="R609" s="126"/>
      <c r="S609" s="126"/>
      <c r="T609" s="126"/>
      <c r="U609" s="126"/>
      <c r="V609" s="126"/>
      <c r="W609" s="126"/>
      <c r="X609" s="126"/>
      <c r="Y609" s="126"/>
      <c r="Z609" s="126"/>
      <c r="AA609" s="126"/>
      <c r="AB609" s="126"/>
    </row>
    <row r="610" spans="1:28" ht="15.75" customHeight="1">
      <c r="A610" s="126"/>
      <c r="B610" s="126"/>
      <c r="C610" s="176"/>
      <c r="D610" s="176"/>
      <c r="E610" s="176"/>
      <c r="F610" s="176"/>
      <c r="G610" s="176"/>
      <c r="H610" s="176"/>
      <c r="I610" s="126"/>
      <c r="J610" s="126"/>
      <c r="K610" s="126"/>
      <c r="L610" s="126"/>
      <c r="M610" s="126"/>
      <c r="N610" s="126"/>
      <c r="O610" s="126"/>
      <c r="P610" s="126"/>
      <c r="Q610" s="126"/>
      <c r="R610" s="126"/>
      <c r="S610" s="126"/>
      <c r="T610" s="126"/>
      <c r="U610" s="126"/>
      <c r="V610" s="126"/>
      <c r="W610" s="126"/>
      <c r="X610" s="126"/>
      <c r="Y610" s="126"/>
      <c r="Z610" s="126"/>
      <c r="AA610" s="126"/>
      <c r="AB610" s="126"/>
    </row>
    <row r="611" spans="1:28" ht="15.75" customHeight="1">
      <c r="A611" s="126"/>
      <c r="B611" s="126"/>
      <c r="C611" s="176"/>
      <c r="D611" s="176"/>
      <c r="E611" s="176"/>
      <c r="F611" s="176"/>
      <c r="G611" s="176"/>
      <c r="H611" s="176"/>
      <c r="I611" s="126"/>
      <c r="J611" s="126"/>
      <c r="K611" s="126"/>
      <c r="L611" s="126"/>
      <c r="M611" s="126"/>
      <c r="N611" s="126"/>
      <c r="O611" s="126"/>
      <c r="P611" s="126"/>
      <c r="Q611" s="126"/>
      <c r="R611" s="126"/>
      <c r="S611" s="126"/>
      <c r="T611" s="126"/>
      <c r="U611" s="126"/>
      <c r="V611" s="126"/>
      <c r="W611" s="126"/>
      <c r="X611" s="126"/>
      <c r="Y611" s="126"/>
      <c r="Z611" s="126"/>
      <c r="AA611" s="126"/>
      <c r="AB611" s="126"/>
    </row>
    <row r="612" spans="1:28" ht="15.75" customHeight="1">
      <c r="A612" s="126"/>
      <c r="B612" s="126"/>
      <c r="C612" s="176"/>
      <c r="D612" s="176"/>
      <c r="E612" s="176"/>
      <c r="F612" s="176"/>
      <c r="G612" s="176"/>
      <c r="H612" s="176"/>
      <c r="I612" s="126"/>
      <c r="J612" s="126"/>
      <c r="K612" s="126"/>
      <c r="L612" s="126"/>
      <c r="M612" s="126"/>
      <c r="N612" s="126"/>
      <c r="O612" s="126"/>
      <c r="P612" s="126"/>
      <c r="Q612" s="126"/>
      <c r="R612" s="126"/>
      <c r="S612" s="126"/>
      <c r="T612" s="126"/>
      <c r="U612" s="126"/>
      <c r="V612" s="126"/>
      <c r="W612" s="126"/>
      <c r="X612" s="126"/>
      <c r="Y612" s="126"/>
      <c r="Z612" s="126"/>
      <c r="AA612" s="126"/>
      <c r="AB612" s="126"/>
    </row>
    <row r="613" spans="1:28" ht="15.75" customHeight="1">
      <c r="A613" s="126"/>
      <c r="B613" s="126"/>
      <c r="C613" s="176"/>
      <c r="D613" s="176"/>
      <c r="E613" s="176"/>
      <c r="F613" s="176"/>
      <c r="G613" s="176"/>
      <c r="H613" s="176"/>
      <c r="I613" s="126"/>
      <c r="J613" s="126"/>
      <c r="K613" s="126"/>
      <c r="L613" s="126"/>
      <c r="M613" s="126"/>
      <c r="N613" s="126"/>
      <c r="O613" s="126"/>
      <c r="P613" s="126"/>
      <c r="Q613" s="126"/>
      <c r="R613" s="126"/>
      <c r="S613" s="126"/>
      <c r="T613" s="126"/>
      <c r="U613" s="126"/>
      <c r="V613" s="126"/>
      <c r="W613" s="126"/>
      <c r="X613" s="126"/>
      <c r="Y613" s="126"/>
      <c r="Z613" s="126"/>
      <c r="AA613" s="126"/>
      <c r="AB613" s="126"/>
    </row>
    <row r="614" spans="1:28" ht="15.75" customHeight="1">
      <c r="A614" s="126"/>
      <c r="B614" s="126"/>
      <c r="C614" s="176"/>
      <c r="D614" s="176"/>
      <c r="E614" s="176"/>
      <c r="F614" s="176"/>
      <c r="G614" s="176"/>
      <c r="H614" s="176"/>
      <c r="I614" s="126"/>
      <c r="J614" s="126"/>
      <c r="K614" s="126"/>
      <c r="L614" s="126"/>
      <c r="M614" s="126"/>
      <c r="N614" s="126"/>
      <c r="O614" s="126"/>
      <c r="P614" s="126"/>
      <c r="Q614" s="126"/>
      <c r="R614" s="126"/>
      <c r="S614" s="126"/>
      <c r="T614" s="126"/>
      <c r="U614" s="126"/>
      <c r="V614" s="126"/>
      <c r="W614" s="126"/>
      <c r="X614" s="126"/>
      <c r="Y614" s="126"/>
      <c r="Z614" s="126"/>
      <c r="AA614" s="126"/>
      <c r="AB614" s="126"/>
    </row>
    <row r="615" spans="1:28" ht="15.75" customHeight="1">
      <c r="A615" s="126"/>
      <c r="B615" s="126"/>
      <c r="C615" s="176"/>
      <c r="D615" s="176"/>
      <c r="E615" s="176"/>
      <c r="F615" s="176"/>
      <c r="G615" s="176"/>
      <c r="H615" s="176"/>
      <c r="I615" s="126"/>
      <c r="J615" s="126"/>
      <c r="K615" s="126"/>
      <c r="L615" s="126"/>
      <c r="M615" s="126"/>
      <c r="N615" s="126"/>
      <c r="O615" s="126"/>
      <c r="P615" s="126"/>
      <c r="Q615" s="126"/>
      <c r="R615" s="126"/>
      <c r="S615" s="126"/>
      <c r="T615" s="126"/>
      <c r="U615" s="126"/>
      <c r="V615" s="126"/>
      <c r="W615" s="126"/>
      <c r="X615" s="126"/>
      <c r="Y615" s="126"/>
      <c r="Z615" s="126"/>
      <c r="AA615" s="126"/>
      <c r="AB615" s="126"/>
    </row>
    <row r="616" spans="1:28" ht="15.75" customHeight="1">
      <c r="A616" s="126"/>
      <c r="B616" s="126"/>
      <c r="C616" s="176"/>
      <c r="D616" s="176"/>
      <c r="E616" s="176"/>
      <c r="F616" s="176"/>
      <c r="G616" s="176"/>
      <c r="H616" s="176"/>
      <c r="I616" s="126"/>
      <c r="J616" s="126"/>
      <c r="K616" s="126"/>
      <c r="L616" s="126"/>
      <c r="M616" s="126"/>
      <c r="N616" s="126"/>
      <c r="O616" s="126"/>
      <c r="P616" s="126"/>
      <c r="Q616" s="126"/>
      <c r="R616" s="126"/>
      <c r="S616" s="126"/>
      <c r="T616" s="126"/>
      <c r="U616" s="126"/>
      <c r="V616" s="126"/>
      <c r="W616" s="126"/>
      <c r="X616" s="126"/>
      <c r="Y616" s="126"/>
      <c r="Z616" s="126"/>
      <c r="AA616" s="126"/>
      <c r="AB616" s="126"/>
    </row>
    <row r="617" spans="1:28" ht="15.75" customHeight="1">
      <c r="A617" s="126"/>
      <c r="B617" s="126"/>
      <c r="C617" s="176"/>
      <c r="D617" s="176"/>
      <c r="E617" s="176"/>
      <c r="F617" s="176"/>
      <c r="G617" s="176"/>
      <c r="H617" s="176"/>
      <c r="I617" s="126"/>
      <c r="J617" s="126"/>
      <c r="K617" s="126"/>
      <c r="L617" s="126"/>
      <c r="M617" s="126"/>
      <c r="N617" s="126"/>
      <c r="O617" s="126"/>
      <c r="P617" s="126"/>
      <c r="Q617" s="126"/>
      <c r="R617" s="126"/>
      <c r="S617" s="126"/>
      <c r="T617" s="126"/>
      <c r="U617" s="126"/>
      <c r="V617" s="126"/>
      <c r="W617" s="126"/>
      <c r="X617" s="126"/>
      <c r="Y617" s="126"/>
      <c r="Z617" s="126"/>
      <c r="AA617" s="126"/>
      <c r="AB617" s="126"/>
    </row>
    <row r="618" spans="1:28" ht="15.75" customHeight="1">
      <c r="A618" s="126"/>
      <c r="B618" s="126"/>
      <c r="C618" s="176"/>
      <c r="D618" s="176"/>
      <c r="E618" s="176"/>
      <c r="F618" s="176"/>
      <c r="G618" s="176"/>
      <c r="H618" s="176"/>
      <c r="I618" s="126"/>
      <c r="J618" s="126"/>
      <c r="K618" s="126"/>
      <c r="L618" s="126"/>
      <c r="M618" s="126"/>
      <c r="N618" s="126"/>
      <c r="O618" s="126"/>
      <c r="P618" s="126"/>
      <c r="Q618" s="126"/>
      <c r="R618" s="126"/>
      <c r="S618" s="126"/>
      <c r="T618" s="126"/>
      <c r="U618" s="126"/>
      <c r="V618" s="126"/>
      <c r="W618" s="126"/>
      <c r="X618" s="126"/>
      <c r="Y618" s="126"/>
      <c r="Z618" s="126"/>
      <c r="AA618" s="126"/>
      <c r="AB618" s="126"/>
    </row>
    <row r="619" spans="1:28" ht="15.75" customHeight="1">
      <c r="A619" s="126"/>
      <c r="B619" s="126"/>
      <c r="C619" s="176"/>
      <c r="D619" s="176"/>
      <c r="E619" s="176"/>
      <c r="F619" s="176"/>
      <c r="G619" s="176"/>
      <c r="H619" s="176"/>
      <c r="I619" s="126"/>
      <c r="J619" s="126"/>
      <c r="K619" s="126"/>
      <c r="L619" s="126"/>
      <c r="M619" s="126"/>
      <c r="N619" s="126"/>
      <c r="O619" s="126"/>
      <c r="P619" s="126"/>
      <c r="Q619" s="126"/>
      <c r="R619" s="126"/>
      <c r="S619" s="126"/>
      <c r="T619" s="126"/>
      <c r="U619" s="126"/>
      <c r="V619" s="126"/>
      <c r="W619" s="126"/>
      <c r="X619" s="126"/>
      <c r="Y619" s="126"/>
      <c r="Z619" s="126"/>
      <c r="AA619" s="126"/>
      <c r="AB619" s="126"/>
    </row>
    <row r="620" spans="1:28" ht="15.75" customHeight="1">
      <c r="A620" s="126"/>
      <c r="B620" s="126"/>
      <c r="C620" s="176"/>
      <c r="D620" s="176"/>
      <c r="E620" s="176"/>
      <c r="F620" s="176"/>
      <c r="G620" s="176"/>
      <c r="H620" s="176"/>
      <c r="I620" s="126"/>
      <c r="J620" s="126"/>
      <c r="K620" s="126"/>
      <c r="L620" s="126"/>
      <c r="M620" s="126"/>
      <c r="N620" s="126"/>
      <c r="O620" s="126"/>
      <c r="P620" s="126"/>
      <c r="Q620" s="126"/>
      <c r="R620" s="126"/>
      <c r="S620" s="126"/>
      <c r="T620" s="126"/>
      <c r="U620" s="126"/>
      <c r="V620" s="126"/>
      <c r="W620" s="126"/>
      <c r="X620" s="126"/>
      <c r="Y620" s="126"/>
      <c r="Z620" s="126"/>
      <c r="AA620" s="126"/>
      <c r="AB620" s="126"/>
    </row>
    <row r="621" spans="1:28" ht="15.75" customHeight="1">
      <c r="A621" s="126"/>
      <c r="B621" s="126"/>
      <c r="C621" s="176"/>
      <c r="D621" s="176"/>
      <c r="E621" s="176"/>
      <c r="F621" s="176"/>
      <c r="G621" s="176"/>
      <c r="H621" s="176"/>
      <c r="I621" s="126"/>
      <c r="J621" s="126"/>
      <c r="K621" s="126"/>
      <c r="L621" s="126"/>
      <c r="M621" s="126"/>
      <c r="N621" s="126"/>
      <c r="O621" s="126"/>
      <c r="P621" s="126"/>
      <c r="Q621" s="126"/>
      <c r="R621" s="126"/>
      <c r="S621" s="126"/>
      <c r="T621" s="126"/>
      <c r="U621" s="126"/>
      <c r="V621" s="126"/>
      <c r="W621" s="126"/>
      <c r="X621" s="126"/>
      <c r="Y621" s="126"/>
      <c r="Z621" s="126"/>
      <c r="AA621" s="126"/>
      <c r="AB621" s="126"/>
    </row>
    <row r="622" spans="1:28" ht="15.75" customHeight="1">
      <c r="A622" s="126"/>
      <c r="B622" s="126"/>
      <c r="C622" s="176"/>
      <c r="D622" s="176"/>
      <c r="E622" s="176"/>
      <c r="F622" s="176"/>
      <c r="G622" s="176"/>
      <c r="H622" s="176"/>
      <c r="I622" s="126"/>
      <c r="J622" s="126"/>
      <c r="K622" s="126"/>
      <c r="L622" s="126"/>
      <c r="M622" s="126"/>
      <c r="N622" s="126"/>
      <c r="O622" s="126"/>
      <c r="P622" s="126"/>
      <c r="Q622" s="126"/>
      <c r="R622" s="126"/>
      <c r="S622" s="126"/>
      <c r="T622" s="126"/>
      <c r="U622" s="126"/>
      <c r="V622" s="126"/>
      <c r="W622" s="126"/>
      <c r="X622" s="126"/>
      <c r="Y622" s="126"/>
      <c r="Z622" s="126"/>
      <c r="AA622" s="126"/>
      <c r="AB622" s="126"/>
    </row>
    <row r="623" spans="1:28" ht="15.75" customHeight="1">
      <c r="A623" s="126"/>
      <c r="B623" s="126"/>
      <c r="C623" s="176"/>
      <c r="D623" s="176"/>
      <c r="E623" s="176"/>
      <c r="F623" s="176"/>
      <c r="G623" s="176"/>
      <c r="H623" s="176"/>
      <c r="I623" s="126"/>
      <c r="J623" s="126"/>
      <c r="K623" s="126"/>
      <c r="L623" s="126"/>
      <c r="M623" s="126"/>
      <c r="N623" s="126"/>
      <c r="O623" s="126"/>
      <c r="P623" s="126"/>
      <c r="Q623" s="126"/>
      <c r="R623" s="126"/>
      <c r="S623" s="126"/>
      <c r="T623" s="126"/>
      <c r="U623" s="126"/>
      <c r="V623" s="126"/>
      <c r="W623" s="126"/>
      <c r="X623" s="126"/>
      <c r="Y623" s="126"/>
      <c r="Z623" s="126"/>
      <c r="AA623" s="126"/>
      <c r="AB623" s="126"/>
    </row>
    <row r="624" spans="1:28" ht="15.75" customHeight="1">
      <c r="A624" s="126"/>
      <c r="B624" s="126"/>
      <c r="C624" s="176"/>
      <c r="D624" s="176"/>
      <c r="E624" s="176"/>
      <c r="F624" s="176"/>
      <c r="G624" s="176"/>
      <c r="H624" s="176"/>
      <c r="I624" s="126"/>
      <c r="J624" s="126"/>
      <c r="K624" s="126"/>
      <c r="L624" s="126"/>
      <c r="M624" s="126"/>
      <c r="N624" s="126"/>
      <c r="O624" s="126"/>
      <c r="P624" s="126"/>
      <c r="Q624" s="126"/>
      <c r="R624" s="126"/>
      <c r="S624" s="126"/>
      <c r="T624" s="126"/>
      <c r="U624" s="126"/>
      <c r="V624" s="126"/>
      <c r="W624" s="126"/>
      <c r="X624" s="126"/>
      <c r="Y624" s="126"/>
      <c r="Z624" s="126"/>
      <c r="AA624" s="126"/>
      <c r="AB624" s="126"/>
    </row>
    <row r="625" spans="1:28" ht="15.75" customHeight="1">
      <c r="A625" s="126"/>
      <c r="B625" s="126"/>
      <c r="C625" s="176"/>
      <c r="D625" s="176"/>
      <c r="E625" s="176"/>
      <c r="F625" s="176"/>
      <c r="G625" s="176"/>
      <c r="H625" s="176"/>
      <c r="I625" s="126"/>
      <c r="J625" s="126"/>
      <c r="K625" s="126"/>
      <c r="L625" s="126"/>
      <c r="M625" s="126"/>
      <c r="N625" s="126"/>
      <c r="O625" s="126"/>
      <c r="P625" s="126"/>
      <c r="Q625" s="126"/>
      <c r="R625" s="126"/>
      <c r="S625" s="126"/>
      <c r="T625" s="126"/>
      <c r="U625" s="126"/>
      <c r="V625" s="126"/>
      <c r="W625" s="126"/>
      <c r="X625" s="126"/>
      <c r="Y625" s="126"/>
      <c r="Z625" s="126"/>
      <c r="AA625" s="126"/>
      <c r="AB625" s="126"/>
    </row>
    <row r="626" spans="1:28" ht="15.75" customHeight="1">
      <c r="A626" s="126"/>
      <c r="B626" s="126"/>
      <c r="C626" s="176"/>
      <c r="D626" s="176"/>
      <c r="E626" s="176"/>
      <c r="F626" s="176"/>
      <c r="G626" s="176"/>
      <c r="H626" s="176"/>
      <c r="I626" s="126"/>
      <c r="J626" s="126"/>
      <c r="K626" s="126"/>
      <c r="L626" s="126"/>
      <c r="M626" s="126"/>
      <c r="N626" s="126"/>
      <c r="O626" s="126"/>
      <c r="P626" s="126"/>
      <c r="Q626" s="126"/>
      <c r="R626" s="126"/>
      <c r="S626" s="126"/>
      <c r="T626" s="126"/>
      <c r="U626" s="126"/>
      <c r="V626" s="126"/>
      <c r="W626" s="126"/>
      <c r="X626" s="126"/>
      <c r="Y626" s="126"/>
      <c r="Z626" s="126"/>
      <c r="AA626" s="126"/>
      <c r="AB626" s="126"/>
    </row>
    <row r="627" spans="1:28" ht="15.75" customHeight="1">
      <c r="A627" s="126"/>
      <c r="B627" s="126"/>
      <c r="C627" s="176"/>
      <c r="D627" s="176"/>
      <c r="E627" s="176"/>
      <c r="F627" s="176"/>
      <c r="G627" s="176"/>
      <c r="H627" s="176"/>
      <c r="I627" s="126"/>
      <c r="J627" s="126"/>
      <c r="K627" s="126"/>
      <c r="L627" s="126"/>
      <c r="M627" s="126"/>
      <c r="N627" s="126"/>
      <c r="O627" s="126"/>
      <c r="P627" s="126"/>
      <c r="Q627" s="126"/>
      <c r="R627" s="126"/>
      <c r="S627" s="126"/>
      <c r="T627" s="126"/>
      <c r="U627" s="126"/>
      <c r="V627" s="126"/>
      <c r="W627" s="126"/>
      <c r="X627" s="126"/>
      <c r="Y627" s="126"/>
      <c r="Z627" s="126"/>
      <c r="AA627" s="126"/>
      <c r="AB627" s="126"/>
    </row>
    <row r="628" spans="1:28" ht="15.75" customHeight="1">
      <c r="A628" s="126"/>
      <c r="B628" s="126"/>
      <c r="C628" s="176"/>
      <c r="D628" s="176"/>
      <c r="E628" s="176"/>
      <c r="F628" s="176"/>
      <c r="G628" s="176"/>
      <c r="H628" s="176"/>
      <c r="I628" s="126"/>
      <c r="J628" s="126"/>
      <c r="K628" s="126"/>
      <c r="L628" s="126"/>
      <c r="M628" s="126"/>
      <c r="N628" s="126"/>
      <c r="O628" s="126"/>
      <c r="P628" s="126"/>
      <c r="Q628" s="126"/>
      <c r="R628" s="126"/>
      <c r="S628" s="126"/>
      <c r="T628" s="126"/>
      <c r="U628" s="126"/>
      <c r="V628" s="126"/>
      <c r="W628" s="126"/>
      <c r="X628" s="126"/>
      <c r="Y628" s="126"/>
      <c r="Z628" s="126"/>
      <c r="AA628" s="126"/>
      <c r="AB628" s="126"/>
    </row>
    <row r="629" spans="1:28" ht="15.75" customHeight="1">
      <c r="A629" s="126"/>
      <c r="B629" s="126"/>
      <c r="C629" s="176"/>
      <c r="D629" s="176"/>
      <c r="E629" s="176"/>
      <c r="F629" s="176"/>
      <c r="G629" s="176"/>
      <c r="H629" s="176"/>
      <c r="I629" s="126"/>
      <c r="J629" s="126"/>
      <c r="K629" s="126"/>
      <c r="L629" s="126"/>
      <c r="M629" s="126"/>
      <c r="N629" s="126"/>
      <c r="O629" s="126"/>
      <c r="P629" s="126"/>
      <c r="Q629" s="126"/>
      <c r="R629" s="126"/>
      <c r="S629" s="126"/>
      <c r="T629" s="126"/>
      <c r="U629" s="126"/>
      <c r="V629" s="126"/>
      <c r="W629" s="126"/>
      <c r="X629" s="126"/>
      <c r="Y629" s="126"/>
      <c r="Z629" s="126"/>
      <c r="AA629" s="126"/>
      <c r="AB629" s="126"/>
    </row>
    <row r="630" spans="1:28" ht="15.75" customHeight="1">
      <c r="A630" s="126"/>
      <c r="B630" s="126"/>
      <c r="C630" s="176"/>
      <c r="D630" s="176"/>
      <c r="E630" s="176"/>
      <c r="F630" s="176"/>
      <c r="G630" s="176"/>
      <c r="H630" s="176"/>
      <c r="I630" s="126"/>
      <c r="J630" s="126"/>
      <c r="K630" s="126"/>
      <c r="L630" s="126"/>
      <c r="M630" s="126"/>
      <c r="N630" s="126"/>
      <c r="O630" s="126"/>
      <c r="P630" s="126"/>
      <c r="Q630" s="126"/>
      <c r="R630" s="126"/>
      <c r="S630" s="126"/>
      <c r="T630" s="126"/>
      <c r="U630" s="126"/>
      <c r="V630" s="126"/>
      <c r="W630" s="126"/>
      <c r="X630" s="126"/>
      <c r="Y630" s="126"/>
      <c r="Z630" s="126"/>
      <c r="AA630" s="126"/>
      <c r="AB630" s="126"/>
    </row>
    <row r="631" spans="1:28" ht="15.75" customHeight="1">
      <c r="A631" s="126"/>
      <c r="B631" s="126"/>
      <c r="C631" s="176"/>
      <c r="D631" s="176"/>
      <c r="E631" s="176"/>
      <c r="F631" s="176"/>
      <c r="G631" s="176"/>
      <c r="H631" s="176"/>
      <c r="I631" s="126"/>
      <c r="J631" s="126"/>
      <c r="K631" s="126"/>
      <c r="L631" s="126"/>
      <c r="M631" s="126"/>
      <c r="N631" s="126"/>
      <c r="O631" s="126"/>
      <c r="P631" s="126"/>
      <c r="Q631" s="126"/>
      <c r="R631" s="126"/>
      <c r="S631" s="126"/>
      <c r="T631" s="126"/>
      <c r="U631" s="126"/>
      <c r="V631" s="126"/>
      <c r="W631" s="126"/>
      <c r="X631" s="126"/>
      <c r="Y631" s="126"/>
      <c r="Z631" s="126"/>
      <c r="AA631" s="126"/>
      <c r="AB631" s="126"/>
    </row>
    <row r="632" spans="1:28" ht="15.75" customHeight="1">
      <c r="A632" s="126"/>
      <c r="B632" s="126"/>
      <c r="C632" s="176"/>
      <c r="D632" s="176"/>
      <c r="E632" s="176"/>
      <c r="F632" s="176"/>
      <c r="G632" s="176"/>
      <c r="H632" s="176"/>
      <c r="I632" s="126"/>
      <c r="J632" s="126"/>
      <c r="K632" s="126"/>
      <c r="L632" s="126"/>
      <c r="M632" s="126"/>
      <c r="N632" s="126"/>
      <c r="O632" s="126"/>
      <c r="P632" s="126"/>
      <c r="Q632" s="126"/>
      <c r="R632" s="126"/>
      <c r="S632" s="126"/>
      <c r="T632" s="126"/>
      <c r="U632" s="126"/>
      <c r="V632" s="126"/>
      <c r="W632" s="126"/>
      <c r="X632" s="126"/>
      <c r="Y632" s="126"/>
      <c r="Z632" s="126"/>
      <c r="AA632" s="126"/>
      <c r="AB632" s="126"/>
    </row>
    <row r="633" spans="1:28" ht="15.75" customHeight="1">
      <c r="A633" s="126"/>
      <c r="B633" s="126"/>
      <c r="C633" s="176"/>
      <c r="D633" s="176"/>
      <c r="E633" s="176"/>
      <c r="F633" s="176"/>
      <c r="G633" s="176"/>
      <c r="H633" s="176"/>
      <c r="I633" s="126"/>
      <c r="J633" s="126"/>
      <c r="K633" s="126"/>
      <c r="L633" s="126"/>
      <c r="M633" s="126"/>
      <c r="N633" s="126"/>
      <c r="O633" s="126"/>
      <c r="P633" s="126"/>
      <c r="Q633" s="126"/>
      <c r="R633" s="126"/>
      <c r="S633" s="126"/>
      <c r="T633" s="126"/>
      <c r="U633" s="126"/>
      <c r="V633" s="126"/>
      <c r="W633" s="126"/>
      <c r="X633" s="126"/>
      <c r="Y633" s="126"/>
      <c r="Z633" s="126"/>
      <c r="AA633" s="126"/>
      <c r="AB633" s="126"/>
    </row>
    <row r="634" spans="1:28" ht="15.75" customHeight="1">
      <c r="A634" s="126"/>
      <c r="B634" s="126"/>
      <c r="C634" s="176"/>
      <c r="D634" s="176"/>
      <c r="E634" s="176"/>
      <c r="F634" s="176"/>
      <c r="G634" s="176"/>
      <c r="H634" s="176"/>
      <c r="I634" s="126"/>
      <c r="J634" s="126"/>
      <c r="K634" s="126"/>
      <c r="L634" s="126"/>
      <c r="M634" s="126"/>
      <c r="N634" s="126"/>
      <c r="O634" s="126"/>
      <c r="P634" s="126"/>
      <c r="Q634" s="126"/>
      <c r="R634" s="126"/>
      <c r="S634" s="126"/>
      <c r="T634" s="126"/>
      <c r="U634" s="126"/>
      <c r="V634" s="126"/>
      <c r="W634" s="126"/>
      <c r="X634" s="126"/>
      <c r="Y634" s="126"/>
      <c r="Z634" s="126"/>
      <c r="AA634" s="126"/>
      <c r="AB634" s="126"/>
    </row>
    <row r="635" spans="1:28" ht="15.75" customHeight="1">
      <c r="A635" s="126"/>
      <c r="B635" s="126"/>
      <c r="C635" s="176"/>
      <c r="D635" s="176"/>
      <c r="E635" s="176"/>
      <c r="F635" s="176"/>
      <c r="G635" s="176"/>
      <c r="H635" s="176"/>
      <c r="I635" s="126"/>
      <c r="J635" s="126"/>
      <c r="K635" s="126"/>
      <c r="L635" s="126"/>
      <c r="M635" s="126"/>
      <c r="N635" s="126"/>
      <c r="O635" s="126"/>
      <c r="P635" s="126"/>
      <c r="Q635" s="126"/>
      <c r="R635" s="126"/>
      <c r="S635" s="126"/>
      <c r="T635" s="126"/>
      <c r="U635" s="126"/>
      <c r="V635" s="126"/>
      <c r="W635" s="126"/>
      <c r="X635" s="126"/>
      <c r="Y635" s="126"/>
      <c r="Z635" s="126"/>
      <c r="AA635" s="126"/>
      <c r="AB635" s="126"/>
    </row>
    <row r="636" spans="1:28" ht="15.75" customHeight="1">
      <c r="A636" s="126"/>
      <c r="B636" s="126"/>
      <c r="C636" s="176"/>
      <c r="D636" s="176"/>
      <c r="E636" s="176"/>
      <c r="F636" s="176"/>
      <c r="G636" s="176"/>
      <c r="H636" s="176"/>
      <c r="I636" s="126"/>
      <c r="J636" s="126"/>
      <c r="K636" s="126"/>
      <c r="L636" s="126"/>
      <c r="M636" s="126"/>
      <c r="N636" s="126"/>
      <c r="O636" s="126"/>
      <c r="P636" s="126"/>
      <c r="Q636" s="126"/>
      <c r="R636" s="126"/>
      <c r="S636" s="126"/>
      <c r="T636" s="126"/>
      <c r="U636" s="126"/>
      <c r="V636" s="126"/>
      <c r="W636" s="126"/>
      <c r="X636" s="126"/>
      <c r="Y636" s="126"/>
      <c r="Z636" s="126"/>
      <c r="AA636" s="126"/>
      <c r="AB636" s="126"/>
    </row>
    <row r="637" spans="1:28" ht="15.75" customHeight="1">
      <c r="A637" s="126"/>
      <c r="B637" s="126"/>
      <c r="C637" s="176"/>
      <c r="D637" s="176"/>
      <c r="E637" s="176"/>
      <c r="F637" s="176"/>
      <c r="G637" s="176"/>
      <c r="H637" s="176"/>
      <c r="I637" s="126"/>
      <c r="J637" s="126"/>
      <c r="K637" s="126"/>
      <c r="L637" s="126"/>
      <c r="M637" s="126"/>
      <c r="N637" s="126"/>
      <c r="O637" s="126"/>
      <c r="P637" s="126"/>
      <c r="Q637" s="126"/>
      <c r="R637" s="126"/>
      <c r="S637" s="126"/>
      <c r="T637" s="126"/>
      <c r="U637" s="126"/>
      <c r="V637" s="126"/>
      <c r="W637" s="126"/>
      <c r="X637" s="126"/>
      <c r="Y637" s="126"/>
      <c r="Z637" s="126"/>
      <c r="AA637" s="126"/>
      <c r="AB637" s="126"/>
    </row>
    <row r="638" spans="1:28" ht="15.75" customHeight="1">
      <c r="A638" s="126"/>
      <c r="B638" s="126"/>
      <c r="C638" s="176"/>
      <c r="D638" s="176"/>
      <c r="E638" s="176"/>
      <c r="F638" s="176"/>
      <c r="G638" s="176"/>
      <c r="H638" s="176"/>
      <c r="I638" s="126"/>
      <c r="J638" s="126"/>
      <c r="K638" s="126"/>
      <c r="L638" s="126"/>
      <c r="M638" s="126"/>
      <c r="N638" s="126"/>
      <c r="O638" s="126"/>
      <c r="P638" s="126"/>
      <c r="Q638" s="126"/>
      <c r="R638" s="126"/>
      <c r="S638" s="126"/>
      <c r="T638" s="126"/>
      <c r="U638" s="126"/>
      <c r="V638" s="126"/>
      <c r="W638" s="126"/>
      <c r="X638" s="126"/>
      <c r="Y638" s="126"/>
      <c r="Z638" s="126"/>
      <c r="AA638" s="126"/>
      <c r="AB638" s="126"/>
    </row>
    <row r="639" spans="1:28" ht="15.75" customHeight="1">
      <c r="A639" s="126"/>
      <c r="B639" s="126"/>
      <c r="C639" s="176"/>
      <c r="D639" s="176"/>
      <c r="E639" s="176"/>
      <c r="F639" s="176"/>
      <c r="G639" s="176"/>
      <c r="H639" s="176"/>
      <c r="I639" s="126"/>
      <c r="J639" s="126"/>
      <c r="K639" s="126"/>
      <c r="L639" s="126"/>
      <c r="M639" s="126"/>
      <c r="N639" s="126"/>
      <c r="O639" s="126"/>
      <c r="P639" s="126"/>
      <c r="Q639" s="126"/>
      <c r="R639" s="126"/>
      <c r="S639" s="126"/>
      <c r="T639" s="126"/>
      <c r="U639" s="126"/>
      <c r="V639" s="126"/>
      <c r="W639" s="126"/>
      <c r="X639" s="126"/>
      <c r="Y639" s="126"/>
      <c r="Z639" s="126"/>
      <c r="AA639" s="126"/>
      <c r="AB639" s="126"/>
    </row>
    <row r="640" spans="1:28" ht="15.75" customHeight="1">
      <c r="A640" s="126"/>
      <c r="B640" s="126"/>
      <c r="C640" s="176"/>
      <c r="D640" s="176"/>
      <c r="E640" s="176"/>
      <c r="F640" s="176"/>
      <c r="G640" s="176"/>
      <c r="H640" s="176"/>
      <c r="I640" s="126"/>
      <c r="J640" s="126"/>
      <c r="K640" s="126"/>
      <c r="L640" s="126"/>
      <c r="M640" s="126"/>
      <c r="N640" s="126"/>
      <c r="O640" s="126"/>
      <c r="P640" s="126"/>
      <c r="Q640" s="126"/>
      <c r="R640" s="126"/>
      <c r="S640" s="126"/>
      <c r="T640" s="126"/>
      <c r="U640" s="126"/>
      <c r="V640" s="126"/>
      <c r="W640" s="126"/>
      <c r="X640" s="126"/>
      <c r="Y640" s="126"/>
      <c r="Z640" s="126"/>
      <c r="AA640" s="126"/>
      <c r="AB640" s="126"/>
    </row>
    <row r="641" spans="1:28" ht="15.75" customHeight="1">
      <c r="A641" s="126"/>
      <c r="B641" s="126"/>
      <c r="C641" s="176"/>
      <c r="D641" s="176"/>
      <c r="E641" s="176"/>
      <c r="F641" s="176"/>
      <c r="G641" s="176"/>
      <c r="H641" s="176"/>
      <c r="I641" s="126"/>
      <c r="J641" s="126"/>
      <c r="K641" s="126"/>
      <c r="L641" s="126"/>
      <c r="M641" s="126"/>
      <c r="N641" s="126"/>
      <c r="O641" s="126"/>
      <c r="P641" s="126"/>
      <c r="Q641" s="126"/>
      <c r="R641" s="126"/>
      <c r="S641" s="126"/>
      <c r="T641" s="126"/>
      <c r="U641" s="126"/>
      <c r="V641" s="126"/>
      <c r="W641" s="126"/>
      <c r="X641" s="126"/>
      <c r="Y641" s="126"/>
      <c r="Z641" s="126"/>
      <c r="AA641" s="126"/>
      <c r="AB641" s="126"/>
    </row>
    <row r="642" spans="1:28" ht="15.75" customHeight="1">
      <c r="A642" s="126"/>
      <c r="B642" s="126"/>
      <c r="C642" s="176"/>
      <c r="D642" s="176"/>
      <c r="E642" s="176"/>
      <c r="F642" s="176"/>
      <c r="G642" s="176"/>
      <c r="H642" s="176"/>
      <c r="I642" s="126"/>
      <c r="J642" s="126"/>
      <c r="K642" s="126"/>
      <c r="L642" s="126"/>
      <c r="M642" s="126"/>
      <c r="N642" s="126"/>
      <c r="O642" s="126"/>
      <c r="P642" s="126"/>
      <c r="Q642" s="126"/>
      <c r="R642" s="126"/>
      <c r="S642" s="126"/>
      <c r="T642" s="126"/>
      <c r="U642" s="126"/>
      <c r="V642" s="126"/>
      <c r="W642" s="126"/>
      <c r="X642" s="126"/>
      <c r="Y642" s="126"/>
      <c r="Z642" s="126"/>
      <c r="AA642" s="126"/>
      <c r="AB642" s="126"/>
    </row>
    <row r="643" spans="1:28" ht="15.75" customHeight="1">
      <c r="A643" s="126"/>
      <c r="B643" s="126"/>
      <c r="C643" s="176"/>
      <c r="D643" s="176"/>
      <c r="E643" s="176"/>
      <c r="F643" s="176"/>
      <c r="G643" s="176"/>
      <c r="H643" s="176"/>
      <c r="I643" s="126"/>
      <c r="J643" s="126"/>
      <c r="K643" s="126"/>
      <c r="L643" s="126"/>
      <c r="M643" s="126"/>
      <c r="N643" s="126"/>
      <c r="O643" s="126"/>
      <c r="P643" s="126"/>
      <c r="Q643" s="126"/>
      <c r="R643" s="126"/>
      <c r="S643" s="126"/>
      <c r="T643" s="126"/>
      <c r="U643" s="126"/>
      <c r="V643" s="126"/>
      <c r="W643" s="126"/>
      <c r="X643" s="126"/>
      <c r="Y643" s="126"/>
      <c r="Z643" s="126"/>
      <c r="AA643" s="126"/>
      <c r="AB643" s="126"/>
    </row>
    <row r="644" spans="1:28" ht="15.75" customHeight="1">
      <c r="A644" s="126"/>
      <c r="B644" s="126"/>
      <c r="C644" s="176"/>
      <c r="D644" s="176"/>
      <c r="E644" s="176"/>
      <c r="F644" s="176"/>
      <c r="G644" s="176"/>
      <c r="H644" s="176"/>
      <c r="I644" s="126"/>
      <c r="J644" s="126"/>
      <c r="K644" s="126"/>
      <c r="L644" s="126"/>
      <c r="M644" s="126"/>
      <c r="N644" s="126"/>
      <c r="O644" s="126"/>
      <c r="P644" s="126"/>
      <c r="Q644" s="126"/>
      <c r="R644" s="126"/>
      <c r="S644" s="126"/>
      <c r="T644" s="126"/>
      <c r="U644" s="126"/>
      <c r="V644" s="126"/>
      <c r="W644" s="126"/>
      <c r="X644" s="126"/>
      <c r="Y644" s="126"/>
      <c r="Z644" s="126"/>
      <c r="AA644" s="126"/>
      <c r="AB644" s="126"/>
    </row>
    <row r="645" spans="1:28" ht="15.75" customHeight="1">
      <c r="A645" s="126"/>
      <c r="B645" s="126"/>
      <c r="C645" s="176"/>
      <c r="D645" s="176"/>
      <c r="E645" s="176"/>
      <c r="F645" s="176"/>
      <c r="G645" s="176"/>
      <c r="H645" s="176"/>
      <c r="I645" s="126"/>
      <c r="J645" s="126"/>
      <c r="K645" s="126"/>
      <c r="L645" s="126"/>
      <c r="M645" s="126"/>
      <c r="N645" s="126"/>
      <c r="O645" s="126"/>
      <c r="P645" s="126"/>
      <c r="Q645" s="126"/>
      <c r="R645" s="126"/>
      <c r="S645" s="126"/>
      <c r="T645" s="126"/>
      <c r="U645" s="126"/>
      <c r="V645" s="126"/>
      <c r="W645" s="126"/>
      <c r="X645" s="126"/>
      <c r="Y645" s="126"/>
      <c r="Z645" s="126"/>
      <c r="AA645" s="126"/>
      <c r="AB645" s="126"/>
    </row>
    <row r="646" spans="1:28" ht="15.75" customHeight="1">
      <c r="A646" s="126"/>
      <c r="B646" s="126"/>
      <c r="C646" s="176"/>
      <c r="D646" s="176"/>
      <c r="E646" s="176"/>
      <c r="F646" s="176"/>
      <c r="G646" s="176"/>
      <c r="H646" s="176"/>
      <c r="I646" s="126"/>
      <c r="J646" s="126"/>
      <c r="K646" s="126"/>
      <c r="L646" s="126"/>
      <c r="M646" s="126"/>
      <c r="N646" s="126"/>
      <c r="O646" s="126"/>
      <c r="P646" s="126"/>
      <c r="Q646" s="126"/>
      <c r="R646" s="126"/>
      <c r="S646" s="126"/>
      <c r="T646" s="126"/>
      <c r="U646" s="126"/>
      <c r="V646" s="126"/>
      <c r="W646" s="126"/>
      <c r="X646" s="126"/>
      <c r="Y646" s="126"/>
      <c r="Z646" s="126"/>
      <c r="AA646" s="126"/>
      <c r="AB646" s="126"/>
    </row>
    <row r="647" spans="1:28" ht="15.75" customHeight="1">
      <c r="A647" s="126"/>
      <c r="B647" s="126"/>
      <c r="C647" s="176"/>
      <c r="D647" s="176"/>
      <c r="E647" s="176"/>
      <c r="F647" s="176"/>
      <c r="G647" s="176"/>
      <c r="H647" s="176"/>
      <c r="I647" s="126"/>
      <c r="J647" s="126"/>
      <c r="K647" s="126"/>
      <c r="L647" s="126"/>
      <c r="M647" s="126"/>
      <c r="N647" s="126"/>
      <c r="O647" s="126"/>
      <c r="P647" s="126"/>
      <c r="Q647" s="126"/>
      <c r="R647" s="126"/>
      <c r="S647" s="126"/>
      <c r="T647" s="126"/>
      <c r="U647" s="126"/>
      <c r="V647" s="126"/>
      <c r="W647" s="126"/>
      <c r="X647" s="126"/>
      <c r="Y647" s="126"/>
      <c r="Z647" s="126"/>
      <c r="AA647" s="126"/>
      <c r="AB647" s="126"/>
    </row>
    <row r="648" spans="1:28" ht="15.75" customHeight="1">
      <c r="A648" s="126"/>
      <c r="B648" s="126"/>
      <c r="C648" s="176"/>
      <c r="D648" s="176"/>
      <c r="E648" s="176"/>
      <c r="F648" s="176"/>
      <c r="G648" s="176"/>
      <c r="H648" s="176"/>
      <c r="I648" s="126"/>
      <c r="J648" s="126"/>
      <c r="K648" s="126"/>
      <c r="L648" s="126"/>
      <c r="M648" s="126"/>
      <c r="N648" s="126"/>
      <c r="O648" s="126"/>
      <c r="P648" s="126"/>
      <c r="Q648" s="126"/>
      <c r="R648" s="126"/>
      <c r="S648" s="126"/>
      <c r="T648" s="126"/>
      <c r="U648" s="126"/>
      <c r="V648" s="126"/>
      <c r="W648" s="126"/>
      <c r="X648" s="126"/>
      <c r="Y648" s="126"/>
      <c r="Z648" s="126"/>
      <c r="AA648" s="126"/>
      <c r="AB648" s="126"/>
    </row>
    <row r="649" spans="1:28" ht="15.75" customHeight="1">
      <c r="A649" s="126"/>
      <c r="B649" s="126"/>
      <c r="C649" s="176"/>
      <c r="D649" s="176"/>
      <c r="E649" s="176"/>
      <c r="F649" s="176"/>
      <c r="G649" s="176"/>
      <c r="H649" s="176"/>
      <c r="I649" s="126"/>
      <c r="J649" s="126"/>
      <c r="K649" s="126"/>
      <c r="L649" s="126"/>
      <c r="M649" s="126"/>
      <c r="N649" s="126"/>
      <c r="O649" s="126"/>
      <c r="P649" s="126"/>
      <c r="Q649" s="126"/>
      <c r="R649" s="126"/>
      <c r="S649" s="126"/>
      <c r="T649" s="126"/>
      <c r="U649" s="126"/>
      <c r="V649" s="126"/>
      <c r="W649" s="126"/>
      <c r="X649" s="126"/>
      <c r="Y649" s="126"/>
      <c r="Z649" s="126"/>
      <c r="AA649" s="126"/>
      <c r="AB649" s="126"/>
    </row>
    <row r="650" spans="1:28" ht="15.75" customHeight="1">
      <c r="A650" s="126"/>
      <c r="B650" s="126"/>
      <c r="C650" s="176"/>
      <c r="D650" s="176"/>
      <c r="E650" s="176"/>
      <c r="F650" s="176"/>
      <c r="G650" s="176"/>
      <c r="H650" s="176"/>
      <c r="I650" s="126"/>
      <c r="J650" s="126"/>
      <c r="K650" s="126"/>
      <c r="L650" s="126"/>
      <c r="M650" s="126"/>
      <c r="N650" s="126"/>
      <c r="O650" s="126"/>
      <c r="P650" s="126"/>
      <c r="Q650" s="126"/>
      <c r="R650" s="126"/>
      <c r="S650" s="126"/>
      <c r="T650" s="126"/>
      <c r="U650" s="126"/>
      <c r="V650" s="126"/>
      <c r="W650" s="126"/>
      <c r="X650" s="126"/>
      <c r="Y650" s="126"/>
      <c r="Z650" s="126"/>
      <c r="AA650" s="126"/>
      <c r="AB650" s="126"/>
    </row>
    <row r="651" spans="1:28" ht="15.75" customHeight="1">
      <c r="A651" s="126"/>
      <c r="B651" s="126"/>
      <c r="C651" s="176"/>
      <c r="D651" s="176"/>
      <c r="E651" s="176"/>
      <c r="F651" s="176"/>
      <c r="G651" s="176"/>
      <c r="H651" s="176"/>
      <c r="I651" s="126"/>
      <c r="J651" s="126"/>
      <c r="K651" s="126"/>
      <c r="L651" s="126"/>
      <c r="M651" s="126"/>
      <c r="N651" s="126"/>
      <c r="O651" s="126"/>
      <c r="P651" s="126"/>
      <c r="Q651" s="126"/>
      <c r="R651" s="126"/>
      <c r="S651" s="126"/>
      <c r="T651" s="126"/>
      <c r="U651" s="126"/>
      <c r="V651" s="126"/>
      <c r="W651" s="126"/>
      <c r="X651" s="126"/>
      <c r="Y651" s="126"/>
      <c r="Z651" s="126"/>
      <c r="AA651" s="126"/>
      <c r="AB651" s="126"/>
    </row>
    <row r="652" spans="1:28" ht="15.75" customHeight="1">
      <c r="A652" s="126"/>
      <c r="B652" s="126"/>
      <c r="C652" s="176"/>
      <c r="D652" s="176"/>
      <c r="E652" s="176"/>
      <c r="F652" s="176"/>
      <c r="G652" s="176"/>
      <c r="H652" s="176"/>
      <c r="I652" s="126"/>
      <c r="J652" s="126"/>
      <c r="K652" s="126"/>
      <c r="L652" s="126"/>
      <c r="M652" s="126"/>
      <c r="N652" s="126"/>
      <c r="O652" s="126"/>
      <c r="P652" s="126"/>
      <c r="Q652" s="126"/>
      <c r="R652" s="126"/>
      <c r="S652" s="126"/>
      <c r="T652" s="126"/>
      <c r="U652" s="126"/>
      <c r="V652" s="126"/>
      <c r="W652" s="126"/>
      <c r="X652" s="126"/>
      <c r="Y652" s="126"/>
      <c r="Z652" s="126"/>
      <c r="AA652" s="126"/>
      <c r="AB652" s="126"/>
    </row>
    <row r="653" spans="1:28" ht="15.75" customHeight="1">
      <c r="A653" s="126"/>
      <c r="B653" s="126"/>
      <c r="C653" s="176"/>
      <c r="D653" s="176"/>
      <c r="E653" s="176"/>
      <c r="F653" s="176"/>
      <c r="G653" s="176"/>
      <c r="H653" s="176"/>
      <c r="I653" s="126"/>
      <c r="J653" s="126"/>
      <c r="K653" s="126"/>
      <c r="L653" s="126"/>
      <c r="M653" s="126"/>
      <c r="N653" s="126"/>
      <c r="O653" s="126"/>
      <c r="P653" s="126"/>
      <c r="Q653" s="126"/>
      <c r="R653" s="126"/>
      <c r="S653" s="126"/>
      <c r="T653" s="126"/>
      <c r="U653" s="126"/>
      <c r="V653" s="126"/>
      <c r="W653" s="126"/>
      <c r="X653" s="126"/>
      <c r="Y653" s="126"/>
      <c r="Z653" s="126"/>
      <c r="AA653" s="126"/>
      <c r="AB653" s="126"/>
    </row>
    <row r="654" spans="1:28" ht="15.75" customHeight="1">
      <c r="A654" s="126"/>
      <c r="B654" s="126"/>
      <c r="C654" s="176"/>
      <c r="D654" s="176"/>
      <c r="E654" s="176"/>
      <c r="F654" s="176"/>
      <c r="G654" s="176"/>
      <c r="H654" s="176"/>
      <c r="I654" s="126"/>
      <c r="J654" s="126"/>
      <c r="K654" s="126"/>
      <c r="L654" s="126"/>
      <c r="M654" s="126"/>
      <c r="N654" s="126"/>
      <c r="O654" s="126"/>
      <c r="P654" s="126"/>
      <c r="Q654" s="126"/>
      <c r="R654" s="126"/>
      <c r="S654" s="126"/>
      <c r="T654" s="126"/>
      <c r="U654" s="126"/>
      <c r="V654" s="126"/>
      <c r="W654" s="126"/>
      <c r="X654" s="126"/>
      <c r="Y654" s="126"/>
      <c r="Z654" s="126"/>
      <c r="AA654" s="126"/>
      <c r="AB654" s="126"/>
    </row>
    <row r="655" spans="1:28" ht="15.75" customHeight="1">
      <c r="A655" s="126"/>
      <c r="B655" s="126"/>
      <c r="C655" s="176"/>
      <c r="D655" s="176"/>
      <c r="E655" s="176"/>
      <c r="F655" s="176"/>
      <c r="G655" s="176"/>
      <c r="H655" s="176"/>
      <c r="I655" s="126"/>
      <c r="J655" s="126"/>
      <c r="K655" s="126"/>
      <c r="L655" s="126"/>
      <c r="M655" s="126"/>
      <c r="N655" s="126"/>
      <c r="O655" s="126"/>
      <c r="P655" s="126"/>
      <c r="Q655" s="126"/>
      <c r="R655" s="126"/>
      <c r="S655" s="126"/>
      <c r="T655" s="126"/>
      <c r="U655" s="126"/>
      <c r="V655" s="126"/>
      <c r="W655" s="126"/>
      <c r="X655" s="126"/>
      <c r="Y655" s="126"/>
      <c r="Z655" s="126"/>
      <c r="AA655" s="126"/>
      <c r="AB655" s="126"/>
    </row>
    <row r="656" spans="1:28" ht="15.75" customHeight="1">
      <c r="A656" s="126"/>
      <c r="B656" s="126"/>
      <c r="C656" s="176"/>
      <c r="D656" s="176"/>
      <c r="E656" s="176"/>
      <c r="F656" s="176"/>
      <c r="G656" s="176"/>
      <c r="H656" s="176"/>
      <c r="I656" s="126"/>
      <c r="J656" s="126"/>
      <c r="K656" s="126"/>
      <c r="L656" s="126"/>
      <c r="M656" s="126"/>
      <c r="N656" s="126"/>
      <c r="O656" s="126"/>
      <c r="P656" s="126"/>
      <c r="Q656" s="126"/>
      <c r="R656" s="126"/>
      <c r="S656" s="126"/>
      <c r="T656" s="126"/>
      <c r="U656" s="126"/>
      <c r="V656" s="126"/>
      <c r="W656" s="126"/>
      <c r="X656" s="126"/>
      <c r="Y656" s="126"/>
      <c r="Z656" s="126"/>
      <c r="AA656" s="126"/>
      <c r="AB656" s="126"/>
    </row>
    <row r="657" spans="1:28" ht="15.75" customHeight="1">
      <c r="A657" s="126"/>
      <c r="B657" s="126"/>
      <c r="C657" s="176"/>
      <c r="D657" s="176"/>
      <c r="E657" s="176"/>
      <c r="F657" s="176"/>
      <c r="G657" s="176"/>
      <c r="H657" s="176"/>
      <c r="I657" s="126"/>
      <c r="J657" s="126"/>
      <c r="K657" s="126"/>
      <c r="L657" s="126"/>
      <c r="M657" s="126"/>
      <c r="N657" s="126"/>
      <c r="O657" s="126"/>
      <c r="P657" s="126"/>
      <c r="Q657" s="126"/>
      <c r="R657" s="126"/>
      <c r="S657" s="126"/>
      <c r="T657" s="126"/>
      <c r="U657" s="126"/>
      <c r="V657" s="126"/>
      <c r="W657" s="126"/>
      <c r="X657" s="126"/>
      <c r="Y657" s="126"/>
      <c r="Z657" s="126"/>
      <c r="AA657" s="126"/>
      <c r="AB657" s="126"/>
    </row>
    <row r="658" spans="1:28" ht="15.75" customHeight="1">
      <c r="A658" s="126"/>
      <c r="B658" s="126"/>
      <c r="C658" s="176"/>
      <c r="D658" s="176"/>
      <c r="E658" s="176"/>
      <c r="F658" s="176"/>
      <c r="G658" s="176"/>
      <c r="H658" s="176"/>
      <c r="I658" s="126"/>
      <c r="J658" s="126"/>
      <c r="K658" s="126"/>
      <c r="L658" s="126"/>
      <c r="M658" s="126"/>
      <c r="N658" s="126"/>
      <c r="O658" s="126"/>
      <c r="P658" s="126"/>
      <c r="Q658" s="126"/>
      <c r="R658" s="126"/>
      <c r="S658" s="126"/>
      <c r="T658" s="126"/>
      <c r="U658" s="126"/>
      <c r="V658" s="126"/>
      <c r="W658" s="126"/>
      <c r="X658" s="126"/>
      <c r="Y658" s="126"/>
      <c r="Z658" s="126"/>
      <c r="AA658" s="126"/>
      <c r="AB658" s="126"/>
    </row>
    <row r="659" spans="1:28" ht="15.75" customHeight="1">
      <c r="A659" s="126"/>
      <c r="B659" s="126"/>
      <c r="C659" s="176"/>
      <c r="D659" s="176"/>
      <c r="E659" s="176"/>
      <c r="F659" s="176"/>
      <c r="G659" s="176"/>
      <c r="H659" s="176"/>
      <c r="I659" s="126"/>
      <c r="J659" s="126"/>
      <c r="K659" s="126"/>
      <c r="L659" s="126"/>
      <c r="M659" s="126"/>
      <c r="N659" s="126"/>
      <c r="O659" s="126"/>
      <c r="P659" s="126"/>
      <c r="Q659" s="126"/>
      <c r="R659" s="126"/>
      <c r="S659" s="126"/>
      <c r="T659" s="126"/>
      <c r="U659" s="126"/>
      <c r="V659" s="126"/>
      <c r="W659" s="126"/>
      <c r="X659" s="126"/>
      <c r="Y659" s="126"/>
      <c r="Z659" s="126"/>
      <c r="AA659" s="126"/>
      <c r="AB659" s="126"/>
    </row>
    <row r="660" spans="1:28" ht="15.75" customHeight="1">
      <c r="A660" s="126"/>
      <c r="B660" s="126"/>
      <c r="C660" s="176"/>
      <c r="D660" s="176"/>
      <c r="E660" s="176"/>
      <c r="F660" s="176"/>
      <c r="G660" s="176"/>
      <c r="H660" s="176"/>
      <c r="I660" s="126"/>
      <c r="J660" s="126"/>
      <c r="K660" s="126"/>
      <c r="L660" s="126"/>
      <c r="M660" s="126"/>
      <c r="N660" s="126"/>
      <c r="O660" s="126"/>
      <c r="P660" s="126"/>
      <c r="Q660" s="126"/>
      <c r="R660" s="126"/>
      <c r="S660" s="126"/>
      <c r="T660" s="126"/>
      <c r="U660" s="126"/>
      <c r="V660" s="126"/>
      <c r="W660" s="126"/>
      <c r="X660" s="126"/>
      <c r="Y660" s="126"/>
      <c r="Z660" s="126"/>
      <c r="AA660" s="126"/>
      <c r="AB660" s="126"/>
    </row>
    <row r="661" spans="1:28" ht="15.75" customHeight="1">
      <c r="A661" s="126"/>
      <c r="B661" s="126"/>
      <c r="C661" s="176"/>
      <c r="D661" s="176"/>
      <c r="E661" s="176"/>
      <c r="F661" s="176"/>
      <c r="G661" s="176"/>
      <c r="H661" s="176"/>
      <c r="I661" s="126"/>
      <c r="J661" s="126"/>
      <c r="K661" s="126"/>
      <c r="L661" s="126"/>
      <c r="M661" s="126"/>
      <c r="N661" s="126"/>
      <c r="O661" s="126"/>
      <c r="P661" s="126"/>
      <c r="Q661" s="126"/>
      <c r="R661" s="126"/>
      <c r="S661" s="126"/>
      <c r="T661" s="126"/>
      <c r="U661" s="126"/>
      <c r="V661" s="126"/>
      <c r="W661" s="126"/>
      <c r="X661" s="126"/>
      <c r="Y661" s="126"/>
      <c r="Z661" s="126"/>
      <c r="AA661" s="126"/>
      <c r="AB661" s="126"/>
    </row>
    <row r="662" spans="1:28" ht="15.75" customHeight="1">
      <c r="A662" s="126"/>
      <c r="B662" s="126"/>
      <c r="C662" s="176"/>
      <c r="D662" s="176"/>
      <c r="E662" s="176"/>
      <c r="F662" s="176"/>
      <c r="G662" s="176"/>
      <c r="H662" s="176"/>
      <c r="I662" s="126"/>
      <c r="J662" s="126"/>
      <c r="K662" s="126"/>
      <c r="L662" s="126"/>
      <c r="M662" s="126"/>
      <c r="N662" s="126"/>
      <c r="O662" s="126"/>
      <c r="P662" s="126"/>
      <c r="Q662" s="126"/>
      <c r="R662" s="126"/>
      <c r="S662" s="126"/>
      <c r="T662" s="126"/>
      <c r="U662" s="126"/>
      <c r="V662" s="126"/>
      <c r="W662" s="126"/>
      <c r="X662" s="126"/>
      <c r="Y662" s="126"/>
      <c r="Z662" s="126"/>
      <c r="AA662" s="126"/>
      <c r="AB662" s="126"/>
    </row>
    <row r="663" spans="1:28" ht="15.75" customHeight="1">
      <c r="A663" s="126"/>
      <c r="B663" s="126"/>
      <c r="C663" s="176"/>
      <c r="D663" s="176"/>
      <c r="E663" s="176"/>
      <c r="F663" s="176"/>
      <c r="G663" s="176"/>
      <c r="H663" s="176"/>
      <c r="I663" s="126"/>
      <c r="J663" s="126"/>
      <c r="K663" s="126"/>
      <c r="L663" s="126"/>
      <c r="M663" s="126"/>
      <c r="N663" s="126"/>
      <c r="O663" s="126"/>
      <c r="P663" s="126"/>
      <c r="Q663" s="126"/>
      <c r="R663" s="126"/>
      <c r="S663" s="126"/>
      <c r="T663" s="126"/>
      <c r="U663" s="126"/>
      <c r="V663" s="126"/>
      <c r="W663" s="126"/>
      <c r="X663" s="126"/>
      <c r="Y663" s="126"/>
      <c r="Z663" s="126"/>
      <c r="AA663" s="126"/>
      <c r="AB663" s="126"/>
    </row>
    <row r="664" spans="1:28" ht="15.75" customHeight="1">
      <c r="A664" s="126"/>
      <c r="B664" s="126"/>
      <c r="C664" s="176"/>
      <c r="D664" s="176"/>
      <c r="E664" s="176"/>
      <c r="F664" s="176"/>
      <c r="G664" s="176"/>
      <c r="H664" s="176"/>
      <c r="I664" s="126"/>
      <c r="J664" s="126"/>
      <c r="K664" s="126"/>
      <c r="L664" s="126"/>
      <c r="M664" s="126"/>
      <c r="N664" s="126"/>
      <c r="O664" s="126"/>
      <c r="P664" s="126"/>
      <c r="Q664" s="126"/>
      <c r="R664" s="126"/>
      <c r="S664" s="126"/>
      <c r="T664" s="126"/>
      <c r="U664" s="126"/>
      <c r="V664" s="126"/>
      <c r="W664" s="126"/>
      <c r="X664" s="126"/>
      <c r="Y664" s="126"/>
      <c r="Z664" s="126"/>
      <c r="AA664" s="126"/>
      <c r="AB664" s="126"/>
    </row>
    <row r="665" spans="1:28" ht="15.75" customHeight="1">
      <c r="A665" s="126"/>
      <c r="B665" s="126"/>
      <c r="C665" s="176"/>
      <c r="D665" s="176"/>
      <c r="E665" s="176"/>
      <c r="F665" s="176"/>
      <c r="G665" s="176"/>
      <c r="H665" s="176"/>
      <c r="I665" s="126"/>
      <c r="J665" s="126"/>
      <c r="K665" s="126"/>
      <c r="L665" s="126"/>
      <c r="M665" s="126"/>
      <c r="N665" s="126"/>
      <c r="O665" s="126"/>
      <c r="P665" s="126"/>
      <c r="Q665" s="126"/>
      <c r="R665" s="126"/>
      <c r="S665" s="126"/>
      <c r="T665" s="126"/>
      <c r="U665" s="126"/>
      <c r="V665" s="126"/>
      <c r="W665" s="126"/>
      <c r="X665" s="126"/>
      <c r="Y665" s="126"/>
      <c r="Z665" s="126"/>
      <c r="AA665" s="126"/>
      <c r="AB665" s="126"/>
    </row>
    <row r="666" spans="1:28" ht="15.75" customHeight="1">
      <c r="A666" s="126"/>
      <c r="B666" s="126"/>
      <c r="C666" s="176"/>
      <c r="D666" s="176"/>
      <c r="E666" s="176"/>
      <c r="F666" s="176"/>
      <c r="G666" s="176"/>
      <c r="H666" s="176"/>
      <c r="I666" s="126"/>
      <c r="J666" s="126"/>
      <c r="K666" s="126"/>
      <c r="L666" s="126"/>
      <c r="M666" s="126"/>
      <c r="N666" s="126"/>
      <c r="O666" s="126"/>
      <c r="P666" s="126"/>
      <c r="Q666" s="126"/>
      <c r="R666" s="126"/>
      <c r="S666" s="126"/>
      <c r="T666" s="126"/>
      <c r="U666" s="126"/>
      <c r="V666" s="126"/>
      <c r="W666" s="126"/>
      <c r="X666" s="126"/>
      <c r="Y666" s="126"/>
      <c r="Z666" s="126"/>
      <c r="AA666" s="126"/>
      <c r="AB666" s="126"/>
    </row>
    <row r="667" spans="1:28" ht="15.75" customHeight="1">
      <c r="A667" s="126"/>
      <c r="B667" s="126"/>
      <c r="C667" s="176"/>
      <c r="D667" s="176"/>
      <c r="E667" s="176"/>
      <c r="F667" s="176"/>
      <c r="G667" s="176"/>
      <c r="H667" s="176"/>
      <c r="I667" s="126"/>
      <c r="J667" s="126"/>
      <c r="K667" s="126"/>
      <c r="L667" s="126"/>
      <c r="M667" s="126"/>
      <c r="N667" s="126"/>
      <c r="O667" s="126"/>
      <c r="P667" s="126"/>
      <c r="Q667" s="126"/>
      <c r="R667" s="126"/>
      <c r="S667" s="126"/>
      <c r="T667" s="126"/>
      <c r="U667" s="126"/>
      <c r="V667" s="126"/>
      <c r="W667" s="126"/>
      <c r="X667" s="126"/>
      <c r="Y667" s="126"/>
      <c r="Z667" s="126"/>
      <c r="AA667" s="126"/>
      <c r="AB667" s="126"/>
    </row>
    <row r="668" spans="1:28" ht="15.75" customHeight="1">
      <c r="A668" s="126"/>
      <c r="B668" s="126"/>
      <c r="C668" s="176"/>
      <c r="D668" s="176"/>
      <c r="E668" s="176"/>
      <c r="F668" s="176"/>
      <c r="G668" s="176"/>
      <c r="H668" s="176"/>
      <c r="I668" s="126"/>
      <c r="J668" s="126"/>
      <c r="K668" s="126"/>
      <c r="L668" s="126"/>
      <c r="M668" s="126"/>
      <c r="N668" s="126"/>
      <c r="O668" s="126"/>
      <c r="P668" s="126"/>
      <c r="Q668" s="126"/>
      <c r="R668" s="126"/>
      <c r="S668" s="126"/>
      <c r="T668" s="126"/>
      <c r="U668" s="126"/>
      <c r="V668" s="126"/>
      <c r="W668" s="126"/>
      <c r="X668" s="126"/>
      <c r="Y668" s="126"/>
      <c r="Z668" s="126"/>
      <c r="AA668" s="126"/>
      <c r="AB668" s="126"/>
    </row>
    <row r="669" spans="1:28" ht="15.75" customHeight="1">
      <c r="A669" s="126"/>
      <c r="B669" s="126"/>
      <c r="C669" s="176"/>
      <c r="D669" s="176"/>
      <c r="E669" s="176"/>
      <c r="F669" s="176"/>
      <c r="G669" s="176"/>
      <c r="H669" s="176"/>
      <c r="I669" s="126"/>
      <c r="J669" s="126"/>
      <c r="K669" s="126"/>
      <c r="L669" s="126"/>
      <c r="M669" s="126"/>
      <c r="N669" s="126"/>
      <c r="O669" s="126"/>
      <c r="P669" s="126"/>
      <c r="Q669" s="126"/>
      <c r="R669" s="126"/>
      <c r="S669" s="126"/>
      <c r="T669" s="126"/>
      <c r="U669" s="126"/>
      <c r="V669" s="126"/>
      <c r="W669" s="126"/>
      <c r="X669" s="126"/>
      <c r="Y669" s="126"/>
      <c r="Z669" s="126"/>
      <c r="AA669" s="126"/>
      <c r="AB669" s="126"/>
    </row>
    <row r="670" spans="1:28" ht="15.75" customHeight="1">
      <c r="A670" s="126"/>
      <c r="B670" s="126"/>
      <c r="C670" s="176"/>
      <c r="D670" s="176"/>
      <c r="E670" s="176"/>
      <c r="F670" s="176"/>
      <c r="G670" s="176"/>
      <c r="H670" s="176"/>
      <c r="I670" s="126"/>
      <c r="J670" s="126"/>
      <c r="K670" s="126"/>
      <c r="L670" s="126"/>
      <c r="M670" s="126"/>
      <c r="N670" s="126"/>
      <c r="O670" s="126"/>
      <c r="P670" s="126"/>
      <c r="Q670" s="126"/>
      <c r="R670" s="126"/>
      <c r="S670" s="126"/>
      <c r="T670" s="126"/>
      <c r="U670" s="126"/>
      <c r="V670" s="126"/>
      <c r="W670" s="126"/>
      <c r="X670" s="126"/>
      <c r="Y670" s="126"/>
      <c r="Z670" s="126"/>
      <c r="AA670" s="126"/>
      <c r="AB670" s="126"/>
    </row>
    <row r="671" spans="1:28" ht="15.75" customHeight="1">
      <c r="A671" s="126"/>
      <c r="B671" s="126"/>
      <c r="C671" s="176"/>
      <c r="D671" s="176"/>
      <c r="E671" s="176"/>
      <c r="F671" s="176"/>
      <c r="G671" s="176"/>
      <c r="H671" s="176"/>
      <c r="I671" s="126"/>
      <c r="J671" s="126"/>
      <c r="K671" s="126"/>
      <c r="L671" s="126"/>
      <c r="M671" s="126"/>
      <c r="N671" s="126"/>
      <c r="O671" s="126"/>
      <c r="P671" s="126"/>
      <c r="Q671" s="126"/>
      <c r="R671" s="126"/>
      <c r="S671" s="126"/>
      <c r="T671" s="126"/>
      <c r="U671" s="126"/>
      <c r="V671" s="126"/>
      <c r="W671" s="126"/>
      <c r="X671" s="126"/>
      <c r="Y671" s="126"/>
      <c r="Z671" s="126"/>
      <c r="AA671" s="126"/>
      <c r="AB671" s="126"/>
    </row>
    <row r="672" spans="1:28" ht="15.75" customHeight="1">
      <c r="A672" s="126"/>
      <c r="B672" s="126"/>
      <c r="C672" s="176"/>
      <c r="D672" s="176"/>
      <c r="E672" s="176"/>
      <c r="F672" s="176"/>
      <c r="G672" s="176"/>
      <c r="H672" s="176"/>
      <c r="I672" s="126"/>
      <c r="J672" s="126"/>
      <c r="K672" s="126"/>
      <c r="L672" s="126"/>
      <c r="M672" s="126"/>
      <c r="N672" s="126"/>
      <c r="O672" s="126"/>
      <c r="P672" s="126"/>
      <c r="Q672" s="126"/>
      <c r="R672" s="126"/>
      <c r="S672" s="126"/>
      <c r="T672" s="126"/>
      <c r="U672" s="126"/>
      <c r="V672" s="126"/>
      <c r="W672" s="126"/>
      <c r="X672" s="126"/>
      <c r="Y672" s="126"/>
      <c r="Z672" s="126"/>
      <c r="AA672" s="126"/>
      <c r="AB672" s="126"/>
    </row>
    <row r="673" spans="1:28" ht="15.75" customHeight="1">
      <c r="A673" s="126"/>
      <c r="B673" s="126"/>
      <c r="C673" s="176"/>
      <c r="D673" s="176"/>
      <c r="E673" s="176"/>
      <c r="F673" s="176"/>
      <c r="G673" s="176"/>
      <c r="H673" s="176"/>
      <c r="I673" s="126"/>
      <c r="J673" s="126"/>
      <c r="K673" s="126"/>
      <c r="L673" s="126"/>
      <c r="M673" s="126"/>
      <c r="N673" s="126"/>
      <c r="O673" s="126"/>
      <c r="P673" s="126"/>
      <c r="Q673" s="126"/>
      <c r="R673" s="126"/>
      <c r="S673" s="126"/>
      <c r="T673" s="126"/>
      <c r="U673" s="126"/>
      <c r="V673" s="126"/>
      <c r="W673" s="126"/>
      <c r="X673" s="126"/>
      <c r="Y673" s="126"/>
      <c r="Z673" s="126"/>
      <c r="AA673" s="126"/>
      <c r="AB673" s="126"/>
    </row>
    <row r="674" spans="1:28" ht="15.75" customHeight="1">
      <c r="A674" s="126"/>
      <c r="B674" s="126"/>
      <c r="C674" s="176"/>
      <c r="D674" s="176"/>
      <c r="E674" s="176"/>
      <c r="F674" s="176"/>
      <c r="G674" s="176"/>
      <c r="H674" s="176"/>
      <c r="I674" s="126"/>
      <c r="J674" s="126"/>
      <c r="K674" s="126"/>
      <c r="L674" s="126"/>
      <c r="M674" s="126"/>
      <c r="N674" s="126"/>
      <c r="O674" s="126"/>
      <c r="P674" s="126"/>
      <c r="Q674" s="126"/>
      <c r="R674" s="126"/>
      <c r="S674" s="126"/>
      <c r="T674" s="126"/>
      <c r="U674" s="126"/>
      <c r="V674" s="126"/>
      <c r="W674" s="126"/>
      <c r="X674" s="126"/>
      <c r="Y674" s="126"/>
      <c r="Z674" s="126"/>
      <c r="AA674" s="126"/>
      <c r="AB674" s="126"/>
    </row>
    <row r="675" spans="1:28" ht="15.75" customHeight="1">
      <c r="A675" s="126"/>
      <c r="B675" s="126"/>
      <c r="C675" s="176"/>
      <c r="D675" s="176"/>
      <c r="E675" s="176"/>
      <c r="F675" s="176"/>
      <c r="G675" s="176"/>
      <c r="H675" s="176"/>
      <c r="I675" s="126"/>
      <c r="J675" s="126"/>
      <c r="K675" s="126"/>
      <c r="L675" s="126"/>
      <c r="M675" s="126"/>
      <c r="N675" s="126"/>
      <c r="O675" s="126"/>
      <c r="P675" s="126"/>
      <c r="Q675" s="126"/>
      <c r="R675" s="126"/>
      <c r="S675" s="126"/>
      <c r="T675" s="126"/>
      <c r="U675" s="126"/>
      <c r="V675" s="126"/>
      <c r="W675" s="126"/>
      <c r="X675" s="126"/>
      <c r="Y675" s="126"/>
      <c r="Z675" s="126"/>
      <c r="AA675" s="126"/>
      <c r="AB675" s="126"/>
    </row>
    <row r="676" spans="1:28" ht="15.75" customHeight="1">
      <c r="A676" s="126"/>
      <c r="B676" s="126"/>
      <c r="C676" s="176"/>
      <c r="D676" s="176"/>
      <c r="E676" s="176"/>
      <c r="F676" s="176"/>
      <c r="G676" s="176"/>
      <c r="H676" s="176"/>
      <c r="I676" s="126"/>
      <c r="J676" s="126"/>
      <c r="K676" s="126"/>
      <c r="L676" s="126"/>
      <c r="M676" s="126"/>
      <c r="N676" s="126"/>
      <c r="O676" s="126"/>
      <c r="P676" s="126"/>
      <c r="Q676" s="126"/>
      <c r="R676" s="126"/>
      <c r="S676" s="126"/>
      <c r="T676" s="126"/>
      <c r="U676" s="126"/>
      <c r="V676" s="126"/>
      <c r="W676" s="126"/>
      <c r="X676" s="126"/>
      <c r="Y676" s="126"/>
      <c r="Z676" s="126"/>
      <c r="AA676" s="126"/>
      <c r="AB676" s="126"/>
    </row>
    <row r="677" spans="1:28" ht="15.75" customHeight="1">
      <c r="A677" s="126"/>
      <c r="B677" s="126"/>
      <c r="C677" s="176"/>
      <c r="D677" s="176"/>
      <c r="E677" s="176"/>
      <c r="F677" s="176"/>
      <c r="G677" s="176"/>
      <c r="H677" s="176"/>
      <c r="I677" s="126"/>
      <c r="J677" s="126"/>
      <c r="K677" s="126"/>
      <c r="L677" s="126"/>
      <c r="M677" s="126"/>
      <c r="N677" s="126"/>
      <c r="O677" s="126"/>
      <c r="P677" s="126"/>
      <c r="Q677" s="126"/>
      <c r="R677" s="126"/>
      <c r="S677" s="126"/>
      <c r="T677" s="126"/>
      <c r="U677" s="126"/>
      <c r="V677" s="126"/>
      <c r="W677" s="126"/>
      <c r="X677" s="126"/>
      <c r="Y677" s="126"/>
      <c r="Z677" s="126"/>
      <c r="AA677" s="126"/>
      <c r="AB677" s="126"/>
    </row>
    <row r="678" spans="1:28" ht="15.75" customHeight="1">
      <c r="A678" s="126"/>
      <c r="B678" s="126"/>
      <c r="C678" s="176"/>
      <c r="D678" s="176"/>
      <c r="E678" s="176"/>
      <c r="F678" s="176"/>
      <c r="G678" s="176"/>
      <c r="H678" s="176"/>
      <c r="I678" s="126"/>
      <c r="J678" s="126"/>
      <c r="K678" s="126"/>
      <c r="L678" s="126"/>
      <c r="M678" s="126"/>
      <c r="N678" s="126"/>
      <c r="O678" s="126"/>
      <c r="P678" s="126"/>
      <c r="Q678" s="126"/>
      <c r="R678" s="126"/>
      <c r="S678" s="126"/>
      <c r="T678" s="126"/>
      <c r="U678" s="126"/>
      <c r="V678" s="126"/>
      <c r="W678" s="126"/>
      <c r="X678" s="126"/>
      <c r="Y678" s="126"/>
      <c r="Z678" s="126"/>
      <c r="AA678" s="126"/>
      <c r="AB678" s="126"/>
    </row>
    <row r="679" spans="1:28" ht="15.75" customHeight="1">
      <c r="A679" s="126"/>
      <c r="B679" s="126"/>
      <c r="C679" s="176"/>
      <c r="D679" s="176"/>
      <c r="E679" s="176"/>
      <c r="F679" s="176"/>
      <c r="G679" s="176"/>
      <c r="H679" s="176"/>
      <c r="I679" s="126"/>
      <c r="J679" s="126"/>
      <c r="K679" s="126"/>
      <c r="L679" s="126"/>
      <c r="M679" s="126"/>
      <c r="N679" s="126"/>
      <c r="O679" s="126"/>
      <c r="P679" s="126"/>
      <c r="Q679" s="126"/>
      <c r="R679" s="126"/>
      <c r="S679" s="126"/>
      <c r="T679" s="126"/>
      <c r="U679" s="126"/>
      <c r="V679" s="126"/>
      <c r="W679" s="126"/>
      <c r="X679" s="126"/>
      <c r="Y679" s="126"/>
      <c r="Z679" s="126"/>
      <c r="AA679" s="126"/>
      <c r="AB679" s="126"/>
    </row>
    <row r="680" spans="1:28" ht="15.75" customHeight="1">
      <c r="A680" s="126"/>
      <c r="B680" s="126"/>
      <c r="C680" s="176"/>
      <c r="D680" s="176"/>
      <c r="E680" s="176"/>
      <c r="F680" s="176"/>
      <c r="G680" s="176"/>
      <c r="H680" s="176"/>
      <c r="I680" s="126"/>
      <c r="J680" s="126"/>
      <c r="K680" s="126"/>
      <c r="L680" s="126"/>
      <c r="M680" s="126"/>
      <c r="N680" s="126"/>
      <c r="O680" s="126"/>
      <c r="P680" s="126"/>
      <c r="Q680" s="126"/>
      <c r="R680" s="126"/>
      <c r="S680" s="126"/>
      <c r="T680" s="126"/>
      <c r="U680" s="126"/>
      <c r="V680" s="126"/>
      <c r="W680" s="126"/>
      <c r="X680" s="126"/>
      <c r="Y680" s="126"/>
      <c r="Z680" s="126"/>
      <c r="AA680" s="126"/>
      <c r="AB680" s="126"/>
    </row>
    <row r="681" spans="1:28" ht="15.75" customHeight="1">
      <c r="A681" s="126"/>
      <c r="B681" s="126"/>
      <c r="C681" s="176"/>
      <c r="D681" s="176"/>
      <c r="E681" s="176"/>
      <c r="F681" s="176"/>
      <c r="G681" s="176"/>
      <c r="H681" s="176"/>
      <c r="I681" s="126"/>
      <c r="J681" s="126"/>
      <c r="K681" s="126"/>
      <c r="L681" s="126"/>
      <c r="M681" s="126"/>
      <c r="N681" s="126"/>
      <c r="O681" s="126"/>
      <c r="P681" s="126"/>
      <c r="Q681" s="126"/>
      <c r="R681" s="126"/>
      <c r="S681" s="126"/>
      <c r="T681" s="126"/>
      <c r="U681" s="126"/>
      <c r="V681" s="126"/>
      <c r="W681" s="126"/>
      <c r="X681" s="126"/>
      <c r="Y681" s="126"/>
      <c r="Z681" s="126"/>
      <c r="AA681" s="126"/>
      <c r="AB681" s="126"/>
    </row>
    <row r="682" spans="1:28" ht="15.75" customHeight="1">
      <c r="A682" s="126"/>
      <c r="B682" s="126"/>
      <c r="C682" s="176"/>
      <c r="D682" s="176"/>
      <c r="E682" s="176"/>
      <c r="F682" s="176"/>
      <c r="G682" s="176"/>
      <c r="H682" s="176"/>
      <c r="I682" s="126"/>
      <c r="J682" s="126"/>
      <c r="K682" s="126"/>
      <c r="L682" s="126"/>
      <c r="M682" s="126"/>
      <c r="N682" s="126"/>
      <c r="O682" s="126"/>
      <c r="P682" s="126"/>
      <c r="Q682" s="126"/>
      <c r="R682" s="126"/>
      <c r="S682" s="126"/>
      <c r="T682" s="126"/>
      <c r="U682" s="126"/>
      <c r="V682" s="126"/>
      <c r="W682" s="126"/>
      <c r="X682" s="126"/>
      <c r="Y682" s="126"/>
      <c r="Z682" s="126"/>
      <c r="AA682" s="126"/>
      <c r="AB682" s="126"/>
    </row>
    <row r="683" spans="1:28" ht="15.75" customHeight="1">
      <c r="A683" s="126"/>
      <c r="B683" s="126"/>
      <c r="C683" s="176"/>
      <c r="D683" s="176"/>
      <c r="E683" s="176"/>
      <c r="F683" s="176"/>
      <c r="G683" s="176"/>
      <c r="H683" s="176"/>
      <c r="I683" s="126"/>
      <c r="J683" s="126"/>
      <c r="K683" s="126"/>
      <c r="L683" s="126"/>
      <c r="M683" s="126"/>
      <c r="N683" s="126"/>
      <c r="O683" s="126"/>
      <c r="P683" s="126"/>
      <c r="Q683" s="126"/>
      <c r="R683" s="126"/>
      <c r="S683" s="126"/>
      <c r="T683" s="126"/>
      <c r="U683" s="126"/>
      <c r="V683" s="126"/>
      <c r="W683" s="126"/>
      <c r="X683" s="126"/>
      <c r="Y683" s="126"/>
      <c r="Z683" s="126"/>
      <c r="AA683" s="126"/>
      <c r="AB683" s="126"/>
    </row>
    <row r="684" spans="1:28" ht="15.75" customHeight="1">
      <c r="A684" s="126"/>
      <c r="B684" s="126"/>
      <c r="C684" s="176"/>
      <c r="D684" s="176"/>
      <c r="E684" s="176"/>
      <c r="F684" s="176"/>
      <c r="G684" s="176"/>
      <c r="H684" s="176"/>
      <c r="I684" s="126"/>
      <c r="J684" s="126"/>
      <c r="K684" s="126"/>
      <c r="L684" s="126"/>
      <c r="M684" s="126"/>
      <c r="N684" s="126"/>
      <c r="O684" s="126"/>
      <c r="P684" s="126"/>
      <c r="Q684" s="126"/>
      <c r="R684" s="126"/>
      <c r="S684" s="126"/>
      <c r="T684" s="126"/>
      <c r="U684" s="126"/>
      <c r="V684" s="126"/>
      <c r="W684" s="126"/>
      <c r="X684" s="126"/>
      <c r="Y684" s="126"/>
      <c r="Z684" s="126"/>
      <c r="AA684" s="126"/>
      <c r="AB684" s="126"/>
    </row>
    <row r="685" spans="1:28" ht="15.75" customHeight="1">
      <c r="A685" s="126"/>
      <c r="B685" s="126"/>
      <c r="C685" s="176"/>
      <c r="D685" s="176"/>
      <c r="E685" s="176"/>
      <c r="F685" s="176"/>
      <c r="G685" s="176"/>
      <c r="H685" s="176"/>
      <c r="I685" s="126"/>
      <c r="J685" s="126"/>
      <c r="K685" s="126"/>
      <c r="L685" s="126"/>
      <c r="M685" s="126"/>
      <c r="N685" s="126"/>
      <c r="O685" s="126"/>
      <c r="P685" s="126"/>
      <c r="Q685" s="126"/>
      <c r="R685" s="126"/>
      <c r="S685" s="126"/>
      <c r="T685" s="126"/>
      <c r="U685" s="126"/>
      <c r="V685" s="126"/>
      <c r="W685" s="126"/>
      <c r="X685" s="126"/>
      <c r="Y685" s="126"/>
      <c r="Z685" s="126"/>
      <c r="AA685" s="126"/>
      <c r="AB685" s="126"/>
    </row>
    <row r="686" spans="1:28" ht="15.75" customHeight="1">
      <c r="A686" s="126"/>
      <c r="B686" s="126"/>
      <c r="C686" s="176"/>
      <c r="D686" s="176"/>
      <c r="E686" s="176"/>
      <c r="F686" s="176"/>
      <c r="G686" s="176"/>
      <c r="H686" s="176"/>
      <c r="I686" s="126"/>
      <c r="J686" s="126"/>
      <c r="K686" s="126"/>
      <c r="L686" s="126"/>
      <c r="M686" s="126"/>
      <c r="N686" s="126"/>
      <c r="O686" s="126"/>
      <c r="P686" s="126"/>
      <c r="Q686" s="126"/>
      <c r="R686" s="126"/>
      <c r="S686" s="126"/>
      <c r="T686" s="126"/>
      <c r="U686" s="126"/>
      <c r="V686" s="126"/>
      <c r="W686" s="126"/>
      <c r="X686" s="126"/>
      <c r="Y686" s="126"/>
      <c r="Z686" s="126"/>
      <c r="AA686" s="126"/>
      <c r="AB686" s="126"/>
    </row>
    <row r="687" spans="1:28" ht="15.75" customHeight="1">
      <c r="A687" s="126"/>
      <c r="B687" s="126"/>
      <c r="C687" s="176"/>
      <c r="D687" s="176"/>
      <c r="E687" s="176"/>
      <c r="F687" s="176"/>
      <c r="G687" s="176"/>
      <c r="H687" s="176"/>
      <c r="I687" s="126"/>
      <c r="J687" s="126"/>
      <c r="K687" s="126"/>
      <c r="L687" s="126"/>
      <c r="M687" s="126"/>
      <c r="N687" s="126"/>
      <c r="O687" s="126"/>
      <c r="P687" s="126"/>
      <c r="Q687" s="126"/>
      <c r="R687" s="126"/>
      <c r="S687" s="126"/>
      <c r="T687" s="126"/>
      <c r="U687" s="126"/>
      <c r="V687" s="126"/>
      <c r="W687" s="126"/>
      <c r="X687" s="126"/>
      <c r="Y687" s="126"/>
      <c r="Z687" s="126"/>
      <c r="AA687" s="126"/>
      <c r="AB687" s="126"/>
    </row>
    <row r="688" spans="1:28" ht="15.75" customHeight="1">
      <c r="A688" s="126"/>
      <c r="B688" s="126"/>
      <c r="C688" s="176"/>
      <c r="D688" s="176"/>
      <c r="E688" s="176"/>
      <c r="F688" s="176"/>
      <c r="G688" s="176"/>
      <c r="H688" s="176"/>
      <c r="I688" s="126"/>
      <c r="J688" s="126"/>
      <c r="K688" s="126"/>
      <c r="L688" s="126"/>
      <c r="M688" s="126"/>
      <c r="N688" s="126"/>
      <c r="O688" s="126"/>
      <c r="P688" s="126"/>
      <c r="Q688" s="126"/>
      <c r="R688" s="126"/>
      <c r="S688" s="126"/>
      <c r="T688" s="126"/>
      <c r="U688" s="126"/>
      <c r="V688" s="126"/>
      <c r="W688" s="126"/>
      <c r="X688" s="126"/>
      <c r="Y688" s="126"/>
      <c r="Z688" s="126"/>
      <c r="AA688" s="126"/>
      <c r="AB688" s="126"/>
    </row>
    <row r="689" spans="1:28" ht="15.75" customHeight="1">
      <c r="A689" s="126"/>
      <c r="B689" s="126"/>
      <c r="C689" s="176"/>
      <c r="D689" s="176"/>
      <c r="E689" s="176"/>
      <c r="F689" s="176"/>
      <c r="G689" s="176"/>
      <c r="H689" s="176"/>
      <c r="I689" s="126"/>
      <c r="J689" s="126"/>
      <c r="K689" s="126"/>
      <c r="L689" s="126"/>
      <c r="M689" s="126"/>
      <c r="N689" s="126"/>
      <c r="O689" s="126"/>
      <c r="P689" s="126"/>
      <c r="Q689" s="126"/>
      <c r="R689" s="126"/>
      <c r="S689" s="126"/>
      <c r="T689" s="126"/>
      <c r="U689" s="126"/>
      <c r="V689" s="126"/>
      <c r="W689" s="126"/>
      <c r="X689" s="126"/>
      <c r="Y689" s="126"/>
      <c r="Z689" s="126"/>
      <c r="AA689" s="126"/>
      <c r="AB689" s="126"/>
    </row>
    <row r="690" spans="1:28" ht="15.75" customHeight="1">
      <c r="A690" s="126"/>
      <c r="B690" s="126"/>
      <c r="C690" s="176"/>
      <c r="D690" s="176"/>
      <c r="E690" s="176"/>
      <c r="F690" s="176"/>
      <c r="G690" s="176"/>
      <c r="H690" s="176"/>
      <c r="I690" s="126"/>
      <c r="J690" s="126"/>
      <c r="K690" s="126"/>
      <c r="L690" s="126"/>
      <c r="M690" s="126"/>
      <c r="N690" s="126"/>
      <c r="O690" s="126"/>
      <c r="P690" s="126"/>
      <c r="Q690" s="126"/>
      <c r="R690" s="126"/>
      <c r="S690" s="126"/>
      <c r="T690" s="126"/>
      <c r="U690" s="126"/>
      <c r="V690" s="126"/>
      <c r="W690" s="126"/>
      <c r="X690" s="126"/>
      <c r="Y690" s="126"/>
      <c r="Z690" s="126"/>
      <c r="AA690" s="126"/>
      <c r="AB690" s="126"/>
    </row>
    <row r="691" spans="1:28" ht="15.75" customHeight="1">
      <c r="A691" s="126"/>
      <c r="B691" s="126"/>
      <c r="C691" s="176"/>
      <c r="D691" s="176"/>
      <c r="E691" s="176"/>
      <c r="F691" s="176"/>
      <c r="G691" s="176"/>
      <c r="H691" s="176"/>
      <c r="I691" s="126"/>
      <c r="J691" s="126"/>
      <c r="K691" s="126"/>
      <c r="L691" s="126"/>
      <c r="M691" s="126"/>
      <c r="N691" s="126"/>
      <c r="O691" s="126"/>
      <c r="P691" s="126"/>
      <c r="Q691" s="126"/>
      <c r="R691" s="126"/>
      <c r="S691" s="126"/>
      <c r="T691" s="126"/>
      <c r="U691" s="126"/>
      <c r="V691" s="126"/>
      <c r="W691" s="126"/>
      <c r="X691" s="126"/>
      <c r="Y691" s="126"/>
      <c r="Z691" s="126"/>
      <c r="AA691" s="126"/>
      <c r="AB691" s="126"/>
    </row>
    <row r="692" spans="1:28" ht="15.75" customHeight="1">
      <c r="A692" s="126"/>
      <c r="B692" s="126"/>
      <c r="C692" s="176"/>
      <c r="D692" s="176"/>
      <c r="E692" s="176"/>
      <c r="F692" s="176"/>
      <c r="G692" s="176"/>
      <c r="H692" s="176"/>
      <c r="I692" s="126"/>
      <c r="J692" s="126"/>
      <c r="K692" s="126"/>
      <c r="L692" s="126"/>
      <c r="M692" s="126"/>
      <c r="N692" s="126"/>
      <c r="O692" s="126"/>
      <c r="P692" s="126"/>
      <c r="Q692" s="126"/>
      <c r="R692" s="126"/>
      <c r="S692" s="126"/>
      <c r="T692" s="126"/>
      <c r="U692" s="126"/>
      <c r="V692" s="126"/>
      <c r="W692" s="126"/>
      <c r="X692" s="126"/>
      <c r="Y692" s="126"/>
      <c r="Z692" s="126"/>
      <c r="AA692" s="126"/>
      <c r="AB692" s="126"/>
    </row>
    <row r="693" spans="1:28" ht="15.75" customHeight="1">
      <c r="A693" s="126"/>
      <c r="B693" s="126"/>
      <c r="C693" s="176"/>
      <c r="D693" s="176"/>
      <c r="E693" s="176"/>
      <c r="F693" s="176"/>
      <c r="G693" s="176"/>
      <c r="H693" s="176"/>
      <c r="I693" s="126"/>
      <c r="J693" s="126"/>
      <c r="K693" s="126"/>
      <c r="L693" s="126"/>
      <c r="M693" s="126"/>
      <c r="N693" s="126"/>
      <c r="O693" s="126"/>
      <c r="P693" s="126"/>
      <c r="Q693" s="126"/>
      <c r="R693" s="126"/>
      <c r="S693" s="126"/>
      <c r="T693" s="126"/>
      <c r="U693" s="126"/>
      <c r="V693" s="126"/>
      <c r="W693" s="126"/>
      <c r="X693" s="126"/>
      <c r="Y693" s="126"/>
      <c r="Z693" s="126"/>
      <c r="AA693" s="126"/>
      <c r="AB693" s="126"/>
    </row>
    <row r="694" spans="1:28" ht="15.75" customHeight="1">
      <c r="A694" s="126"/>
      <c r="B694" s="126"/>
      <c r="C694" s="176"/>
      <c r="D694" s="176"/>
      <c r="E694" s="176"/>
      <c r="F694" s="176"/>
      <c r="G694" s="176"/>
      <c r="H694" s="176"/>
      <c r="I694" s="126"/>
      <c r="J694" s="126"/>
      <c r="K694" s="126"/>
      <c r="L694" s="126"/>
      <c r="M694" s="126"/>
      <c r="N694" s="126"/>
      <c r="O694" s="126"/>
      <c r="P694" s="126"/>
      <c r="Q694" s="126"/>
      <c r="R694" s="126"/>
      <c r="S694" s="126"/>
      <c r="T694" s="126"/>
      <c r="U694" s="126"/>
      <c r="V694" s="126"/>
      <c r="W694" s="126"/>
      <c r="X694" s="126"/>
      <c r="Y694" s="126"/>
      <c r="Z694" s="126"/>
      <c r="AA694" s="126"/>
      <c r="AB694" s="126"/>
    </row>
    <row r="695" spans="1:28" ht="15.75" customHeight="1">
      <c r="A695" s="126"/>
      <c r="B695" s="126"/>
      <c r="C695" s="176"/>
      <c r="D695" s="176"/>
      <c r="E695" s="176"/>
      <c r="F695" s="176"/>
      <c r="G695" s="176"/>
      <c r="H695" s="176"/>
      <c r="I695" s="126"/>
      <c r="J695" s="126"/>
      <c r="K695" s="126"/>
      <c r="L695" s="126"/>
      <c r="M695" s="126"/>
      <c r="N695" s="126"/>
      <c r="O695" s="126"/>
      <c r="P695" s="126"/>
      <c r="Q695" s="126"/>
      <c r="R695" s="126"/>
      <c r="S695" s="126"/>
      <c r="T695" s="126"/>
      <c r="U695" s="126"/>
      <c r="V695" s="126"/>
      <c r="W695" s="126"/>
      <c r="X695" s="126"/>
      <c r="Y695" s="126"/>
      <c r="Z695" s="126"/>
      <c r="AA695" s="126"/>
      <c r="AB695" s="126"/>
    </row>
    <row r="696" spans="1:28" ht="15.75" customHeight="1">
      <c r="A696" s="126"/>
      <c r="B696" s="126"/>
      <c r="C696" s="176"/>
      <c r="D696" s="176"/>
      <c r="E696" s="176"/>
      <c r="F696" s="176"/>
      <c r="G696" s="176"/>
      <c r="H696" s="176"/>
      <c r="I696" s="126"/>
      <c r="J696" s="126"/>
      <c r="K696" s="126"/>
      <c r="L696" s="126"/>
      <c r="M696" s="126"/>
      <c r="N696" s="126"/>
      <c r="O696" s="126"/>
      <c r="P696" s="126"/>
      <c r="Q696" s="126"/>
      <c r="R696" s="126"/>
      <c r="S696" s="126"/>
      <c r="T696" s="126"/>
      <c r="U696" s="126"/>
      <c r="V696" s="126"/>
      <c r="W696" s="126"/>
      <c r="X696" s="126"/>
      <c r="Y696" s="126"/>
      <c r="Z696" s="126"/>
      <c r="AA696" s="126"/>
      <c r="AB696" s="126"/>
    </row>
    <row r="697" spans="1:28" ht="15.75" customHeight="1">
      <c r="A697" s="126"/>
      <c r="B697" s="126"/>
      <c r="C697" s="176"/>
      <c r="D697" s="176"/>
      <c r="E697" s="176"/>
      <c r="F697" s="176"/>
      <c r="G697" s="176"/>
      <c r="H697" s="176"/>
      <c r="I697" s="126"/>
      <c r="J697" s="126"/>
      <c r="K697" s="126"/>
      <c r="L697" s="126"/>
      <c r="M697" s="126"/>
      <c r="N697" s="126"/>
      <c r="O697" s="126"/>
      <c r="P697" s="126"/>
      <c r="Q697" s="126"/>
      <c r="R697" s="126"/>
      <c r="S697" s="126"/>
      <c r="T697" s="126"/>
      <c r="U697" s="126"/>
      <c r="V697" s="126"/>
      <c r="W697" s="126"/>
      <c r="X697" s="126"/>
      <c r="Y697" s="126"/>
      <c r="Z697" s="126"/>
      <c r="AA697" s="126"/>
      <c r="AB697" s="126"/>
    </row>
    <row r="698" spans="1:28" ht="15.75" customHeight="1">
      <c r="A698" s="126"/>
      <c r="B698" s="126"/>
      <c r="C698" s="176"/>
      <c r="D698" s="176"/>
      <c r="E698" s="176"/>
      <c r="F698" s="176"/>
      <c r="G698" s="176"/>
      <c r="H698" s="176"/>
      <c r="I698" s="126"/>
      <c r="J698" s="126"/>
      <c r="K698" s="126"/>
      <c r="L698" s="126"/>
      <c r="M698" s="126"/>
      <c r="N698" s="126"/>
      <c r="O698" s="126"/>
      <c r="P698" s="126"/>
      <c r="Q698" s="126"/>
      <c r="R698" s="126"/>
      <c r="S698" s="126"/>
      <c r="T698" s="126"/>
      <c r="U698" s="126"/>
      <c r="V698" s="126"/>
      <c r="W698" s="126"/>
      <c r="X698" s="126"/>
      <c r="Y698" s="126"/>
      <c r="Z698" s="126"/>
      <c r="AA698" s="126"/>
      <c r="AB698" s="126"/>
    </row>
    <row r="699" spans="1:28" ht="15.75" customHeight="1">
      <c r="A699" s="126"/>
      <c r="B699" s="126"/>
      <c r="C699" s="176"/>
      <c r="D699" s="176"/>
      <c r="E699" s="176"/>
      <c r="F699" s="176"/>
      <c r="G699" s="176"/>
      <c r="H699" s="176"/>
      <c r="I699" s="126"/>
      <c r="J699" s="126"/>
      <c r="K699" s="126"/>
      <c r="L699" s="126"/>
      <c r="M699" s="126"/>
      <c r="N699" s="126"/>
      <c r="O699" s="126"/>
      <c r="P699" s="126"/>
      <c r="Q699" s="126"/>
      <c r="R699" s="126"/>
      <c r="S699" s="126"/>
      <c r="T699" s="126"/>
      <c r="U699" s="126"/>
      <c r="V699" s="126"/>
      <c r="W699" s="126"/>
      <c r="X699" s="126"/>
      <c r="Y699" s="126"/>
      <c r="Z699" s="126"/>
      <c r="AA699" s="126"/>
      <c r="AB699" s="126"/>
    </row>
    <row r="700" spans="1:28" ht="15.75" customHeight="1">
      <c r="A700" s="126"/>
      <c r="B700" s="126"/>
      <c r="C700" s="176"/>
      <c r="D700" s="176"/>
      <c r="E700" s="176"/>
      <c r="F700" s="176"/>
      <c r="G700" s="176"/>
      <c r="H700" s="176"/>
      <c r="I700" s="126"/>
      <c r="J700" s="126"/>
      <c r="K700" s="126"/>
      <c r="L700" s="126"/>
      <c r="M700" s="126"/>
      <c r="N700" s="126"/>
      <c r="O700" s="126"/>
      <c r="P700" s="126"/>
      <c r="Q700" s="126"/>
      <c r="R700" s="126"/>
      <c r="S700" s="126"/>
      <c r="T700" s="126"/>
      <c r="U700" s="126"/>
      <c r="V700" s="126"/>
      <c r="W700" s="126"/>
      <c r="X700" s="126"/>
      <c r="Y700" s="126"/>
      <c r="Z700" s="126"/>
      <c r="AA700" s="126"/>
      <c r="AB700" s="126"/>
    </row>
    <row r="701" spans="1:28" ht="15.75" customHeight="1">
      <c r="A701" s="126"/>
      <c r="B701" s="126"/>
      <c r="C701" s="176"/>
      <c r="D701" s="176"/>
      <c r="E701" s="176"/>
      <c r="F701" s="176"/>
      <c r="G701" s="176"/>
      <c r="H701" s="176"/>
      <c r="I701" s="126"/>
      <c r="J701" s="126"/>
      <c r="K701" s="126"/>
      <c r="L701" s="126"/>
      <c r="M701" s="126"/>
      <c r="N701" s="126"/>
      <c r="O701" s="126"/>
      <c r="P701" s="126"/>
      <c r="Q701" s="126"/>
      <c r="R701" s="126"/>
      <c r="S701" s="126"/>
      <c r="T701" s="126"/>
      <c r="U701" s="126"/>
      <c r="V701" s="126"/>
      <c r="W701" s="126"/>
      <c r="X701" s="126"/>
      <c r="Y701" s="126"/>
      <c r="Z701" s="126"/>
      <c r="AA701" s="126"/>
      <c r="AB701" s="126"/>
    </row>
    <row r="702" spans="1:28" ht="15.75" customHeight="1">
      <c r="A702" s="126"/>
      <c r="B702" s="126"/>
      <c r="C702" s="176"/>
      <c r="D702" s="176"/>
      <c r="E702" s="176"/>
      <c r="F702" s="176"/>
      <c r="G702" s="176"/>
      <c r="H702" s="176"/>
      <c r="I702" s="126"/>
      <c r="J702" s="126"/>
      <c r="K702" s="126"/>
      <c r="L702" s="126"/>
      <c r="M702" s="126"/>
      <c r="N702" s="126"/>
      <c r="O702" s="126"/>
      <c r="P702" s="126"/>
      <c r="Q702" s="126"/>
      <c r="R702" s="126"/>
      <c r="S702" s="126"/>
      <c r="T702" s="126"/>
      <c r="U702" s="126"/>
      <c r="V702" s="126"/>
      <c r="W702" s="126"/>
      <c r="X702" s="126"/>
      <c r="Y702" s="126"/>
      <c r="Z702" s="126"/>
      <c r="AA702" s="126"/>
      <c r="AB702" s="126"/>
    </row>
    <row r="703" spans="1:28" ht="15.75" customHeight="1">
      <c r="A703" s="126"/>
      <c r="B703" s="126"/>
      <c r="C703" s="176"/>
      <c r="D703" s="176"/>
      <c r="E703" s="176"/>
      <c r="F703" s="176"/>
      <c r="G703" s="176"/>
      <c r="H703" s="176"/>
      <c r="I703" s="126"/>
      <c r="J703" s="126"/>
      <c r="K703" s="126"/>
      <c r="L703" s="126"/>
      <c r="M703" s="126"/>
      <c r="N703" s="126"/>
      <c r="O703" s="126"/>
      <c r="P703" s="126"/>
      <c r="Q703" s="126"/>
      <c r="R703" s="126"/>
      <c r="S703" s="126"/>
      <c r="T703" s="126"/>
      <c r="U703" s="126"/>
      <c r="V703" s="126"/>
      <c r="W703" s="126"/>
      <c r="X703" s="126"/>
      <c r="Y703" s="126"/>
      <c r="Z703" s="126"/>
      <c r="AA703" s="126"/>
      <c r="AB703" s="126"/>
    </row>
    <row r="704" spans="1:28" ht="15.75" customHeight="1">
      <c r="A704" s="126"/>
      <c r="B704" s="126"/>
      <c r="C704" s="176"/>
      <c r="D704" s="176"/>
      <c r="E704" s="176"/>
      <c r="F704" s="176"/>
      <c r="G704" s="176"/>
      <c r="H704" s="176"/>
      <c r="I704" s="126"/>
      <c r="J704" s="126"/>
      <c r="K704" s="126"/>
      <c r="L704" s="126"/>
      <c r="M704" s="126"/>
      <c r="N704" s="126"/>
      <c r="O704" s="126"/>
      <c r="P704" s="126"/>
      <c r="Q704" s="126"/>
      <c r="R704" s="126"/>
      <c r="S704" s="126"/>
      <c r="T704" s="126"/>
      <c r="U704" s="126"/>
      <c r="V704" s="126"/>
      <c r="W704" s="126"/>
      <c r="X704" s="126"/>
      <c r="Y704" s="126"/>
      <c r="Z704" s="126"/>
      <c r="AA704" s="126"/>
      <c r="AB704" s="126"/>
    </row>
    <row r="705" spans="1:28" ht="15.75" customHeight="1">
      <c r="A705" s="126"/>
      <c r="B705" s="126"/>
      <c r="C705" s="176"/>
      <c r="D705" s="176"/>
      <c r="E705" s="176"/>
      <c r="F705" s="176"/>
      <c r="G705" s="176"/>
      <c r="H705" s="176"/>
      <c r="I705" s="126"/>
      <c r="J705" s="126"/>
      <c r="K705" s="126"/>
      <c r="L705" s="126"/>
      <c r="M705" s="126"/>
      <c r="N705" s="126"/>
      <c r="O705" s="126"/>
      <c r="P705" s="126"/>
      <c r="Q705" s="126"/>
      <c r="R705" s="126"/>
      <c r="S705" s="126"/>
      <c r="T705" s="126"/>
      <c r="U705" s="126"/>
      <c r="V705" s="126"/>
      <c r="W705" s="126"/>
      <c r="X705" s="126"/>
      <c r="Y705" s="126"/>
      <c r="Z705" s="126"/>
      <c r="AA705" s="126"/>
      <c r="AB705" s="126"/>
    </row>
    <row r="706" spans="1:28" ht="15.75" customHeight="1">
      <c r="A706" s="126"/>
      <c r="B706" s="126"/>
      <c r="C706" s="176"/>
      <c r="D706" s="176"/>
      <c r="E706" s="176"/>
      <c r="F706" s="176"/>
      <c r="G706" s="176"/>
      <c r="H706" s="176"/>
      <c r="I706" s="126"/>
      <c r="J706" s="126"/>
      <c r="K706" s="126"/>
      <c r="L706" s="126"/>
      <c r="M706" s="126"/>
      <c r="N706" s="126"/>
      <c r="O706" s="126"/>
      <c r="P706" s="126"/>
      <c r="Q706" s="126"/>
      <c r="R706" s="126"/>
      <c r="S706" s="126"/>
      <c r="T706" s="126"/>
      <c r="U706" s="126"/>
      <c r="V706" s="126"/>
      <c r="W706" s="126"/>
      <c r="X706" s="126"/>
      <c r="Y706" s="126"/>
      <c r="Z706" s="126"/>
      <c r="AA706" s="126"/>
      <c r="AB706" s="126"/>
    </row>
    <row r="707" spans="1:28" ht="15.75" customHeight="1">
      <c r="A707" s="126"/>
      <c r="B707" s="126"/>
      <c r="C707" s="176"/>
      <c r="D707" s="176"/>
      <c r="E707" s="176"/>
      <c r="F707" s="176"/>
      <c r="G707" s="176"/>
      <c r="H707" s="176"/>
      <c r="I707" s="126"/>
      <c r="J707" s="126"/>
      <c r="K707" s="126"/>
      <c r="L707" s="126"/>
      <c r="M707" s="126"/>
      <c r="N707" s="126"/>
      <c r="O707" s="126"/>
      <c r="P707" s="126"/>
      <c r="Q707" s="126"/>
      <c r="R707" s="126"/>
      <c r="S707" s="126"/>
      <c r="T707" s="126"/>
      <c r="U707" s="126"/>
      <c r="V707" s="126"/>
      <c r="W707" s="126"/>
      <c r="X707" s="126"/>
      <c r="Y707" s="126"/>
      <c r="Z707" s="126"/>
      <c r="AA707" s="126"/>
      <c r="AB707" s="126"/>
    </row>
    <row r="708" spans="1:28" ht="15.75" customHeight="1">
      <c r="A708" s="126"/>
      <c r="B708" s="126"/>
      <c r="C708" s="176"/>
      <c r="D708" s="176"/>
      <c r="E708" s="176"/>
      <c r="F708" s="176"/>
      <c r="G708" s="176"/>
      <c r="H708" s="176"/>
      <c r="I708" s="126"/>
      <c r="J708" s="126"/>
      <c r="K708" s="126"/>
      <c r="L708" s="126"/>
      <c r="M708" s="126"/>
      <c r="N708" s="126"/>
      <c r="O708" s="126"/>
      <c r="P708" s="126"/>
      <c r="Q708" s="126"/>
      <c r="R708" s="126"/>
      <c r="S708" s="126"/>
      <c r="T708" s="126"/>
      <c r="U708" s="126"/>
      <c r="V708" s="126"/>
      <c r="W708" s="126"/>
      <c r="X708" s="126"/>
      <c r="Y708" s="126"/>
      <c r="Z708" s="126"/>
      <c r="AA708" s="126"/>
      <c r="AB708" s="126"/>
    </row>
    <row r="709" spans="1:28" ht="15.75" customHeight="1">
      <c r="A709" s="126"/>
      <c r="B709" s="126"/>
      <c r="C709" s="176"/>
      <c r="D709" s="176"/>
      <c r="E709" s="176"/>
      <c r="F709" s="176"/>
      <c r="G709" s="176"/>
      <c r="H709" s="176"/>
      <c r="I709" s="126"/>
      <c r="J709" s="126"/>
      <c r="K709" s="126"/>
      <c r="L709" s="126"/>
      <c r="M709" s="126"/>
      <c r="N709" s="126"/>
      <c r="O709" s="126"/>
      <c r="P709" s="126"/>
      <c r="Q709" s="126"/>
      <c r="R709" s="126"/>
      <c r="S709" s="126"/>
      <c r="T709" s="126"/>
      <c r="U709" s="126"/>
      <c r="V709" s="126"/>
      <c r="W709" s="126"/>
      <c r="X709" s="126"/>
      <c r="Y709" s="126"/>
      <c r="Z709" s="126"/>
      <c r="AA709" s="126"/>
      <c r="AB709" s="126"/>
    </row>
    <row r="710" spans="1:28" ht="15.75" customHeight="1">
      <c r="A710" s="126"/>
      <c r="B710" s="126"/>
      <c r="C710" s="176"/>
      <c r="D710" s="176"/>
      <c r="E710" s="176"/>
      <c r="F710" s="176"/>
      <c r="G710" s="176"/>
      <c r="H710" s="176"/>
      <c r="I710" s="126"/>
      <c r="J710" s="126"/>
      <c r="K710" s="126"/>
      <c r="L710" s="126"/>
      <c r="M710" s="126"/>
      <c r="N710" s="126"/>
      <c r="O710" s="126"/>
      <c r="P710" s="126"/>
      <c r="Q710" s="126"/>
      <c r="R710" s="126"/>
      <c r="S710" s="126"/>
      <c r="T710" s="126"/>
      <c r="U710" s="126"/>
      <c r="V710" s="126"/>
      <c r="W710" s="126"/>
      <c r="X710" s="126"/>
      <c r="Y710" s="126"/>
      <c r="Z710" s="126"/>
      <c r="AA710" s="126"/>
      <c r="AB710" s="126"/>
    </row>
    <row r="711" spans="1:28" ht="15.75" customHeight="1">
      <c r="A711" s="126"/>
      <c r="B711" s="126"/>
      <c r="C711" s="176"/>
      <c r="D711" s="176"/>
      <c r="E711" s="176"/>
      <c r="F711" s="176"/>
      <c r="G711" s="176"/>
      <c r="H711" s="176"/>
      <c r="I711" s="126"/>
      <c r="J711" s="126"/>
      <c r="K711" s="126"/>
      <c r="L711" s="126"/>
      <c r="M711" s="126"/>
      <c r="N711" s="126"/>
      <c r="O711" s="126"/>
      <c r="P711" s="126"/>
      <c r="Q711" s="126"/>
      <c r="R711" s="126"/>
      <c r="S711" s="126"/>
      <c r="T711" s="126"/>
      <c r="U711" s="126"/>
      <c r="V711" s="126"/>
      <c r="W711" s="126"/>
      <c r="X711" s="126"/>
      <c r="Y711" s="126"/>
      <c r="Z711" s="126"/>
      <c r="AA711" s="126"/>
      <c r="AB711" s="126"/>
    </row>
    <row r="712" spans="1:28" ht="15.75" customHeight="1">
      <c r="A712" s="126"/>
      <c r="B712" s="126"/>
      <c r="C712" s="176"/>
      <c r="D712" s="176"/>
      <c r="E712" s="176"/>
      <c r="F712" s="176"/>
      <c r="G712" s="176"/>
      <c r="H712" s="176"/>
      <c r="I712" s="126"/>
      <c r="J712" s="126"/>
      <c r="K712" s="126"/>
      <c r="L712" s="126"/>
      <c r="M712" s="126"/>
      <c r="N712" s="126"/>
      <c r="O712" s="126"/>
      <c r="P712" s="126"/>
      <c r="Q712" s="126"/>
      <c r="R712" s="126"/>
      <c r="S712" s="126"/>
      <c r="T712" s="126"/>
      <c r="U712" s="126"/>
      <c r="V712" s="126"/>
      <c r="W712" s="126"/>
      <c r="X712" s="126"/>
      <c r="Y712" s="126"/>
      <c r="Z712" s="126"/>
      <c r="AA712" s="126"/>
      <c r="AB712" s="126"/>
    </row>
    <row r="713" spans="1:28" ht="15.75" customHeight="1">
      <c r="A713" s="126"/>
      <c r="B713" s="126"/>
      <c r="C713" s="176"/>
      <c r="D713" s="176"/>
      <c r="E713" s="176"/>
      <c r="F713" s="176"/>
      <c r="G713" s="176"/>
      <c r="H713" s="176"/>
      <c r="I713" s="126"/>
      <c r="J713" s="126"/>
      <c r="K713" s="126"/>
      <c r="L713" s="126"/>
      <c r="M713" s="126"/>
      <c r="N713" s="126"/>
      <c r="O713" s="126"/>
      <c r="P713" s="126"/>
      <c r="Q713" s="126"/>
      <c r="R713" s="126"/>
      <c r="S713" s="126"/>
      <c r="T713" s="126"/>
      <c r="U713" s="126"/>
      <c r="V713" s="126"/>
      <c r="W713" s="126"/>
      <c r="X713" s="126"/>
      <c r="Y713" s="126"/>
      <c r="Z713" s="126"/>
      <c r="AA713" s="126"/>
      <c r="AB713" s="126"/>
    </row>
    <row r="714" spans="1:28" ht="15.75" customHeight="1">
      <c r="A714" s="126"/>
      <c r="B714" s="126"/>
      <c r="C714" s="176"/>
      <c r="D714" s="176"/>
      <c r="E714" s="176"/>
      <c r="F714" s="176"/>
      <c r="G714" s="176"/>
      <c r="H714" s="176"/>
      <c r="I714" s="126"/>
      <c r="J714" s="126"/>
      <c r="K714" s="126"/>
      <c r="L714" s="126"/>
      <c r="M714" s="126"/>
      <c r="N714" s="126"/>
      <c r="O714" s="126"/>
      <c r="P714" s="126"/>
      <c r="Q714" s="126"/>
      <c r="R714" s="126"/>
      <c r="S714" s="126"/>
      <c r="T714" s="126"/>
      <c r="U714" s="126"/>
      <c r="V714" s="126"/>
      <c r="W714" s="126"/>
      <c r="X714" s="126"/>
      <c r="Y714" s="126"/>
      <c r="Z714" s="126"/>
      <c r="AA714" s="126"/>
      <c r="AB714" s="126"/>
    </row>
    <row r="715" spans="1:28" ht="15.75" customHeight="1">
      <c r="A715" s="126"/>
      <c r="B715" s="126"/>
      <c r="C715" s="176"/>
      <c r="D715" s="176"/>
      <c r="E715" s="176"/>
      <c r="F715" s="176"/>
      <c r="G715" s="176"/>
      <c r="H715" s="176"/>
      <c r="I715" s="126"/>
      <c r="J715" s="126"/>
      <c r="K715" s="126"/>
      <c r="L715" s="126"/>
      <c r="M715" s="126"/>
      <c r="N715" s="126"/>
      <c r="O715" s="126"/>
      <c r="P715" s="126"/>
      <c r="Q715" s="126"/>
      <c r="R715" s="126"/>
      <c r="S715" s="126"/>
      <c r="T715" s="126"/>
      <c r="U715" s="126"/>
      <c r="V715" s="126"/>
      <c r="W715" s="126"/>
      <c r="X715" s="126"/>
      <c r="Y715" s="126"/>
      <c r="Z715" s="126"/>
      <c r="AA715" s="126"/>
      <c r="AB715" s="126"/>
    </row>
    <row r="716" spans="1:28" ht="15.75" customHeight="1">
      <c r="A716" s="126"/>
      <c r="B716" s="126"/>
      <c r="C716" s="176"/>
      <c r="D716" s="176"/>
      <c r="E716" s="176"/>
      <c r="F716" s="176"/>
      <c r="G716" s="176"/>
      <c r="H716" s="176"/>
      <c r="I716" s="126"/>
      <c r="J716" s="126"/>
      <c r="K716" s="126"/>
      <c r="L716" s="126"/>
      <c r="M716" s="126"/>
      <c r="N716" s="126"/>
      <c r="O716" s="126"/>
      <c r="P716" s="126"/>
      <c r="Q716" s="126"/>
      <c r="R716" s="126"/>
      <c r="S716" s="126"/>
      <c r="T716" s="126"/>
      <c r="U716" s="126"/>
      <c r="V716" s="126"/>
      <c r="W716" s="126"/>
      <c r="X716" s="126"/>
      <c r="Y716" s="126"/>
      <c r="Z716" s="126"/>
      <c r="AA716" s="126"/>
      <c r="AB716" s="126"/>
    </row>
    <row r="717" spans="1:28" ht="15.75" customHeight="1">
      <c r="A717" s="126"/>
      <c r="B717" s="126"/>
      <c r="C717" s="176"/>
      <c r="D717" s="176"/>
      <c r="E717" s="176"/>
      <c r="F717" s="176"/>
      <c r="G717" s="176"/>
      <c r="H717" s="176"/>
      <c r="I717" s="126"/>
      <c r="J717" s="126"/>
      <c r="K717" s="126"/>
      <c r="L717" s="126"/>
      <c r="M717" s="126"/>
      <c r="N717" s="126"/>
      <c r="O717" s="126"/>
      <c r="P717" s="126"/>
      <c r="Q717" s="126"/>
      <c r="R717" s="126"/>
      <c r="S717" s="126"/>
      <c r="T717" s="126"/>
      <c r="U717" s="126"/>
      <c r="V717" s="126"/>
      <c r="W717" s="126"/>
      <c r="X717" s="126"/>
      <c r="Y717" s="126"/>
      <c r="Z717" s="126"/>
      <c r="AA717" s="126"/>
      <c r="AB717" s="126"/>
    </row>
    <row r="718" spans="1:28" ht="15.75" customHeight="1">
      <c r="A718" s="126"/>
      <c r="B718" s="126"/>
      <c r="C718" s="176"/>
      <c r="D718" s="176"/>
      <c r="E718" s="176"/>
      <c r="F718" s="176"/>
      <c r="G718" s="176"/>
      <c r="H718" s="176"/>
      <c r="I718" s="126"/>
      <c r="J718" s="126"/>
      <c r="K718" s="126"/>
      <c r="L718" s="126"/>
      <c r="M718" s="126"/>
      <c r="N718" s="126"/>
      <c r="O718" s="126"/>
      <c r="P718" s="126"/>
      <c r="Q718" s="126"/>
      <c r="R718" s="126"/>
      <c r="S718" s="126"/>
      <c r="T718" s="126"/>
      <c r="U718" s="126"/>
      <c r="V718" s="126"/>
      <c r="W718" s="126"/>
      <c r="X718" s="126"/>
      <c r="Y718" s="126"/>
      <c r="Z718" s="126"/>
      <c r="AA718" s="126"/>
      <c r="AB718" s="126"/>
    </row>
    <row r="719" spans="1:28" ht="15.75" customHeight="1">
      <c r="A719" s="126"/>
      <c r="B719" s="126"/>
      <c r="C719" s="176"/>
      <c r="D719" s="176"/>
      <c r="E719" s="176"/>
      <c r="F719" s="176"/>
      <c r="G719" s="176"/>
      <c r="H719" s="176"/>
      <c r="I719" s="126"/>
      <c r="J719" s="126"/>
      <c r="K719" s="126"/>
      <c r="L719" s="126"/>
      <c r="M719" s="126"/>
      <c r="N719" s="126"/>
      <c r="O719" s="126"/>
      <c r="P719" s="126"/>
      <c r="Q719" s="126"/>
      <c r="R719" s="126"/>
      <c r="S719" s="126"/>
      <c r="T719" s="126"/>
      <c r="U719" s="126"/>
      <c r="V719" s="126"/>
      <c r="W719" s="126"/>
      <c r="X719" s="126"/>
      <c r="Y719" s="126"/>
      <c r="Z719" s="126"/>
      <c r="AA719" s="126"/>
      <c r="AB719" s="126"/>
    </row>
    <row r="720" spans="1:28" ht="15.75" customHeight="1">
      <c r="A720" s="126"/>
      <c r="B720" s="126"/>
      <c r="C720" s="176"/>
      <c r="D720" s="176"/>
      <c r="E720" s="176"/>
      <c r="F720" s="176"/>
      <c r="G720" s="176"/>
      <c r="H720" s="176"/>
      <c r="I720" s="126"/>
      <c r="J720" s="126"/>
      <c r="K720" s="126"/>
      <c r="L720" s="126"/>
      <c r="M720" s="126"/>
      <c r="N720" s="126"/>
      <c r="O720" s="126"/>
      <c r="P720" s="126"/>
      <c r="Q720" s="126"/>
      <c r="R720" s="126"/>
      <c r="S720" s="126"/>
      <c r="T720" s="126"/>
      <c r="U720" s="126"/>
      <c r="V720" s="126"/>
      <c r="W720" s="126"/>
      <c r="X720" s="126"/>
      <c r="Y720" s="126"/>
      <c r="Z720" s="126"/>
      <c r="AA720" s="126"/>
      <c r="AB720" s="126"/>
    </row>
    <row r="721" spans="1:28" ht="15.75" customHeight="1">
      <c r="A721" s="126"/>
      <c r="B721" s="126"/>
      <c r="C721" s="176"/>
      <c r="D721" s="176"/>
      <c r="E721" s="176"/>
      <c r="F721" s="176"/>
      <c r="G721" s="176"/>
      <c r="H721" s="176"/>
      <c r="I721" s="126"/>
      <c r="J721" s="126"/>
      <c r="K721" s="126"/>
      <c r="L721" s="126"/>
      <c r="M721" s="126"/>
      <c r="N721" s="126"/>
      <c r="O721" s="126"/>
      <c r="P721" s="126"/>
      <c r="Q721" s="126"/>
      <c r="R721" s="126"/>
      <c r="S721" s="126"/>
      <c r="T721" s="126"/>
      <c r="U721" s="126"/>
      <c r="V721" s="126"/>
      <c r="W721" s="126"/>
      <c r="X721" s="126"/>
      <c r="Y721" s="126"/>
      <c r="Z721" s="126"/>
      <c r="AA721" s="126"/>
      <c r="AB721" s="126"/>
    </row>
    <row r="722" spans="1:28" ht="15.75" customHeight="1">
      <c r="A722" s="126"/>
      <c r="B722" s="126"/>
      <c r="C722" s="176"/>
      <c r="D722" s="176"/>
      <c r="E722" s="176"/>
      <c r="F722" s="176"/>
      <c r="G722" s="176"/>
      <c r="H722" s="176"/>
      <c r="I722" s="126"/>
      <c r="J722" s="126"/>
      <c r="K722" s="126"/>
      <c r="L722" s="126"/>
      <c r="M722" s="126"/>
      <c r="N722" s="126"/>
      <c r="O722" s="126"/>
      <c r="P722" s="126"/>
      <c r="Q722" s="126"/>
      <c r="R722" s="126"/>
      <c r="S722" s="126"/>
      <c r="T722" s="126"/>
      <c r="U722" s="126"/>
      <c r="V722" s="126"/>
      <c r="W722" s="126"/>
      <c r="X722" s="126"/>
      <c r="Y722" s="126"/>
      <c r="Z722" s="126"/>
      <c r="AA722" s="126"/>
      <c r="AB722" s="126"/>
    </row>
    <row r="723" spans="1:28" ht="15.75" customHeight="1">
      <c r="A723" s="126"/>
      <c r="B723" s="126"/>
      <c r="C723" s="176"/>
      <c r="D723" s="176"/>
      <c r="E723" s="176"/>
      <c r="F723" s="176"/>
      <c r="G723" s="176"/>
      <c r="H723" s="176"/>
      <c r="I723" s="126"/>
      <c r="J723" s="126"/>
      <c r="K723" s="126"/>
      <c r="L723" s="126"/>
      <c r="M723" s="126"/>
      <c r="N723" s="126"/>
      <c r="O723" s="126"/>
      <c r="P723" s="126"/>
      <c r="Q723" s="126"/>
      <c r="R723" s="126"/>
      <c r="S723" s="126"/>
      <c r="T723" s="126"/>
      <c r="U723" s="126"/>
      <c r="V723" s="126"/>
      <c r="W723" s="126"/>
      <c r="X723" s="126"/>
      <c r="Y723" s="126"/>
      <c r="Z723" s="126"/>
      <c r="AA723" s="126"/>
      <c r="AB723" s="126"/>
    </row>
    <row r="724" spans="1:28" ht="15.75" customHeight="1">
      <c r="A724" s="126"/>
      <c r="B724" s="126"/>
      <c r="C724" s="176"/>
      <c r="D724" s="176"/>
      <c r="E724" s="176"/>
      <c r="F724" s="176"/>
      <c r="G724" s="176"/>
      <c r="H724" s="176"/>
      <c r="I724" s="126"/>
      <c r="J724" s="126"/>
      <c r="K724" s="126"/>
      <c r="L724" s="126"/>
      <c r="M724" s="126"/>
      <c r="N724" s="126"/>
      <c r="O724" s="126"/>
      <c r="P724" s="126"/>
      <c r="Q724" s="126"/>
      <c r="R724" s="126"/>
      <c r="S724" s="126"/>
      <c r="T724" s="126"/>
      <c r="U724" s="126"/>
      <c r="V724" s="126"/>
      <c r="W724" s="126"/>
      <c r="X724" s="126"/>
      <c r="Y724" s="126"/>
      <c r="Z724" s="126"/>
      <c r="AA724" s="126"/>
      <c r="AB724" s="126"/>
    </row>
    <row r="725" spans="1:28" ht="15.75" customHeight="1">
      <c r="A725" s="126"/>
      <c r="B725" s="126"/>
      <c r="C725" s="176"/>
      <c r="D725" s="176"/>
      <c r="E725" s="176"/>
      <c r="F725" s="176"/>
      <c r="G725" s="176"/>
      <c r="H725" s="176"/>
      <c r="I725" s="126"/>
      <c r="J725" s="126"/>
      <c r="K725" s="126"/>
      <c r="L725" s="126"/>
      <c r="M725" s="126"/>
      <c r="N725" s="126"/>
      <c r="O725" s="126"/>
      <c r="P725" s="126"/>
      <c r="Q725" s="126"/>
      <c r="R725" s="126"/>
      <c r="S725" s="126"/>
      <c r="T725" s="126"/>
      <c r="U725" s="126"/>
      <c r="V725" s="126"/>
      <c r="W725" s="126"/>
      <c r="X725" s="126"/>
      <c r="Y725" s="126"/>
      <c r="Z725" s="126"/>
      <c r="AA725" s="126"/>
      <c r="AB725" s="126"/>
    </row>
    <row r="726" spans="1:28" ht="15.75" customHeight="1">
      <c r="A726" s="126"/>
      <c r="B726" s="126"/>
      <c r="C726" s="176"/>
      <c r="D726" s="176"/>
      <c r="E726" s="176"/>
      <c r="F726" s="176"/>
      <c r="G726" s="176"/>
      <c r="H726" s="176"/>
      <c r="I726" s="126"/>
      <c r="J726" s="126"/>
      <c r="K726" s="126"/>
      <c r="L726" s="126"/>
      <c r="M726" s="126"/>
      <c r="N726" s="126"/>
      <c r="O726" s="126"/>
      <c r="P726" s="126"/>
      <c r="Q726" s="126"/>
      <c r="R726" s="126"/>
      <c r="S726" s="126"/>
      <c r="T726" s="126"/>
      <c r="U726" s="126"/>
      <c r="V726" s="126"/>
      <c r="W726" s="126"/>
      <c r="X726" s="126"/>
      <c r="Y726" s="126"/>
      <c r="Z726" s="126"/>
      <c r="AA726" s="126"/>
      <c r="AB726" s="126"/>
    </row>
    <row r="727" spans="1:28" ht="15.75" customHeight="1">
      <c r="A727" s="126"/>
      <c r="B727" s="126"/>
      <c r="C727" s="176"/>
      <c r="D727" s="176"/>
      <c r="E727" s="176"/>
      <c r="F727" s="176"/>
      <c r="G727" s="176"/>
      <c r="H727" s="176"/>
      <c r="I727" s="126"/>
      <c r="J727" s="126"/>
      <c r="K727" s="126"/>
      <c r="L727" s="126"/>
      <c r="M727" s="126"/>
      <c r="N727" s="126"/>
      <c r="O727" s="126"/>
      <c r="P727" s="126"/>
      <c r="Q727" s="126"/>
      <c r="R727" s="126"/>
      <c r="S727" s="126"/>
      <c r="T727" s="126"/>
      <c r="U727" s="126"/>
      <c r="V727" s="126"/>
      <c r="W727" s="126"/>
      <c r="X727" s="126"/>
      <c r="Y727" s="126"/>
      <c r="Z727" s="126"/>
      <c r="AA727" s="126"/>
      <c r="AB727" s="126"/>
    </row>
    <row r="728" spans="1:28" ht="15.75" customHeight="1">
      <c r="A728" s="126"/>
      <c r="B728" s="126"/>
      <c r="C728" s="176"/>
      <c r="D728" s="176"/>
      <c r="E728" s="176"/>
      <c r="F728" s="176"/>
      <c r="G728" s="176"/>
      <c r="H728" s="176"/>
      <c r="I728" s="126"/>
      <c r="J728" s="126"/>
      <c r="K728" s="126"/>
      <c r="L728" s="126"/>
      <c r="M728" s="126"/>
      <c r="N728" s="126"/>
      <c r="O728" s="126"/>
      <c r="P728" s="126"/>
      <c r="Q728" s="126"/>
      <c r="R728" s="126"/>
      <c r="S728" s="126"/>
      <c r="T728" s="126"/>
      <c r="U728" s="126"/>
      <c r="V728" s="126"/>
      <c r="W728" s="126"/>
      <c r="X728" s="126"/>
      <c r="Y728" s="126"/>
      <c r="Z728" s="126"/>
      <c r="AA728" s="126"/>
      <c r="AB728" s="126"/>
    </row>
    <row r="729" spans="1:28" ht="15.75" customHeight="1">
      <c r="A729" s="126"/>
      <c r="B729" s="126"/>
      <c r="C729" s="176"/>
      <c r="D729" s="176"/>
      <c r="E729" s="176"/>
      <c r="F729" s="176"/>
      <c r="G729" s="176"/>
      <c r="H729" s="176"/>
      <c r="I729" s="126"/>
      <c r="J729" s="126"/>
      <c r="K729" s="126"/>
      <c r="L729" s="126"/>
      <c r="M729" s="126"/>
      <c r="N729" s="126"/>
      <c r="O729" s="126"/>
      <c r="P729" s="126"/>
      <c r="Q729" s="126"/>
      <c r="R729" s="126"/>
      <c r="S729" s="126"/>
      <c r="T729" s="126"/>
      <c r="U729" s="126"/>
      <c r="V729" s="126"/>
      <c r="W729" s="126"/>
      <c r="X729" s="126"/>
      <c r="Y729" s="126"/>
      <c r="Z729" s="126"/>
      <c r="AA729" s="126"/>
      <c r="AB729" s="126"/>
    </row>
    <row r="730" spans="1:28" ht="15.75" customHeight="1">
      <c r="A730" s="126"/>
      <c r="B730" s="126"/>
      <c r="C730" s="176"/>
      <c r="D730" s="176"/>
      <c r="E730" s="176"/>
      <c r="F730" s="176"/>
      <c r="G730" s="176"/>
      <c r="H730" s="176"/>
      <c r="I730" s="126"/>
      <c r="J730" s="126"/>
      <c r="K730" s="126"/>
      <c r="L730" s="126"/>
      <c r="M730" s="126"/>
      <c r="N730" s="126"/>
      <c r="O730" s="126"/>
      <c r="P730" s="126"/>
      <c r="Q730" s="126"/>
      <c r="R730" s="126"/>
      <c r="S730" s="126"/>
      <c r="T730" s="126"/>
      <c r="U730" s="126"/>
      <c r="V730" s="126"/>
      <c r="W730" s="126"/>
      <c r="X730" s="126"/>
      <c r="Y730" s="126"/>
      <c r="Z730" s="126"/>
      <c r="AA730" s="126"/>
      <c r="AB730" s="126"/>
    </row>
    <row r="731" spans="1:28" ht="15.75" customHeight="1">
      <c r="A731" s="126"/>
      <c r="B731" s="126"/>
      <c r="C731" s="176"/>
      <c r="D731" s="176"/>
      <c r="E731" s="176"/>
      <c r="F731" s="176"/>
      <c r="G731" s="176"/>
      <c r="H731" s="176"/>
      <c r="I731" s="126"/>
      <c r="J731" s="126"/>
      <c r="K731" s="126"/>
      <c r="L731" s="126"/>
      <c r="M731" s="126"/>
      <c r="N731" s="126"/>
      <c r="O731" s="126"/>
      <c r="P731" s="126"/>
      <c r="Q731" s="126"/>
      <c r="R731" s="126"/>
      <c r="S731" s="126"/>
      <c r="T731" s="126"/>
      <c r="U731" s="126"/>
      <c r="V731" s="126"/>
      <c r="W731" s="126"/>
      <c r="X731" s="126"/>
      <c r="Y731" s="126"/>
      <c r="Z731" s="126"/>
      <c r="AA731" s="126"/>
      <c r="AB731" s="126"/>
    </row>
    <row r="732" spans="1:28" ht="15.75" customHeight="1">
      <c r="A732" s="126"/>
      <c r="B732" s="126"/>
      <c r="C732" s="176"/>
      <c r="D732" s="176"/>
      <c r="E732" s="176"/>
      <c r="F732" s="176"/>
      <c r="G732" s="176"/>
      <c r="H732" s="176"/>
      <c r="I732" s="126"/>
      <c r="J732" s="126"/>
      <c r="K732" s="126"/>
      <c r="L732" s="126"/>
      <c r="M732" s="126"/>
      <c r="N732" s="126"/>
      <c r="O732" s="126"/>
      <c r="P732" s="126"/>
      <c r="Q732" s="126"/>
      <c r="R732" s="126"/>
      <c r="S732" s="126"/>
      <c r="T732" s="126"/>
      <c r="U732" s="126"/>
      <c r="V732" s="126"/>
      <c r="W732" s="126"/>
      <c r="X732" s="126"/>
      <c r="Y732" s="126"/>
      <c r="Z732" s="126"/>
      <c r="AA732" s="126"/>
      <c r="AB732" s="126"/>
    </row>
    <row r="733" spans="1:28" ht="15.75" customHeight="1">
      <c r="A733" s="126"/>
      <c r="B733" s="126"/>
      <c r="C733" s="176"/>
      <c r="D733" s="176"/>
      <c r="E733" s="176"/>
      <c r="F733" s="176"/>
      <c r="G733" s="176"/>
      <c r="H733" s="176"/>
      <c r="I733" s="126"/>
      <c r="J733" s="126"/>
      <c r="K733" s="126"/>
      <c r="L733" s="126"/>
      <c r="M733" s="126"/>
      <c r="N733" s="126"/>
      <c r="O733" s="126"/>
      <c r="P733" s="126"/>
      <c r="Q733" s="126"/>
      <c r="R733" s="126"/>
      <c r="S733" s="126"/>
      <c r="T733" s="126"/>
      <c r="U733" s="126"/>
      <c r="V733" s="126"/>
      <c r="W733" s="126"/>
      <c r="X733" s="126"/>
      <c r="Y733" s="126"/>
      <c r="Z733" s="126"/>
      <c r="AA733" s="126"/>
      <c r="AB733" s="126"/>
    </row>
    <row r="734" spans="1:28" ht="15.75" customHeight="1">
      <c r="A734" s="126"/>
      <c r="B734" s="126"/>
      <c r="C734" s="176"/>
      <c r="D734" s="176"/>
      <c r="E734" s="176"/>
      <c r="F734" s="176"/>
      <c r="G734" s="176"/>
      <c r="H734" s="176"/>
      <c r="I734" s="126"/>
      <c r="J734" s="126"/>
      <c r="K734" s="126"/>
      <c r="L734" s="126"/>
      <c r="M734" s="126"/>
      <c r="N734" s="126"/>
      <c r="O734" s="126"/>
      <c r="P734" s="126"/>
      <c r="Q734" s="126"/>
      <c r="R734" s="126"/>
      <c r="S734" s="126"/>
      <c r="T734" s="126"/>
      <c r="U734" s="126"/>
      <c r="V734" s="126"/>
      <c r="W734" s="126"/>
      <c r="X734" s="126"/>
      <c r="Y734" s="126"/>
      <c r="Z734" s="126"/>
      <c r="AA734" s="126"/>
      <c r="AB734" s="126"/>
    </row>
    <row r="735" spans="1:28" ht="15.75" customHeight="1">
      <c r="A735" s="126"/>
      <c r="B735" s="126"/>
      <c r="C735" s="176"/>
      <c r="D735" s="176"/>
      <c r="E735" s="176"/>
      <c r="F735" s="176"/>
      <c r="G735" s="176"/>
      <c r="H735" s="176"/>
      <c r="I735" s="126"/>
      <c r="J735" s="126"/>
      <c r="K735" s="126"/>
      <c r="L735" s="126"/>
      <c r="M735" s="126"/>
      <c r="N735" s="126"/>
      <c r="O735" s="126"/>
      <c r="P735" s="126"/>
      <c r="Q735" s="126"/>
      <c r="R735" s="126"/>
      <c r="S735" s="126"/>
      <c r="T735" s="126"/>
      <c r="U735" s="126"/>
      <c r="V735" s="126"/>
      <c r="W735" s="126"/>
      <c r="X735" s="126"/>
      <c r="Y735" s="126"/>
      <c r="Z735" s="126"/>
      <c r="AA735" s="126"/>
      <c r="AB735" s="126"/>
    </row>
    <row r="736" spans="1:28" ht="15.75" customHeight="1">
      <c r="A736" s="126"/>
      <c r="B736" s="126"/>
      <c r="C736" s="176"/>
      <c r="D736" s="176"/>
      <c r="E736" s="176"/>
      <c r="F736" s="176"/>
      <c r="G736" s="176"/>
      <c r="H736" s="176"/>
      <c r="I736" s="126"/>
      <c r="J736" s="126"/>
      <c r="K736" s="126"/>
      <c r="L736" s="126"/>
      <c r="M736" s="126"/>
      <c r="N736" s="126"/>
      <c r="O736" s="126"/>
      <c r="P736" s="126"/>
      <c r="Q736" s="126"/>
      <c r="R736" s="126"/>
      <c r="S736" s="126"/>
      <c r="T736" s="126"/>
      <c r="U736" s="126"/>
      <c r="V736" s="126"/>
      <c r="W736" s="126"/>
      <c r="X736" s="126"/>
      <c r="Y736" s="126"/>
      <c r="Z736" s="126"/>
      <c r="AA736" s="126"/>
      <c r="AB736" s="126"/>
    </row>
    <row r="737" spans="1:28" ht="15.75" customHeight="1">
      <c r="A737" s="126"/>
      <c r="B737" s="126"/>
      <c r="C737" s="176"/>
      <c r="D737" s="176"/>
      <c r="E737" s="176"/>
      <c r="F737" s="176"/>
      <c r="G737" s="176"/>
      <c r="H737" s="176"/>
      <c r="I737" s="126"/>
      <c r="J737" s="126"/>
      <c r="K737" s="126"/>
      <c r="L737" s="126"/>
      <c r="M737" s="126"/>
      <c r="N737" s="126"/>
      <c r="O737" s="126"/>
      <c r="P737" s="126"/>
      <c r="Q737" s="126"/>
      <c r="R737" s="126"/>
      <c r="S737" s="126"/>
      <c r="T737" s="126"/>
      <c r="U737" s="126"/>
      <c r="V737" s="126"/>
      <c r="W737" s="126"/>
      <c r="X737" s="126"/>
      <c r="Y737" s="126"/>
      <c r="Z737" s="126"/>
      <c r="AA737" s="126"/>
      <c r="AB737" s="126"/>
    </row>
    <row r="738" spans="1:28" ht="15.75" customHeight="1">
      <c r="A738" s="126"/>
      <c r="B738" s="126"/>
      <c r="C738" s="176"/>
      <c r="D738" s="176"/>
      <c r="E738" s="176"/>
      <c r="F738" s="176"/>
      <c r="G738" s="176"/>
      <c r="H738" s="176"/>
      <c r="I738" s="126"/>
      <c r="J738" s="126"/>
      <c r="K738" s="126"/>
      <c r="L738" s="126"/>
      <c r="M738" s="126"/>
      <c r="N738" s="126"/>
      <c r="O738" s="126"/>
      <c r="P738" s="126"/>
      <c r="Q738" s="126"/>
      <c r="R738" s="126"/>
      <c r="S738" s="126"/>
      <c r="T738" s="126"/>
      <c r="U738" s="126"/>
      <c r="V738" s="126"/>
      <c r="W738" s="126"/>
      <c r="X738" s="126"/>
      <c r="Y738" s="126"/>
      <c r="Z738" s="126"/>
      <c r="AA738" s="126"/>
      <c r="AB738" s="126"/>
    </row>
    <row r="739" spans="1:28" ht="15.75" customHeight="1">
      <c r="A739" s="126"/>
      <c r="B739" s="126"/>
      <c r="C739" s="176"/>
      <c r="D739" s="176"/>
      <c r="E739" s="176"/>
      <c r="F739" s="176"/>
      <c r="G739" s="176"/>
      <c r="H739" s="176"/>
      <c r="I739" s="126"/>
      <c r="J739" s="126"/>
      <c r="K739" s="126"/>
      <c r="L739" s="126"/>
      <c r="M739" s="126"/>
      <c r="N739" s="126"/>
      <c r="O739" s="126"/>
      <c r="P739" s="126"/>
      <c r="Q739" s="126"/>
      <c r="R739" s="126"/>
      <c r="S739" s="126"/>
      <c r="T739" s="126"/>
      <c r="U739" s="126"/>
      <c r="V739" s="126"/>
      <c r="W739" s="126"/>
      <c r="X739" s="126"/>
      <c r="Y739" s="126"/>
      <c r="Z739" s="126"/>
      <c r="AA739" s="126"/>
      <c r="AB739" s="126"/>
    </row>
    <row r="740" spans="1:28" ht="15.75" customHeight="1">
      <c r="A740" s="126"/>
      <c r="B740" s="126"/>
      <c r="C740" s="176"/>
      <c r="D740" s="176"/>
      <c r="E740" s="176"/>
      <c r="F740" s="176"/>
      <c r="G740" s="176"/>
      <c r="H740" s="176"/>
      <c r="I740" s="126"/>
      <c r="J740" s="126"/>
      <c r="K740" s="126"/>
      <c r="L740" s="126"/>
      <c r="M740" s="126"/>
      <c r="N740" s="126"/>
      <c r="O740" s="126"/>
      <c r="P740" s="126"/>
      <c r="Q740" s="126"/>
      <c r="R740" s="126"/>
      <c r="S740" s="126"/>
      <c r="T740" s="126"/>
      <c r="U740" s="126"/>
      <c r="V740" s="126"/>
      <c r="W740" s="126"/>
      <c r="X740" s="126"/>
      <c r="Y740" s="126"/>
      <c r="Z740" s="126"/>
      <c r="AA740" s="126"/>
      <c r="AB740" s="126"/>
    </row>
    <row r="741" spans="1:28" ht="15.75" customHeight="1">
      <c r="A741" s="126"/>
      <c r="B741" s="126"/>
      <c r="C741" s="176"/>
      <c r="D741" s="176"/>
      <c r="E741" s="176"/>
      <c r="F741" s="176"/>
      <c r="G741" s="176"/>
      <c r="H741" s="176"/>
      <c r="I741" s="126"/>
      <c r="J741" s="126"/>
      <c r="K741" s="126"/>
      <c r="L741" s="126"/>
      <c r="M741" s="126"/>
      <c r="N741" s="126"/>
      <c r="O741" s="126"/>
      <c r="P741" s="126"/>
      <c r="Q741" s="126"/>
      <c r="R741" s="126"/>
      <c r="S741" s="126"/>
      <c r="T741" s="126"/>
      <c r="U741" s="126"/>
      <c r="V741" s="126"/>
      <c r="W741" s="126"/>
      <c r="X741" s="126"/>
      <c r="Y741" s="126"/>
      <c r="Z741" s="126"/>
      <c r="AA741" s="126"/>
      <c r="AB741" s="126"/>
    </row>
    <row r="742" spans="1:28" ht="15.75" customHeight="1">
      <c r="A742" s="126"/>
      <c r="B742" s="126"/>
      <c r="C742" s="176"/>
      <c r="D742" s="176"/>
      <c r="E742" s="176"/>
      <c r="F742" s="176"/>
      <c r="G742" s="176"/>
      <c r="H742" s="176"/>
      <c r="I742" s="126"/>
      <c r="J742" s="126"/>
      <c r="K742" s="126"/>
      <c r="L742" s="126"/>
      <c r="M742" s="126"/>
      <c r="N742" s="126"/>
      <c r="O742" s="126"/>
      <c r="P742" s="126"/>
      <c r="Q742" s="126"/>
      <c r="R742" s="126"/>
      <c r="S742" s="126"/>
      <c r="T742" s="126"/>
      <c r="U742" s="126"/>
      <c r="V742" s="126"/>
      <c r="W742" s="126"/>
      <c r="X742" s="126"/>
      <c r="Y742" s="126"/>
      <c r="Z742" s="126"/>
      <c r="AA742" s="126"/>
      <c r="AB742" s="126"/>
    </row>
    <row r="743" spans="1:28" ht="15.75" customHeight="1">
      <c r="A743" s="126"/>
      <c r="B743" s="126"/>
      <c r="C743" s="176"/>
      <c r="D743" s="176"/>
      <c r="E743" s="176"/>
      <c r="F743" s="176"/>
      <c r="G743" s="176"/>
      <c r="H743" s="176"/>
      <c r="I743" s="126"/>
      <c r="J743" s="126"/>
      <c r="K743" s="126"/>
      <c r="L743" s="126"/>
      <c r="M743" s="126"/>
      <c r="N743" s="126"/>
      <c r="O743" s="126"/>
      <c r="P743" s="126"/>
      <c r="Q743" s="126"/>
      <c r="R743" s="126"/>
      <c r="S743" s="126"/>
      <c r="T743" s="126"/>
      <c r="U743" s="126"/>
      <c r="V743" s="126"/>
      <c r="W743" s="126"/>
      <c r="X743" s="126"/>
      <c r="Y743" s="126"/>
      <c r="Z743" s="126"/>
      <c r="AA743" s="126"/>
      <c r="AB743" s="126"/>
    </row>
    <row r="744" spans="1:28" ht="15.75" customHeight="1">
      <c r="A744" s="126"/>
      <c r="B744" s="126"/>
      <c r="C744" s="176"/>
      <c r="D744" s="176"/>
      <c r="E744" s="176"/>
      <c r="F744" s="176"/>
      <c r="G744" s="176"/>
      <c r="H744" s="176"/>
      <c r="I744" s="126"/>
      <c r="J744" s="126"/>
      <c r="K744" s="126"/>
      <c r="L744" s="126"/>
      <c r="M744" s="126"/>
      <c r="N744" s="126"/>
      <c r="O744" s="126"/>
      <c r="P744" s="126"/>
      <c r="Q744" s="126"/>
      <c r="R744" s="126"/>
      <c r="S744" s="126"/>
      <c r="T744" s="126"/>
      <c r="U744" s="126"/>
      <c r="V744" s="126"/>
      <c r="W744" s="126"/>
      <c r="X744" s="126"/>
      <c r="Y744" s="126"/>
      <c r="Z744" s="126"/>
      <c r="AA744" s="126"/>
      <c r="AB744" s="126"/>
    </row>
    <row r="745" spans="1:28" ht="15.75" customHeight="1">
      <c r="A745" s="126"/>
      <c r="B745" s="126"/>
      <c r="C745" s="176"/>
      <c r="D745" s="176"/>
      <c r="E745" s="176"/>
      <c r="F745" s="176"/>
      <c r="G745" s="176"/>
      <c r="H745" s="176"/>
      <c r="I745" s="126"/>
      <c r="J745" s="126"/>
      <c r="K745" s="126"/>
      <c r="L745" s="126"/>
      <c r="M745" s="126"/>
      <c r="N745" s="126"/>
      <c r="O745" s="126"/>
      <c r="P745" s="126"/>
      <c r="Q745" s="126"/>
      <c r="R745" s="126"/>
      <c r="S745" s="126"/>
      <c r="T745" s="126"/>
      <c r="U745" s="126"/>
      <c r="V745" s="126"/>
      <c r="W745" s="126"/>
      <c r="X745" s="126"/>
      <c r="Y745" s="126"/>
      <c r="Z745" s="126"/>
      <c r="AA745" s="126"/>
      <c r="AB745" s="126"/>
    </row>
    <row r="746" spans="1:28" ht="15.75" customHeight="1">
      <c r="A746" s="126"/>
      <c r="B746" s="126"/>
      <c r="C746" s="176"/>
      <c r="D746" s="176"/>
      <c r="E746" s="176"/>
      <c r="F746" s="176"/>
      <c r="G746" s="176"/>
      <c r="H746" s="176"/>
      <c r="I746" s="126"/>
      <c r="J746" s="126"/>
      <c r="K746" s="126"/>
      <c r="L746" s="126"/>
      <c r="M746" s="126"/>
      <c r="N746" s="126"/>
      <c r="O746" s="126"/>
      <c r="P746" s="126"/>
      <c r="Q746" s="126"/>
      <c r="R746" s="126"/>
      <c r="S746" s="126"/>
      <c r="T746" s="126"/>
      <c r="U746" s="126"/>
      <c r="V746" s="126"/>
      <c r="W746" s="126"/>
      <c r="X746" s="126"/>
      <c r="Y746" s="126"/>
      <c r="Z746" s="126"/>
      <c r="AA746" s="126"/>
      <c r="AB746" s="126"/>
    </row>
    <row r="747" spans="1:28" ht="15.75" customHeight="1">
      <c r="A747" s="126"/>
      <c r="B747" s="126"/>
      <c r="C747" s="176"/>
      <c r="D747" s="176"/>
      <c r="E747" s="176"/>
      <c r="F747" s="176"/>
      <c r="G747" s="176"/>
      <c r="H747" s="176"/>
      <c r="I747" s="126"/>
      <c r="J747" s="126"/>
      <c r="K747" s="126"/>
      <c r="L747" s="126"/>
      <c r="M747" s="126"/>
      <c r="N747" s="126"/>
      <c r="O747" s="126"/>
      <c r="P747" s="126"/>
      <c r="Q747" s="126"/>
      <c r="R747" s="126"/>
      <c r="S747" s="126"/>
      <c r="T747" s="126"/>
      <c r="U747" s="126"/>
      <c r="V747" s="126"/>
      <c r="W747" s="126"/>
      <c r="X747" s="126"/>
      <c r="Y747" s="126"/>
      <c r="Z747" s="126"/>
      <c r="AA747" s="126"/>
      <c r="AB747" s="126"/>
    </row>
    <row r="748" spans="1:28" ht="15.75" customHeight="1">
      <c r="A748" s="126"/>
      <c r="B748" s="126"/>
      <c r="C748" s="176"/>
      <c r="D748" s="176"/>
      <c r="E748" s="176"/>
      <c r="F748" s="176"/>
      <c r="G748" s="176"/>
      <c r="H748" s="176"/>
      <c r="I748" s="126"/>
      <c r="J748" s="126"/>
      <c r="K748" s="126"/>
      <c r="L748" s="126"/>
      <c r="M748" s="126"/>
      <c r="N748" s="126"/>
      <c r="O748" s="126"/>
      <c r="P748" s="126"/>
      <c r="Q748" s="126"/>
      <c r="R748" s="126"/>
      <c r="S748" s="126"/>
      <c r="T748" s="126"/>
      <c r="U748" s="126"/>
      <c r="V748" s="126"/>
      <c r="W748" s="126"/>
      <c r="X748" s="126"/>
      <c r="Y748" s="126"/>
      <c r="Z748" s="126"/>
      <c r="AA748" s="126"/>
      <c r="AB748" s="126"/>
    </row>
    <row r="749" spans="1:28" ht="15.75" customHeight="1">
      <c r="A749" s="126"/>
      <c r="B749" s="126"/>
      <c r="C749" s="176"/>
      <c r="D749" s="176"/>
      <c r="E749" s="176"/>
      <c r="F749" s="176"/>
      <c r="G749" s="176"/>
      <c r="H749" s="176"/>
      <c r="I749" s="126"/>
      <c r="J749" s="126"/>
      <c r="K749" s="126"/>
      <c r="L749" s="126"/>
      <c r="M749" s="126"/>
      <c r="N749" s="126"/>
      <c r="O749" s="126"/>
      <c r="P749" s="126"/>
      <c r="Q749" s="126"/>
      <c r="R749" s="126"/>
      <c r="S749" s="126"/>
      <c r="T749" s="126"/>
      <c r="U749" s="126"/>
      <c r="V749" s="126"/>
      <c r="W749" s="126"/>
      <c r="X749" s="126"/>
      <c r="Y749" s="126"/>
      <c r="Z749" s="126"/>
      <c r="AA749" s="126"/>
      <c r="AB749" s="126"/>
    </row>
    <row r="750" spans="1:28" ht="15.75" customHeight="1">
      <c r="A750" s="126"/>
      <c r="B750" s="126"/>
      <c r="C750" s="176"/>
      <c r="D750" s="176"/>
      <c r="E750" s="176"/>
      <c r="F750" s="176"/>
      <c r="G750" s="176"/>
      <c r="H750" s="176"/>
      <c r="I750" s="126"/>
      <c r="J750" s="126"/>
      <c r="K750" s="126"/>
      <c r="L750" s="126"/>
      <c r="M750" s="126"/>
      <c r="N750" s="126"/>
      <c r="O750" s="126"/>
      <c r="P750" s="126"/>
      <c r="Q750" s="126"/>
      <c r="R750" s="126"/>
      <c r="S750" s="126"/>
      <c r="T750" s="126"/>
      <c r="U750" s="126"/>
      <c r="V750" s="126"/>
      <c r="W750" s="126"/>
      <c r="X750" s="126"/>
      <c r="Y750" s="126"/>
      <c r="Z750" s="126"/>
      <c r="AA750" s="126"/>
      <c r="AB750" s="126"/>
    </row>
    <row r="751" spans="1:28" ht="15.75" customHeight="1">
      <c r="A751" s="126"/>
      <c r="B751" s="126"/>
      <c r="C751" s="176"/>
      <c r="D751" s="176"/>
      <c r="E751" s="176"/>
      <c r="F751" s="176"/>
      <c r="G751" s="176"/>
      <c r="H751" s="176"/>
      <c r="I751" s="126"/>
      <c r="J751" s="126"/>
      <c r="K751" s="126"/>
      <c r="L751" s="126"/>
      <c r="M751" s="126"/>
      <c r="N751" s="126"/>
      <c r="O751" s="126"/>
      <c r="P751" s="126"/>
      <c r="Q751" s="126"/>
      <c r="R751" s="126"/>
      <c r="S751" s="126"/>
      <c r="T751" s="126"/>
      <c r="U751" s="126"/>
      <c r="V751" s="126"/>
      <c r="W751" s="126"/>
      <c r="X751" s="126"/>
      <c r="Y751" s="126"/>
      <c r="Z751" s="126"/>
      <c r="AA751" s="126"/>
      <c r="AB751" s="126"/>
    </row>
    <row r="752" spans="1:28" ht="15.75" customHeight="1">
      <c r="A752" s="126"/>
      <c r="B752" s="126"/>
      <c r="C752" s="176"/>
      <c r="D752" s="176"/>
      <c r="E752" s="176"/>
      <c r="F752" s="176"/>
      <c r="G752" s="176"/>
      <c r="H752" s="176"/>
      <c r="I752" s="126"/>
      <c r="J752" s="126"/>
      <c r="K752" s="126"/>
      <c r="L752" s="126"/>
      <c r="M752" s="126"/>
      <c r="N752" s="126"/>
      <c r="O752" s="126"/>
      <c r="P752" s="126"/>
      <c r="Q752" s="126"/>
      <c r="R752" s="126"/>
      <c r="S752" s="126"/>
      <c r="T752" s="126"/>
      <c r="U752" s="126"/>
      <c r="V752" s="126"/>
      <c r="W752" s="126"/>
      <c r="X752" s="126"/>
      <c r="Y752" s="126"/>
      <c r="Z752" s="126"/>
      <c r="AA752" s="126"/>
      <c r="AB752" s="126"/>
    </row>
    <row r="753" spans="1:28" ht="15.75" customHeight="1">
      <c r="A753" s="126"/>
      <c r="B753" s="126"/>
      <c r="C753" s="176"/>
      <c r="D753" s="176"/>
      <c r="E753" s="176"/>
      <c r="F753" s="176"/>
      <c r="G753" s="176"/>
      <c r="H753" s="176"/>
      <c r="I753" s="126"/>
      <c r="J753" s="126"/>
      <c r="K753" s="126"/>
      <c r="L753" s="126"/>
      <c r="M753" s="126"/>
      <c r="N753" s="126"/>
      <c r="O753" s="126"/>
      <c r="P753" s="126"/>
      <c r="Q753" s="126"/>
      <c r="R753" s="126"/>
      <c r="S753" s="126"/>
      <c r="T753" s="126"/>
      <c r="U753" s="126"/>
      <c r="V753" s="126"/>
      <c r="W753" s="126"/>
      <c r="X753" s="126"/>
      <c r="Y753" s="126"/>
      <c r="Z753" s="126"/>
      <c r="AA753" s="126"/>
      <c r="AB753" s="126"/>
    </row>
    <row r="754" spans="1:28" ht="15.75" customHeight="1">
      <c r="A754" s="126"/>
      <c r="B754" s="126"/>
      <c r="C754" s="176"/>
      <c r="D754" s="176"/>
      <c r="E754" s="176"/>
      <c r="F754" s="176"/>
      <c r="G754" s="176"/>
      <c r="H754" s="176"/>
      <c r="I754" s="126"/>
      <c r="J754" s="126"/>
      <c r="K754" s="126"/>
      <c r="L754" s="126"/>
      <c r="M754" s="126"/>
      <c r="N754" s="126"/>
      <c r="O754" s="126"/>
      <c r="P754" s="126"/>
      <c r="Q754" s="126"/>
      <c r="R754" s="126"/>
      <c r="S754" s="126"/>
      <c r="T754" s="126"/>
      <c r="U754" s="126"/>
      <c r="V754" s="126"/>
      <c r="W754" s="126"/>
      <c r="X754" s="126"/>
      <c r="Y754" s="126"/>
      <c r="Z754" s="126"/>
      <c r="AA754" s="126"/>
      <c r="AB754" s="126"/>
    </row>
    <row r="755" spans="1:28" ht="15.75" customHeight="1">
      <c r="A755" s="126"/>
      <c r="B755" s="126"/>
      <c r="C755" s="176"/>
      <c r="D755" s="176"/>
      <c r="E755" s="176"/>
      <c r="F755" s="176"/>
      <c r="G755" s="176"/>
      <c r="H755" s="176"/>
      <c r="I755" s="126"/>
      <c r="J755" s="126"/>
      <c r="K755" s="126"/>
      <c r="L755" s="126"/>
      <c r="M755" s="126"/>
      <c r="N755" s="126"/>
      <c r="O755" s="126"/>
      <c r="P755" s="126"/>
      <c r="Q755" s="126"/>
      <c r="R755" s="126"/>
      <c r="S755" s="126"/>
      <c r="T755" s="126"/>
      <c r="U755" s="126"/>
      <c r="V755" s="126"/>
      <c r="W755" s="126"/>
      <c r="X755" s="126"/>
      <c r="Y755" s="126"/>
      <c r="Z755" s="126"/>
      <c r="AA755" s="126"/>
      <c r="AB755" s="126"/>
    </row>
    <row r="756" spans="1:28" ht="15.75" customHeight="1">
      <c r="A756" s="126"/>
      <c r="B756" s="126"/>
      <c r="C756" s="176"/>
      <c r="D756" s="176"/>
      <c r="E756" s="176"/>
      <c r="F756" s="176"/>
      <c r="G756" s="176"/>
      <c r="H756" s="176"/>
      <c r="I756" s="126"/>
      <c r="J756" s="126"/>
      <c r="K756" s="126"/>
      <c r="L756" s="126"/>
      <c r="M756" s="126"/>
      <c r="N756" s="126"/>
      <c r="O756" s="126"/>
      <c r="P756" s="126"/>
      <c r="Q756" s="126"/>
      <c r="R756" s="126"/>
      <c r="S756" s="126"/>
      <c r="T756" s="126"/>
      <c r="U756" s="126"/>
      <c r="V756" s="126"/>
      <c r="W756" s="126"/>
      <c r="X756" s="126"/>
      <c r="Y756" s="126"/>
      <c r="Z756" s="126"/>
      <c r="AA756" s="126"/>
      <c r="AB756" s="126"/>
    </row>
    <row r="757" spans="1:28" ht="15.75" customHeight="1">
      <c r="A757" s="126"/>
      <c r="B757" s="126"/>
      <c r="C757" s="176"/>
      <c r="D757" s="176"/>
      <c r="E757" s="176"/>
      <c r="F757" s="176"/>
      <c r="G757" s="176"/>
      <c r="H757" s="176"/>
      <c r="I757" s="126"/>
      <c r="J757" s="126"/>
      <c r="K757" s="126"/>
      <c r="L757" s="126"/>
      <c r="M757" s="126"/>
      <c r="N757" s="126"/>
      <c r="O757" s="126"/>
      <c r="P757" s="126"/>
      <c r="Q757" s="126"/>
      <c r="R757" s="126"/>
      <c r="S757" s="126"/>
      <c r="T757" s="126"/>
      <c r="U757" s="126"/>
      <c r="V757" s="126"/>
      <c r="W757" s="126"/>
      <c r="X757" s="126"/>
      <c r="Y757" s="126"/>
      <c r="Z757" s="126"/>
      <c r="AA757" s="126"/>
      <c r="AB757" s="126"/>
    </row>
    <row r="758" spans="1:28" ht="15.75" customHeight="1">
      <c r="A758" s="126"/>
      <c r="B758" s="126"/>
      <c r="C758" s="176"/>
      <c r="D758" s="176"/>
      <c r="E758" s="176"/>
      <c r="F758" s="176"/>
      <c r="G758" s="176"/>
      <c r="H758" s="176"/>
      <c r="I758" s="126"/>
      <c r="J758" s="126"/>
      <c r="K758" s="126"/>
      <c r="L758" s="126"/>
      <c r="M758" s="126"/>
      <c r="N758" s="126"/>
      <c r="O758" s="126"/>
      <c r="P758" s="126"/>
      <c r="Q758" s="126"/>
      <c r="R758" s="126"/>
      <c r="S758" s="126"/>
      <c r="T758" s="126"/>
      <c r="U758" s="126"/>
      <c r="V758" s="126"/>
      <c r="W758" s="126"/>
      <c r="X758" s="126"/>
      <c r="Y758" s="126"/>
      <c r="Z758" s="126"/>
      <c r="AA758" s="126"/>
      <c r="AB758" s="126"/>
    </row>
    <row r="759" spans="1:28" ht="15.75" customHeight="1">
      <c r="A759" s="126"/>
      <c r="B759" s="126"/>
      <c r="C759" s="176"/>
      <c r="D759" s="176"/>
      <c r="E759" s="176"/>
      <c r="F759" s="176"/>
      <c r="G759" s="176"/>
      <c r="H759" s="176"/>
      <c r="I759" s="126"/>
      <c r="J759" s="126"/>
      <c r="K759" s="126"/>
      <c r="L759" s="126"/>
      <c r="M759" s="126"/>
      <c r="N759" s="126"/>
      <c r="O759" s="126"/>
      <c r="P759" s="126"/>
      <c r="Q759" s="126"/>
      <c r="R759" s="126"/>
      <c r="S759" s="126"/>
      <c r="T759" s="126"/>
      <c r="U759" s="126"/>
      <c r="V759" s="126"/>
      <c r="W759" s="126"/>
      <c r="X759" s="126"/>
      <c r="Y759" s="126"/>
      <c r="Z759" s="126"/>
      <c r="AA759" s="126"/>
      <c r="AB759" s="126"/>
    </row>
    <row r="760" spans="1:28" ht="15.75" customHeight="1">
      <c r="A760" s="126"/>
      <c r="B760" s="126"/>
      <c r="C760" s="176"/>
      <c r="D760" s="176"/>
      <c r="E760" s="176"/>
      <c r="F760" s="176"/>
      <c r="G760" s="176"/>
      <c r="H760" s="176"/>
      <c r="I760" s="126"/>
      <c r="J760" s="126"/>
      <c r="K760" s="126"/>
      <c r="L760" s="126"/>
      <c r="M760" s="126"/>
      <c r="N760" s="126"/>
      <c r="O760" s="126"/>
      <c r="P760" s="126"/>
      <c r="Q760" s="126"/>
      <c r="R760" s="126"/>
      <c r="S760" s="126"/>
      <c r="T760" s="126"/>
      <c r="U760" s="126"/>
      <c r="V760" s="126"/>
      <c r="W760" s="126"/>
      <c r="X760" s="126"/>
      <c r="Y760" s="126"/>
      <c r="Z760" s="126"/>
      <c r="AA760" s="126"/>
      <c r="AB760" s="126"/>
    </row>
    <row r="761" spans="1:28" ht="15.75" customHeight="1">
      <c r="A761" s="126"/>
      <c r="B761" s="126"/>
      <c r="C761" s="176"/>
      <c r="D761" s="176"/>
      <c r="E761" s="176"/>
      <c r="F761" s="176"/>
      <c r="G761" s="176"/>
      <c r="H761" s="176"/>
      <c r="I761" s="126"/>
      <c r="J761" s="126"/>
      <c r="K761" s="126"/>
      <c r="L761" s="126"/>
      <c r="M761" s="126"/>
      <c r="N761" s="126"/>
      <c r="O761" s="126"/>
      <c r="P761" s="126"/>
      <c r="Q761" s="126"/>
      <c r="R761" s="126"/>
      <c r="S761" s="126"/>
      <c r="T761" s="126"/>
      <c r="U761" s="126"/>
      <c r="V761" s="126"/>
      <c r="W761" s="126"/>
      <c r="X761" s="126"/>
      <c r="Y761" s="126"/>
      <c r="Z761" s="126"/>
      <c r="AA761" s="126"/>
      <c r="AB761" s="126"/>
    </row>
    <row r="762" spans="1:28" ht="15.75" customHeight="1">
      <c r="A762" s="126"/>
      <c r="B762" s="126"/>
      <c r="C762" s="176"/>
      <c r="D762" s="176"/>
      <c r="E762" s="176"/>
      <c r="F762" s="176"/>
      <c r="G762" s="176"/>
      <c r="H762" s="176"/>
      <c r="I762" s="126"/>
      <c r="J762" s="126"/>
      <c r="K762" s="126"/>
      <c r="L762" s="126"/>
      <c r="M762" s="126"/>
      <c r="N762" s="126"/>
      <c r="O762" s="126"/>
      <c r="P762" s="126"/>
      <c r="Q762" s="126"/>
      <c r="R762" s="126"/>
      <c r="S762" s="126"/>
      <c r="T762" s="126"/>
      <c r="U762" s="126"/>
      <c r="V762" s="126"/>
      <c r="W762" s="126"/>
      <c r="X762" s="126"/>
      <c r="Y762" s="126"/>
      <c r="Z762" s="126"/>
      <c r="AA762" s="126"/>
      <c r="AB762" s="126"/>
    </row>
    <row r="763" spans="1:28" ht="15.75" customHeight="1">
      <c r="A763" s="126"/>
      <c r="B763" s="126"/>
      <c r="C763" s="176"/>
      <c r="D763" s="176"/>
      <c r="E763" s="176"/>
      <c r="F763" s="176"/>
      <c r="G763" s="176"/>
      <c r="H763" s="176"/>
      <c r="I763" s="126"/>
      <c r="J763" s="126"/>
      <c r="K763" s="126"/>
      <c r="L763" s="126"/>
      <c r="M763" s="126"/>
      <c r="N763" s="126"/>
      <c r="O763" s="126"/>
      <c r="P763" s="126"/>
      <c r="Q763" s="126"/>
      <c r="R763" s="126"/>
      <c r="S763" s="126"/>
      <c r="T763" s="126"/>
      <c r="U763" s="126"/>
      <c r="V763" s="126"/>
      <c r="W763" s="126"/>
      <c r="X763" s="126"/>
      <c r="Y763" s="126"/>
      <c r="Z763" s="126"/>
      <c r="AA763" s="126"/>
      <c r="AB763" s="126"/>
    </row>
    <row r="764" spans="1:28" ht="15.75" customHeight="1">
      <c r="A764" s="126"/>
      <c r="B764" s="126"/>
      <c r="C764" s="176"/>
      <c r="D764" s="176"/>
      <c r="E764" s="176"/>
      <c r="F764" s="176"/>
      <c r="G764" s="176"/>
      <c r="H764" s="176"/>
      <c r="I764" s="126"/>
      <c r="J764" s="126"/>
      <c r="K764" s="126"/>
      <c r="L764" s="126"/>
      <c r="M764" s="126"/>
      <c r="N764" s="126"/>
      <c r="O764" s="126"/>
      <c r="P764" s="126"/>
      <c r="Q764" s="126"/>
      <c r="R764" s="126"/>
      <c r="S764" s="126"/>
      <c r="T764" s="126"/>
      <c r="U764" s="126"/>
      <c r="V764" s="126"/>
      <c r="W764" s="126"/>
      <c r="X764" s="126"/>
      <c r="Y764" s="126"/>
      <c r="Z764" s="126"/>
      <c r="AA764" s="126"/>
      <c r="AB764" s="126"/>
    </row>
    <row r="765" spans="1:28" ht="15.75" customHeight="1">
      <c r="A765" s="126"/>
      <c r="B765" s="126"/>
      <c r="C765" s="176"/>
      <c r="D765" s="176"/>
      <c r="E765" s="176"/>
      <c r="F765" s="176"/>
      <c r="G765" s="176"/>
      <c r="H765" s="176"/>
      <c r="I765" s="126"/>
      <c r="J765" s="126"/>
      <c r="K765" s="126"/>
      <c r="L765" s="126"/>
      <c r="M765" s="126"/>
      <c r="N765" s="126"/>
      <c r="O765" s="126"/>
      <c r="P765" s="126"/>
      <c r="Q765" s="126"/>
      <c r="R765" s="126"/>
      <c r="S765" s="126"/>
      <c r="T765" s="126"/>
      <c r="U765" s="126"/>
      <c r="V765" s="126"/>
      <c r="W765" s="126"/>
      <c r="X765" s="126"/>
      <c r="Y765" s="126"/>
      <c r="Z765" s="126"/>
      <c r="AA765" s="126"/>
      <c r="AB765" s="126"/>
    </row>
    <row r="766" spans="1:28" ht="15.75" customHeight="1">
      <c r="A766" s="126"/>
      <c r="B766" s="126"/>
      <c r="C766" s="176"/>
      <c r="D766" s="176"/>
      <c r="E766" s="176"/>
      <c r="F766" s="176"/>
      <c r="G766" s="176"/>
      <c r="H766" s="176"/>
      <c r="I766" s="126"/>
      <c r="J766" s="126"/>
      <c r="K766" s="126"/>
      <c r="L766" s="126"/>
      <c r="M766" s="126"/>
      <c r="N766" s="126"/>
      <c r="O766" s="126"/>
      <c r="P766" s="126"/>
      <c r="Q766" s="126"/>
      <c r="R766" s="126"/>
      <c r="S766" s="126"/>
      <c r="T766" s="126"/>
      <c r="U766" s="126"/>
      <c r="V766" s="126"/>
      <c r="W766" s="126"/>
      <c r="X766" s="126"/>
      <c r="Y766" s="126"/>
      <c r="Z766" s="126"/>
      <c r="AA766" s="126"/>
      <c r="AB766" s="126"/>
    </row>
    <row r="767" spans="1:28" ht="15.75" customHeight="1">
      <c r="A767" s="126"/>
      <c r="B767" s="126"/>
      <c r="C767" s="176"/>
      <c r="D767" s="176"/>
      <c r="E767" s="176"/>
      <c r="F767" s="176"/>
      <c r="G767" s="176"/>
      <c r="H767" s="176"/>
      <c r="I767" s="126"/>
      <c r="J767" s="126"/>
      <c r="K767" s="126"/>
      <c r="L767" s="126"/>
      <c r="M767" s="126"/>
      <c r="N767" s="126"/>
      <c r="O767" s="126"/>
      <c r="P767" s="126"/>
      <c r="Q767" s="126"/>
      <c r="R767" s="126"/>
      <c r="S767" s="126"/>
      <c r="T767" s="126"/>
      <c r="U767" s="126"/>
      <c r="V767" s="126"/>
      <c r="W767" s="126"/>
      <c r="X767" s="126"/>
      <c r="Y767" s="126"/>
      <c r="Z767" s="126"/>
      <c r="AA767" s="126"/>
      <c r="AB767" s="126"/>
    </row>
    <row r="768" spans="1:28" ht="15.75" customHeight="1">
      <c r="A768" s="126"/>
      <c r="B768" s="126"/>
      <c r="C768" s="176"/>
      <c r="D768" s="176"/>
      <c r="E768" s="176"/>
      <c r="F768" s="176"/>
      <c r="G768" s="176"/>
      <c r="H768" s="176"/>
      <c r="I768" s="126"/>
      <c r="J768" s="126"/>
      <c r="K768" s="126"/>
      <c r="L768" s="126"/>
      <c r="M768" s="126"/>
      <c r="N768" s="126"/>
      <c r="O768" s="126"/>
      <c r="P768" s="126"/>
      <c r="Q768" s="126"/>
      <c r="R768" s="126"/>
      <c r="S768" s="126"/>
      <c r="T768" s="126"/>
      <c r="U768" s="126"/>
      <c r="V768" s="126"/>
      <c r="W768" s="126"/>
      <c r="X768" s="126"/>
      <c r="Y768" s="126"/>
      <c r="Z768" s="126"/>
      <c r="AA768" s="126"/>
      <c r="AB768" s="126"/>
    </row>
    <row r="769" spans="1:28" ht="15.75" customHeight="1">
      <c r="A769" s="126"/>
      <c r="B769" s="126"/>
      <c r="C769" s="176"/>
      <c r="D769" s="176"/>
      <c r="E769" s="176"/>
      <c r="F769" s="176"/>
      <c r="G769" s="176"/>
      <c r="H769" s="176"/>
      <c r="I769" s="126"/>
      <c r="J769" s="126"/>
      <c r="K769" s="126"/>
      <c r="L769" s="126"/>
      <c r="M769" s="126"/>
      <c r="N769" s="126"/>
      <c r="O769" s="126"/>
      <c r="P769" s="126"/>
      <c r="Q769" s="126"/>
      <c r="R769" s="126"/>
      <c r="S769" s="126"/>
      <c r="T769" s="126"/>
      <c r="U769" s="126"/>
      <c r="V769" s="126"/>
      <c r="W769" s="126"/>
      <c r="X769" s="126"/>
      <c r="Y769" s="126"/>
      <c r="Z769" s="126"/>
      <c r="AA769" s="126"/>
      <c r="AB769" s="126"/>
    </row>
    <row r="770" spans="1:28" ht="15.75" customHeight="1">
      <c r="A770" s="126"/>
      <c r="B770" s="126"/>
      <c r="C770" s="176"/>
      <c r="D770" s="176"/>
      <c r="E770" s="176"/>
      <c r="F770" s="176"/>
      <c r="G770" s="176"/>
      <c r="H770" s="176"/>
      <c r="I770" s="126"/>
      <c r="J770" s="126"/>
      <c r="K770" s="126"/>
      <c r="L770" s="126"/>
      <c r="M770" s="126"/>
      <c r="N770" s="126"/>
      <c r="O770" s="126"/>
      <c r="P770" s="126"/>
      <c r="Q770" s="126"/>
      <c r="R770" s="126"/>
      <c r="S770" s="126"/>
      <c r="T770" s="126"/>
      <c r="U770" s="126"/>
      <c r="V770" s="126"/>
      <c r="W770" s="126"/>
      <c r="X770" s="126"/>
      <c r="Y770" s="126"/>
      <c r="Z770" s="126"/>
      <c r="AA770" s="126"/>
      <c r="AB770" s="126"/>
    </row>
    <row r="771" spans="1:28" ht="15.75" customHeight="1">
      <c r="A771" s="126"/>
      <c r="B771" s="126"/>
      <c r="C771" s="176"/>
      <c r="D771" s="176"/>
      <c r="E771" s="176"/>
      <c r="F771" s="176"/>
      <c r="G771" s="176"/>
      <c r="H771" s="176"/>
      <c r="I771" s="126"/>
      <c r="J771" s="126"/>
      <c r="K771" s="126"/>
      <c r="L771" s="126"/>
      <c r="M771" s="126"/>
      <c r="N771" s="126"/>
      <c r="O771" s="126"/>
      <c r="P771" s="126"/>
      <c r="Q771" s="126"/>
      <c r="R771" s="126"/>
      <c r="S771" s="126"/>
      <c r="T771" s="126"/>
      <c r="U771" s="126"/>
      <c r="V771" s="126"/>
      <c r="W771" s="126"/>
      <c r="X771" s="126"/>
      <c r="Y771" s="126"/>
      <c r="Z771" s="126"/>
      <c r="AA771" s="126"/>
      <c r="AB771" s="126"/>
    </row>
    <row r="772" spans="1:28" ht="15.75" customHeight="1">
      <c r="A772" s="126"/>
      <c r="B772" s="126"/>
      <c r="C772" s="176"/>
      <c r="D772" s="176"/>
      <c r="E772" s="176"/>
      <c r="F772" s="176"/>
      <c r="G772" s="176"/>
      <c r="H772" s="176"/>
      <c r="I772" s="126"/>
      <c r="J772" s="126"/>
      <c r="K772" s="126"/>
      <c r="L772" s="126"/>
      <c r="M772" s="126"/>
      <c r="N772" s="126"/>
      <c r="O772" s="126"/>
      <c r="P772" s="126"/>
      <c r="Q772" s="126"/>
      <c r="R772" s="126"/>
      <c r="S772" s="126"/>
      <c r="T772" s="126"/>
      <c r="U772" s="126"/>
      <c r="V772" s="126"/>
      <c r="W772" s="126"/>
      <c r="X772" s="126"/>
      <c r="Y772" s="126"/>
      <c r="Z772" s="126"/>
      <c r="AA772" s="126"/>
      <c r="AB772" s="126"/>
    </row>
    <row r="773" spans="1:28" ht="15.75" customHeight="1">
      <c r="A773" s="126"/>
      <c r="B773" s="126"/>
      <c r="C773" s="176"/>
      <c r="D773" s="176"/>
      <c r="E773" s="176"/>
      <c r="F773" s="176"/>
      <c r="G773" s="176"/>
      <c r="H773" s="176"/>
      <c r="I773" s="126"/>
      <c r="J773" s="126"/>
      <c r="K773" s="126"/>
      <c r="L773" s="126"/>
      <c r="M773" s="126"/>
      <c r="N773" s="126"/>
      <c r="O773" s="126"/>
      <c r="P773" s="126"/>
      <c r="Q773" s="126"/>
      <c r="R773" s="126"/>
      <c r="S773" s="126"/>
      <c r="T773" s="126"/>
      <c r="U773" s="126"/>
      <c r="V773" s="126"/>
      <c r="W773" s="126"/>
      <c r="X773" s="126"/>
      <c r="Y773" s="126"/>
      <c r="Z773" s="126"/>
      <c r="AA773" s="126"/>
      <c r="AB773" s="126"/>
    </row>
    <row r="774" spans="1:28" ht="15.75" customHeight="1">
      <c r="A774" s="126"/>
      <c r="B774" s="126"/>
      <c r="C774" s="176"/>
      <c r="D774" s="176"/>
      <c r="E774" s="176"/>
      <c r="F774" s="176"/>
      <c r="G774" s="176"/>
      <c r="H774" s="176"/>
      <c r="I774" s="126"/>
      <c r="J774" s="126"/>
      <c r="K774" s="126"/>
      <c r="L774" s="126"/>
      <c r="M774" s="126"/>
      <c r="N774" s="126"/>
      <c r="O774" s="126"/>
      <c r="P774" s="126"/>
      <c r="Q774" s="126"/>
      <c r="R774" s="126"/>
      <c r="S774" s="126"/>
      <c r="T774" s="126"/>
      <c r="U774" s="126"/>
      <c r="V774" s="126"/>
      <c r="W774" s="126"/>
      <c r="X774" s="126"/>
      <c r="Y774" s="126"/>
      <c r="Z774" s="126"/>
      <c r="AA774" s="126"/>
      <c r="AB774" s="126"/>
    </row>
    <row r="775" spans="1:28" ht="15.75" customHeight="1">
      <c r="A775" s="126"/>
      <c r="B775" s="126"/>
      <c r="C775" s="176"/>
      <c r="D775" s="176"/>
      <c r="E775" s="176"/>
      <c r="F775" s="176"/>
      <c r="G775" s="176"/>
      <c r="H775" s="176"/>
      <c r="I775" s="126"/>
      <c r="J775" s="126"/>
      <c r="K775" s="126"/>
      <c r="L775" s="126"/>
      <c r="M775" s="126"/>
      <c r="N775" s="126"/>
      <c r="O775" s="126"/>
      <c r="P775" s="126"/>
      <c r="Q775" s="126"/>
      <c r="R775" s="126"/>
      <c r="S775" s="126"/>
      <c r="T775" s="126"/>
      <c r="U775" s="126"/>
      <c r="V775" s="126"/>
      <c r="W775" s="126"/>
      <c r="X775" s="126"/>
      <c r="Y775" s="126"/>
      <c r="Z775" s="126"/>
      <c r="AA775" s="126"/>
      <c r="AB775" s="126"/>
    </row>
    <row r="776" spans="1:28" ht="15.75" customHeight="1">
      <c r="A776" s="126"/>
      <c r="B776" s="126"/>
      <c r="C776" s="176"/>
      <c r="D776" s="176"/>
      <c r="E776" s="176"/>
      <c r="F776" s="176"/>
      <c r="G776" s="176"/>
      <c r="H776" s="176"/>
      <c r="I776" s="126"/>
      <c r="J776" s="126"/>
      <c r="K776" s="126"/>
      <c r="L776" s="126"/>
      <c r="M776" s="126"/>
      <c r="N776" s="126"/>
      <c r="O776" s="126"/>
      <c r="P776" s="126"/>
      <c r="Q776" s="126"/>
      <c r="R776" s="126"/>
      <c r="S776" s="126"/>
      <c r="T776" s="126"/>
      <c r="U776" s="126"/>
      <c r="V776" s="126"/>
      <c r="W776" s="126"/>
      <c r="X776" s="126"/>
      <c r="Y776" s="126"/>
      <c r="Z776" s="126"/>
      <c r="AA776" s="126"/>
      <c r="AB776" s="126"/>
    </row>
    <row r="777" spans="1:28" ht="15.75" customHeight="1">
      <c r="A777" s="126"/>
      <c r="B777" s="126"/>
      <c r="C777" s="176"/>
      <c r="D777" s="176"/>
      <c r="E777" s="176"/>
      <c r="F777" s="176"/>
      <c r="G777" s="176"/>
      <c r="H777" s="176"/>
      <c r="I777" s="126"/>
      <c r="J777" s="126"/>
      <c r="K777" s="126"/>
      <c r="L777" s="126"/>
      <c r="M777" s="126"/>
      <c r="N777" s="126"/>
      <c r="O777" s="126"/>
      <c r="P777" s="126"/>
      <c r="Q777" s="126"/>
      <c r="R777" s="126"/>
      <c r="S777" s="126"/>
      <c r="T777" s="126"/>
      <c r="U777" s="126"/>
      <c r="V777" s="126"/>
      <c r="W777" s="126"/>
      <c r="X777" s="126"/>
      <c r="Y777" s="126"/>
      <c r="Z777" s="126"/>
      <c r="AA777" s="126"/>
      <c r="AB777" s="126"/>
    </row>
    <row r="778" spans="1:28" ht="15.75" customHeight="1">
      <c r="A778" s="126"/>
      <c r="B778" s="126"/>
      <c r="C778" s="176"/>
      <c r="D778" s="176"/>
      <c r="E778" s="176"/>
      <c r="F778" s="176"/>
      <c r="G778" s="176"/>
      <c r="H778" s="176"/>
      <c r="I778" s="126"/>
      <c r="J778" s="126"/>
      <c r="K778" s="126"/>
      <c r="L778" s="126"/>
      <c r="M778" s="126"/>
      <c r="N778" s="126"/>
      <c r="O778" s="126"/>
      <c r="P778" s="126"/>
      <c r="Q778" s="126"/>
      <c r="R778" s="126"/>
      <c r="S778" s="126"/>
      <c r="T778" s="126"/>
      <c r="U778" s="126"/>
      <c r="V778" s="126"/>
      <c r="W778" s="126"/>
      <c r="X778" s="126"/>
      <c r="Y778" s="126"/>
      <c r="Z778" s="126"/>
      <c r="AA778" s="126"/>
      <c r="AB778" s="126"/>
    </row>
    <row r="779" spans="1:28" ht="15.75" customHeight="1">
      <c r="A779" s="126"/>
      <c r="B779" s="126"/>
      <c r="C779" s="176"/>
      <c r="D779" s="176"/>
      <c r="E779" s="176"/>
      <c r="F779" s="176"/>
      <c r="G779" s="176"/>
      <c r="H779" s="176"/>
      <c r="I779" s="126"/>
      <c r="J779" s="126"/>
      <c r="K779" s="126"/>
      <c r="L779" s="126"/>
      <c r="M779" s="126"/>
      <c r="N779" s="126"/>
      <c r="O779" s="126"/>
      <c r="P779" s="126"/>
      <c r="Q779" s="126"/>
      <c r="R779" s="126"/>
      <c r="S779" s="126"/>
      <c r="T779" s="126"/>
      <c r="U779" s="126"/>
      <c r="V779" s="126"/>
      <c r="W779" s="126"/>
      <c r="X779" s="126"/>
      <c r="Y779" s="126"/>
      <c r="Z779" s="126"/>
      <c r="AA779" s="126"/>
      <c r="AB779" s="126"/>
    </row>
    <row r="780" spans="1:28" ht="15.75" customHeight="1">
      <c r="A780" s="126"/>
      <c r="B780" s="126"/>
      <c r="C780" s="176"/>
      <c r="D780" s="176"/>
      <c r="E780" s="176"/>
      <c r="F780" s="176"/>
      <c r="G780" s="176"/>
      <c r="H780" s="176"/>
      <c r="I780" s="126"/>
      <c r="J780" s="126"/>
      <c r="K780" s="126"/>
      <c r="L780" s="126"/>
      <c r="M780" s="126"/>
      <c r="N780" s="126"/>
      <c r="O780" s="126"/>
      <c r="P780" s="126"/>
      <c r="Q780" s="126"/>
      <c r="R780" s="126"/>
      <c r="S780" s="126"/>
      <c r="T780" s="126"/>
      <c r="U780" s="126"/>
      <c r="V780" s="126"/>
      <c r="W780" s="126"/>
      <c r="X780" s="126"/>
      <c r="Y780" s="126"/>
      <c r="Z780" s="126"/>
      <c r="AA780" s="126"/>
      <c r="AB780" s="126"/>
    </row>
    <row r="781" spans="1:28" ht="15.75" customHeight="1">
      <c r="A781" s="126"/>
      <c r="B781" s="126"/>
      <c r="C781" s="176"/>
      <c r="D781" s="176"/>
      <c r="E781" s="176"/>
      <c r="F781" s="176"/>
      <c r="G781" s="176"/>
      <c r="H781" s="176"/>
      <c r="I781" s="126"/>
      <c r="J781" s="126"/>
      <c r="K781" s="126"/>
      <c r="L781" s="126"/>
      <c r="M781" s="126"/>
      <c r="N781" s="126"/>
      <c r="O781" s="126"/>
      <c r="P781" s="126"/>
      <c r="Q781" s="126"/>
      <c r="R781" s="126"/>
      <c r="S781" s="126"/>
      <c r="T781" s="126"/>
      <c r="U781" s="126"/>
      <c r="V781" s="126"/>
      <c r="W781" s="126"/>
      <c r="X781" s="126"/>
      <c r="Y781" s="126"/>
      <c r="Z781" s="126"/>
      <c r="AA781" s="126"/>
      <c r="AB781" s="126"/>
    </row>
    <row r="782" spans="1:28" ht="15.75" customHeight="1">
      <c r="A782" s="126"/>
      <c r="B782" s="126"/>
      <c r="C782" s="176"/>
      <c r="D782" s="176"/>
      <c r="E782" s="176"/>
      <c r="F782" s="176"/>
      <c r="G782" s="176"/>
      <c r="H782" s="176"/>
      <c r="I782" s="126"/>
      <c r="J782" s="126"/>
      <c r="K782" s="126"/>
      <c r="L782" s="126"/>
      <c r="M782" s="126"/>
      <c r="N782" s="126"/>
      <c r="O782" s="126"/>
      <c r="P782" s="126"/>
      <c r="Q782" s="126"/>
      <c r="R782" s="126"/>
      <c r="S782" s="126"/>
      <c r="T782" s="126"/>
      <c r="U782" s="126"/>
      <c r="V782" s="126"/>
      <c r="W782" s="126"/>
      <c r="X782" s="126"/>
      <c r="Y782" s="126"/>
      <c r="Z782" s="126"/>
      <c r="AA782" s="126"/>
      <c r="AB782" s="126"/>
    </row>
    <row r="783" spans="1:28" ht="15.75" customHeight="1">
      <c r="A783" s="126"/>
      <c r="B783" s="126"/>
      <c r="C783" s="176"/>
      <c r="D783" s="176"/>
      <c r="E783" s="176"/>
      <c r="F783" s="176"/>
      <c r="G783" s="176"/>
      <c r="H783" s="176"/>
      <c r="I783" s="126"/>
      <c r="J783" s="126"/>
      <c r="K783" s="126"/>
      <c r="L783" s="126"/>
      <c r="M783" s="126"/>
      <c r="N783" s="126"/>
      <c r="O783" s="126"/>
      <c r="P783" s="126"/>
      <c r="Q783" s="126"/>
      <c r="R783" s="126"/>
      <c r="S783" s="126"/>
      <c r="T783" s="126"/>
      <c r="U783" s="126"/>
      <c r="V783" s="126"/>
      <c r="W783" s="126"/>
      <c r="X783" s="126"/>
      <c r="Y783" s="126"/>
      <c r="Z783" s="126"/>
      <c r="AA783" s="126"/>
      <c r="AB783" s="126"/>
    </row>
    <row r="784" spans="1:28" ht="15.75" customHeight="1">
      <c r="A784" s="126"/>
      <c r="B784" s="126"/>
      <c r="C784" s="176"/>
      <c r="D784" s="176"/>
      <c r="E784" s="176"/>
      <c r="F784" s="176"/>
      <c r="G784" s="176"/>
      <c r="H784" s="176"/>
      <c r="I784" s="126"/>
      <c r="J784" s="126"/>
      <c r="K784" s="126"/>
      <c r="L784" s="126"/>
      <c r="M784" s="126"/>
      <c r="N784" s="126"/>
      <c r="O784" s="126"/>
      <c r="P784" s="126"/>
      <c r="Q784" s="126"/>
      <c r="R784" s="126"/>
      <c r="S784" s="126"/>
      <c r="T784" s="126"/>
      <c r="U784" s="126"/>
      <c r="V784" s="126"/>
      <c r="W784" s="126"/>
      <c r="X784" s="126"/>
      <c r="Y784" s="126"/>
      <c r="Z784" s="126"/>
      <c r="AA784" s="126"/>
      <c r="AB784" s="126"/>
    </row>
    <row r="785" spans="1:28" ht="15.75" customHeight="1">
      <c r="A785" s="126"/>
      <c r="B785" s="126"/>
      <c r="C785" s="176"/>
      <c r="D785" s="176"/>
      <c r="E785" s="176"/>
      <c r="F785" s="176"/>
      <c r="G785" s="176"/>
      <c r="H785" s="176"/>
      <c r="I785" s="126"/>
      <c r="J785" s="126"/>
      <c r="K785" s="126"/>
      <c r="L785" s="126"/>
      <c r="M785" s="126"/>
      <c r="N785" s="126"/>
      <c r="O785" s="126"/>
      <c r="P785" s="126"/>
      <c r="Q785" s="126"/>
      <c r="R785" s="126"/>
      <c r="S785" s="126"/>
      <c r="T785" s="126"/>
      <c r="U785" s="126"/>
      <c r="V785" s="126"/>
      <c r="W785" s="126"/>
      <c r="X785" s="126"/>
      <c r="Y785" s="126"/>
      <c r="Z785" s="126"/>
      <c r="AA785" s="126"/>
      <c r="AB785" s="126"/>
    </row>
    <row r="786" spans="1:28" ht="15.75" customHeight="1">
      <c r="A786" s="126"/>
      <c r="B786" s="126"/>
      <c r="C786" s="176"/>
      <c r="D786" s="176"/>
      <c r="E786" s="176"/>
      <c r="F786" s="176"/>
      <c r="G786" s="176"/>
      <c r="H786" s="176"/>
      <c r="I786" s="126"/>
      <c r="J786" s="126"/>
      <c r="K786" s="126"/>
      <c r="L786" s="126"/>
      <c r="M786" s="126"/>
      <c r="N786" s="126"/>
      <c r="O786" s="126"/>
      <c r="P786" s="126"/>
      <c r="Q786" s="126"/>
      <c r="R786" s="126"/>
      <c r="S786" s="126"/>
      <c r="T786" s="126"/>
      <c r="U786" s="126"/>
      <c r="V786" s="126"/>
      <c r="W786" s="126"/>
      <c r="X786" s="126"/>
      <c r="Y786" s="126"/>
      <c r="Z786" s="126"/>
      <c r="AA786" s="126"/>
      <c r="AB786" s="126"/>
    </row>
    <row r="787" spans="1:28" ht="15.75" customHeight="1">
      <c r="A787" s="126"/>
      <c r="B787" s="126"/>
      <c r="C787" s="176"/>
      <c r="D787" s="176"/>
      <c r="E787" s="176"/>
      <c r="F787" s="176"/>
      <c r="G787" s="176"/>
      <c r="H787" s="176"/>
      <c r="I787" s="126"/>
      <c r="J787" s="126"/>
      <c r="K787" s="126"/>
      <c r="L787" s="126"/>
      <c r="M787" s="126"/>
      <c r="N787" s="126"/>
      <c r="O787" s="126"/>
      <c r="P787" s="126"/>
      <c r="Q787" s="126"/>
      <c r="R787" s="126"/>
      <c r="S787" s="126"/>
      <c r="T787" s="126"/>
      <c r="U787" s="126"/>
      <c r="V787" s="126"/>
      <c r="W787" s="126"/>
      <c r="X787" s="126"/>
      <c r="Y787" s="126"/>
      <c r="Z787" s="126"/>
      <c r="AA787" s="126"/>
      <c r="AB787" s="126"/>
    </row>
    <row r="788" spans="1:28" ht="15.75" customHeight="1">
      <c r="A788" s="126"/>
      <c r="B788" s="126"/>
      <c r="C788" s="176"/>
      <c r="D788" s="176"/>
      <c r="E788" s="176"/>
      <c r="F788" s="176"/>
      <c r="G788" s="176"/>
      <c r="H788" s="176"/>
      <c r="I788" s="126"/>
      <c r="J788" s="126"/>
      <c r="K788" s="126"/>
      <c r="L788" s="126"/>
      <c r="M788" s="126"/>
      <c r="N788" s="126"/>
      <c r="O788" s="126"/>
      <c r="P788" s="126"/>
      <c r="Q788" s="126"/>
      <c r="R788" s="126"/>
      <c r="S788" s="126"/>
      <c r="T788" s="126"/>
      <c r="U788" s="126"/>
      <c r="V788" s="126"/>
      <c r="W788" s="126"/>
      <c r="X788" s="126"/>
      <c r="Y788" s="126"/>
      <c r="Z788" s="126"/>
      <c r="AA788" s="126"/>
      <c r="AB788" s="126"/>
    </row>
    <row r="789" spans="1:28" ht="15.75" customHeight="1">
      <c r="A789" s="126"/>
      <c r="B789" s="126"/>
      <c r="C789" s="176"/>
      <c r="D789" s="176"/>
      <c r="E789" s="176"/>
      <c r="F789" s="176"/>
      <c r="G789" s="176"/>
      <c r="H789" s="176"/>
      <c r="I789" s="126"/>
      <c r="J789" s="126"/>
      <c r="K789" s="126"/>
      <c r="L789" s="126"/>
      <c r="M789" s="126"/>
      <c r="N789" s="126"/>
      <c r="O789" s="126"/>
      <c r="P789" s="126"/>
      <c r="Q789" s="126"/>
      <c r="R789" s="126"/>
      <c r="S789" s="126"/>
      <c r="T789" s="126"/>
      <c r="U789" s="126"/>
      <c r="V789" s="126"/>
      <c r="W789" s="126"/>
      <c r="X789" s="126"/>
      <c r="Y789" s="126"/>
      <c r="Z789" s="126"/>
      <c r="AA789" s="126"/>
      <c r="AB789" s="126"/>
    </row>
    <row r="790" spans="1:28" ht="15.75" customHeight="1">
      <c r="A790" s="126"/>
      <c r="B790" s="126"/>
      <c r="C790" s="176"/>
      <c r="D790" s="176"/>
      <c r="E790" s="176"/>
      <c r="F790" s="176"/>
      <c r="G790" s="176"/>
      <c r="H790" s="176"/>
      <c r="I790" s="126"/>
      <c r="J790" s="126"/>
      <c r="K790" s="126"/>
      <c r="L790" s="126"/>
      <c r="M790" s="126"/>
      <c r="N790" s="126"/>
      <c r="O790" s="126"/>
      <c r="P790" s="126"/>
      <c r="Q790" s="126"/>
      <c r="R790" s="126"/>
      <c r="S790" s="126"/>
      <c r="T790" s="126"/>
      <c r="U790" s="126"/>
      <c r="V790" s="126"/>
      <c r="W790" s="126"/>
      <c r="X790" s="126"/>
      <c r="Y790" s="126"/>
      <c r="Z790" s="126"/>
      <c r="AA790" s="126"/>
      <c r="AB790" s="126"/>
    </row>
    <row r="791" spans="1:28" ht="15.75" customHeight="1">
      <c r="A791" s="126"/>
      <c r="B791" s="126"/>
      <c r="C791" s="176"/>
      <c r="D791" s="176"/>
      <c r="E791" s="176"/>
      <c r="F791" s="176"/>
      <c r="G791" s="176"/>
      <c r="H791" s="176"/>
      <c r="I791" s="126"/>
      <c r="J791" s="126"/>
      <c r="K791" s="126"/>
      <c r="L791" s="126"/>
      <c r="M791" s="126"/>
      <c r="N791" s="126"/>
      <c r="O791" s="126"/>
      <c r="P791" s="126"/>
      <c r="Q791" s="126"/>
      <c r="R791" s="126"/>
      <c r="S791" s="126"/>
      <c r="T791" s="126"/>
      <c r="U791" s="126"/>
      <c r="V791" s="126"/>
      <c r="W791" s="126"/>
      <c r="X791" s="126"/>
      <c r="Y791" s="126"/>
      <c r="Z791" s="126"/>
      <c r="AA791" s="126"/>
      <c r="AB791" s="126"/>
    </row>
    <row r="792" spans="1:28" ht="15.75" customHeight="1">
      <c r="A792" s="126"/>
      <c r="B792" s="126"/>
      <c r="C792" s="176"/>
      <c r="D792" s="176"/>
      <c r="E792" s="176"/>
      <c r="F792" s="176"/>
      <c r="G792" s="176"/>
      <c r="H792" s="176"/>
      <c r="I792" s="126"/>
      <c r="J792" s="126"/>
      <c r="K792" s="126"/>
      <c r="L792" s="126"/>
      <c r="M792" s="126"/>
      <c r="N792" s="126"/>
      <c r="O792" s="126"/>
      <c r="P792" s="126"/>
      <c r="Q792" s="126"/>
      <c r="R792" s="126"/>
      <c r="S792" s="126"/>
      <c r="T792" s="126"/>
      <c r="U792" s="126"/>
      <c r="V792" s="126"/>
      <c r="W792" s="126"/>
      <c r="X792" s="126"/>
      <c r="Y792" s="126"/>
      <c r="Z792" s="126"/>
      <c r="AA792" s="126"/>
      <c r="AB792" s="126"/>
    </row>
    <row r="793" spans="1:28" ht="15.75" customHeight="1">
      <c r="A793" s="126"/>
      <c r="B793" s="126"/>
      <c r="C793" s="176"/>
      <c r="D793" s="176"/>
      <c r="E793" s="176"/>
      <c r="F793" s="176"/>
      <c r="G793" s="176"/>
      <c r="H793" s="176"/>
      <c r="I793" s="126"/>
      <c r="J793" s="126"/>
      <c r="K793" s="126"/>
      <c r="L793" s="126"/>
      <c r="M793" s="126"/>
      <c r="N793" s="126"/>
      <c r="O793" s="126"/>
      <c r="P793" s="126"/>
      <c r="Q793" s="126"/>
      <c r="R793" s="126"/>
      <c r="S793" s="126"/>
      <c r="T793" s="126"/>
      <c r="U793" s="126"/>
      <c r="V793" s="126"/>
      <c r="W793" s="126"/>
      <c r="X793" s="126"/>
      <c r="Y793" s="126"/>
      <c r="Z793" s="126"/>
      <c r="AA793" s="126"/>
      <c r="AB793" s="126"/>
    </row>
    <row r="794" spans="1:28" ht="15.75" customHeight="1">
      <c r="A794" s="126"/>
      <c r="B794" s="126"/>
      <c r="C794" s="176"/>
      <c r="D794" s="176"/>
      <c r="E794" s="176"/>
      <c r="F794" s="176"/>
      <c r="G794" s="176"/>
      <c r="H794" s="176"/>
      <c r="I794" s="126"/>
      <c r="J794" s="126"/>
      <c r="K794" s="126"/>
      <c r="L794" s="126"/>
      <c r="M794" s="126"/>
      <c r="N794" s="126"/>
      <c r="O794" s="126"/>
      <c r="P794" s="126"/>
      <c r="Q794" s="126"/>
      <c r="R794" s="126"/>
      <c r="S794" s="126"/>
      <c r="T794" s="126"/>
      <c r="U794" s="126"/>
      <c r="V794" s="126"/>
      <c r="W794" s="126"/>
      <c r="X794" s="126"/>
      <c r="Y794" s="126"/>
      <c r="Z794" s="126"/>
      <c r="AA794" s="126"/>
      <c r="AB794" s="126"/>
    </row>
    <row r="795" spans="1:28" ht="15.75" customHeight="1">
      <c r="A795" s="126"/>
      <c r="B795" s="126"/>
      <c r="C795" s="176"/>
      <c r="D795" s="176"/>
      <c r="E795" s="176"/>
      <c r="F795" s="176"/>
      <c r="G795" s="176"/>
      <c r="H795" s="176"/>
      <c r="I795" s="126"/>
      <c r="J795" s="126"/>
      <c r="K795" s="126"/>
      <c r="L795" s="126"/>
      <c r="M795" s="126"/>
      <c r="N795" s="126"/>
      <c r="O795" s="126"/>
      <c r="P795" s="126"/>
      <c r="Q795" s="126"/>
      <c r="R795" s="126"/>
      <c r="S795" s="126"/>
      <c r="T795" s="126"/>
      <c r="U795" s="126"/>
      <c r="V795" s="126"/>
      <c r="W795" s="126"/>
      <c r="X795" s="126"/>
      <c r="Y795" s="126"/>
      <c r="Z795" s="126"/>
      <c r="AA795" s="126"/>
      <c r="AB795" s="126"/>
    </row>
    <row r="796" spans="1:28" ht="15.75" customHeight="1">
      <c r="A796" s="126"/>
      <c r="B796" s="126"/>
      <c r="C796" s="176"/>
      <c r="D796" s="176"/>
      <c r="E796" s="176"/>
      <c r="F796" s="176"/>
      <c r="G796" s="176"/>
      <c r="H796" s="176"/>
      <c r="I796" s="126"/>
      <c r="J796" s="126"/>
      <c r="K796" s="126"/>
      <c r="L796" s="126"/>
      <c r="M796" s="126"/>
      <c r="N796" s="126"/>
      <c r="O796" s="126"/>
      <c r="P796" s="126"/>
      <c r="Q796" s="126"/>
      <c r="R796" s="126"/>
      <c r="S796" s="126"/>
      <c r="T796" s="126"/>
      <c r="U796" s="126"/>
      <c r="V796" s="126"/>
      <c r="W796" s="126"/>
      <c r="X796" s="126"/>
      <c r="Y796" s="126"/>
      <c r="Z796" s="126"/>
      <c r="AA796" s="126"/>
      <c r="AB796" s="126"/>
    </row>
    <row r="797" spans="1:28" ht="15.75" customHeight="1">
      <c r="A797" s="126"/>
      <c r="B797" s="126"/>
      <c r="C797" s="176"/>
      <c r="D797" s="176"/>
      <c r="E797" s="176"/>
      <c r="F797" s="176"/>
      <c r="G797" s="176"/>
      <c r="H797" s="176"/>
      <c r="I797" s="126"/>
      <c r="J797" s="126"/>
      <c r="K797" s="126"/>
      <c r="L797" s="126"/>
      <c r="M797" s="126"/>
      <c r="N797" s="126"/>
      <c r="O797" s="126"/>
      <c r="P797" s="126"/>
      <c r="Q797" s="126"/>
      <c r="R797" s="126"/>
      <c r="S797" s="126"/>
      <c r="T797" s="126"/>
      <c r="U797" s="126"/>
      <c r="V797" s="126"/>
      <c r="W797" s="126"/>
      <c r="X797" s="126"/>
      <c r="Y797" s="126"/>
      <c r="Z797" s="126"/>
      <c r="AA797" s="126"/>
      <c r="AB797" s="126"/>
    </row>
    <row r="798" spans="1:28" ht="15.75" customHeight="1">
      <c r="A798" s="126"/>
      <c r="B798" s="126"/>
      <c r="C798" s="176"/>
      <c r="D798" s="176"/>
      <c r="E798" s="176"/>
      <c r="F798" s="176"/>
      <c r="G798" s="176"/>
      <c r="H798" s="176"/>
      <c r="I798" s="126"/>
      <c r="J798" s="126"/>
      <c r="K798" s="126"/>
      <c r="L798" s="126"/>
      <c r="M798" s="126"/>
      <c r="N798" s="126"/>
      <c r="O798" s="126"/>
      <c r="P798" s="126"/>
      <c r="Q798" s="126"/>
      <c r="R798" s="126"/>
      <c r="S798" s="126"/>
      <c r="T798" s="126"/>
      <c r="U798" s="126"/>
      <c r="V798" s="126"/>
      <c r="W798" s="126"/>
      <c r="X798" s="126"/>
      <c r="Y798" s="126"/>
      <c r="Z798" s="126"/>
      <c r="AA798" s="126"/>
      <c r="AB798" s="126"/>
    </row>
    <row r="799" spans="1:28" ht="15.75" customHeight="1">
      <c r="A799" s="126"/>
      <c r="B799" s="126"/>
      <c r="C799" s="176"/>
      <c r="D799" s="176"/>
      <c r="E799" s="176"/>
      <c r="F799" s="176"/>
      <c r="G799" s="176"/>
      <c r="H799" s="176"/>
      <c r="I799" s="126"/>
      <c r="J799" s="126"/>
      <c r="K799" s="126"/>
      <c r="L799" s="126"/>
      <c r="M799" s="126"/>
      <c r="N799" s="126"/>
      <c r="O799" s="126"/>
      <c r="P799" s="126"/>
      <c r="Q799" s="126"/>
      <c r="R799" s="126"/>
      <c r="S799" s="126"/>
      <c r="T799" s="126"/>
      <c r="U799" s="126"/>
      <c r="V799" s="126"/>
      <c r="W799" s="126"/>
      <c r="X799" s="126"/>
      <c r="Y799" s="126"/>
      <c r="Z799" s="126"/>
      <c r="AA799" s="126"/>
      <c r="AB799" s="126"/>
    </row>
    <row r="800" spans="1:28" ht="15.75" customHeight="1">
      <c r="A800" s="126"/>
      <c r="B800" s="126"/>
      <c r="C800" s="176"/>
      <c r="D800" s="176"/>
      <c r="E800" s="176"/>
      <c r="F800" s="176"/>
      <c r="G800" s="176"/>
      <c r="H800" s="176"/>
      <c r="I800" s="126"/>
      <c r="J800" s="126"/>
      <c r="K800" s="126"/>
      <c r="L800" s="126"/>
      <c r="M800" s="126"/>
      <c r="N800" s="126"/>
      <c r="O800" s="126"/>
      <c r="P800" s="126"/>
      <c r="Q800" s="126"/>
      <c r="R800" s="126"/>
      <c r="S800" s="126"/>
      <c r="T800" s="126"/>
      <c r="U800" s="126"/>
      <c r="V800" s="126"/>
      <c r="W800" s="126"/>
      <c r="X800" s="126"/>
      <c r="Y800" s="126"/>
      <c r="Z800" s="126"/>
      <c r="AA800" s="126"/>
      <c r="AB800" s="126"/>
    </row>
    <row r="801" spans="1:28" ht="15.75" customHeight="1">
      <c r="A801" s="126"/>
      <c r="B801" s="126"/>
      <c r="C801" s="176"/>
      <c r="D801" s="176"/>
      <c r="E801" s="176"/>
      <c r="F801" s="176"/>
      <c r="G801" s="176"/>
      <c r="H801" s="176"/>
      <c r="I801" s="126"/>
      <c r="J801" s="126"/>
      <c r="K801" s="126"/>
      <c r="L801" s="126"/>
      <c r="M801" s="126"/>
      <c r="N801" s="126"/>
      <c r="O801" s="126"/>
      <c r="P801" s="126"/>
      <c r="Q801" s="126"/>
      <c r="R801" s="126"/>
      <c r="S801" s="126"/>
      <c r="T801" s="126"/>
      <c r="U801" s="126"/>
      <c r="V801" s="126"/>
      <c r="W801" s="126"/>
      <c r="X801" s="126"/>
      <c r="Y801" s="126"/>
      <c r="Z801" s="126"/>
      <c r="AA801" s="126"/>
      <c r="AB801" s="126"/>
    </row>
    <row r="802" spans="1:28" ht="15.75" customHeight="1">
      <c r="A802" s="126"/>
      <c r="B802" s="126"/>
      <c r="C802" s="176"/>
      <c r="D802" s="176"/>
      <c r="E802" s="176"/>
      <c r="F802" s="176"/>
      <c r="G802" s="176"/>
      <c r="H802" s="176"/>
      <c r="I802" s="126"/>
      <c r="J802" s="126"/>
      <c r="K802" s="126"/>
      <c r="L802" s="126"/>
      <c r="M802" s="126"/>
      <c r="N802" s="126"/>
      <c r="O802" s="126"/>
      <c r="P802" s="126"/>
      <c r="Q802" s="126"/>
      <c r="R802" s="126"/>
      <c r="S802" s="126"/>
      <c r="T802" s="126"/>
      <c r="U802" s="126"/>
      <c r="V802" s="126"/>
      <c r="W802" s="126"/>
      <c r="X802" s="126"/>
      <c r="Y802" s="126"/>
      <c r="Z802" s="126"/>
      <c r="AA802" s="126"/>
      <c r="AB802" s="126"/>
    </row>
    <row r="803" spans="1:28" ht="15.75" customHeight="1">
      <c r="A803" s="126"/>
      <c r="B803" s="126"/>
      <c r="C803" s="176"/>
      <c r="D803" s="176"/>
      <c r="E803" s="176"/>
      <c r="F803" s="176"/>
      <c r="G803" s="176"/>
      <c r="H803" s="176"/>
      <c r="I803" s="126"/>
      <c r="J803" s="126"/>
      <c r="K803" s="126"/>
      <c r="L803" s="126"/>
      <c r="M803" s="126"/>
      <c r="N803" s="126"/>
      <c r="O803" s="126"/>
      <c r="P803" s="126"/>
      <c r="Q803" s="126"/>
      <c r="R803" s="126"/>
      <c r="S803" s="126"/>
      <c r="T803" s="126"/>
      <c r="U803" s="126"/>
      <c r="V803" s="126"/>
      <c r="W803" s="126"/>
      <c r="X803" s="126"/>
      <c r="Y803" s="126"/>
      <c r="Z803" s="126"/>
      <c r="AA803" s="126"/>
      <c r="AB803" s="126"/>
    </row>
    <row r="804" spans="1:28" ht="15.75" customHeight="1">
      <c r="A804" s="126"/>
      <c r="B804" s="126"/>
      <c r="C804" s="176"/>
      <c r="D804" s="176"/>
      <c r="E804" s="176"/>
      <c r="F804" s="176"/>
      <c r="G804" s="176"/>
      <c r="H804" s="176"/>
      <c r="I804" s="126"/>
      <c r="J804" s="126"/>
      <c r="K804" s="126"/>
      <c r="L804" s="126"/>
      <c r="M804" s="126"/>
      <c r="N804" s="126"/>
      <c r="O804" s="126"/>
      <c r="P804" s="126"/>
      <c r="Q804" s="126"/>
      <c r="R804" s="126"/>
      <c r="S804" s="126"/>
      <c r="T804" s="126"/>
      <c r="U804" s="126"/>
      <c r="V804" s="126"/>
      <c r="W804" s="126"/>
      <c r="X804" s="126"/>
      <c r="Y804" s="126"/>
      <c r="Z804" s="126"/>
      <c r="AA804" s="126"/>
      <c r="AB804" s="126"/>
    </row>
    <row r="805" spans="1:28" ht="15.75" customHeight="1">
      <c r="A805" s="126"/>
      <c r="B805" s="126"/>
      <c r="C805" s="176"/>
      <c r="D805" s="176"/>
      <c r="E805" s="176"/>
      <c r="F805" s="176"/>
      <c r="G805" s="176"/>
      <c r="H805" s="176"/>
      <c r="I805" s="126"/>
      <c r="J805" s="126"/>
      <c r="K805" s="126"/>
      <c r="L805" s="126"/>
      <c r="M805" s="126"/>
      <c r="N805" s="126"/>
      <c r="O805" s="126"/>
      <c r="P805" s="126"/>
      <c r="Q805" s="126"/>
      <c r="R805" s="126"/>
      <c r="S805" s="126"/>
      <c r="T805" s="126"/>
      <c r="U805" s="126"/>
      <c r="V805" s="126"/>
      <c r="W805" s="126"/>
      <c r="X805" s="126"/>
      <c r="Y805" s="126"/>
      <c r="Z805" s="126"/>
      <c r="AA805" s="126"/>
      <c r="AB805" s="126"/>
    </row>
    <row r="806" spans="1:28" ht="15.75" customHeight="1">
      <c r="A806" s="126"/>
      <c r="B806" s="126"/>
      <c r="C806" s="176"/>
      <c r="D806" s="176"/>
      <c r="E806" s="176"/>
      <c r="F806" s="176"/>
      <c r="G806" s="176"/>
      <c r="H806" s="176"/>
      <c r="I806" s="126"/>
      <c r="J806" s="126"/>
      <c r="K806" s="126"/>
      <c r="L806" s="126"/>
      <c r="M806" s="126"/>
      <c r="N806" s="126"/>
      <c r="O806" s="126"/>
      <c r="P806" s="126"/>
      <c r="Q806" s="126"/>
      <c r="R806" s="126"/>
      <c r="S806" s="126"/>
      <c r="T806" s="126"/>
      <c r="U806" s="126"/>
      <c r="V806" s="126"/>
      <c r="W806" s="126"/>
      <c r="X806" s="126"/>
      <c r="Y806" s="126"/>
      <c r="Z806" s="126"/>
      <c r="AA806" s="126"/>
      <c r="AB806" s="126"/>
    </row>
    <row r="807" spans="1:28" ht="15.75" customHeight="1">
      <c r="A807" s="126"/>
      <c r="B807" s="126"/>
      <c r="C807" s="176"/>
      <c r="D807" s="176"/>
      <c r="E807" s="176"/>
      <c r="F807" s="176"/>
      <c r="G807" s="176"/>
      <c r="H807" s="176"/>
      <c r="I807" s="126"/>
      <c r="J807" s="126"/>
      <c r="K807" s="126"/>
      <c r="L807" s="126"/>
      <c r="M807" s="126"/>
      <c r="N807" s="126"/>
      <c r="O807" s="126"/>
      <c r="P807" s="126"/>
      <c r="Q807" s="126"/>
      <c r="R807" s="126"/>
      <c r="S807" s="126"/>
      <c r="T807" s="126"/>
      <c r="U807" s="126"/>
      <c r="V807" s="126"/>
      <c r="W807" s="126"/>
      <c r="X807" s="126"/>
      <c r="Y807" s="126"/>
      <c r="Z807" s="126"/>
      <c r="AA807" s="126"/>
      <c r="AB807" s="126"/>
    </row>
    <row r="808" spans="1:28" ht="15.75" customHeight="1">
      <c r="A808" s="126"/>
      <c r="B808" s="126"/>
      <c r="C808" s="176"/>
      <c r="D808" s="176"/>
      <c r="E808" s="176"/>
      <c r="F808" s="176"/>
      <c r="G808" s="176"/>
      <c r="H808" s="176"/>
      <c r="I808" s="126"/>
      <c r="J808" s="126"/>
      <c r="K808" s="126"/>
      <c r="L808" s="126"/>
      <c r="M808" s="126"/>
      <c r="N808" s="126"/>
      <c r="O808" s="126"/>
      <c r="P808" s="126"/>
      <c r="Q808" s="126"/>
      <c r="R808" s="126"/>
      <c r="S808" s="126"/>
      <c r="T808" s="126"/>
      <c r="U808" s="126"/>
      <c r="V808" s="126"/>
      <c r="W808" s="126"/>
      <c r="X808" s="126"/>
      <c r="Y808" s="126"/>
      <c r="Z808" s="126"/>
      <c r="AA808" s="126"/>
      <c r="AB808" s="126"/>
    </row>
    <row r="809" spans="1:28" ht="15.75" customHeight="1">
      <c r="A809" s="126"/>
      <c r="B809" s="126"/>
      <c r="C809" s="176"/>
      <c r="D809" s="176"/>
      <c r="E809" s="176"/>
      <c r="F809" s="176"/>
      <c r="G809" s="176"/>
      <c r="H809" s="176"/>
      <c r="I809" s="126"/>
      <c r="J809" s="126"/>
      <c r="K809" s="126"/>
      <c r="L809" s="126"/>
      <c r="M809" s="126"/>
      <c r="N809" s="126"/>
      <c r="O809" s="126"/>
      <c r="P809" s="126"/>
      <c r="Q809" s="126"/>
      <c r="R809" s="126"/>
      <c r="S809" s="126"/>
      <c r="T809" s="126"/>
      <c r="U809" s="126"/>
      <c r="V809" s="126"/>
      <c r="W809" s="126"/>
      <c r="X809" s="126"/>
      <c r="Y809" s="126"/>
      <c r="Z809" s="126"/>
      <c r="AA809" s="126"/>
      <c r="AB809" s="126"/>
    </row>
    <row r="810" spans="1:28" ht="15.75" customHeight="1">
      <c r="A810" s="126"/>
      <c r="B810" s="126"/>
      <c r="C810" s="176"/>
      <c r="D810" s="176"/>
      <c r="E810" s="176"/>
      <c r="F810" s="176"/>
      <c r="G810" s="176"/>
      <c r="H810" s="176"/>
      <c r="I810" s="126"/>
      <c r="J810" s="126"/>
      <c r="K810" s="126"/>
      <c r="L810" s="126"/>
      <c r="M810" s="126"/>
      <c r="N810" s="126"/>
      <c r="O810" s="126"/>
      <c r="P810" s="126"/>
      <c r="Q810" s="126"/>
      <c r="R810" s="126"/>
      <c r="S810" s="126"/>
      <c r="T810" s="126"/>
      <c r="U810" s="126"/>
      <c r="V810" s="126"/>
      <c r="W810" s="126"/>
      <c r="X810" s="126"/>
      <c r="Y810" s="126"/>
      <c r="Z810" s="126"/>
      <c r="AA810" s="126"/>
      <c r="AB810" s="126"/>
    </row>
    <row r="811" spans="1:28" ht="15.75" customHeight="1">
      <c r="A811" s="126"/>
      <c r="B811" s="126"/>
      <c r="C811" s="176"/>
      <c r="D811" s="176"/>
      <c r="E811" s="176"/>
      <c r="F811" s="176"/>
      <c r="G811" s="176"/>
      <c r="H811" s="176"/>
      <c r="I811" s="126"/>
      <c r="J811" s="126"/>
      <c r="K811" s="126"/>
      <c r="L811" s="126"/>
      <c r="M811" s="126"/>
      <c r="N811" s="126"/>
      <c r="O811" s="126"/>
      <c r="P811" s="126"/>
      <c r="Q811" s="126"/>
      <c r="R811" s="126"/>
      <c r="S811" s="126"/>
      <c r="T811" s="126"/>
      <c r="U811" s="126"/>
      <c r="V811" s="126"/>
      <c r="W811" s="126"/>
      <c r="X811" s="126"/>
      <c r="Y811" s="126"/>
      <c r="Z811" s="126"/>
      <c r="AA811" s="126"/>
      <c r="AB811" s="126"/>
    </row>
    <row r="812" spans="1:28" ht="15.75" customHeight="1">
      <c r="A812" s="126"/>
      <c r="B812" s="126"/>
      <c r="C812" s="176"/>
      <c r="D812" s="176"/>
      <c r="E812" s="176"/>
      <c r="F812" s="176"/>
      <c r="G812" s="176"/>
      <c r="H812" s="176"/>
      <c r="I812" s="126"/>
      <c r="J812" s="126"/>
      <c r="K812" s="126"/>
      <c r="L812" s="126"/>
      <c r="M812" s="126"/>
      <c r="N812" s="126"/>
      <c r="O812" s="126"/>
      <c r="P812" s="126"/>
      <c r="Q812" s="126"/>
      <c r="R812" s="126"/>
      <c r="S812" s="126"/>
      <c r="T812" s="126"/>
      <c r="U812" s="126"/>
      <c r="V812" s="126"/>
      <c r="W812" s="126"/>
      <c r="X812" s="126"/>
      <c r="Y812" s="126"/>
      <c r="Z812" s="126"/>
      <c r="AA812" s="126"/>
      <c r="AB812" s="126"/>
    </row>
    <row r="813" spans="1:28" ht="15.75" customHeight="1">
      <c r="A813" s="126"/>
      <c r="B813" s="126"/>
      <c r="C813" s="176"/>
      <c r="D813" s="176"/>
      <c r="E813" s="176"/>
      <c r="F813" s="176"/>
      <c r="G813" s="176"/>
      <c r="H813" s="176"/>
      <c r="I813" s="126"/>
      <c r="J813" s="126"/>
      <c r="K813" s="126"/>
      <c r="L813" s="126"/>
      <c r="M813" s="126"/>
      <c r="N813" s="126"/>
      <c r="O813" s="126"/>
      <c r="P813" s="126"/>
      <c r="Q813" s="126"/>
      <c r="R813" s="126"/>
      <c r="S813" s="126"/>
      <c r="T813" s="126"/>
      <c r="U813" s="126"/>
      <c r="V813" s="126"/>
      <c r="W813" s="126"/>
      <c r="X813" s="126"/>
      <c r="Y813" s="126"/>
      <c r="Z813" s="126"/>
      <c r="AA813" s="126"/>
      <c r="AB813" s="126"/>
    </row>
    <row r="814" spans="1:28" ht="15.75" customHeight="1">
      <c r="A814" s="126"/>
      <c r="B814" s="126"/>
      <c r="C814" s="176"/>
      <c r="D814" s="176"/>
      <c r="E814" s="176"/>
      <c r="F814" s="176"/>
      <c r="G814" s="176"/>
      <c r="H814" s="176"/>
      <c r="I814" s="126"/>
      <c r="J814" s="126"/>
      <c r="K814" s="126"/>
      <c r="L814" s="126"/>
      <c r="M814" s="126"/>
      <c r="N814" s="126"/>
      <c r="O814" s="126"/>
      <c r="P814" s="126"/>
      <c r="Q814" s="126"/>
      <c r="R814" s="126"/>
      <c r="S814" s="126"/>
      <c r="T814" s="126"/>
      <c r="U814" s="126"/>
      <c r="V814" s="126"/>
      <c r="W814" s="126"/>
      <c r="X814" s="126"/>
      <c r="Y814" s="126"/>
      <c r="Z814" s="126"/>
      <c r="AA814" s="126"/>
      <c r="AB814" s="126"/>
    </row>
    <row r="815" spans="1:28" ht="15.75" customHeight="1">
      <c r="A815" s="126"/>
      <c r="B815" s="126"/>
      <c r="C815" s="176"/>
      <c r="D815" s="176"/>
      <c r="E815" s="176"/>
      <c r="F815" s="176"/>
      <c r="G815" s="176"/>
      <c r="H815" s="176"/>
      <c r="I815" s="126"/>
      <c r="J815" s="126"/>
      <c r="K815" s="126"/>
      <c r="L815" s="126"/>
      <c r="M815" s="126"/>
      <c r="N815" s="126"/>
      <c r="O815" s="126"/>
      <c r="P815" s="126"/>
      <c r="Q815" s="126"/>
      <c r="R815" s="126"/>
      <c r="S815" s="126"/>
      <c r="T815" s="126"/>
      <c r="U815" s="126"/>
      <c r="V815" s="126"/>
      <c r="W815" s="126"/>
      <c r="X815" s="126"/>
      <c r="Y815" s="126"/>
      <c r="Z815" s="126"/>
      <c r="AA815" s="126"/>
      <c r="AB815" s="126"/>
    </row>
    <row r="816" spans="1:28" ht="15.75" customHeight="1">
      <c r="A816" s="126"/>
      <c r="B816" s="126"/>
      <c r="C816" s="176"/>
      <c r="D816" s="176"/>
      <c r="E816" s="176"/>
      <c r="F816" s="176"/>
      <c r="G816" s="176"/>
      <c r="H816" s="176"/>
      <c r="I816" s="126"/>
      <c r="J816" s="126"/>
      <c r="K816" s="126"/>
      <c r="L816" s="126"/>
      <c r="M816" s="126"/>
      <c r="N816" s="126"/>
      <c r="O816" s="126"/>
      <c r="P816" s="126"/>
      <c r="Q816" s="126"/>
      <c r="R816" s="126"/>
      <c r="S816" s="126"/>
      <c r="T816" s="126"/>
      <c r="U816" s="126"/>
      <c r="V816" s="126"/>
      <c r="W816" s="126"/>
      <c r="X816" s="126"/>
      <c r="Y816" s="126"/>
      <c r="Z816" s="126"/>
      <c r="AA816" s="126"/>
      <c r="AB816" s="126"/>
    </row>
    <row r="817" spans="1:28" ht="15.75" customHeight="1">
      <c r="A817" s="126"/>
      <c r="B817" s="126"/>
      <c r="C817" s="176"/>
      <c r="D817" s="176"/>
      <c r="E817" s="176"/>
      <c r="F817" s="176"/>
      <c r="G817" s="176"/>
      <c r="H817" s="176"/>
      <c r="I817" s="126"/>
      <c r="J817" s="126"/>
      <c r="K817" s="126"/>
      <c r="L817" s="126"/>
      <c r="M817" s="126"/>
      <c r="N817" s="126"/>
      <c r="O817" s="126"/>
      <c r="P817" s="126"/>
      <c r="Q817" s="126"/>
      <c r="R817" s="126"/>
      <c r="S817" s="126"/>
      <c r="T817" s="126"/>
      <c r="U817" s="126"/>
      <c r="V817" s="126"/>
      <c r="W817" s="126"/>
      <c r="X817" s="126"/>
      <c r="Y817" s="126"/>
      <c r="Z817" s="126"/>
      <c r="AA817" s="126"/>
      <c r="AB817" s="126"/>
    </row>
    <row r="818" spans="1:28" ht="15.75" customHeight="1">
      <c r="A818" s="126"/>
      <c r="B818" s="126"/>
      <c r="C818" s="176"/>
      <c r="D818" s="176"/>
      <c r="E818" s="176"/>
      <c r="F818" s="176"/>
      <c r="G818" s="176"/>
      <c r="H818" s="176"/>
      <c r="I818" s="126"/>
      <c r="J818" s="126"/>
      <c r="K818" s="126"/>
      <c r="L818" s="126"/>
      <c r="M818" s="126"/>
      <c r="N818" s="126"/>
      <c r="O818" s="126"/>
      <c r="P818" s="126"/>
      <c r="Q818" s="126"/>
      <c r="R818" s="126"/>
      <c r="S818" s="126"/>
      <c r="T818" s="126"/>
      <c r="U818" s="126"/>
      <c r="V818" s="126"/>
      <c r="W818" s="126"/>
      <c r="X818" s="126"/>
      <c r="Y818" s="126"/>
      <c r="Z818" s="126"/>
      <c r="AA818" s="126"/>
      <c r="AB818" s="126"/>
    </row>
    <row r="819" spans="1:28" ht="15.75" customHeight="1">
      <c r="A819" s="126"/>
      <c r="B819" s="126"/>
      <c r="C819" s="176"/>
      <c r="D819" s="176"/>
      <c r="E819" s="176"/>
      <c r="F819" s="176"/>
      <c r="G819" s="176"/>
      <c r="H819" s="176"/>
      <c r="I819" s="126"/>
      <c r="J819" s="126"/>
      <c r="K819" s="126"/>
      <c r="L819" s="126"/>
      <c r="M819" s="126"/>
      <c r="N819" s="126"/>
      <c r="O819" s="126"/>
      <c r="P819" s="126"/>
      <c r="Q819" s="126"/>
      <c r="R819" s="126"/>
      <c r="S819" s="126"/>
      <c r="T819" s="126"/>
      <c r="U819" s="126"/>
      <c r="V819" s="126"/>
      <c r="W819" s="126"/>
      <c r="X819" s="126"/>
      <c r="Y819" s="126"/>
      <c r="Z819" s="126"/>
      <c r="AA819" s="126"/>
      <c r="AB819" s="126"/>
    </row>
    <row r="820" spans="1:28" ht="15.75" customHeight="1">
      <c r="A820" s="126"/>
      <c r="B820" s="126"/>
      <c r="C820" s="176"/>
      <c r="D820" s="176"/>
      <c r="E820" s="176"/>
      <c r="F820" s="176"/>
      <c r="G820" s="176"/>
      <c r="H820" s="176"/>
      <c r="I820" s="126"/>
      <c r="J820" s="126"/>
      <c r="K820" s="126"/>
      <c r="L820" s="126"/>
      <c r="M820" s="126"/>
      <c r="N820" s="126"/>
      <c r="O820" s="126"/>
      <c r="P820" s="126"/>
      <c r="Q820" s="126"/>
      <c r="R820" s="126"/>
      <c r="S820" s="126"/>
      <c r="T820" s="126"/>
      <c r="U820" s="126"/>
      <c r="V820" s="126"/>
      <c r="W820" s="126"/>
      <c r="X820" s="126"/>
      <c r="Y820" s="126"/>
      <c r="Z820" s="126"/>
      <c r="AA820" s="126"/>
      <c r="AB820" s="126"/>
    </row>
    <row r="821" spans="1:28" ht="15.75" customHeight="1">
      <c r="A821" s="126"/>
      <c r="B821" s="126"/>
      <c r="C821" s="176"/>
      <c r="D821" s="176"/>
      <c r="E821" s="176"/>
      <c r="F821" s="176"/>
      <c r="G821" s="176"/>
      <c r="H821" s="176"/>
      <c r="I821" s="126"/>
      <c r="J821" s="126"/>
      <c r="K821" s="126"/>
      <c r="L821" s="126"/>
      <c r="M821" s="126"/>
      <c r="N821" s="126"/>
      <c r="O821" s="126"/>
      <c r="P821" s="126"/>
      <c r="Q821" s="126"/>
      <c r="R821" s="126"/>
      <c r="S821" s="126"/>
      <c r="T821" s="126"/>
      <c r="U821" s="126"/>
      <c r="V821" s="126"/>
      <c r="W821" s="126"/>
      <c r="X821" s="126"/>
      <c r="Y821" s="126"/>
      <c r="Z821" s="126"/>
      <c r="AA821" s="126"/>
      <c r="AB821" s="126"/>
    </row>
    <row r="822" spans="1:28" ht="15.75" customHeight="1">
      <c r="A822" s="126"/>
      <c r="B822" s="126"/>
      <c r="C822" s="176"/>
      <c r="D822" s="176"/>
      <c r="E822" s="176"/>
      <c r="F822" s="176"/>
      <c r="G822" s="176"/>
      <c r="H822" s="176"/>
      <c r="I822" s="126"/>
      <c r="J822" s="126"/>
      <c r="K822" s="126"/>
      <c r="L822" s="126"/>
      <c r="M822" s="126"/>
      <c r="N822" s="126"/>
      <c r="O822" s="126"/>
      <c r="P822" s="126"/>
      <c r="Q822" s="126"/>
      <c r="R822" s="126"/>
      <c r="S822" s="126"/>
      <c r="T822" s="126"/>
      <c r="U822" s="126"/>
      <c r="V822" s="126"/>
      <c r="W822" s="126"/>
      <c r="X822" s="126"/>
      <c r="Y822" s="126"/>
      <c r="Z822" s="126"/>
      <c r="AA822" s="126"/>
      <c r="AB822" s="126"/>
    </row>
    <row r="823" spans="1:28" ht="15.75" customHeight="1">
      <c r="A823" s="126"/>
      <c r="B823" s="126"/>
      <c r="C823" s="176"/>
      <c r="D823" s="176"/>
      <c r="E823" s="176"/>
      <c r="F823" s="176"/>
      <c r="G823" s="176"/>
      <c r="H823" s="176"/>
      <c r="I823" s="126"/>
      <c r="J823" s="126"/>
      <c r="K823" s="126"/>
      <c r="L823" s="126"/>
      <c r="M823" s="126"/>
      <c r="N823" s="126"/>
      <c r="O823" s="126"/>
      <c r="P823" s="126"/>
      <c r="Q823" s="126"/>
      <c r="R823" s="126"/>
      <c r="S823" s="126"/>
      <c r="T823" s="126"/>
      <c r="U823" s="126"/>
      <c r="V823" s="126"/>
      <c r="W823" s="126"/>
      <c r="X823" s="126"/>
      <c r="Y823" s="126"/>
      <c r="Z823" s="126"/>
      <c r="AA823" s="126"/>
      <c r="AB823" s="126"/>
    </row>
    <row r="824" spans="1:28" ht="15.75" customHeight="1">
      <c r="A824" s="126"/>
      <c r="B824" s="126"/>
      <c r="C824" s="176"/>
      <c r="D824" s="176"/>
      <c r="E824" s="176"/>
      <c r="F824" s="176"/>
      <c r="G824" s="176"/>
      <c r="H824" s="176"/>
      <c r="I824" s="126"/>
      <c r="J824" s="126"/>
      <c r="K824" s="126"/>
      <c r="L824" s="126"/>
      <c r="M824" s="126"/>
      <c r="N824" s="126"/>
      <c r="O824" s="126"/>
      <c r="P824" s="126"/>
      <c r="Q824" s="126"/>
      <c r="R824" s="126"/>
      <c r="S824" s="126"/>
      <c r="T824" s="126"/>
      <c r="U824" s="126"/>
      <c r="V824" s="126"/>
      <c r="W824" s="126"/>
      <c r="X824" s="126"/>
      <c r="Y824" s="126"/>
      <c r="Z824" s="126"/>
      <c r="AA824" s="126"/>
      <c r="AB824" s="126"/>
    </row>
    <row r="825" spans="1:28" ht="15.75" customHeight="1">
      <c r="A825" s="126"/>
      <c r="B825" s="126"/>
      <c r="C825" s="176"/>
      <c r="D825" s="176"/>
      <c r="E825" s="176"/>
      <c r="F825" s="176"/>
      <c r="G825" s="176"/>
      <c r="H825" s="176"/>
      <c r="I825" s="126"/>
      <c r="J825" s="126"/>
      <c r="K825" s="126"/>
      <c r="L825" s="126"/>
      <c r="M825" s="126"/>
      <c r="N825" s="126"/>
      <c r="O825" s="126"/>
      <c r="P825" s="126"/>
      <c r="Q825" s="126"/>
      <c r="R825" s="126"/>
      <c r="S825" s="126"/>
      <c r="T825" s="126"/>
      <c r="U825" s="126"/>
      <c r="V825" s="126"/>
      <c r="W825" s="126"/>
      <c r="X825" s="126"/>
      <c r="Y825" s="126"/>
      <c r="Z825" s="126"/>
      <c r="AA825" s="126"/>
      <c r="AB825" s="126"/>
    </row>
    <row r="826" spans="1:28" ht="15.75" customHeight="1">
      <c r="A826" s="126"/>
      <c r="B826" s="126"/>
      <c r="C826" s="176"/>
      <c r="D826" s="176"/>
      <c r="E826" s="176"/>
      <c r="F826" s="176"/>
      <c r="G826" s="176"/>
      <c r="H826" s="176"/>
      <c r="I826" s="126"/>
      <c r="J826" s="126"/>
      <c r="K826" s="126"/>
      <c r="L826" s="126"/>
      <c r="M826" s="126"/>
      <c r="N826" s="126"/>
      <c r="O826" s="126"/>
      <c r="P826" s="126"/>
      <c r="Q826" s="126"/>
      <c r="R826" s="126"/>
      <c r="S826" s="126"/>
      <c r="T826" s="126"/>
      <c r="U826" s="126"/>
      <c r="V826" s="126"/>
      <c r="W826" s="126"/>
      <c r="X826" s="126"/>
      <c r="Y826" s="126"/>
      <c r="Z826" s="126"/>
      <c r="AA826" s="126"/>
      <c r="AB826" s="126"/>
    </row>
    <row r="827" spans="1:28" ht="15.75" customHeight="1">
      <c r="A827" s="126"/>
      <c r="B827" s="126"/>
      <c r="C827" s="176"/>
      <c r="D827" s="176"/>
      <c r="E827" s="176"/>
      <c r="F827" s="176"/>
      <c r="G827" s="176"/>
      <c r="H827" s="176"/>
      <c r="I827" s="126"/>
      <c r="J827" s="126"/>
      <c r="K827" s="126"/>
      <c r="L827" s="126"/>
      <c r="M827" s="126"/>
      <c r="N827" s="126"/>
      <c r="O827" s="126"/>
      <c r="P827" s="126"/>
      <c r="Q827" s="126"/>
      <c r="R827" s="126"/>
      <c r="S827" s="126"/>
      <c r="T827" s="126"/>
      <c r="U827" s="126"/>
      <c r="V827" s="126"/>
      <c r="W827" s="126"/>
      <c r="X827" s="126"/>
      <c r="Y827" s="126"/>
      <c r="Z827" s="126"/>
      <c r="AA827" s="126"/>
      <c r="AB827" s="126"/>
    </row>
    <row r="828" spans="1:28" ht="15.75" customHeight="1">
      <c r="A828" s="126"/>
      <c r="B828" s="126"/>
      <c r="C828" s="176"/>
      <c r="D828" s="176"/>
      <c r="E828" s="176"/>
      <c r="F828" s="176"/>
      <c r="G828" s="176"/>
      <c r="H828" s="176"/>
      <c r="I828" s="126"/>
      <c r="J828" s="126"/>
      <c r="K828" s="126"/>
      <c r="L828" s="126"/>
      <c r="M828" s="126"/>
      <c r="N828" s="126"/>
      <c r="O828" s="126"/>
      <c r="P828" s="126"/>
      <c r="Q828" s="126"/>
      <c r="R828" s="126"/>
      <c r="S828" s="126"/>
      <c r="T828" s="126"/>
      <c r="U828" s="126"/>
      <c r="V828" s="126"/>
      <c r="W828" s="126"/>
      <c r="X828" s="126"/>
      <c r="Y828" s="126"/>
      <c r="Z828" s="126"/>
      <c r="AA828" s="126"/>
      <c r="AB828" s="126"/>
    </row>
    <row r="829" spans="1:28" ht="15.75" customHeight="1">
      <c r="A829" s="126"/>
      <c r="B829" s="126"/>
      <c r="C829" s="176"/>
      <c r="D829" s="176"/>
      <c r="E829" s="176"/>
      <c r="F829" s="176"/>
      <c r="G829" s="176"/>
      <c r="H829" s="176"/>
      <c r="I829" s="126"/>
      <c r="J829" s="126"/>
      <c r="K829" s="126"/>
      <c r="L829" s="126"/>
      <c r="M829" s="126"/>
      <c r="N829" s="126"/>
      <c r="O829" s="126"/>
      <c r="P829" s="126"/>
      <c r="Q829" s="126"/>
      <c r="R829" s="126"/>
      <c r="S829" s="126"/>
      <c r="T829" s="126"/>
      <c r="U829" s="126"/>
      <c r="V829" s="126"/>
      <c r="W829" s="126"/>
      <c r="X829" s="126"/>
      <c r="Y829" s="126"/>
      <c r="Z829" s="126"/>
      <c r="AA829" s="126"/>
      <c r="AB829" s="126"/>
    </row>
    <row r="830" spans="1:28" ht="15.75" customHeight="1">
      <c r="A830" s="126"/>
      <c r="B830" s="126"/>
      <c r="C830" s="176"/>
      <c r="D830" s="176"/>
      <c r="E830" s="176"/>
      <c r="F830" s="176"/>
      <c r="G830" s="176"/>
      <c r="H830" s="176"/>
      <c r="I830" s="126"/>
      <c r="J830" s="126"/>
      <c r="K830" s="126"/>
      <c r="L830" s="126"/>
      <c r="M830" s="126"/>
      <c r="N830" s="126"/>
      <c r="O830" s="126"/>
      <c r="P830" s="126"/>
      <c r="Q830" s="126"/>
      <c r="R830" s="126"/>
      <c r="S830" s="126"/>
      <c r="T830" s="126"/>
      <c r="U830" s="126"/>
      <c r="V830" s="126"/>
      <c r="W830" s="126"/>
      <c r="X830" s="126"/>
      <c r="Y830" s="126"/>
      <c r="Z830" s="126"/>
      <c r="AA830" s="126"/>
      <c r="AB830" s="126"/>
    </row>
    <row r="831" spans="1:28" ht="15.75" customHeight="1">
      <c r="A831" s="126"/>
      <c r="B831" s="126"/>
      <c r="C831" s="176"/>
      <c r="D831" s="176"/>
      <c r="E831" s="176"/>
      <c r="F831" s="176"/>
      <c r="G831" s="176"/>
      <c r="H831" s="176"/>
      <c r="I831" s="126"/>
      <c r="J831" s="126"/>
      <c r="K831" s="126"/>
      <c r="L831" s="126"/>
      <c r="M831" s="126"/>
      <c r="N831" s="126"/>
      <c r="O831" s="126"/>
      <c r="P831" s="126"/>
      <c r="Q831" s="126"/>
      <c r="R831" s="126"/>
      <c r="S831" s="126"/>
      <c r="T831" s="126"/>
      <c r="U831" s="126"/>
      <c r="V831" s="126"/>
      <c r="W831" s="126"/>
      <c r="X831" s="126"/>
      <c r="Y831" s="126"/>
      <c r="Z831" s="126"/>
      <c r="AA831" s="126"/>
      <c r="AB831" s="126"/>
    </row>
    <row r="832" spans="1:28" ht="15.75" customHeight="1">
      <c r="A832" s="126"/>
      <c r="B832" s="126"/>
      <c r="C832" s="176"/>
      <c r="D832" s="176"/>
      <c r="E832" s="176"/>
      <c r="F832" s="176"/>
      <c r="G832" s="176"/>
      <c r="H832" s="176"/>
      <c r="I832" s="126"/>
      <c r="J832" s="126"/>
      <c r="K832" s="126"/>
      <c r="L832" s="126"/>
      <c r="M832" s="126"/>
      <c r="N832" s="126"/>
      <c r="O832" s="126"/>
      <c r="P832" s="126"/>
      <c r="Q832" s="126"/>
      <c r="R832" s="126"/>
      <c r="S832" s="126"/>
      <c r="T832" s="126"/>
      <c r="U832" s="126"/>
      <c r="V832" s="126"/>
      <c r="W832" s="126"/>
      <c r="X832" s="126"/>
      <c r="Y832" s="126"/>
      <c r="Z832" s="126"/>
      <c r="AA832" s="126"/>
      <c r="AB832" s="126"/>
    </row>
    <row r="833" spans="1:28" ht="15.75" customHeight="1">
      <c r="A833" s="126"/>
      <c r="B833" s="126"/>
      <c r="C833" s="176"/>
      <c r="D833" s="176"/>
      <c r="E833" s="176"/>
      <c r="F833" s="176"/>
      <c r="G833" s="176"/>
      <c r="H833" s="176"/>
      <c r="I833" s="126"/>
      <c r="J833" s="126"/>
      <c r="K833" s="126"/>
      <c r="L833" s="126"/>
      <c r="M833" s="126"/>
      <c r="N833" s="126"/>
      <c r="O833" s="126"/>
      <c r="P833" s="126"/>
      <c r="Q833" s="126"/>
      <c r="R833" s="126"/>
      <c r="S833" s="126"/>
      <c r="T833" s="126"/>
      <c r="U833" s="126"/>
      <c r="V833" s="126"/>
      <c r="W833" s="126"/>
      <c r="X833" s="126"/>
      <c r="Y833" s="126"/>
      <c r="Z833" s="126"/>
      <c r="AA833" s="126"/>
      <c r="AB833" s="126"/>
    </row>
    <row r="834" spans="1:28" ht="15.75" customHeight="1">
      <c r="A834" s="126"/>
      <c r="B834" s="126"/>
      <c r="C834" s="176"/>
      <c r="D834" s="176"/>
      <c r="E834" s="176"/>
      <c r="F834" s="176"/>
      <c r="G834" s="176"/>
      <c r="H834" s="176"/>
      <c r="I834" s="126"/>
      <c r="J834" s="126"/>
      <c r="K834" s="126"/>
      <c r="L834" s="126"/>
      <c r="M834" s="126"/>
      <c r="N834" s="126"/>
      <c r="O834" s="126"/>
      <c r="P834" s="126"/>
      <c r="Q834" s="126"/>
      <c r="R834" s="126"/>
      <c r="S834" s="126"/>
      <c r="T834" s="126"/>
      <c r="U834" s="126"/>
      <c r="V834" s="126"/>
      <c r="W834" s="126"/>
      <c r="X834" s="126"/>
      <c r="Y834" s="126"/>
      <c r="Z834" s="126"/>
      <c r="AA834" s="126"/>
      <c r="AB834" s="126"/>
    </row>
    <row r="835" spans="1:28" ht="15.75" customHeight="1">
      <c r="A835" s="126"/>
      <c r="B835" s="126"/>
      <c r="C835" s="176"/>
      <c r="D835" s="176"/>
      <c r="E835" s="176"/>
      <c r="F835" s="176"/>
      <c r="G835" s="176"/>
      <c r="H835" s="176"/>
      <c r="I835" s="126"/>
      <c r="J835" s="126"/>
      <c r="K835" s="126"/>
      <c r="L835" s="126"/>
      <c r="M835" s="126"/>
      <c r="N835" s="126"/>
      <c r="O835" s="126"/>
      <c r="P835" s="126"/>
      <c r="Q835" s="126"/>
      <c r="R835" s="126"/>
      <c r="S835" s="126"/>
      <c r="T835" s="126"/>
      <c r="U835" s="126"/>
      <c r="V835" s="126"/>
      <c r="W835" s="126"/>
      <c r="X835" s="126"/>
      <c r="Y835" s="126"/>
      <c r="Z835" s="126"/>
      <c r="AA835" s="126"/>
      <c r="AB835" s="126"/>
    </row>
    <row r="836" spans="1:28" ht="15.75" customHeight="1">
      <c r="A836" s="126"/>
      <c r="B836" s="126"/>
      <c r="C836" s="176"/>
      <c r="D836" s="176"/>
      <c r="E836" s="176"/>
      <c r="F836" s="176"/>
      <c r="G836" s="176"/>
      <c r="H836" s="176"/>
      <c r="I836" s="126"/>
      <c r="J836" s="126"/>
      <c r="K836" s="126"/>
      <c r="L836" s="126"/>
      <c r="M836" s="126"/>
      <c r="N836" s="126"/>
      <c r="O836" s="126"/>
      <c r="P836" s="126"/>
      <c r="Q836" s="126"/>
      <c r="R836" s="126"/>
      <c r="S836" s="126"/>
      <c r="T836" s="126"/>
      <c r="U836" s="126"/>
      <c r="V836" s="126"/>
      <c r="W836" s="126"/>
      <c r="X836" s="126"/>
      <c r="Y836" s="126"/>
      <c r="Z836" s="126"/>
      <c r="AA836" s="126"/>
      <c r="AB836" s="126"/>
    </row>
    <row r="837" spans="1:28" ht="15.75" customHeight="1">
      <c r="A837" s="126"/>
      <c r="B837" s="126"/>
      <c r="C837" s="176"/>
      <c r="D837" s="176"/>
      <c r="E837" s="176"/>
      <c r="F837" s="176"/>
      <c r="G837" s="176"/>
      <c r="H837" s="176"/>
      <c r="I837" s="126"/>
      <c r="J837" s="126"/>
      <c r="K837" s="126"/>
      <c r="L837" s="126"/>
      <c r="M837" s="126"/>
      <c r="N837" s="126"/>
      <c r="O837" s="126"/>
      <c r="P837" s="126"/>
      <c r="Q837" s="126"/>
      <c r="R837" s="126"/>
      <c r="S837" s="126"/>
      <c r="T837" s="126"/>
      <c r="U837" s="126"/>
      <c r="V837" s="126"/>
      <c r="W837" s="126"/>
      <c r="X837" s="126"/>
      <c r="Y837" s="126"/>
      <c r="Z837" s="126"/>
      <c r="AA837" s="126"/>
      <c r="AB837" s="126"/>
    </row>
    <row r="838" spans="1:28" ht="15.75" customHeight="1">
      <c r="A838" s="126"/>
      <c r="B838" s="126"/>
      <c r="C838" s="176"/>
      <c r="D838" s="176"/>
      <c r="E838" s="176"/>
      <c r="F838" s="176"/>
      <c r="G838" s="176"/>
      <c r="H838" s="176"/>
      <c r="I838" s="126"/>
      <c r="J838" s="126"/>
      <c r="K838" s="126"/>
      <c r="L838" s="126"/>
      <c r="M838" s="126"/>
      <c r="N838" s="126"/>
      <c r="O838" s="126"/>
      <c r="P838" s="126"/>
      <c r="Q838" s="126"/>
      <c r="R838" s="126"/>
      <c r="S838" s="126"/>
      <c r="T838" s="126"/>
      <c r="U838" s="126"/>
      <c r="V838" s="126"/>
      <c r="W838" s="126"/>
      <c r="X838" s="126"/>
      <c r="Y838" s="126"/>
      <c r="Z838" s="126"/>
      <c r="AA838" s="126"/>
      <c r="AB838" s="126"/>
    </row>
    <row r="839" spans="1:28" ht="15.75" customHeight="1">
      <c r="A839" s="126"/>
      <c r="B839" s="126"/>
      <c r="C839" s="176"/>
      <c r="D839" s="176"/>
      <c r="E839" s="176"/>
      <c r="F839" s="176"/>
      <c r="G839" s="176"/>
      <c r="H839" s="176"/>
      <c r="I839" s="126"/>
      <c r="J839" s="126"/>
      <c r="K839" s="126"/>
      <c r="L839" s="126"/>
      <c r="M839" s="126"/>
      <c r="N839" s="126"/>
      <c r="O839" s="126"/>
      <c r="P839" s="126"/>
      <c r="Q839" s="126"/>
      <c r="R839" s="126"/>
      <c r="S839" s="126"/>
      <c r="T839" s="126"/>
      <c r="U839" s="126"/>
      <c r="V839" s="126"/>
      <c r="W839" s="126"/>
      <c r="X839" s="126"/>
      <c r="Y839" s="126"/>
      <c r="Z839" s="126"/>
      <c r="AA839" s="126"/>
      <c r="AB839" s="126"/>
    </row>
    <row r="840" spans="1:28" ht="15.75" customHeight="1">
      <c r="A840" s="126"/>
      <c r="B840" s="126"/>
      <c r="C840" s="176"/>
      <c r="D840" s="176"/>
      <c r="E840" s="176"/>
      <c r="F840" s="176"/>
      <c r="G840" s="176"/>
      <c r="H840" s="176"/>
      <c r="I840" s="126"/>
      <c r="J840" s="126"/>
      <c r="K840" s="126"/>
      <c r="L840" s="126"/>
      <c r="M840" s="126"/>
      <c r="N840" s="126"/>
      <c r="O840" s="126"/>
      <c r="P840" s="126"/>
      <c r="Q840" s="126"/>
      <c r="R840" s="126"/>
      <c r="S840" s="126"/>
      <c r="T840" s="126"/>
      <c r="U840" s="126"/>
      <c r="V840" s="126"/>
      <c r="W840" s="126"/>
      <c r="X840" s="126"/>
      <c r="Y840" s="126"/>
      <c r="Z840" s="126"/>
      <c r="AA840" s="126"/>
      <c r="AB840" s="126"/>
    </row>
    <row r="841" spans="1:28" ht="15.75" customHeight="1">
      <c r="A841" s="126"/>
      <c r="B841" s="126"/>
      <c r="C841" s="176"/>
      <c r="D841" s="176"/>
      <c r="E841" s="176"/>
      <c r="F841" s="176"/>
      <c r="G841" s="176"/>
      <c r="H841" s="176"/>
      <c r="I841" s="126"/>
      <c r="J841" s="126"/>
      <c r="K841" s="126"/>
      <c r="L841" s="126"/>
      <c r="M841" s="126"/>
      <c r="N841" s="126"/>
      <c r="O841" s="126"/>
      <c r="P841" s="126"/>
      <c r="Q841" s="126"/>
      <c r="R841" s="126"/>
      <c r="S841" s="126"/>
      <c r="T841" s="126"/>
      <c r="U841" s="126"/>
      <c r="V841" s="126"/>
      <c r="W841" s="126"/>
      <c r="X841" s="126"/>
      <c r="Y841" s="126"/>
      <c r="Z841" s="126"/>
      <c r="AA841" s="126"/>
      <c r="AB841" s="126"/>
    </row>
    <row r="842" spans="1:28" ht="15.75" customHeight="1">
      <c r="A842" s="126"/>
      <c r="B842" s="126"/>
      <c r="C842" s="176"/>
      <c r="D842" s="176"/>
      <c r="E842" s="176"/>
      <c r="F842" s="176"/>
      <c r="G842" s="176"/>
      <c r="H842" s="176"/>
      <c r="I842" s="126"/>
      <c r="J842" s="126"/>
      <c r="K842" s="126"/>
      <c r="L842" s="126"/>
      <c r="M842" s="126"/>
      <c r="N842" s="126"/>
      <c r="O842" s="126"/>
      <c r="P842" s="126"/>
      <c r="Q842" s="126"/>
      <c r="R842" s="126"/>
      <c r="S842" s="126"/>
      <c r="T842" s="126"/>
      <c r="U842" s="126"/>
      <c r="V842" s="126"/>
      <c r="W842" s="126"/>
      <c r="X842" s="126"/>
      <c r="Y842" s="126"/>
      <c r="Z842" s="126"/>
      <c r="AA842" s="126"/>
      <c r="AB842" s="126"/>
    </row>
    <row r="843" spans="1:28" ht="15.75" customHeight="1">
      <c r="A843" s="126"/>
      <c r="B843" s="126"/>
      <c r="C843" s="176"/>
      <c r="D843" s="176"/>
      <c r="E843" s="176"/>
      <c r="F843" s="176"/>
      <c r="G843" s="176"/>
      <c r="H843" s="176"/>
      <c r="I843" s="126"/>
      <c r="J843" s="126"/>
      <c r="K843" s="126"/>
      <c r="L843" s="126"/>
      <c r="M843" s="126"/>
      <c r="N843" s="126"/>
      <c r="O843" s="126"/>
      <c r="P843" s="126"/>
      <c r="Q843" s="126"/>
      <c r="R843" s="126"/>
      <c r="S843" s="126"/>
      <c r="T843" s="126"/>
      <c r="U843" s="126"/>
      <c r="V843" s="126"/>
      <c r="W843" s="126"/>
      <c r="X843" s="126"/>
      <c r="Y843" s="126"/>
      <c r="Z843" s="126"/>
      <c r="AA843" s="126"/>
      <c r="AB843" s="126"/>
    </row>
    <row r="844" spans="1:28" ht="15.75" customHeight="1">
      <c r="A844" s="126"/>
      <c r="B844" s="126"/>
      <c r="C844" s="176"/>
      <c r="D844" s="176"/>
      <c r="E844" s="176"/>
      <c r="F844" s="176"/>
      <c r="G844" s="176"/>
      <c r="H844" s="176"/>
      <c r="I844" s="126"/>
      <c r="J844" s="126"/>
      <c r="K844" s="126"/>
      <c r="L844" s="126"/>
      <c r="M844" s="126"/>
      <c r="N844" s="126"/>
      <c r="O844" s="126"/>
      <c r="P844" s="126"/>
      <c r="Q844" s="126"/>
      <c r="R844" s="126"/>
      <c r="S844" s="126"/>
      <c r="T844" s="126"/>
      <c r="U844" s="126"/>
      <c r="V844" s="126"/>
      <c r="W844" s="126"/>
      <c r="X844" s="126"/>
      <c r="Y844" s="126"/>
      <c r="Z844" s="126"/>
      <c r="AA844" s="126"/>
      <c r="AB844" s="126"/>
    </row>
    <row r="845" spans="1:28" ht="15.75" customHeight="1">
      <c r="A845" s="126"/>
      <c r="B845" s="126"/>
      <c r="C845" s="176"/>
      <c r="D845" s="176"/>
      <c r="E845" s="176"/>
      <c r="F845" s="176"/>
      <c r="G845" s="176"/>
      <c r="H845" s="176"/>
      <c r="I845" s="126"/>
      <c r="J845" s="126"/>
      <c r="K845" s="126"/>
      <c r="L845" s="126"/>
      <c r="M845" s="126"/>
      <c r="N845" s="126"/>
      <c r="O845" s="126"/>
      <c r="P845" s="126"/>
      <c r="Q845" s="126"/>
      <c r="R845" s="126"/>
      <c r="S845" s="126"/>
      <c r="T845" s="126"/>
      <c r="U845" s="126"/>
      <c r="V845" s="126"/>
      <c r="W845" s="126"/>
      <c r="X845" s="126"/>
      <c r="Y845" s="126"/>
      <c r="Z845" s="126"/>
      <c r="AA845" s="126"/>
      <c r="AB845" s="126"/>
    </row>
    <row r="846" spans="1:28" ht="15.75" customHeight="1">
      <c r="A846" s="126"/>
      <c r="B846" s="126"/>
      <c r="C846" s="176"/>
      <c r="D846" s="176"/>
      <c r="E846" s="176"/>
      <c r="F846" s="176"/>
      <c r="G846" s="176"/>
      <c r="H846" s="176"/>
      <c r="I846" s="126"/>
      <c r="J846" s="126"/>
      <c r="K846" s="126"/>
      <c r="L846" s="126"/>
      <c r="M846" s="126"/>
      <c r="N846" s="126"/>
      <c r="O846" s="126"/>
      <c r="P846" s="126"/>
      <c r="Q846" s="126"/>
      <c r="R846" s="126"/>
      <c r="S846" s="126"/>
      <c r="T846" s="126"/>
      <c r="U846" s="126"/>
      <c r="V846" s="126"/>
      <c r="W846" s="126"/>
      <c r="X846" s="126"/>
      <c r="Y846" s="126"/>
      <c r="Z846" s="126"/>
      <c r="AA846" s="126"/>
      <c r="AB846" s="126"/>
    </row>
    <row r="847" spans="1:28" ht="15.75" customHeight="1">
      <c r="A847" s="126"/>
      <c r="B847" s="126"/>
      <c r="C847" s="176"/>
      <c r="D847" s="176"/>
      <c r="E847" s="176"/>
      <c r="F847" s="176"/>
      <c r="G847" s="176"/>
      <c r="H847" s="176"/>
      <c r="I847" s="126"/>
      <c r="J847" s="126"/>
      <c r="K847" s="126"/>
      <c r="L847" s="126"/>
      <c r="M847" s="126"/>
      <c r="N847" s="126"/>
      <c r="O847" s="126"/>
      <c r="P847" s="126"/>
      <c r="Q847" s="126"/>
      <c r="R847" s="126"/>
      <c r="S847" s="126"/>
      <c r="T847" s="126"/>
      <c r="U847" s="126"/>
      <c r="V847" s="126"/>
      <c r="W847" s="126"/>
      <c r="X847" s="126"/>
      <c r="Y847" s="126"/>
      <c r="Z847" s="126"/>
      <c r="AA847" s="126"/>
      <c r="AB847" s="126"/>
    </row>
    <row r="848" spans="1:28" ht="15.75" customHeight="1">
      <c r="A848" s="126"/>
      <c r="B848" s="126"/>
      <c r="C848" s="176"/>
      <c r="D848" s="176"/>
      <c r="E848" s="176"/>
      <c r="F848" s="176"/>
      <c r="G848" s="176"/>
      <c r="H848" s="176"/>
      <c r="I848" s="126"/>
      <c r="J848" s="126"/>
      <c r="K848" s="126"/>
      <c r="L848" s="126"/>
      <c r="M848" s="126"/>
      <c r="N848" s="126"/>
      <c r="O848" s="126"/>
      <c r="P848" s="126"/>
      <c r="Q848" s="126"/>
      <c r="R848" s="126"/>
      <c r="S848" s="126"/>
      <c r="T848" s="126"/>
      <c r="U848" s="126"/>
      <c r="V848" s="126"/>
      <c r="W848" s="126"/>
      <c r="X848" s="126"/>
      <c r="Y848" s="126"/>
      <c r="Z848" s="126"/>
      <c r="AA848" s="126"/>
      <c r="AB848" s="126"/>
    </row>
    <row r="849" spans="1:28" ht="15.75" customHeight="1">
      <c r="A849" s="126"/>
      <c r="B849" s="126"/>
      <c r="C849" s="176"/>
      <c r="D849" s="176"/>
      <c r="E849" s="176"/>
      <c r="F849" s="176"/>
      <c r="G849" s="176"/>
      <c r="H849" s="176"/>
      <c r="I849" s="126"/>
      <c r="J849" s="126"/>
      <c r="K849" s="126"/>
      <c r="L849" s="126"/>
      <c r="M849" s="126"/>
      <c r="N849" s="126"/>
      <c r="O849" s="126"/>
      <c r="P849" s="126"/>
      <c r="Q849" s="126"/>
      <c r="R849" s="126"/>
      <c r="S849" s="126"/>
      <c r="T849" s="126"/>
      <c r="U849" s="126"/>
      <c r="V849" s="126"/>
      <c r="W849" s="126"/>
      <c r="X849" s="126"/>
      <c r="Y849" s="126"/>
      <c r="Z849" s="126"/>
      <c r="AA849" s="126"/>
      <c r="AB849" s="126"/>
    </row>
    <row r="850" spans="1:28" ht="15.75" customHeight="1">
      <c r="A850" s="126"/>
      <c r="B850" s="126"/>
      <c r="C850" s="176"/>
      <c r="D850" s="176"/>
      <c r="E850" s="176"/>
      <c r="F850" s="176"/>
      <c r="G850" s="176"/>
      <c r="H850" s="176"/>
      <c r="I850" s="126"/>
      <c r="J850" s="126"/>
      <c r="K850" s="126"/>
      <c r="L850" s="126"/>
      <c r="M850" s="126"/>
      <c r="N850" s="126"/>
      <c r="O850" s="126"/>
      <c r="P850" s="126"/>
      <c r="Q850" s="126"/>
      <c r="R850" s="126"/>
      <c r="S850" s="126"/>
      <c r="T850" s="126"/>
      <c r="U850" s="126"/>
      <c r="V850" s="126"/>
      <c r="W850" s="126"/>
      <c r="X850" s="126"/>
      <c r="Y850" s="126"/>
      <c r="Z850" s="126"/>
      <c r="AA850" s="126"/>
      <c r="AB850" s="126"/>
    </row>
    <row r="851" spans="1:28" ht="15.75" customHeight="1">
      <c r="A851" s="126"/>
      <c r="B851" s="126"/>
      <c r="C851" s="176"/>
      <c r="D851" s="176"/>
      <c r="E851" s="176"/>
      <c r="F851" s="176"/>
      <c r="G851" s="176"/>
      <c r="H851" s="176"/>
      <c r="I851" s="126"/>
      <c r="J851" s="126"/>
      <c r="K851" s="126"/>
      <c r="L851" s="126"/>
      <c r="M851" s="126"/>
      <c r="N851" s="126"/>
      <c r="O851" s="126"/>
      <c r="P851" s="126"/>
      <c r="Q851" s="126"/>
      <c r="R851" s="126"/>
      <c r="S851" s="126"/>
      <c r="T851" s="126"/>
      <c r="U851" s="126"/>
      <c r="V851" s="126"/>
      <c r="W851" s="126"/>
      <c r="X851" s="126"/>
      <c r="Y851" s="126"/>
      <c r="Z851" s="126"/>
      <c r="AA851" s="126"/>
      <c r="AB851" s="126"/>
    </row>
    <row r="852" spans="1:28" ht="15.75" customHeight="1">
      <c r="A852" s="126"/>
      <c r="B852" s="126"/>
      <c r="C852" s="176"/>
      <c r="D852" s="176"/>
      <c r="E852" s="176"/>
      <c r="F852" s="176"/>
      <c r="G852" s="176"/>
      <c r="H852" s="176"/>
      <c r="I852" s="126"/>
      <c r="J852" s="126"/>
      <c r="K852" s="126"/>
      <c r="L852" s="126"/>
      <c r="M852" s="126"/>
      <c r="N852" s="126"/>
      <c r="O852" s="126"/>
      <c r="P852" s="126"/>
      <c r="Q852" s="126"/>
      <c r="R852" s="126"/>
      <c r="S852" s="126"/>
      <c r="T852" s="126"/>
      <c r="U852" s="126"/>
      <c r="V852" s="126"/>
      <c r="W852" s="126"/>
      <c r="X852" s="126"/>
      <c r="Y852" s="126"/>
      <c r="Z852" s="126"/>
      <c r="AA852" s="126"/>
      <c r="AB852" s="126"/>
    </row>
    <row r="853" spans="1:28" ht="15.75" customHeight="1">
      <c r="A853" s="126"/>
      <c r="B853" s="126"/>
      <c r="C853" s="176"/>
      <c r="D853" s="176"/>
      <c r="E853" s="176"/>
      <c r="F853" s="176"/>
      <c r="G853" s="176"/>
      <c r="H853" s="176"/>
      <c r="I853" s="126"/>
      <c r="J853" s="126"/>
      <c r="K853" s="126"/>
      <c r="L853" s="126"/>
      <c r="M853" s="126"/>
      <c r="N853" s="126"/>
      <c r="O853" s="126"/>
      <c r="P853" s="126"/>
      <c r="Q853" s="126"/>
      <c r="R853" s="126"/>
      <c r="S853" s="126"/>
      <c r="T853" s="126"/>
      <c r="U853" s="126"/>
      <c r="V853" s="126"/>
      <c r="W853" s="126"/>
      <c r="X853" s="126"/>
      <c r="Y853" s="126"/>
      <c r="Z853" s="126"/>
      <c r="AA853" s="126"/>
      <c r="AB853" s="126"/>
    </row>
    <row r="854" spans="1:28" ht="15.75" customHeight="1">
      <c r="A854" s="126"/>
      <c r="B854" s="126"/>
      <c r="C854" s="176"/>
      <c r="D854" s="176"/>
      <c r="E854" s="176"/>
      <c r="F854" s="176"/>
      <c r="G854" s="176"/>
      <c r="H854" s="176"/>
      <c r="I854" s="126"/>
      <c r="J854" s="126"/>
      <c r="K854" s="126"/>
      <c r="L854" s="126"/>
      <c r="M854" s="126"/>
      <c r="N854" s="126"/>
      <c r="O854" s="126"/>
      <c r="P854" s="126"/>
      <c r="Q854" s="126"/>
      <c r="R854" s="126"/>
      <c r="S854" s="126"/>
      <c r="T854" s="126"/>
      <c r="U854" s="126"/>
      <c r="V854" s="126"/>
      <c r="W854" s="126"/>
      <c r="X854" s="126"/>
      <c r="Y854" s="126"/>
      <c r="Z854" s="126"/>
      <c r="AA854" s="126"/>
      <c r="AB854" s="126"/>
    </row>
    <row r="855" spans="1:28" ht="15.75" customHeight="1">
      <c r="A855" s="126"/>
      <c r="B855" s="126"/>
      <c r="C855" s="176"/>
      <c r="D855" s="176"/>
      <c r="E855" s="176"/>
      <c r="F855" s="176"/>
      <c r="G855" s="176"/>
      <c r="H855" s="176"/>
      <c r="I855" s="126"/>
      <c r="J855" s="126"/>
      <c r="K855" s="126"/>
      <c r="L855" s="126"/>
      <c r="M855" s="126"/>
      <c r="N855" s="126"/>
      <c r="O855" s="126"/>
      <c r="P855" s="126"/>
      <c r="Q855" s="126"/>
      <c r="R855" s="126"/>
      <c r="S855" s="126"/>
      <c r="T855" s="126"/>
      <c r="U855" s="126"/>
      <c r="V855" s="126"/>
      <c r="W855" s="126"/>
      <c r="X855" s="126"/>
      <c r="Y855" s="126"/>
      <c r="Z855" s="126"/>
      <c r="AA855" s="126"/>
      <c r="AB855" s="126"/>
    </row>
    <row r="856" spans="1:28" ht="15.75" customHeight="1">
      <c r="A856" s="126"/>
      <c r="B856" s="126"/>
      <c r="C856" s="176"/>
      <c r="D856" s="176"/>
      <c r="E856" s="176"/>
      <c r="F856" s="176"/>
      <c r="G856" s="176"/>
      <c r="H856" s="176"/>
      <c r="I856" s="126"/>
      <c r="J856" s="126"/>
      <c r="K856" s="126"/>
      <c r="L856" s="126"/>
      <c r="M856" s="126"/>
      <c r="N856" s="126"/>
      <c r="O856" s="126"/>
      <c r="P856" s="126"/>
      <c r="Q856" s="126"/>
      <c r="R856" s="126"/>
      <c r="S856" s="126"/>
      <c r="T856" s="126"/>
      <c r="U856" s="126"/>
      <c r="V856" s="126"/>
      <c r="W856" s="126"/>
      <c r="X856" s="126"/>
      <c r="Y856" s="126"/>
      <c r="Z856" s="126"/>
      <c r="AA856" s="126"/>
      <c r="AB856" s="126"/>
    </row>
    <row r="857" spans="1:28" ht="15.75" customHeight="1">
      <c r="A857" s="126"/>
      <c r="B857" s="126"/>
      <c r="C857" s="176"/>
      <c r="D857" s="176"/>
      <c r="E857" s="176"/>
      <c r="F857" s="176"/>
      <c r="G857" s="176"/>
      <c r="H857" s="176"/>
      <c r="I857" s="126"/>
      <c r="J857" s="126"/>
      <c r="K857" s="126"/>
      <c r="L857" s="126"/>
      <c r="M857" s="126"/>
      <c r="N857" s="126"/>
      <c r="O857" s="126"/>
      <c r="P857" s="126"/>
      <c r="Q857" s="126"/>
      <c r="R857" s="126"/>
      <c r="S857" s="126"/>
      <c r="T857" s="126"/>
      <c r="U857" s="126"/>
      <c r="V857" s="126"/>
      <c r="W857" s="126"/>
      <c r="X857" s="126"/>
      <c r="Y857" s="126"/>
      <c r="Z857" s="126"/>
      <c r="AA857" s="126"/>
      <c r="AB857" s="126"/>
    </row>
    <row r="858" spans="1:28" ht="15.75" customHeight="1">
      <c r="A858" s="126"/>
      <c r="B858" s="126"/>
      <c r="C858" s="176"/>
      <c r="D858" s="176"/>
      <c r="E858" s="176"/>
      <c r="F858" s="176"/>
      <c r="G858" s="176"/>
      <c r="H858" s="176"/>
      <c r="I858" s="126"/>
      <c r="J858" s="126"/>
      <c r="K858" s="126"/>
      <c r="L858" s="126"/>
      <c r="M858" s="126"/>
      <c r="N858" s="126"/>
      <c r="O858" s="126"/>
      <c r="P858" s="126"/>
      <c r="Q858" s="126"/>
      <c r="R858" s="126"/>
      <c r="S858" s="126"/>
      <c r="T858" s="126"/>
      <c r="U858" s="126"/>
      <c r="V858" s="126"/>
      <c r="W858" s="126"/>
      <c r="X858" s="126"/>
      <c r="Y858" s="126"/>
      <c r="Z858" s="126"/>
      <c r="AA858" s="126"/>
      <c r="AB858" s="126"/>
    </row>
    <row r="859" spans="1:28" ht="15.75" customHeight="1">
      <c r="A859" s="126"/>
      <c r="B859" s="126"/>
      <c r="C859" s="176"/>
      <c r="D859" s="176"/>
      <c r="E859" s="176"/>
      <c r="F859" s="176"/>
      <c r="G859" s="176"/>
      <c r="H859" s="176"/>
      <c r="I859" s="126"/>
      <c r="J859" s="126"/>
      <c r="K859" s="126"/>
      <c r="L859" s="126"/>
      <c r="M859" s="126"/>
      <c r="N859" s="126"/>
      <c r="O859" s="126"/>
      <c r="P859" s="126"/>
      <c r="Q859" s="126"/>
      <c r="R859" s="126"/>
      <c r="S859" s="126"/>
      <c r="T859" s="126"/>
      <c r="U859" s="126"/>
      <c r="V859" s="126"/>
      <c r="W859" s="126"/>
      <c r="X859" s="126"/>
      <c r="Y859" s="126"/>
      <c r="Z859" s="126"/>
      <c r="AA859" s="126"/>
      <c r="AB859" s="126"/>
    </row>
    <row r="860" spans="1:28" ht="15.75" customHeight="1">
      <c r="A860" s="126"/>
      <c r="B860" s="126"/>
      <c r="C860" s="176"/>
      <c r="D860" s="176"/>
      <c r="E860" s="176"/>
      <c r="F860" s="176"/>
      <c r="G860" s="176"/>
      <c r="H860" s="176"/>
      <c r="I860" s="126"/>
      <c r="J860" s="126"/>
      <c r="K860" s="126"/>
      <c r="L860" s="126"/>
      <c r="M860" s="126"/>
      <c r="N860" s="126"/>
      <c r="O860" s="126"/>
      <c r="P860" s="126"/>
      <c r="Q860" s="126"/>
      <c r="R860" s="126"/>
      <c r="S860" s="126"/>
      <c r="T860" s="126"/>
      <c r="U860" s="126"/>
      <c r="V860" s="126"/>
      <c r="W860" s="126"/>
      <c r="X860" s="126"/>
      <c r="Y860" s="126"/>
      <c r="Z860" s="126"/>
      <c r="AA860" s="126"/>
      <c r="AB860" s="126"/>
    </row>
    <row r="861" spans="1:28" ht="15.75" customHeight="1">
      <c r="A861" s="126"/>
      <c r="B861" s="126"/>
      <c r="C861" s="176"/>
      <c r="D861" s="176"/>
      <c r="E861" s="176"/>
      <c r="F861" s="176"/>
      <c r="G861" s="176"/>
      <c r="H861" s="176"/>
      <c r="I861" s="126"/>
      <c r="J861" s="126"/>
      <c r="K861" s="126"/>
      <c r="L861" s="126"/>
      <c r="M861" s="126"/>
      <c r="N861" s="126"/>
      <c r="O861" s="126"/>
      <c r="P861" s="126"/>
      <c r="Q861" s="126"/>
      <c r="R861" s="126"/>
      <c r="S861" s="126"/>
      <c r="T861" s="126"/>
      <c r="U861" s="126"/>
      <c r="V861" s="126"/>
      <c r="W861" s="126"/>
      <c r="X861" s="126"/>
      <c r="Y861" s="126"/>
      <c r="Z861" s="126"/>
      <c r="AA861" s="126"/>
      <c r="AB861" s="126"/>
    </row>
    <row r="862" spans="1:28" ht="15.75" customHeight="1">
      <c r="A862" s="126"/>
      <c r="B862" s="126"/>
      <c r="C862" s="176"/>
      <c r="D862" s="176"/>
      <c r="E862" s="176"/>
      <c r="F862" s="176"/>
      <c r="G862" s="176"/>
      <c r="H862" s="176"/>
      <c r="I862" s="126"/>
      <c r="J862" s="126"/>
      <c r="K862" s="126"/>
      <c r="L862" s="126"/>
      <c r="M862" s="126"/>
      <c r="N862" s="126"/>
      <c r="O862" s="126"/>
      <c r="P862" s="126"/>
      <c r="Q862" s="126"/>
      <c r="R862" s="126"/>
      <c r="S862" s="126"/>
      <c r="T862" s="126"/>
      <c r="U862" s="126"/>
      <c r="V862" s="126"/>
      <c r="W862" s="126"/>
      <c r="X862" s="126"/>
      <c r="Y862" s="126"/>
      <c r="Z862" s="126"/>
      <c r="AA862" s="126"/>
      <c r="AB862" s="126"/>
    </row>
    <row r="863" spans="1:28" ht="15.75" customHeight="1">
      <c r="A863" s="126"/>
      <c r="B863" s="126"/>
      <c r="C863" s="176"/>
      <c r="D863" s="176"/>
      <c r="E863" s="176"/>
      <c r="F863" s="176"/>
      <c r="G863" s="176"/>
      <c r="H863" s="176"/>
      <c r="I863" s="126"/>
      <c r="J863" s="126"/>
      <c r="K863" s="126"/>
      <c r="L863" s="126"/>
      <c r="M863" s="126"/>
      <c r="N863" s="126"/>
      <c r="O863" s="126"/>
      <c r="P863" s="126"/>
      <c r="Q863" s="126"/>
      <c r="R863" s="126"/>
      <c r="S863" s="126"/>
      <c r="T863" s="126"/>
      <c r="U863" s="126"/>
      <c r="V863" s="126"/>
      <c r="W863" s="126"/>
      <c r="X863" s="126"/>
      <c r="Y863" s="126"/>
      <c r="Z863" s="126"/>
      <c r="AA863" s="126"/>
      <c r="AB863" s="126"/>
    </row>
    <row r="864" spans="1:28" ht="15.75" customHeight="1">
      <c r="A864" s="126"/>
      <c r="B864" s="126"/>
      <c r="C864" s="176"/>
      <c r="D864" s="176"/>
      <c r="E864" s="176"/>
      <c r="F864" s="176"/>
      <c r="G864" s="176"/>
      <c r="H864" s="176"/>
      <c r="I864" s="126"/>
      <c r="J864" s="126"/>
      <c r="K864" s="126"/>
      <c r="L864" s="126"/>
      <c r="M864" s="126"/>
      <c r="N864" s="126"/>
      <c r="O864" s="126"/>
      <c r="P864" s="126"/>
      <c r="Q864" s="126"/>
      <c r="R864" s="126"/>
      <c r="S864" s="126"/>
      <c r="T864" s="126"/>
      <c r="U864" s="126"/>
      <c r="V864" s="126"/>
      <c r="W864" s="126"/>
      <c r="X864" s="126"/>
      <c r="Y864" s="126"/>
      <c r="Z864" s="126"/>
      <c r="AA864" s="126"/>
      <c r="AB864" s="126"/>
    </row>
    <row r="865" spans="1:28" ht="15.75" customHeight="1">
      <c r="A865" s="126"/>
      <c r="B865" s="126"/>
      <c r="C865" s="176"/>
      <c r="D865" s="176"/>
      <c r="E865" s="176"/>
      <c r="F865" s="176"/>
      <c r="G865" s="176"/>
      <c r="H865" s="176"/>
      <c r="I865" s="126"/>
      <c r="J865" s="126"/>
      <c r="K865" s="126"/>
      <c r="L865" s="126"/>
      <c r="M865" s="126"/>
      <c r="N865" s="126"/>
      <c r="O865" s="126"/>
      <c r="P865" s="126"/>
      <c r="Q865" s="126"/>
      <c r="R865" s="126"/>
      <c r="S865" s="126"/>
      <c r="T865" s="126"/>
      <c r="U865" s="126"/>
      <c r="V865" s="126"/>
      <c r="W865" s="126"/>
      <c r="X865" s="126"/>
      <c r="Y865" s="126"/>
      <c r="Z865" s="126"/>
      <c r="AA865" s="126"/>
      <c r="AB865" s="126"/>
    </row>
    <row r="866" spans="1:28" ht="15.75" customHeight="1">
      <c r="A866" s="126"/>
      <c r="B866" s="126"/>
      <c r="C866" s="176"/>
      <c r="D866" s="176"/>
      <c r="E866" s="176"/>
      <c r="F866" s="176"/>
      <c r="G866" s="176"/>
      <c r="H866" s="176"/>
      <c r="I866" s="126"/>
      <c r="J866" s="126"/>
      <c r="K866" s="126"/>
      <c r="L866" s="126"/>
      <c r="M866" s="126"/>
      <c r="N866" s="126"/>
      <c r="O866" s="126"/>
      <c r="P866" s="126"/>
      <c r="Q866" s="126"/>
      <c r="R866" s="126"/>
      <c r="S866" s="126"/>
      <c r="T866" s="126"/>
      <c r="U866" s="126"/>
      <c r="V866" s="126"/>
      <c r="W866" s="126"/>
      <c r="X866" s="126"/>
      <c r="Y866" s="126"/>
      <c r="Z866" s="126"/>
      <c r="AA866" s="126"/>
      <c r="AB866" s="126"/>
    </row>
    <row r="867" spans="1:28" ht="15.75" customHeight="1">
      <c r="A867" s="126"/>
      <c r="B867" s="126"/>
      <c r="C867" s="176"/>
      <c r="D867" s="176"/>
      <c r="E867" s="176"/>
      <c r="F867" s="176"/>
      <c r="G867" s="176"/>
      <c r="H867" s="176"/>
      <c r="I867" s="126"/>
      <c r="J867" s="126"/>
      <c r="K867" s="126"/>
      <c r="L867" s="126"/>
      <c r="M867" s="126"/>
      <c r="N867" s="126"/>
      <c r="O867" s="126"/>
      <c r="P867" s="126"/>
      <c r="Q867" s="126"/>
      <c r="R867" s="126"/>
      <c r="S867" s="126"/>
      <c r="T867" s="126"/>
      <c r="U867" s="126"/>
      <c r="V867" s="126"/>
      <c r="W867" s="126"/>
      <c r="X867" s="126"/>
      <c r="Y867" s="126"/>
      <c r="Z867" s="126"/>
      <c r="AA867" s="126"/>
      <c r="AB867" s="126"/>
    </row>
    <row r="868" spans="1:28" ht="15.75" customHeight="1">
      <c r="A868" s="126"/>
      <c r="B868" s="126"/>
      <c r="C868" s="176"/>
      <c r="D868" s="176"/>
      <c r="E868" s="176"/>
      <c r="F868" s="176"/>
      <c r="G868" s="176"/>
      <c r="H868" s="176"/>
      <c r="I868" s="126"/>
      <c r="J868" s="126"/>
      <c r="K868" s="126"/>
      <c r="L868" s="126"/>
      <c r="M868" s="126"/>
      <c r="N868" s="126"/>
      <c r="O868" s="126"/>
      <c r="P868" s="126"/>
      <c r="Q868" s="126"/>
      <c r="R868" s="126"/>
      <c r="S868" s="126"/>
      <c r="T868" s="126"/>
      <c r="U868" s="126"/>
      <c r="V868" s="126"/>
      <c r="W868" s="126"/>
      <c r="X868" s="126"/>
      <c r="Y868" s="126"/>
      <c r="Z868" s="126"/>
      <c r="AA868" s="126"/>
      <c r="AB868" s="126"/>
    </row>
    <row r="869" spans="1:28" ht="15.75" customHeight="1">
      <c r="A869" s="126"/>
      <c r="B869" s="126"/>
      <c r="C869" s="176"/>
      <c r="D869" s="176"/>
      <c r="E869" s="176"/>
      <c r="F869" s="176"/>
      <c r="G869" s="176"/>
      <c r="H869" s="176"/>
      <c r="I869" s="126"/>
      <c r="J869" s="126"/>
      <c r="K869" s="126"/>
      <c r="L869" s="126"/>
      <c r="M869" s="126"/>
      <c r="N869" s="126"/>
      <c r="O869" s="126"/>
      <c r="P869" s="126"/>
      <c r="Q869" s="126"/>
      <c r="R869" s="126"/>
      <c r="S869" s="126"/>
      <c r="T869" s="126"/>
      <c r="U869" s="126"/>
      <c r="V869" s="126"/>
      <c r="W869" s="126"/>
      <c r="X869" s="126"/>
      <c r="Y869" s="126"/>
      <c r="Z869" s="126"/>
      <c r="AA869" s="126"/>
      <c r="AB869" s="126"/>
    </row>
    <row r="870" spans="1:28" ht="15.75" customHeight="1">
      <c r="A870" s="126"/>
      <c r="B870" s="126"/>
      <c r="C870" s="176"/>
      <c r="D870" s="176"/>
      <c r="E870" s="176"/>
      <c r="F870" s="176"/>
      <c r="G870" s="176"/>
      <c r="H870" s="176"/>
      <c r="I870" s="126"/>
      <c r="J870" s="126"/>
      <c r="K870" s="126"/>
      <c r="L870" s="126"/>
      <c r="M870" s="126"/>
      <c r="N870" s="126"/>
      <c r="O870" s="126"/>
      <c r="P870" s="126"/>
      <c r="Q870" s="126"/>
      <c r="R870" s="126"/>
      <c r="S870" s="126"/>
      <c r="T870" s="126"/>
      <c r="U870" s="126"/>
      <c r="V870" s="126"/>
      <c r="W870" s="126"/>
      <c r="X870" s="126"/>
      <c r="Y870" s="126"/>
      <c r="Z870" s="126"/>
      <c r="AA870" s="126"/>
      <c r="AB870" s="126"/>
    </row>
    <row r="871" spans="1:28" ht="15.75" customHeight="1">
      <c r="A871" s="126"/>
      <c r="B871" s="126"/>
      <c r="C871" s="176"/>
      <c r="D871" s="176"/>
      <c r="E871" s="176"/>
      <c r="F871" s="176"/>
      <c r="G871" s="176"/>
      <c r="H871" s="176"/>
      <c r="I871" s="126"/>
      <c r="J871" s="126"/>
      <c r="K871" s="126"/>
      <c r="L871" s="126"/>
      <c r="M871" s="126"/>
      <c r="N871" s="126"/>
      <c r="O871" s="126"/>
      <c r="P871" s="126"/>
      <c r="Q871" s="126"/>
      <c r="R871" s="126"/>
      <c r="S871" s="126"/>
      <c r="T871" s="126"/>
      <c r="U871" s="126"/>
      <c r="V871" s="126"/>
      <c r="W871" s="126"/>
      <c r="X871" s="126"/>
      <c r="Y871" s="126"/>
      <c r="Z871" s="126"/>
      <c r="AA871" s="126"/>
      <c r="AB871" s="126"/>
    </row>
    <row r="872" spans="1:28" ht="15.75" customHeight="1">
      <c r="A872" s="126"/>
      <c r="B872" s="126"/>
      <c r="C872" s="176"/>
      <c r="D872" s="176"/>
      <c r="E872" s="176"/>
      <c r="F872" s="176"/>
      <c r="G872" s="176"/>
      <c r="H872" s="176"/>
      <c r="I872" s="126"/>
      <c r="J872" s="126"/>
      <c r="K872" s="126"/>
      <c r="L872" s="126"/>
      <c r="M872" s="126"/>
      <c r="N872" s="126"/>
      <c r="O872" s="126"/>
      <c r="P872" s="126"/>
      <c r="Q872" s="126"/>
      <c r="R872" s="126"/>
      <c r="S872" s="126"/>
      <c r="T872" s="126"/>
      <c r="U872" s="126"/>
      <c r="V872" s="126"/>
      <c r="W872" s="126"/>
      <c r="X872" s="126"/>
      <c r="Y872" s="126"/>
      <c r="Z872" s="126"/>
      <c r="AA872" s="126"/>
      <c r="AB872" s="126"/>
    </row>
    <row r="873" spans="1:28" ht="15.75" customHeight="1">
      <c r="A873" s="126"/>
      <c r="B873" s="126"/>
      <c r="C873" s="176"/>
      <c r="D873" s="176"/>
      <c r="E873" s="176"/>
      <c r="F873" s="176"/>
      <c r="G873" s="176"/>
      <c r="H873" s="176"/>
      <c r="I873" s="126"/>
      <c r="J873" s="126"/>
      <c r="K873" s="126"/>
      <c r="L873" s="126"/>
      <c r="M873" s="126"/>
      <c r="N873" s="126"/>
      <c r="O873" s="126"/>
      <c r="P873" s="126"/>
      <c r="Q873" s="126"/>
      <c r="R873" s="126"/>
      <c r="S873" s="126"/>
      <c r="T873" s="126"/>
      <c r="U873" s="126"/>
      <c r="V873" s="126"/>
      <c r="W873" s="126"/>
      <c r="X873" s="126"/>
      <c r="Y873" s="126"/>
      <c r="Z873" s="126"/>
      <c r="AA873" s="126"/>
      <c r="AB873" s="126"/>
    </row>
    <row r="874" spans="1:28" ht="15.75" customHeight="1">
      <c r="A874" s="126"/>
      <c r="B874" s="126"/>
      <c r="C874" s="176"/>
      <c r="D874" s="176"/>
      <c r="E874" s="176"/>
      <c r="F874" s="176"/>
      <c r="G874" s="176"/>
      <c r="H874" s="176"/>
      <c r="I874" s="126"/>
      <c r="J874" s="126"/>
      <c r="K874" s="126"/>
      <c r="L874" s="126"/>
      <c r="M874" s="126"/>
      <c r="N874" s="126"/>
      <c r="O874" s="126"/>
      <c r="P874" s="126"/>
      <c r="Q874" s="126"/>
      <c r="R874" s="126"/>
      <c r="S874" s="126"/>
      <c r="T874" s="126"/>
      <c r="U874" s="126"/>
      <c r="V874" s="126"/>
      <c r="W874" s="126"/>
      <c r="X874" s="126"/>
      <c r="Y874" s="126"/>
      <c r="Z874" s="126"/>
      <c r="AA874" s="126"/>
      <c r="AB874" s="126"/>
    </row>
    <row r="875" spans="1:28" ht="15.75" customHeight="1">
      <c r="A875" s="126"/>
      <c r="B875" s="126"/>
      <c r="C875" s="176"/>
      <c r="D875" s="176"/>
      <c r="E875" s="176"/>
      <c r="F875" s="176"/>
      <c r="G875" s="176"/>
      <c r="H875" s="176"/>
      <c r="I875" s="126"/>
      <c r="J875" s="126"/>
      <c r="K875" s="126"/>
      <c r="L875" s="126"/>
      <c r="M875" s="126"/>
      <c r="N875" s="126"/>
      <c r="O875" s="126"/>
      <c r="P875" s="126"/>
      <c r="Q875" s="126"/>
      <c r="R875" s="126"/>
      <c r="S875" s="126"/>
      <c r="T875" s="126"/>
      <c r="U875" s="126"/>
      <c r="V875" s="126"/>
      <c r="W875" s="126"/>
      <c r="X875" s="126"/>
      <c r="Y875" s="126"/>
      <c r="Z875" s="126"/>
      <c r="AA875" s="126"/>
      <c r="AB875" s="126"/>
    </row>
    <row r="876" spans="1:28" ht="15.75" customHeight="1">
      <c r="A876" s="126"/>
      <c r="B876" s="126"/>
      <c r="C876" s="176"/>
      <c r="D876" s="176"/>
      <c r="E876" s="176"/>
      <c r="F876" s="176"/>
      <c r="G876" s="176"/>
      <c r="H876" s="176"/>
      <c r="I876" s="126"/>
      <c r="J876" s="126"/>
      <c r="K876" s="126"/>
      <c r="L876" s="126"/>
      <c r="M876" s="126"/>
      <c r="N876" s="126"/>
      <c r="O876" s="126"/>
      <c r="P876" s="126"/>
      <c r="Q876" s="126"/>
      <c r="R876" s="126"/>
      <c r="S876" s="126"/>
      <c r="T876" s="126"/>
      <c r="U876" s="126"/>
      <c r="V876" s="126"/>
      <c r="W876" s="126"/>
      <c r="X876" s="126"/>
      <c r="Y876" s="126"/>
      <c r="Z876" s="126"/>
      <c r="AA876" s="126"/>
      <c r="AB876" s="126"/>
    </row>
    <row r="877" spans="1:28" ht="15.75" customHeight="1">
      <c r="A877" s="126"/>
      <c r="B877" s="126"/>
      <c r="C877" s="176"/>
      <c r="D877" s="176"/>
      <c r="E877" s="176"/>
      <c r="F877" s="176"/>
      <c r="G877" s="176"/>
      <c r="H877" s="176"/>
      <c r="I877" s="126"/>
      <c r="J877" s="126"/>
      <c r="K877" s="126"/>
      <c r="L877" s="126"/>
      <c r="M877" s="126"/>
      <c r="N877" s="126"/>
      <c r="O877" s="126"/>
      <c r="P877" s="126"/>
      <c r="Q877" s="126"/>
      <c r="R877" s="126"/>
      <c r="S877" s="126"/>
      <c r="T877" s="126"/>
      <c r="U877" s="126"/>
      <c r="V877" s="126"/>
      <c r="W877" s="126"/>
      <c r="X877" s="126"/>
      <c r="Y877" s="126"/>
      <c r="Z877" s="126"/>
      <c r="AA877" s="126"/>
      <c r="AB877" s="126"/>
    </row>
    <row r="878" spans="1:28" ht="15.75" customHeight="1">
      <c r="A878" s="126"/>
      <c r="B878" s="126"/>
      <c r="C878" s="176"/>
      <c r="D878" s="176"/>
      <c r="E878" s="176"/>
      <c r="F878" s="176"/>
      <c r="G878" s="176"/>
      <c r="H878" s="176"/>
      <c r="I878" s="126"/>
      <c r="J878" s="126"/>
      <c r="K878" s="126"/>
      <c r="L878" s="126"/>
      <c r="M878" s="126"/>
      <c r="N878" s="126"/>
      <c r="O878" s="126"/>
      <c r="P878" s="126"/>
      <c r="Q878" s="126"/>
      <c r="R878" s="126"/>
      <c r="S878" s="126"/>
      <c r="T878" s="126"/>
      <c r="U878" s="126"/>
      <c r="V878" s="126"/>
      <c r="W878" s="126"/>
      <c r="X878" s="126"/>
      <c r="Y878" s="126"/>
      <c r="Z878" s="126"/>
      <c r="AA878" s="126"/>
      <c r="AB878" s="126"/>
    </row>
    <row r="879" spans="1:28" ht="15.75" customHeight="1">
      <c r="A879" s="126"/>
      <c r="B879" s="126"/>
      <c r="C879" s="176"/>
      <c r="D879" s="176"/>
      <c r="E879" s="176"/>
      <c r="F879" s="176"/>
      <c r="G879" s="176"/>
      <c r="H879" s="176"/>
      <c r="I879" s="126"/>
      <c r="J879" s="126"/>
      <c r="K879" s="126"/>
      <c r="L879" s="126"/>
      <c r="M879" s="126"/>
      <c r="N879" s="126"/>
      <c r="O879" s="126"/>
      <c r="P879" s="126"/>
      <c r="Q879" s="126"/>
      <c r="R879" s="126"/>
      <c r="S879" s="126"/>
      <c r="T879" s="126"/>
      <c r="U879" s="126"/>
      <c r="V879" s="126"/>
      <c r="W879" s="126"/>
      <c r="X879" s="126"/>
      <c r="Y879" s="126"/>
      <c r="Z879" s="126"/>
      <c r="AA879" s="126"/>
      <c r="AB879" s="126"/>
    </row>
    <row r="880" spans="1:28" ht="15.75" customHeight="1">
      <c r="A880" s="126"/>
      <c r="B880" s="126"/>
      <c r="C880" s="176"/>
      <c r="D880" s="176"/>
      <c r="E880" s="176"/>
      <c r="F880" s="176"/>
      <c r="G880" s="176"/>
      <c r="H880" s="176"/>
      <c r="I880" s="126"/>
      <c r="J880" s="126"/>
      <c r="K880" s="126"/>
      <c r="L880" s="126"/>
      <c r="M880" s="126"/>
      <c r="N880" s="126"/>
      <c r="O880" s="126"/>
      <c r="P880" s="126"/>
      <c r="Q880" s="126"/>
      <c r="R880" s="126"/>
      <c r="S880" s="126"/>
      <c r="T880" s="126"/>
      <c r="U880" s="126"/>
      <c r="V880" s="126"/>
      <c r="W880" s="126"/>
      <c r="X880" s="126"/>
      <c r="Y880" s="126"/>
      <c r="Z880" s="126"/>
      <c r="AA880" s="126"/>
      <c r="AB880" s="126"/>
    </row>
    <row r="881" spans="1:28" ht="15.75" customHeight="1">
      <c r="A881" s="126"/>
      <c r="B881" s="126"/>
      <c r="C881" s="176"/>
      <c r="D881" s="176"/>
      <c r="E881" s="176"/>
      <c r="F881" s="176"/>
      <c r="G881" s="176"/>
      <c r="H881" s="176"/>
      <c r="I881" s="126"/>
      <c r="J881" s="126"/>
      <c r="K881" s="126"/>
      <c r="L881" s="126"/>
      <c r="M881" s="126"/>
      <c r="N881" s="126"/>
      <c r="O881" s="126"/>
      <c r="P881" s="126"/>
      <c r="Q881" s="126"/>
      <c r="R881" s="126"/>
      <c r="S881" s="126"/>
      <c r="T881" s="126"/>
      <c r="U881" s="126"/>
      <c r="V881" s="126"/>
      <c r="W881" s="126"/>
      <c r="X881" s="126"/>
      <c r="Y881" s="126"/>
      <c r="Z881" s="126"/>
      <c r="AA881" s="126"/>
      <c r="AB881" s="126"/>
    </row>
    <row r="882" spans="1:28" ht="15.75" customHeight="1">
      <c r="A882" s="126"/>
      <c r="B882" s="126"/>
      <c r="C882" s="176"/>
      <c r="D882" s="176"/>
      <c r="E882" s="176"/>
      <c r="F882" s="176"/>
      <c r="G882" s="176"/>
      <c r="H882" s="176"/>
      <c r="I882" s="126"/>
      <c r="J882" s="126"/>
      <c r="K882" s="126"/>
      <c r="L882" s="126"/>
      <c r="M882" s="126"/>
      <c r="N882" s="126"/>
      <c r="O882" s="126"/>
      <c r="P882" s="126"/>
      <c r="Q882" s="126"/>
      <c r="R882" s="126"/>
      <c r="S882" s="126"/>
      <c r="T882" s="126"/>
      <c r="U882" s="126"/>
      <c r="V882" s="126"/>
      <c r="W882" s="126"/>
      <c r="X882" s="126"/>
      <c r="Y882" s="126"/>
      <c r="Z882" s="126"/>
      <c r="AA882" s="126"/>
      <c r="AB882" s="126"/>
    </row>
    <row r="883" spans="1:28" ht="15.75" customHeight="1">
      <c r="A883" s="126"/>
      <c r="B883" s="126"/>
      <c r="C883" s="176"/>
      <c r="D883" s="176"/>
      <c r="E883" s="176"/>
      <c r="F883" s="176"/>
      <c r="G883" s="176"/>
      <c r="H883" s="176"/>
      <c r="I883" s="126"/>
      <c r="J883" s="126"/>
      <c r="K883" s="126"/>
      <c r="L883" s="126"/>
      <c r="M883" s="126"/>
      <c r="N883" s="126"/>
      <c r="O883" s="126"/>
      <c r="P883" s="126"/>
      <c r="Q883" s="126"/>
      <c r="R883" s="126"/>
      <c r="S883" s="126"/>
      <c r="T883" s="126"/>
      <c r="U883" s="126"/>
      <c r="V883" s="126"/>
      <c r="W883" s="126"/>
      <c r="X883" s="126"/>
      <c r="Y883" s="126"/>
      <c r="Z883" s="126"/>
      <c r="AA883" s="126"/>
      <c r="AB883" s="126"/>
    </row>
    <row r="884" spans="1:28" ht="15.75" customHeight="1">
      <c r="A884" s="126"/>
      <c r="B884" s="126"/>
      <c r="C884" s="176"/>
      <c r="D884" s="176"/>
      <c r="E884" s="176"/>
      <c r="F884" s="176"/>
      <c r="G884" s="176"/>
      <c r="H884" s="176"/>
      <c r="I884" s="126"/>
      <c r="J884" s="126"/>
      <c r="K884" s="126"/>
      <c r="L884" s="126"/>
      <c r="M884" s="126"/>
      <c r="N884" s="126"/>
      <c r="O884" s="126"/>
      <c r="P884" s="126"/>
      <c r="Q884" s="126"/>
      <c r="R884" s="126"/>
      <c r="S884" s="126"/>
      <c r="T884" s="126"/>
      <c r="U884" s="126"/>
      <c r="V884" s="126"/>
      <c r="W884" s="126"/>
      <c r="X884" s="126"/>
      <c r="Y884" s="126"/>
      <c r="Z884" s="126"/>
      <c r="AA884" s="126"/>
      <c r="AB884" s="126"/>
    </row>
    <row r="885" spans="1:28" ht="15.75" customHeight="1">
      <c r="A885" s="126"/>
      <c r="B885" s="126"/>
      <c r="C885" s="176"/>
      <c r="D885" s="176"/>
      <c r="E885" s="176"/>
      <c r="F885" s="176"/>
      <c r="G885" s="176"/>
      <c r="H885" s="176"/>
      <c r="I885" s="126"/>
      <c r="J885" s="126"/>
      <c r="K885" s="126"/>
      <c r="L885" s="126"/>
      <c r="M885" s="126"/>
      <c r="N885" s="126"/>
      <c r="O885" s="126"/>
      <c r="P885" s="126"/>
      <c r="Q885" s="126"/>
      <c r="R885" s="126"/>
      <c r="S885" s="126"/>
      <c r="T885" s="126"/>
      <c r="U885" s="126"/>
      <c r="V885" s="126"/>
      <c r="W885" s="126"/>
      <c r="X885" s="126"/>
      <c r="Y885" s="126"/>
      <c r="Z885" s="126"/>
      <c r="AA885" s="126"/>
      <c r="AB885" s="126"/>
    </row>
    <row r="886" spans="1:28" ht="15.75" customHeight="1">
      <c r="A886" s="126"/>
      <c r="B886" s="126"/>
      <c r="C886" s="176"/>
      <c r="D886" s="176"/>
      <c r="E886" s="176"/>
      <c r="F886" s="176"/>
      <c r="G886" s="176"/>
      <c r="H886" s="176"/>
      <c r="I886" s="126"/>
      <c r="J886" s="126"/>
      <c r="K886" s="126"/>
      <c r="L886" s="126"/>
      <c r="M886" s="126"/>
      <c r="N886" s="126"/>
      <c r="O886" s="126"/>
      <c r="P886" s="126"/>
      <c r="Q886" s="126"/>
      <c r="R886" s="126"/>
      <c r="S886" s="126"/>
      <c r="T886" s="126"/>
      <c r="U886" s="126"/>
      <c r="V886" s="126"/>
      <c r="W886" s="126"/>
      <c r="X886" s="126"/>
      <c r="Y886" s="126"/>
      <c r="Z886" s="126"/>
      <c r="AA886" s="126"/>
      <c r="AB886" s="126"/>
    </row>
    <row r="887" spans="1:28" ht="15.75" customHeight="1">
      <c r="A887" s="126"/>
      <c r="B887" s="126"/>
      <c r="C887" s="176"/>
      <c r="D887" s="176"/>
      <c r="E887" s="176"/>
      <c r="F887" s="176"/>
      <c r="G887" s="176"/>
      <c r="H887" s="176"/>
      <c r="I887" s="126"/>
      <c r="J887" s="126"/>
      <c r="K887" s="126"/>
      <c r="L887" s="126"/>
      <c r="M887" s="126"/>
      <c r="N887" s="126"/>
      <c r="O887" s="126"/>
      <c r="P887" s="126"/>
      <c r="Q887" s="126"/>
      <c r="R887" s="126"/>
      <c r="S887" s="126"/>
      <c r="T887" s="126"/>
      <c r="U887" s="126"/>
      <c r="V887" s="126"/>
      <c r="W887" s="126"/>
      <c r="X887" s="126"/>
      <c r="Y887" s="126"/>
      <c r="Z887" s="126"/>
      <c r="AA887" s="126"/>
      <c r="AB887" s="126"/>
    </row>
    <row r="888" spans="1:28" ht="15.75" customHeight="1">
      <c r="A888" s="126"/>
      <c r="B888" s="126"/>
      <c r="C888" s="176"/>
      <c r="D888" s="176"/>
      <c r="E888" s="176"/>
      <c r="F888" s="176"/>
      <c r="G888" s="176"/>
      <c r="H888" s="176"/>
      <c r="I888" s="126"/>
      <c r="J888" s="126"/>
      <c r="K888" s="126"/>
      <c r="L888" s="126"/>
      <c r="M888" s="126"/>
      <c r="N888" s="126"/>
      <c r="O888" s="126"/>
      <c r="P888" s="126"/>
      <c r="Q888" s="126"/>
      <c r="R888" s="126"/>
      <c r="S888" s="126"/>
      <c r="T888" s="126"/>
      <c r="U888" s="126"/>
      <c r="V888" s="126"/>
      <c r="W888" s="126"/>
      <c r="X888" s="126"/>
      <c r="Y888" s="126"/>
      <c r="Z888" s="126"/>
      <c r="AA888" s="126"/>
      <c r="AB888" s="126"/>
    </row>
    <row r="889" spans="1:28" ht="15.75" customHeight="1">
      <c r="A889" s="126"/>
      <c r="B889" s="126"/>
      <c r="C889" s="176"/>
      <c r="D889" s="176"/>
      <c r="E889" s="176"/>
      <c r="F889" s="176"/>
      <c r="G889" s="176"/>
      <c r="H889" s="176"/>
      <c r="I889" s="126"/>
      <c r="J889" s="126"/>
      <c r="K889" s="126"/>
      <c r="L889" s="126"/>
      <c r="M889" s="126"/>
      <c r="N889" s="126"/>
      <c r="O889" s="126"/>
      <c r="P889" s="126"/>
      <c r="Q889" s="126"/>
      <c r="R889" s="126"/>
      <c r="S889" s="126"/>
      <c r="T889" s="126"/>
      <c r="U889" s="126"/>
      <c r="V889" s="126"/>
      <c r="W889" s="126"/>
      <c r="X889" s="126"/>
      <c r="Y889" s="126"/>
      <c r="Z889" s="126"/>
      <c r="AA889" s="126"/>
      <c r="AB889" s="126"/>
    </row>
    <row r="890" spans="1:28" ht="15.75" customHeight="1">
      <c r="A890" s="126"/>
      <c r="B890" s="126"/>
      <c r="C890" s="176"/>
      <c r="D890" s="176"/>
      <c r="E890" s="176"/>
      <c r="F890" s="176"/>
      <c r="G890" s="176"/>
      <c r="H890" s="176"/>
      <c r="I890" s="126"/>
      <c r="J890" s="126"/>
      <c r="K890" s="126"/>
      <c r="L890" s="126"/>
      <c r="M890" s="126"/>
      <c r="N890" s="126"/>
      <c r="O890" s="126"/>
      <c r="P890" s="126"/>
      <c r="Q890" s="126"/>
      <c r="R890" s="126"/>
      <c r="S890" s="126"/>
      <c r="T890" s="126"/>
      <c r="U890" s="126"/>
      <c r="V890" s="126"/>
      <c r="W890" s="126"/>
      <c r="X890" s="126"/>
      <c r="Y890" s="126"/>
      <c r="Z890" s="126"/>
      <c r="AA890" s="126"/>
      <c r="AB890" s="126"/>
    </row>
    <row r="891" spans="1:28" ht="15.75" customHeight="1">
      <c r="A891" s="126"/>
      <c r="B891" s="126"/>
      <c r="C891" s="176"/>
      <c r="D891" s="176"/>
      <c r="E891" s="176"/>
      <c r="F891" s="176"/>
      <c r="G891" s="176"/>
      <c r="H891" s="176"/>
      <c r="I891" s="126"/>
      <c r="J891" s="126"/>
      <c r="K891" s="126"/>
      <c r="L891" s="126"/>
      <c r="M891" s="126"/>
      <c r="N891" s="126"/>
      <c r="O891" s="126"/>
      <c r="P891" s="126"/>
      <c r="Q891" s="126"/>
      <c r="R891" s="126"/>
      <c r="S891" s="126"/>
      <c r="T891" s="126"/>
      <c r="U891" s="126"/>
      <c r="V891" s="126"/>
      <c r="W891" s="126"/>
      <c r="X891" s="126"/>
      <c r="Y891" s="126"/>
      <c r="Z891" s="126"/>
      <c r="AA891" s="126"/>
      <c r="AB891" s="126"/>
    </row>
    <row r="892" spans="1:28" ht="15.75" customHeight="1">
      <c r="A892" s="126"/>
      <c r="B892" s="126"/>
      <c r="C892" s="176"/>
      <c r="D892" s="176"/>
      <c r="E892" s="176"/>
      <c r="F892" s="176"/>
      <c r="G892" s="176"/>
      <c r="H892" s="176"/>
      <c r="I892" s="126"/>
      <c r="J892" s="126"/>
      <c r="K892" s="126"/>
      <c r="L892" s="126"/>
      <c r="M892" s="126"/>
      <c r="N892" s="126"/>
      <c r="O892" s="126"/>
      <c r="P892" s="126"/>
      <c r="Q892" s="126"/>
      <c r="R892" s="126"/>
      <c r="S892" s="126"/>
      <c r="T892" s="126"/>
      <c r="U892" s="126"/>
      <c r="V892" s="126"/>
      <c r="W892" s="126"/>
      <c r="X892" s="126"/>
      <c r="Y892" s="126"/>
      <c r="Z892" s="126"/>
      <c r="AA892" s="126"/>
      <c r="AB892" s="126"/>
    </row>
    <row r="893" spans="1:28" ht="15.75" customHeight="1">
      <c r="A893" s="126"/>
      <c r="B893" s="126"/>
      <c r="C893" s="176"/>
      <c r="D893" s="176"/>
      <c r="E893" s="176"/>
      <c r="F893" s="176"/>
      <c r="G893" s="176"/>
      <c r="H893" s="176"/>
      <c r="I893" s="126"/>
      <c r="J893" s="126"/>
      <c r="K893" s="126"/>
      <c r="L893" s="126"/>
      <c r="M893" s="126"/>
      <c r="N893" s="126"/>
      <c r="O893" s="126"/>
      <c r="P893" s="126"/>
      <c r="Q893" s="126"/>
      <c r="R893" s="126"/>
      <c r="S893" s="126"/>
      <c r="T893" s="126"/>
      <c r="U893" s="126"/>
      <c r="V893" s="126"/>
      <c r="W893" s="126"/>
      <c r="X893" s="126"/>
      <c r="Y893" s="126"/>
      <c r="Z893" s="126"/>
      <c r="AA893" s="126"/>
      <c r="AB893" s="126"/>
    </row>
    <row r="894" spans="1:28" ht="15.75" customHeight="1">
      <c r="A894" s="126"/>
      <c r="B894" s="126"/>
      <c r="C894" s="176"/>
      <c r="D894" s="176"/>
      <c r="E894" s="176"/>
      <c r="F894" s="176"/>
      <c r="G894" s="176"/>
      <c r="H894" s="176"/>
      <c r="I894" s="126"/>
      <c r="J894" s="126"/>
      <c r="K894" s="126"/>
      <c r="L894" s="126"/>
      <c r="M894" s="126"/>
      <c r="N894" s="126"/>
      <c r="O894" s="126"/>
      <c r="P894" s="126"/>
      <c r="Q894" s="126"/>
      <c r="R894" s="126"/>
      <c r="S894" s="126"/>
      <c r="T894" s="126"/>
      <c r="U894" s="126"/>
      <c r="V894" s="126"/>
      <c r="W894" s="126"/>
      <c r="X894" s="126"/>
      <c r="Y894" s="126"/>
      <c r="Z894" s="126"/>
      <c r="AA894" s="126"/>
      <c r="AB894" s="126"/>
    </row>
    <row r="895" spans="1:28" ht="15.75" customHeight="1">
      <c r="A895" s="126"/>
      <c r="B895" s="126"/>
      <c r="C895" s="176"/>
      <c r="D895" s="176"/>
      <c r="E895" s="176"/>
      <c r="F895" s="176"/>
      <c r="G895" s="176"/>
      <c r="H895" s="176"/>
      <c r="I895" s="126"/>
      <c r="J895" s="126"/>
      <c r="K895" s="126"/>
      <c r="L895" s="126"/>
      <c r="M895" s="126"/>
      <c r="N895" s="126"/>
      <c r="O895" s="126"/>
      <c r="P895" s="126"/>
      <c r="Q895" s="126"/>
      <c r="R895" s="126"/>
      <c r="S895" s="126"/>
      <c r="T895" s="126"/>
      <c r="U895" s="126"/>
      <c r="V895" s="126"/>
      <c r="W895" s="126"/>
      <c r="X895" s="126"/>
      <c r="Y895" s="126"/>
      <c r="Z895" s="126"/>
      <c r="AA895" s="126"/>
      <c r="AB895" s="126"/>
    </row>
    <row r="896" spans="1:28" ht="15.75" customHeight="1">
      <c r="A896" s="126"/>
      <c r="B896" s="126"/>
      <c r="C896" s="176"/>
      <c r="D896" s="176"/>
      <c r="E896" s="176"/>
      <c r="F896" s="176"/>
      <c r="G896" s="176"/>
      <c r="H896" s="176"/>
      <c r="I896" s="126"/>
      <c r="J896" s="126"/>
      <c r="K896" s="126"/>
      <c r="L896" s="126"/>
      <c r="M896" s="126"/>
      <c r="N896" s="126"/>
      <c r="O896" s="126"/>
      <c r="P896" s="126"/>
      <c r="Q896" s="126"/>
      <c r="R896" s="126"/>
      <c r="S896" s="126"/>
      <c r="T896" s="126"/>
      <c r="U896" s="126"/>
      <c r="V896" s="126"/>
      <c r="W896" s="126"/>
      <c r="X896" s="126"/>
      <c r="Y896" s="126"/>
      <c r="Z896" s="126"/>
      <c r="AA896" s="126"/>
      <c r="AB896" s="126"/>
    </row>
    <row r="897" spans="1:28" ht="15.75" customHeight="1">
      <c r="A897" s="126"/>
      <c r="B897" s="126"/>
      <c r="C897" s="176"/>
      <c r="D897" s="176"/>
      <c r="E897" s="176"/>
      <c r="F897" s="176"/>
      <c r="G897" s="176"/>
      <c r="H897" s="176"/>
      <c r="I897" s="126"/>
      <c r="J897" s="126"/>
      <c r="K897" s="126"/>
      <c r="L897" s="126"/>
      <c r="M897" s="126"/>
      <c r="N897" s="126"/>
      <c r="O897" s="126"/>
      <c r="P897" s="126"/>
      <c r="Q897" s="126"/>
      <c r="R897" s="126"/>
      <c r="S897" s="126"/>
      <c r="T897" s="126"/>
      <c r="U897" s="126"/>
      <c r="V897" s="126"/>
      <c r="W897" s="126"/>
      <c r="X897" s="126"/>
      <c r="Y897" s="126"/>
      <c r="Z897" s="126"/>
      <c r="AA897" s="126"/>
      <c r="AB897" s="126"/>
    </row>
    <row r="898" spans="1:28" ht="15.75" customHeight="1">
      <c r="A898" s="126"/>
      <c r="B898" s="126"/>
      <c r="C898" s="176"/>
      <c r="D898" s="176"/>
      <c r="E898" s="176"/>
      <c r="F898" s="176"/>
      <c r="G898" s="176"/>
      <c r="H898" s="176"/>
      <c r="I898" s="126"/>
      <c r="J898" s="126"/>
      <c r="K898" s="126"/>
      <c r="L898" s="126"/>
      <c r="M898" s="126"/>
      <c r="N898" s="126"/>
      <c r="O898" s="126"/>
      <c r="P898" s="126"/>
      <c r="Q898" s="126"/>
      <c r="R898" s="126"/>
      <c r="S898" s="126"/>
      <c r="T898" s="126"/>
      <c r="U898" s="126"/>
      <c r="V898" s="126"/>
      <c r="W898" s="126"/>
      <c r="X898" s="126"/>
      <c r="Y898" s="126"/>
      <c r="Z898" s="126"/>
      <c r="AA898" s="126"/>
      <c r="AB898" s="126"/>
    </row>
    <row r="899" spans="1:28" ht="15.75" customHeight="1">
      <c r="A899" s="126"/>
      <c r="B899" s="126"/>
      <c r="C899" s="176"/>
      <c r="D899" s="176"/>
      <c r="E899" s="176"/>
      <c r="F899" s="176"/>
      <c r="G899" s="176"/>
      <c r="H899" s="176"/>
      <c r="I899" s="126"/>
      <c r="J899" s="126"/>
      <c r="K899" s="126"/>
      <c r="L899" s="126"/>
      <c r="M899" s="126"/>
      <c r="N899" s="126"/>
      <c r="O899" s="126"/>
      <c r="P899" s="126"/>
      <c r="Q899" s="126"/>
      <c r="R899" s="126"/>
      <c r="S899" s="126"/>
      <c r="T899" s="126"/>
      <c r="U899" s="126"/>
      <c r="V899" s="126"/>
      <c r="W899" s="126"/>
      <c r="X899" s="126"/>
      <c r="Y899" s="126"/>
      <c r="Z899" s="126"/>
      <c r="AA899" s="126"/>
      <c r="AB899" s="126"/>
    </row>
    <row r="900" spans="1:28" ht="15.75" customHeight="1">
      <c r="A900" s="126"/>
      <c r="B900" s="126"/>
      <c r="C900" s="176"/>
      <c r="D900" s="176"/>
      <c r="E900" s="176"/>
      <c r="F900" s="176"/>
      <c r="G900" s="176"/>
      <c r="H900" s="176"/>
      <c r="I900" s="126"/>
      <c r="J900" s="126"/>
      <c r="K900" s="126"/>
      <c r="L900" s="126"/>
      <c r="M900" s="126"/>
      <c r="N900" s="126"/>
      <c r="O900" s="126"/>
      <c r="P900" s="126"/>
      <c r="Q900" s="126"/>
      <c r="R900" s="126"/>
      <c r="S900" s="126"/>
      <c r="T900" s="126"/>
      <c r="U900" s="126"/>
      <c r="V900" s="126"/>
      <c r="W900" s="126"/>
      <c r="X900" s="126"/>
      <c r="Y900" s="126"/>
      <c r="Z900" s="126"/>
      <c r="AA900" s="126"/>
      <c r="AB900" s="126"/>
    </row>
    <row r="901" spans="1:28" ht="15.75" customHeight="1">
      <c r="A901" s="126"/>
      <c r="B901" s="126"/>
      <c r="C901" s="176"/>
      <c r="D901" s="176"/>
      <c r="E901" s="176"/>
      <c r="F901" s="176"/>
      <c r="G901" s="176"/>
      <c r="H901" s="176"/>
      <c r="I901" s="126"/>
      <c r="J901" s="126"/>
      <c r="K901" s="126"/>
      <c r="L901" s="126"/>
      <c r="M901" s="126"/>
      <c r="N901" s="126"/>
      <c r="O901" s="126"/>
      <c r="P901" s="126"/>
      <c r="Q901" s="126"/>
      <c r="R901" s="126"/>
      <c r="S901" s="126"/>
      <c r="T901" s="126"/>
      <c r="U901" s="126"/>
      <c r="V901" s="126"/>
      <c r="W901" s="126"/>
      <c r="X901" s="126"/>
      <c r="Y901" s="126"/>
      <c r="Z901" s="126"/>
      <c r="AA901" s="126"/>
      <c r="AB901" s="126"/>
    </row>
    <row r="902" spans="1:28" ht="15.75" customHeight="1">
      <c r="A902" s="126"/>
      <c r="B902" s="126"/>
      <c r="C902" s="176"/>
      <c r="D902" s="176"/>
      <c r="E902" s="176"/>
      <c r="F902" s="176"/>
      <c r="G902" s="176"/>
      <c r="H902" s="176"/>
      <c r="I902" s="126"/>
      <c r="J902" s="126"/>
      <c r="K902" s="126"/>
      <c r="L902" s="126"/>
      <c r="M902" s="126"/>
      <c r="N902" s="126"/>
      <c r="O902" s="126"/>
      <c r="P902" s="126"/>
      <c r="Q902" s="126"/>
      <c r="R902" s="126"/>
      <c r="S902" s="126"/>
      <c r="T902" s="126"/>
      <c r="U902" s="126"/>
      <c r="V902" s="126"/>
      <c r="W902" s="126"/>
      <c r="X902" s="126"/>
      <c r="Y902" s="126"/>
      <c r="Z902" s="126"/>
      <c r="AA902" s="126"/>
      <c r="AB902" s="126"/>
    </row>
    <row r="903" spans="1:28" ht="15.75" customHeight="1">
      <c r="A903" s="126"/>
      <c r="B903" s="126"/>
      <c r="C903" s="176"/>
      <c r="D903" s="176"/>
      <c r="E903" s="176"/>
      <c r="F903" s="176"/>
      <c r="G903" s="176"/>
      <c r="H903" s="176"/>
      <c r="I903" s="126"/>
      <c r="J903" s="126"/>
      <c r="K903" s="126"/>
      <c r="L903" s="126"/>
      <c r="M903" s="126"/>
      <c r="N903" s="126"/>
      <c r="O903" s="126"/>
      <c r="P903" s="126"/>
      <c r="Q903" s="126"/>
      <c r="R903" s="126"/>
      <c r="S903" s="126"/>
      <c r="T903" s="126"/>
      <c r="U903" s="126"/>
      <c r="V903" s="126"/>
      <c r="W903" s="126"/>
      <c r="X903" s="126"/>
      <c r="Y903" s="126"/>
      <c r="Z903" s="126"/>
      <c r="AA903" s="126"/>
      <c r="AB903" s="126"/>
    </row>
    <row r="904" spans="1:28" ht="15.75" customHeight="1">
      <c r="A904" s="126"/>
      <c r="B904" s="126"/>
      <c r="C904" s="176"/>
      <c r="D904" s="176"/>
      <c r="E904" s="176"/>
      <c r="F904" s="176"/>
      <c r="G904" s="176"/>
      <c r="H904" s="176"/>
      <c r="I904" s="126"/>
      <c r="J904" s="126"/>
      <c r="K904" s="126"/>
      <c r="L904" s="126"/>
      <c r="M904" s="126"/>
      <c r="N904" s="126"/>
      <c r="O904" s="126"/>
      <c r="P904" s="126"/>
      <c r="Q904" s="126"/>
      <c r="R904" s="126"/>
      <c r="S904" s="126"/>
      <c r="T904" s="126"/>
      <c r="U904" s="126"/>
      <c r="V904" s="126"/>
      <c r="W904" s="126"/>
      <c r="X904" s="126"/>
      <c r="Y904" s="126"/>
      <c r="Z904" s="126"/>
      <c r="AA904" s="126"/>
      <c r="AB904" s="126"/>
    </row>
    <row r="905" spans="1:28" ht="15.75" customHeight="1">
      <c r="A905" s="126"/>
      <c r="B905" s="126"/>
      <c r="C905" s="176"/>
      <c r="D905" s="176"/>
      <c r="E905" s="176"/>
      <c r="F905" s="176"/>
      <c r="G905" s="176"/>
      <c r="H905" s="176"/>
      <c r="I905" s="126"/>
      <c r="J905" s="126"/>
      <c r="K905" s="126"/>
      <c r="L905" s="126"/>
      <c r="M905" s="126"/>
      <c r="N905" s="126"/>
      <c r="O905" s="126"/>
      <c r="P905" s="126"/>
      <c r="Q905" s="126"/>
      <c r="R905" s="126"/>
      <c r="S905" s="126"/>
      <c r="T905" s="126"/>
      <c r="U905" s="126"/>
      <c r="V905" s="126"/>
      <c r="W905" s="126"/>
      <c r="X905" s="126"/>
      <c r="Y905" s="126"/>
      <c r="Z905" s="126"/>
      <c r="AA905" s="126"/>
      <c r="AB905" s="126"/>
    </row>
    <row r="906" spans="1:28" ht="15.75" customHeight="1">
      <c r="A906" s="126"/>
      <c r="B906" s="126"/>
      <c r="C906" s="176"/>
      <c r="D906" s="176"/>
      <c r="E906" s="176"/>
      <c r="F906" s="176"/>
      <c r="G906" s="176"/>
      <c r="H906" s="176"/>
      <c r="I906" s="126"/>
      <c r="J906" s="126"/>
      <c r="K906" s="126"/>
      <c r="L906" s="126"/>
      <c r="M906" s="126"/>
      <c r="N906" s="126"/>
      <c r="O906" s="126"/>
      <c r="P906" s="126"/>
      <c r="Q906" s="126"/>
      <c r="R906" s="126"/>
      <c r="S906" s="126"/>
      <c r="T906" s="126"/>
      <c r="U906" s="126"/>
      <c r="V906" s="126"/>
      <c r="W906" s="126"/>
      <c r="X906" s="126"/>
      <c r="Y906" s="126"/>
      <c r="Z906" s="126"/>
      <c r="AA906" s="126"/>
      <c r="AB906" s="126"/>
    </row>
    <row r="907" spans="1:28" ht="15.75" customHeight="1">
      <c r="A907" s="126"/>
      <c r="B907" s="126"/>
      <c r="C907" s="176"/>
      <c r="D907" s="176"/>
      <c r="E907" s="176"/>
      <c r="F907" s="176"/>
      <c r="G907" s="176"/>
      <c r="H907" s="176"/>
      <c r="I907" s="126"/>
      <c r="J907" s="126"/>
      <c r="K907" s="126"/>
      <c r="L907" s="126"/>
      <c r="M907" s="126"/>
      <c r="N907" s="126"/>
      <c r="O907" s="126"/>
      <c r="P907" s="126"/>
      <c r="Q907" s="126"/>
      <c r="R907" s="126"/>
      <c r="S907" s="126"/>
      <c r="T907" s="126"/>
      <c r="U907" s="126"/>
      <c r="V907" s="126"/>
      <c r="W907" s="126"/>
      <c r="X907" s="126"/>
      <c r="Y907" s="126"/>
      <c r="Z907" s="126"/>
      <c r="AA907" s="126"/>
      <c r="AB907" s="126"/>
    </row>
    <row r="908" spans="1:28" ht="15.75" customHeight="1">
      <c r="A908" s="126"/>
      <c r="B908" s="126"/>
      <c r="C908" s="176"/>
      <c r="D908" s="176"/>
      <c r="E908" s="176"/>
      <c r="F908" s="176"/>
      <c r="G908" s="176"/>
      <c r="H908" s="176"/>
      <c r="I908" s="126"/>
      <c r="J908" s="126"/>
      <c r="K908" s="126"/>
      <c r="L908" s="126"/>
      <c r="M908" s="126"/>
      <c r="N908" s="126"/>
      <c r="O908" s="126"/>
      <c r="P908" s="126"/>
      <c r="Q908" s="126"/>
      <c r="R908" s="126"/>
      <c r="S908" s="126"/>
      <c r="T908" s="126"/>
      <c r="U908" s="126"/>
      <c r="V908" s="126"/>
      <c r="W908" s="126"/>
      <c r="X908" s="126"/>
      <c r="Y908" s="126"/>
      <c r="Z908" s="126"/>
      <c r="AA908" s="126"/>
      <c r="AB908" s="126"/>
    </row>
    <row r="909" spans="1:28" ht="15.75" customHeight="1">
      <c r="A909" s="126"/>
      <c r="B909" s="126"/>
      <c r="C909" s="176"/>
      <c r="D909" s="176"/>
      <c r="E909" s="176"/>
      <c r="F909" s="176"/>
      <c r="G909" s="176"/>
      <c r="H909" s="176"/>
      <c r="I909" s="126"/>
      <c r="J909" s="126"/>
      <c r="K909" s="126"/>
      <c r="L909" s="126"/>
      <c r="M909" s="126"/>
      <c r="N909" s="126"/>
      <c r="O909" s="126"/>
      <c r="P909" s="126"/>
      <c r="Q909" s="126"/>
      <c r="R909" s="126"/>
      <c r="S909" s="126"/>
      <c r="T909" s="126"/>
      <c r="U909" s="126"/>
      <c r="V909" s="126"/>
      <c r="W909" s="126"/>
      <c r="X909" s="126"/>
      <c r="Y909" s="126"/>
      <c r="Z909" s="126"/>
      <c r="AA909" s="126"/>
      <c r="AB909" s="126"/>
    </row>
    <row r="910" spans="1:28" ht="15.75" customHeight="1">
      <c r="A910" s="126"/>
      <c r="B910" s="126"/>
      <c r="C910" s="176"/>
      <c r="D910" s="176"/>
      <c r="E910" s="176"/>
      <c r="F910" s="176"/>
      <c r="G910" s="176"/>
      <c r="H910" s="176"/>
      <c r="I910" s="126"/>
      <c r="J910" s="126"/>
      <c r="K910" s="126"/>
      <c r="L910" s="126"/>
      <c r="M910" s="126"/>
      <c r="N910" s="126"/>
      <c r="O910" s="126"/>
      <c r="P910" s="126"/>
      <c r="Q910" s="126"/>
      <c r="R910" s="126"/>
      <c r="S910" s="126"/>
      <c r="T910" s="126"/>
      <c r="U910" s="126"/>
      <c r="V910" s="126"/>
      <c r="W910" s="126"/>
      <c r="X910" s="126"/>
      <c r="Y910" s="126"/>
      <c r="Z910" s="126"/>
      <c r="AA910" s="126"/>
      <c r="AB910" s="126"/>
    </row>
    <row r="911" spans="1:28" ht="15.75" customHeight="1">
      <c r="A911" s="126"/>
      <c r="B911" s="126"/>
      <c r="C911" s="176"/>
      <c r="D911" s="176"/>
      <c r="E911" s="176"/>
      <c r="F911" s="176"/>
      <c r="G911" s="176"/>
      <c r="H911" s="176"/>
      <c r="I911" s="126"/>
      <c r="J911" s="126"/>
      <c r="K911" s="126"/>
      <c r="L911" s="126"/>
      <c r="M911" s="126"/>
      <c r="N911" s="126"/>
      <c r="O911" s="126"/>
      <c r="P911" s="126"/>
      <c r="Q911" s="126"/>
      <c r="R911" s="126"/>
      <c r="S911" s="126"/>
      <c r="T911" s="126"/>
      <c r="U911" s="126"/>
      <c r="V911" s="126"/>
      <c r="W911" s="126"/>
      <c r="X911" s="126"/>
      <c r="Y911" s="126"/>
      <c r="Z911" s="126"/>
      <c r="AA911" s="126"/>
      <c r="AB911" s="126"/>
    </row>
    <row r="912" spans="1:28" ht="15.75" customHeight="1">
      <c r="A912" s="126"/>
      <c r="B912" s="126"/>
      <c r="C912" s="176"/>
      <c r="D912" s="176"/>
      <c r="E912" s="176"/>
      <c r="F912" s="176"/>
      <c r="G912" s="176"/>
      <c r="H912" s="176"/>
      <c r="I912" s="126"/>
      <c r="J912" s="126"/>
      <c r="K912" s="126"/>
      <c r="L912" s="126"/>
      <c r="M912" s="126"/>
      <c r="N912" s="126"/>
      <c r="O912" s="126"/>
      <c r="P912" s="126"/>
      <c r="Q912" s="126"/>
      <c r="R912" s="126"/>
      <c r="S912" s="126"/>
      <c r="T912" s="126"/>
      <c r="U912" s="126"/>
      <c r="V912" s="126"/>
      <c r="W912" s="126"/>
      <c r="X912" s="126"/>
      <c r="Y912" s="126"/>
      <c r="Z912" s="126"/>
      <c r="AA912" s="126"/>
      <c r="AB912" s="126"/>
    </row>
    <row r="913" spans="1:28" ht="15.75" customHeight="1">
      <c r="A913" s="126"/>
      <c r="B913" s="126"/>
      <c r="C913" s="176"/>
      <c r="D913" s="176"/>
      <c r="E913" s="176"/>
      <c r="F913" s="176"/>
      <c r="G913" s="176"/>
      <c r="H913" s="176"/>
      <c r="I913" s="126"/>
      <c r="J913" s="126"/>
      <c r="K913" s="126"/>
      <c r="L913" s="126"/>
      <c r="M913" s="126"/>
      <c r="N913" s="126"/>
      <c r="O913" s="126"/>
      <c r="P913" s="126"/>
      <c r="Q913" s="126"/>
      <c r="R913" s="126"/>
      <c r="S913" s="126"/>
      <c r="T913" s="126"/>
      <c r="U913" s="126"/>
      <c r="V913" s="126"/>
      <c r="W913" s="126"/>
      <c r="X913" s="126"/>
      <c r="Y913" s="126"/>
      <c r="Z913" s="126"/>
      <c r="AA913" s="126"/>
      <c r="AB913" s="126"/>
    </row>
    <row r="914" spans="1:28" ht="15.75" customHeight="1">
      <c r="A914" s="126"/>
      <c r="B914" s="126"/>
      <c r="C914" s="176"/>
      <c r="D914" s="176"/>
      <c r="E914" s="176"/>
      <c r="F914" s="176"/>
      <c r="G914" s="176"/>
      <c r="H914" s="176"/>
      <c r="I914" s="126"/>
      <c r="J914" s="126"/>
      <c r="K914" s="126"/>
      <c r="L914" s="126"/>
      <c r="M914" s="126"/>
      <c r="N914" s="126"/>
      <c r="O914" s="126"/>
      <c r="P914" s="126"/>
      <c r="Q914" s="126"/>
      <c r="R914" s="126"/>
      <c r="S914" s="126"/>
      <c r="T914" s="126"/>
      <c r="U914" s="126"/>
      <c r="V914" s="126"/>
      <c r="W914" s="126"/>
      <c r="X914" s="126"/>
      <c r="Y914" s="126"/>
      <c r="Z914" s="126"/>
      <c r="AA914" s="126"/>
      <c r="AB914" s="126"/>
    </row>
    <row r="915" spans="1:28" ht="15.75" customHeight="1">
      <c r="A915" s="126"/>
      <c r="B915" s="126"/>
      <c r="C915" s="176"/>
      <c r="D915" s="176"/>
      <c r="E915" s="176"/>
      <c r="F915" s="176"/>
      <c r="G915" s="176"/>
      <c r="H915" s="176"/>
      <c r="I915" s="126"/>
      <c r="J915" s="126"/>
      <c r="K915" s="126"/>
      <c r="L915" s="126"/>
      <c r="M915" s="126"/>
      <c r="N915" s="126"/>
      <c r="O915" s="126"/>
      <c r="P915" s="126"/>
      <c r="Q915" s="126"/>
      <c r="R915" s="126"/>
      <c r="S915" s="126"/>
      <c r="T915" s="126"/>
      <c r="U915" s="126"/>
      <c r="V915" s="126"/>
      <c r="W915" s="126"/>
      <c r="X915" s="126"/>
      <c r="Y915" s="126"/>
      <c r="Z915" s="126"/>
      <c r="AA915" s="126"/>
      <c r="AB915" s="126"/>
    </row>
    <row r="916" spans="1:28" ht="15.75" customHeight="1">
      <c r="A916" s="126"/>
      <c r="B916" s="126"/>
      <c r="C916" s="176"/>
      <c r="D916" s="176"/>
      <c r="E916" s="176"/>
      <c r="F916" s="176"/>
      <c r="G916" s="176"/>
      <c r="H916" s="176"/>
      <c r="I916" s="126"/>
      <c r="J916" s="126"/>
      <c r="K916" s="126"/>
      <c r="L916" s="126"/>
      <c r="M916" s="126"/>
      <c r="N916" s="126"/>
      <c r="O916" s="126"/>
      <c r="P916" s="126"/>
      <c r="Q916" s="126"/>
      <c r="R916" s="126"/>
      <c r="S916" s="126"/>
      <c r="T916" s="126"/>
      <c r="U916" s="126"/>
      <c r="V916" s="126"/>
      <c r="W916" s="126"/>
      <c r="X916" s="126"/>
      <c r="Y916" s="126"/>
      <c r="Z916" s="126"/>
      <c r="AA916" s="126"/>
      <c r="AB916" s="126"/>
    </row>
    <row r="917" spans="1:28" ht="15.75" customHeight="1">
      <c r="A917" s="126"/>
      <c r="B917" s="126"/>
      <c r="C917" s="176"/>
      <c r="D917" s="176"/>
      <c r="E917" s="176"/>
      <c r="F917" s="176"/>
      <c r="G917" s="176"/>
      <c r="H917" s="176"/>
      <c r="I917" s="126"/>
      <c r="J917" s="126"/>
      <c r="K917" s="126"/>
      <c r="L917" s="126"/>
      <c r="M917" s="126"/>
      <c r="N917" s="126"/>
      <c r="O917" s="126"/>
      <c r="P917" s="126"/>
      <c r="Q917" s="126"/>
      <c r="R917" s="126"/>
      <c r="S917" s="126"/>
      <c r="T917" s="126"/>
      <c r="U917" s="126"/>
      <c r="V917" s="126"/>
      <c r="W917" s="126"/>
      <c r="X917" s="126"/>
      <c r="Y917" s="126"/>
      <c r="Z917" s="126"/>
      <c r="AA917" s="126"/>
      <c r="AB917" s="126"/>
    </row>
    <row r="918" spans="1:28" ht="15.75" customHeight="1">
      <c r="A918" s="126"/>
      <c r="B918" s="126"/>
      <c r="C918" s="176"/>
      <c r="D918" s="176"/>
      <c r="E918" s="176"/>
      <c r="F918" s="176"/>
      <c r="G918" s="176"/>
      <c r="H918" s="176"/>
      <c r="I918" s="126"/>
      <c r="J918" s="126"/>
      <c r="K918" s="126"/>
      <c r="L918" s="126"/>
      <c r="M918" s="126"/>
      <c r="N918" s="126"/>
      <c r="O918" s="126"/>
      <c r="P918" s="126"/>
      <c r="Q918" s="126"/>
      <c r="R918" s="126"/>
      <c r="S918" s="126"/>
      <c r="T918" s="126"/>
      <c r="U918" s="126"/>
      <c r="V918" s="126"/>
      <c r="W918" s="126"/>
      <c r="X918" s="126"/>
      <c r="Y918" s="126"/>
      <c r="Z918" s="126"/>
      <c r="AA918" s="126"/>
      <c r="AB918" s="126"/>
    </row>
    <row r="919" spans="1:28" ht="15.75" customHeight="1">
      <c r="A919" s="126"/>
      <c r="B919" s="126"/>
      <c r="C919" s="176"/>
      <c r="D919" s="176"/>
      <c r="E919" s="176"/>
      <c r="F919" s="176"/>
      <c r="G919" s="176"/>
      <c r="H919" s="176"/>
      <c r="I919" s="126"/>
      <c r="J919" s="126"/>
      <c r="K919" s="126"/>
      <c r="L919" s="126"/>
      <c r="M919" s="126"/>
      <c r="N919" s="126"/>
      <c r="O919" s="126"/>
      <c r="P919" s="126"/>
      <c r="Q919" s="126"/>
      <c r="R919" s="126"/>
      <c r="S919" s="126"/>
      <c r="T919" s="126"/>
      <c r="U919" s="126"/>
      <c r="V919" s="126"/>
      <c r="W919" s="126"/>
      <c r="X919" s="126"/>
      <c r="Y919" s="126"/>
      <c r="Z919" s="126"/>
      <c r="AA919" s="126"/>
      <c r="AB919" s="126"/>
    </row>
    <row r="920" spans="1:28" ht="15.75" customHeight="1">
      <c r="A920" s="126"/>
      <c r="B920" s="126"/>
      <c r="C920" s="176"/>
      <c r="D920" s="176"/>
      <c r="E920" s="176"/>
      <c r="F920" s="176"/>
      <c r="G920" s="176"/>
      <c r="H920" s="176"/>
      <c r="I920" s="126"/>
      <c r="J920" s="126"/>
      <c r="K920" s="126"/>
      <c r="L920" s="126"/>
      <c r="M920" s="126"/>
      <c r="N920" s="126"/>
      <c r="O920" s="126"/>
      <c r="P920" s="126"/>
      <c r="Q920" s="126"/>
      <c r="R920" s="126"/>
      <c r="S920" s="126"/>
      <c r="T920" s="126"/>
      <c r="U920" s="126"/>
      <c r="V920" s="126"/>
      <c r="W920" s="126"/>
      <c r="X920" s="126"/>
      <c r="Y920" s="126"/>
      <c r="Z920" s="126"/>
      <c r="AA920" s="126"/>
      <c r="AB920" s="126"/>
    </row>
    <row r="921" spans="1:28" ht="15.75" customHeight="1">
      <c r="A921" s="126"/>
      <c r="B921" s="126"/>
      <c r="C921" s="176"/>
      <c r="D921" s="176"/>
      <c r="E921" s="176"/>
      <c r="F921" s="176"/>
      <c r="G921" s="176"/>
      <c r="H921" s="176"/>
      <c r="I921" s="126"/>
      <c r="J921" s="126"/>
      <c r="K921" s="126"/>
      <c r="L921" s="126"/>
      <c r="M921" s="126"/>
      <c r="N921" s="126"/>
      <c r="O921" s="126"/>
      <c r="P921" s="126"/>
      <c r="Q921" s="126"/>
      <c r="R921" s="126"/>
      <c r="S921" s="126"/>
      <c r="T921" s="126"/>
      <c r="U921" s="126"/>
      <c r="V921" s="126"/>
      <c r="W921" s="126"/>
      <c r="X921" s="126"/>
      <c r="Y921" s="126"/>
      <c r="Z921" s="126"/>
      <c r="AA921" s="126"/>
      <c r="AB921" s="126"/>
    </row>
    <row r="922" spans="1:28" ht="15.75" customHeight="1">
      <c r="A922" s="126"/>
      <c r="B922" s="126"/>
      <c r="C922" s="176"/>
      <c r="D922" s="176"/>
      <c r="E922" s="176"/>
      <c r="F922" s="176"/>
      <c r="G922" s="176"/>
      <c r="H922" s="176"/>
      <c r="I922" s="126"/>
      <c r="J922" s="126"/>
      <c r="K922" s="126"/>
      <c r="L922" s="126"/>
      <c r="M922" s="126"/>
      <c r="N922" s="126"/>
      <c r="O922" s="126"/>
      <c r="P922" s="126"/>
      <c r="Q922" s="126"/>
      <c r="R922" s="126"/>
      <c r="S922" s="126"/>
      <c r="T922" s="126"/>
      <c r="U922" s="126"/>
      <c r="V922" s="126"/>
      <c r="W922" s="126"/>
      <c r="X922" s="126"/>
      <c r="Y922" s="126"/>
      <c r="Z922" s="126"/>
      <c r="AA922" s="126"/>
      <c r="AB922" s="126"/>
    </row>
    <row r="923" spans="1:28" ht="15.75" customHeight="1">
      <c r="A923" s="126"/>
      <c r="B923" s="126"/>
      <c r="C923" s="176"/>
      <c r="D923" s="176"/>
      <c r="E923" s="176"/>
      <c r="F923" s="176"/>
      <c r="G923" s="176"/>
      <c r="H923" s="176"/>
      <c r="I923" s="126"/>
      <c r="J923" s="126"/>
      <c r="K923" s="126"/>
      <c r="L923" s="126"/>
      <c r="M923" s="126"/>
      <c r="N923" s="126"/>
      <c r="O923" s="126"/>
      <c r="P923" s="126"/>
      <c r="Q923" s="126"/>
      <c r="R923" s="126"/>
      <c r="S923" s="126"/>
      <c r="T923" s="126"/>
      <c r="U923" s="126"/>
      <c r="V923" s="126"/>
      <c r="W923" s="126"/>
      <c r="X923" s="126"/>
      <c r="Y923" s="126"/>
      <c r="Z923" s="126"/>
      <c r="AA923" s="126"/>
      <c r="AB923" s="126"/>
    </row>
    <row r="924" spans="1:28" ht="15.75" customHeight="1">
      <c r="A924" s="126"/>
      <c r="B924" s="126"/>
      <c r="C924" s="176"/>
      <c r="D924" s="176"/>
      <c r="E924" s="176"/>
      <c r="F924" s="176"/>
      <c r="G924" s="176"/>
      <c r="H924" s="176"/>
      <c r="I924" s="126"/>
      <c r="J924" s="126"/>
      <c r="K924" s="126"/>
      <c r="L924" s="126"/>
      <c r="M924" s="126"/>
      <c r="N924" s="126"/>
      <c r="O924" s="126"/>
      <c r="P924" s="126"/>
      <c r="Q924" s="126"/>
      <c r="R924" s="126"/>
      <c r="S924" s="126"/>
      <c r="T924" s="126"/>
      <c r="U924" s="126"/>
      <c r="V924" s="126"/>
      <c r="W924" s="126"/>
      <c r="X924" s="126"/>
      <c r="Y924" s="126"/>
      <c r="Z924" s="126"/>
      <c r="AA924" s="126"/>
      <c r="AB924" s="126"/>
    </row>
    <row r="925" spans="1:28" ht="15.75" customHeight="1">
      <c r="A925" s="126"/>
      <c r="B925" s="126"/>
      <c r="C925" s="176"/>
      <c r="D925" s="176"/>
      <c r="E925" s="176"/>
      <c r="F925" s="176"/>
      <c r="G925" s="176"/>
      <c r="H925" s="176"/>
      <c r="I925" s="126"/>
      <c r="J925" s="126"/>
      <c r="K925" s="126"/>
      <c r="L925" s="126"/>
      <c r="M925" s="126"/>
      <c r="N925" s="126"/>
      <c r="O925" s="126"/>
      <c r="P925" s="126"/>
      <c r="Q925" s="126"/>
      <c r="R925" s="126"/>
      <c r="S925" s="126"/>
      <c r="T925" s="126"/>
      <c r="U925" s="126"/>
      <c r="V925" s="126"/>
      <c r="W925" s="126"/>
      <c r="X925" s="126"/>
      <c r="Y925" s="126"/>
      <c r="Z925" s="126"/>
      <c r="AA925" s="126"/>
      <c r="AB925" s="126"/>
    </row>
    <row r="926" spans="1:28" ht="15.75" customHeight="1">
      <c r="A926" s="126"/>
      <c r="B926" s="126"/>
      <c r="C926" s="176"/>
      <c r="D926" s="176"/>
      <c r="E926" s="176"/>
      <c r="F926" s="176"/>
      <c r="G926" s="176"/>
      <c r="H926" s="176"/>
      <c r="I926" s="126"/>
      <c r="J926" s="126"/>
      <c r="K926" s="126"/>
      <c r="L926" s="126"/>
      <c r="M926" s="126"/>
      <c r="N926" s="126"/>
      <c r="O926" s="126"/>
      <c r="P926" s="126"/>
      <c r="Q926" s="126"/>
      <c r="R926" s="126"/>
      <c r="S926" s="126"/>
      <c r="T926" s="126"/>
      <c r="U926" s="126"/>
      <c r="V926" s="126"/>
      <c r="W926" s="126"/>
      <c r="X926" s="126"/>
      <c r="Y926" s="126"/>
      <c r="Z926" s="126"/>
      <c r="AA926" s="126"/>
      <c r="AB926" s="126"/>
    </row>
    <row r="927" spans="1:28" ht="15.75" customHeight="1">
      <c r="A927" s="126"/>
      <c r="B927" s="126"/>
      <c r="C927" s="176"/>
      <c r="D927" s="176"/>
      <c r="E927" s="176"/>
      <c r="F927" s="176"/>
      <c r="G927" s="176"/>
      <c r="H927" s="176"/>
      <c r="I927" s="126"/>
      <c r="J927" s="126"/>
      <c r="K927" s="126"/>
      <c r="L927" s="126"/>
      <c r="M927" s="126"/>
      <c r="N927" s="126"/>
      <c r="O927" s="126"/>
      <c r="P927" s="126"/>
      <c r="Q927" s="126"/>
      <c r="R927" s="126"/>
      <c r="S927" s="126"/>
      <c r="T927" s="126"/>
      <c r="U927" s="126"/>
      <c r="V927" s="126"/>
      <c r="W927" s="126"/>
      <c r="X927" s="126"/>
      <c r="Y927" s="126"/>
      <c r="Z927" s="126"/>
      <c r="AA927" s="126"/>
      <c r="AB927" s="126"/>
    </row>
    <row r="928" spans="1:28" ht="15.75" customHeight="1">
      <c r="A928" s="126"/>
      <c r="B928" s="126"/>
      <c r="C928" s="176"/>
      <c r="D928" s="176"/>
      <c r="E928" s="176"/>
      <c r="F928" s="176"/>
      <c r="G928" s="176"/>
      <c r="H928" s="176"/>
      <c r="I928" s="126"/>
      <c r="J928" s="126"/>
      <c r="K928" s="126"/>
      <c r="L928" s="126"/>
      <c r="M928" s="126"/>
      <c r="N928" s="126"/>
      <c r="O928" s="126"/>
      <c r="P928" s="126"/>
      <c r="Q928" s="126"/>
      <c r="R928" s="126"/>
      <c r="S928" s="126"/>
      <c r="T928" s="126"/>
      <c r="U928" s="126"/>
      <c r="V928" s="126"/>
      <c r="W928" s="126"/>
      <c r="X928" s="126"/>
      <c r="Y928" s="126"/>
      <c r="Z928" s="126"/>
      <c r="AA928" s="126"/>
      <c r="AB928" s="126"/>
    </row>
    <row r="929" spans="1:28" ht="15.75" customHeight="1">
      <c r="A929" s="126"/>
      <c r="B929" s="126"/>
      <c r="C929" s="176"/>
      <c r="D929" s="176"/>
      <c r="E929" s="176"/>
      <c r="F929" s="176"/>
      <c r="G929" s="176"/>
      <c r="H929" s="176"/>
      <c r="I929" s="126"/>
      <c r="J929" s="126"/>
      <c r="K929" s="126"/>
      <c r="L929" s="126"/>
      <c r="M929" s="126"/>
      <c r="N929" s="126"/>
      <c r="O929" s="126"/>
      <c r="P929" s="126"/>
      <c r="Q929" s="126"/>
      <c r="R929" s="126"/>
      <c r="S929" s="126"/>
      <c r="T929" s="126"/>
      <c r="U929" s="126"/>
      <c r="V929" s="126"/>
      <c r="W929" s="126"/>
      <c r="X929" s="126"/>
      <c r="Y929" s="126"/>
      <c r="Z929" s="126"/>
      <c r="AA929" s="126"/>
      <c r="AB929" s="126"/>
    </row>
    <row r="930" spans="1:28" ht="15.75" customHeight="1">
      <c r="A930" s="126"/>
      <c r="B930" s="126"/>
      <c r="C930" s="176"/>
      <c r="D930" s="176"/>
      <c r="E930" s="176"/>
      <c r="F930" s="176"/>
      <c r="G930" s="176"/>
      <c r="H930" s="176"/>
      <c r="I930" s="126"/>
      <c r="J930" s="126"/>
      <c r="K930" s="126"/>
      <c r="L930" s="126"/>
      <c r="M930" s="126"/>
      <c r="N930" s="126"/>
      <c r="O930" s="126"/>
      <c r="P930" s="126"/>
      <c r="Q930" s="126"/>
      <c r="R930" s="126"/>
      <c r="S930" s="126"/>
      <c r="T930" s="126"/>
      <c r="U930" s="126"/>
      <c r="V930" s="126"/>
      <c r="W930" s="126"/>
      <c r="X930" s="126"/>
      <c r="Y930" s="126"/>
      <c r="Z930" s="126"/>
      <c r="AA930" s="126"/>
      <c r="AB930" s="126"/>
    </row>
    <row r="931" spans="1:28" ht="15.75" customHeight="1">
      <c r="A931" s="126"/>
      <c r="B931" s="126"/>
      <c r="C931" s="176"/>
      <c r="D931" s="176"/>
      <c r="E931" s="176"/>
      <c r="F931" s="176"/>
      <c r="G931" s="176"/>
      <c r="H931" s="176"/>
      <c r="I931" s="126"/>
      <c r="J931" s="126"/>
      <c r="K931" s="126"/>
      <c r="L931" s="126"/>
      <c r="M931" s="126"/>
      <c r="N931" s="126"/>
      <c r="O931" s="126"/>
      <c r="P931" s="126"/>
      <c r="Q931" s="126"/>
      <c r="R931" s="126"/>
      <c r="S931" s="126"/>
      <c r="T931" s="126"/>
      <c r="U931" s="126"/>
      <c r="V931" s="126"/>
      <c r="W931" s="126"/>
      <c r="X931" s="126"/>
      <c r="Y931" s="126"/>
      <c r="Z931" s="126"/>
      <c r="AA931" s="126"/>
      <c r="AB931" s="126"/>
    </row>
    <row r="932" spans="1:28" ht="15.75" customHeight="1">
      <c r="A932" s="126"/>
      <c r="B932" s="126"/>
      <c r="C932" s="176"/>
      <c r="D932" s="176"/>
      <c r="E932" s="176"/>
      <c r="F932" s="176"/>
      <c r="G932" s="176"/>
      <c r="H932" s="176"/>
      <c r="I932" s="126"/>
      <c r="J932" s="126"/>
      <c r="K932" s="126"/>
      <c r="L932" s="126"/>
      <c r="M932" s="126"/>
      <c r="N932" s="126"/>
      <c r="O932" s="126"/>
      <c r="P932" s="126"/>
      <c r="Q932" s="126"/>
      <c r="R932" s="126"/>
      <c r="S932" s="126"/>
      <c r="T932" s="126"/>
      <c r="U932" s="126"/>
      <c r="V932" s="126"/>
      <c r="W932" s="126"/>
      <c r="X932" s="126"/>
      <c r="Y932" s="126"/>
      <c r="Z932" s="126"/>
      <c r="AA932" s="126"/>
      <c r="AB932" s="126"/>
    </row>
    <row r="933" spans="1:28" ht="15.75" customHeight="1">
      <c r="A933" s="126"/>
      <c r="B933" s="126"/>
      <c r="C933" s="176"/>
      <c r="D933" s="176"/>
      <c r="E933" s="176"/>
      <c r="F933" s="176"/>
      <c r="G933" s="176"/>
      <c r="H933" s="176"/>
      <c r="I933" s="126"/>
      <c r="J933" s="126"/>
      <c r="K933" s="126"/>
      <c r="L933" s="126"/>
      <c r="M933" s="126"/>
      <c r="N933" s="126"/>
      <c r="O933" s="126"/>
      <c r="P933" s="126"/>
      <c r="Q933" s="126"/>
      <c r="R933" s="126"/>
      <c r="S933" s="126"/>
      <c r="T933" s="126"/>
      <c r="U933" s="126"/>
      <c r="V933" s="126"/>
      <c r="W933" s="126"/>
      <c r="X933" s="126"/>
      <c r="Y933" s="126"/>
      <c r="Z933" s="126"/>
      <c r="AA933" s="126"/>
      <c r="AB933" s="126"/>
    </row>
    <row r="934" spans="1:28" ht="15.75" customHeight="1">
      <c r="A934" s="126"/>
      <c r="B934" s="126"/>
      <c r="C934" s="176"/>
      <c r="D934" s="176"/>
      <c r="E934" s="176"/>
      <c r="F934" s="176"/>
      <c r="G934" s="176"/>
      <c r="H934" s="176"/>
      <c r="I934" s="126"/>
      <c r="J934" s="126"/>
      <c r="K934" s="126"/>
      <c r="L934" s="126"/>
      <c r="M934" s="126"/>
      <c r="N934" s="126"/>
      <c r="O934" s="126"/>
      <c r="P934" s="126"/>
      <c r="Q934" s="126"/>
      <c r="R934" s="126"/>
      <c r="S934" s="126"/>
      <c r="T934" s="126"/>
      <c r="U934" s="126"/>
      <c r="V934" s="126"/>
      <c r="W934" s="126"/>
      <c r="X934" s="126"/>
      <c r="Y934" s="126"/>
      <c r="Z934" s="126"/>
      <c r="AA934" s="126"/>
      <c r="AB934" s="126"/>
    </row>
    <row r="935" spans="1:28" ht="15.75" customHeight="1">
      <c r="A935" s="126"/>
      <c r="B935" s="126"/>
      <c r="C935" s="176"/>
      <c r="D935" s="176"/>
      <c r="E935" s="176"/>
      <c r="F935" s="176"/>
      <c r="G935" s="176"/>
      <c r="H935" s="176"/>
      <c r="I935" s="126"/>
      <c r="J935" s="126"/>
      <c r="K935" s="126"/>
      <c r="L935" s="126"/>
      <c r="M935" s="126"/>
      <c r="N935" s="126"/>
      <c r="O935" s="126"/>
      <c r="P935" s="126"/>
      <c r="Q935" s="126"/>
      <c r="R935" s="126"/>
      <c r="S935" s="126"/>
      <c r="T935" s="126"/>
      <c r="U935" s="126"/>
      <c r="V935" s="126"/>
      <c r="W935" s="126"/>
      <c r="X935" s="126"/>
      <c r="Y935" s="126"/>
      <c r="Z935" s="126"/>
      <c r="AA935" s="126"/>
      <c r="AB935" s="126"/>
    </row>
    <row r="936" spans="1:28" ht="15.75" customHeight="1">
      <c r="A936" s="126"/>
      <c r="B936" s="126"/>
      <c r="C936" s="176"/>
      <c r="D936" s="176"/>
      <c r="E936" s="176"/>
      <c r="F936" s="176"/>
      <c r="G936" s="176"/>
      <c r="H936" s="176"/>
      <c r="I936" s="126"/>
      <c r="J936" s="126"/>
      <c r="K936" s="126"/>
      <c r="L936" s="126"/>
      <c r="M936" s="126"/>
      <c r="N936" s="126"/>
      <c r="O936" s="126"/>
      <c r="P936" s="126"/>
      <c r="Q936" s="126"/>
      <c r="R936" s="126"/>
      <c r="S936" s="126"/>
      <c r="T936" s="126"/>
      <c r="U936" s="126"/>
      <c r="V936" s="126"/>
      <c r="W936" s="126"/>
      <c r="X936" s="126"/>
      <c r="Y936" s="126"/>
      <c r="Z936" s="126"/>
      <c r="AA936" s="126"/>
      <c r="AB936" s="126"/>
    </row>
    <row r="937" spans="1:28" ht="15.75" customHeight="1">
      <c r="A937" s="126"/>
      <c r="B937" s="126"/>
      <c r="C937" s="176"/>
      <c r="D937" s="176"/>
      <c r="E937" s="176"/>
      <c r="F937" s="176"/>
      <c r="G937" s="176"/>
      <c r="H937" s="176"/>
      <c r="I937" s="126"/>
      <c r="J937" s="126"/>
      <c r="K937" s="126"/>
      <c r="L937" s="126"/>
      <c r="M937" s="126"/>
      <c r="N937" s="126"/>
      <c r="O937" s="126"/>
      <c r="P937" s="126"/>
      <c r="Q937" s="126"/>
      <c r="R937" s="126"/>
      <c r="S937" s="126"/>
      <c r="T937" s="126"/>
      <c r="U937" s="126"/>
      <c r="V937" s="126"/>
      <c r="W937" s="126"/>
      <c r="X937" s="126"/>
      <c r="Y937" s="126"/>
      <c r="Z937" s="126"/>
      <c r="AA937" s="126"/>
      <c r="AB937" s="126"/>
    </row>
    <row r="938" spans="1:28" ht="15.75" customHeight="1">
      <c r="A938" s="126"/>
      <c r="B938" s="126"/>
      <c r="C938" s="176"/>
      <c r="D938" s="176"/>
      <c r="E938" s="176"/>
      <c r="F938" s="176"/>
      <c r="G938" s="176"/>
      <c r="H938" s="176"/>
      <c r="I938" s="126"/>
      <c r="J938" s="126"/>
      <c r="K938" s="126"/>
      <c r="L938" s="126"/>
      <c r="M938" s="126"/>
      <c r="N938" s="126"/>
      <c r="O938" s="126"/>
      <c r="P938" s="126"/>
      <c r="Q938" s="126"/>
      <c r="R938" s="126"/>
      <c r="S938" s="126"/>
      <c r="T938" s="126"/>
      <c r="U938" s="126"/>
      <c r="V938" s="126"/>
      <c r="W938" s="126"/>
      <c r="X938" s="126"/>
      <c r="Y938" s="126"/>
      <c r="Z938" s="126"/>
      <c r="AA938" s="126"/>
      <c r="AB938" s="126"/>
    </row>
    <row r="939" spans="1:28" ht="15.75" customHeight="1">
      <c r="A939" s="126"/>
      <c r="B939" s="126"/>
      <c r="C939" s="176"/>
      <c r="D939" s="176"/>
      <c r="E939" s="176"/>
      <c r="F939" s="176"/>
      <c r="G939" s="176"/>
      <c r="H939" s="176"/>
      <c r="I939" s="126"/>
      <c r="J939" s="126"/>
      <c r="K939" s="126"/>
      <c r="L939" s="126"/>
      <c r="M939" s="126"/>
      <c r="N939" s="126"/>
      <c r="O939" s="126"/>
      <c r="P939" s="126"/>
      <c r="Q939" s="126"/>
      <c r="R939" s="126"/>
      <c r="S939" s="126"/>
      <c r="T939" s="126"/>
      <c r="U939" s="126"/>
      <c r="V939" s="126"/>
      <c r="W939" s="126"/>
      <c r="X939" s="126"/>
      <c r="Y939" s="126"/>
      <c r="Z939" s="126"/>
      <c r="AA939" s="126"/>
      <c r="AB939" s="126"/>
    </row>
    <row r="940" spans="1:28" ht="15.75" customHeight="1">
      <c r="A940" s="126"/>
      <c r="B940" s="126"/>
      <c r="C940" s="176"/>
      <c r="D940" s="176"/>
      <c r="E940" s="176"/>
      <c r="F940" s="176"/>
      <c r="G940" s="176"/>
      <c r="H940" s="176"/>
      <c r="I940" s="126"/>
      <c r="J940" s="126"/>
      <c r="K940" s="126"/>
      <c r="L940" s="126"/>
      <c r="M940" s="126"/>
      <c r="N940" s="126"/>
      <c r="O940" s="126"/>
      <c r="P940" s="126"/>
      <c r="Q940" s="126"/>
      <c r="R940" s="126"/>
      <c r="S940" s="126"/>
      <c r="T940" s="126"/>
      <c r="U940" s="126"/>
      <c r="V940" s="126"/>
      <c r="W940" s="126"/>
      <c r="X940" s="126"/>
      <c r="Y940" s="126"/>
      <c r="Z940" s="126"/>
      <c r="AA940" s="126"/>
      <c r="AB940" s="126"/>
    </row>
    <row r="941" spans="1:28" ht="15.75" customHeight="1">
      <c r="A941" s="126"/>
      <c r="B941" s="126"/>
      <c r="C941" s="176"/>
      <c r="D941" s="176"/>
      <c r="E941" s="176"/>
      <c r="F941" s="176"/>
      <c r="G941" s="176"/>
      <c r="H941" s="176"/>
      <c r="I941" s="126"/>
      <c r="J941" s="126"/>
      <c r="K941" s="126"/>
      <c r="L941" s="126"/>
      <c r="M941" s="126"/>
      <c r="N941" s="126"/>
      <c r="O941" s="126"/>
      <c r="P941" s="126"/>
      <c r="Q941" s="126"/>
      <c r="R941" s="126"/>
      <c r="S941" s="126"/>
      <c r="T941" s="126"/>
      <c r="U941" s="126"/>
      <c r="V941" s="126"/>
      <c r="W941" s="126"/>
      <c r="X941" s="126"/>
      <c r="Y941" s="126"/>
      <c r="Z941" s="126"/>
      <c r="AA941" s="126"/>
      <c r="AB941" s="126"/>
    </row>
    <row r="942" spans="1:28" ht="15.75" customHeight="1">
      <c r="A942" s="126"/>
      <c r="B942" s="126"/>
      <c r="C942" s="176"/>
      <c r="D942" s="176"/>
      <c r="E942" s="176"/>
      <c r="F942" s="176"/>
      <c r="G942" s="176"/>
      <c r="H942" s="176"/>
      <c r="I942" s="126"/>
      <c r="J942" s="126"/>
      <c r="K942" s="126"/>
      <c r="L942" s="126"/>
      <c r="M942" s="126"/>
      <c r="N942" s="126"/>
      <c r="O942" s="126"/>
      <c r="P942" s="126"/>
      <c r="Q942" s="126"/>
      <c r="R942" s="126"/>
      <c r="S942" s="126"/>
      <c r="T942" s="126"/>
      <c r="U942" s="126"/>
      <c r="V942" s="126"/>
      <c r="W942" s="126"/>
      <c r="X942" s="126"/>
      <c r="Y942" s="126"/>
      <c r="Z942" s="126"/>
      <c r="AA942" s="126"/>
      <c r="AB942" s="126"/>
    </row>
    <row r="943" spans="1:28" ht="15.75" customHeight="1">
      <c r="A943" s="126"/>
      <c r="B943" s="126"/>
      <c r="C943" s="176"/>
      <c r="D943" s="176"/>
      <c r="E943" s="176"/>
      <c r="F943" s="176"/>
      <c r="G943" s="176"/>
      <c r="H943" s="176"/>
      <c r="I943" s="126"/>
      <c r="J943" s="126"/>
      <c r="K943" s="126"/>
      <c r="L943" s="126"/>
      <c r="M943" s="126"/>
      <c r="N943" s="126"/>
      <c r="O943" s="126"/>
      <c r="P943" s="126"/>
      <c r="Q943" s="126"/>
      <c r="R943" s="126"/>
      <c r="S943" s="126"/>
      <c r="T943" s="126"/>
      <c r="U943" s="126"/>
      <c r="V943" s="126"/>
      <c r="W943" s="126"/>
      <c r="X943" s="126"/>
      <c r="Y943" s="126"/>
      <c r="Z943" s="126"/>
      <c r="AA943" s="126"/>
      <c r="AB943" s="126"/>
    </row>
    <row r="944" spans="1:28" ht="15.75" customHeight="1">
      <c r="A944" s="126"/>
      <c r="B944" s="126"/>
      <c r="C944" s="176"/>
      <c r="D944" s="176"/>
      <c r="E944" s="176"/>
      <c r="F944" s="176"/>
      <c r="G944" s="176"/>
      <c r="H944" s="176"/>
      <c r="I944" s="126"/>
      <c r="J944" s="126"/>
      <c r="K944" s="126"/>
      <c r="L944" s="126"/>
      <c r="M944" s="126"/>
      <c r="N944" s="126"/>
      <c r="O944" s="126"/>
      <c r="P944" s="126"/>
      <c r="Q944" s="126"/>
      <c r="R944" s="126"/>
      <c r="S944" s="126"/>
      <c r="T944" s="126"/>
      <c r="U944" s="126"/>
      <c r="V944" s="126"/>
      <c r="W944" s="126"/>
      <c r="X944" s="126"/>
      <c r="Y944" s="126"/>
      <c r="Z944" s="126"/>
      <c r="AA944" s="126"/>
      <c r="AB944" s="126"/>
    </row>
    <row r="945" spans="1:28" ht="15.75" customHeight="1">
      <c r="A945" s="126"/>
      <c r="B945" s="126"/>
      <c r="C945" s="176"/>
      <c r="D945" s="176"/>
      <c r="E945" s="176"/>
      <c r="F945" s="176"/>
      <c r="G945" s="176"/>
      <c r="H945" s="176"/>
      <c r="I945" s="126"/>
      <c r="J945" s="126"/>
      <c r="K945" s="126"/>
      <c r="L945" s="126"/>
      <c r="M945" s="126"/>
      <c r="N945" s="126"/>
      <c r="O945" s="126"/>
      <c r="P945" s="126"/>
      <c r="Q945" s="126"/>
      <c r="R945" s="126"/>
      <c r="S945" s="126"/>
      <c r="T945" s="126"/>
      <c r="U945" s="126"/>
      <c r="V945" s="126"/>
      <c r="W945" s="126"/>
      <c r="X945" s="126"/>
      <c r="Y945" s="126"/>
      <c r="Z945" s="126"/>
      <c r="AA945" s="126"/>
      <c r="AB945" s="126"/>
    </row>
    <row r="946" spans="1:28" ht="15.75" customHeight="1">
      <c r="A946" s="126"/>
      <c r="B946" s="126"/>
      <c r="C946" s="176"/>
      <c r="D946" s="176"/>
      <c r="E946" s="176"/>
      <c r="F946" s="176"/>
      <c r="G946" s="176"/>
      <c r="H946" s="176"/>
      <c r="I946" s="126"/>
      <c r="J946" s="126"/>
      <c r="K946" s="126"/>
      <c r="L946" s="126"/>
      <c r="M946" s="126"/>
      <c r="N946" s="126"/>
      <c r="O946" s="126"/>
      <c r="P946" s="126"/>
      <c r="Q946" s="126"/>
      <c r="R946" s="126"/>
      <c r="S946" s="126"/>
      <c r="T946" s="126"/>
      <c r="U946" s="126"/>
      <c r="V946" s="126"/>
      <c r="W946" s="126"/>
      <c r="X946" s="126"/>
      <c r="Y946" s="126"/>
      <c r="Z946" s="126"/>
      <c r="AA946" s="126"/>
      <c r="AB946" s="126"/>
    </row>
    <row r="947" spans="1:28" ht="15.75" customHeight="1">
      <c r="A947" s="126"/>
      <c r="B947" s="126"/>
      <c r="C947" s="176"/>
      <c r="D947" s="176"/>
      <c r="E947" s="176"/>
      <c r="F947" s="176"/>
      <c r="G947" s="176"/>
      <c r="H947" s="176"/>
      <c r="I947" s="126"/>
      <c r="J947" s="126"/>
      <c r="K947" s="126"/>
      <c r="L947" s="126"/>
      <c r="M947" s="126"/>
      <c r="N947" s="126"/>
      <c r="O947" s="126"/>
      <c r="P947" s="126"/>
      <c r="Q947" s="126"/>
      <c r="R947" s="126"/>
      <c r="S947" s="126"/>
      <c r="T947" s="126"/>
      <c r="U947" s="126"/>
      <c r="V947" s="126"/>
      <c r="W947" s="126"/>
      <c r="X947" s="126"/>
      <c r="Y947" s="126"/>
      <c r="Z947" s="126"/>
      <c r="AA947" s="126"/>
      <c r="AB947" s="126"/>
    </row>
    <row r="948" spans="1:28" ht="15.75" customHeight="1">
      <c r="A948" s="126"/>
      <c r="B948" s="126"/>
      <c r="C948" s="176"/>
      <c r="D948" s="176"/>
      <c r="E948" s="176"/>
      <c r="F948" s="176"/>
      <c r="G948" s="176"/>
      <c r="H948" s="176"/>
      <c r="I948" s="126"/>
      <c r="J948" s="126"/>
      <c r="K948" s="126"/>
      <c r="L948" s="126"/>
      <c r="M948" s="126"/>
      <c r="N948" s="126"/>
      <c r="O948" s="126"/>
      <c r="P948" s="126"/>
      <c r="Q948" s="126"/>
      <c r="R948" s="126"/>
      <c r="S948" s="126"/>
      <c r="T948" s="126"/>
      <c r="U948" s="126"/>
      <c r="V948" s="126"/>
      <c r="W948" s="126"/>
      <c r="X948" s="126"/>
      <c r="Y948" s="126"/>
      <c r="Z948" s="126"/>
      <c r="AA948" s="126"/>
      <c r="AB948" s="126"/>
    </row>
    <row r="949" spans="1:28" ht="15.75" customHeight="1">
      <c r="A949" s="126"/>
      <c r="B949" s="126"/>
      <c r="C949" s="176"/>
      <c r="D949" s="176"/>
      <c r="E949" s="176"/>
      <c r="F949" s="176"/>
      <c r="G949" s="176"/>
      <c r="H949" s="176"/>
      <c r="I949" s="126"/>
      <c r="J949" s="126"/>
      <c r="K949" s="126"/>
      <c r="L949" s="126"/>
      <c r="M949" s="126"/>
      <c r="N949" s="126"/>
      <c r="O949" s="126"/>
      <c r="P949" s="126"/>
      <c r="Q949" s="126"/>
      <c r="R949" s="126"/>
      <c r="S949" s="126"/>
      <c r="T949" s="126"/>
      <c r="U949" s="126"/>
      <c r="V949" s="126"/>
      <c r="W949" s="126"/>
      <c r="X949" s="126"/>
      <c r="Y949" s="126"/>
      <c r="Z949" s="126"/>
      <c r="AA949" s="126"/>
      <c r="AB949" s="126"/>
    </row>
    <row r="950" spans="1:28" ht="15.75" customHeight="1">
      <c r="A950" s="126"/>
      <c r="B950" s="126"/>
      <c r="C950" s="176"/>
      <c r="D950" s="176"/>
      <c r="E950" s="176"/>
      <c r="F950" s="176"/>
      <c r="G950" s="176"/>
      <c r="H950" s="176"/>
      <c r="I950" s="126"/>
      <c r="J950" s="126"/>
      <c r="K950" s="126"/>
      <c r="L950" s="126"/>
      <c r="M950" s="126"/>
      <c r="N950" s="126"/>
      <c r="O950" s="126"/>
      <c r="P950" s="126"/>
      <c r="Q950" s="126"/>
      <c r="R950" s="126"/>
      <c r="S950" s="126"/>
      <c r="T950" s="126"/>
      <c r="U950" s="126"/>
      <c r="V950" s="126"/>
      <c r="W950" s="126"/>
      <c r="X950" s="126"/>
      <c r="Y950" s="126"/>
      <c r="Z950" s="126"/>
      <c r="AA950" s="126"/>
      <c r="AB950" s="126"/>
    </row>
    <row r="951" spans="1:28" ht="15.75" customHeight="1">
      <c r="A951" s="126"/>
      <c r="B951" s="126"/>
      <c r="C951" s="176"/>
      <c r="D951" s="176"/>
      <c r="E951" s="176"/>
      <c r="F951" s="176"/>
      <c r="G951" s="176"/>
      <c r="H951" s="176"/>
      <c r="I951" s="126"/>
      <c r="J951" s="126"/>
      <c r="K951" s="126"/>
      <c r="L951" s="126"/>
      <c r="M951" s="126"/>
      <c r="N951" s="126"/>
      <c r="O951" s="126"/>
      <c r="P951" s="126"/>
      <c r="Q951" s="126"/>
      <c r="R951" s="126"/>
      <c r="S951" s="126"/>
      <c r="T951" s="126"/>
      <c r="U951" s="126"/>
      <c r="V951" s="126"/>
      <c r="W951" s="126"/>
      <c r="X951" s="126"/>
      <c r="Y951" s="126"/>
      <c r="Z951" s="126"/>
      <c r="AA951" s="126"/>
      <c r="AB951" s="126"/>
    </row>
    <row r="952" spans="1:28" ht="15.75" customHeight="1">
      <c r="A952" s="126"/>
      <c r="B952" s="126"/>
      <c r="C952" s="176"/>
      <c r="D952" s="176"/>
      <c r="E952" s="176"/>
      <c r="F952" s="176"/>
      <c r="G952" s="176"/>
      <c r="H952" s="176"/>
      <c r="I952" s="126"/>
      <c r="J952" s="126"/>
      <c r="K952" s="126"/>
      <c r="L952" s="126"/>
      <c r="M952" s="126"/>
      <c r="N952" s="126"/>
      <c r="O952" s="126"/>
      <c r="P952" s="126"/>
      <c r="Q952" s="126"/>
      <c r="R952" s="126"/>
      <c r="S952" s="126"/>
      <c r="T952" s="126"/>
      <c r="U952" s="126"/>
      <c r="V952" s="126"/>
      <c r="W952" s="126"/>
      <c r="X952" s="126"/>
      <c r="Y952" s="126"/>
      <c r="Z952" s="126"/>
      <c r="AA952" s="126"/>
      <c r="AB952" s="126"/>
    </row>
    <row r="953" spans="1:28" ht="15.75" customHeight="1">
      <c r="A953" s="126"/>
      <c r="B953" s="126"/>
      <c r="C953" s="176"/>
      <c r="D953" s="176"/>
      <c r="E953" s="176"/>
      <c r="F953" s="176"/>
      <c r="G953" s="176"/>
      <c r="H953" s="176"/>
      <c r="I953" s="126"/>
      <c r="J953" s="126"/>
      <c r="K953" s="126"/>
      <c r="L953" s="126"/>
      <c r="M953" s="126"/>
      <c r="N953" s="126"/>
      <c r="O953" s="126"/>
      <c r="P953" s="126"/>
      <c r="Q953" s="126"/>
      <c r="R953" s="126"/>
      <c r="S953" s="126"/>
      <c r="T953" s="126"/>
      <c r="U953" s="126"/>
      <c r="V953" s="126"/>
      <c r="W953" s="126"/>
      <c r="X953" s="126"/>
      <c r="Y953" s="126"/>
      <c r="Z953" s="126"/>
      <c r="AA953" s="126"/>
      <c r="AB953" s="126"/>
    </row>
    <row r="954" spans="1:28" ht="15.75" customHeight="1">
      <c r="A954" s="126"/>
      <c r="B954" s="126"/>
      <c r="C954" s="176"/>
      <c r="D954" s="176"/>
      <c r="E954" s="176"/>
      <c r="F954" s="176"/>
      <c r="G954" s="176"/>
      <c r="H954" s="176"/>
      <c r="I954" s="126"/>
      <c r="J954" s="126"/>
      <c r="K954" s="126"/>
      <c r="L954" s="126"/>
      <c r="M954" s="126"/>
      <c r="N954" s="126"/>
      <c r="O954" s="126"/>
      <c r="P954" s="126"/>
      <c r="Q954" s="126"/>
      <c r="R954" s="126"/>
      <c r="S954" s="126"/>
      <c r="T954" s="126"/>
      <c r="U954" s="126"/>
      <c r="V954" s="126"/>
      <c r="W954" s="126"/>
      <c r="X954" s="126"/>
      <c r="Y954" s="126"/>
      <c r="Z954" s="126"/>
      <c r="AA954" s="126"/>
      <c r="AB954" s="126"/>
    </row>
    <row r="955" spans="1:28" ht="15.75" customHeight="1">
      <c r="A955" s="126"/>
      <c r="B955" s="126"/>
      <c r="C955" s="176"/>
      <c r="D955" s="176"/>
      <c r="E955" s="176"/>
      <c r="F955" s="176"/>
      <c r="G955" s="176"/>
      <c r="H955" s="176"/>
      <c r="I955" s="126"/>
      <c r="J955" s="126"/>
      <c r="K955" s="126"/>
      <c r="L955" s="126"/>
      <c r="M955" s="126"/>
      <c r="N955" s="126"/>
      <c r="O955" s="126"/>
      <c r="P955" s="126"/>
      <c r="Q955" s="126"/>
      <c r="R955" s="126"/>
      <c r="S955" s="126"/>
      <c r="T955" s="126"/>
      <c r="U955" s="126"/>
      <c r="V955" s="126"/>
      <c r="W955" s="126"/>
      <c r="X955" s="126"/>
      <c r="Y955" s="126"/>
      <c r="Z955" s="126"/>
      <c r="AA955" s="126"/>
      <c r="AB955" s="126"/>
    </row>
    <row r="956" spans="1:28" ht="15.75" customHeight="1">
      <c r="A956" s="126"/>
      <c r="B956" s="126"/>
      <c r="C956" s="176"/>
      <c r="D956" s="176"/>
      <c r="E956" s="176"/>
      <c r="F956" s="176"/>
      <c r="G956" s="176"/>
      <c r="H956" s="176"/>
      <c r="I956" s="126"/>
      <c r="J956" s="126"/>
      <c r="K956" s="126"/>
      <c r="L956" s="126"/>
      <c r="M956" s="126"/>
      <c r="N956" s="126"/>
      <c r="O956" s="126"/>
      <c r="P956" s="126"/>
      <c r="Q956" s="126"/>
      <c r="R956" s="126"/>
      <c r="S956" s="126"/>
      <c r="T956" s="126"/>
      <c r="U956" s="126"/>
      <c r="V956" s="126"/>
      <c r="W956" s="126"/>
      <c r="X956" s="126"/>
      <c r="Y956" s="126"/>
      <c r="Z956" s="126"/>
      <c r="AA956" s="126"/>
      <c r="AB956" s="126"/>
    </row>
    <row r="957" spans="1:28" ht="15.75" customHeight="1">
      <c r="A957" s="126"/>
      <c r="B957" s="126"/>
      <c r="C957" s="176"/>
      <c r="D957" s="176"/>
      <c r="E957" s="176"/>
      <c r="F957" s="176"/>
      <c r="G957" s="176"/>
      <c r="H957" s="176"/>
      <c r="I957" s="126"/>
      <c r="J957" s="126"/>
      <c r="K957" s="126"/>
      <c r="L957" s="126"/>
      <c r="M957" s="126"/>
      <c r="N957" s="126"/>
      <c r="O957" s="126"/>
      <c r="P957" s="126"/>
      <c r="Q957" s="126"/>
      <c r="R957" s="126"/>
      <c r="S957" s="126"/>
      <c r="T957" s="126"/>
      <c r="U957" s="126"/>
      <c r="V957" s="126"/>
      <c r="W957" s="126"/>
      <c r="X957" s="126"/>
      <c r="Y957" s="126"/>
      <c r="Z957" s="126"/>
      <c r="AA957" s="126"/>
      <c r="AB957" s="126"/>
    </row>
    <row r="958" spans="1:28" ht="15.75" customHeight="1">
      <c r="A958" s="126"/>
      <c r="B958" s="126"/>
      <c r="C958" s="176"/>
      <c r="D958" s="176"/>
      <c r="E958" s="176"/>
      <c r="F958" s="176"/>
      <c r="G958" s="176"/>
      <c r="H958" s="176"/>
      <c r="I958" s="126"/>
      <c r="J958" s="126"/>
      <c r="K958" s="126"/>
      <c r="L958" s="126"/>
      <c r="M958" s="126"/>
      <c r="N958" s="126"/>
      <c r="O958" s="126"/>
      <c r="P958" s="126"/>
      <c r="Q958" s="126"/>
      <c r="R958" s="126"/>
      <c r="S958" s="126"/>
      <c r="T958" s="126"/>
      <c r="U958" s="126"/>
      <c r="V958" s="126"/>
      <c r="W958" s="126"/>
      <c r="X958" s="126"/>
      <c r="Y958" s="126"/>
      <c r="Z958" s="126"/>
      <c r="AA958" s="126"/>
      <c r="AB958" s="126"/>
    </row>
    <row r="959" spans="1:28" ht="15.75" customHeight="1">
      <c r="A959" s="126"/>
      <c r="B959" s="126"/>
      <c r="C959" s="176"/>
      <c r="D959" s="176"/>
      <c r="E959" s="176"/>
      <c r="F959" s="176"/>
      <c r="G959" s="176"/>
      <c r="H959" s="176"/>
      <c r="I959" s="126"/>
      <c r="J959" s="126"/>
      <c r="K959" s="126"/>
      <c r="L959" s="126"/>
      <c r="M959" s="126"/>
      <c r="N959" s="126"/>
      <c r="O959" s="126"/>
      <c r="P959" s="126"/>
      <c r="Q959" s="126"/>
      <c r="R959" s="126"/>
      <c r="S959" s="126"/>
      <c r="T959" s="126"/>
      <c r="U959" s="126"/>
      <c r="V959" s="126"/>
      <c r="W959" s="126"/>
      <c r="X959" s="126"/>
      <c r="Y959" s="126"/>
      <c r="Z959" s="126"/>
      <c r="AA959" s="126"/>
      <c r="AB959" s="126"/>
    </row>
    <row r="960" spans="1:28" ht="15.75" customHeight="1">
      <c r="A960" s="126"/>
      <c r="B960" s="126"/>
      <c r="C960" s="176"/>
      <c r="D960" s="176"/>
      <c r="E960" s="176"/>
      <c r="F960" s="176"/>
      <c r="G960" s="176"/>
      <c r="H960" s="176"/>
      <c r="I960" s="126"/>
      <c r="J960" s="126"/>
      <c r="K960" s="126"/>
      <c r="L960" s="126"/>
      <c r="M960" s="126"/>
      <c r="N960" s="126"/>
      <c r="O960" s="126"/>
      <c r="P960" s="126"/>
      <c r="Q960" s="126"/>
      <c r="R960" s="126"/>
      <c r="S960" s="126"/>
      <c r="T960" s="126"/>
      <c r="U960" s="126"/>
      <c r="V960" s="126"/>
      <c r="W960" s="126"/>
      <c r="X960" s="126"/>
      <c r="Y960" s="126"/>
      <c r="Z960" s="126"/>
      <c r="AA960" s="126"/>
      <c r="AB960" s="126"/>
    </row>
    <row r="961" spans="1:28" ht="15.75" customHeight="1">
      <c r="A961" s="126"/>
      <c r="B961" s="126"/>
      <c r="C961" s="176"/>
      <c r="D961" s="176"/>
      <c r="E961" s="176"/>
      <c r="F961" s="176"/>
      <c r="G961" s="176"/>
      <c r="H961" s="176"/>
      <c r="I961" s="126"/>
      <c r="J961" s="126"/>
      <c r="K961" s="126"/>
      <c r="L961" s="126"/>
      <c r="M961" s="126"/>
      <c r="N961" s="126"/>
      <c r="O961" s="126"/>
      <c r="P961" s="126"/>
      <c r="Q961" s="126"/>
      <c r="R961" s="126"/>
      <c r="S961" s="126"/>
      <c r="T961" s="126"/>
      <c r="U961" s="126"/>
      <c r="V961" s="126"/>
      <c r="W961" s="126"/>
      <c r="X961" s="126"/>
      <c r="Y961" s="126"/>
      <c r="Z961" s="126"/>
      <c r="AA961" s="126"/>
      <c r="AB961" s="126"/>
    </row>
    <row r="962" spans="1:28" ht="15.75" customHeight="1">
      <c r="A962" s="126"/>
      <c r="B962" s="126"/>
      <c r="C962" s="176"/>
      <c r="D962" s="176"/>
      <c r="E962" s="176"/>
      <c r="F962" s="176"/>
      <c r="G962" s="176"/>
      <c r="H962" s="176"/>
      <c r="I962" s="126"/>
      <c r="J962" s="126"/>
      <c r="K962" s="126"/>
      <c r="L962" s="126"/>
      <c r="M962" s="126"/>
      <c r="N962" s="126"/>
      <c r="O962" s="126"/>
      <c r="P962" s="126"/>
      <c r="Q962" s="126"/>
      <c r="R962" s="126"/>
      <c r="S962" s="126"/>
      <c r="T962" s="126"/>
      <c r="U962" s="126"/>
      <c r="V962" s="126"/>
      <c r="W962" s="126"/>
      <c r="X962" s="126"/>
      <c r="Y962" s="126"/>
      <c r="Z962" s="126"/>
      <c r="AA962" s="126"/>
      <c r="AB962" s="126"/>
    </row>
    <row r="963" spans="1:28" ht="15.75" customHeight="1">
      <c r="A963" s="126"/>
      <c r="B963" s="126"/>
      <c r="C963" s="176"/>
      <c r="D963" s="176"/>
      <c r="E963" s="176"/>
      <c r="F963" s="176"/>
      <c r="G963" s="176"/>
      <c r="H963" s="176"/>
      <c r="I963" s="126"/>
      <c r="J963" s="126"/>
      <c r="K963" s="126"/>
      <c r="L963" s="126"/>
      <c r="M963" s="126"/>
      <c r="N963" s="126"/>
      <c r="O963" s="126"/>
      <c r="P963" s="126"/>
      <c r="Q963" s="126"/>
      <c r="R963" s="126"/>
      <c r="S963" s="126"/>
      <c r="T963" s="126"/>
      <c r="U963" s="126"/>
      <c r="V963" s="126"/>
      <c r="W963" s="126"/>
      <c r="X963" s="126"/>
      <c r="Y963" s="126"/>
      <c r="Z963" s="126"/>
      <c r="AA963" s="126"/>
      <c r="AB963" s="126"/>
    </row>
    <row r="964" spans="1:28" ht="15.75" customHeight="1">
      <c r="A964" s="126"/>
      <c r="B964" s="126"/>
      <c r="C964" s="176"/>
      <c r="D964" s="176"/>
      <c r="E964" s="176"/>
      <c r="F964" s="176"/>
      <c r="G964" s="176"/>
      <c r="H964" s="176"/>
      <c r="I964" s="126"/>
      <c r="J964" s="126"/>
      <c r="K964" s="126"/>
      <c r="L964" s="126"/>
      <c r="M964" s="126"/>
      <c r="N964" s="126"/>
      <c r="O964" s="126"/>
      <c r="P964" s="126"/>
      <c r="Q964" s="126"/>
      <c r="R964" s="126"/>
      <c r="S964" s="126"/>
      <c r="T964" s="126"/>
      <c r="U964" s="126"/>
      <c r="V964" s="126"/>
      <c r="W964" s="126"/>
      <c r="X964" s="126"/>
      <c r="Y964" s="126"/>
      <c r="Z964" s="126"/>
      <c r="AA964" s="126"/>
      <c r="AB964" s="126"/>
    </row>
    <row r="965" spans="1:28" ht="15.75" customHeight="1">
      <c r="A965" s="126"/>
      <c r="B965" s="126"/>
      <c r="C965" s="176"/>
      <c r="D965" s="176"/>
      <c r="E965" s="176"/>
      <c r="F965" s="176"/>
      <c r="G965" s="176"/>
      <c r="H965" s="176"/>
      <c r="I965" s="126"/>
      <c r="J965" s="126"/>
      <c r="K965" s="126"/>
      <c r="L965" s="126"/>
      <c r="M965" s="126"/>
      <c r="N965" s="126"/>
      <c r="O965" s="126"/>
      <c r="P965" s="126"/>
      <c r="Q965" s="126"/>
      <c r="R965" s="126"/>
      <c r="S965" s="126"/>
      <c r="T965" s="126"/>
      <c r="U965" s="126"/>
      <c r="V965" s="126"/>
      <c r="W965" s="126"/>
      <c r="X965" s="126"/>
      <c r="Y965" s="126"/>
      <c r="Z965" s="126"/>
      <c r="AA965" s="126"/>
      <c r="AB965" s="126"/>
    </row>
    <row r="966" spans="1:28" ht="15.75" customHeight="1">
      <c r="A966" s="126"/>
      <c r="B966" s="126"/>
      <c r="C966" s="176"/>
      <c r="D966" s="176"/>
      <c r="E966" s="176"/>
      <c r="F966" s="176"/>
      <c r="G966" s="176"/>
      <c r="H966" s="176"/>
      <c r="I966" s="126"/>
      <c r="J966" s="126"/>
      <c r="K966" s="126"/>
      <c r="L966" s="126"/>
      <c r="M966" s="126"/>
      <c r="N966" s="126"/>
      <c r="O966" s="126"/>
      <c r="P966" s="126"/>
      <c r="Q966" s="126"/>
      <c r="R966" s="126"/>
      <c r="S966" s="126"/>
      <c r="T966" s="126"/>
      <c r="U966" s="126"/>
      <c r="V966" s="126"/>
      <c r="W966" s="126"/>
      <c r="X966" s="126"/>
      <c r="Y966" s="126"/>
      <c r="Z966" s="126"/>
      <c r="AA966" s="126"/>
      <c r="AB966" s="126"/>
    </row>
    <row r="967" spans="1:28" ht="15.75" customHeight="1">
      <c r="A967" s="126"/>
      <c r="B967" s="126"/>
      <c r="C967" s="176"/>
      <c r="D967" s="176"/>
      <c r="E967" s="176"/>
      <c r="F967" s="176"/>
      <c r="G967" s="176"/>
      <c r="H967" s="176"/>
      <c r="I967" s="126"/>
      <c r="J967" s="126"/>
      <c r="K967" s="126"/>
      <c r="L967" s="126"/>
      <c r="M967" s="126"/>
      <c r="N967" s="126"/>
      <c r="O967" s="126"/>
      <c r="P967" s="126"/>
      <c r="Q967" s="126"/>
      <c r="R967" s="126"/>
      <c r="S967" s="126"/>
      <c r="T967" s="126"/>
      <c r="U967" s="126"/>
      <c r="V967" s="126"/>
      <c r="W967" s="126"/>
      <c r="X967" s="126"/>
      <c r="Y967" s="126"/>
      <c r="Z967" s="126"/>
      <c r="AA967" s="126"/>
      <c r="AB967" s="126"/>
    </row>
    <row r="968" spans="1:28" ht="15.75" customHeight="1">
      <c r="A968" s="126"/>
      <c r="B968" s="126"/>
      <c r="C968" s="176"/>
      <c r="D968" s="176"/>
      <c r="E968" s="176"/>
      <c r="F968" s="176"/>
      <c r="G968" s="176"/>
      <c r="H968" s="176"/>
      <c r="I968" s="126"/>
      <c r="J968" s="126"/>
      <c r="K968" s="126"/>
      <c r="L968" s="126"/>
      <c r="M968" s="126"/>
      <c r="N968" s="126"/>
      <c r="O968" s="126"/>
      <c r="P968" s="126"/>
      <c r="Q968" s="126"/>
      <c r="R968" s="126"/>
      <c r="S968" s="126"/>
      <c r="T968" s="126"/>
      <c r="U968" s="126"/>
      <c r="V968" s="126"/>
      <c r="W968" s="126"/>
      <c r="X968" s="126"/>
      <c r="Y968" s="126"/>
      <c r="Z968" s="126"/>
      <c r="AA968" s="126"/>
      <c r="AB968" s="126"/>
    </row>
    <row r="969" spans="1:28" ht="15.75" customHeight="1">
      <c r="A969" s="126"/>
      <c r="B969" s="126"/>
      <c r="C969" s="176"/>
      <c r="D969" s="176"/>
      <c r="E969" s="176"/>
      <c r="F969" s="176"/>
      <c r="G969" s="176"/>
      <c r="H969" s="176"/>
      <c r="I969" s="126"/>
      <c r="J969" s="126"/>
      <c r="K969" s="126"/>
      <c r="L969" s="126"/>
      <c r="M969" s="126"/>
      <c r="N969" s="126"/>
      <c r="O969" s="126"/>
      <c r="P969" s="126"/>
      <c r="Q969" s="126"/>
      <c r="R969" s="126"/>
      <c r="S969" s="126"/>
      <c r="T969" s="126"/>
      <c r="U969" s="126"/>
      <c r="V969" s="126"/>
      <c r="W969" s="126"/>
      <c r="X969" s="126"/>
      <c r="Y969" s="126"/>
      <c r="Z969" s="126"/>
      <c r="AA969" s="126"/>
      <c r="AB969" s="126"/>
    </row>
    <row r="970" spans="1:28" ht="15.75" customHeight="1">
      <c r="A970" s="126"/>
      <c r="B970" s="126"/>
      <c r="C970" s="176"/>
      <c r="D970" s="176"/>
      <c r="E970" s="176"/>
      <c r="F970" s="176"/>
      <c r="G970" s="176"/>
      <c r="H970" s="176"/>
      <c r="I970" s="126"/>
      <c r="J970" s="126"/>
      <c r="K970" s="126"/>
      <c r="L970" s="126"/>
      <c r="M970" s="126"/>
      <c r="N970" s="126"/>
      <c r="O970" s="126"/>
      <c r="P970" s="126"/>
      <c r="Q970" s="126"/>
      <c r="R970" s="126"/>
      <c r="S970" s="126"/>
      <c r="T970" s="126"/>
      <c r="U970" s="126"/>
      <c r="V970" s="126"/>
      <c r="W970" s="126"/>
      <c r="X970" s="126"/>
      <c r="Y970" s="126"/>
      <c r="Z970" s="126"/>
      <c r="AA970" s="126"/>
      <c r="AB970" s="126"/>
    </row>
    <row r="971" spans="1:28" ht="15.75" customHeight="1">
      <c r="A971" s="126"/>
      <c r="B971" s="126"/>
      <c r="C971" s="176"/>
      <c r="D971" s="176"/>
      <c r="E971" s="176"/>
      <c r="F971" s="176"/>
      <c r="G971" s="176"/>
      <c r="H971" s="176"/>
      <c r="I971" s="126"/>
      <c r="J971" s="126"/>
      <c r="K971" s="126"/>
      <c r="L971" s="126"/>
      <c r="M971" s="126"/>
      <c r="N971" s="126"/>
      <c r="O971" s="126"/>
      <c r="P971" s="126"/>
      <c r="Q971" s="126"/>
      <c r="R971" s="126"/>
      <c r="S971" s="126"/>
      <c r="T971" s="126"/>
      <c r="U971" s="126"/>
      <c r="V971" s="126"/>
      <c r="W971" s="126"/>
      <c r="X971" s="126"/>
      <c r="Y971" s="126"/>
      <c r="Z971" s="126"/>
      <c r="AA971" s="126"/>
      <c r="AB971" s="126"/>
    </row>
    <row r="972" spans="1:28" ht="15.75" customHeight="1">
      <c r="A972" s="126"/>
      <c r="B972" s="126"/>
      <c r="C972" s="176"/>
      <c r="D972" s="176"/>
      <c r="E972" s="176"/>
      <c r="F972" s="176"/>
      <c r="G972" s="176"/>
      <c r="H972" s="176"/>
      <c r="I972" s="126"/>
      <c r="J972" s="126"/>
      <c r="K972" s="126"/>
      <c r="L972" s="126"/>
      <c r="M972" s="126"/>
      <c r="N972" s="126"/>
      <c r="O972" s="126"/>
      <c r="P972" s="126"/>
      <c r="Q972" s="126"/>
      <c r="R972" s="126"/>
      <c r="S972" s="126"/>
      <c r="T972" s="126"/>
      <c r="U972" s="126"/>
      <c r="V972" s="126"/>
      <c r="W972" s="126"/>
      <c r="X972" s="126"/>
      <c r="Y972" s="126"/>
      <c r="Z972" s="126"/>
      <c r="AA972" s="126"/>
      <c r="AB972" s="126"/>
    </row>
    <row r="973" spans="1:28" ht="15.75" customHeight="1">
      <c r="A973" s="126"/>
      <c r="B973" s="126"/>
      <c r="C973" s="176"/>
      <c r="D973" s="176"/>
      <c r="E973" s="176"/>
      <c r="F973" s="176"/>
      <c r="G973" s="176"/>
      <c r="H973" s="176"/>
      <c r="I973" s="126"/>
      <c r="J973" s="126"/>
      <c r="K973" s="126"/>
      <c r="L973" s="126"/>
      <c r="M973" s="126"/>
      <c r="N973" s="126"/>
      <c r="O973" s="126"/>
      <c r="P973" s="126"/>
      <c r="Q973" s="126"/>
      <c r="R973" s="126"/>
      <c r="S973" s="126"/>
      <c r="T973" s="126"/>
      <c r="U973" s="126"/>
      <c r="V973" s="126"/>
      <c r="W973" s="126"/>
      <c r="X973" s="126"/>
      <c r="Y973" s="126"/>
      <c r="Z973" s="126"/>
      <c r="AA973" s="126"/>
      <c r="AB973" s="126"/>
    </row>
    <row r="974" spans="1:28" ht="15.75" customHeight="1">
      <c r="A974" s="126"/>
      <c r="B974" s="126"/>
      <c r="C974" s="176"/>
      <c r="D974" s="176"/>
      <c r="E974" s="176"/>
      <c r="F974" s="176"/>
      <c r="G974" s="176"/>
      <c r="H974" s="176"/>
      <c r="I974" s="126"/>
      <c r="J974" s="126"/>
      <c r="K974" s="126"/>
      <c r="L974" s="126"/>
      <c r="M974" s="126"/>
      <c r="N974" s="126"/>
      <c r="O974" s="126"/>
      <c r="P974" s="126"/>
      <c r="Q974" s="126"/>
      <c r="R974" s="126"/>
      <c r="S974" s="126"/>
      <c r="T974" s="126"/>
      <c r="U974" s="126"/>
      <c r="V974" s="126"/>
      <c r="W974" s="126"/>
      <c r="X974" s="126"/>
      <c r="Y974" s="126"/>
      <c r="Z974" s="126"/>
      <c r="AA974" s="126"/>
      <c r="AB974" s="126"/>
    </row>
    <row r="975" spans="1:28" ht="15.75" customHeight="1">
      <c r="A975" s="126"/>
      <c r="B975" s="126"/>
      <c r="C975" s="176"/>
      <c r="D975" s="176"/>
      <c r="E975" s="176"/>
      <c r="F975" s="176"/>
      <c r="G975" s="176"/>
      <c r="H975" s="176"/>
      <c r="I975" s="126"/>
      <c r="J975" s="126"/>
      <c r="K975" s="126"/>
      <c r="L975" s="126"/>
      <c r="M975" s="126"/>
      <c r="N975" s="126"/>
      <c r="O975" s="126"/>
      <c r="P975" s="126"/>
      <c r="Q975" s="126"/>
      <c r="R975" s="126"/>
      <c r="S975" s="126"/>
      <c r="T975" s="126"/>
      <c r="U975" s="126"/>
      <c r="V975" s="126"/>
      <c r="W975" s="126"/>
      <c r="X975" s="126"/>
      <c r="Y975" s="126"/>
      <c r="Z975" s="126"/>
      <c r="AA975" s="126"/>
      <c r="AB975" s="126"/>
    </row>
    <row r="976" spans="1:28" ht="15.75" customHeight="1">
      <c r="A976" s="126"/>
      <c r="B976" s="126"/>
      <c r="C976" s="176"/>
      <c r="D976" s="176"/>
      <c r="E976" s="176"/>
      <c r="F976" s="176"/>
      <c r="G976" s="176"/>
      <c r="H976" s="176"/>
      <c r="I976" s="126"/>
      <c r="J976" s="126"/>
      <c r="K976" s="126"/>
      <c r="L976" s="126"/>
      <c r="M976" s="126"/>
      <c r="N976" s="126"/>
      <c r="O976" s="126"/>
      <c r="P976" s="126"/>
      <c r="Q976" s="126"/>
      <c r="R976" s="126"/>
      <c r="S976" s="126"/>
      <c r="T976" s="126"/>
      <c r="U976" s="126"/>
      <c r="V976" s="126"/>
      <c r="W976" s="126"/>
      <c r="X976" s="126"/>
      <c r="Y976" s="126"/>
      <c r="Z976" s="126"/>
      <c r="AA976" s="126"/>
      <c r="AB976" s="126"/>
    </row>
    <row r="977" spans="1:28" ht="15.75" customHeight="1">
      <c r="A977" s="126"/>
      <c r="B977" s="126"/>
      <c r="C977" s="176"/>
      <c r="D977" s="176"/>
      <c r="E977" s="176"/>
      <c r="F977" s="176"/>
      <c r="G977" s="176"/>
      <c r="H977" s="176"/>
      <c r="I977" s="126"/>
      <c r="J977" s="126"/>
      <c r="K977" s="126"/>
      <c r="L977" s="126"/>
      <c r="M977" s="126"/>
      <c r="N977" s="126"/>
      <c r="O977" s="126"/>
      <c r="P977" s="126"/>
      <c r="Q977" s="126"/>
      <c r="R977" s="126"/>
      <c r="S977" s="126"/>
      <c r="T977" s="126"/>
      <c r="U977" s="126"/>
      <c r="V977" s="126"/>
      <c r="W977" s="126"/>
      <c r="X977" s="126"/>
      <c r="Y977" s="126"/>
      <c r="Z977" s="126"/>
      <c r="AA977" s="126"/>
      <c r="AB977" s="126"/>
    </row>
    <row r="978" spans="1:28" ht="15.75" customHeight="1">
      <c r="A978" s="126"/>
      <c r="B978" s="126"/>
      <c r="C978" s="176"/>
      <c r="D978" s="176"/>
      <c r="E978" s="176"/>
      <c r="F978" s="176"/>
      <c r="G978" s="176"/>
      <c r="H978" s="176"/>
      <c r="I978" s="126"/>
      <c r="J978" s="126"/>
      <c r="K978" s="126"/>
      <c r="L978" s="126"/>
      <c r="M978" s="126"/>
      <c r="N978" s="126"/>
      <c r="O978" s="126"/>
      <c r="P978" s="126"/>
      <c r="Q978" s="126"/>
      <c r="R978" s="126"/>
      <c r="S978" s="126"/>
      <c r="T978" s="126"/>
      <c r="U978" s="126"/>
      <c r="V978" s="126"/>
      <c r="W978" s="126"/>
      <c r="X978" s="126"/>
      <c r="Y978" s="126"/>
      <c r="Z978" s="126"/>
      <c r="AA978" s="126"/>
      <c r="AB978" s="126"/>
    </row>
    <row r="979" spans="1:28" ht="15.75" customHeight="1">
      <c r="A979" s="126"/>
      <c r="B979" s="126"/>
      <c r="C979" s="176"/>
      <c r="D979" s="176"/>
      <c r="E979" s="176"/>
      <c r="F979" s="176"/>
      <c r="G979" s="176"/>
      <c r="H979" s="176"/>
      <c r="I979" s="126"/>
      <c r="J979" s="126"/>
      <c r="K979" s="126"/>
      <c r="L979" s="126"/>
      <c r="M979" s="126"/>
      <c r="N979" s="126"/>
      <c r="O979" s="126"/>
      <c r="P979" s="126"/>
      <c r="Q979" s="126"/>
      <c r="R979" s="126"/>
      <c r="S979" s="126"/>
      <c r="T979" s="126"/>
      <c r="U979" s="126"/>
      <c r="V979" s="126"/>
      <c r="W979" s="126"/>
      <c r="X979" s="126"/>
      <c r="Y979" s="126"/>
      <c r="Z979" s="126"/>
      <c r="AA979" s="126"/>
      <c r="AB979" s="126"/>
    </row>
    <row r="980" spans="1:28" ht="15.75" customHeight="1">
      <c r="A980" s="126"/>
      <c r="B980" s="126"/>
      <c r="C980" s="176"/>
      <c r="D980" s="176"/>
      <c r="E980" s="176"/>
      <c r="F980" s="176"/>
      <c r="G980" s="176"/>
      <c r="H980" s="176"/>
      <c r="I980" s="126"/>
      <c r="J980" s="126"/>
      <c r="K980" s="126"/>
      <c r="L980" s="126"/>
      <c r="M980" s="126"/>
      <c r="N980" s="126"/>
      <c r="O980" s="126"/>
      <c r="P980" s="126"/>
      <c r="Q980" s="126"/>
      <c r="R980" s="126"/>
      <c r="S980" s="126"/>
      <c r="T980" s="126"/>
      <c r="U980" s="126"/>
      <c r="V980" s="126"/>
      <c r="W980" s="126"/>
      <c r="X980" s="126"/>
      <c r="Y980" s="126"/>
      <c r="Z980" s="126"/>
      <c r="AA980" s="126"/>
      <c r="AB980" s="126"/>
    </row>
    <row r="981" spans="1:28" ht="15.75" customHeight="1">
      <c r="A981" s="126"/>
      <c r="B981" s="126"/>
      <c r="C981" s="176"/>
      <c r="D981" s="176"/>
      <c r="E981" s="176"/>
      <c r="F981" s="176"/>
      <c r="G981" s="176"/>
      <c r="H981" s="176"/>
      <c r="I981" s="126"/>
      <c r="J981" s="126"/>
      <c r="K981" s="126"/>
      <c r="L981" s="126"/>
      <c r="M981" s="126"/>
      <c r="N981" s="126"/>
      <c r="O981" s="126"/>
      <c r="P981" s="126"/>
      <c r="Q981" s="126"/>
      <c r="R981" s="126"/>
      <c r="S981" s="126"/>
      <c r="T981" s="126"/>
      <c r="U981" s="126"/>
      <c r="V981" s="126"/>
      <c r="W981" s="126"/>
      <c r="X981" s="126"/>
      <c r="Y981" s="126"/>
      <c r="Z981" s="126"/>
      <c r="AA981" s="126"/>
      <c r="AB981" s="126"/>
    </row>
    <row r="982" spans="1:28" ht="15.75" customHeight="1">
      <c r="A982" s="126"/>
      <c r="B982" s="126"/>
      <c r="C982" s="176"/>
      <c r="D982" s="176"/>
      <c r="E982" s="176"/>
      <c r="F982" s="176"/>
      <c r="G982" s="176"/>
      <c r="H982" s="176"/>
      <c r="I982" s="126"/>
      <c r="J982" s="126"/>
      <c r="K982" s="126"/>
      <c r="L982" s="126"/>
      <c r="M982" s="126"/>
      <c r="N982" s="126"/>
      <c r="O982" s="126"/>
      <c r="P982" s="126"/>
      <c r="Q982" s="126"/>
      <c r="R982" s="126"/>
      <c r="S982" s="126"/>
      <c r="T982" s="126"/>
      <c r="U982" s="126"/>
      <c r="V982" s="126"/>
      <c r="W982" s="126"/>
      <c r="X982" s="126"/>
      <c r="Y982" s="126"/>
      <c r="Z982" s="126"/>
      <c r="AA982" s="126"/>
      <c r="AB982" s="126"/>
    </row>
    <row r="983" spans="1:28" ht="15.75" customHeight="1">
      <c r="A983" s="126"/>
      <c r="B983" s="126"/>
      <c r="C983" s="176"/>
      <c r="D983" s="176"/>
      <c r="E983" s="176"/>
      <c r="F983" s="176"/>
      <c r="G983" s="176"/>
      <c r="H983" s="176"/>
      <c r="I983" s="126"/>
      <c r="J983" s="126"/>
      <c r="K983" s="126"/>
      <c r="L983" s="126"/>
      <c r="M983" s="126"/>
      <c r="N983" s="126"/>
      <c r="O983" s="126"/>
      <c r="P983" s="126"/>
      <c r="Q983" s="126"/>
      <c r="R983" s="126"/>
      <c r="S983" s="126"/>
      <c r="T983" s="126"/>
      <c r="U983" s="126"/>
      <c r="V983" s="126"/>
      <c r="W983" s="126"/>
      <c r="X983" s="126"/>
      <c r="Y983" s="126"/>
      <c r="Z983" s="126"/>
      <c r="AA983" s="126"/>
      <c r="AB983" s="126"/>
    </row>
    <row r="984" spans="1:28" ht="15.75" customHeight="1">
      <c r="A984" s="126"/>
      <c r="B984" s="126"/>
      <c r="C984" s="176"/>
      <c r="D984" s="176"/>
      <c r="E984" s="176"/>
      <c r="F984" s="176"/>
      <c r="G984" s="176"/>
      <c r="H984" s="176"/>
      <c r="I984" s="126"/>
      <c r="J984" s="126"/>
      <c r="K984" s="126"/>
      <c r="L984" s="126"/>
      <c r="M984" s="126"/>
      <c r="N984" s="126"/>
      <c r="O984" s="126"/>
      <c r="P984" s="126"/>
      <c r="Q984" s="126"/>
      <c r="R984" s="126"/>
      <c r="S984" s="126"/>
      <c r="T984" s="126"/>
      <c r="U984" s="126"/>
      <c r="V984" s="126"/>
      <c r="W984" s="126"/>
      <c r="X984" s="126"/>
      <c r="Y984" s="126"/>
      <c r="Z984" s="126"/>
      <c r="AA984" s="126"/>
      <c r="AB984" s="126"/>
    </row>
    <row r="985" spans="1:28" ht="15.75" customHeight="1">
      <c r="A985" s="126"/>
      <c r="B985" s="126"/>
      <c r="C985" s="176"/>
      <c r="D985" s="176"/>
      <c r="E985" s="176"/>
      <c r="F985" s="176"/>
      <c r="G985" s="176"/>
      <c r="H985" s="176"/>
      <c r="I985" s="126"/>
      <c r="J985" s="126"/>
      <c r="K985" s="126"/>
      <c r="L985" s="126"/>
      <c r="M985" s="126"/>
      <c r="N985" s="126"/>
      <c r="O985" s="126"/>
      <c r="P985" s="126"/>
      <c r="Q985" s="126"/>
      <c r="R985" s="126"/>
      <c r="S985" s="126"/>
      <c r="T985" s="126"/>
      <c r="U985" s="126"/>
      <c r="V985" s="126"/>
      <c r="W985" s="126"/>
      <c r="X985" s="126"/>
      <c r="Y985" s="126"/>
      <c r="Z985" s="126"/>
      <c r="AA985" s="126"/>
      <c r="AB985" s="126"/>
    </row>
    <row r="986" spans="1:28" ht="15.75" customHeight="1">
      <c r="A986" s="126"/>
      <c r="B986" s="126"/>
      <c r="C986" s="176"/>
      <c r="D986" s="176"/>
      <c r="E986" s="176"/>
      <c r="F986" s="176"/>
      <c r="G986" s="176"/>
      <c r="H986" s="176"/>
      <c r="I986" s="126"/>
      <c r="J986" s="126"/>
      <c r="K986" s="126"/>
      <c r="L986" s="126"/>
      <c r="M986" s="126"/>
      <c r="N986" s="126"/>
      <c r="O986" s="126"/>
      <c r="P986" s="126"/>
      <c r="Q986" s="126"/>
      <c r="R986" s="126"/>
      <c r="S986" s="126"/>
      <c r="T986" s="126"/>
      <c r="U986" s="126"/>
      <c r="V986" s="126"/>
      <c r="W986" s="126"/>
      <c r="X986" s="126"/>
      <c r="Y986" s="126"/>
      <c r="Z986" s="126"/>
      <c r="AA986" s="126"/>
      <c r="AB986" s="126"/>
    </row>
    <row r="987" spans="1:28" ht="15.75" customHeight="1">
      <c r="A987" s="126"/>
      <c r="B987" s="126"/>
      <c r="C987" s="176"/>
      <c r="D987" s="176"/>
      <c r="E987" s="176"/>
      <c r="F987" s="176"/>
      <c r="G987" s="176"/>
      <c r="H987" s="176"/>
      <c r="I987" s="126"/>
      <c r="J987" s="126"/>
      <c r="K987" s="126"/>
      <c r="L987" s="126"/>
      <c r="M987" s="126"/>
      <c r="N987" s="126"/>
      <c r="O987" s="126"/>
      <c r="P987" s="126"/>
      <c r="Q987" s="126"/>
      <c r="R987" s="126"/>
      <c r="S987" s="126"/>
      <c r="T987" s="126"/>
      <c r="U987" s="126"/>
      <c r="V987" s="126"/>
      <c r="W987" s="126"/>
      <c r="X987" s="126"/>
      <c r="Y987" s="126"/>
      <c r="Z987" s="126"/>
      <c r="AA987" s="126"/>
      <c r="AB987" s="126"/>
    </row>
    <row r="988" spans="1:28" ht="15.75" customHeight="1">
      <c r="A988" s="126"/>
      <c r="B988" s="126"/>
      <c r="C988" s="176"/>
      <c r="D988" s="176"/>
      <c r="E988" s="176"/>
      <c r="F988" s="176"/>
      <c r="G988" s="176"/>
      <c r="H988" s="176"/>
      <c r="I988" s="126"/>
      <c r="J988" s="126"/>
      <c r="K988" s="126"/>
      <c r="L988" s="126"/>
      <c r="M988" s="126"/>
      <c r="N988" s="126"/>
      <c r="O988" s="126"/>
      <c r="P988" s="126"/>
      <c r="Q988" s="126"/>
      <c r="R988" s="126"/>
      <c r="S988" s="126"/>
      <c r="T988" s="126"/>
      <c r="U988" s="126"/>
      <c r="V988" s="126"/>
      <c r="W988" s="126"/>
      <c r="X988" s="126"/>
      <c r="Y988" s="126"/>
      <c r="Z988" s="126"/>
      <c r="AA988" s="126"/>
      <c r="AB988" s="126"/>
    </row>
    <row r="989" spans="1:28" ht="15.75" customHeight="1">
      <c r="A989" s="126"/>
      <c r="B989" s="126"/>
      <c r="C989" s="176"/>
      <c r="D989" s="176"/>
      <c r="E989" s="176"/>
      <c r="F989" s="176"/>
      <c r="G989" s="176"/>
      <c r="H989" s="176"/>
      <c r="I989" s="126"/>
      <c r="J989" s="126"/>
      <c r="K989" s="126"/>
      <c r="L989" s="126"/>
      <c r="M989" s="126"/>
      <c r="N989" s="126"/>
      <c r="O989" s="126"/>
      <c r="P989" s="126"/>
      <c r="Q989" s="126"/>
      <c r="R989" s="126"/>
      <c r="S989" s="126"/>
      <c r="T989" s="126"/>
      <c r="U989" s="126"/>
      <c r="V989" s="126"/>
      <c r="W989" s="126"/>
      <c r="X989" s="126"/>
      <c r="Y989" s="126"/>
      <c r="Z989" s="126"/>
      <c r="AA989" s="126"/>
      <c r="AB989" s="126"/>
    </row>
    <row r="990" spans="1:28" ht="15.75" customHeight="1">
      <c r="A990" s="126"/>
      <c r="B990" s="126"/>
      <c r="C990" s="176"/>
      <c r="D990" s="176"/>
      <c r="E990" s="176"/>
      <c r="F990" s="176"/>
      <c r="G990" s="176"/>
      <c r="H990" s="176"/>
      <c r="I990" s="126"/>
      <c r="J990" s="126"/>
      <c r="K990" s="126"/>
      <c r="L990" s="126"/>
      <c r="M990" s="126"/>
      <c r="N990" s="126"/>
      <c r="O990" s="126"/>
      <c r="P990" s="126"/>
      <c r="Q990" s="126"/>
      <c r="R990" s="126"/>
      <c r="S990" s="126"/>
      <c r="T990" s="126"/>
      <c r="U990" s="126"/>
      <c r="V990" s="126"/>
      <c r="W990" s="126"/>
      <c r="X990" s="126"/>
      <c r="Y990" s="126"/>
      <c r="Z990" s="126"/>
      <c r="AA990" s="126"/>
      <c r="AB990" s="126"/>
    </row>
    <row r="991" spans="1:28" ht="15.75" customHeight="1">
      <c r="A991" s="126"/>
      <c r="B991" s="126"/>
      <c r="C991" s="176"/>
      <c r="D991" s="176"/>
      <c r="E991" s="176"/>
      <c r="F991" s="176"/>
      <c r="G991" s="176"/>
      <c r="H991" s="176"/>
      <c r="I991" s="126"/>
      <c r="J991" s="126"/>
      <c r="K991" s="126"/>
      <c r="L991" s="126"/>
      <c r="M991" s="126"/>
      <c r="N991" s="126"/>
      <c r="O991" s="126"/>
      <c r="P991" s="126"/>
      <c r="Q991" s="126"/>
      <c r="R991" s="126"/>
      <c r="S991" s="126"/>
      <c r="T991" s="126"/>
      <c r="U991" s="126"/>
      <c r="V991" s="126"/>
      <c r="W991" s="126"/>
      <c r="X991" s="126"/>
      <c r="Y991" s="126"/>
      <c r="Z991" s="126"/>
      <c r="AA991" s="126"/>
      <c r="AB991" s="126"/>
    </row>
    <row r="992" spans="1:28" ht="15.75" customHeight="1">
      <c r="A992" s="126"/>
      <c r="B992" s="126"/>
      <c r="C992" s="176"/>
      <c r="D992" s="176"/>
      <c r="E992" s="176"/>
      <c r="F992" s="176"/>
      <c r="G992" s="176"/>
      <c r="H992" s="176"/>
      <c r="I992" s="126"/>
      <c r="J992" s="126"/>
      <c r="K992" s="126"/>
      <c r="L992" s="126"/>
      <c r="M992" s="126"/>
      <c r="N992" s="126"/>
      <c r="O992" s="126"/>
      <c r="P992" s="126"/>
      <c r="Q992" s="126"/>
      <c r="R992" s="126"/>
      <c r="S992" s="126"/>
      <c r="T992" s="126"/>
      <c r="U992" s="126"/>
      <c r="V992" s="126"/>
      <c r="W992" s="126"/>
      <c r="X992" s="126"/>
      <c r="Y992" s="126"/>
      <c r="Z992" s="126"/>
      <c r="AA992" s="126"/>
      <c r="AB992" s="126"/>
    </row>
    <row r="993" spans="1:28" ht="15.75" customHeight="1">
      <c r="A993" s="126"/>
      <c r="B993" s="126"/>
      <c r="C993" s="176"/>
      <c r="D993" s="176"/>
      <c r="E993" s="176"/>
      <c r="F993" s="176"/>
      <c r="G993" s="176"/>
      <c r="H993" s="176"/>
      <c r="I993" s="126"/>
      <c r="J993" s="126"/>
      <c r="K993" s="126"/>
      <c r="L993" s="126"/>
      <c r="M993" s="126"/>
      <c r="N993" s="126"/>
      <c r="O993" s="126"/>
      <c r="P993" s="126"/>
      <c r="Q993" s="126"/>
      <c r="R993" s="126"/>
      <c r="S993" s="126"/>
      <c r="T993" s="126"/>
      <c r="U993" s="126"/>
      <c r="V993" s="126"/>
      <c r="W993" s="126"/>
      <c r="X993" s="126"/>
      <c r="Y993" s="126"/>
      <c r="Z993" s="126"/>
      <c r="AA993" s="126"/>
      <c r="AB993" s="126"/>
    </row>
    <row r="994" spans="1:28" ht="15.75" customHeight="1">
      <c r="A994" s="126"/>
      <c r="B994" s="126"/>
      <c r="C994" s="176"/>
      <c r="D994" s="176"/>
      <c r="E994" s="176"/>
      <c r="F994" s="176"/>
      <c r="G994" s="176"/>
      <c r="H994" s="176"/>
      <c r="I994" s="126"/>
      <c r="J994" s="126"/>
      <c r="K994" s="126"/>
      <c r="L994" s="126"/>
      <c r="M994" s="126"/>
      <c r="N994" s="126"/>
      <c r="O994" s="126"/>
      <c r="P994" s="126"/>
      <c r="Q994" s="126"/>
      <c r="R994" s="126"/>
      <c r="S994" s="126"/>
      <c r="T994" s="126"/>
      <c r="U994" s="126"/>
      <c r="V994" s="126"/>
      <c r="W994" s="126"/>
      <c r="X994" s="126"/>
      <c r="Y994" s="126"/>
      <c r="Z994" s="126"/>
      <c r="AA994" s="126"/>
      <c r="AB994" s="126"/>
    </row>
    <row r="995" spans="1:28" ht="15.75" customHeight="1">
      <c r="A995" s="126"/>
      <c r="B995" s="126"/>
      <c r="C995" s="176"/>
      <c r="D995" s="176"/>
      <c r="E995" s="176"/>
      <c r="F995" s="176"/>
      <c r="G995" s="176"/>
      <c r="H995" s="176"/>
      <c r="I995" s="126"/>
      <c r="J995" s="126"/>
      <c r="K995" s="126"/>
      <c r="L995" s="126"/>
      <c r="M995" s="126"/>
      <c r="N995" s="126"/>
      <c r="O995" s="126"/>
      <c r="P995" s="126"/>
      <c r="Q995" s="126"/>
      <c r="R995" s="126"/>
      <c r="S995" s="126"/>
      <c r="T995" s="126"/>
      <c r="U995" s="126"/>
      <c r="V995" s="126"/>
      <c r="W995" s="126"/>
      <c r="X995" s="126"/>
      <c r="Y995" s="126"/>
      <c r="Z995" s="126"/>
      <c r="AA995" s="126"/>
      <c r="AB995" s="126"/>
    </row>
    <row r="996" spans="1:28" ht="15.75" customHeight="1">
      <c r="A996" s="126"/>
      <c r="B996" s="126"/>
      <c r="C996" s="176"/>
      <c r="D996" s="176"/>
      <c r="E996" s="176"/>
      <c r="F996" s="176"/>
      <c r="G996" s="176"/>
      <c r="H996" s="176"/>
      <c r="I996" s="126"/>
      <c r="J996" s="126"/>
      <c r="K996" s="126"/>
      <c r="L996" s="126"/>
      <c r="M996" s="126"/>
      <c r="N996" s="126"/>
      <c r="O996" s="126"/>
      <c r="P996" s="126"/>
      <c r="Q996" s="126"/>
      <c r="R996" s="126"/>
      <c r="S996" s="126"/>
      <c r="T996" s="126"/>
      <c r="U996" s="126"/>
      <c r="V996" s="126"/>
      <c r="W996" s="126"/>
      <c r="X996" s="126"/>
      <c r="Y996" s="126"/>
      <c r="Z996" s="126"/>
      <c r="AA996" s="126"/>
      <c r="AB996" s="126"/>
    </row>
    <row r="997" spans="1:28" ht="15.75" customHeight="1">
      <c r="A997" s="126"/>
      <c r="B997" s="126"/>
      <c r="C997" s="176"/>
      <c r="D997" s="176"/>
      <c r="E997" s="176"/>
      <c r="F997" s="176"/>
      <c r="G997" s="176"/>
      <c r="H997" s="176"/>
      <c r="I997" s="126"/>
      <c r="J997" s="126"/>
      <c r="K997" s="126"/>
      <c r="L997" s="126"/>
      <c r="M997" s="126"/>
      <c r="N997" s="126"/>
      <c r="O997" s="126"/>
      <c r="P997" s="126"/>
      <c r="Q997" s="126"/>
      <c r="R997" s="126"/>
      <c r="S997" s="126"/>
      <c r="T997" s="126"/>
      <c r="U997" s="126"/>
      <c r="V997" s="126"/>
      <c r="W997" s="126"/>
      <c r="X997" s="126"/>
      <c r="Y997" s="126"/>
      <c r="Z997" s="126"/>
      <c r="AA997" s="126"/>
      <c r="AB997" s="126"/>
    </row>
    <row r="998" spans="1:28" ht="15.75" customHeight="1">
      <c r="A998" s="126"/>
      <c r="B998" s="126"/>
      <c r="C998" s="176"/>
      <c r="D998" s="176"/>
      <c r="E998" s="176"/>
      <c r="F998" s="176"/>
      <c r="G998" s="176"/>
      <c r="H998" s="176"/>
      <c r="I998" s="126"/>
      <c r="J998" s="126"/>
      <c r="K998" s="126"/>
      <c r="L998" s="126"/>
      <c r="M998" s="126"/>
      <c r="N998" s="126"/>
      <c r="O998" s="126"/>
      <c r="P998" s="126"/>
      <c r="Q998" s="126"/>
      <c r="R998" s="126"/>
      <c r="S998" s="126"/>
      <c r="T998" s="126"/>
      <c r="U998" s="126"/>
      <c r="V998" s="126"/>
      <c r="W998" s="126"/>
      <c r="X998" s="126"/>
      <c r="Y998" s="126"/>
      <c r="Z998" s="126"/>
      <c r="AA998" s="126"/>
      <c r="AB998" s="126"/>
    </row>
    <row r="999" spans="1:28" ht="15.75" customHeight="1">
      <c r="A999" s="126"/>
      <c r="B999" s="126"/>
      <c r="C999" s="176"/>
      <c r="D999" s="176"/>
      <c r="E999" s="176"/>
      <c r="F999" s="176"/>
      <c r="G999" s="176"/>
      <c r="H999" s="176"/>
      <c r="I999" s="126"/>
      <c r="J999" s="126"/>
      <c r="K999" s="126"/>
      <c r="L999" s="126"/>
      <c r="M999" s="126"/>
      <c r="N999" s="126"/>
      <c r="O999" s="126"/>
      <c r="P999" s="126"/>
      <c r="Q999" s="126"/>
      <c r="R999" s="126"/>
      <c r="S999" s="126"/>
      <c r="T999" s="126"/>
      <c r="U999" s="126"/>
      <c r="V999" s="126"/>
      <c r="W999" s="126"/>
      <c r="X999" s="126"/>
      <c r="Y999" s="126"/>
      <c r="Z999" s="126"/>
      <c r="AA999" s="126"/>
      <c r="AB999" s="126"/>
    </row>
    <row r="1000" spans="1:28" ht="15.75" customHeight="1">
      <c r="A1000" s="126"/>
      <c r="B1000" s="126"/>
      <c r="C1000" s="176"/>
      <c r="D1000" s="176"/>
      <c r="E1000" s="176"/>
      <c r="F1000" s="176"/>
      <c r="G1000" s="176"/>
      <c r="H1000" s="17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row>
  </sheetData>
  <mergeCells count="13">
    <mergeCell ref="A19:B20"/>
    <mergeCell ref="C19:H19"/>
    <mergeCell ref="B35:B36"/>
    <mergeCell ref="D35:F36"/>
    <mergeCell ref="B37:B38"/>
    <mergeCell ref="D37:F38"/>
    <mergeCell ref="A14:B14"/>
    <mergeCell ref="A1:H1"/>
    <mergeCell ref="A2:H2"/>
    <mergeCell ref="A3:H3"/>
    <mergeCell ref="A4:H4"/>
    <mergeCell ref="A5:B6"/>
    <mergeCell ref="C5:H5"/>
  </mergeCells>
  <printOptions horizontalCentered="1"/>
  <pageMargins left="0.39370078740157483" right="0.39370078740157483" top="0.39370078740157483" bottom="0.19685039370078741" header="0" footer="0"/>
  <pageSetup orientation="landscape"/>
  <headerFooter>
    <oddFooter>&amp;RFlujo Contable de Ingresos y Egresos Página &amp;P de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85546875" customWidth="1"/>
    <col min="2" max="2" width="2.7109375" customWidth="1"/>
    <col min="3" max="3" width="11.42578125" customWidth="1"/>
    <col min="4" max="4" width="64.5703125" customWidth="1"/>
    <col min="5" max="6" width="18" customWidth="1"/>
    <col min="7" max="7" width="0.7109375" customWidth="1"/>
    <col min="8" max="26" width="10.7109375" customWidth="1"/>
  </cols>
  <sheetData>
    <row r="1" spans="1:26" ht="46.5" customHeight="1">
      <c r="A1" s="892" t="str">
        <f>"Nombre del Ente Público: "&amp;Validacion!A2</f>
        <v>Nombre del Ente Público: Guadalajara</v>
      </c>
      <c r="B1" s="746"/>
      <c r="C1" s="746"/>
      <c r="D1" s="746"/>
      <c r="E1" s="746"/>
      <c r="F1" s="747"/>
      <c r="G1" s="131"/>
      <c r="H1" s="131"/>
      <c r="I1" s="131"/>
      <c r="J1" s="131"/>
      <c r="K1" s="131"/>
      <c r="L1" s="131"/>
      <c r="M1" s="131"/>
      <c r="N1" s="131"/>
      <c r="O1" s="131"/>
      <c r="P1" s="131"/>
      <c r="Q1" s="131"/>
      <c r="R1" s="131"/>
      <c r="S1" s="131"/>
      <c r="T1" s="131"/>
      <c r="U1" s="131"/>
      <c r="V1" s="131"/>
      <c r="W1" s="131"/>
      <c r="X1" s="131"/>
      <c r="Y1" s="131"/>
      <c r="Z1" s="131"/>
    </row>
    <row r="2" spans="1:26" ht="21">
      <c r="A2" s="775" t="s">
        <v>7425</v>
      </c>
      <c r="B2" s="749"/>
      <c r="C2" s="749"/>
      <c r="D2" s="749"/>
      <c r="E2" s="749"/>
      <c r="F2" s="750"/>
      <c r="G2" s="131"/>
      <c r="H2" s="131"/>
      <c r="I2" s="131"/>
      <c r="J2" s="131"/>
      <c r="K2" s="131"/>
      <c r="L2" s="131"/>
      <c r="M2" s="131"/>
      <c r="N2" s="131"/>
      <c r="O2" s="131"/>
      <c r="P2" s="131"/>
      <c r="Q2" s="131"/>
      <c r="R2" s="131"/>
      <c r="S2" s="131"/>
      <c r="T2" s="131"/>
      <c r="U2" s="131"/>
      <c r="V2" s="131"/>
      <c r="W2" s="131"/>
      <c r="X2" s="131"/>
      <c r="Y2" s="131"/>
      <c r="Z2" s="131"/>
    </row>
    <row r="3" spans="1:26" ht="18.75">
      <c r="A3" s="751" t="e">
        <f>'F6'!A3</f>
        <v>#REF!</v>
      </c>
      <c r="B3" s="749"/>
      <c r="C3" s="749"/>
      <c r="D3" s="749"/>
      <c r="E3" s="749"/>
      <c r="F3" s="750"/>
      <c r="G3" s="131"/>
      <c r="H3" s="131"/>
      <c r="I3" s="131"/>
      <c r="J3" s="131"/>
      <c r="K3" s="131"/>
      <c r="L3" s="131"/>
      <c r="M3" s="131"/>
      <c r="N3" s="131"/>
      <c r="O3" s="131"/>
      <c r="P3" s="131"/>
      <c r="Q3" s="131"/>
      <c r="R3" s="131"/>
      <c r="S3" s="131"/>
      <c r="T3" s="131"/>
      <c r="U3" s="131"/>
      <c r="V3" s="131"/>
      <c r="W3" s="131"/>
      <c r="X3" s="131"/>
      <c r="Y3" s="131"/>
      <c r="Z3" s="131"/>
    </row>
    <row r="4" spans="1:26" ht="18.75">
      <c r="A4" s="776" t="s">
        <v>7426</v>
      </c>
      <c r="B4" s="753"/>
      <c r="C4" s="753"/>
      <c r="D4" s="889"/>
      <c r="E4" s="672">
        <f t="shared" ref="E4:F4" si="0">E6+E25+E42</f>
        <v>4199472338.9399972</v>
      </c>
      <c r="F4" s="673">
        <f t="shared" si="0"/>
        <v>4199472338.9400001</v>
      </c>
      <c r="G4" s="131"/>
      <c r="H4" s="131"/>
      <c r="I4" s="131"/>
      <c r="J4" s="131"/>
      <c r="K4" s="131"/>
      <c r="L4" s="131"/>
      <c r="M4" s="131"/>
      <c r="N4" s="131"/>
      <c r="O4" s="131"/>
      <c r="P4" s="131"/>
      <c r="Q4" s="131"/>
      <c r="R4" s="131"/>
      <c r="S4" s="131"/>
      <c r="T4" s="131"/>
      <c r="U4" s="131"/>
      <c r="V4" s="131"/>
      <c r="W4" s="131"/>
      <c r="X4" s="131"/>
      <c r="Y4" s="131"/>
      <c r="Z4" s="131"/>
    </row>
    <row r="5" spans="1:26" ht="15.75">
      <c r="A5" s="921" t="s">
        <v>4379</v>
      </c>
      <c r="B5" s="756"/>
      <c r="C5" s="756"/>
      <c r="D5" s="733"/>
      <c r="E5" s="674" t="s">
        <v>4381</v>
      </c>
      <c r="F5" s="674" t="s">
        <v>4388</v>
      </c>
      <c r="G5" s="131"/>
      <c r="H5" s="197"/>
      <c r="I5" s="197"/>
      <c r="J5" s="197"/>
      <c r="K5" s="197"/>
      <c r="L5" s="197"/>
      <c r="M5" s="197"/>
      <c r="N5" s="197"/>
      <c r="O5" s="197"/>
      <c r="P5" s="197"/>
      <c r="Q5" s="197"/>
      <c r="R5" s="197"/>
      <c r="S5" s="197"/>
      <c r="T5" s="197"/>
      <c r="U5" s="197"/>
      <c r="V5" s="197"/>
      <c r="W5" s="197"/>
      <c r="X5" s="197"/>
      <c r="Y5" s="197"/>
      <c r="Z5" s="197"/>
    </row>
    <row r="6" spans="1:26" ht="15" customHeight="1">
      <c r="A6" s="943" t="s">
        <v>6399</v>
      </c>
      <c r="B6" s="743"/>
      <c r="C6" s="743"/>
      <c r="D6" s="744"/>
      <c r="E6" s="675">
        <f t="shared" ref="E6:F6" si="1">ROUND(E7+E15,2)</f>
        <v>0</v>
      </c>
      <c r="F6" s="675">
        <f t="shared" si="1"/>
        <v>3409560116.9200001</v>
      </c>
      <c r="G6" s="131"/>
      <c r="H6" s="131"/>
      <c r="I6" s="131"/>
      <c r="J6" s="131"/>
      <c r="K6" s="131"/>
      <c r="L6" s="131"/>
      <c r="M6" s="131"/>
      <c r="N6" s="131"/>
      <c r="O6" s="131"/>
      <c r="P6" s="131"/>
      <c r="Q6" s="131"/>
      <c r="R6" s="131"/>
      <c r="S6" s="131"/>
      <c r="T6" s="131"/>
      <c r="U6" s="131"/>
      <c r="V6" s="131"/>
      <c r="W6" s="131"/>
      <c r="X6" s="131"/>
      <c r="Y6" s="131"/>
      <c r="Z6" s="131"/>
    </row>
    <row r="7" spans="1:26">
      <c r="A7" s="119"/>
      <c r="B7" s="108" t="s">
        <v>6603</v>
      </c>
      <c r="C7" s="676"/>
      <c r="D7" s="677"/>
      <c r="E7" s="678">
        <f t="shared" ref="E7:F7" si="2">SUM(E8:E14)</f>
        <v>0</v>
      </c>
      <c r="F7" s="678">
        <f t="shared" si="2"/>
        <v>2772334269.7800007</v>
      </c>
      <c r="G7" s="131"/>
      <c r="H7" s="131"/>
      <c r="I7" s="131"/>
      <c r="J7" s="131"/>
      <c r="K7" s="131"/>
      <c r="L7" s="131"/>
      <c r="M7" s="131"/>
      <c r="N7" s="131"/>
      <c r="O7" s="131"/>
      <c r="P7" s="131"/>
      <c r="Q7" s="131"/>
      <c r="R7" s="131"/>
      <c r="S7" s="131"/>
      <c r="T7" s="131"/>
      <c r="U7" s="131"/>
      <c r="V7" s="131"/>
      <c r="W7" s="131"/>
      <c r="X7" s="131"/>
      <c r="Y7" s="131"/>
      <c r="Z7" s="131"/>
    </row>
    <row r="8" spans="1:26" ht="14.25" customHeight="1">
      <c r="A8" s="119"/>
      <c r="B8" s="111"/>
      <c r="C8" s="741" t="s">
        <v>7427</v>
      </c>
      <c r="D8" s="737"/>
      <c r="E8" s="121">
        <f>IF('F1'!AG8&gt;'F1'!AF8,'F1'!AG8-'F1'!AF8,0)</f>
        <v>0</v>
      </c>
      <c r="F8" s="121">
        <f>IF('F1'!AF8&gt;'F1'!AG8,'F1'!AF8-'F1'!AG8,0)</f>
        <v>2680374008.3700004</v>
      </c>
      <c r="G8" s="131"/>
      <c r="H8" s="131"/>
      <c r="I8" s="131"/>
      <c r="J8" s="131"/>
      <c r="K8" s="131"/>
      <c r="L8" s="131"/>
      <c r="M8" s="131"/>
      <c r="N8" s="131"/>
      <c r="O8" s="131"/>
      <c r="P8" s="131"/>
      <c r="Q8" s="131"/>
      <c r="R8" s="131"/>
      <c r="S8" s="131"/>
      <c r="T8" s="131"/>
      <c r="U8" s="131"/>
      <c r="V8" s="131"/>
      <c r="W8" s="131"/>
      <c r="X8" s="131"/>
      <c r="Y8" s="131"/>
      <c r="Z8" s="131"/>
    </row>
    <row r="9" spans="1:26" ht="14.25" customHeight="1">
      <c r="A9" s="119"/>
      <c r="B9" s="111"/>
      <c r="C9" s="741" t="s">
        <v>7185</v>
      </c>
      <c r="D9" s="737"/>
      <c r="E9" s="121">
        <f>IF('F1'!AG16&gt;'F1'!AF16,'F1'!AG16-'F1'!AF16,0)</f>
        <v>0</v>
      </c>
      <c r="F9" s="121">
        <f>IF('F1'!AF16&gt;'F1'!AG16,'F1'!AF16-'F1'!AG16,0)</f>
        <v>17556334.88000001</v>
      </c>
      <c r="G9" s="131"/>
      <c r="H9" s="131"/>
      <c r="I9" s="131"/>
      <c r="J9" s="131"/>
      <c r="K9" s="131"/>
      <c r="L9" s="131"/>
      <c r="M9" s="131"/>
      <c r="N9" s="131"/>
      <c r="O9" s="131"/>
      <c r="P9" s="131"/>
      <c r="Q9" s="131"/>
      <c r="R9" s="131"/>
      <c r="S9" s="131"/>
      <c r="T9" s="131"/>
      <c r="U9" s="131"/>
      <c r="V9" s="131"/>
      <c r="W9" s="131"/>
      <c r="X9" s="131"/>
      <c r="Y9" s="131"/>
      <c r="Z9" s="131"/>
    </row>
    <row r="10" spans="1:26" ht="14.25" customHeight="1">
      <c r="A10" s="119"/>
      <c r="B10" s="111"/>
      <c r="C10" s="741" t="s">
        <v>7186</v>
      </c>
      <c r="D10" s="737"/>
      <c r="E10" s="121">
        <f>IF('F1'!AG24&gt;'F1'!AF24,'F1'!AG24-'F1'!AF24,0)</f>
        <v>0</v>
      </c>
      <c r="F10" s="121">
        <f>IF('F1'!AF24&gt;'F1'!AG24,'F1'!AF24-'F1'!AG24,0)</f>
        <v>74403926.530000001</v>
      </c>
      <c r="G10" s="131"/>
      <c r="H10" s="131"/>
      <c r="I10" s="131"/>
      <c r="J10" s="131"/>
      <c r="K10" s="131"/>
      <c r="L10" s="131"/>
      <c r="M10" s="131"/>
      <c r="N10" s="131"/>
      <c r="O10" s="131"/>
      <c r="P10" s="131"/>
      <c r="Q10" s="131"/>
      <c r="R10" s="131"/>
      <c r="S10" s="131"/>
      <c r="T10" s="131"/>
      <c r="U10" s="131"/>
      <c r="V10" s="131"/>
      <c r="W10" s="131"/>
      <c r="X10" s="131"/>
      <c r="Y10" s="131"/>
      <c r="Z10" s="131"/>
    </row>
    <row r="11" spans="1:26">
      <c r="A11" s="119"/>
      <c r="B11" s="111"/>
      <c r="C11" s="741" t="s">
        <v>7428</v>
      </c>
      <c r="D11" s="737"/>
      <c r="E11" s="121">
        <f>IF('F1'!AG30&gt;'F1'!AF30,'F1'!AG30-'F1'!AF30,0)</f>
        <v>0</v>
      </c>
      <c r="F11" s="121">
        <f>IF('F1'!AF30&gt;'F1'!AG30,'F1'!AF30-'F1'!AG30,0)</f>
        <v>0</v>
      </c>
      <c r="G11" s="131"/>
      <c r="H11" s="131"/>
      <c r="I11" s="131"/>
      <c r="J11" s="131"/>
      <c r="K11" s="131"/>
      <c r="L11" s="131"/>
      <c r="M11" s="131"/>
      <c r="N11" s="131"/>
      <c r="O11" s="131"/>
      <c r="P11" s="131"/>
      <c r="Q11" s="131"/>
      <c r="R11" s="131"/>
      <c r="S11" s="131"/>
      <c r="T11" s="131"/>
      <c r="U11" s="131"/>
      <c r="V11" s="131"/>
      <c r="W11" s="131"/>
      <c r="X11" s="131"/>
      <c r="Y11" s="131"/>
      <c r="Z11" s="131"/>
    </row>
    <row r="12" spans="1:26">
      <c r="A12" s="119"/>
      <c r="B12" s="111"/>
      <c r="C12" s="741" t="s">
        <v>7188</v>
      </c>
      <c r="D12" s="737"/>
      <c r="E12" s="121">
        <f>IF('F1'!AG36&gt;'F1'!AF36,'F1'!AG36-'F1'!AF36,0)</f>
        <v>0</v>
      </c>
      <c r="F12" s="121">
        <f>IF('F1'!AF36&gt;'F1'!AG36,'F1'!AF36-'F1'!AG36,0)</f>
        <v>0</v>
      </c>
      <c r="G12" s="131"/>
      <c r="H12" s="131"/>
      <c r="I12" s="131"/>
      <c r="J12" s="131"/>
      <c r="K12" s="131"/>
      <c r="L12" s="131"/>
      <c r="M12" s="131"/>
      <c r="N12" s="131"/>
      <c r="O12" s="131"/>
      <c r="P12" s="131"/>
      <c r="Q12" s="131"/>
      <c r="R12" s="131"/>
      <c r="S12" s="131"/>
      <c r="T12" s="131"/>
      <c r="U12" s="131"/>
      <c r="V12" s="131"/>
      <c r="W12" s="131"/>
      <c r="X12" s="131"/>
      <c r="Y12" s="131"/>
      <c r="Z12" s="131"/>
    </row>
    <row r="13" spans="1:26" ht="14.25" customHeight="1">
      <c r="A13" s="119"/>
      <c r="B13" s="111"/>
      <c r="C13" s="741" t="s">
        <v>7189</v>
      </c>
      <c r="D13" s="737"/>
      <c r="E13" s="121">
        <f>IF('F1'!AG38&gt;'F1'!AF38,'F1'!AG38-'F1'!AF38,0)</f>
        <v>0</v>
      </c>
      <c r="F13" s="121">
        <f>IF('F1'!AF38&gt;'F1'!AG38,'F1'!AF38-'F1'!AG38,0)</f>
        <v>0</v>
      </c>
      <c r="G13" s="131"/>
      <c r="H13" s="131"/>
      <c r="I13" s="131"/>
      <c r="J13" s="131"/>
      <c r="K13" s="131"/>
      <c r="L13" s="131"/>
      <c r="M13" s="131"/>
      <c r="N13" s="131"/>
      <c r="O13" s="131"/>
      <c r="P13" s="131"/>
      <c r="Q13" s="131"/>
      <c r="R13" s="131"/>
      <c r="S13" s="131"/>
      <c r="T13" s="131"/>
      <c r="U13" s="131"/>
      <c r="V13" s="131"/>
      <c r="W13" s="131"/>
      <c r="X13" s="131"/>
      <c r="Y13" s="131"/>
      <c r="Z13" s="131"/>
    </row>
    <row r="14" spans="1:26" ht="14.25" customHeight="1">
      <c r="A14" s="119"/>
      <c r="B14" s="111"/>
      <c r="C14" s="741" t="s">
        <v>7190</v>
      </c>
      <c r="D14" s="737"/>
      <c r="E14" s="121">
        <f>IF('F1'!AG41&gt;'F1'!AF41,'F1'!AG41-'F1'!AF41,0)</f>
        <v>0</v>
      </c>
      <c r="F14" s="121">
        <f>IF('F1'!AF41&gt;'F1'!AG41,'F1'!AF41-'F1'!AG41,0)</f>
        <v>0</v>
      </c>
      <c r="G14" s="131"/>
      <c r="H14" s="131"/>
      <c r="I14" s="131"/>
      <c r="J14" s="131"/>
      <c r="K14" s="131"/>
      <c r="L14" s="131"/>
      <c r="M14" s="131"/>
      <c r="N14" s="131"/>
      <c r="O14" s="131"/>
      <c r="P14" s="131"/>
      <c r="Q14" s="131"/>
      <c r="R14" s="131"/>
      <c r="S14" s="131"/>
      <c r="T14" s="131"/>
      <c r="U14" s="131"/>
      <c r="V14" s="131"/>
      <c r="W14" s="131"/>
      <c r="X14" s="131"/>
      <c r="Y14" s="131"/>
      <c r="Z14" s="131"/>
    </row>
    <row r="15" spans="1:26">
      <c r="A15" s="119"/>
      <c r="B15" s="108" t="s">
        <v>7191</v>
      </c>
      <c r="C15" s="676"/>
      <c r="D15" s="677"/>
      <c r="E15" s="678">
        <f t="shared" ref="E15:F15" si="3">SUM(E16:E24)</f>
        <v>0</v>
      </c>
      <c r="F15" s="678">
        <f t="shared" si="3"/>
        <v>637225847.1400001</v>
      </c>
      <c r="G15" s="131"/>
      <c r="H15" s="131"/>
      <c r="I15" s="131"/>
      <c r="J15" s="131"/>
      <c r="K15" s="131"/>
      <c r="L15" s="131"/>
      <c r="M15" s="131"/>
      <c r="N15" s="131"/>
      <c r="O15" s="131"/>
      <c r="P15" s="131"/>
      <c r="Q15" s="131"/>
      <c r="R15" s="131"/>
      <c r="S15" s="131"/>
      <c r="T15" s="131"/>
      <c r="U15" s="131"/>
      <c r="V15" s="131"/>
      <c r="W15" s="131"/>
      <c r="X15" s="131"/>
      <c r="Y15" s="131"/>
      <c r="Z15" s="131"/>
    </row>
    <row r="16" spans="1:26" ht="14.25" customHeight="1">
      <c r="A16" s="119"/>
      <c r="B16" s="111"/>
      <c r="C16" s="741" t="s">
        <v>7192</v>
      </c>
      <c r="D16" s="737"/>
      <c r="E16" s="121">
        <f>IF('F1'!AG48&gt;'F1'!AF48,'F1'!AG48-'F1'!AF48,0)</f>
        <v>0</v>
      </c>
      <c r="F16" s="121">
        <f>IF('F1'!AF48&gt;'F1'!AG48,'F1'!AF48-'F1'!AG48,0)</f>
        <v>49966110.229999959</v>
      </c>
      <c r="G16" s="131"/>
      <c r="H16" s="131"/>
      <c r="I16" s="131"/>
      <c r="J16" s="131"/>
      <c r="K16" s="131"/>
      <c r="L16" s="131"/>
      <c r="M16" s="131"/>
      <c r="N16" s="131"/>
      <c r="O16" s="131"/>
      <c r="P16" s="131"/>
      <c r="Q16" s="131"/>
      <c r="R16" s="131"/>
      <c r="S16" s="131"/>
      <c r="T16" s="131"/>
      <c r="U16" s="131"/>
      <c r="V16" s="131"/>
      <c r="W16" s="131"/>
      <c r="X16" s="131"/>
      <c r="Y16" s="131"/>
      <c r="Z16" s="131"/>
    </row>
    <row r="17" spans="1:26" ht="14.25" customHeight="1">
      <c r="A17" s="119"/>
      <c r="B17" s="111"/>
      <c r="C17" s="741" t="s">
        <v>7193</v>
      </c>
      <c r="D17" s="737"/>
      <c r="E17" s="121">
        <f>IF('F1'!AG53&gt;'F1'!AF53,'F1'!AG53-'F1'!AF53,0)</f>
        <v>0</v>
      </c>
      <c r="F17" s="121">
        <f>IF('F1'!AF53&gt;'F1'!AG53,'F1'!AF53-'F1'!AG53,0)</f>
        <v>0</v>
      </c>
      <c r="G17" s="131"/>
      <c r="H17" s="131"/>
      <c r="I17" s="131"/>
      <c r="J17" s="131"/>
      <c r="K17" s="131"/>
      <c r="L17" s="131"/>
      <c r="M17" s="131"/>
      <c r="N17" s="131"/>
      <c r="O17" s="131"/>
      <c r="P17" s="131"/>
      <c r="Q17" s="131"/>
      <c r="R17" s="131"/>
      <c r="S17" s="131"/>
      <c r="T17" s="131"/>
      <c r="U17" s="131"/>
      <c r="V17" s="131"/>
      <c r="W17" s="131"/>
      <c r="X17" s="131"/>
      <c r="Y17" s="131"/>
      <c r="Z17" s="131"/>
    </row>
    <row r="18" spans="1:26" ht="14.25" customHeight="1">
      <c r="A18" s="119"/>
      <c r="B18" s="111"/>
      <c r="C18" s="741" t="s">
        <v>4406</v>
      </c>
      <c r="D18" s="737"/>
      <c r="E18" s="121">
        <f>IF('F1'!AG59&gt;'F1'!AF59,'F1'!AG59-'F1'!AF59,0)</f>
        <v>0</v>
      </c>
      <c r="F18" s="121">
        <f>IF('F1'!AF59&gt;'F1'!AG59,'F1'!AF59-'F1'!AG59,0)</f>
        <v>338209649.38999939</v>
      </c>
      <c r="G18" s="131"/>
      <c r="H18" s="131"/>
      <c r="I18" s="131"/>
      <c r="J18" s="131"/>
      <c r="K18" s="131"/>
      <c r="L18" s="131"/>
      <c r="M18" s="131"/>
      <c r="N18" s="131"/>
      <c r="O18" s="131"/>
      <c r="P18" s="131"/>
      <c r="Q18" s="131"/>
      <c r="R18" s="131"/>
      <c r="S18" s="131"/>
      <c r="T18" s="131"/>
      <c r="U18" s="131"/>
      <c r="V18" s="131"/>
      <c r="W18" s="131"/>
      <c r="X18" s="131"/>
      <c r="Y18" s="131"/>
      <c r="Z18" s="131"/>
    </row>
    <row r="19" spans="1:26" ht="14.25" customHeight="1">
      <c r="A19" s="119"/>
      <c r="B19" s="111"/>
      <c r="C19" s="741" t="s">
        <v>4407</v>
      </c>
      <c r="D19" s="737"/>
      <c r="E19" s="121">
        <f>IF('F1'!AG67&gt;'F1'!AF67,'F1'!AG67-'F1'!AF67,0)</f>
        <v>0</v>
      </c>
      <c r="F19" s="121">
        <f>IF('F1'!AF67&gt;'F1'!AG67,'F1'!AF67-'F1'!AG67,0)</f>
        <v>233774735.36000061</v>
      </c>
      <c r="G19" s="131"/>
      <c r="H19" s="131"/>
      <c r="I19" s="131"/>
      <c r="J19" s="131"/>
      <c r="K19" s="131"/>
      <c r="L19" s="131"/>
      <c r="M19" s="131"/>
      <c r="N19" s="131"/>
      <c r="O19" s="131"/>
      <c r="P19" s="131"/>
      <c r="Q19" s="131"/>
      <c r="R19" s="131"/>
      <c r="S19" s="131"/>
      <c r="T19" s="131"/>
      <c r="U19" s="131"/>
      <c r="V19" s="131"/>
      <c r="W19" s="131"/>
      <c r="X19" s="131"/>
      <c r="Y19" s="131"/>
      <c r="Z19" s="131"/>
    </row>
    <row r="20" spans="1:26" ht="14.25" customHeight="1">
      <c r="A20" s="119"/>
      <c r="B20" s="111"/>
      <c r="C20" s="741" t="s">
        <v>7194</v>
      </c>
      <c r="D20" s="737"/>
      <c r="E20" s="121">
        <f>IF('F1'!AG76&gt;'F1'!AF76,'F1'!AG76-'F1'!AF76,0)</f>
        <v>0</v>
      </c>
      <c r="F20" s="121">
        <f>IF('F1'!AF76&gt;'F1'!AG76,'F1'!AF76-'F1'!AG76,0)</f>
        <v>15275352.160000026</v>
      </c>
      <c r="G20" s="131"/>
      <c r="H20" s="131"/>
      <c r="I20" s="131"/>
      <c r="J20" s="131"/>
      <c r="K20" s="131"/>
      <c r="L20" s="131"/>
      <c r="M20" s="131"/>
      <c r="N20" s="131"/>
      <c r="O20" s="131"/>
      <c r="P20" s="131"/>
      <c r="Q20" s="131"/>
      <c r="R20" s="131"/>
      <c r="S20" s="131"/>
      <c r="T20" s="131"/>
      <c r="U20" s="131"/>
      <c r="V20" s="131"/>
      <c r="W20" s="131"/>
      <c r="X20" s="131"/>
      <c r="Y20" s="131"/>
      <c r="Z20" s="131"/>
    </row>
    <row r="21" spans="1:26" ht="14.25" customHeight="1">
      <c r="A21" s="119"/>
      <c r="B21" s="111"/>
      <c r="C21" s="741" t="s">
        <v>7195</v>
      </c>
      <c r="D21" s="737"/>
      <c r="E21" s="121">
        <f>IF('F1'!AG82&gt;'F1'!AF82,'F1'!AG82-'F1'!AF82,0)</f>
        <v>0</v>
      </c>
      <c r="F21" s="121">
        <f>IF('F1'!AF82&gt;'F1'!AG82,'F1'!AF82-'F1'!AG82,0)</f>
        <v>0</v>
      </c>
      <c r="G21" s="131"/>
      <c r="H21" s="131"/>
      <c r="I21" s="131"/>
      <c r="J21" s="131"/>
      <c r="K21" s="131"/>
      <c r="L21" s="131"/>
      <c r="M21" s="131"/>
      <c r="N21" s="131"/>
      <c r="O21" s="131"/>
      <c r="P21" s="131"/>
      <c r="Q21" s="131"/>
      <c r="R21" s="131"/>
      <c r="S21" s="131"/>
      <c r="T21" s="131"/>
      <c r="U21" s="131"/>
      <c r="V21" s="131"/>
      <c r="W21" s="131"/>
      <c r="X21" s="131"/>
      <c r="Y21" s="131"/>
      <c r="Z21" s="131"/>
    </row>
    <row r="22" spans="1:26" ht="14.25" customHeight="1">
      <c r="A22" s="119"/>
      <c r="B22" s="111"/>
      <c r="C22" s="741" t="s">
        <v>7196</v>
      </c>
      <c r="D22" s="737"/>
      <c r="E22" s="121">
        <f>IF('F1'!AG88&gt;'F1'!AF88,'F1'!AG88-'F1'!AF88,0)</f>
        <v>0</v>
      </c>
      <c r="F22" s="121">
        <f>IF('F1'!AF88&gt;'F1'!AG88,'F1'!AF88-'F1'!AG88,0)</f>
        <v>0</v>
      </c>
      <c r="G22" s="131"/>
      <c r="H22" s="131"/>
      <c r="I22" s="131"/>
      <c r="J22" s="131"/>
      <c r="K22" s="131"/>
      <c r="L22" s="131"/>
      <c r="M22" s="131"/>
      <c r="N22" s="131"/>
      <c r="O22" s="131"/>
      <c r="P22" s="131"/>
      <c r="Q22" s="131"/>
      <c r="R22" s="131"/>
      <c r="S22" s="131"/>
      <c r="T22" s="131"/>
      <c r="U22" s="131"/>
      <c r="V22" s="131"/>
      <c r="W22" s="131"/>
      <c r="X22" s="131"/>
      <c r="Y22" s="131"/>
      <c r="Z22" s="131"/>
    </row>
    <row r="23" spans="1:26" ht="14.25" customHeight="1">
      <c r="A23" s="119"/>
      <c r="B23" s="111"/>
      <c r="C23" s="741" t="s">
        <v>7197</v>
      </c>
      <c r="D23" s="737"/>
      <c r="E23" s="121">
        <f>IF('F1'!AG95&gt;'F1'!AF95,'F1'!AG95-'F1'!AF95,0)</f>
        <v>0</v>
      </c>
      <c r="F23" s="121">
        <f>IF('F1'!AF95&gt;'F1'!AG95,'F1'!AF95-'F1'!AG95,0)</f>
        <v>0</v>
      </c>
      <c r="G23" s="131"/>
      <c r="H23" s="131"/>
      <c r="I23" s="131"/>
      <c r="J23" s="131"/>
      <c r="K23" s="131"/>
      <c r="L23" s="131"/>
      <c r="M23" s="131"/>
      <c r="N23" s="131"/>
      <c r="O23" s="131"/>
      <c r="P23" s="131"/>
      <c r="Q23" s="131"/>
      <c r="R23" s="131"/>
      <c r="S23" s="131"/>
      <c r="T23" s="131"/>
      <c r="U23" s="131"/>
      <c r="V23" s="131"/>
      <c r="W23" s="131"/>
      <c r="X23" s="131"/>
      <c r="Y23" s="131"/>
      <c r="Z23" s="131"/>
    </row>
    <row r="24" spans="1:26" ht="14.25" customHeight="1">
      <c r="A24" s="119"/>
      <c r="B24" s="111"/>
      <c r="C24" s="741" t="s">
        <v>7198</v>
      </c>
      <c r="D24" s="737"/>
      <c r="E24" s="121">
        <f>IF('F1'!AG101&gt;'F1'!AF101,'F1'!AG101-'F1'!AF101,0)</f>
        <v>0</v>
      </c>
      <c r="F24" s="121">
        <f>IF('F1'!AF101&gt;'F1'!AG101,'F1'!AF101-'F1'!AG101,0)</f>
        <v>0</v>
      </c>
      <c r="G24" s="131"/>
      <c r="H24" s="131"/>
      <c r="I24" s="131"/>
      <c r="J24" s="131"/>
      <c r="K24" s="131"/>
      <c r="L24" s="131"/>
      <c r="M24" s="131"/>
      <c r="N24" s="131"/>
      <c r="O24" s="131"/>
      <c r="P24" s="131"/>
      <c r="Q24" s="131"/>
      <c r="R24" s="131"/>
      <c r="S24" s="131"/>
      <c r="T24" s="131"/>
      <c r="U24" s="131"/>
      <c r="V24" s="131"/>
      <c r="W24" s="131"/>
      <c r="X24" s="131"/>
      <c r="Y24" s="131"/>
      <c r="Z24" s="131"/>
    </row>
    <row r="25" spans="1:26" ht="15" customHeight="1">
      <c r="A25" s="762" t="s">
        <v>703</v>
      </c>
      <c r="B25" s="736"/>
      <c r="C25" s="736"/>
      <c r="D25" s="737"/>
      <c r="E25" s="678">
        <f t="shared" ref="E25:F25" si="4">E26+E35</f>
        <v>44418252.740000002</v>
      </c>
      <c r="F25" s="678">
        <f t="shared" si="4"/>
        <v>789893145.01999998</v>
      </c>
      <c r="G25" s="131"/>
      <c r="H25" s="131"/>
      <c r="I25" s="131"/>
      <c r="J25" s="131"/>
      <c r="K25" s="131"/>
      <c r="L25" s="131"/>
      <c r="M25" s="131"/>
      <c r="N25" s="131"/>
      <c r="O25" s="131"/>
      <c r="P25" s="131"/>
      <c r="Q25" s="131"/>
      <c r="R25" s="131"/>
      <c r="S25" s="131"/>
      <c r="T25" s="131"/>
      <c r="U25" s="131"/>
      <c r="V25" s="131"/>
      <c r="W25" s="131"/>
      <c r="X25" s="131"/>
      <c r="Y25" s="131"/>
      <c r="Z25" s="131"/>
    </row>
    <row r="26" spans="1:26" ht="15.75" customHeight="1">
      <c r="A26" s="119"/>
      <c r="B26" s="108" t="s">
        <v>6604</v>
      </c>
      <c r="C26" s="676"/>
      <c r="D26" s="677"/>
      <c r="E26" s="678">
        <f t="shared" ref="E26:F26" si="5">SUM(E27:E34)</f>
        <v>44418252.740000002</v>
      </c>
      <c r="F26" s="678">
        <f t="shared" si="5"/>
        <v>675833576.98000002</v>
      </c>
      <c r="G26" s="131"/>
      <c r="H26" s="131"/>
      <c r="I26" s="131"/>
      <c r="J26" s="131"/>
      <c r="K26" s="131"/>
      <c r="L26" s="131"/>
      <c r="M26" s="131"/>
      <c r="N26" s="131"/>
      <c r="O26" s="131"/>
      <c r="P26" s="131"/>
      <c r="Q26" s="131"/>
      <c r="R26" s="131"/>
      <c r="S26" s="131"/>
      <c r="T26" s="131"/>
      <c r="U26" s="131"/>
      <c r="V26" s="131"/>
      <c r="W26" s="131"/>
      <c r="X26" s="131"/>
      <c r="Y26" s="131"/>
      <c r="Z26" s="131"/>
    </row>
    <row r="27" spans="1:26" ht="14.25" customHeight="1">
      <c r="A27" s="119"/>
      <c r="B27" s="111"/>
      <c r="C27" s="741" t="s">
        <v>7429</v>
      </c>
      <c r="D27" s="737"/>
      <c r="E27" s="121">
        <f>IF('F1'!BM8&gt;'F1'!BN8,'F1'!BM8-'F1'!BN8,0)</f>
        <v>0</v>
      </c>
      <c r="F27" s="121">
        <f>IF('F1'!BN8&gt;'F1'!BM8,'F1'!BN8-'F1'!BM8,0)</f>
        <v>475744628.49000001</v>
      </c>
      <c r="G27" s="131"/>
      <c r="H27" s="131"/>
      <c r="I27" s="131"/>
      <c r="J27" s="131"/>
      <c r="K27" s="131"/>
      <c r="L27" s="131"/>
      <c r="M27" s="131"/>
      <c r="N27" s="131"/>
      <c r="O27" s="131"/>
      <c r="P27" s="131"/>
      <c r="Q27" s="131"/>
      <c r="R27" s="131"/>
      <c r="S27" s="131"/>
      <c r="T27" s="131"/>
      <c r="U27" s="131"/>
      <c r="V27" s="131"/>
      <c r="W27" s="131"/>
      <c r="X27" s="131"/>
      <c r="Y27" s="131"/>
      <c r="Z27" s="131"/>
    </row>
    <row r="28" spans="1:26" ht="14.25" customHeight="1">
      <c r="A28" s="119"/>
      <c r="B28" s="111"/>
      <c r="C28" s="741" t="s">
        <v>7430</v>
      </c>
      <c r="D28" s="737"/>
      <c r="E28" s="121">
        <f>IF('F1'!BM18&gt;'F1'!BN18,'F1'!BM18-'F1'!BN18,0)</f>
        <v>0</v>
      </c>
      <c r="F28" s="121">
        <f>IF('F1'!BN18&gt;'F1'!BM18,'F1'!BN18-'F1'!BM18,0)</f>
        <v>0</v>
      </c>
      <c r="G28" s="131"/>
      <c r="H28" s="131"/>
      <c r="I28" s="131"/>
      <c r="J28" s="131"/>
      <c r="K28" s="131"/>
      <c r="L28" s="131"/>
      <c r="M28" s="131"/>
      <c r="N28" s="131"/>
      <c r="O28" s="131"/>
      <c r="P28" s="131"/>
      <c r="Q28" s="131"/>
      <c r="R28" s="131"/>
      <c r="S28" s="131"/>
      <c r="T28" s="131"/>
      <c r="U28" s="131"/>
      <c r="V28" s="131"/>
      <c r="W28" s="131"/>
      <c r="X28" s="131"/>
      <c r="Y28" s="131"/>
      <c r="Z28" s="131"/>
    </row>
    <row r="29" spans="1:26" ht="14.25" customHeight="1">
      <c r="A29" s="119"/>
      <c r="B29" s="111"/>
      <c r="C29" s="741" t="s">
        <v>7431</v>
      </c>
      <c r="D29" s="737"/>
      <c r="E29" s="121">
        <f>IF('F1'!BM22&gt;'F1'!BN22,'F1'!BM22-'F1'!BN22,0)</f>
        <v>43903019.170000002</v>
      </c>
      <c r="F29" s="121">
        <f>IF('F1'!BN22&gt;'F1'!BM22,'F1'!BN22-'F1'!BM22,0)</f>
        <v>0</v>
      </c>
      <c r="G29" s="131"/>
      <c r="H29" s="131"/>
      <c r="I29" s="131"/>
      <c r="J29" s="131"/>
      <c r="K29" s="131"/>
      <c r="L29" s="131"/>
      <c r="M29" s="131"/>
      <c r="N29" s="131"/>
      <c r="O29" s="131"/>
      <c r="P29" s="131"/>
      <c r="Q29" s="131"/>
      <c r="R29" s="131"/>
      <c r="S29" s="131"/>
      <c r="T29" s="131"/>
      <c r="U29" s="131"/>
      <c r="V29" s="131"/>
      <c r="W29" s="131"/>
      <c r="X29" s="131"/>
      <c r="Y29" s="131"/>
      <c r="Z29" s="131"/>
    </row>
    <row r="30" spans="1:26" ht="14.25" customHeight="1">
      <c r="A30" s="119"/>
      <c r="B30" s="111"/>
      <c r="C30" s="741" t="s">
        <v>7432</v>
      </c>
      <c r="D30" s="737"/>
      <c r="E30" s="121">
        <f>IF('F1'!BM26&gt;'F1'!BN26,'F1'!BM26-'F1'!BN26,0)</f>
        <v>0</v>
      </c>
      <c r="F30" s="121">
        <f>IF('F1'!BN26&gt;'F1'!BM26,'F1'!BN26-'F1'!BM26,0)</f>
        <v>200000000</v>
      </c>
      <c r="G30" s="131"/>
      <c r="H30" s="131"/>
      <c r="I30" s="131"/>
      <c r="J30" s="131"/>
      <c r="K30" s="131"/>
      <c r="L30" s="131"/>
      <c r="M30" s="131"/>
      <c r="N30" s="131"/>
      <c r="O30" s="131"/>
      <c r="P30" s="131"/>
      <c r="Q30" s="131"/>
      <c r="R30" s="131"/>
      <c r="S30" s="131"/>
      <c r="T30" s="131"/>
      <c r="U30" s="131"/>
      <c r="V30" s="131"/>
      <c r="W30" s="131"/>
      <c r="X30" s="131"/>
      <c r="Y30" s="131"/>
      <c r="Z30" s="131"/>
    </row>
    <row r="31" spans="1:26" ht="14.25" customHeight="1">
      <c r="A31" s="119"/>
      <c r="B31" s="111"/>
      <c r="C31" s="741" t="s">
        <v>7433</v>
      </c>
      <c r="D31" s="737"/>
      <c r="E31" s="121">
        <f>IF('F1'!BM29&gt;'F1'!BN29,'F1'!BM29-'F1'!BN29,0)</f>
        <v>0</v>
      </c>
      <c r="F31" s="121">
        <f>IF('F1'!BN29&gt;'F1'!BM29,'F1'!BN29-'F1'!BM29,0)</f>
        <v>0</v>
      </c>
      <c r="G31" s="131"/>
      <c r="H31" s="131"/>
      <c r="I31" s="131"/>
      <c r="J31" s="131"/>
      <c r="K31" s="131"/>
      <c r="L31" s="131"/>
      <c r="M31" s="131"/>
      <c r="N31" s="131"/>
      <c r="O31" s="131"/>
      <c r="P31" s="131"/>
      <c r="Q31" s="131"/>
      <c r="R31" s="131"/>
      <c r="S31" s="131"/>
      <c r="T31" s="131"/>
      <c r="U31" s="131"/>
      <c r="V31" s="131"/>
      <c r="W31" s="131"/>
      <c r="X31" s="131"/>
      <c r="Y31" s="131"/>
      <c r="Z31" s="131"/>
    </row>
    <row r="32" spans="1:26" ht="14.25" customHeight="1">
      <c r="A32" s="119"/>
      <c r="B32" s="111"/>
      <c r="C32" s="741" t="s">
        <v>7434</v>
      </c>
      <c r="D32" s="737"/>
      <c r="E32" s="121">
        <f>IF('F1'!BM33&gt;'F1'!BN33,'F1'!BM33-'F1'!BN33,0)</f>
        <v>0</v>
      </c>
      <c r="F32" s="121">
        <f>IF('F1'!BN33&gt;'F1'!BM33,'F1'!BN33-'F1'!BM33,0)</f>
        <v>88948.489999999991</v>
      </c>
      <c r="G32" s="131"/>
      <c r="H32" s="131"/>
      <c r="I32" s="131"/>
      <c r="J32" s="131"/>
      <c r="K32" s="131"/>
      <c r="L32" s="131"/>
      <c r="M32" s="131"/>
      <c r="N32" s="131"/>
      <c r="O32" s="131"/>
      <c r="P32" s="131"/>
      <c r="Q32" s="131"/>
      <c r="R32" s="131"/>
      <c r="S32" s="131"/>
      <c r="T32" s="131"/>
      <c r="U32" s="131"/>
      <c r="V32" s="131"/>
      <c r="W32" s="131"/>
      <c r="X32" s="131"/>
      <c r="Y32" s="131"/>
      <c r="Z32" s="131"/>
    </row>
    <row r="33" spans="1:26" ht="14.25" customHeight="1">
      <c r="A33" s="119"/>
      <c r="B33" s="111"/>
      <c r="C33" s="741" t="s">
        <v>7435</v>
      </c>
      <c r="D33" s="737"/>
      <c r="E33" s="121">
        <f>IF('F1'!BM40&gt;'F1'!BN40,'F1'!BM40-'F1'!BN40,0)</f>
        <v>0</v>
      </c>
      <c r="F33" s="121">
        <f>IF('F1'!BN40&gt;'F1'!BM40,'F1'!BN40-'F1'!BM40,0)</f>
        <v>0</v>
      </c>
      <c r="G33" s="131"/>
      <c r="H33" s="131"/>
      <c r="I33" s="131"/>
      <c r="J33" s="131"/>
      <c r="K33" s="131"/>
      <c r="L33" s="131"/>
      <c r="M33" s="131"/>
      <c r="N33" s="131"/>
      <c r="O33" s="131"/>
      <c r="P33" s="131"/>
      <c r="Q33" s="131"/>
      <c r="R33" s="131"/>
      <c r="S33" s="131"/>
      <c r="T33" s="131"/>
      <c r="U33" s="131"/>
      <c r="V33" s="131"/>
      <c r="W33" s="131"/>
      <c r="X33" s="131"/>
      <c r="Y33" s="131"/>
      <c r="Z33" s="131"/>
    </row>
    <row r="34" spans="1:26" ht="14.25" customHeight="1">
      <c r="A34" s="119"/>
      <c r="B34" s="111"/>
      <c r="C34" s="741" t="s">
        <v>7436</v>
      </c>
      <c r="D34" s="737"/>
      <c r="E34" s="121">
        <f>IF('F1'!BM44&gt;'F1'!BN44,'F1'!BM44-'F1'!BN44,0)</f>
        <v>515233.57</v>
      </c>
      <c r="F34" s="121">
        <f>IF('F1'!BN44&gt;'F1'!BM44,'F1'!BN44-'F1'!BM44,0)</f>
        <v>0</v>
      </c>
      <c r="G34" s="131"/>
      <c r="H34" s="131"/>
      <c r="I34" s="131"/>
      <c r="J34" s="131"/>
      <c r="K34" s="131"/>
      <c r="L34" s="131"/>
      <c r="M34" s="131"/>
      <c r="N34" s="131"/>
      <c r="O34" s="131"/>
      <c r="P34" s="131"/>
      <c r="Q34" s="131"/>
      <c r="R34" s="131"/>
      <c r="S34" s="131"/>
      <c r="T34" s="131"/>
      <c r="U34" s="131"/>
      <c r="V34" s="131"/>
      <c r="W34" s="131"/>
      <c r="X34" s="131"/>
      <c r="Y34" s="131"/>
      <c r="Z34" s="131"/>
    </row>
    <row r="35" spans="1:26" ht="15.75" customHeight="1">
      <c r="A35" s="119"/>
      <c r="B35" s="108" t="s">
        <v>7437</v>
      </c>
      <c r="C35" s="676"/>
      <c r="D35" s="677"/>
      <c r="E35" s="678">
        <f t="shared" ref="E35:F35" si="6">SUM(E36:E41)</f>
        <v>0</v>
      </c>
      <c r="F35" s="678">
        <f t="shared" si="6"/>
        <v>114059568.03999996</v>
      </c>
      <c r="G35" s="131"/>
      <c r="H35" s="131"/>
      <c r="I35" s="131"/>
      <c r="J35" s="131"/>
      <c r="K35" s="131"/>
      <c r="L35" s="131"/>
      <c r="M35" s="131"/>
      <c r="N35" s="131"/>
      <c r="O35" s="131"/>
      <c r="P35" s="131"/>
      <c r="Q35" s="131"/>
      <c r="R35" s="131"/>
      <c r="S35" s="131"/>
      <c r="T35" s="131"/>
      <c r="U35" s="131"/>
      <c r="V35" s="131"/>
      <c r="W35" s="131"/>
      <c r="X35" s="131"/>
      <c r="Y35" s="131"/>
      <c r="Z35" s="131"/>
    </row>
    <row r="36" spans="1:26" ht="14.25" customHeight="1">
      <c r="A36" s="119"/>
      <c r="B36" s="111"/>
      <c r="C36" s="741" t="s">
        <v>7438</v>
      </c>
      <c r="D36" s="737"/>
      <c r="E36" s="121">
        <f>IF('F1'!BM50&gt;'F1'!BN50,'F1'!BM50-'F1'!BN50,0)</f>
        <v>0</v>
      </c>
      <c r="F36" s="121">
        <f>IF('F1'!BN50&gt;'F1'!BM50,'F1'!BN50-'F1'!BM50,0)</f>
        <v>0</v>
      </c>
      <c r="G36" s="131"/>
      <c r="H36" s="131"/>
      <c r="I36" s="131"/>
      <c r="J36" s="131"/>
      <c r="K36" s="131"/>
      <c r="L36" s="131"/>
      <c r="M36" s="131"/>
      <c r="N36" s="131"/>
      <c r="O36" s="131"/>
      <c r="P36" s="131"/>
      <c r="Q36" s="131"/>
      <c r="R36" s="131"/>
      <c r="S36" s="131"/>
      <c r="T36" s="131"/>
      <c r="U36" s="131"/>
      <c r="V36" s="131"/>
      <c r="W36" s="131"/>
      <c r="X36" s="131"/>
      <c r="Y36" s="131"/>
      <c r="Z36" s="131"/>
    </row>
    <row r="37" spans="1:26" ht="14.25" customHeight="1">
      <c r="A37" s="119"/>
      <c r="B37" s="111"/>
      <c r="C37" s="741" t="s">
        <v>7439</v>
      </c>
      <c r="D37" s="737"/>
      <c r="E37" s="121">
        <f>IF('F1'!BM53&gt;'F1'!BN53,'F1'!BM53-'F1'!BN53,0)</f>
        <v>0</v>
      </c>
      <c r="F37" s="121">
        <f>IF('F1'!BN53&gt;'F1'!BM53,'F1'!BN53-'F1'!BM53,0)</f>
        <v>0</v>
      </c>
      <c r="G37" s="131"/>
      <c r="H37" s="131"/>
      <c r="I37" s="131"/>
      <c r="J37" s="131"/>
      <c r="K37" s="131"/>
      <c r="L37" s="131"/>
      <c r="M37" s="131"/>
      <c r="N37" s="131"/>
      <c r="O37" s="131"/>
      <c r="P37" s="131"/>
      <c r="Q37" s="131"/>
      <c r="R37" s="131"/>
      <c r="S37" s="131"/>
      <c r="T37" s="131"/>
      <c r="U37" s="131"/>
      <c r="V37" s="131"/>
      <c r="W37" s="131"/>
      <c r="X37" s="131"/>
      <c r="Y37" s="131"/>
      <c r="Z37" s="131"/>
    </row>
    <row r="38" spans="1:26" ht="14.25" customHeight="1">
      <c r="A38" s="119"/>
      <c r="B38" s="111"/>
      <c r="C38" s="741" t="s">
        <v>7440</v>
      </c>
      <c r="D38" s="737"/>
      <c r="E38" s="121">
        <f>IF('F1'!BM57&gt;'F1'!BN57,'F1'!BM57-'F1'!BN57,0)</f>
        <v>0</v>
      </c>
      <c r="F38" s="121">
        <f>IF('F1'!BN57&gt;'F1'!BM57,'F1'!BN57-'F1'!BM57,0)</f>
        <v>114059568.03999996</v>
      </c>
      <c r="G38" s="131"/>
      <c r="H38" s="131"/>
      <c r="I38" s="131"/>
      <c r="J38" s="131"/>
      <c r="K38" s="131"/>
      <c r="L38" s="131"/>
      <c r="M38" s="131"/>
      <c r="N38" s="131"/>
      <c r="O38" s="131"/>
      <c r="P38" s="131"/>
      <c r="Q38" s="131"/>
      <c r="R38" s="131"/>
      <c r="S38" s="131"/>
      <c r="T38" s="131"/>
      <c r="U38" s="131"/>
      <c r="V38" s="131"/>
      <c r="W38" s="131"/>
      <c r="X38" s="131"/>
      <c r="Y38" s="131"/>
      <c r="Z38" s="131"/>
    </row>
    <row r="39" spans="1:26" ht="14.25" customHeight="1">
      <c r="A39" s="119"/>
      <c r="B39" s="111"/>
      <c r="C39" s="741" t="s">
        <v>7441</v>
      </c>
      <c r="D39" s="737"/>
      <c r="E39" s="121">
        <f>IF('F1'!BM63&gt;'F1'!BN63,'F1'!BM63-'F1'!BN63,0)</f>
        <v>0</v>
      </c>
      <c r="F39" s="121">
        <f>IF('F1'!BN63&gt;'F1'!BM63,'F1'!BN63-'F1'!BM63,0)</f>
        <v>0</v>
      </c>
      <c r="G39" s="131"/>
      <c r="H39" s="131"/>
      <c r="I39" s="131"/>
      <c r="J39" s="131"/>
      <c r="K39" s="131"/>
      <c r="L39" s="131"/>
      <c r="M39" s="131"/>
      <c r="N39" s="131"/>
      <c r="O39" s="131"/>
      <c r="P39" s="131"/>
      <c r="Q39" s="131"/>
      <c r="R39" s="131"/>
      <c r="S39" s="131"/>
      <c r="T39" s="131"/>
      <c r="U39" s="131"/>
      <c r="V39" s="131"/>
      <c r="W39" s="131"/>
      <c r="X39" s="131"/>
      <c r="Y39" s="131"/>
      <c r="Z39" s="131"/>
    </row>
    <row r="40" spans="1:26" ht="14.25" customHeight="1">
      <c r="A40" s="119"/>
      <c r="B40" s="111"/>
      <c r="C40" s="741" t="s">
        <v>7442</v>
      </c>
      <c r="D40" s="737"/>
      <c r="E40" s="121">
        <f>IF('F1'!BM67&gt;'F1'!BN67,'F1'!BM67-'F1'!BN67,0)</f>
        <v>0</v>
      </c>
      <c r="F40" s="121">
        <f>IF('F1'!BN67&gt;'F1'!BM67,'F1'!BN67-'F1'!BM67,0)</f>
        <v>0</v>
      </c>
      <c r="G40" s="131"/>
      <c r="H40" s="131"/>
      <c r="I40" s="131"/>
      <c r="J40" s="131"/>
      <c r="K40" s="131"/>
      <c r="L40" s="131"/>
      <c r="M40" s="131"/>
      <c r="N40" s="131"/>
      <c r="O40" s="131"/>
      <c r="P40" s="131"/>
      <c r="Q40" s="131"/>
      <c r="R40" s="131"/>
      <c r="S40" s="131"/>
      <c r="T40" s="131"/>
      <c r="U40" s="131"/>
      <c r="V40" s="131"/>
      <c r="W40" s="131"/>
      <c r="X40" s="131"/>
      <c r="Y40" s="131"/>
      <c r="Z40" s="131"/>
    </row>
    <row r="41" spans="1:26" ht="14.25" customHeight="1">
      <c r="A41" s="119"/>
      <c r="B41" s="111"/>
      <c r="C41" s="741" t="s">
        <v>7443</v>
      </c>
      <c r="D41" s="737"/>
      <c r="E41" s="121">
        <f>IF('F1'!BM74&gt;'F1'!BN74,'F1'!BM74-'F1'!BN74,0)</f>
        <v>0</v>
      </c>
      <c r="F41" s="121">
        <f>IF('F1'!BN74&gt;'F1'!BM74,'F1'!BN74-'F1'!BM74,0)</f>
        <v>0</v>
      </c>
      <c r="G41" s="131"/>
      <c r="H41" s="131"/>
      <c r="I41" s="131"/>
      <c r="J41" s="131"/>
      <c r="K41" s="131"/>
      <c r="L41" s="131"/>
      <c r="M41" s="131"/>
      <c r="N41" s="131"/>
      <c r="O41" s="131"/>
      <c r="P41" s="131"/>
      <c r="Q41" s="131"/>
      <c r="R41" s="131"/>
      <c r="S41" s="131"/>
      <c r="T41" s="131"/>
      <c r="U41" s="131"/>
      <c r="V41" s="131"/>
      <c r="W41" s="131"/>
      <c r="X41" s="131"/>
      <c r="Y41" s="131"/>
      <c r="Z41" s="131"/>
    </row>
    <row r="42" spans="1:26" ht="15" customHeight="1">
      <c r="A42" s="762" t="s">
        <v>847</v>
      </c>
      <c r="B42" s="736"/>
      <c r="C42" s="736"/>
      <c r="D42" s="737"/>
      <c r="E42" s="678">
        <f t="shared" ref="E42:F42" si="7">E43+E47+E53</f>
        <v>4155054086.1999974</v>
      </c>
      <c r="F42" s="678">
        <f t="shared" si="7"/>
        <v>19077</v>
      </c>
      <c r="G42" s="131"/>
      <c r="H42" s="131"/>
      <c r="I42" s="131"/>
      <c r="J42" s="131"/>
      <c r="K42" s="131"/>
      <c r="L42" s="131"/>
      <c r="M42" s="131"/>
      <c r="N42" s="131"/>
      <c r="O42" s="131"/>
      <c r="P42" s="131"/>
      <c r="Q42" s="131"/>
      <c r="R42" s="131"/>
      <c r="S42" s="131"/>
      <c r="T42" s="131"/>
      <c r="U42" s="131"/>
      <c r="V42" s="131"/>
      <c r="W42" s="131"/>
      <c r="X42" s="131"/>
      <c r="Y42" s="131"/>
      <c r="Z42" s="131"/>
    </row>
    <row r="43" spans="1:26" ht="15.75" customHeight="1">
      <c r="A43" s="119"/>
      <c r="B43" s="108" t="s">
        <v>6606</v>
      </c>
      <c r="C43" s="676"/>
      <c r="D43" s="677"/>
      <c r="E43" s="678">
        <f t="shared" ref="E43:F43" si="8">SUM(E44:E46)</f>
        <v>0</v>
      </c>
      <c r="F43" s="678">
        <f t="shared" si="8"/>
        <v>0</v>
      </c>
      <c r="G43" s="131"/>
      <c r="H43" s="131"/>
      <c r="I43" s="131"/>
      <c r="J43" s="131"/>
      <c r="K43" s="131"/>
      <c r="L43" s="131"/>
      <c r="M43" s="131"/>
      <c r="N43" s="131"/>
      <c r="O43" s="131"/>
      <c r="P43" s="131"/>
      <c r="Q43" s="131"/>
      <c r="R43" s="131"/>
      <c r="S43" s="131"/>
      <c r="T43" s="131"/>
      <c r="U43" s="131"/>
      <c r="V43" s="131"/>
      <c r="W43" s="131"/>
      <c r="X43" s="131"/>
      <c r="Y43" s="131"/>
      <c r="Z43" s="131"/>
    </row>
    <row r="44" spans="1:26" ht="14.25" customHeight="1">
      <c r="A44" s="119"/>
      <c r="B44" s="111"/>
      <c r="C44" s="741" t="s">
        <v>1119</v>
      </c>
      <c r="D44" s="737"/>
      <c r="E44" s="121">
        <f>IF('F1'!BM83&gt;'F1'!BN83,'F1'!BM83-'F1'!BN83,0)</f>
        <v>0</v>
      </c>
      <c r="F44" s="121">
        <f>IF('F1'!BN83&gt;'F1'!BM83,'F1'!BN83-'F1'!BM83,0)</f>
        <v>0</v>
      </c>
      <c r="G44" s="131"/>
      <c r="H44" s="131"/>
      <c r="I44" s="131"/>
      <c r="J44" s="131"/>
      <c r="K44" s="131"/>
      <c r="L44" s="131"/>
      <c r="M44" s="131"/>
      <c r="N44" s="131"/>
      <c r="O44" s="131"/>
      <c r="P44" s="131"/>
      <c r="Q44" s="131"/>
      <c r="R44" s="131"/>
      <c r="S44" s="131"/>
      <c r="T44" s="131"/>
      <c r="U44" s="131"/>
      <c r="V44" s="131"/>
      <c r="W44" s="131"/>
      <c r="X44" s="131"/>
      <c r="Y44" s="131"/>
      <c r="Z44" s="131"/>
    </row>
    <row r="45" spans="1:26" ht="14.25" customHeight="1">
      <c r="A45" s="119"/>
      <c r="B45" s="111"/>
      <c r="C45" s="741" t="s">
        <v>7119</v>
      </c>
      <c r="D45" s="737"/>
      <c r="E45" s="121">
        <f>IF('F1'!BM84&gt;'F1'!BN84,'F1'!BM84-'F1'!BN84,0)</f>
        <v>0</v>
      </c>
      <c r="F45" s="121">
        <f>IF('F1'!BN84&gt;'F1'!BM84,'F1'!BN84-'F1'!BM84,0)</f>
        <v>0</v>
      </c>
      <c r="G45" s="131"/>
      <c r="H45" s="131"/>
      <c r="I45" s="131"/>
      <c r="J45" s="131"/>
      <c r="K45" s="131"/>
      <c r="L45" s="131"/>
      <c r="M45" s="131"/>
      <c r="N45" s="131"/>
      <c r="O45" s="131"/>
      <c r="P45" s="131"/>
      <c r="Q45" s="131"/>
      <c r="R45" s="131"/>
      <c r="S45" s="131"/>
      <c r="T45" s="131"/>
      <c r="U45" s="131"/>
      <c r="V45" s="131"/>
      <c r="W45" s="131"/>
      <c r="X45" s="131"/>
      <c r="Y45" s="131"/>
      <c r="Z45" s="131"/>
    </row>
    <row r="46" spans="1:26" ht="14.25" customHeight="1">
      <c r="A46" s="119"/>
      <c r="B46" s="111"/>
      <c r="C46" s="741" t="s">
        <v>7120</v>
      </c>
      <c r="D46" s="737"/>
      <c r="E46" s="121">
        <f>IF('F1'!BM85&gt;'F1'!BN85,'F1'!BM85-'F1'!BN85,0)</f>
        <v>0</v>
      </c>
      <c r="F46" s="121">
        <f>IF('F1'!BN85&gt;'F1'!BM85,'F1'!BN85-'F1'!BM85,0)</f>
        <v>0</v>
      </c>
      <c r="G46" s="131"/>
      <c r="H46" s="131"/>
      <c r="I46" s="131"/>
      <c r="J46" s="131"/>
      <c r="K46" s="131"/>
      <c r="L46" s="131"/>
      <c r="M46" s="131"/>
      <c r="N46" s="131"/>
      <c r="O46" s="131"/>
      <c r="P46" s="131"/>
      <c r="Q46" s="131"/>
      <c r="R46" s="131"/>
      <c r="S46" s="131"/>
      <c r="T46" s="131"/>
      <c r="U46" s="131"/>
      <c r="V46" s="131"/>
      <c r="W46" s="131"/>
      <c r="X46" s="131"/>
      <c r="Y46" s="131"/>
      <c r="Z46" s="131"/>
    </row>
    <row r="47" spans="1:26" ht="15.75" customHeight="1">
      <c r="A47" s="119"/>
      <c r="B47" s="108" t="s">
        <v>6607</v>
      </c>
      <c r="C47" s="676"/>
      <c r="D47" s="677"/>
      <c r="E47" s="678">
        <f t="shared" ref="E47:F47" si="9">SUM(E48:E52)</f>
        <v>4155054086.1999974</v>
      </c>
      <c r="F47" s="678">
        <f t="shared" si="9"/>
        <v>19077</v>
      </c>
      <c r="G47" s="131"/>
      <c r="H47" s="131"/>
      <c r="I47" s="131"/>
      <c r="J47" s="131"/>
      <c r="K47" s="131"/>
      <c r="L47" s="131"/>
      <c r="M47" s="131"/>
      <c r="N47" s="131"/>
      <c r="O47" s="131"/>
      <c r="P47" s="131"/>
      <c r="Q47" s="131"/>
      <c r="R47" s="131"/>
      <c r="S47" s="131"/>
      <c r="T47" s="131"/>
      <c r="U47" s="131"/>
      <c r="V47" s="131"/>
      <c r="W47" s="131"/>
      <c r="X47" s="131"/>
      <c r="Y47" s="131"/>
      <c r="Z47" s="131"/>
    </row>
    <row r="48" spans="1:26" ht="14.25" customHeight="1">
      <c r="A48" s="119"/>
      <c r="B48" s="111"/>
      <c r="C48" s="741" t="s">
        <v>7121</v>
      </c>
      <c r="D48" s="737"/>
      <c r="E48" s="121">
        <f>IF('F1'!BM87&gt;'F1'!BN87,'F1'!BM87-'F1'!BN87,0)</f>
        <v>2058265043.7299981</v>
      </c>
      <c r="F48" s="121">
        <f>IF('F1'!BN87&gt;'F1'!BM87,'F1'!BN87-'F1'!BM87,0)</f>
        <v>0</v>
      </c>
      <c r="G48" s="131"/>
      <c r="H48" s="131"/>
      <c r="I48" s="131"/>
      <c r="J48" s="131"/>
      <c r="K48" s="131"/>
      <c r="L48" s="131"/>
      <c r="M48" s="131"/>
      <c r="N48" s="131"/>
      <c r="O48" s="131"/>
      <c r="P48" s="131"/>
      <c r="Q48" s="131"/>
      <c r="R48" s="131"/>
      <c r="S48" s="131"/>
      <c r="T48" s="131"/>
      <c r="U48" s="131"/>
      <c r="V48" s="131"/>
      <c r="W48" s="131"/>
      <c r="X48" s="131"/>
      <c r="Y48" s="131"/>
      <c r="Z48" s="131"/>
    </row>
    <row r="49" spans="1:26" ht="14.25" customHeight="1">
      <c r="A49" s="119"/>
      <c r="B49" s="111"/>
      <c r="C49" s="741" t="s">
        <v>7122</v>
      </c>
      <c r="D49" s="737"/>
      <c r="E49" s="121">
        <f>IF('F1'!BM88&gt;'F1'!BN88,'F1'!BM88-'F1'!BN88,0)</f>
        <v>2096789042.4699993</v>
      </c>
      <c r="F49" s="121">
        <f>IF('F1'!BN88&gt;'F1'!BM88,'F1'!BN88-'F1'!BM88,0)</f>
        <v>0</v>
      </c>
      <c r="G49" s="131"/>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19"/>
      <c r="B50" s="111"/>
      <c r="C50" s="741" t="s">
        <v>7123</v>
      </c>
      <c r="D50" s="737"/>
      <c r="E50" s="121">
        <f>IF('F1'!BM89&gt;'F1'!BN89,'F1'!BM89-'F1'!BN89,0)</f>
        <v>0</v>
      </c>
      <c r="F50" s="121">
        <f>IF('F1'!BN89&gt;'F1'!BM89,'F1'!BN89-'F1'!BM89,0)</f>
        <v>0</v>
      </c>
      <c r="G50" s="131"/>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19"/>
      <c r="B51" s="111"/>
      <c r="C51" s="741" t="s">
        <v>7124</v>
      </c>
      <c r="D51" s="737"/>
      <c r="E51" s="121">
        <f>IF('F1'!BM94&gt;'F1'!BN94,'F1'!BM94-'F1'!BN94,0)</f>
        <v>0</v>
      </c>
      <c r="F51" s="121">
        <f>IF('F1'!BN94&gt;'F1'!BM94,'F1'!BN94-'F1'!BM94,0)</f>
        <v>0</v>
      </c>
      <c r="G51" s="131"/>
      <c r="H51" s="131"/>
      <c r="I51" s="131"/>
      <c r="J51" s="131"/>
      <c r="K51" s="131"/>
      <c r="L51" s="131"/>
      <c r="M51" s="131"/>
      <c r="N51" s="131"/>
      <c r="O51" s="131"/>
      <c r="P51" s="131"/>
      <c r="Q51" s="131"/>
      <c r="R51" s="131"/>
      <c r="S51" s="131"/>
      <c r="T51" s="131"/>
      <c r="U51" s="131"/>
      <c r="V51" s="131"/>
      <c r="W51" s="131"/>
      <c r="X51" s="131"/>
      <c r="Y51" s="131"/>
      <c r="Z51" s="131"/>
    </row>
    <row r="52" spans="1:26" ht="14.25" customHeight="1">
      <c r="A52" s="119"/>
      <c r="B52" s="111"/>
      <c r="C52" s="741" t="s">
        <v>7125</v>
      </c>
      <c r="D52" s="737"/>
      <c r="E52" s="121">
        <f>IF('F1'!BM98&gt;'F1'!BN98,'F1'!BM98-'F1'!BN98,0)</f>
        <v>0</v>
      </c>
      <c r="F52" s="121">
        <f>IF('F1'!BN98&gt;'F1'!BM98,'F1'!BN98-'F1'!BM98,0)</f>
        <v>19077</v>
      </c>
      <c r="G52" s="131"/>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19"/>
      <c r="B53" s="679" t="s">
        <v>6608</v>
      </c>
      <c r="C53" s="676"/>
      <c r="D53" s="677"/>
      <c r="E53" s="678">
        <f t="shared" ref="E53:F53" si="10">SUM(E54:E55)</f>
        <v>0</v>
      </c>
      <c r="F53" s="678">
        <f t="shared" si="10"/>
        <v>0</v>
      </c>
      <c r="G53" s="131"/>
      <c r="H53" s="131"/>
      <c r="I53" s="131"/>
      <c r="J53" s="131"/>
      <c r="K53" s="131"/>
      <c r="L53" s="131"/>
      <c r="M53" s="131"/>
      <c r="N53" s="131"/>
      <c r="O53" s="131"/>
      <c r="P53" s="131"/>
      <c r="Q53" s="131"/>
      <c r="R53" s="131"/>
      <c r="S53" s="131"/>
      <c r="T53" s="131"/>
      <c r="U53" s="131"/>
      <c r="V53" s="131"/>
      <c r="W53" s="131"/>
      <c r="X53" s="131"/>
      <c r="Y53" s="131"/>
      <c r="Z53" s="131"/>
    </row>
    <row r="54" spans="1:26" ht="14.25" customHeight="1">
      <c r="A54" s="119"/>
      <c r="B54" s="111"/>
      <c r="C54" s="741" t="s">
        <v>7444</v>
      </c>
      <c r="D54" s="737"/>
      <c r="E54" s="121">
        <f>IF('F1'!BM103&gt;'F1'!BN103,'F1'!BM103-'F1'!BN103,0)</f>
        <v>0</v>
      </c>
      <c r="F54" s="121">
        <f>IF('F1'!BN103&gt;'F1'!BM103,'F1'!BN103-'F1'!BM103,0)</f>
        <v>0</v>
      </c>
      <c r="G54" s="131"/>
      <c r="H54" s="131"/>
      <c r="I54" s="131"/>
      <c r="J54" s="131"/>
      <c r="K54" s="131"/>
      <c r="L54" s="131"/>
      <c r="M54" s="131"/>
      <c r="N54" s="131"/>
      <c r="O54" s="131"/>
      <c r="P54" s="131"/>
      <c r="Q54" s="131"/>
      <c r="R54" s="131"/>
      <c r="S54" s="131"/>
      <c r="T54" s="131"/>
      <c r="U54" s="131"/>
      <c r="V54" s="131"/>
      <c r="W54" s="131"/>
      <c r="X54" s="131"/>
      <c r="Y54" s="131"/>
      <c r="Z54" s="131"/>
    </row>
    <row r="55" spans="1:26" ht="14.25" customHeight="1">
      <c r="A55" s="535"/>
      <c r="B55" s="680"/>
      <c r="C55" s="946" t="s">
        <v>7127</v>
      </c>
      <c r="D55" s="765"/>
      <c r="E55" s="681">
        <f>IF('F1'!BM104&gt;'F1'!BN104,'F1'!BM104-'F1'!BN104,0)</f>
        <v>0</v>
      </c>
      <c r="F55" s="681">
        <f>IF('F1'!BN104&gt;'F1'!BM104,'F1'!BN104-'F1'!BM104,0)</f>
        <v>0</v>
      </c>
      <c r="G55" s="131"/>
      <c r="H55" s="131"/>
      <c r="I55" s="131"/>
      <c r="J55" s="131"/>
      <c r="K55" s="131"/>
      <c r="L55" s="131"/>
      <c r="M55" s="131"/>
      <c r="N55" s="131"/>
      <c r="O55" s="131"/>
      <c r="P55" s="131"/>
      <c r="Q55" s="131"/>
      <c r="R55" s="131"/>
      <c r="S55" s="131"/>
      <c r="T55" s="131"/>
      <c r="U55" s="131"/>
      <c r="V55" s="131"/>
      <c r="W55" s="131"/>
      <c r="X55" s="131"/>
      <c r="Y55" s="131"/>
      <c r="Z55" s="131"/>
    </row>
    <row r="56" spans="1:26" ht="15.75" customHeight="1">
      <c r="A56" s="131"/>
      <c r="B56" s="682"/>
      <c r="C56" s="103"/>
      <c r="D56" s="103"/>
      <c r="E56" s="683"/>
      <c r="F56" s="683"/>
      <c r="G56" s="131"/>
      <c r="H56" s="131"/>
      <c r="I56" s="131"/>
      <c r="J56" s="131"/>
      <c r="K56" s="131"/>
      <c r="L56" s="131"/>
      <c r="M56" s="131"/>
      <c r="N56" s="131"/>
      <c r="O56" s="131"/>
      <c r="P56" s="131"/>
      <c r="Q56" s="131"/>
      <c r="R56" s="131"/>
      <c r="S56" s="131"/>
      <c r="T56" s="131"/>
      <c r="U56" s="131"/>
      <c r="V56" s="131"/>
      <c r="W56" s="131"/>
      <c r="X56" s="131"/>
      <c r="Y56" s="131"/>
      <c r="Z56" s="131"/>
    </row>
    <row r="57" spans="1:26" ht="15" customHeight="1">
      <c r="A57" s="766" t="s">
        <v>4422</v>
      </c>
      <c r="B57" s="767"/>
      <c r="C57" s="767"/>
      <c r="D57" s="767"/>
      <c r="E57" s="767"/>
      <c r="F57" s="761"/>
      <c r="G57" s="131"/>
      <c r="H57" s="131"/>
      <c r="I57" s="131"/>
      <c r="J57" s="131"/>
      <c r="K57" s="131"/>
      <c r="L57" s="131"/>
      <c r="M57" s="131"/>
      <c r="N57" s="131"/>
      <c r="O57" s="131"/>
      <c r="P57" s="131"/>
      <c r="Q57" s="131"/>
      <c r="R57" s="131"/>
      <c r="S57" s="131"/>
      <c r="T57" s="131"/>
      <c r="U57" s="131"/>
      <c r="V57" s="131"/>
      <c r="W57" s="131"/>
      <c r="X57" s="131"/>
      <c r="Y57" s="131"/>
      <c r="Z57" s="131"/>
    </row>
    <row r="58" spans="1:26" ht="15" customHeight="1">
      <c r="A58" s="718"/>
      <c r="B58" s="725"/>
      <c r="C58" s="725"/>
      <c r="D58" s="725"/>
      <c r="E58" s="725"/>
      <c r="F58" s="768"/>
      <c r="G58" s="131"/>
      <c r="H58" s="131"/>
      <c r="I58" s="131"/>
      <c r="J58" s="131"/>
      <c r="K58" s="131"/>
      <c r="L58" s="131"/>
      <c r="M58" s="131"/>
      <c r="N58" s="131"/>
      <c r="O58" s="131"/>
      <c r="P58" s="131"/>
      <c r="Q58" s="131"/>
      <c r="R58" s="131"/>
      <c r="S58" s="131"/>
      <c r="T58" s="131"/>
      <c r="U58" s="131"/>
      <c r="V58" s="131"/>
      <c r="W58" s="131"/>
      <c r="X58" s="131"/>
      <c r="Y58" s="131"/>
      <c r="Z58" s="131"/>
    </row>
    <row r="59" spans="1:26" ht="15.75" customHeight="1">
      <c r="A59" s="721"/>
      <c r="B59" s="769"/>
      <c r="C59" s="769"/>
      <c r="D59" s="769"/>
      <c r="E59" s="769"/>
      <c r="F59" s="759"/>
      <c r="G59" s="131"/>
      <c r="H59" s="131"/>
      <c r="I59" s="131"/>
      <c r="J59" s="131"/>
      <c r="K59" s="131"/>
      <c r="L59" s="131"/>
      <c r="M59" s="131"/>
      <c r="N59" s="131"/>
      <c r="O59" s="131"/>
      <c r="P59" s="131"/>
      <c r="Q59" s="131"/>
      <c r="R59" s="131"/>
      <c r="S59" s="131"/>
      <c r="T59" s="131"/>
      <c r="U59" s="131"/>
      <c r="V59" s="131"/>
      <c r="W59" s="131"/>
      <c r="X59" s="131"/>
      <c r="Y59" s="131"/>
      <c r="Z59" s="131"/>
    </row>
    <row r="60" spans="1:26" ht="15.75" customHeight="1">
      <c r="A60" s="131"/>
      <c r="B60" s="682"/>
      <c r="C60" s="103"/>
      <c r="D60" s="103"/>
      <c r="E60" s="103"/>
      <c r="F60" s="103"/>
      <c r="G60" s="131"/>
      <c r="H60" s="131"/>
      <c r="I60" s="131"/>
      <c r="J60" s="131"/>
      <c r="K60" s="131"/>
      <c r="L60" s="131"/>
      <c r="M60" s="131"/>
      <c r="N60" s="131"/>
      <c r="O60" s="131"/>
      <c r="P60" s="131"/>
      <c r="Q60" s="131"/>
      <c r="R60" s="131"/>
      <c r="S60" s="131"/>
      <c r="T60" s="131"/>
      <c r="U60" s="131"/>
      <c r="V60" s="131"/>
      <c r="W60" s="131"/>
      <c r="X60" s="131"/>
      <c r="Y60" s="131"/>
      <c r="Z60" s="131"/>
    </row>
    <row r="61" spans="1:26" ht="15.75" customHeight="1">
      <c r="A61" s="131"/>
      <c r="B61" s="682"/>
      <c r="C61" s="103"/>
      <c r="D61" s="103"/>
      <c r="E61" s="103"/>
      <c r="F61" s="103"/>
      <c r="G61" s="131"/>
      <c r="H61" s="131"/>
      <c r="I61" s="131"/>
      <c r="J61" s="131"/>
      <c r="K61" s="131"/>
      <c r="L61" s="131"/>
      <c r="M61" s="131"/>
      <c r="N61" s="131"/>
      <c r="O61" s="131"/>
      <c r="P61" s="131"/>
      <c r="Q61" s="131"/>
      <c r="R61" s="131"/>
      <c r="S61" s="131"/>
      <c r="T61" s="131"/>
      <c r="U61" s="131"/>
      <c r="V61" s="131"/>
      <c r="W61" s="131"/>
      <c r="X61" s="131"/>
      <c r="Y61" s="131"/>
      <c r="Z61" s="131"/>
    </row>
    <row r="62" spans="1:26" ht="15.75" customHeight="1">
      <c r="A62" s="131"/>
      <c r="B62" s="682"/>
      <c r="C62" s="103"/>
      <c r="D62" s="770" t="str">
        <f>Validacion!A7</f>
        <v>Vero</v>
      </c>
      <c r="E62" s="103"/>
      <c r="F62" s="103"/>
      <c r="G62" s="131"/>
      <c r="H62" s="131"/>
      <c r="I62" s="131"/>
      <c r="J62" s="131"/>
      <c r="K62" s="131"/>
      <c r="L62" s="131"/>
      <c r="M62" s="131"/>
      <c r="N62" s="131"/>
      <c r="O62" s="131"/>
      <c r="P62" s="131"/>
      <c r="Q62" s="131"/>
      <c r="R62" s="131"/>
      <c r="S62" s="131"/>
      <c r="T62" s="131"/>
      <c r="U62" s="131"/>
      <c r="V62" s="131"/>
      <c r="W62" s="131"/>
      <c r="X62" s="131"/>
      <c r="Y62" s="131"/>
      <c r="Z62" s="131"/>
    </row>
    <row r="63" spans="1:26" ht="15.75" customHeight="1">
      <c r="A63" s="131"/>
      <c r="B63" s="682"/>
      <c r="C63" s="103"/>
      <c r="D63" s="771"/>
      <c r="E63" s="103"/>
      <c r="F63" s="103"/>
      <c r="G63" s="131"/>
      <c r="H63" s="131"/>
      <c r="I63" s="131"/>
      <c r="J63" s="131"/>
      <c r="K63" s="131"/>
      <c r="L63" s="131"/>
      <c r="M63" s="131"/>
      <c r="N63" s="131"/>
      <c r="O63" s="131"/>
      <c r="P63" s="131"/>
      <c r="Q63" s="131"/>
      <c r="R63" s="131"/>
      <c r="S63" s="131"/>
      <c r="T63" s="131"/>
      <c r="U63" s="131"/>
      <c r="V63" s="131"/>
      <c r="W63" s="131"/>
      <c r="X63" s="131"/>
      <c r="Y63" s="131"/>
      <c r="Z63" s="131"/>
    </row>
    <row r="64" spans="1:26" ht="15.75" customHeight="1">
      <c r="A64" s="131"/>
      <c r="B64" s="682"/>
      <c r="C64" s="103"/>
      <c r="D64" s="944" t="s">
        <v>4443</v>
      </c>
      <c r="E64" s="947"/>
      <c r="F64" s="831"/>
      <c r="G64" s="131"/>
      <c r="H64" s="131"/>
      <c r="I64" s="131"/>
      <c r="J64" s="131"/>
      <c r="K64" s="131"/>
      <c r="L64" s="131"/>
      <c r="M64" s="131"/>
      <c r="N64" s="131"/>
      <c r="O64" s="131"/>
      <c r="P64" s="131"/>
      <c r="Q64" s="131"/>
      <c r="R64" s="131"/>
      <c r="S64" s="131"/>
      <c r="T64" s="131"/>
      <c r="U64" s="131"/>
      <c r="V64" s="131"/>
      <c r="W64" s="131"/>
      <c r="X64" s="131"/>
      <c r="Y64" s="131"/>
      <c r="Z64" s="131"/>
    </row>
    <row r="65" spans="1:26" ht="15.75" customHeight="1">
      <c r="A65" s="131"/>
      <c r="B65" s="682"/>
      <c r="C65" s="103"/>
      <c r="D65" s="771"/>
      <c r="E65" s="103"/>
      <c r="F65" s="103"/>
      <c r="G65" s="131"/>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682"/>
      <c r="C66" s="103"/>
      <c r="D66" s="103"/>
      <c r="E66" s="103"/>
      <c r="F66" s="103"/>
      <c r="G66" s="131"/>
      <c r="H66" s="131"/>
      <c r="I66" s="131"/>
      <c r="J66" s="131"/>
      <c r="K66" s="131"/>
      <c r="L66" s="131"/>
      <c r="M66" s="131"/>
      <c r="N66" s="131"/>
      <c r="O66" s="131"/>
      <c r="P66" s="131"/>
      <c r="Q66" s="131"/>
      <c r="R66" s="131"/>
      <c r="S66" s="131"/>
      <c r="T66" s="131"/>
      <c r="U66" s="131"/>
      <c r="V66" s="131"/>
      <c r="W66" s="131"/>
      <c r="X66" s="131"/>
      <c r="Y66" s="131"/>
      <c r="Z66" s="131"/>
    </row>
    <row r="67" spans="1:26" ht="1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15" customHeight="1">
      <c r="A68" s="131"/>
      <c r="B68" s="131"/>
      <c r="C68" s="131"/>
      <c r="D68" s="770" t="str">
        <f>Validacion!A9</f>
        <v>Irlanda</v>
      </c>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5" customHeight="1">
      <c r="A69" s="131"/>
      <c r="B69" s="131"/>
      <c r="C69" s="131"/>
      <c r="D69" s="77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15" customHeight="1">
      <c r="A70" s="131"/>
      <c r="B70" s="131"/>
      <c r="C70" s="131"/>
      <c r="D70" s="945" t="s">
        <v>7130</v>
      </c>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15" customHeight="1">
      <c r="A71" s="131"/>
      <c r="B71" s="131"/>
      <c r="C71" s="131"/>
      <c r="D71" s="77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54">
    <mergeCell ref="D64:D65"/>
    <mergeCell ref="D68:D69"/>
    <mergeCell ref="D70:D71"/>
    <mergeCell ref="C51:D51"/>
    <mergeCell ref="C52:D52"/>
    <mergeCell ref="C54:D54"/>
    <mergeCell ref="C55:D55"/>
    <mergeCell ref="A57:F59"/>
    <mergeCell ref="D62:D63"/>
    <mergeCell ref="E64:F64"/>
    <mergeCell ref="A1:F1"/>
    <mergeCell ref="A2:F2"/>
    <mergeCell ref="A3:F3"/>
    <mergeCell ref="A4:D4"/>
    <mergeCell ref="A5:D5"/>
    <mergeCell ref="A6:D6"/>
    <mergeCell ref="C8:D8"/>
    <mergeCell ref="C9:D9"/>
    <mergeCell ref="C10:D10"/>
    <mergeCell ref="C11:D11"/>
    <mergeCell ref="C12:D12"/>
    <mergeCell ref="C13:D13"/>
    <mergeCell ref="C14:D14"/>
    <mergeCell ref="C16:D16"/>
    <mergeCell ref="C24:D24"/>
    <mergeCell ref="A25:D25"/>
    <mergeCell ref="C17:D17"/>
    <mergeCell ref="C18:D18"/>
    <mergeCell ref="C19:D19"/>
    <mergeCell ref="C20:D20"/>
    <mergeCell ref="C21:D21"/>
    <mergeCell ref="C22:D22"/>
    <mergeCell ref="C23:D23"/>
    <mergeCell ref="C27:D27"/>
    <mergeCell ref="C28:D28"/>
    <mergeCell ref="C29:D29"/>
    <mergeCell ref="C30:D30"/>
    <mergeCell ref="C31:D31"/>
    <mergeCell ref="C32:D32"/>
    <mergeCell ref="C33:D33"/>
    <mergeCell ref="C34:D34"/>
    <mergeCell ref="C36:D36"/>
    <mergeCell ref="C37:D37"/>
    <mergeCell ref="C38:D38"/>
    <mergeCell ref="C39:D39"/>
    <mergeCell ref="C40:D40"/>
    <mergeCell ref="A42:D42"/>
    <mergeCell ref="C41:D41"/>
    <mergeCell ref="C50:D50"/>
    <mergeCell ref="C44:D44"/>
    <mergeCell ref="C45:D45"/>
    <mergeCell ref="C46:D46"/>
    <mergeCell ref="C48:D48"/>
    <mergeCell ref="C49:D49"/>
  </mergeCells>
  <dataValidations count="1">
    <dataValidation type="decimal" allowBlank="1" showErrorMessage="1" sqref="E8:F14 E16:F24 E27:F34 E36:F41 E44:F46 E48:F52 E54:F55">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&amp;REstado de Cambios en la Situación Financiera Página &amp;P de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D8D8D8"/>
  </sheetPr>
  <dimension ref="A1:Z1000"/>
  <sheetViews>
    <sheetView showGridLines="0" workbookViewId="0"/>
  </sheetViews>
  <sheetFormatPr baseColWidth="10" defaultColWidth="14.42578125" defaultRowHeight="15" customHeight="1"/>
  <cols>
    <col min="1" max="1" width="22.85546875" customWidth="1"/>
    <col min="2" max="2" width="24.28515625" customWidth="1"/>
    <col min="3" max="8" width="18" customWidth="1"/>
    <col min="9" max="26" width="10.7109375" customWidth="1"/>
  </cols>
  <sheetData>
    <row r="1" spans="1:26" ht="44.25" customHeight="1">
      <c r="A1" s="835" t="str">
        <f>"Nombre del Ente Público: "&amp;Validacion!A2</f>
        <v>Nombre del Ente Público: Guadalajara</v>
      </c>
      <c r="B1" s="746"/>
      <c r="C1" s="746"/>
      <c r="D1" s="746"/>
      <c r="E1" s="746"/>
      <c r="F1" s="746"/>
      <c r="G1" s="746"/>
      <c r="H1" s="747"/>
      <c r="I1" s="131"/>
      <c r="J1" s="131"/>
      <c r="K1" s="131"/>
      <c r="L1" s="131"/>
      <c r="M1" s="131"/>
      <c r="N1" s="131"/>
      <c r="O1" s="131"/>
      <c r="P1" s="131"/>
      <c r="Q1" s="131"/>
      <c r="R1" s="131"/>
      <c r="S1" s="131"/>
      <c r="T1" s="131"/>
      <c r="U1" s="131"/>
      <c r="V1" s="131"/>
      <c r="W1" s="131"/>
      <c r="X1" s="131"/>
      <c r="Y1" s="131"/>
      <c r="Z1" s="131"/>
    </row>
    <row r="2" spans="1:26" ht="18.75">
      <c r="A2" s="836" t="s">
        <v>6254</v>
      </c>
      <c r="B2" s="749"/>
      <c r="C2" s="749"/>
      <c r="D2" s="749"/>
      <c r="E2" s="749"/>
      <c r="F2" s="749"/>
      <c r="G2" s="749"/>
      <c r="H2" s="750"/>
      <c r="I2" s="131"/>
      <c r="J2" s="131"/>
      <c r="K2" s="131"/>
      <c r="L2" s="131"/>
      <c r="M2" s="131"/>
      <c r="N2" s="131"/>
      <c r="O2" s="131"/>
      <c r="P2" s="131"/>
      <c r="Q2" s="131"/>
      <c r="R2" s="131"/>
      <c r="S2" s="131"/>
      <c r="T2" s="131"/>
      <c r="U2" s="131"/>
      <c r="V2" s="131"/>
      <c r="W2" s="131"/>
      <c r="X2" s="131"/>
      <c r="Y2" s="131"/>
      <c r="Z2" s="131"/>
    </row>
    <row r="3" spans="1:26" ht="18.75">
      <c r="A3" s="836" t="s">
        <v>7445</v>
      </c>
      <c r="B3" s="749"/>
      <c r="C3" s="749"/>
      <c r="D3" s="749"/>
      <c r="E3" s="749"/>
      <c r="F3" s="749"/>
      <c r="G3" s="749"/>
      <c r="H3" s="750"/>
      <c r="I3" s="131"/>
      <c r="J3" s="131"/>
      <c r="K3" s="131"/>
      <c r="L3" s="131"/>
      <c r="M3" s="131"/>
      <c r="N3" s="131"/>
      <c r="O3" s="131"/>
      <c r="P3" s="131"/>
      <c r="Q3" s="131"/>
      <c r="R3" s="131"/>
      <c r="S3" s="131"/>
      <c r="T3" s="131"/>
      <c r="U3" s="131"/>
      <c r="V3" s="131"/>
      <c r="W3" s="131"/>
      <c r="X3" s="131"/>
      <c r="Y3" s="131"/>
      <c r="Z3" s="131"/>
    </row>
    <row r="4" spans="1:26" ht="15.75">
      <c r="A4" s="837" t="e">
        <f>'F6'!A3</f>
        <v>#REF!</v>
      </c>
      <c r="B4" s="749"/>
      <c r="C4" s="749"/>
      <c r="D4" s="749"/>
      <c r="E4" s="749"/>
      <c r="F4" s="749"/>
      <c r="G4" s="749"/>
      <c r="H4" s="750"/>
      <c r="I4" s="131"/>
      <c r="J4" s="131"/>
      <c r="K4" s="131"/>
      <c r="L4" s="131"/>
      <c r="M4" s="131"/>
      <c r="N4" s="131"/>
      <c r="O4" s="131"/>
      <c r="P4" s="131"/>
      <c r="Q4" s="131"/>
      <c r="R4" s="131"/>
      <c r="S4" s="131"/>
      <c r="T4" s="131"/>
      <c r="U4" s="131"/>
      <c r="V4" s="131"/>
      <c r="W4" s="131"/>
      <c r="X4" s="131"/>
      <c r="Y4" s="131"/>
      <c r="Z4" s="131"/>
    </row>
    <row r="5" spans="1:26" ht="15.75">
      <c r="A5" s="949" t="s">
        <v>4378</v>
      </c>
      <c r="B5" s="753"/>
      <c r="C5" s="753"/>
      <c r="D5" s="753"/>
      <c r="E5" s="753"/>
      <c r="F5" s="753"/>
      <c r="G5" s="753"/>
      <c r="H5" s="754"/>
      <c r="I5" s="131"/>
      <c r="J5" s="131"/>
      <c r="K5" s="131"/>
      <c r="L5" s="131"/>
      <c r="M5" s="131"/>
      <c r="N5" s="131"/>
      <c r="O5" s="131"/>
      <c r="P5" s="131"/>
      <c r="Q5" s="131"/>
      <c r="R5" s="131"/>
      <c r="S5" s="131"/>
      <c r="T5" s="131"/>
      <c r="U5" s="131"/>
      <c r="V5" s="131"/>
      <c r="W5" s="131"/>
      <c r="X5" s="131"/>
      <c r="Y5" s="131"/>
      <c r="Z5" s="131"/>
    </row>
    <row r="6" spans="1:26" ht="15.75">
      <c r="A6" s="823" t="s">
        <v>4379</v>
      </c>
      <c r="B6" s="778"/>
      <c r="C6" s="934" t="s">
        <v>88</v>
      </c>
      <c r="D6" s="756"/>
      <c r="E6" s="756"/>
      <c r="F6" s="756"/>
      <c r="G6" s="733"/>
      <c r="H6" s="821" t="s">
        <v>6256</v>
      </c>
      <c r="I6" s="131"/>
      <c r="J6" s="131"/>
      <c r="K6" s="131"/>
      <c r="L6" s="131"/>
      <c r="M6" s="131"/>
      <c r="N6" s="131"/>
      <c r="O6" s="131"/>
      <c r="P6" s="131"/>
      <c r="Q6" s="131"/>
      <c r="R6" s="131"/>
      <c r="S6" s="131"/>
      <c r="T6" s="131"/>
      <c r="U6" s="131"/>
      <c r="V6" s="131"/>
      <c r="W6" s="131"/>
      <c r="X6" s="131"/>
      <c r="Y6" s="131"/>
      <c r="Z6" s="131"/>
    </row>
    <row r="7" spans="1:26" ht="24">
      <c r="A7" s="779"/>
      <c r="B7" s="780"/>
      <c r="C7" s="252" t="s">
        <v>6257</v>
      </c>
      <c r="D7" s="252" t="s">
        <v>4431</v>
      </c>
      <c r="E7" s="252" t="s">
        <v>4432</v>
      </c>
      <c r="F7" s="252" t="s">
        <v>4433</v>
      </c>
      <c r="G7" s="252" t="s">
        <v>6258</v>
      </c>
      <c r="H7" s="730"/>
      <c r="I7" s="131"/>
      <c r="J7" s="131"/>
      <c r="K7" s="131"/>
      <c r="L7" s="131"/>
      <c r="M7" s="131"/>
      <c r="N7" s="131"/>
      <c r="O7" s="131"/>
      <c r="P7" s="131"/>
      <c r="Q7" s="131"/>
      <c r="R7" s="131"/>
      <c r="S7" s="131"/>
      <c r="T7" s="131"/>
      <c r="U7" s="131"/>
      <c r="V7" s="131"/>
      <c r="W7" s="131"/>
      <c r="X7" s="131"/>
      <c r="Y7" s="131"/>
      <c r="Z7" s="131"/>
    </row>
    <row r="8" spans="1:26" ht="26.25" customHeight="1">
      <c r="A8" s="806" t="s">
        <v>7446</v>
      </c>
      <c r="B8" s="778"/>
      <c r="C8" s="684">
        <f>'F8'!C8+'F8'!C16+'F8'!C26+'F8'!C36-'F8'!C41+'F8'!C70+'F8'!C71+SUM('F8'!C74:'F8'!C78)+'F8'!C67</f>
        <v>11509908433.849998</v>
      </c>
      <c r="D8" s="684">
        <f>'F8'!D8+'F8'!D16+'F8'!D26+'F8'!D36-'F8'!D41+'F8'!D70+'F8'!D71+SUM('F8'!D74:'F8'!D78)+'F8'!D67</f>
        <v>-908594792.45000005</v>
      </c>
      <c r="E8" s="684">
        <f t="shared" ref="E8:E13" si="0">C8+D8</f>
        <v>10601313641.399998</v>
      </c>
      <c r="F8" s="684">
        <f>'F8'!F8+'F8'!F16+'F8'!F26+'F8'!F36-'F8'!F41+'F8'!F70+'F8'!F71+SUM('F8'!F74:'F8'!F78)+'F8'!F67</f>
        <v>3854615556.25</v>
      </c>
      <c r="G8" s="684">
        <f>'F8'!G8+'F8'!G16+'F8'!G26+'F8'!G36-'F8'!G41+'F8'!G70+'F8'!G71+SUM('F8'!G74:'F8'!G78)+'F8'!G67</f>
        <v>3854592745.2299995</v>
      </c>
      <c r="H8" s="684">
        <f t="shared" ref="H8:H12" si="1">E8-F8</f>
        <v>6746698085.1499977</v>
      </c>
      <c r="I8" s="131"/>
      <c r="J8" s="131"/>
      <c r="K8" s="131"/>
      <c r="L8" s="131"/>
      <c r="M8" s="131"/>
      <c r="N8" s="131"/>
      <c r="O8" s="131"/>
      <c r="P8" s="131"/>
      <c r="Q8" s="131"/>
      <c r="R8" s="131"/>
      <c r="S8" s="131"/>
      <c r="T8" s="131"/>
      <c r="U8" s="131"/>
      <c r="V8" s="131"/>
      <c r="W8" s="131"/>
      <c r="X8" s="131"/>
      <c r="Y8" s="131"/>
      <c r="Z8" s="131"/>
    </row>
    <row r="9" spans="1:26" ht="26.25" customHeight="1">
      <c r="A9" s="953" t="s">
        <v>7447</v>
      </c>
      <c r="B9" s="796"/>
      <c r="C9" s="153">
        <f>'F8'!C46+'F8'!C56+'F8'!C60-'F8'!C67</f>
        <v>867171901.55999982</v>
      </c>
      <c r="D9" s="153">
        <f>'F8'!D46+'F8'!D56+'F8'!D60-'F8'!D67</f>
        <v>660179142.63999999</v>
      </c>
      <c r="E9" s="153">
        <f t="shared" si="0"/>
        <v>1527351044.1999998</v>
      </c>
      <c r="F9" s="153">
        <f>'F8'!F46+'F8'!F56+'F8'!F60-'F8'!F67</f>
        <v>304711220.12</v>
      </c>
      <c r="G9" s="153">
        <f>'F8'!G46+'F8'!G56+'F8'!G60-'F8'!G67</f>
        <v>300150680.12</v>
      </c>
      <c r="H9" s="153">
        <f t="shared" si="1"/>
        <v>1222639824.0799999</v>
      </c>
      <c r="I9" s="131"/>
      <c r="J9" s="131"/>
      <c r="K9" s="131"/>
      <c r="L9" s="131"/>
      <c r="M9" s="131"/>
      <c r="N9" s="131"/>
      <c r="O9" s="131"/>
      <c r="P9" s="131"/>
      <c r="Q9" s="131"/>
      <c r="R9" s="131"/>
      <c r="S9" s="131"/>
      <c r="T9" s="131"/>
      <c r="U9" s="131"/>
      <c r="V9" s="131"/>
      <c r="W9" s="131"/>
      <c r="X9" s="131"/>
      <c r="Y9" s="131"/>
      <c r="Z9" s="131"/>
    </row>
    <row r="10" spans="1:26" ht="26.25" customHeight="1">
      <c r="A10" s="953" t="s">
        <v>7448</v>
      </c>
      <c r="B10" s="796"/>
      <c r="C10" s="153">
        <f>'F8'!C73+'F8'!C79</f>
        <v>114059568.03</v>
      </c>
      <c r="D10" s="153">
        <f>'F8'!D73+'F8'!D79</f>
        <v>300000000</v>
      </c>
      <c r="E10" s="153">
        <f t="shared" si="0"/>
        <v>414059568.02999997</v>
      </c>
      <c r="F10" s="153">
        <f>'F8'!F73+'F8'!F79</f>
        <v>198205039.28999999</v>
      </c>
      <c r="G10" s="153">
        <f>'F8'!F73+'F8'!G79</f>
        <v>198205039.28999999</v>
      </c>
      <c r="H10" s="153">
        <f t="shared" si="1"/>
        <v>215854528.73999998</v>
      </c>
      <c r="I10" s="131"/>
      <c r="J10" s="131"/>
      <c r="K10" s="131"/>
      <c r="L10" s="131"/>
      <c r="M10" s="131"/>
      <c r="N10" s="131"/>
      <c r="O10" s="131"/>
      <c r="P10" s="131"/>
      <c r="Q10" s="131"/>
      <c r="R10" s="131"/>
      <c r="S10" s="131"/>
      <c r="T10" s="131"/>
      <c r="U10" s="131"/>
      <c r="V10" s="131"/>
      <c r="W10" s="131"/>
      <c r="X10" s="131"/>
      <c r="Y10" s="131"/>
      <c r="Z10" s="131"/>
    </row>
    <row r="11" spans="1:26" ht="26.25" customHeight="1">
      <c r="A11" s="953" t="s">
        <v>4396</v>
      </c>
      <c r="B11" s="796"/>
      <c r="C11" s="153">
        <f>'F8'!C41</f>
        <v>0</v>
      </c>
      <c r="D11" s="153">
        <f>'F8'!D41</f>
        <v>0</v>
      </c>
      <c r="E11" s="153">
        <f t="shared" si="0"/>
        <v>0</v>
      </c>
      <c r="F11" s="153">
        <f>'F8'!F41</f>
        <v>0</v>
      </c>
      <c r="G11" s="153">
        <f>'F8'!G41</f>
        <v>0</v>
      </c>
      <c r="H11" s="153">
        <f t="shared" si="1"/>
        <v>0</v>
      </c>
      <c r="I11" s="131"/>
      <c r="J11" s="131"/>
      <c r="K11" s="131"/>
      <c r="L11" s="131"/>
      <c r="M11" s="131"/>
      <c r="N11" s="131"/>
      <c r="O11" s="131"/>
      <c r="P11" s="131"/>
      <c r="Q11" s="131"/>
      <c r="R11" s="131"/>
      <c r="S11" s="131"/>
      <c r="T11" s="131"/>
      <c r="U11" s="131"/>
      <c r="V11" s="131"/>
      <c r="W11" s="131"/>
      <c r="X11" s="131"/>
      <c r="Y11" s="131"/>
      <c r="Z11" s="131"/>
    </row>
    <row r="12" spans="1:26" ht="26.25" customHeight="1">
      <c r="A12" s="950" t="s">
        <v>1093</v>
      </c>
      <c r="B12" s="802"/>
      <c r="C12" s="169">
        <f>'F8'!C69</f>
        <v>0</v>
      </c>
      <c r="D12" s="169">
        <f>'F8'!D69</f>
        <v>0</v>
      </c>
      <c r="E12" s="169">
        <f t="shared" si="0"/>
        <v>0</v>
      </c>
      <c r="F12" s="169">
        <f>'F8'!F69</f>
        <v>0</v>
      </c>
      <c r="G12" s="169">
        <f>'F8'!G69</f>
        <v>0</v>
      </c>
      <c r="H12" s="169">
        <f t="shared" si="1"/>
        <v>0</v>
      </c>
      <c r="I12" s="131"/>
      <c r="J12" s="131"/>
      <c r="K12" s="131"/>
      <c r="L12" s="131"/>
      <c r="M12" s="131"/>
      <c r="N12" s="131"/>
      <c r="O12" s="131"/>
      <c r="P12" s="131"/>
      <c r="Q12" s="131"/>
      <c r="R12" s="131"/>
      <c r="S12" s="131"/>
      <c r="T12" s="131"/>
      <c r="U12" s="131"/>
      <c r="V12" s="131"/>
      <c r="W12" s="131"/>
      <c r="X12" s="131"/>
      <c r="Y12" s="131"/>
      <c r="Z12" s="131"/>
    </row>
    <row r="13" spans="1:26">
      <c r="A13" s="951" t="s">
        <v>7328</v>
      </c>
      <c r="B13" s="733"/>
      <c r="C13" s="685">
        <f t="shared" ref="C13:D13" si="2">SUM(C8:C12)</f>
        <v>12491139903.439999</v>
      </c>
      <c r="D13" s="685">
        <f t="shared" si="2"/>
        <v>51584350.189999938</v>
      </c>
      <c r="E13" s="685">
        <f t="shared" si="0"/>
        <v>12542724253.629999</v>
      </c>
      <c r="F13" s="685">
        <f t="shared" ref="F13:H13" si="3">SUM(F8:F12)</f>
        <v>4357531815.6599998</v>
      </c>
      <c r="G13" s="685">
        <f t="shared" si="3"/>
        <v>4352948464.6399994</v>
      </c>
      <c r="H13" s="685">
        <f t="shared" si="3"/>
        <v>8185192437.9699974</v>
      </c>
      <c r="I13" s="131"/>
      <c r="J13" s="131"/>
      <c r="K13" s="131"/>
      <c r="L13" s="131"/>
      <c r="M13" s="131"/>
      <c r="N13" s="131"/>
      <c r="O13" s="131"/>
      <c r="P13" s="131"/>
      <c r="Q13" s="131"/>
      <c r="R13" s="131"/>
      <c r="S13" s="131"/>
      <c r="T13" s="131"/>
      <c r="U13" s="131"/>
      <c r="V13" s="131"/>
      <c r="W13" s="131"/>
      <c r="X13" s="131"/>
      <c r="Y13" s="131"/>
      <c r="Z13" s="131"/>
    </row>
    <row r="14" spans="1:26">
      <c r="A14" s="333"/>
      <c r="B14" s="333"/>
      <c r="C14" s="686"/>
      <c r="D14" s="686"/>
      <c r="E14" s="686"/>
      <c r="F14" s="686"/>
      <c r="G14" s="686"/>
      <c r="H14" s="686"/>
      <c r="I14" s="131"/>
      <c r="J14" s="131"/>
      <c r="K14" s="131"/>
      <c r="L14" s="131"/>
      <c r="M14" s="131"/>
      <c r="N14" s="131"/>
      <c r="O14" s="131"/>
      <c r="P14" s="131"/>
      <c r="Q14" s="131"/>
      <c r="R14" s="131"/>
      <c r="S14" s="131"/>
      <c r="T14" s="131"/>
      <c r="U14" s="131"/>
      <c r="V14" s="131"/>
      <c r="W14" s="131"/>
      <c r="X14" s="131"/>
      <c r="Y14" s="131"/>
      <c r="Z14" s="131"/>
    </row>
    <row r="15" spans="1:26" ht="18.75" customHeight="1">
      <c r="A15" s="846" t="s">
        <v>4422</v>
      </c>
      <c r="B15" s="725"/>
      <c r="C15" s="725"/>
      <c r="D15" s="725"/>
      <c r="E15" s="725"/>
      <c r="F15" s="725"/>
      <c r="G15" s="725"/>
      <c r="H15" s="725"/>
      <c r="I15" s="131"/>
      <c r="J15" s="131"/>
      <c r="K15" s="131"/>
      <c r="L15" s="131"/>
      <c r="M15" s="131"/>
      <c r="N15" s="131"/>
      <c r="O15" s="131"/>
      <c r="P15" s="131"/>
      <c r="Q15" s="131"/>
      <c r="R15" s="131"/>
      <c r="S15" s="131"/>
      <c r="T15" s="131"/>
      <c r="U15" s="131"/>
      <c r="V15" s="131"/>
      <c r="W15" s="131"/>
      <c r="X15" s="131"/>
      <c r="Y15" s="131"/>
      <c r="Z15" s="131"/>
    </row>
    <row r="16" spans="1:26">
      <c r="A16" s="725"/>
      <c r="B16" s="725"/>
      <c r="C16" s="725"/>
      <c r="D16" s="725"/>
      <c r="E16" s="725"/>
      <c r="F16" s="725"/>
      <c r="G16" s="725"/>
      <c r="H16" s="725"/>
      <c r="I16" s="131"/>
      <c r="J16" s="131"/>
      <c r="K16" s="131"/>
      <c r="L16" s="131"/>
      <c r="M16" s="131"/>
      <c r="N16" s="131"/>
      <c r="O16" s="131"/>
      <c r="P16" s="131"/>
      <c r="Q16" s="131"/>
      <c r="R16" s="131"/>
      <c r="S16" s="131"/>
      <c r="T16" s="131"/>
      <c r="U16" s="131"/>
      <c r="V16" s="131"/>
      <c r="W16" s="131"/>
      <c r="X16" s="131"/>
      <c r="Y16" s="131"/>
      <c r="Z16" s="131"/>
    </row>
    <row r="17" spans="1:26">
      <c r="A17" s="131"/>
      <c r="B17" s="333"/>
      <c r="C17" s="686"/>
      <c r="D17" s="686"/>
      <c r="E17" s="686"/>
      <c r="F17" s="686"/>
      <c r="G17" s="686"/>
      <c r="H17" s="686"/>
      <c r="I17" s="131"/>
      <c r="J17" s="131"/>
      <c r="K17" s="131"/>
      <c r="L17" s="131"/>
      <c r="M17" s="131"/>
      <c r="N17" s="131"/>
      <c r="O17" s="131"/>
      <c r="P17" s="131"/>
      <c r="Q17" s="131"/>
      <c r="R17" s="131"/>
      <c r="S17" s="131"/>
      <c r="T17" s="131"/>
      <c r="U17" s="131"/>
      <c r="V17" s="131"/>
      <c r="W17" s="131"/>
      <c r="X17" s="131"/>
      <c r="Y17" s="131"/>
      <c r="Z17" s="131"/>
    </row>
    <row r="18" spans="1:26">
      <c r="A18" s="131"/>
      <c r="B18" s="333"/>
      <c r="C18" s="686"/>
      <c r="D18" s="686"/>
      <c r="E18" s="686"/>
      <c r="F18" s="686"/>
      <c r="G18" s="686"/>
      <c r="H18" s="686"/>
      <c r="I18" s="131"/>
      <c r="J18" s="131"/>
      <c r="K18" s="131"/>
      <c r="L18" s="131"/>
      <c r="M18" s="131"/>
      <c r="N18" s="131"/>
      <c r="O18" s="131"/>
      <c r="P18" s="131"/>
      <c r="Q18" s="131"/>
      <c r="R18" s="131"/>
      <c r="S18" s="131"/>
      <c r="T18" s="131"/>
      <c r="U18" s="131"/>
      <c r="V18" s="131"/>
      <c r="W18" s="131"/>
      <c r="X18" s="131"/>
      <c r="Y18" s="131"/>
      <c r="Z18" s="131"/>
    </row>
    <row r="19" spans="1:26">
      <c r="A19" s="131"/>
      <c r="B19" s="333"/>
      <c r="C19" s="686"/>
      <c r="D19" s="686"/>
      <c r="E19" s="686"/>
      <c r="F19" s="686"/>
      <c r="G19" s="686"/>
      <c r="H19" s="686"/>
      <c r="I19" s="131"/>
      <c r="J19" s="131"/>
      <c r="K19" s="131"/>
      <c r="L19" s="131"/>
      <c r="M19" s="131"/>
      <c r="N19" s="131"/>
      <c r="O19" s="131"/>
      <c r="P19" s="131"/>
      <c r="Q19" s="131"/>
      <c r="R19" s="131"/>
      <c r="S19" s="131"/>
      <c r="T19" s="131"/>
      <c r="U19" s="131"/>
      <c r="V19" s="131"/>
      <c r="W19" s="131"/>
      <c r="X19" s="131"/>
      <c r="Y19" s="131"/>
      <c r="Z19" s="131"/>
    </row>
    <row r="20" spans="1:26">
      <c r="A20" s="131"/>
      <c r="B20" s="786" t="str">
        <f>Validacion!A7</f>
        <v>Vero</v>
      </c>
      <c r="C20" s="787"/>
      <c r="D20" s="787"/>
      <c r="E20" s="686"/>
      <c r="F20" s="952" t="str">
        <f>Validacion!A9</f>
        <v>Irlanda</v>
      </c>
      <c r="G20" s="787"/>
      <c r="H20" s="787"/>
      <c r="I20" s="131"/>
      <c r="J20" s="131"/>
      <c r="K20" s="131"/>
      <c r="L20" s="131"/>
      <c r="M20" s="131"/>
      <c r="N20" s="131"/>
      <c r="O20" s="131"/>
      <c r="P20" s="131"/>
      <c r="Q20" s="131"/>
      <c r="R20" s="131"/>
      <c r="S20" s="131"/>
      <c r="T20" s="131"/>
      <c r="U20" s="131"/>
      <c r="V20" s="131"/>
      <c r="W20" s="131"/>
      <c r="X20" s="131"/>
      <c r="Y20" s="131"/>
      <c r="Z20" s="131"/>
    </row>
    <row r="21" spans="1:26" ht="15.75" customHeight="1">
      <c r="A21" s="131"/>
      <c r="B21" s="725"/>
      <c r="C21" s="725"/>
      <c r="D21" s="725"/>
      <c r="E21" s="686"/>
      <c r="F21" s="725"/>
      <c r="G21" s="725"/>
      <c r="H21" s="725"/>
      <c r="I21" s="131"/>
      <c r="J21" s="131"/>
      <c r="K21" s="131"/>
      <c r="L21" s="131"/>
      <c r="M21" s="131"/>
      <c r="N21" s="131"/>
      <c r="O21" s="131"/>
      <c r="P21" s="131"/>
      <c r="Q21" s="131"/>
      <c r="R21" s="131"/>
      <c r="S21" s="131"/>
      <c r="T21" s="131"/>
      <c r="U21" s="131"/>
      <c r="V21" s="131"/>
      <c r="W21" s="131"/>
      <c r="X21" s="131"/>
      <c r="Y21" s="131"/>
      <c r="Z21" s="131"/>
    </row>
    <row r="22" spans="1:26" ht="15.75" customHeight="1">
      <c r="A22" s="131"/>
      <c r="B22" s="816" t="s">
        <v>4443</v>
      </c>
      <c r="C22" s="725"/>
      <c r="D22" s="725"/>
      <c r="E22" s="686"/>
      <c r="F22" s="948" t="s">
        <v>6273</v>
      </c>
      <c r="G22" s="725"/>
      <c r="H22" s="725"/>
      <c r="I22" s="131"/>
      <c r="J22" s="131"/>
      <c r="K22" s="131"/>
      <c r="L22" s="131"/>
      <c r="M22" s="131"/>
      <c r="N22" s="131"/>
      <c r="O22" s="131"/>
      <c r="P22" s="131"/>
      <c r="Q22" s="131"/>
      <c r="R22" s="131"/>
      <c r="S22" s="131"/>
      <c r="T22" s="131"/>
      <c r="U22" s="131"/>
      <c r="V22" s="131"/>
      <c r="W22" s="131"/>
      <c r="X22" s="131"/>
      <c r="Y22" s="131"/>
      <c r="Z22" s="131"/>
    </row>
    <row r="23" spans="1:26" ht="15.75" customHeight="1">
      <c r="A23" s="333"/>
      <c r="B23" s="725"/>
      <c r="C23" s="725"/>
      <c r="D23" s="725"/>
      <c r="E23" s="686"/>
      <c r="F23" s="725"/>
      <c r="G23" s="725"/>
      <c r="H23" s="725"/>
      <c r="I23" s="131"/>
      <c r="J23" s="131"/>
      <c r="K23" s="131"/>
      <c r="L23" s="131"/>
      <c r="M23" s="131"/>
      <c r="N23" s="131"/>
      <c r="O23" s="131"/>
      <c r="P23" s="131"/>
      <c r="Q23" s="131"/>
      <c r="R23" s="131"/>
      <c r="S23" s="131"/>
      <c r="T23" s="131"/>
      <c r="U23" s="131"/>
      <c r="V23" s="131"/>
      <c r="W23" s="131"/>
      <c r="X23" s="131"/>
      <c r="Y23" s="131"/>
      <c r="Z23" s="131"/>
    </row>
    <row r="24" spans="1:26" ht="15.75" customHeight="1">
      <c r="A24" s="333"/>
      <c r="B24" s="333"/>
      <c r="C24" s="686"/>
      <c r="D24" s="686"/>
      <c r="E24" s="686"/>
      <c r="F24" s="686"/>
      <c r="G24" s="686"/>
      <c r="H24" s="686"/>
      <c r="I24" s="131"/>
      <c r="J24" s="131"/>
      <c r="K24" s="131"/>
      <c r="L24" s="131"/>
      <c r="M24" s="131"/>
      <c r="N24" s="131"/>
      <c r="O24" s="131"/>
      <c r="P24" s="131"/>
      <c r="Q24" s="131"/>
      <c r="R24" s="131"/>
      <c r="S24" s="131"/>
      <c r="T24" s="131"/>
      <c r="U24" s="131"/>
      <c r="V24" s="131"/>
      <c r="W24" s="131"/>
      <c r="X24" s="131"/>
      <c r="Y24" s="131"/>
      <c r="Z24" s="131"/>
    </row>
    <row r="25" spans="1:26" ht="15.75" hidden="1" customHeight="1">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row>
    <row r="26" spans="1:26" ht="15" hidden="1" customHeight="1">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row>
    <row r="27" spans="1:26" ht="15" hidden="1" customHeight="1">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row>
    <row r="28" spans="1:26" ht="15" hidden="1" customHeight="1">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row>
    <row r="29" spans="1:26" ht="15" hidden="1"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row>
    <row r="30" spans="1:26" ht="15" hidden="1" customHeight="1">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row>
    <row r="31" spans="1:26" ht="15" hidden="1" customHeight="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row>
    <row r="32" spans="1:26" ht="15" hidden="1"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row>
    <row r="33" spans="1:26" ht="15" hidden="1" customHeight="1">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row>
    <row r="34" spans="1:26" ht="15" hidden="1" customHeight="1">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row>
    <row r="35" spans="1:26" ht="15" hidden="1" customHeigh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row>
    <row r="36" spans="1:26" ht="15" hidden="1" customHeight="1">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row>
    <row r="37" spans="1:26" ht="15" hidden="1" customHeigh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row>
    <row r="38" spans="1:26" ht="15" hidden="1"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row>
    <row r="39" spans="1:26" ht="15.75" customHeight="1">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row>
    <row r="40" spans="1:26" ht="15.75"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row>
    <row r="41" spans="1:26" ht="15.7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15.75" customHeight="1">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15.7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15.7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spans="1:26" ht="15.75" customHeight="1">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spans="1:26" ht="15.75" customHeight="1">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15.75" customHeight="1">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row>
    <row r="48" spans="1:26" ht="15.75" customHeight="1">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row>
    <row r="49" spans="1:26" ht="15.7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row>
    <row r="52" spans="1:26" ht="15.7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row>
    <row r="54" spans="1:26" ht="15.7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row>
    <row r="55" spans="1:26" ht="15.7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row>
    <row r="56" spans="1:26" ht="15.7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row>
    <row r="57" spans="1:26" ht="15.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row>
    <row r="58" spans="1:26" ht="15.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row>
    <row r="59" spans="1:26" ht="15.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row>
    <row r="60" spans="1:26" ht="15.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row>
    <row r="61" spans="1:26" ht="15.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row>
    <row r="62" spans="1:26" ht="15.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row>
    <row r="64" spans="1:26" ht="15.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row>
    <row r="65" spans="1:26" ht="15.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15.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15.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5.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15.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15.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9">
    <mergeCell ref="A9:B9"/>
    <mergeCell ref="A10:B10"/>
    <mergeCell ref="A11:B11"/>
    <mergeCell ref="B22:D23"/>
    <mergeCell ref="F22:H23"/>
    <mergeCell ref="A1:H1"/>
    <mergeCell ref="A2:H2"/>
    <mergeCell ref="A3:H3"/>
    <mergeCell ref="A4:H4"/>
    <mergeCell ref="A5:H5"/>
    <mergeCell ref="C6:G6"/>
    <mergeCell ref="H6:H7"/>
    <mergeCell ref="A12:B12"/>
    <mergeCell ref="A13:B13"/>
    <mergeCell ref="A15:H16"/>
    <mergeCell ref="B20:D21"/>
    <mergeCell ref="F20:H21"/>
    <mergeCell ref="A6:B7"/>
    <mergeCell ref="A8:B8"/>
  </mergeCells>
  <dataValidations count="1">
    <dataValidation type="decimal" allowBlank="1" showErrorMessage="1" sqref="C8:D12 F8:G12">
      <formula1>-20000000000</formula1>
      <formula2>20000000000</formula2>
    </dataValidation>
  </dataValidations>
  <printOptions horizontalCentered="1"/>
  <pageMargins left="0.19685039370078741" right="0.19685039370078741" top="0.74803149606299213" bottom="0.74803149606299213" header="0" footer="0"/>
  <pageSetup scale="65" orientation="landscape"/>
  <headerFooter>
    <oddFooter>&amp;REstado Analítico del ejercicio del presupuesto de egresos clasificación económica (por tipo de gasto) Página &amp;P de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5703125" customWidth="1"/>
    <col min="2" max="2" width="85.7109375" customWidth="1"/>
    <col min="3" max="8" width="18" customWidth="1"/>
    <col min="9" max="9" width="1" customWidth="1"/>
    <col min="10" max="26" width="10.7109375" customWidth="1"/>
  </cols>
  <sheetData>
    <row r="1" spans="1:26" ht="41.25" customHeight="1">
      <c r="A1" s="835" t="str">
        <f>"Nombre del Ente Público: "&amp;Validacion!A2</f>
        <v>Nombre del Ente Público: Guadalajara</v>
      </c>
      <c r="B1" s="746"/>
      <c r="C1" s="746"/>
      <c r="D1" s="746"/>
      <c r="E1" s="746"/>
      <c r="F1" s="746"/>
      <c r="G1" s="746"/>
      <c r="H1" s="888"/>
      <c r="I1" s="687"/>
      <c r="J1" s="131"/>
      <c r="K1" s="131"/>
      <c r="L1" s="131"/>
      <c r="M1" s="131"/>
      <c r="N1" s="131"/>
      <c r="O1" s="131"/>
      <c r="P1" s="131"/>
      <c r="Q1" s="131"/>
      <c r="R1" s="131"/>
      <c r="S1" s="131"/>
      <c r="T1" s="131"/>
      <c r="U1" s="131"/>
      <c r="V1" s="131"/>
      <c r="W1" s="131"/>
      <c r="X1" s="131"/>
      <c r="Y1" s="131"/>
      <c r="Z1" s="131"/>
    </row>
    <row r="2" spans="1:26" ht="18.75">
      <c r="A2" s="836" t="s">
        <v>6254</v>
      </c>
      <c r="B2" s="749"/>
      <c r="C2" s="749"/>
      <c r="D2" s="749"/>
      <c r="E2" s="749"/>
      <c r="F2" s="749"/>
      <c r="G2" s="749"/>
      <c r="H2" s="831"/>
      <c r="I2" s="188"/>
      <c r="J2" s="131"/>
      <c r="K2" s="131"/>
      <c r="L2" s="131"/>
      <c r="M2" s="131"/>
      <c r="N2" s="131"/>
      <c r="O2" s="131"/>
      <c r="P2" s="131"/>
      <c r="Q2" s="131"/>
      <c r="R2" s="131"/>
      <c r="S2" s="131"/>
      <c r="T2" s="131"/>
      <c r="U2" s="131"/>
      <c r="V2" s="131"/>
      <c r="W2" s="131"/>
      <c r="X2" s="131"/>
      <c r="Y2" s="131"/>
      <c r="Z2" s="131"/>
    </row>
    <row r="3" spans="1:26" ht="18.75">
      <c r="A3" s="836" t="s">
        <v>6278</v>
      </c>
      <c r="B3" s="749"/>
      <c r="C3" s="749"/>
      <c r="D3" s="749"/>
      <c r="E3" s="749"/>
      <c r="F3" s="749"/>
      <c r="G3" s="749"/>
      <c r="H3" s="831"/>
      <c r="I3" s="188"/>
      <c r="J3" s="131"/>
      <c r="K3" s="131"/>
      <c r="L3" s="131"/>
      <c r="M3" s="131"/>
      <c r="N3" s="131"/>
      <c r="O3" s="131"/>
      <c r="P3" s="131"/>
      <c r="Q3" s="131"/>
      <c r="R3" s="131"/>
      <c r="S3" s="131"/>
      <c r="T3" s="131"/>
      <c r="U3" s="131"/>
      <c r="V3" s="131"/>
      <c r="W3" s="131"/>
      <c r="X3" s="131"/>
      <c r="Y3" s="131"/>
      <c r="Z3" s="131"/>
    </row>
    <row r="4" spans="1:26" ht="15.75">
      <c r="A4" s="837" t="e">
        <f>'F6'!A3</f>
        <v>#REF!</v>
      </c>
      <c r="B4" s="749"/>
      <c r="C4" s="749"/>
      <c r="D4" s="749"/>
      <c r="E4" s="749"/>
      <c r="F4" s="749"/>
      <c r="G4" s="749"/>
      <c r="H4" s="831"/>
      <c r="I4" s="688"/>
      <c r="J4" s="131"/>
      <c r="K4" s="131"/>
      <c r="L4" s="131"/>
      <c r="M4" s="131"/>
      <c r="N4" s="131"/>
      <c r="O4" s="131"/>
      <c r="P4" s="131"/>
      <c r="Q4" s="131"/>
      <c r="R4" s="131"/>
      <c r="S4" s="131"/>
      <c r="T4" s="131"/>
      <c r="U4" s="131"/>
      <c r="V4" s="131"/>
      <c r="W4" s="131"/>
      <c r="X4" s="131"/>
      <c r="Y4" s="131"/>
      <c r="Z4" s="131"/>
    </row>
    <row r="5" spans="1:26" ht="15.75">
      <c r="A5" s="813" t="s">
        <v>4426</v>
      </c>
      <c r="B5" s="753"/>
      <c r="C5" s="753"/>
      <c r="D5" s="753"/>
      <c r="E5" s="753"/>
      <c r="F5" s="753"/>
      <c r="G5" s="753"/>
      <c r="H5" s="889"/>
      <c r="I5" s="689"/>
      <c r="J5" s="131"/>
      <c r="K5" s="131"/>
      <c r="L5" s="131"/>
      <c r="M5" s="131"/>
      <c r="N5" s="131"/>
      <c r="O5" s="131"/>
      <c r="P5" s="131"/>
      <c r="Q5" s="131"/>
      <c r="R5" s="131"/>
      <c r="S5" s="131"/>
      <c r="T5" s="131"/>
      <c r="U5" s="131"/>
      <c r="V5" s="131"/>
      <c r="W5" s="131"/>
      <c r="X5" s="131"/>
      <c r="Y5" s="131"/>
      <c r="Z5" s="131"/>
    </row>
    <row r="6" spans="1:26" ht="15" customHeight="1">
      <c r="A6" s="823" t="s">
        <v>4379</v>
      </c>
      <c r="B6" s="778"/>
      <c r="C6" s="934" t="s">
        <v>88</v>
      </c>
      <c r="D6" s="756"/>
      <c r="E6" s="756"/>
      <c r="F6" s="756"/>
      <c r="G6" s="733"/>
      <c r="H6" s="954" t="s">
        <v>6256</v>
      </c>
      <c r="I6" s="188"/>
      <c r="J6" s="131"/>
      <c r="K6" s="131"/>
      <c r="L6" s="131"/>
      <c r="M6" s="131"/>
      <c r="N6" s="131"/>
      <c r="O6" s="131"/>
      <c r="P6" s="131"/>
      <c r="Q6" s="131"/>
      <c r="R6" s="131"/>
      <c r="S6" s="131"/>
      <c r="T6" s="131"/>
      <c r="U6" s="131"/>
      <c r="V6" s="131"/>
      <c r="W6" s="131"/>
      <c r="X6" s="131"/>
      <c r="Y6" s="131"/>
      <c r="Z6" s="131"/>
    </row>
    <row r="7" spans="1:26" ht="24">
      <c r="A7" s="779"/>
      <c r="B7" s="780"/>
      <c r="C7" s="252" t="s">
        <v>6257</v>
      </c>
      <c r="D7" s="252" t="s">
        <v>4431</v>
      </c>
      <c r="E7" s="252" t="s">
        <v>4432</v>
      </c>
      <c r="F7" s="252" t="s">
        <v>4433</v>
      </c>
      <c r="G7" s="252" t="s">
        <v>6258</v>
      </c>
      <c r="H7" s="827"/>
      <c r="I7" s="188"/>
      <c r="J7" s="131"/>
      <c r="K7" s="131"/>
      <c r="L7" s="131"/>
      <c r="M7" s="131"/>
      <c r="N7" s="131"/>
      <c r="O7" s="131"/>
      <c r="P7" s="131"/>
      <c r="Q7" s="131"/>
      <c r="R7" s="131"/>
      <c r="S7" s="131"/>
      <c r="T7" s="131"/>
      <c r="U7" s="131"/>
      <c r="V7" s="131"/>
      <c r="W7" s="131"/>
      <c r="X7" s="131"/>
      <c r="Y7" s="131"/>
      <c r="Z7" s="131"/>
    </row>
    <row r="8" spans="1:26" ht="14.25" customHeight="1">
      <c r="A8" s="955" t="s">
        <v>7449</v>
      </c>
      <c r="B8" s="778"/>
      <c r="C8" s="690">
        <f t="shared" ref="C8:D8" si="0">SUM(C9:C16)</f>
        <v>0</v>
      </c>
      <c r="D8" s="690">
        <f t="shared" si="0"/>
        <v>0</v>
      </c>
      <c r="E8" s="690">
        <f t="shared" ref="E8:E40" si="1">C8+D8</f>
        <v>0</v>
      </c>
      <c r="F8" s="690">
        <f t="shared" ref="F8:G8" si="2">SUM(F9:F16)</f>
        <v>0</v>
      </c>
      <c r="G8" s="690">
        <f t="shared" si="2"/>
        <v>0</v>
      </c>
      <c r="H8" s="691">
        <f t="shared" ref="H8:H40" si="3">E8-F8</f>
        <v>0</v>
      </c>
      <c r="I8" s="188"/>
      <c r="J8" s="131"/>
      <c r="K8" s="131"/>
      <c r="L8" s="131"/>
      <c r="M8" s="131"/>
      <c r="N8" s="131"/>
      <c r="O8" s="131"/>
      <c r="P8" s="131"/>
      <c r="Q8" s="131"/>
      <c r="R8" s="131"/>
      <c r="S8" s="131"/>
      <c r="T8" s="131"/>
      <c r="U8" s="131"/>
      <c r="V8" s="131"/>
      <c r="W8" s="131"/>
      <c r="X8" s="131"/>
      <c r="Y8" s="131"/>
      <c r="Z8" s="131"/>
    </row>
    <row r="9" spans="1:26">
      <c r="A9" s="190"/>
      <c r="B9" s="284" t="s">
        <v>7450</v>
      </c>
      <c r="C9" s="256">
        <f>F19A!D10+F19A!D44</f>
        <v>0</v>
      </c>
      <c r="D9" s="256">
        <f>F19A!E10+F19A!E44</f>
        <v>0</v>
      </c>
      <c r="E9" s="692">
        <f t="shared" si="1"/>
        <v>0</v>
      </c>
      <c r="F9" s="256">
        <f>F19A!G10+F19A!G44</f>
        <v>0</v>
      </c>
      <c r="G9" s="256">
        <f>F19A!H10+F19A!H44</f>
        <v>0</v>
      </c>
      <c r="H9" s="693">
        <f t="shared" si="3"/>
        <v>0</v>
      </c>
      <c r="I9" s="188"/>
      <c r="J9" s="131"/>
      <c r="K9" s="131"/>
      <c r="L9" s="131"/>
      <c r="M9" s="131"/>
      <c r="N9" s="131"/>
      <c r="O9" s="131"/>
      <c r="P9" s="131"/>
      <c r="Q9" s="131"/>
      <c r="R9" s="131"/>
      <c r="S9" s="131"/>
      <c r="T9" s="131"/>
      <c r="U9" s="131"/>
      <c r="V9" s="131"/>
      <c r="W9" s="131"/>
      <c r="X9" s="131"/>
      <c r="Y9" s="131"/>
      <c r="Z9" s="131"/>
    </row>
    <row r="10" spans="1:26">
      <c r="A10" s="188"/>
      <c r="B10" s="284" t="s">
        <v>7451</v>
      </c>
      <c r="C10" s="256">
        <f>F19A!D11+F19A!D45</f>
        <v>0</v>
      </c>
      <c r="D10" s="256">
        <f>F19A!E11+F19A!E45</f>
        <v>0</v>
      </c>
      <c r="E10" s="692">
        <f t="shared" si="1"/>
        <v>0</v>
      </c>
      <c r="F10" s="256">
        <f>F19A!G11+F19A!G45</f>
        <v>0</v>
      </c>
      <c r="G10" s="256">
        <f>F19A!H11+F19A!H45</f>
        <v>0</v>
      </c>
      <c r="H10" s="693">
        <f t="shared" si="3"/>
        <v>0</v>
      </c>
      <c r="I10" s="188"/>
      <c r="J10" s="131"/>
      <c r="K10" s="131"/>
      <c r="L10" s="131"/>
      <c r="M10" s="131"/>
      <c r="N10" s="131"/>
      <c r="O10" s="131"/>
      <c r="P10" s="131"/>
      <c r="Q10" s="131"/>
      <c r="R10" s="131"/>
      <c r="S10" s="131"/>
      <c r="T10" s="131"/>
      <c r="U10" s="131"/>
      <c r="V10" s="131"/>
      <c r="W10" s="131"/>
      <c r="X10" s="131"/>
      <c r="Y10" s="131"/>
      <c r="Z10" s="131"/>
    </row>
    <row r="11" spans="1:26">
      <c r="A11" s="188"/>
      <c r="B11" s="284" t="s">
        <v>7452</v>
      </c>
      <c r="C11" s="256">
        <f>F19A!D12+F19A!D46</f>
        <v>0</v>
      </c>
      <c r="D11" s="256">
        <f>F19A!E12+F19A!E46</f>
        <v>0</v>
      </c>
      <c r="E11" s="692">
        <f t="shared" si="1"/>
        <v>0</v>
      </c>
      <c r="F11" s="256">
        <f>F19A!G12+F19A!G46</f>
        <v>0</v>
      </c>
      <c r="G11" s="256">
        <f>F19A!H12+F19A!H46</f>
        <v>0</v>
      </c>
      <c r="H11" s="693">
        <f t="shared" si="3"/>
        <v>0</v>
      </c>
      <c r="I11" s="188"/>
      <c r="J11" s="131"/>
      <c r="K11" s="131"/>
      <c r="L11" s="131"/>
      <c r="M11" s="131"/>
      <c r="N11" s="131"/>
      <c r="O11" s="131"/>
      <c r="P11" s="131"/>
      <c r="Q11" s="131"/>
      <c r="R11" s="131"/>
      <c r="S11" s="131"/>
      <c r="T11" s="131"/>
      <c r="U11" s="131"/>
      <c r="V11" s="131"/>
      <c r="W11" s="131"/>
      <c r="X11" s="131"/>
      <c r="Y11" s="131"/>
      <c r="Z11" s="131"/>
    </row>
    <row r="12" spans="1:26">
      <c r="A12" s="188"/>
      <c r="B12" s="284" t="s">
        <v>7453</v>
      </c>
      <c r="C12" s="256">
        <f>F19A!D13+F19A!D47</f>
        <v>0</v>
      </c>
      <c r="D12" s="256">
        <f>F19A!E13+F19A!E47</f>
        <v>0</v>
      </c>
      <c r="E12" s="692">
        <f t="shared" si="1"/>
        <v>0</v>
      </c>
      <c r="F12" s="256">
        <f>F19A!G13+F19A!G47</f>
        <v>0</v>
      </c>
      <c r="G12" s="256">
        <f>F19A!H13+F19A!H47</f>
        <v>0</v>
      </c>
      <c r="H12" s="693">
        <f t="shared" si="3"/>
        <v>0</v>
      </c>
      <c r="I12" s="188"/>
      <c r="J12" s="131"/>
      <c r="K12" s="131"/>
      <c r="L12" s="131"/>
      <c r="M12" s="131"/>
      <c r="N12" s="131"/>
      <c r="O12" s="131"/>
      <c r="P12" s="131"/>
      <c r="Q12" s="131"/>
      <c r="R12" s="131"/>
      <c r="S12" s="131"/>
      <c r="T12" s="131"/>
      <c r="U12" s="131"/>
      <c r="V12" s="131"/>
      <c r="W12" s="131"/>
      <c r="X12" s="131"/>
      <c r="Y12" s="131"/>
      <c r="Z12" s="131"/>
    </row>
    <row r="13" spans="1:26">
      <c r="A13" s="188"/>
      <c r="B13" s="284" t="s">
        <v>7454</v>
      </c>
      <c r="C13" s="256">
        <f>F19A!D14+F19A!D48</f>
        <v>0</v>
      </c>
      <c r="D13" s="256">
        <f>F19A!E14+F19A!E48</f>
        <v>0</v>
      </c>
      <c r="E13" s="692">
        <f t="shared" si="1"/>
        <v>0</v>
      </c>
      <c r="F13" s="256">
        <f>F19A!G14+F19A!G48</f>
        <v>0</v>
      </c>
      <c r="G13" s="256">
        <f>F19A!H14+F19A!H48</f>
        <v>0</v>
      </c>
      <c r="H13" s="693">
        <f t="shared" si="3"/>
        <v>0</v>
      </c>
      <c r="I13" s="188"/>
      <c r="J13" s="131"/>
      <c r="K13" s="131"/>
      <c r="L13" s="131"/>
      <c r="M13" s="131"/>
      <c r="N13" s="131"/>
      <c r="O13" s="131"/>
      <c r="P13" s="131"/>
      <c r="Q13" s="131"/>
      <c r="R13" s="131"/>
      <c r="S13" s="131"/>
      <c r="T13" s="131"/>
      <c r="U13" s="131"/>
      <c r="V13" s="131"/>
      <c r="W13" s="131"/>
      <c r="X13" s="131"/>
      <c r="Y13" s="131"/>
      <c r="Z13" s="131"/>
    </row>
    <row r="14" spans="1:26">
      <c r="A14" s="188"/>
      <c r="B14" s="284" t="s">
        <v>7455</v>
      </c>
      <c r="C14" s="256">
        <f>F19A!D15+F19A!D49</f>
        <v>0</v>
      </c>
      <c r="D14" s="256">
        <f>F19A!E15+F19A!E49</f>
        <v>0</v>
      </c>
      <c r="E14" s="692">
        <f t="shared" si="1"/>
        <v>0</v>
      </c>
      <c r="F14" s="256">
        <f>F19A!G15+F19A!G49</f>
        <v>0</v>
      </c>
      <c r="G14" s="256">
        <f>F19A!H15+F19A!H49</f>
        <v>0</v>
      </c>
      <c r="H14" s="693">
        <f t="shared" si="3"/>
        <v>0</v>
      </c>
      <c r="I14" s="188"/>
      <c r="J14" s="131"/>
      <c r="K14" s="131"/>
      <c r="L14" s="131"/>
      <c r="M14" s="131"/>
      <c r="N14" s="131"/>
      <c r="O14" s="131"/>
      <c r="P14" s="131"/>
      <c r="Q14" s="131"/>
      <c r="R14" s="131"/>
      <c r="S14" s="131"/>
      <c r="T14" s="131"/>
      <c r="U14" s="131"/>
      <c r="V14" s="131"/>
      <c r="W14" s="131"/>
      <c r="X14" s="131"/>
      <c r="Y14" s="131"/>
      <c r="Z14" s="131"/>
    </row>
    <row r="15" spans="1:26">
      <c r="A15" s="188"/>
      <c r="B15" s="284" t="s">
        <v>7456</v>
      </c>
      <c r="C15" s="256">
        <f>F19A!D16+F19A!D50</f>
        <v>0</v>
      </c>
      <c r="D15" s="256">
        <f>F19A!E16+F19A!E50</f>
        <v>0</v>
      </c>
      <c r="E15" s="692">
        <f t="shared" si="1"/>
        <v>0</v>
      </c>
      <c r="F15" s="256">
        <f>F19A!G16+F19A!G50</f>
        <v>0</v>
      </c>
      <c r="G15" s="256">
        <f>F19A!H16+F19A!H50</f>
        <v>0</v>
      </c>
      <c r="H15" s="693">
        <f t="shared" si="3"/>
        <v>0</v>
      </c>
      <c r="I15" s="188"/>
      <c r="J15" s="131"/>
      <c r="K15" s="131"/>
      <c r="L15" s="131"/>
      <c r="M15" s="131"/>
      <c r="N15" s="131"/>
      <c r="O15" s="131"/>
      <c r="P15" s="131"/>
      <c r="Q15" s="131"/>
      <c r="R15" s="131"/>
      <c r="S15" s="131"/>
      <c r="T15" s="131"/>
      <c r="U15" s="131"/>
      <c r="V15" s="131"/>
      <c r="W15" s="131"/>
      <c r="X15" s="131"/>
      <c r="Y15" s="131"/>
      <c r="Z15" s="131"/>
    </row>
    <row r="16" spans="1:26">
      <c r="A16" s="188"/>
      <c r="B16" s="284" t="s">
        <v>7294</v>
      </c>
      <c r="C16" s="256">
        <f>F19A!D17+F19A!D51</f>
        <v>0</v>
      </c>
      <c r="D16" s="256">
        <f>F19A!E17+F19A!E51</f>
        <v>0</v>
      </c>
      <c r="E16" s="692">
        <f t="shared" si="1"/>
        <v>0</v>
      </c>
      <c r="F16" s="256">
        <f>F19A!G17+F19A!G51</f>
        <v>0</v>
      </c>
      <c r="G16" s="256">
        <f>F19A!H17+F19A!H51</f>
        <v>0</v>
      </c>
      <c r="H16" s="693">
        <f t="shared" si="3"/>
        <v>0</v>
      </c>
      <c r="I16" s="188"/>
      <c r="J16" s="131"/>
      <c r="K16" s="131"/>
      <c r="L16" s="131"/>
      <c r="M16" s="131"/>
      <c r="N16" s="131"/>
      <c r="O16" s="131"/>
      <c r="P16" s="131"/>
      <c r="Q16" s="131"/>
      <c r="R16" s="131"/>
      <c r="S16" s="131"/>
      <c r="T16" s="131"/>
      <c r="U16" s="131"/>
      <c r="V16" s="131"/>
      <c r="W16" s="131"/>
      <c r="X16" s="131"/>
      <c r="Y16" s="131"/>
      <c r="Z16" s="131"/>
    </row>
    <row r="17" spans="1:26" ht="14.25" customHeight="1">
      <c r="A17" s="956" t="s">
        <v>7457</v>
      </c>
      <c r="B17" s="783"/>
      <c r="C17" s="281">
        <f t="shared" ref="C17:D17" si="4">SUM(C18:C24)</f>
        <v>0</v>
      </c>
      <c r="D17" s="281">
        <f t="shared" si="4"/>
        <v>0</v>
      </c>
      <c r="E17" s="281">
        <f t="shared" si="1"/>
        <v>0</v>
      </c>
      <c r="F17" s="281">
        <f t="shared" ref="F17:G17" si="5">SUM(F18:F24)</f>
        <v>0</v>
      </c>
      <c r="G17" s="281">
        <f t="shared" si="5"/>
        <v>0</v>
      </c>
      <c r="H17" s="282">
        <f t="shared" si="3"/>
        <v>0</v>
      </c>
      <c r="I17" s="188"/>
      <c r="J17" s="131"/>
      <c r="K17" s="131"/>
      <c r="L17" s="131"/>
      <c r="M17" s="131"/>
      <c r="N17" s="131"/>
      <c r="O17" s="131"/>
      <c r="P17" s="131"/>
      <c r="Q17" s="131"/>
      <c r="R17" s="131"/>
      <c r="S17" s="131"/>
      <c r="T17" s="131"/>
      <c r="U17" s="131"/>
      <c r="V17" s="131"/>
      <c r="W17" s="131"/>
      <c r="X17" s="131"/>
      <c r="Y17" s="131"/>
      <c r="Z17" s="131"/>
    </row>
    <row r="18" spans="1:26">
      <c r="A18" s="190"/>
      <c r="B18" s="284" t="s">
        <v>7458</v>
      </c>
      <c r="C18" s="256">
        <f>F19A!D19+F19A!D53</f>
        <v>0</v>
      </c>
      <c r="D18" s="256">
        <f>F19A!E19+F19A!E53</f>
        <v>0</v>
      </c>
      <c r="E18" s="692">
        <f t="shared" si="1"/>
        <v>0</v>
      </c>
      <c r="F18" s="256">
        <f>F19A!G19+F19A!G53</f>
        <v>0</v>
      </c>
      <c r="G18" s="256">
        <f>F19A!H19+F19A!H53</f>
        <v>0</v>
      </c>
      <c r="H18" s="693">
        <f t="shared" si="3"/>
        <v>0</v>
      </c>
      <c r="I18" s="188"/>
      <c r="J18" s="131"/>
      <c r="K18" s="131"/>
      <c r="L18" s="131"/>
      <c r="M18" s="131"/>
      <c r="N18" s="131"/>
      <c r="O18" s="131"/>
      <c r="P18" s="131"/>
      <c r="Q18" s="131"/>
      <c r="R18" s="131"/>
      <c r="S18" s="131"/>
      <c r="T18" s="131"/>
      <c r="U18" s="131"/>
      <c r="V18" s="131"/>
      <c r="W18" s="131"/>
      <c r="X18" s="131"/>
      <c r="Y18" s="131"/>
      <c r="Z18" s="131"/>
    </row>
    <row r="19" spans="1:26">
      <c r="A19" s="188"/>
      <c r="B19" s="284" t="s">
        <v>7459</v>
      </c>
      <c r="C19" s="256">
        <f>F19A!D20+F19A!D54</f>
        <v>0</v>
      </c>
      <c r="D19" s="256">
        <f>F19A!E20+F19A!E54</f>
        <v>0</v>
      </c>
      <c r="E19" s="692">
        <f t="shared" si="1"/>
        <v>0</v>
      </c>
      <c r="F19" s="256">
        <f>F19A!G20+F19A!G54</f>
        <v>0</v>
      </c>
      <c r="G19" s="256">
        <f>F19A!H20+F19A!H54</f>
        <v>0</v>
      </c>
      <c r="H19" s="693">
        <f t="shared" si="3"/>
        <v>0</v>
      </c>
      <c r="I19" s="188"/>
      <c r="J19" s="131"/>
      <c r="K19" s="131"/>
      <c r="L19" s="131"/>
      <c r="M19" s="131"/>
      <c r="N19" s="131"/>
      <c r="O19" s="131"/>
      <c r="P19" s="131"/>
      <c r="Q19" s="131"/>
      <c r="R19" s="131"/>
      <c r="S19" s="131"/>
      <c r="T19" s="131"/>
      <c r="U19" s="131"/>
      <c r="V19" s="131"/>
      <c r="W19" s="131"/>
      <c r="X19" s="131"/>
      <c r="Y19" s="131"/>
      <c r="Z19" s="131"/>
    </row>
    <row r="20" spans="1:26">
      <c r="A20" s="188"/>
      <c r="B20" s="284" t="s">
        <v>7460</v>
      </c>
      <c r="C20" s="256">
        <f>F19A!D21+F19A!D55</f>
        <v>0</v>
      </c>
      <c r="D20" s="256">
        <f>F19A!E21+F19A!E55</f>
        <v>0</v>
      </c>
      <c r="E20" s="692">
        <f t="shared" si="1"/>
        <v>0</v>
      </c>
      <c r="F20" s="256">
        <f>F19A!G21+F19A!G55</f>
        <v>0</v>
      </c>
      <c r="G20" s="256">
        <f>F19A!H21+F19A!H55</f>
        <v>0</v>
      </c>
      <c r="H20" s="693">
        <f t="shared" si="3"/>
        <v>0</v>
      </c>
      <c r="I20" s="188"/>
      <c r="J20" s="131"/>
      <c r="K20" s="131"/>
      <c r="L20" s="131"/>
      <c r="M20" s="131"/>
      <c r="N20" s="131"/>
      <c r="O20" s="131"/>
      <c r="P20" s="131"/>
      <c r="Q20" s="131"/>
      <c r="R20" s="131"/>
      <c r="S20" s="131"/>
      <c r="T20" s="131"/>
      <c r="U20" s="131"/>
      <c r="V20" s="131"/>
      <c r="W20" s="131"/>
      <c r="X20" s="131"/>
      <c r="Y20" s="131"/>
      <c r="Z20" s="131"/>
    </row>
    <row r="21" spans="1:26" ht="15.75" customHeight="1">
      <c r="A21" s="188"/>
      <c r="B21" s="284" t="s">
        <v>7461</v>
      </c>
      <c r="C21" s="256">
        <f>F19A!D22+F19A!D56</f>
        <v>0</v>
      </c>
      <c r="D21" s="256">
        <f>F19A!E22+F19A!E56</f>
        <v>0</v>
      </c>
      <c r="E21" s="692">
        <f t="shared" si="1"/>
        <v>0</v>
      </c>
      <c r="F21" s="256">
        <f>F19A!G22+F19A!G56</f>
        <v>0</v>
      </c>
      <c r="G21" s="256">
        <f>F19A!H22+F19A!H56</f>
        <v>0</v>
      </c>
      <c r="H21" s="693">
        <f t="shared" si="3"/>
        <v>0</v>
      </c>
      <c r="I21" s="188"/>
      <c r="J21" s="131"/>
      <c r="K21" s="131"/>
      <c r="L21" s="131"/>
      <c r="M21" s="131"/>
      <c r="N21" s="131"/>
      <c r="O21" s="131"/>
      <c r="P21" s="131"/>
      <c r="Q21" s="131"/>
      <c r="R21" s="131"/>
      <c r="S21" s="131"/>
      <c r="T21" s="131"/>
      <c r="U21" s="131"/>
      <c r="V21" s="131"/>
      <c r="W21" s="131"/>
      <c r="X21" s="131"/>
      <c r="Y21" s="131"/>
      <c r="Z21" s="131"/>
    </row>
    <row r="22" spans="1:26" ht="15.75" customHeight="1">
      <c r="A22" s="188"/>
      <c r="B22" s="284" t="s">
        <v>7462</v>
      </c>
      <c r="C22" s="256">
        <f>F19A!D23+F19A!D57</f>
        <v>0</v>
      </c>
      <c r="D22" s="256">
        <f>F19A!E23+F19A!E57</f>
        <v>0</v>
      </c>
      <c r="E22" s="692">
        <f t="shared" si="1"/>
        <v>0</v>
      </c>
      <c r="F22" s="256">
        <f>F19A!G23+F19A!G57</f>
        <v>0</v>
      </c>
      <c r="G22" s="256">
        <f>F19A!H23+F19A!H57</f>
        <v>0</v>
      </c>
      <c r="H22" s="693">
        <f t="shared" si="3"/>
        <v>0</v>
      </c>
      <c r="I22" s="188"/>
      <c r="J22" s="131"/>
      <c r="K22" s="131"/>
      <c r="L22" s="131"/>
      <c r="M22" s="131"/>
      <c r="N22" s="131"/>
      <c r="O22" s="131"/>
      <c r="P22" s="131"/>
      <c r="Q22" s="131"/>
      <c r="R22" s="131"/>
      <c r="S22" s="131"/>
      <c r="T22" s="131"/>
      <c r="U22" s="131"/>
      <c r="V22" s="131"/>
      <c r="W22" s="131"/>
      <c r="X22" s="131"/>
      <c r="Y22" s="131"/>
      <c r="Z22" s="131"/>
    </row>
    <row r="23" spans="1:26" ht="15.75" customHeight="1">
      <c r="A23" s="188"/>
      <c r="B23" s="284" t="s">
        <v>7463</v>
      </c>
      <c r="C23" s="256">
        <f>F19A!D24+F19A!D58</f>
        <v>0</v>
      </c>
      <c r="D23" s="256">
        <f>F19A!E24+F19A!E58</f>
        <v>0</v>
      </c>
      <c r="E23" s="692">
        <f t="shared" si="1"/>
        <v>0</v>
      </c>
      <c r="F23" s="256">
        <f>F19A!G24+F19A!G58</f>
        <v>0</v>
      </c>
      <c r="G23" s="256">
        <f>F19A!H24+F19A!H58</f>
        <v>0</v>
      </c>
      <c r="H23" s="693">
        <f t="shared" si="3"/>
        <v>0</v>
      </c>
      <c r="I23" s="188"/>
      <c r="J23" s="131"/>
      <c r="K23" s="131"/>
      <c r="L23" s="131"/>
      <c r="M23" s="131"/>
      <c r="N23" s="131"/>
      <c r="O23" s="131"/>
      <c r="P23" s="131"/>
      <c r="Q23" s="131"/>
      <c r="R23" s="131"/>
      <c r="S23" s="131"/>
      <c r="T23" s="131"/>
      <c r="U23" s="131"/>
      <c r="V23" s="131"/>
      <c r="W23" s="131"/>
      <c r="X23" s="131"/>
      <c r="Y23" s="131"/>
      <c r="Z23" s="131"/>
    </row>
    <row r="24" spans="1:26" ht="15.75" customHeight="1">
      <c r="A24" s="188"/>
      <c r="B24" s="284" t="s">
        <v>7464</v>
      </c>
      <c r="C24" s="256">
        <f>F19A!D25+F19A!D59</f>
        <v>0</v>
      </c>
      <c r="D24" s="256">
        <f>F19A!E25+F19A!E59</f>
        <v>0</v>
      </c>
      <c r="E24" s="692">
        <f t="shared" si="1"/>
        <v>0</v>
      </c>
      <c r="F24" s="256">
        <f>F19A!G25+F19A!G59</f>
        <v>0</v>
      </c>
      <c r="G24" s="256">
        <f>F19A!H25+F19A!H59</f>
        <v>0</v>
      </c>
      <c r="H24" s="693">
        <f t="shared" si="3"/>
        <v>0</v>
      </c>
      <c r="I24" s="188"/>
      <c r="J24" s="131"/>
      <c r="K24" s="131"/>
      <c r="L24" s="131"/>
      <c r="M24" s="131"/>
      <c r="N24" s="131"/>
      <c r="O24" s="131"/>
      <c r="P24" s="131"/>
      <c r="Q24" s="131"/>
      <c r="R24" s="131"/>
      <c r="S24" s="131"/>
      <c r="T24" s="131"/>
      <c r="U24" s="131"/>
      <c r="V24" s="131"/>
      <c r="W24" s="131"/>
      <c r="X24" s="131"/>
      <c r="Y24" s="131"/>
      <c r="Z24" s="131"/>
    </row>
    <row r="25" spans="1:26" ht="14.25" customHeight="1">
      <c r="A25" s="956" t="s">
        <v>7465</v>
      </c>
      <c r="B25" s="783"/>
      <c r="C25" s="303">
        <f t="shared" ref="C25:D25" si="6">SUM(C26:C34)</f>
        <v>0</v>
      </c>
      <c r="D25" s="303">
        <f t="shared" si="6"/>
        <v>0</v>
      </c>
      <c r="E25" s="303">
        <f t="shared" si="1"/>
        <v>0</v>
      </c>
      <c r="F25" s="303">
        <f t="shared" ref="F25:G25" si="7">SUM(F26:F34)</f>
        <v>0</v>
      </c>
      <c r="G25" s="303">
        <f t="shared" si="7"/>
        <v>0</v>
      </c>
      <c r="H25" s="304">
        <f t="shared" si="3"/>
        <v>0</v>
      </c>
      <c r="I25" s="188"/>
      <c r="J25" s="131"/>
      <c r="K25" s="131"/>
      <c r="L25" s="131"/>
      <c r="M25" s="131"/>
      <c r="N25" s="131"/>
      <c r="O25" s="131"/>
      <c r="P25" s="131"/>
      <c r="Q25" s="131"/>
      <c r="R25" s="131"/>
      <c r="S25" s="131"/>
      <c r="T25" s="131"/>
      <c r="U25" s="131"/>
      <c r="V25" s="131"/>
      <c r="W25" s="131"/>
      <c r="X25" s="131"/>
      <c r="Y25" s="131"/>
      <c r="Z25" s="131"/>
    </row>
    <row r="26" spans="1:26" ht="15.75" customHeight="1">
      <c r="A26" s="190"/>
      <c r="B26" s="284" t="s">
        <v>7466</v>
      </c>
      <c r="C26" s="256">
        <f>F19A!D27+F19A!D61</f>
        <v>0</v>
      </c>
      <c r="D26" s="256">
        <f>F19A!E27+F19A!E61</f>
        <v>0</v>
      </c>
      <c r="E26" s="692">
        <f t="shared" si="1"/>
        <v>0</v>
      </c>
      <c r="F26" s="256">
        <f>F19A!G27+F19A!G61</f>
        <v>0</v>
      </c>
      <c r="G26" s="256">
        <f>F19A!H27+F19A!H61</f>
        <v>0</v>
      </c>
      <c r="H26" s="693">
        <f t="shared" si="3"/>
        <v>0</v>
      </c>
      <c r="I26" s="188"/>
      <c r="J26" s="131"/>
      <c r="K26" s="131"/>
      <c r="L26" s="131"/>
      <c r="M26" s="131"/>
      <c r="N26" s="131"/>
      <c r="O26" s="131"/>
      <c r="P26" s="131"/>
      <c r="Q26" s="131"/>
      <c r="R26" s="131"/>
      <c r="S26" s="131"/>
      <c r="T26" s="131"/>
      <c r="U26" s="131"/>
      <c r="V26" s="131"/>
      <c r="W26" s="131"/>
      <c r="X26" s="131"/>
      <c r="Y26" s="131"/>
      <c r="Z26" s="131"/>
    </row>
    <row r="27" spans="1:26" ht="15.75" customHeight="1">
      <c r="A27" s="188"/>
      <c r="B27" s="284" t="s">
        <v>7467</v>
      </c>
      <c r="C27" s="256">
        <f>F19A!D28+F19A!D62</f>
        <v>0</v>
      </c>
      <c r="D27" s="256">
        <f>F19A!E28+F19A!E62</f>
        <v>0</v>
      </c>
      <c r="E27" s="692">
        <f t="shared" si="1"/>
        <v>0</v>
      </c>
      <c r="F27" s="256">
        <f>F19A!G28+F19A!G62</f>
        <v>0</v>
      </c>
      <c r="G27" s="256">
        <f>F19A!H28+F19A!H62</f>
        <v>0</v>
      </c>
      <c r="H27" s="693">
        <f t="shared" si="3"/>
        <v>0</v>
      </c>
      <c r="I27" s="188"/>
      <c r="J27" s="131"/>
      <c r="K27" s="131"/>
      <c r="L27" s="131"/>
      <c r="M27" s="131"/>
      <c r="N27" s="131"/>
      <c r="O27" s="131"/>
      <c r="P27" s="131"/>
      <c r="Q27" s="131"/>
      <c r="R27" s="131"/>
      <c r="S27" s="131"/>
      <c r="T27" s="131"/>
      <c r="U27" s="131"/>
      <c r="V27" s="131"/>
      <c r="W27" s="131"/>
      <c r="X27" s="131"/>
      <c r="Y27" s="131"/>
      <c r="Z27" s="131"/>
    </row>
    <row r="28" spans="1:26" ht="15.75" customHeight="1">
      <c r="A28" s="188"/>
      <c r="B28" s="284" t="s">
        <v>7468</v>
      </c>
      <c r="C28" s="256">
        <f>F19A!D29+F19A!D63</f>
        <v>0</v>
      </c>
      <c r="D28" s="256">
        <f>F19A!E29+F19A!E63</f>
        <v>0</v>
      </c>
      <c r="E28" s="692">
        <f t="shared" si="1"/>
        <v>0</v>
      </c>
      <c r="F28" s="256">
        <f>F19A!G29+F19A!G63</f>
        <v>0</v>
      </c>
      <c r="G28" s="256">
        <f>F19A!H29+F19A!H63</f>
        <v>0</v>
      </c>
      <c r="H28" s="693">
        <f t="shared" si="3"/>
        <v>0</v>
      </c>
      <c r="I28" s="188"/>
      <c r="J28" s="131"/>
      <c r="K28" s="131"/>
      <c r="L28" s="131"/>
      <c r="M28" s="131"/>
      <c r="N28" s="131"/>
      <c r="O28" s="131"/>
      <c r="P28" s="131"/>
      <c r="Q28" s="131"/>
      <c r="R28" s="131"/>
      <c r="S28" s="131"/>
      <c r="T28" s="131"/>
      <c r="U28" s="131"/>
      <c r="V28" s="131"/>
      <c r="W28" s="131"/>
      <c r="X28" s="131"/>
      <c r="Y28" s="131"/>
      <c r="Z28" s="131"/>
    </row>
    <row r="29" spans="1:26" ht="15.75" customHeight="1">
      <c r="A29" s="188"/>
      <c r="B29" s="284" t="s">
        <v>7469</v>
      </c>
      <c r="C29" s="256">
        <f>F19A!D30+F19A!D64</f>
        <v>0</v>
      </c>
      <c r="D29" s="256">
        <f>F19A!E30+F19A!E64</f>
        <v>0</v>
      </c>
      <c r="E29" s="692">
        <f t="shared" si="1"/>
        <v>0</v>
      </c>
      <c r="F29" s="256">
        <f>F19A!G30+F19A!G64</f>
        <v>0</v>
      </c>
      <c r="G29" s="256">
        <f>F19A!H30+F19A!H64</f>
        <v>0</v>
      </c>
      <c r="H29" s="693">
        <f t="shared" si="3"/>
        <v>0</v>
      </c>
      <c r="I29" s="188"/>
      <c r="J29" s="131"/>
      <c r="K29" s="131"/>
      <c r="L29" s="131"/>
      <c r="M29" s="131"/>
      <c r="N29" s="131"/>
      <c r="O29" s="131"/>
      <c r="P29" s="131"/>
      <c r="Q29" s="131"/>
      <c r="R29" s="131"/>
      <c r="S29" s="131"/>
      <c r="T29" s="131"/>
      <c r="U29" s="131"/>
      <c r="V29" s="131"/>
      <c r="W29" s="131"/>
      <c r="X29" s="131"/>
      <c r="Y29" s="131"/>
      <c r="Z29" s="131"/>
    </row>
    <row r="30" spans="1:26" ht="15.75" customHeight="1">
      <c r="A30" s="188"/>
      <c r="B30" s="284" t="s">
        <v>7470</v>
      </c>
      <c r="C30" s="256">
        <f>F19A!D31+F19A!D65</f>
        <v>0</v>
      </c>
      <c r="D30" s="256">
        <f>F19A!E31+F19A!E65</f>
        <v>0</v>
      </c>
      <c r="E30" s="692">
        <f t="shared" si="1"/>
        <v>0</v>
      </c>
      <c r="F30" s="256">
        <f>F19A!G31+F19A!G65</f>
        <v>0</v>
      </c>
      <c r="G30" s="256">
        <f>F19A!H31+F19A!H65</f>
        <v>0</v>
      </c>
      <c r="H30" s="693">
        <f t="shared" si="3"/>
        <v>0</v>
      </c>
      <c r="I30" s="188"/>
      <c r="J30" s="131"/>
      <c r="K30" s="131"/>
      <c r="L30" s="131"/>
      <c r="M30" s="131"/>
      <c r="N30" s="131"/>
      <c r="O30" s="131"/>
      <c r="P30" s="131"/>
      <c r="Q30" s="131"/>
      <c r="R30" s="131"/>
      <c r="S30" s="131"/>
      <c r="T30" s="131"/>
      <c r="U30" s="131"/>
      <c r="V30" s="131"/>
      <c r="W30" s="131"/>
      <c r="X30" s="131"/>
      <c r="Y30" s="131"/>
      <c r="Z30" s="131"/>
    </row>
    <row r="31" spans="1:26" ht="15.75" customHeight="1">
      <c r="A31" s="188"/>
      <c r="B31" s="284" t="s">
        <v>7471</v>
      </c>
      <c r="C31" s="256">
        <f>F19A!D32+F19A!D66</f>
        <v>0</v>
      </c>
      <c r="D31" s="256">
        <f>F19A!E32+F19A!E66</f>
        <v>0</v>
      </c>
      <c r="E31" s="692">
        <f t="shared" si="1"/>
        <v>0</v>
      </c>
      <c r="F31" s="256">
        <f>F19A!G32+F19A!G66</f>
        <v>0</v>
      </c>
      <c r="G31" s="256">
        <f>F19A!H32+F19A!H66</f>
        <v>0</v>
      </c>
      <c r="H31" s="693">
        <f t="shared" si="3"/>
        <v>0</v>
      </c>
      <c r="I31" s="188"/>
      <c r="J31" s="131"/>
      <c r="K31" s="131"/>
      <c r="L31" s="131"/>
      <c r="M31" s="131"/>
      <c r="N31" s="131"/>
      <c r="O31" s="131"/>
      <c r="P31" s="131"/>
      <c r="Q31" s="131"/>
      <c r="R31" s="131"/>
      <c r="S31" s="131"/>
      <c r="T31" s="131"/>
      <c r="U31" s="131"/>
      <c r="V31" s="131"/>
      <c r="W31" s="131"/>
      <c r="X31" s="131"/>
      <c r="Y31" s="131"/>
      <c r="Z31" s="131"/>
    </row>
    <row r="32" spans="1:26" ht="15.75" customHeight="1">
      <c r="A32" s="188"/>
      <c r="B32" s="284" t="s">
        <v>7472</v>
      </c>
      <c r="C32" s="256">
        <f>F19A!D33+F19A!D67</f>
        <v>0</v>
      </c>
      <c r="D32" s="256">
        <f>F19A!E33+F19A!E67</f>
        <v>0</v>
      </c>
      <c r="E32" s="692">
        <f t="shared" si="1"/>
        <v>0</v>
      </c>
      <c r="F32" s="256">
        <f>F19A!G33+F19A!G67</f>
        <v>0</v>
      </c>
      <c r="G32" s="256">
        <f>F19A!H33+F19A!H67</f>
        <v>0</v>
      </c>
      <c r="H32" s="693">
        <f t="shared" si="3"/>
        <v>0</v>
      </c>
      <c r="I32" s="188"/>
      <c r="J32" s="131"/>
      <c r="K32" s="131"/>
      <c r="L32" s="131"/>
      <c r="M32" s="131"/>
      <c r="N32" s="131"/>
      <c r="O32" s="131"/>
      <c r="P32" s="131"/>
      <c r="Q32" s="131"/>
      <c r="R32" s="131"/>
      <c r="S32" s="131"/>
      <c r="T32" s="131"/>
      <c r="U32" s="131"/>
      <c r="V32" s="131"/>
      <c r="W32" s="131"/>
      <c r="X32" s="131"/>
      <c r="Y32" s="131"/>
      <c r="Z32" s="131"/>
    </row>
    <row r="33" spans="1:26" ht="15.75" customHeight="1">
      <c r="A33" s="188"/>
      <c r="B33" s="284" t="s">
        <v>7473</v>
      </c>
      <c r="C33" s="256">
        <f>F19A!D34+F19A!D68</f>
        <v>0</v>
      </c>
      <c r="D33" s="256">
        <f>F19A!E34+F19A!E68</f>
        <v>0</v>
      </c>
      <c r="E33" s="692">
        <f t="shared" si="1"/>
        <v>0</v>
      </c>
      <c r="F33" s="256">
        <f>F19A!G34+F19A!G68</f>
        <v>0</v>
      </c>
      <c r="G33" s="256">
        <f>F19A!H34+F19A!H68</f>
        <v>0</v>
      </c>
      <c r="H33" s="693">
        <f t="shared" si="3"/>
        <v>0</v>
      </c>
      <c r="I33" s="188"/>
      <c r="J33" s="131"/>
      <c r="K33" s="131"/>
      <c r="L33" s="131"/>
      <c r="M33" s="131"/>
      <c r="N33" s="131"/>
      <c r="O33" s="131"/>
      <c r="P33" s="131"/>
      <c r="Q33" s="131"/>
      <c r="R33" s="131"/>
      <c r="S33" s="131"/>
      <c r="T33" s="131"/>
      <c r="U33" s="131"/>
      <c r="V33" s="131"/>
      <c r="W33" s="131"/>
      <c r="X33" s="131"/>
      <c r="Y33" s="131"/>
      <c r="Z33" s="131"/>
    </row>
    <row r="34" spans="1:26" ht="15.75" customHeight="1">
      <c r="A34" s="188"/>
      <c r="B34" s="284" t="s">
        <v>7474</v>
      </c>
      <c r="C34" s="256">
        <f>F19A!D35+F19A!D69</f>
        <v>0</v>
      </c>
      <c r="D34" s="256">
        <f>F19A!E35+F19A!E69</f>
        <v>0</v>
      </c>
      <c r="E34" s="692">
        <f t="shared" si="1"/>
        <v>0</v>
      </c>
      <c r="F34" s="256">
        <f>F19A!G35+F19A!G69</f>
        <v>0</v>
      </c>
      <c r="G34" s="256">
        <f>F19A!H35+F19A!H69</f>
        <v>0</v>
      </c>
      <c r="H34" s="693">
        <f t="shared" si="3"/>
        <v>0</v>
      </c>
      <c r="I34" s="188"/>
      <c r="J34" s="131"/>
      <c r="K34" s="131"/>
      <c r="L34" s="131"/>
      <c r="M34" s="131"/>
      <c r="N34" s="131"/>
      <c r="O34" s="131"/>
      <c r="P34" s="131"/>
      <c r="Q34" s="131"/>
      <c r="R34" s="131"/>
      <c r="S34" s="131"/>
      <c r="T34" s="131"/>
      <c r="U34" s="131"/>
      <c r="V34" s="131"/>
      <c r="W34" s="131"/>
      <c r="X34" s="131"/>
      <c r="Y34" s="131"/>
      <c r="Z34" s="131"/>
    </row>
    <row r="35" spans="1:26" ht="14.25" customHeight="1">
      <c r="A35" s="956" t="s">
        <v>7475</v>
      </c>
      <c r="B35" s="783"/>
      <c r="C35" s="303">
        <f t="shared" ref="C35:D35" si="8">SUM(C36:C39)</f>
        <v>0</v>
      </c>
      <c r="D35" s="303">
        <f t="shared" si="8"/>
        <v>0</v>
      </c>
      <c r="E35" s="303">
        <f t="shared" si="1"/>
        <v>0</v>
      </c>
      <c r="F35" s="303">
        <f t="shared" ref="F35:G35" si="9">SUM(F36:F39)</f>
        <v>0</v>
      </c>
      <c r="G35" s="303">
        <f t="shared" si="9"/>
        <v>0</v>
      </c>
      <c r="H35" s="304">
        <f t="shared" si="3"/>
        <v>0</v>
      </c>
      <c r="I35" s="188"/>
      <c r="J35" s="131"/>
      <c r="K35" s="131"/>
      <c r="L35" s="131"/>
      <c r="M35" s="131"/>
      <c r="N35" s="131"/>
      <c r="O35" s="131"/>
      <c r="P35" s="131"/>
      <c r="Q35" s="131"/>
      <c r="R35" s="131"/>
      <c r="S35" s="131"/>
      <c r="T35" s="131"/>
      <c r="U35" s="131"/>
      <c r="V35" s="131"/>
      <c r="W35" s="131"/>
      <c r="X35" s="131"/>
      <c r="Y35" s="131"/>
      <c r="Z35" s="131"/>
    </row>
    <row r="36" spans="1:26" ht="15.75" customHeight="1">
      <c r="A36" s="188"/>
      <c r="B36" s="284" t="s">
        <v>7476</v>
      </c>
      <c r="C36" s="256">
        <f>F19A!D37+F19A!D71</f>
        <v>0</v>
      </c>
      <c r="D36" s="256">
        <f>F19A!E37+F19A!E71</f>
        <v>0</v>
      </c>
      <c r="E36" s="692">
        <f t="shared" si="1"/>
        <v>0</v>
      </c>
      <c r="F36" s="256">
        <f>F19A!G37+F19A!G71</f>
        <v>0</v>
      </c>
      <c r="G36" s="256">
        <f>F19A!H37+F19A!H71</f>
        <v>0</v>
      </c>
      <c r="H36" s="693">
        <f t="shared" si="3"/>
        <v>0</v>
      </c>
      <c r="I36" s="188"/>
      <c r="J36" s="131"/>
      <c r="K36" s="131"/>
      <c r="L36" s="131"/>
      <c r="M36" s="131"/>
      <c r="N36" s="131"/>
      <c r="O36" s="131"/>
      <c r="P36" s="131"/>
      <c r="Q36" s="131"/>
      <c r="R36" s="131"/>
      <c r="S36" s="131"/>
      <c r="T36" s="131"/>
      <c r="U36" s="131"/>
      <c r="V36" s="131"/>
      <c r="W36" s="131"/>
      <c r="X36" s="131"/>
      <c r="Y36" s="131"/>
      <c r="Z36" s="131"/>
    </row>
    <row r="37" spans="1:26" ht="15.75" customHeight="1">
      <c r="A37" s="188"/>
      <c r="B37" s="292" t="s">
        <v>7477</v>
      </c>
      <c r="C37" s="256">
        <f>F19A!D38+F19A!D72</f>
        <v>0</v>
      </c>
      <c r="D37" s="256">
        <f>F19A!E38+F19A!E72</f>
        <v>0</v>
      </c>
      <c r="E37" s="692">
        <f t="shared" si="1"/>
        <v>0</v>
      </c>
      <c r="F37" s="256">
        <f>F19A!G38+F19A!G72</f>
        <v>0</v>
      </c>
      <c r="G37" s="256">
        <f>F19A!H38+F19A!H72</f>
        <v>0</v>
      </c>
      <c r="H37" s="693">
        <f t="shared" si="3"/>
        <v>0</v>
      </c>
      <c r="I37" s="188"/>
      <c r="J37" s="131"/>
      <c r="K37" s="131"/>
      <c r="L37" s="131"/>
      <c r="M37" s="131"/>
      <c r="N37" s="131"/>
      <c r="O37" s="131"/>
      <c r="P37" s="131"/>
      <c r="Q37" s="131"/>
      <c r="R37" s="131"/>
      <c r="S37" s="131"/>
      <c r="T37" s="131"/>
      <c r="U37" s="131"/>
      <c r="V37" s="131"/>
      <c r="W37" s="131"/>
      <c r="X37" s="131"/>
      <c r="Y37" s="131"/>
      <c r="Z37" s="131"/>
    </row>
    <row r="38" spans="1:26" ht="15.75" customHeight="1">
      <c r="A38" s="188"/>
      <c r="B38" s="284" t="s">
        <v>7478</v>
      </c>
      <c r="C38" s="256">
        <f>F19A!D39+F19A!D73</f>
        <v>0</v>
      </c>
      <c r="D38" s="256">
        <f>F19A!E39+F19A!E73</f>
        <v>0</v>
      </c>
      <c r="E38" s="692">
        <f t="shared" si="1"/>
        <v>0</v>
      </c>
      <c r="F38" s="256">
        <f>F19A!G39+F19A!G73</f>
        <v>0</v>
      </c>
      <c r="G38" s="256">
        <f>F19A!H39+F19A!H73</f>
        <v>0</v>
      </c>
      <c r="H38" s="693">
        <f t="shared" si="3"/>
        <v>0</v>
      </c>
      <c r="I38" s="188"/>
      <c r="J38" s="131"/>
      <c r="K38" s="131"/>
      <c r="L38" s="131"/>
      <c r="M38" s="131"/>
      <c r="N38" s="131"/>
      <c r="O38" s="131"/>
      <c r="P38" s="131"/>
      <c r="Q38" s="131"/>
      <c r="R38" s="131"/>
      <c r="S38" s="131"/>
      <c r="T38" s="131"/>
      <c r="U38" s="131"/>
      <c r="V38" s="131"/>
      <c r="W38" s="131"/>
      <c r="X38" s="131"/>
      <c r="Y38" s="131"/>
      <c r="Z38" s="131"/>
    </row>
    <row r="39" spans="1:26" ht="15.75" customHeight="1">
      <c r="A39" s="191"/>
      <c r="B39" s="694" t="s">
        <v>7479</v>
      </c>
      <c r="C39" s="256">
        <f>F19A!D40+F19A!D74</f>
        <v>0</v>
      </c>
      <c r="D39" s="256">
        <f>F19A!E40+F19A!E74</f>
        <v>0</v>
      </c>
      <c r="E39" s="692">
        <f t="shared" si="1"/>
        <v>0</v>
      </c>
      <c r="F39" s="256">
        <f>F19A!G40+F19A!G74</f>
        <v>0</v>
      </c>
      <c r="G39" s="256">
        <f>F19A!H40+F19A!H74</f>
        <v>0</v>
      </c>
      <c r="H39" s="693">
        <f t="shared" si="3"/>
        <v>0</v>
      </c>
      <c r="I39" s="188"/>
      <c r="J39" s="131"/>
      <c r="K39" s="131"/>
      <c r="L39" s="131"/>
      <c r="M39" s="131"/>
      <c r="N39" s="131"/>
      <c r="O39" s="131"/>
      <c r="P39" s="131"/>
      <c r="Q39" s="131"/>
      <c r="R39" s="131"/>
      <c r="S39" s="131"/>
      <c r="T39" s="131"/>
      <c r="U39" s="131"/>
      <c r="V39" s="131"/>
      <c r="W39" s="131"/>
      <c r="X39" s="131"/>
      <c r="Y39" s="131"/>
      <c r="Z39" s="131"/>
    </row>
    <row r="40" spans="1:26" ht="15.75" customHeight="1">
      <c r="A40" s="957" t="s">
        <v>6264</v>
      </c>
      <c r="B40" s="733"/>
      <c r="C40" s="695">
        <f t="shared" ref="C40:D40" si="10">C8+C17+C25+C35</f>
        <v>0</v>
      </c>
      <c r="D40" s="695">
        <f t="shared" si="10"/>
        <v>0</v>
      </c>
      <c r="E40" s="695">
        <f t="shared" si="1"/>
        <v>0</v>
      </c>
      <c r="F40" s="695">
        <f t="shared" ref="F40:G40" si="11">F8+F17+F25+F35</f>
        <v>0</v>
      </c>
      <c r="G40" s="695">
        <f t="shared" si="11"/>
        <v>0</v>
      </c>
      <c r="H40" s="696">
        <f t="shared" si="3"/>
        <v>0</v>
      </c>
      <c r="I40" s="188"/>
      <c r="J40" s="131"/>
      <c r="K40" s="131"/>
      <c r="L40" s="131"/>
      <c r="M40" s="131"/>
      <c r="N40" s="131"/>
      <c r="O40" s="131"/>
      <c r="P40" s="131"/>
      <c r="Q40" s="131"/>
      <c r="R40" s="131"/>
      <c r="S40" s="131"/>
      <c r="T40" s="131"/>
      <c r="U40" s="131"/>
      <c r="V40" s="131"/>
      <c r="W40" s="131"/>
      <c r="X40" s="131"/>
      <c r="Y40" s="131"/>
      <c r="Z40" s="131"/>
    </row>
    <row r="41" spans="1:26" ht="15.7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15.75" customHeight="1">
      <c r="A42" s="308" t="s">
        <v>4422</v>
      </c>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15.7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15.75" customHeight="1">
      <c r="A44" s="131"/>
      <c r="B44" s="197"/>
      <c r="C44" s="131"/>
      <c r="D44" s="197"/>
      <c r="E44" s="197"/>
      <c r="F44" s="197"/>
      <c r="G44" s="197"/>
      <c r="H44" s="131"/>
      <c r="I44" s="131"/>
      <c r="J44" s="131"/>
      <c r="K44" s="131"/>
      <c r="L44" s="131"/>
      <c r="M44" s="131"/>
      <c r="N44" s="131"/>
      <c r="O44" s="131"/>
      <c r="P44" s="131"/>
      <c r="Q44" s="131"/>
      <c r="R44" s="131"/>
      <c r="S44" s="131"/>
      <c r="T44" s="131"/>
      <c r="U44" s="131"/>
      <c r="V44" s="131"/>
      <c r="W44" s="131"/>
      <c r="X44" s="131"/>
      <c r="Y44" s="131"/>
      <c r="Z44" s="131"/>
    </row>
    <row r="45" spans="1:26" ht="15.75" customHeight="1">
      <c r="A45" s="131"/>
      <c r="B45" s="822" t="str">
        <f>Validacion!A7</f>
        <v>Vero</v>
      </c>
      <c r="C45" s="131"/>
      <c r="D45" s="822" t="str">
        <f>Validacion!A9</f>
        <v>Irlanda</v>
      </c>
      <c r="E45" s="725"/>
      <c r="F45" s="725"/>
      <c r="G45" s="725"/>
      <c r="H45" s="131"/>
      <c r="I45" s="131"/>
      <c r="J45" s="131"/>
      <c r="K45" s="131"/>
      <c r="L45" s="131"/>
      <c r="M45" s="131"/>
      <c r="N45" s="131"/>
      <c r="O45" s="131"/>
      <c r="P45" s="131"/>
      <c r="Q45" s="131"/>
      <c r="R45" s="131"/>
      <c r="S45" s="131"/>
      <c r="T45" s="131"/>
      <c r="U45" s="131"/>
      <c r="V45" s="131"/>
      <c r="W45" s="131"/>
      <c r="X45" s="131"/>
      <c r="Y45" s="131"/>
      <c r="Z45" s="131"/>
    </row>
    <row r="46" spans="1:26" ht="15.75" customHeight="1">
      <c r="A46" s="131"/>
      <c r="B46" s="725"/>
      <c r="C46" s="131"/>
      <c r="D46" s="725"/>
      <c r="E46" s="725"/>
      <c r="F46" s="725"/>
      <c r="G46" s="725"/>
      <c r="H46" s="131"/>
      <c r="I46" s="131"/>
      <c r="J46" s="131"/>
      <c r="K46" s="131"/>
      <c r="L46" s="131"/>
      <c r="M46" s="131"/>
      <c r="N46" s="131"/>
      <c r="O46" s="131"/>
      <c r="P46" s="131"/>
      <c r="Q46" s="131"/>
      <c r="R46" s="131"/>
      <c r="S46" s="131"/>
      <c r="T46" s="131"/>
      <c r="U46" s="131"/>
      <c r="V46" s="131"/>
      <c r="W46" s="131"/>
      <c r="X46" s="131"/>
      <c r="Y46" s="131"/>
      <c r="Z46" s="131"/>
    </row>
    <row r="47" spans="1:26" ht="15" customHeight="1">
      <c r="A47" s="131"/>
      <c r="B47" s="816" t="s">
        <v>4443</v>
      </c>
      <c r="C47" s="131"/>
      <c r="D47" s="822" t="s">
        <v>6273</v>
      </c>
      <c r="E47" s="725"/>
      <c r="F47" s="725"/>
      <c r="G47" s="725"/>
      <c r="H47" s="131"/>
      <c r="I47" s="131"/>
      <c r="J47" s="131"/>
      <c r="K47" s="131"/>
      <c r="L47" s="131"/>
      <c r="M47" s="131"/>
      <c r="N47" s="131"/>
      <c r="O47" s="131"/>
      <c r="P47" s="131"/>
      <c r="Q47" s="131"/>
      <c r="R47" s="131"/>
      <c r="S47" s="131"/>
      <c r="T47" s="131"/>
      <c r="U47" s="131"/>
      <c r="V47" s="131"/>
      <c r="W47" s="131"/>
      <c r="X47" s="131"/>
      <c r="Y47" s="131"/>
      <c r="Z47" s="131"/>
    </row>
    <row r="48" spans="1:26" ht="15.75" customHeight="1">
      <c r="A48" s="131"/>
      <c r="B48" s="725"/>
      <c r="C48" s="131"/>
      <c r="D48" s="725"/>
      <c r="E48" s="725"/>
      <c r="F48" s="725"/>
      <c r="G48" s="725"/>
      <c r="H48" s="131"/>
      <c r="I48" s="131"/>
      <c r="J48" s="131"/>
      <c r="K48" s="131"/>
      <c r="L48" s="131"/>
      <c r="M48" s="131"/>
      <c r="N48" s="131"/>
      <c r="O48" s="131"/>
      <c r="P48" s="131"/>
      <c r="Q48" s="131"/>
      <c r="R48" s="131"/>
      <c r="S48" s="131"/>
      <c r="T48" s="131"/>
      <c r="U48" s="131"/>
      <c r="V48" s="131"/>
      <c r="W48" s="131"/>
      <c r="X48" s="131"/>
      <c r="Y48" s="131"/>
      <c r="Z48" s="131"/>
    </row>
    <row r="49" spans="1:26" ht="15.7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spans="1:26" ht="15.7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6" ht="15.7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row>
    <row r="52" spans="1:26" ht="15.7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row>
    <row r="53" spans="1:26" ht="15.7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row>
    <row r="54" spans="1:26" ht="15.7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row>
    <row r="55" spans="1:26" ht="15.7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row>
    <row r="56" spans="1:26" ht="15.7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row>
    <row r="57" spans="1:26" ht="15.7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row>
    <row r="58" spans="1:26" ht="15.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row>
    <row r="59" spans="1:26" ht="15.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row>
    <row r="60" spans="1:26" ht="15.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row>
    <row r="61" spans="1:26" ht="15.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row>
    <row r="62" spans="1:26" ht="15.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row>
    <row r="64" spans="1:26" ht="15.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row>
    <row r="65" spans="1:26" ht="15.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15.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15.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5.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15.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15.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7">
    <mergeCell ref="A1:H1"/>
    <mergeCell ref="A2:H2"/>
    <mergeCell ref="A3:H3"/>
    <mergeCell ref="A4:H4"/>
    <mergeCell ref="A5:H5"/>
    <mergeCell ref="C6:G6"/>
    <mergeCell ref="H6:H7"/>
    <mergeCell ref="B45:B46"/>
    <mergeCell ref="B47:B48"/>
    <mergeCell ref="A6:B7"/>
    <mergeCell ref="A8:B8"/>
    <mergeCell ref="A17:B17"/>
    <mergeCell ref="A25:B25"/>
    <mergeCell ref="A35:B35"/>
    <mergeCell ref="A40:B40"/>
    <mergeCell ref="D45:G46"/>
    <mergeCell ref="D47:G48"/>
  </mergeCells>
  <dataValidations count="1">
    <dataValidation type="decimal" allowBlank="1" showErrorMessage="1" sqref="C9:D16 F9:G16 C18:D24 F18:G24 C26:D34 F26:G34 C36:D39 F36:G39">
      <formula1>-20000000000</formula1>
      <formula2>20000000000</formula2>
    </dataValidation>
  </dataValidations>
  <printOptions horizontalCentered="1"/>
  <pageMargins left="0.19685039370078741" right="0.39370078740157483" top="0.74803149606299213" bottom="0.74803149606299213" header="0" footer="0"/>
  <pageSetup scale="60" orientation="landscape"/>
  <headerFooter>
    <oddFooter>&amp;REstado Analítico del ejercicio del presupuesto de egresos clasificación funcional (finalidad y función) Página &amp;P de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pageSetUpPr fitToPage="1"/>
  </sheetPr>
  <dimension ref="A1:AA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28515625" customWidth="1"/>
    <col min="2" max="2" width="1.7109375" customWidth="1"/>
    <col min="3" max="3" width="43.28515625" customWidth="1"/>
    <col min="4" max="4" width="24.7109375" customWidth="1"/>
    <col min="5" max="5" width="23.28515625" customWidth="1"/>
    <col min="6" max="7" width="18" customWidth="1"/>
    <col min="8" max="8" width="3" hidden="1" customWidth="1"/>
    <col min="9" max="16" width="10.7109375" hidden="1" customWidth="1"/>
    <col min="17" max="20" width="3" hidden="1" customWidth="1"/>
    <col min="21" max="27" width="10.7109375" hidden="1" customWidth="1"/>
  </cols>
  <sheetData>
    <row r="1" spans="1:27" ht="53.25" customHeight="1">
      <c r="A1" s="745" t="str">
        <f>"Nombre del Ente Público: "&amp;Validacion!A2</f>
        <v>Nombre del Ente Público: Guadalajara</v>
      </c>
      <c r="B1" s="746"/>
      <c r="C1" s="746"/>
      <c r="D1" s="746"/>
      <c r="E1" s="746"/>
      <c r="F1" s="746"/>
      <c r="G1" s="747"/>
      <c r="H1" s="103"/>
      <c r="I1" s="103"/>
      <c r="J1" s="103"/>
      <c r="K1" s="103"/>
      <c r="L1" s="103"/>
      <c r="M1" s="103"/>
      <c r="N1" s="103"/>
      <c r="O1" s="103"/>
      <c r="P1" s="103"/>
      <c r="Q1" s="103"/>
      <c r="R1" s="103"/>
      <c r="S1" s="103"/>
      <c r="T1" s="103"/>
      <c r="U1" s="103"/>
      <c r="V1" s="103"/>
      <c r="W1" s="103"/>
      <c r="X1" s="103"/>
      <c r="Y1" s="103"/>
      <c r="Z1" s="103"/>
      <c r="AA1" s="103"/>
    </row>
    <row r="2" spans="1:27" ht="21">
      <c r="A2" s="748" t="s">
        <v>4377</v>
      </c>
      <c r="B2" s="749"/>
      <c r="C2" s="749"/>
      <c r="D2" s="749"/>
      <c r="E2" s="749"/>
      <c r="F2" s="749"/>
      <c r="G2" s="750"/>
      <c r="H2" s="103"/>
      <c r="I2" s="103"/>
      <c r="J2" s="103"/>
      <c r="K2" s="103"/>
      <c r="L2" s="103"/>
      <c r="M2" s="103"/>
      <c r="N2" s="103"/>
      <c r="O2" s="103"/>
      <c r="P2" s="103"/>
      <c r="Q2" s="103"/>
      <c r="R2" s="103"/>
      <c r="S2" s="103"/>
      <c r="T2" s="103"/>
      <c r="U2" s="103"/>
      <c r="V2" s="103"/>
      <c r="W2" s="103"/>
      <c r="X2" s="103"/>
      <c r="Y2" s="103"/>
      <c r="Z2" s="103"/>
      <c r="AA2" s="103"/>
    </row>
    <row r="3" spans="1:27" ht="18.75">
      <c r="A3" s="751" t="e">
        <f>'F6'!A3</f>
        <v>#REF!</v>
      </c>
      <c r="B3" s="749"/>
      <c r="C3" s="749"/>
      <c r="D3" s="749"/>
      <c r="E3" s="749"/>
      <c r="F3" s="749"/>
      <c r="G3" s="750"/>
      <c r="H3" s="103"/>
      <c r="I3" s="103"/>
      <c r="J3" s="103"/>
      <c r="K3" s="103"/>
      <c r="L3" s="103"/>
      <c r="M3" s="103"/>
      <c r="N3" s="103"/>
      <c r="O3" s="103"/>
      <c r="P3" s="103"/>
      <c r="Q3" s="103"/>
      <c r="R3" s="103"/>
      <c r="S3" s="103"/>
      <c r="T3" s="103"/>
      <c r="U3" s="103"/>
      <c r="V3" s="103"/>
      <c r="W3" s="103"/>
      <c r="X3" s="103"/>
      <c r="Y3" s="103"/>
      <c r="Z3" s="103"/>
      <c r="AA3" s="103"/>
    </row>
    <row r="4" spans="1:27">
      <c r="A4" s="752" t="s">
        <v>4378</v>
      </c>
      <c r="B4" s="753"/>
      <c r="C4" s="753"/>
      <c r="D4" s="753"/>
      <c r="E4" s="753"/>
      <c r="F4" s="753"/>
      <c r="G4" s="754"/>
      <c r="H4" s="103"/>
      <c r="I4" s="103"/>
      <c r="J4" s="103"/>
      <c r="K4" s="103"/>
      <c r="L4" s="103"/>
      <c r="M4" s="103"/>
      <c r="N4" s="103"/>
      <c r="O4" s="103"/>
      <c r="P4" s="103"/>
      <c r="Q4" s="103"/>
      <c r="R4" s="103"/>
      <c r="S4" s="103"/>
      <c r="T4" s="103"/>
      <c r="U4" s="103"/>
      <c r="V4" s="103"/>
      <c r="W4" s="103"/>
      <c r="X4" s="103"/>
      <c r="Y4" s="103"/>
      <c r="Z4" s="103"/>
      <c r="AA4" s="103"/>
    </row>
    <row r="5" spans="1:27" ht="21">
      <c r="A5" s="755" t="s">
        <v>4379</v>
      </c>
      <c r="B5" s="756"/>
      <c r="C5" s="756"/>
      <c r="D5" s="756"/>
      <c r="E5" s="733"/>
      <c r="F5" s="104">
        <f>Validacion!F185</f>
        <v>2025</v>
      </c>
      <c r="G5" s="105">
        <f>Validacion!F186</f>
        <v>2024</v>
      </c>
      <c r="H5" s="103"/>
      <c r="I5" s="103"/>
      <c r="J5" s="103"/>
      <c r="K5" s="103"/>
      <c r="L5" s="103"/>
      <c r="M5" s="103"/>
      <c r="N5" s="103"/>
      <c r="O5" s="103"/>
      <c r="P5" s="103"/>
      <c r="Q5" s="103"/>
      <c r="R5" s="103"/>
      <c r="S5" s="103"/>
      <c r="T5" s="103"/>
      <c r="U5" s="103"/>
      <c r="V5" s="103"/>
      <c r="W5" s="103"/>
      <c r="X5" s="103"/>
      <c r="Y5" s="103"/>
      <c r="Z5" s="103"/>
      <c r="AA5" s="103"/>
    </row>
    <row r="6" spans="1:27" ht="15.75">
      <c r="A6" s="742" t="s">
        <v>4380</v>
      </c>
      <c r="B6" s="743"/>
      <c r="C6" s="743"/>
      <c r="D6" s="743"/>
      <c r="E6" s="744"/>
      <c r="F6" s="106"/>
      <c r="G6" s="106"/>
      <c r="H6" s="103"/>
      <c r="I6" s="103"/>
      <c r="J6" s="103"/>
      <c r="K6" s="103"/>
      <c r="L6" s="103"/>
      <c r="M6" s="103"/>
      <c r="N6" s="103"/>
      <c r="O6" s="103"/>
      <c r="P6" s="103"/>
      <c r="Q6" s="103"/>
      <c r="R6" s="103"/>
      <c r="S6" s="103"/>
      <c r="T6" s="103"/>
      <c r="U6" s="103"/>
      <c r="V6" s="103"/>
      <c r="W6" s="103"/>
      <c r="X6" s="103"/>
      <c r="Y6" s="103"/>
      <c r="Z6" s="103"/>
      <c r="AA6" s="103"/>
    </row>
    <row r="7" spans="1:27">
      <c r="A7" s="107"/>
      <c r="B7" s="738" t="s">
        <v>4381</v>
      </c>
      <c r="C7" s="736"/>
      <c r="D7" s="736"/>
      <c r="E7" s="737"/>
      <c r="F7" s="109">
        <f t="shared" ref="F7:G7" si="0">SUM(F8:F17)</f>
        <v>0</v>
      </c>
      <c r="G7" s="109">
        <f t="shared" si="0"/>
        <v>0</v>
      </c>
      <c r="H7" s="103"/>
      <c r="I7" s="103"/>
      <c r="J7" s="103"/>
      <c r="K7" s="103"/>
      <c r="L7" s="103"/>
      <c r="M7" s="103"/>
      <c r="N7" s="103"/>
      <c r="O7" s="103"/>
      <c r="P7" s="103"/>
      <c r="Q7" s="103"/>
      <c r="R7" s="103"/>
      <c r="S7" s="103"/>
      <c r="T7" s="103"/>
      <c r="U7" s="103"/>
      <c r="V7" s="103"/>
      <c r="W7" s="103"/>
      <c r="X7" s="103"/>
      <c r="Y7" s="103"/>
      <c r="Z7" s="103"/>
      <c r="AA7" s="103"/>
    </row>
    <row r="8" spans="1:27">
      <c r="A8" s="107"/>
      <c r="B8" s="110"/>
      <c r="C8" s="739" t="s">
        <v>1992</v>
      </c>
      <c r="D8" s="736"/>
      <c r="E8" s="737"/>
      <c r="F8" s="112"/>
      <c r="G8" s="112"/>
      <c r="H8" s="113"/>
      <c r="I8" s="113"/>
      <c r="J8" s="113"/>
      <c r="K8" s="113"/>
      <c r="L8" s="103"/>
      <c r="M8" s="103"/>
      <c r="N8" s="103"/>
      <c r="O8" s="103"/>
      <c r="P8" s="103"/>
      <c r="Q8" s="103"/>
      <c r="R8" s="103"/>
      <c r="S8" s="103"/>
      <c r="T8" s="103"/>
      <c r="U8" s="103"/>
      <c r="V8" s="103"/>
      <c r="W8" s="103"/>
      <c r="X8" s="103"/>
      <c r="Y8" s="103"/>
      <c r="Z8" s="103"/>
      <c r="AA8" s="103"/>
    </row>
    <row r="9" spans="1:27">
      <c r="A9" s="107"/>
      <c r="B9" s="110"/>
      <c r="C9" s="739" t="s">
        <v>4382</v>
      </c>
      <c r="D9" s="736"/>
      <c r="E9" s="737"/>
      <c r="F9" s="112"/>
      <c r="G9" s="112"/>
      <c r="H9" s="103"/>
      <c r="I9" s="103"/>
      <c r="J9" s="103"/>
      <c r="K9" s="103"/>
      <c r="L9" s="103"/>
      <c r="M9" s="103"/>
      <c r="N9" s="103"/>
      <c r="O9" s="103"/>
      <c r="P9" s="103"/>
      <c r="Q9" s="103"/>
      <c r="R9" s="103"/>
      <c r="S9" s="103"/>
      <c r="T9" s="103"/>
      <c r="U9" s="103"/>
      <c r="V9" s="103"/>
      <c r="W9" s="103"/>
      <c r="X9" s="103"/>
      <c r="Y9" s="103"/>
      <c r="Z9" s="103"/>
      <c r="AA9" s="103"/>
    </row>
    <row r="10" spans="1:27">
      <c r="A10" s="107"/>
      <c r="B10" s="110"/>
      <c r="C10" s="739" t="s">
        <v>4383</v>
      </c>
      <c r="D10" s="736"/>
      <c r="E10" s="737"/>
      <c r="F10" s="112"/>
      <c r="G10" s="112"/>
      <c r="H10" s="103"/>
      <c r="I10" s="103"/>
      <c r="J10" s="103"/>
      <c r="K10" s="103"/>
      <c r="L10" s="103"/>
      <c r="M10" s="103"/>
      <c r="N10" s="103"/>
      <c r="O10" s="103"/>
      <c r="P10" s="103"/>
      <c r="Q10" s="103"/>
      <c r="R10" s="103"/>
      <c r="S10" s="103"/>
      <c r="T10" s="103"/>
      <c r="U10" s="103"/>
      <c r="V10" s="103"/>
      <c r="W10" s="103"/>
      <c r="X10" s="103"/>
      <c r="Y10" s="103"/>
      <c r="Z10" s="103"/>
      <c r="AA10" s="103"/>
    </row>
    <row r="11" spans="1:27">
      <c r="A11" s="107"/>
      <c r="B11" s="110"/>
      <c r="C11" s="739" t="s">
        <v>2020</v>
      </c>
      <c r="D11" s="736"/>
      <c r="E11" s="737"/>
      <c r="F11" s="112"/>
      <c r="G11" s="112"/>
      <c r="H11" s="103"/>
      <c r="I11" s="103"/>
      <c r="J11" s="103"/>
      <c r="K11" s="103"/>
      <c r="L11" s="103"/>
      <c r="M11" s="103"/>
      <c r="N11" s="103"/>
      <c r="O11" s="103"/>
      <c r="P11" s="103"/>
      <c r="Q11" s="103"/>
      <c r="R11" s="103"/>
      <c r="S11" s="103"/>
      <c r="T11" s="103"/>
      <c r="U11" s="103"/>
      <c r="V11" s="103"/>
      <c r="W11" s="103"/>
      <c r="X11" s="103"/>
      <c r="Y11" s="103"/>
      <c r="Z11" s="103"/>
      <c r="AA11" s="103"/>
    </row>
    <row r="12" spans="1:27">
      <c r="A12" s="107"/>
      <c r="B12" s="110"/>
      <c r="C12" s="739" t="s">
        <v>1016</v>
      </c>
      <c r="D12" s="736"/>
      <c r="E12" s="737"/>
      <c r="F12" s="112"/>
      <c r="G12" s="112"/>
      <c r="H12" s="103"/>
      <c r="I12" s="103"/>
      <c r="J12" s="103"/>
      <c r="K12" s="103"/>
      <c r="L12" s="103"/>
      <c r="M12" s="103"/>
      <c r="N12" s="103"/>
      <c r="O12" s="103"/>
      <c r="P12" s="103"/>
      <c r="Q12" s="103"/>
      <c r="R12" s="103"/>
      <c r="S12" s="103"/>
      <c r="T12" s="103"/>
      <c r="U12" s="103"/>
      <c r="V12" s="103"/>
      <c r="W12" s="103"/>
      <c r="X12" s="103"/>
      <c r="Y12" s="103"/>
      <c r="Z12" s="103"/>
      <c r="AA12" s="103"/>
    </row>
    <row r="13" spans="1:27">
      <c r="A13" s="107"/>
      <c r="B13" s="110"/>
      <c r="C13" s="739" t="s">
        <v>2036</v>
      </c>
      <c r="D13" s="736"/>
      <c r="E13" s="737"/>
      <c r="F13" s="112"/>
      <c r="G13" s="112"/>
      <c r="H13" s="103"/>
      <c r="I13" s="103"/>
      <c r="J13" s="103"/>
      <c r="K13" s="103"/>
      <c r="L13" s="103"/>
      <c r="M13" s="103"/>
      <c r="N13" s="103"/>
      <c r="O13" s="103"/>
      <c r="P13" s="103"/>
      <c r="Q13" s="103"/>
      <c r="R13" s="103"/>
      <c r="S13" s="103"/>
      <c r="T13" s="103"/>
      <c r="U13" s="103"/>
      <c r="V13" s="103"/>
      <c r="W13" s="103"/>
      <c r="X13" s="103"/>
      <c r="Y13" s="103"/>
      <c r="Z13" s="103"/>
      <c r="AA13" s="103"/>
    </row>
    <row r="14" spans="1:27">
      <c r="A14" s="107"/>
      <c r="B14" s="110"/>
      <c r="C14" s="739" t="s">
        <v>4384</v>
      </c>
      <c r="D14" s="736"/>
      <c r="E14" s="737"/>
      <c r="F14" s="112"/>
      <c r="G14" s="112"/>
      <c r="H14" s="103"/>
      <c r="I14" s="103"/>
      <c r="J14" s="103"/>
      <c r="K14" s="103"/>
      <c r="L14" s="103"/>
      <c r="M14" s="103"/>
      <c r="N14" s="103"/>
      <c r="O14" s="103"/>
      <c r="P14" s="103"/>
      <c r="Q14" s="103"/>
      <c r="R14" s="103"/>
      <c r="S14" s="103"/>
      <c r="T14" s="103"/>
      <c r="U14" s="103"/>
      <c r="V14" s="103"/>
      <c r="W14" s="103"/>
      <c r="X14" s="103"/>
      <c r="Y14" s="103"/>
      <c r="Z14" s="103"/>
      <c r="AA14" s="103"/>
    </row>
    <row r="15" spans="1:27" ht="28.5" customHeight="1">
      <c r="A15" s="107"/>
      <c r="B15" s="110"/>
      <c r="C15" s="741" t="s">
        <v>4385</v>
      </c>
      <c r="D15" s="736"/>
      <c r="E15" s="737"/>
      <c r="F15" s="112"/>
      <c r="G15" s="112"/>
      <c r="H15" s="103"/>
      <c r="I15" s="103"/>
      <c r="J15" s="103"/>
      <c r="K15" s="103"/>
      <c r="L15" s="103"/>
      <c r="M15" s="103"/>
      <c r="N15" s="103"/>
      <c r="O15" s="103"/>
      <c r="P15" s="103"/>
      <c r="Q15" s="103"/>
      <c r="R15" s="103"/>
      <c r="S15" s="103"/>
      <c r="T15" s="103"/>
      <c r="U15" s="103"/>
      <c r="V15" s="103"/>
      <c r="W15" s="103"/>
      <c r="X15" s="103"/>
      <c r="Y15" s="103"/>
      <c r="Z15" s="103"/>
      <c r="AA15" s="103"/>
    </row>
    <row r="16" spans="1:27">
      <c r="A16" s="107"/>
      <c r="B16" s="110"/>
      <c r="C16" s="739" t="s">
        <v>4386</v>
      </c>
      <c r="D16" s="736"/>
      <c r="E16" s="737"/>
      <c r="F16" s="112"/>
      <c r="G16" s="112"/>
      <c r="H16" s="103"/>
      <c r="I16" s="103"/>
      <c r="J16" s="103"/>
      <c r="K16" s="103"/>
      <c r="L16" s="103"/>
      <c r="M16" s="103"/>
      <c r="N16" s="103"/>
      <c r="O16" s="103"/>
      <c r="P16" s="103"/>
      <c r="Q16" s="103"/>
      <c r="R16" s="103"/>
      <c r="S16" s="103"/>
      <c r="T16" s="103"/>
      <c r="U16" s="103"/>
      <c r="V16" s="103"/>
      <c r="W16" s="103"/>
      <c r="X16" s="103"/>
      <c r="Y16" s="103"/>
      <c r="Z16" s="103"/>
      <c r="AA16" s="103"/>
    </row>
    <row r="17" spans="1:27">
      <c r="A17" s="107"/>
      <c r="B17" s="110"/>
      <c r="C17" s="739" t="s">
        <v>4387</v>
      </c>
      <c r="D17" s="736"/>
      <c r="E17" s="737"/>
      <c r="F17" s="112"/>
      <c r="G17" s="112"/>
      <c r="H17" s="103"/>
      <c r="I17" s="103"/>
      <c r="J17" s="103"/>
      <c r="K17" s="103"/>
      <c r="L17" s="103"/>
      <c r="M17" s="103"/>
      <c r="N17" s="103"/>
      <c r="O17" s="103"/>
      <c r="P17" s="103"/>
      <c r="Q17" s="103"/>
      <c r="R17" s="103"/>
      <c r="S17" s="103"/>
      <c r="T17" s="103"/>
      <c r="U17" s="103"/>
      <c r="V17" s="103"/>
      <c r="W17" s="103"/>
      <c r="X17" s="103"/>
      <c r="Y17" s="103"/>
      <c r="Z17" s="103"/>
      <c r="AA17" s="103"/>
    </row>
    <row r="18" spans="1:27">
      <c r="A18" s="107"/>
      <c r="B18" s="738" t="s">
        <v>4388</v>
      </c>
      <c r="C18" s="736"/>
      <c r="D18" s="736"/>
      <c r="E18" s="737"/>
      <c r="F18" s="109">
        <f t="shared" ref="F18:G18" si="1">SUM(F19:F34)</f>
        <v>0</v>
      </c>
      <c r="G18" s="109">
        <f t="shared" si="1"/>
        <v>0</v>
      </c>
      <c r="H18" s="103"/>
      <c r="I18" s="103"/>
      <c r="J18" s="103"/>
      <c r="K18" s="103"/>
      <c r="L18" s="103"/>
      <c r="M18" s="103"/>
      <c r="N18" s="103"/>
      <c r="O18" s="103"/>
      <c r="P18" s="103"/>
      <c r="Q18" s="103"/>
      <c r="R18" s="103"/>
      <c r="S18" s="103"/>
      <c r="T18" s="103"/>
      <c r="U18" s="103"/>
      <c r="V18" s="103"/>
      <c r="W18" s="103"/>
      <c r="X18" s="103"/>
      <c r="Y18" s="103"/>
      <c r="Z18" s="103"/>
      <c r="AA18" s="103"/>
    </row>
    <row r="19" spans="1:27">
      <c r="A19" s="107"/>
      <c r="B19" s="108"/>
      <c r="C19" s="741" t="s">
        <v>4389</v>
      </c>
      <c r="D19" s="736"/>
      <c r="E19" s="737"/>
      <c r="F19" s="112"/>
      <c r="G19" s="112"/>
      <c r="H19" s="103"/>
      <c r="I19" s="103"/>
      <c r="J19" s="103"/>
      <c r="K19" s="103"/>
      <c r="L19" s="103"/>
      <c r="M19" s="103"/>
      <c r="N19" s="103"/>
      <c r="O19" s="103"/>
      <c r="P19" s="103"/>
      <c r="Q19" s="103"/>
      <c r="R19" s="103"/>
      <c r="S19" s="103"/>
      <c r="T19" s="103"/>
      <c r="U19" s="103"/>
      <c r="V19" s="103"/>
      <c r="W19" s="103"/>
      <c r="X19" s="103"/>
      <c r="Y19" s="103"/>
      <c r="Z19" s="103"/>
      <c r="AA19" s="103"/>
    </row>
    <row r="20" spans="1:27">
      <c r="A20" s="107"/>
      <c r="B20" s="110"/>
      <c r="C20" s="739" t="s">
        <v>4390</v>
      </c>
      <c r="D20" s="736"/>
      <c r="E20" s="737"/>
      <c r="F20" s="112"/>
      <c r="G20" s="112"/>
      <c r="H20" s="103"/>
      <c r="I20" s="103"/>
      <c r="J20" s="103"/>
      <c r="K20" s="103"/>
      <c r="L20" s="103"/>
      <c r="M20" s="103"/>
      <c r="N20" s="103"/>
      <c r="O20" s="103"/>
      <c r="P20" s="103"/>
      <c r="Q20" s="103"/>
      <c r="R20" s="103"/>
      <c r="S20" s="103"/>
      <c r="T20" s="103"/>
      <c r="U20" s="103"/>
      <c r="V20" s="103"/>
      <c r="W20" s="103"/>
      <c r="X20" s="103"/>
      <c r="Y20" s="103"/>
      <c r="Z20" s="103"/>
      <c r="AA20" s="103"/>
    </row>
    <row r="21" spans="1:27" ht="15.75" customHeight="1">
      <c r="A21" s="107"/>
      <c r="B21" s="110"/>
      <c r="C21" s="739" t="s">
        <v>4391</v>
      </c>
      <c r="D21" s="736"/>
      <c r="E21" s="737"/>
      <c r="F21" s="112"/>
      <c r="G21" s="112"/>
      <c r="H21" s="103"/>
      <c r="I21" s="103"/>
      <c r="J21" s="103"/>
      <c r="K21" s="103"/>
      <c r="L21" s="103"/>
      <c r="M21" s="103"/>
      <c r="N21" s="103"/>
      <c r="O21" s="103"/>
      <c r="P21" s="103"/>
      <c r="Q21" s="103"/>
      <c r="R21" s="103"/>
      <c r="S21" s="103"/>
      <c r="T21" s="103"/>
      <c r="U21" s="103"/>
      <c r="V21" s="103"/>
      <c r="W21" s="103"/>
      <c r="X21" s="103"/>
      <c r="Y21" s="103"/>
      <c r="Z21" s="103"/>
      <c r="AA21" s="103"/>
    </row>
    <row r="22" spans="1:27" ht="15.75" customHeight="1">
      <c r="A22" s="107"/>
      <c r="B22" s="110"/>
      <c r="C22" s="739" t="s">
        <v>4392</v>
      </c>
      <c r="D22" s="736"/>
      <c r="E22" s="737"/>
      <c r="F22" s="112"/>
      <c r="G22" s="112"/>
      <c r="H22" s="103"/>
      <c r="I22" s="103"/>
      <c r="J22" s="103"/>
      <c r="K22" s="103"/>
      <c r="L22" s="103"/>
      <c r="M22" s="103"/>
      <c r="N22" s="103"/>
      <c r="O22" s="103"/>
      <c r="P22" s="103"/>
      <c r="Q22" s="103"/>
      <c r="R22" s="103"/>
      <c r="S22" s="103"/>
      <c r="T22" s="103"/>
      <c r="U22" s="103"/>
      <c r="V22" s="103"/>
      <c r="W22" s="103"/>
      <c r="X22" s="103"/>
      <c r="Y22" s="103"/>
      <c r="Z22" s="103"/>
      <c r="AA22" s="103"/>
    </row>
    <row r="23" spans="1:27" ht="15.75" customHeight="1">
      <c r="A23" s="107"/>
      <c r="B23" s="110"/>
      <c r="C23" s="739" t="s">
        <v>4393</v>
      </c>
      <c r="D23" s="736"/>
      <c r="E23" s="737"/>
      <c r="F23" s="112"/>
      <c r="G23" s="112"/>
      <c r="H23" s="103"/>
      <c r="I23" s="103"/>
      <c r="J23" s="103"/>
      <c r="K23" s="103"/>
      <c r="L23" s="103"/>
      <c r="M23" s="103"/>
      <c r="N23" s="103"/>
      <c r="O23" s="103"/>
      <c r="P23" s="103"/>
      <c r="Q23" s="103"/>
      <c r="R23" s="103"/>
      <c r="S23" s="103"/>
      <c r="T23" s="103"/>
      <c r="U23" s="103"/>
      <c r="V23" s="103"/>
      <c r="W23" s="103"/>
      <c r="X23" s="103"/>
      <c r="Y23" s="103"/>
      <c r="Z23" s="103"/>
      <c r="AA23" s="103"/>
    </row>
    <row r="24" spans="1:27" ht="15.75" customHeight="1">
      <c r="A24" s="107"/>
      <c r="B24" s="110"/>
      <c r="C24" s="739" t="s">
        <v>4394</v>
      </c>
      <c r="D24" s="736"/>
      <c r="E24" s="737"/>
      <c r="F24" s="112"/>
      <c r="G24" s="112"/>
      <c r="H24" s="103"/>
      <c r="I24" s="103"/>
      <c r="J24" s="103"/>
      <c r="K24" s="103"/>
      <c r="L24" s="103"/>
      <c r="M24" s="103"/>
      <c r="N24" s="103"/>
      <c r="O24" s="103"/>
      <c r="P24" s="103"/>
      <c r="Q24" s="103"/>
      <c r="R24" s="103"/>
      <c r="S24" s="103"/>
      <c r="T24" s="103"/>
      <c r="U24" s="103"/>
      <c r="V24" s="103"/>
      <c r="W24" s="103"/>
      <c r="X24" s="103"/>
      <c r="Y24" s="103"/>
      <c r="Z24" s="103"/>
      <c r="AA24" s="103"/>
    </row>
    <row r="25" spans="1:27" ht="15.75" customHeight="1">
      <c r="A25" s="107"/>
      <c r="B25" s="110"/>
      <c r="C25" s="739" t="s">
        <v>4395</v>
      </c>
      <c r="D25" s="736"/>
      <c r="E25" s="737"/>
      <c r="F25" s="112"/>
      <c r="G25" s="112"/>
      <c r="H25" s="103"/>
      <c r="I25" s="103"/>
      <c r="J25" s="103"/>
      <c r="K25" s="103"/>
      <c r="L25" s="103"/>
      <c r="M25" s="103"/>
      <c r="N25" s="103"/>
      <c r="O25" s="103"/>
      <c r="P25" s="103"/>
      <c r="Q25" s="103"/>
      <c r="R25" s="103"/>
      <c r="S25" s="103"/>
      <c r="T25" s="103"/>
      <c r="U25" s="103"/>
      <c r="V25" s="103"/>
      <c r="W25" s="103"/>
      <c r="X25" s="103"/>
      <c r="Y25" s="103"/>
      <c r="Z25" s="103"/>
      <c r="AA25" s="103"/>
    </row>
    <row r="26" spans="1:27" ht="15.75" customHeight="1">
      <c r="A26" s="107"/>
      <c r="B26" s="110"/>
      <c r="C26" s="739" t="s">
        <v>4396</v>
      </c>
      <c r="D26" s="736"/>
      <c r="E26" s="737"/>
      <c r="F26" s="112"/>
      <c r="G26" s="112"/>
      <c r="H26" s="103"/>
      <c r="I26" s="103"/>
      <c r="J26" s="103"/>
      <c r="K26" s="103"/>
      <c r="L26" s="103"/>
      <c r="M26" s="103"/>
      <c r="N26" s="103"/>
      <c r="O26" s="103"/>
      <c r="P26" s="103"/>
      <c r="Q26" s="103"/>
      <c r="R26" s="103"/>
      <c r="S26" s="103"/>
      <c r="T26" s="103"/>
      <c r="U26" s="103"/>
      <c r="V26" s="103"/>
      <c r="W26" s="103"/>
      <c r="X26" s="103"/>
      <c r="Y26" s="103"/>
      <c r="Z26" s="103"/>
      <c r="AA26" s="103"/>
    </row>
    <row r="27" spans="1:27" ht="15.75" customHeight="1">
      <c r="A27" s="107"/>
      <c r="B27" s="110"/>
      <c r="C27" s="739" t="s">
        <v>4397</v>
      </c>
      <c r="D27" s="736"/>
      <c r="E27" s="737"/>
      <c r="F27" s="112"/>
      <c r="G27" s="112"/>
      <c r="H27" s="103"/>
      <c r="I27" s="103"/>
      <c r="J27" s="103"/>
      <c r="K27" s="103"/>
      <c r="L27" s="103"/>
      <c r="M27" s="103"/>
      <c r="N27" s="103"/>
      <c r="O27" s="103"/>
      <c r="P27" s="103"/>
      <c r="Q27" s="103"/>
      <c r="R27" s="103"/>
      <c r="S27" s="103"/>
      <c r="T27" s="103"/>
      <c r="U27" s="103"/>
      <c r="V27" s="103"/>
      <c r="W27" s="103"/>
      <c r="X27" s="103"/>
      <c r="Y27" s="103"/>
      <c r="Z27" s="103"/>
      <c r="AA27" s="103"/>
    </row>
    <row r="28" spans="1:27" ht="15.75" customHeight="1">
      <c r="A28" s="107"/>
      <c r="B28" s="110"/>
      <c r="C28" s="739" t="s">
        <v>4398</v>
      </c>
      <c r="D28" s="736"/>
      <c r="E28" s="737"/>
      <c r="F28" s="112"/>
      <c r="G28" s="112"/>
      <c r="H28" s="103"/>
      <c r="I28" s="103"/>
      <c r="J28" s="103"/>
      <c r="K28" s="103"/>
      <c r="L28" s="103"/>
      <c r="M28" s="103"/>
      <c r="N28" s="103"/>
      <c r="O28" s="103"/>
      <c r="P28" s="103"/>
      <c r="Q28" s="103"/>
      <c r="R28" s="103"/>
      <c r="S28" s="103"/>
      <c r="T28" s="103"/>
      <c r="U28" s="103"/>
      <c r="V28" s="103"/>
      <c r="W28" s="103"/>
      <c r="X28" s="103"/>
      <c r="Y28" s="103"/>
      <c r="Z28" s="103"/>
      <c r="AA28" s="103"/>
    </row>
    <row r="29" spans="1:27" ht="15.75" customHeight="1">
      <c r="A29" s="107"/>
      <c r="B29" s="110"/>
      <c r="C29" s="739" t="s">
        <v>4399</v>
      </c>
      <c r="D29" s="736"/>
      <c r="E29" s="737"/>
      <c r="F29" s="112"/>
      <c r="G29" s="112"/>
      <c r="H29" s="103"/>
      <c r="I29" s="103"/>
      <c r="J29" s="103"/>
      <c r="K29" s="103"/>
      <c r="L29" s="103"/>
      <c r="M29" s="103"/>
      <c r="N29" s="103"/>
      <c r="O29" s="103"/>
      <c r="P29" s="103"/>
      <c r="Q29" s="103"/>
      <c r="R29" s="103"/>
      <c r="S29" s="103"/>
      <c r="T29" s="103"/>
      <c r="U29" s="103"/>
      <c r="V29" s="103"/>
      <c r="W29" s="103"/>
      <c r="X29" s="103"/>
      <c r="Y29" s="103"/>
      <c r="Z29" s="103"/>
      <c r="AA29" s="103"/>
    </row>
    <row r="30" spans="1:27" ht="15.75" customHeight="1">
      <c r="A30" s="107"/>
      <c r="B30" s="110"/>
      <c r="C30" s="739" t="s">
        <v>4400</v>
      </c>
      <c r="D30" s="736"/>
      <c r="E30" s="737"/>
      <c r="F30" s="112"/>
      <c r="G30" s="112"/>
      <c r="H30" s="103"/>
      <c r="I30" s="103"/>
      <c r="J30" s="103"/>
      <c r="K30" s="103"/>
      <c r="L30" s="103"/>
      <c r="M30" s="103"/>
      <c r="N30" s="103"/>
      <c r="O30" s="103"/>
      <c r="P30" s="103"/>
      <c r="Q30" s="103"/>
      <c r="R30" s="103"/>
      <c r="S30" s="103"/>
      <c r="T30" s="103"/>
      <c r="U30" s="103"/>
      <c r="V30" s="103"/>
      <c r="W30" s="103"/>
      <c r="X30" s="103"/>
      <c r="Y30" s="103"/>
      <c r="Z30" s="103"/>
      <c r="AA30" s="103"/>
    </row>
    <row r="31" spans="1:27" ht="15.75" customHeight="1">
      <c r="A31" s="107"/>
      <c r="B31" s="110"/>
      <c r="C31" s="739" t="s">
        <v>4401</v>
      </c>
      <c r="D31" s="736"/>
      <c r="E31" s="737"/>
      <c r="F31" s="112"/>
      <c r="G31" s="112"/>
      <c r="H31" s="103"/>
      <c r="I31" s="103"/>
      <c r="J31" s="103"/>
      <c r="K31" s="103"/>
      <c r="L31" s="103"/>
      <c r="M31" s="103"/>
      <c r="N31" s="103"/>
      <c r="O31" s="103"/>
      <c r="P31" s="103"/>
      <c r="Q31" s="103"/>
      <c r="R31" s="103"/>
      <c r="S31" s="103"/>
      <c r="T31" s="103"/>
      <c r="U31" s="103"/>
      <c r="V31" s="103"/>
      <c r="W31" s="103"/>
      <c r="X31" s="103"/>
      <c r="Y31" s="103"/>
      <c r="Z31" s="103"/>
      <c r="AA31" s="103"/>
    </row>
    <row r="32" spans="1:27" ht="15.75" customHeight="1">
      <c r="A32" s="107"/>
      <c r="B32" s="110"/>
      <c r="C32" s="739" t="s">
        <v>4402</v>
      </c>
      <c r="D32" s="736"/>
      <c r="E32" s="737"/>
      <c r="F32" s="112"/>
      <c r="G32" s="112"/>
      <c r="H32" s="103"/>
      <c r="I32" s="103"/>
      <c r="J32" s="103"/>
      <c r="K32" s="103"/>
      <c r="L32" s="103"/>
      <c r="M32" s="103"/>
      <c r="N32" s="103"/>
      <c r="O32" s="103"/>
      <c r="P32" s="103"/>
      <c r="Q32" s="103"/>
      <c r="R32" s="103"/>
      <c r="S32" s="103"/>
      <c r="T32" s="103"/>
      <c r="U32" s="103"/>
      <c r="V32" s="103"/>
      <c r="W32" s="103"/>
      <c r="X32" s="103"/>
      <c r="Y32" s="103"/>
      <c r="Z32" s="103"/>
      <c r="AA32" s="103"/>
    </row>
    <row r="33" spans="1:27" ht="15.75" customHeight="1">
      <c r="A33" s="107"/>
      <c r="B33" s="110"/>
      <c r="C33" s="739" t="s">
        <v>1125</v>
      </c>
      <c r="D33" s="736"/>
      <c r="E33" s="737"/>
      <c r="F33" s="112"/>
      <c r="G33" s="112"/>
      <c r="H33" s="103"/>
      <c r="I33" s="103"/>
      <c r="J33" s="103"/>
      <c r="K33" s="103"/>
      <c r="L33" s="103"/>
      <c r="M33" s="103"/>
      <c r="N33" s="103"/>
      <c r="O33" s="103"/>
      <c r="P33" s="103"/>
      <c r="Q33" s="103"/>
      <c r="R33" s="103"/>
      <c r="S33" s="103"/>
      <c r="T33" s="103"/>
      <c r="U33" s="103"/>
      <c r="V33" s="103"/>
      <c r="W33" s="103"/>
      <c r="X33" s="103"/>
      <c r="Y33" s="103"/>
      <c r="Z33" s="103"/>
      <c r="AA33" s="103"/>
    </row>
    <row r="34" spans="1:27" ht="15.75" customHeight="1">
      <c r="A34" s="107"/>
      <c r="B34" s="110"/>
      <c r="C34" s="739" t="s">
        <v>4403</v>
      </c>
      <c r="D34" s="736"/>
      <c r="E34" s="737"/>
      <c r="F34" s="112"/>
      <c r="G34" s="112"/>
      <c r="H34" s="103"/>
      <c r="I34" s="103"/>
      <c r="J34" s="103"/>
      <c r="K34" s="103"/>
      <c r="L34" s="103"/>
      <c r="M34" s="103"/>
      <c r="N34" s="103"/>
      <c r="O34" s="103"/>
      <c r="P34" s="103"/>
      <c r="Q34" s="103"/>
      <c r="R34" s="103"/>
      <c r="S34" s="103"/>
      <c r="T34" s="103"/>
      <c r="U34" s="103"/>
      <c r="V34" s="103"/>
      <c r="W34" s="103"/>
      <c r="X34" s="103"/>
      <c r="Y34" s="103"/>
      <c r="Z34" s="103"/>
      <c r="AA34" s="103"/>
    </row>
    <row r="35" spans="1:27" ht="15.75" customHeight="1">
      <c r="A35" s="735" t="s">
        <v>4404</v>
      </c>
      <c r="B35" s="736"/>
      <c r="C35" s="736"/>
      <c r="D35" s="736"/>
      <c r="E35" s="737"/>
      <c r="F35" s="114">
        <f t="shared" ref="F35:G35" si="2">F7-F18</f>
        <v>0</v>
      </c>
      <c r="G35" s="114">
        <f t="shared" si="2"/>
        <v>0</v>
      </c>
      <c r="H35" s="115"/>
      <c r="I35" s="115"/>
      <c r="J35" s="115"/>
      <c r="K35" s="115"/>
      <c r="L35" s="115"/>
      <c r="M35" s="115"/>
      <c r="N35" s="115"/>
      <c r="O35" s="115"/>
      <c r="P35" s="115"/>
      <c r="Q35" s="115"/>
      <c r="R35" s="115"/>
      <c r="S35" s="115"/>
      <c r="T35" s="115"/>
      <c r="U35" s="115"/>
      <c r="V35" s="115"/>
      <c r="W35" s="115"/>
      <c r="X35" s="115"/>
      <c r="Y35" s="115"/>
      <c r="Z35" s="115"/>
      <c r="AA35" s="115"/>
    </row>
    <row r="36" spans="1:27" ht="15.75" customHeight="1">
      <c r="A36" s="740" t="s">
        <v>4405</v>
      </c>
      <c r="B36" s="736"/>
      <c r="C36" s="736"/>
      <c r="D36" s="736"/>
      <c r="E36" s="737"/>
      <c r="F36" s="116"/>
      <c r="G36" s="116"/>
      <c r="H36" s="103"/>
      <c r="I36" s="103"/>
      <c r="J36" s="103"/>
      <c r="K36" s="103"/>
      <c r="L36" s="103"/>
      <c r="M36" s="103"/>
      <c r="N36" s="103"/>
      <c r="O36" s="103"/>
      <c r="P36" s="103"/>
      <c r="Q36" s="103"/>
      <c r="R36" s="103"/>
      <c r="S36" s="103"/>
      <c r="T36" s="103"/>
      <c r="U36" s="103"/>
      <c r="V36" s="103"/>
      <c r="W36" s="103"/>
      <c r="X36" s="103"/>
      <c r="Y36" s="103"/>
      <c r="Z36" s="103"/>
      <c r="AA36" s="103"/>
    </row>
    <row r="37" spans="1:27" ht="15.75" customHeight="1">
      <c r="A37" s="107"/>
      <c r="B37" s="738" t="s">
        <v>4381</v>
      </c>
      <c r="C37" s="736"/>
      <c r="D37" s="736"/>
      <c r="E37" s="737"/>
      <c r="F37" s="109">
        <f t="shared" ref="F37:G37" si="3">SUM(F38:F40)</f>
        <v>0</v>
      </c>
      <c r="G37" s="109">
        <f t="shared" si="3"/>
        <v>0</v>
      </c>
      <c r="H37" s="103"/>
      <c r="I37" s="103"/>
      <c r="J37" s="103"/>
      <c r="K37" s="103"/>
      <c r="L37" s="103"/>
      <c r="M37" s="103"/>
      <c r="N37" s="103"/>
      <c r="O37" s="103"/>
      <c r="P37" s="103"/>
      <c r="Q37" s="103"/>
      <c r="R37" s="103"/>
      <c r="S37" s="103"/>
      <c r="T37" s="103"/>
      <c r="U37" s="103"/>
      <c r="V37" s="103"/>
      <c r="W37" s="103"/>
      <c r="X37" s="103"/>
      <c r="Y37" s="103"/>
      <c r="Z37" s="103"/>
      <c r="AA37" s="103"/>
    </row>
    <row r="38" spans="1:27" ht="15.75" customHeight="1">
      <c r="A38" s="107"/>
      <c r="B38" s="117"/>
      <c r="C38" s="739" t="s">
        <v>4406</v>
      </c>
      <c r="D38" s="736"/>
      <c r="E38" s="737"/>
      <c r="F38" s="112"/>
      <c r="G38" s="112"/>
      <c r="H38" s="103"/>
      <c r="I38" s="103"/>
      <c r="J38" s="103"/>
      <c r="K38" s="103"/>
      <c r="L38" s="103"/>
      <c r="M38" s="103"/>
      <c r="N38" s="103"/>
      <c r="O38" s="103"/>
      <c r="P38" s="103"/>
      <c r="Q38" s="103"/>
      <c r="R38" s="103"/>
      <c r="S38" s="103"/>
      <c r="T38" s="103"/>
      <c r="U38" s="103"/>
      <c r="V38" s="103"/>
      <c r="W38" s="103"/>
      <c r="X38" s="103"/>
      <c r="Y38" s="103"/>
      <c r="Z38" s="103"/>
      <c r="AA38" s="103"/>
    </row>
    <row r="39" spans="1:27" ht="15.75" customHeight="1">
      <c r="A39" s="107"/>
      <c r="B39" s="117"/>
      <c r="C39" s="739" t="s">
        <v>4407</v>
      </c>
      <c r="D39" s="736"/>
      <c r="E39" s="737"/>
      <c r="F39" s="112"/>
      <c r="G39" s="112"/>
      <c r="H39" s="103"/>
      <c r="I39" s="103"/>
      <c r="J39" s="103"/>
      <c r="K39" s="103"/>
      <c r="L39" s="103"/>
      <c r="M39" s="103"/>
      <c r="N39" s="103"/>
      <c r="O39" s="103"/>
      <c r="P39" s="103"/>
      <c r="Q39" s="103"/>
      <c r="R39" s="103"/>
      <c r="S39" s="103"/>
      <c r="T39" s="103"/>
      <c r="U39" s="103"/>
      <c r="V39" s="103"/>
      <c r="W39" s="103"/>
      <c r="X39" s="103"/>
      <c r="Y39" s="103"/>
      <c r="Z39" s="103"/>
      <c r="AA39" s="103"/>
    </row>
    <row r="40" spans="1:27" ht="15.75" customHeight="1">
      <c r="A40" s="107"/>
      <c r="B40" s="118"/>
      <c r="C40" s="739" t="s">
        <v>4408</v>
      </c>
      <c r="D40" s="736"/>
      <c r="E40" s="737"/>
      <c r="F40" s="112"/>
      <c r="G40" s="112"/>
      <c r="H40" s="103"/>
      <c r="I40" s="103"/>
      <c r="J40" s="103"/>
      <c r="K40" s="103"/>
      <c r="L40" s="103"/>
      <c r="M40" s="103"/>
      <c r="N40" s="103"/>
      <c r="O40" s="103"/>
      <c r="P40" s="103"/>
      <c r="Q40" s="103"/>
      <c r="R40" s="103"/>
      <c r="S40" s="103"/>
      <c r="T40" s="103"/>
      <c r="U40" s="103"/>
      <c r="V40" s="103"/>
      <c r="W40" s="103"/>
      <c r="X40" s="103"/>
      <c r="Y40" s="103"/>
      <c r="Z40" s="103"/>
      <c r="AA40" s="103"/>
    </row>
    <row r="41" spans="1:27" ht="15.75" customHeight="1">
      <c r="A41" s="107"/>
      <c r="B41" s="738" t="s">
        <v>4388</v>
      </c>
      <c r="C41" s="736"/>
      <c r="D41" s="736"/>
      <c r="E41" s="737"/>
      <c r="F41" s="109">
        <f t="shared" ref="F41:G41" si="4">SUM(F42:F44)</f>
        <v>0</v>
      </c>
      <c r="G41" s="109">
        <f t="shared" si="4"/>
        <v>0</v>
      </c>
      <c r="H41" s="103"/>
      <c r="I41" s="103"/>
      <c r="J41" s="103"/>
      <c r="K41" s="103"/>
      <c r="L41" s="103"/>
      <c r="M41" s="103"/>
      <c r="N41" s="103"/>
      <c r="O41" s="103"/>
      <c r="P41" s="103"/>
      <c r="Q41" s="103"/>
      <c r="R41" s="103"/>
      <c r="S41" s="103"/>
      <c r="T41" s="103"/>
      <c r="U41" s="103"/>
      <c r="V41" s="103"/>
      <c r="W41" s="103"/>
      <c r="X41" s="103"/>
      <c r="Y41" s="103"/>
      <c r="Z41" s="103"/>
      <c r="AA41" s="103"/>
    </row>
    <row r="42" spans="1:27" ht="15.75" customHeight="1">
      <c r="A42" s="107"/>
      <c r="B42" s="118"/>
      <c r="C42" s="739" t="s">
        <v>4406</v>
      </c>
      <c r="D42" s="736"/>
      <c r="E42" s="737"/>
      <c r="F42" s="112"/>
      <c r="G42" s="112"/>
      <c r="H42" s="103"/>
      <c r="I42" s="103"/>
      <c r="J42" s="103"/>
      <c r="K42" s="103"/>
      <c r="L42" s="103"/>
      <c r="M42" s="103"/>
      <c r="N42" s="103"/>
      <c r="O42" s="103"/>
      <c r="P42" s="103"/>
      <c r="Q42" s="103"/>
      <c r="R42" s="103"/>
      <c r="S42" s="103"/>
      <c r="T42" s="103"/>
      <c r="U42" s="103"/>
      <c r="V42" s="103"/>
      <c r="W42" s="103"/>
      <c r="X42" s="103"/>
      <c r="Y42" s="103"/>
      <c r="Z42" s="103"/>
      <c r="AA42" s="103"/>
    </row>
    <row r="43" spans="1:27" ht="15.75" customHeight="1">
      <c r="A43" s="107"/>
      <c r="B43" s="110"/>
      <c r="C43" s="739" t="s">
        <v>4407</v>
      </c>
      <c r="D43" s="736"/>
      <c r="E43" s="737"/>
      <c r="F43" s="112"/>
      <c r="G43" s="112"/>
      <c r="H43" s="103"/>
      <c r="I43" s="103"/>
      <c r="J43" s="103"/>
      <c r="K43" s="103"/>
      <c r="L43" s="103"/>
      <c r="M43" s="103"/>
      <c r="N43" s="103"/>
      <c r="O43" s="103"/>
      <c r="P43" s="103"/>
      <c r="Q43" s="103"/>
      <c r="R43" s="103"/>
      <c r="S43" s="103"/>
      <c r="T43" s="103"/>
      <c r="U43" s="103"/>
      <c r="V43" s="103"/>
      <c r="W43" s="103"/>
      <c r="X43" s="103"/>
      <c r="Y43" s="103"/>
      <c r="Z43" s="103"/>
      <c r="AA43" s="103"/>
    </row>
    <row r="44" spans="1:27" ht="15.75" customHeight="1">
      <c r="A44" s="107"/>
      <c r="B44" s="117"/>
      <c r="C44" s="739" t="s">
        <v>4409</v>
      </c>
      <c r="D44" s="736"/>
      <c r="E44" s="737"/>
      <c r="F44" s="112"/>
      <c r="G44" s="112"/>
      <c r="H44" s="103"/>
      <c r="I44" s="103"/>
      <c r="J44" s="103"/>
      <c r="K44" s="103"/>
      <c r="L44" s="103"/>
      <c r="M44" s="103"/>
      <c r="N44" s="103"/>
      <c r="O44" s="103"/>
      <c r="P44" s="103"/>
      <c r="Q44" s="103"/>
      <c r="R44" s="103"/>
      <c r="S44" s="103"/>
      <c r="T44" s="103"/>
      <c r="U44" s="103"/>
      <c r="V44" s="103"/>
      <c r="W44" s="103"/>
      <c r="X44" s="103"/>
      <c r="Y44" s="103"/>
      <c r="Z44" s="103"/>
      <c r="AA44" s="103"/>
    </row>
    <row r="45" spans="1:27" ht="15.75" customHeight="1">
      <c r="A45" s="735" t="s">
        <v>4410</v>
      </c>
      <c r="B45" s="736"/>
      <c r="C45" s="736"/>
      <c r="D45" s="736"/>
      <c r="E45" s="737"/>
      <c r="F45" s="109">
        <f t="shared" ref="F45:G45" si="5">F37-F41</f>
        <v>0</v>
      </c>
      <c r="G45" s="109">
        <f t="shared" si="5"/>
        <v>0</v>
      </c>
      <c r="H45" s="103"/>
      <c r="I45" s="103"/>
      <c r="J45" s="103"/>
      <c r="K45" s="103"/>
      <c r="L45" s="103"/>
      <c r="M45" s="103"/>
      <c r="N45" s="103"/>
      <c r="O45" s="103"/>
      <c r="P45" s="103"/>
      <c r="Q45" s="103"/>
      <c r="R45" s="103"/>
      <c r="S45" s="103"/>
      <c r="T45" s="103"/>
      <c r="U45" s="103"/>
      <c r="V45" s="103"/>
      <c r="W45" s="103"/>
      <c r="X45" s="103"/>
      <c r="Y45" s="103"/>
      <c r="Z45" s="103"/>
      <c r="AA45" s="103"/>
    </row>
    <row r="46" spans="1:27" ht="15.75" customHeight="1">
      <c r="A46" s="735" t="s">
        <v>4411</v>
      </c>
      <c r="B46" s="736"/>
      <c r="C46" s="736"/>
      <c r="D46" s="736"/>
      <c r="E46" s="737"/>
      <c r="F46" s="116"/>
      <c r="G46" s="116"/>
      <c r="H46" s="103"/>
      <c r="I46" s="103"/>
      <c r="J46" s="103"/>
      <c r="K46" s="103"/>
      <c r="L46" s="103"/>
      <c r="M46" s="103"/>
      <c r="N46" s="103"/>
      <c r="O46" s="103"/>
      <c r="P46" s="103"/>
      <c r="Q46" s="103"/>
      <c r="R46" s="103"/>
      <c r="S46" s="103"/>
      <c r="T46" s="103"/>
      <c r="U46" s="103"/>
      <c r="V46" s="103"/>
      <c r="W46" s="103"/>
      <c r="X46" s="103"/>
      <c r="Y46" s="103"/>
      <c r="Z46" s="103"/>
      <c r="AA46" s="103"/>
    </row>
    <row r="47" spans="1:27" ht="15.75" customHeight="1">
      <c r="A47" s="119"/>
      <c r="B47" s="738" t="s">
        <v>4381</v>
      </c>
      <c r="C47" s="736"/>
      <c r="D47" s="736"/>
      <c r="E47" s="737"/>
      <c r="F47" s="109">
        <f t="shared" ref="F47:G47" si="6">F48+F51</f>
        <v>0</v>
      </c>
      <c r="G47" s="109">
        <f t="shared" si="6"/>
        <v>0</v>
      </c>
      <c r="H47" s="103"/>
      <c r="I47" s="103"/>
      <c r="J47" s="103"/>
      <c r="K47" s="103"/>
      <c r="L47" s="103"/>
      <c r="M47" s="103"/>
      <c r="N47" s="103"/>
      <c r="O47" s="103"/>
      <c r="P47" s="103"/>
      <c r="Q47" s="103"/>
      <c r="R47" s="103"/>
      <c r="S47" s="103"/>
      <c r="T47" s="103"/>
      <c r="U47" s="103"/>
      <c r="V47" s="103"/>
      <c r="W47" s="103"/>
      <c r="X47" s="103"/>
      <c r="Y47" s="103"/>
      <c r="Z47" s="103"/>
      <c r="AA47" s="103"/>
    </row>
    <row r="48" spans="1:27" ht="15.75" customHeight="1">
      <c r="A48" s="107"/>
      <c r="B48" s="117"/>
      <c r="C48" s="739" t="s">
        <v>4412</v>
      </c>
      <c r="D48" s="736"/>
      <c r="E48" s="737"/>
      <c r="F48" s="120">
        <f t="shared" ref="F48:G48" si="7">F49+F50</f>
        <v>0</v>
      </c>
      <c r="G48" s="120">
        <f t="shared" si="7"/>
        <v>0</v>
      </c>
      <c r="H48" s="103"/>
      <c r="I48" s="103"/>
      <c r="J48" s="103"/>
      <c r="K48" s="103"/>
      <c r="L48" s="103"/>
      <c r="M48" s="103"/>
      <c r="N48" s="103"/>
      <c r="O48" s="103"/>
      <c r="P48" s="103"/>
      <c r="Q48" s="103"/>
      <c r="R48" s="103"/>
      <c r="S48" s="103"/>
      <c r="T48" s="103"/>
      <c r="U48" s="103"/>
      <c r="V48" s="103"/>
      <c r="W48" s="103"/>
      <c r="X48" s="103"/>
      <c r="Y48" s="103"/>
      <c r="Z48" s="103"/>
      <c r="AA48" s="103"/>
    </row>
    <row r="49" spans="1:27" ht="15.75" customHeight="1">
      <c r="A49" s="107"/>
      <c r="B49" s="108"/>
      <c r="C49" s="739" t="s">
        <v>4413</v>
      </c>
      <c r="D49" s="736"/>
      <c r="E49" s="737"/>
      <c r="F49" s="112"/>
      <c r="G49" s="112"/>
      <c r="H49" s="103"/>
      <c r="I49" s="103"/>
      <c r="J49" s="103"/>
      <c r="K49" s="103"/>
      <c r="L49" s="103"/>
      <c r="M49" s="103"/>
      <c r="N49" s="103"/>
      <c r="O49" s="103"/>
      <c r="P49" s="103"/>
      <c r="Q49" s="103"/>
      <c r="R49" s="103"/>
      <c r="S49" s="103"/>
      <c r="T49" s="103"/>
      <c r="U49" s="103"/>
      <c r="V49" s="103"/>
      <c r="W49" s="103"/>
      <c r="X49" s="103"/>
      <c r="Y49" s="103"/>
      <c r="Z49" s="103"/>
      <c r="AA49" s="103"/>
    </row>
    <row r="50" spans="1:27" ht="15.75" customHeight="1">
      <c r="A50" s="107"/>
      <c r="B50" s="108"/>
      <c r="C50" s="739" t="s">
        <v>4414</v>
      </c>
      <c r="D50" s="736"/>
      <c r="E50" s="737"/>
      <c r="F50" s="121"/>
      <c r="G50" s="121"/>
      <c r="H50" s="103"/>
      <c r="I50" s="103"/>
      <c r="J50" s="103"/>
      <c r="K50" s="103"/>
      <c r="L50" s="103"/>
      <c r="M50" s="103"/>
      <c r="N50" s="103"/>
      <c r="O50" s="103"/>
      <c r="P50" s="103"/>
      <c r="Q50" s="103"/>
      <c r="R50" s="103"/>
      <c r="S50" s="103"/>
      <c r="T50" s="103"/>
      <c r="U50" s="103"/>
      <c r="V50" s="103"/>
      <c r="W50" s="103"/>
      <c r="X50" s="103"/>
      <c r="Y50" s="103"/>
      <c r="Z50" s="103"/>
      <c r="AA50" s="103"/>
    </row>
    <row r="51" spans="1:27" ht="15.75" customHeight="1">
      <c r="A51" s="107"/>
      <c r="B51" s="117"/>
      <c r="C51" s="739" t="s">
        <v>4415</v>
      </c>
      <c r="D51" s="736"/>
      <c r="E51" s="737"/>
      <c r="F51" s="112"/>
      <c r="G51" s="112"/>
      <c r="H51" s="103"/>
      <c r="I51" s="103"/>
      <c r="J51" s="103"/>
      <c r="K51" s="103"/>
      <c r="L51" s="103"/>
      <c r="M51" s="103"/>
      <c r="N51" s="103"/>
      <c r="O51" s="103"/>
      <c r="P51" s="103"/>
      <c r="Q51" s="103"/>
      <c r="R51" s="103"/>
      <c r="S51" s="103"/>
      <c r="T51" s="103"/>
      <c r="U51" s="103"/>
      <c r="V51" s="103"/>
      <c r="W51" s="103"/>
      <c r="X51" s="103"/>
      <c r="Y51" s="103"/>
      <c r="Z51" s="103"/>
      <c r="AA51" s="103"/>
    </row>
    <row r="52" spans="1:27" ht="15.75" customHeight="1">
      <c r="A52" s="107"/>
      <c r="B52" s="738" t="s">
        <v>4388</v>
      </c>
      <c r="C52" s="736"/>
      <c r="D52" s="736"/>
      <c r="E52" s="737"/>
      <c r="F52" s="109">
        <f t="shared" ref="F52:G52" si="8">F53+F56</f>
        <v>0</v>
      </c>
      <c r="G52" s="109">
        <f t="shared" si="8"/>
        <v>0</v>
      </c>
      <c r="H52" s="103"/>
      <c r="I52" s="103"/>
      <c r="J52" s="103"/>
      <c r="K52" s="103"/>
      <c r="L52" s="103"/>
      <c r="M52" s="103"/>
      <c r="N52" s="103"/>
      <c r="O52" s="103"/>
      <c r="P52" s="103"/>
      <c r="Q52" s="103"/>
      <c r="R52" s="103"/>
      <c r="S52" s="103"/>
      <c r="T52" s="103"/>
      <c r="U52" s="103"/>
      <c r="V52" s="103"/>
      <c r="W52" s="103"/>
      <c r="X52" s="103"/>
      <c r="Y52" s="103"/>
      <c r="Z52" s="103"/>
      <c r="AA52" s="103"/>
    </row>
    <row r="53" spans="1:27" ht="15.75" customHeight="1">
      <c r="A53" s="119"/>
      <c r="B53" s="117"/>
      <c r="C53" s="739" t="s">
        <v>4416</v>
      </c>
      <c r="D53" s="736"/>
      <c r="E53" s="737"/>
      <c r="F53" s="121">
        <f t="shared" ref="F53:G53" si="9">F54+F55</f>
        <v>0</v>
      </c>
      <c r="G53" s="121">
        <f t="shared" si="9"/>
        <v>0</v>
      </c>
      <c r="H53" s="103"/>
      <c r="I53" s="103"/>
      <c r="J53" s="103"/>
      <c r="K53" s="103"/>
      <c r="L53" s="103"/>
      <c r="M53" s="103"/>
      <c r="N53" s="103"/>
      <c r="O53" s="103"/>
      <c r="P53" s="103"/>
      <c r="Q53" s="103"/>
      <c r="R53" s="103"/>
      <c r="S53" s="103"/>
      <c r="T53" s="103"/>
      <c r="U53" s="103"/>
      <c r="V53" s="103"/>
      <c r="W53" s="103"/>
      <c r="X53" s="103"/>
      <c r="Y53" s="103"/>
      <c r="Z53" s="103"/>
      <c r="AA53" s="103"/>
    </row>
    <row r="54" spans="1:27" ht="15.75" customHeight="1">
      <c r="A54" s="107"/>
      <c r="B54" s="117"/>
      <c r="C54" s="739" t="s">
        <v>4413</v>
      </c>
      <c r="D54" s="736"/>
      <c r="E54" s="737"/>
      <c r="F54" s="112"/>
      <c r="G54" s="112"/>
      <c r="H54" s="103"/>
      <c r="I54" s="103"/>
      <c r="J54" s="103"/>
      <c r="K54" s="103"/>
      <c r="L54" s="103"/>
      <c r="M54" s="103"/>
      <c r="N54" s="103"/>
      <c r="O54" s="103"/>
      <c r="P54" s="103"/>
      <c r="Q54" s="103"/>
      <c r="R54" s="103"/>
      <c r="S54" s="103"/>
      <c r="T54" s="103"/>
      <c r="U54" s="103"/>
      <c r="V54" s="103"/>
      <c r="W54" s="103"/>
      <c r="X54" s="103"/>
      <c r="Y54" s="103"/>
      <c r="Z54" s="103"/>
      <c r="AA54" s="103"/>
    </row>
    <row r="55" spans="1:27" ht="15.75" customHeight="1">
      <c r="A55" s="107"/>
      <c r="B55" s="108"/>
      <c r="C55" s="739" t="s">
        <v>4414</v>
      </c>
      <c r="D55" s="736"/>
      <c r="E55" s="737"/>
      <c r="F55" s="121"/>
      <c r="G55" s="121"/>
      <c r="H55" s="103"/>
      <c r="I55" s="103"/>
      <c r="J55" s="103"/>
      <c r="K55" s="103"/>
      <c r="L55" s="103"/>
      <c r="M55" s="103"/>
      <c r="N55" s="103"/>
      <c r="O55" s="103"/>
      <c r="P55" s="103"/>
      <c r="Q55" s="103"/>
      <c r="R55" s="103"/>
      <c r="S55" s="103"/>
      <c r="T55" s="103"/>
      <c r="U55" s="103"/>
      <c r="V55" s="103"/>
      <c r="W55" s="103"/>
      <c r="X55" s="103"/>
      <c r="Y55" s="103"/>
      <c r="Z55" s="103"/>
      <c r="AA55" s="103"/>
    </row>
    <row r="56" spans="1:27" ht="15.75" customHeight="1">
      <c r="A56" s="107"/>
      <c r="B56" s="117"/>
      <c r="C56" s="739" t="s">
        <v>4417</v>
      </c>
      <c r="D56" s="736"/>
      <c r="E56" s="737"/>
      <c r="F56" s="112"/>
      <c r="G56" s="112"/>
      <c r="H56" s="103"/>
      <c r="I56" s="103"/>
      <c r="J56" s="103"/>
      <c r="K56" s="103"/>
      <c r="L56" s="103"/>
      <c r="M56" s="103"/>
      <c r="N56" s="103"/>
      <c r="O56" s="103"/>
      <c r="P56" s="103"/>
      <c r="Q56" s="103"/>
      <c r="R56" s="103"/>
      <c r="S56" s="103"/>
      <c r="T56" s="103"/>
      <c r="U56" s="103"/>
      <c r="V56" s="103"/>
      <c r="W56" s="103"/>
      <c r="X56" s="103"/>
      <c r="Y56" s="103"/>
      <c r="Z56" s="103"/>
      <c r="AA56" s="103"/>
    </row>
    <row r="57" spans="1:27" ht="15.75" customHeight="1">
      <c r="A57" s="735" t="s">
        <v>4418</v>
      </c>
      <c r="B57" s="736"/>
      <c r="C57" s="736"/>
      <c r="D57" s="736"/>
      <c r="E57" s="737"/>
      <c r="F57" s="109">
        <f t="shared" ref="F57:G57" si="10">F47-F52</f>
        <v>0</v>
      </c>
      <c r="G57" s="109">
        <f t="shared" si="10"/>
        <v>0</v>
      </c>
      <c r="H57" s="103"/>
      <c r="I57" s="103"/>
      <c r="J57" s="103"/>
      <c r="K57" s="103"/>
      <c r="L57" s="103"/>
      <c r="M57" s="103"/>
      <c r="N57" s="103"/>
      <c r="O57" s="103"/>
      <c r="P57" s="103"/>
      <c r="Q57" s="103"/>
      <c r="R57" s="103"/>
      <c r="S57" s="103"/>
      <c r="T57" s="103"/>
      <c r="U57" s="103"/>
      <c r="V57" s="103"/>
      <c r="W57" s="103"/>
      <c r="X57" s="103"/>
      <c r="Y57" s="103"/>
      <c r="Z57" s="103"/>
      <c r="AA57" s="103"/>
    </row>
    <row r="58" spans="1:27" ht="15" customHeight="1">
      <c r="A58" s="762" t="s">
        <v>4419</v>
      </c>
      <c r="B58" s="736"/>
      <c r="C58" s="736"/>
      <c r="D58" s="736"/>
      <c r="E58" s="737"/>
      <c r="F58" s="114">
        <f t="shared" ref="F58:G58" si="11">F35+F45+F57</f>
        <v>0</v>
      </c>
      <c r="G58" s="114">
        <f t="shared" si="11"/>
        <v>0</v>
      </c>
      <c r="H58" s="103"/>
      <c r="I58" s="103"/>
      <c r="J58" s="103"/>
      <c r="K58" s="103"/>
      <c r="L58" s="103"/>
      <c r="M58" s="103"/>
      <c r="N58" s="103"/>
      <c r="O58" s="103"/>
      <c r="P58" s="103"/>
      <c r="Q58" s="103"/>
      <c r="R58" s="103"/>
      <c r="S58" s="103"/>
      <c r="T58" s="103"/>
      <c r="U58" s="103"/>
      <c r="V58" s="103"/>
      <c r="W58" s="103"/>
      <c r="X58" s="103"/>
      <c r="Y58" s="103"/>
      <c r="Z58" s="103"/>
      <c r="AA58" s="103"/>
    </row>
    <row r="59" spans="1:27" ht="15" customHeight="1">
      <c r="A59" s="762" t="s">
        <v>4420</v>
      </c>
      <c r="B59" s="736"/>
      <c r="C59" s="736"/>
      <c r="D59" s="736"/>
      <c r="E59" s="737"/>
      <c r="F59" s="122">
        <f>G60</f>
        <v>0</v>
      </c>
      <c r="G59" s="112"/>
      <c r="H59" s="113"/>
      <c r="I59" s="103"/>
      <c r="J59" s="103"/>
      <c r="K59" s="103"/>
      <c r="L59" s="103"/>
      <c r="M59" s="103"/>
      <c r="N59" s="103"/>
      <c r="O59" s="103"/>
      <c r="P59" s="103"/>
      <c r="Q59" s="103"/>
      <c r="R59" s="103"/>
      <c r="S59" s="103"/>
      <c r="T59" s="103"/>
      <c r="U59" s="103"/>
      <c r="V59" s="103"/>
      <c r="W59" s="103"/>
      <c r="X59" s="103"/>
      <c r="Y59" s="103"/>
      <c r="Z59" s="103"/>
      <c r="AA59" s="103"/>
    </row>
    <row r="60" spans="1:27" ht="15.75" customHeight="1">
      <c r="A60" s="763" t="s">
        <v>4421</v>
      </c>
      <c r="B60" s="764"/>
      <c r="C60" s="764"/>
      <c r="D60" s="764"/>
      <c r="E60" s="765"/>
      <c r="F60" s="123">
        <f>F58+F59</f>
        <v>0</v>
      </c>
      <c r="G60" s="123">
        <f>+G58+G59</f>
        <v>0</v>
      </c>
      <c r="H60" s="103"/>
      <c r="I60" s="103"/>
      <c r="J60" s="103"/>
      <c r="K60" s="103"/>
      <c r="L60" s="103"/>
      <c r="M60" s="103"/>
      <c r="N60" s="103"/>
      <c r="O60" s="103"/>
      <c r="P60" s="103"/>
      <c r="Q60" s="103"/>
      <c r="R60" s="103"/>
      <c r="S60" s="103"/>
      <c r="T60" s="103"/>
      <c r="U60" s="103"/>
      <c r="V60" s="103"/>
      <c r="W60" s="103"/>
      <c r="X60" s="103"/>
      <c r="Y60" s="103"/>
      <c r="Z60" s="103"/>
      <c r="AA60" s="103"/>
    </row>
    <row r="61" spans="1:27" ht="15.75" customHeight="1">
      <c r="A61" s="103"/>
      <c r="B61" s="103"/>
      <c r="C61" s="103"/>
      <c r="D61" s="103"/>
      <c r="E61" s="103"/>
      <c r="F61" s="124"/>
      <c r="G61" s="124"/>
      <c r="H61" s="103"/>
      <c r="I61" s="103"/>
      <c r="J61" s="103"/>
      <c r="K61" s="103"/>
      <c r="L61" s="103"/>
      <c r="M61" s="103"/>
      <c r="N61" s="103"/>
      <c r="O61" s="103"/>
      <c r="P61" s="103"/>
      <c r="Q61" s="103"/>
      <c r="R61" s="103"/>
      <c r="S61" s="103"/>
      <c r="T61" s="103"/>
      <c r="U61" s="103"/>
      <c r="V61" s="103"/>
      <c r="W61" s="103"/>
      <c r="X61" s="103"/>
      <c r="Y61" s="103"/>
      <c r="Z61" s="103"/>
      <c r="AA61" s="103"/>
    </row>
    <row r="62" spans="1:27" ht="15.75" customHeight="1">
      <c r="A62" s="766" t="s">
        <v>4422</v>
      </c>
      <c r="B62" s="767"/>
      <c r="C62" s="767"/>
      <c r="D62" s="767"/>
      <c r="E62" s="767"/>
      <c r="F62" s="767"/>
      <c r="G62" s="761"/>
      <c r="H62" s="103"/>
      <c r="I62" s="103"/>
      <c r="J62" s="103"/>
      <c r="K62" s="103"/>
      <c r="L62" s="103"/>
      <c r="M62" s="103"/>
      <c r="N62" s="103"/>
      <c r="O62" s="103"/>
      <c r="P62" s="103"/>
      <c r="Q62" s="103"/>
      <c r="R62" s="103"/>
      <c r="S62" s="103"/>
      <c r="T62" s="103"/>
      <c r="U62" s="103"/>
      <c r="V62" s="103"/>
      <c r="W62" s="103"/>
      <c r="X62" s="103"/>
      <c r="Y62" s="103"/>
      <c r="Z62" s="103"/>
      <c r="AA62" s="103"/>
    </row>
    <row r="63" spans="1:27" ht="15.75" customHeight="1">
      <c r="A63" s="718"/>
      <c r="B63" s="725"/>
      <c r="C63" s="725"/>
      <c r="D63" s="725"/>
      <c r="E63" s="725"/>
      <c r="F63" s="725"/>
      <c r="G63" s="768"/>
      <c r="H63" s="103"/>
      <c r="I63" s="103"/>
      <c r="J63" s="103"/>
      <c r="K63" s="103"/>
      <c r="L63" s="103"/>
      <c r="M63" s="103"/>
      <c r="N63" s="103"/>
      <c r="O63" s="103"/>
      <c r="P63" s="103"/>
      <c r="Q63" s="103"/>
      <c r="R63" s="103"/>
      <c r="S63" s="103"/>
      <c r="T63" s="103"/>
      <c r="U63" s="103"/>
      <c r="V63" s="103"/>
      <c r="W63" s="103"/>
      <c r="X63" s="103"/>
      <c r="Y63" s="103"/>
      <c r="Z63" s="103"/>
      <c r="AA63" s="103"/>
    </row>
    <row r="64" spans="1:27" ht="15.75" customHeight="1">
      <c r="A64" s="721"/>
      <c r="B64" s="769"/>
      <c r="C64" s="769"/>
      <c r="D64" s="769"/>
      <c r="E64" s="769"/>
      <c r="F64" s="769"/>
      <c r="G64" s="759"/>
      <c r="H64" s="103"/>
      <c r="I64" s="103"/>
      <c r="J64" s="103"/>
      <c r="K64" s="103"/>
      <c r="L64" s="103"/>
      <c r="M64" s="103"/>
      <c r="N64" s="103"/>
      <c r="O64" s="103"/>
      <c r="P64" s="103"/>
      <c r="Q64" s="103"/>
      <c r="R64" s="103"/>
      <c r="S64" s="103"/>
      <c r="T64" s="103"/>
      <c r="U64" s="103"/>
      <c r="V64" s="103"/>
      <c r="W64" s="103"/>
      <c r="X64" s="103"/>
      <c r="Y64" s="103"/>
      <c r="Z64" s="103"/>
      <c r="AA64" s="103"/>
    </row>
    <row r="65" spans="1:27" ht="15.75" customHeight="1">
      <c r="A65" s="103"/>
      <c r="B65" s="103"/>
      <c r="C65" s="103"/>
      <c r="D65" s="103"/>
      <c r="E65" s="103"/>
      <c r="F65" s="124"/>
      <c r="G65" s="124"/>
      <c r="H65" s="103"/>
      <c r="I65" s="103"/>
      <c r="J65" s="103"/>
      <c r="K65" s="103"/>
      <c r="L65" s="103"/>
      <c r="M65" s="103"/>
      <c r="N65" s="103"/>
      <c r="O65" s="103"/>
      <c r="P65" s="103"/>
      <c r="Q65" s="103"/>
      <c r="R65" s="103"/>
      <c r="S65" s="103"/>
      <c r="T65" s="103"/>
      <c r="U65" s="103"/>
      <c r="V65" s="103"/>
      <c r="W65" s="103"/>
      <c r="X65" s="103"/>
      <c r="Y65" s="103"/>
      <c r="Z65" s="103"/>
      <c r="AA65" s="103"/>
    </row>
    <row r="66" spans="1:27" ht="15.75" customHeight="1">
      <c r="A66" s="103"/>
      <c r="B66" s="103"/>
      <c r="C66" s="103"/>
      <c r="D66" s="103"/>
      <c r="E66" s="103"/>
      <c r="F66" s="124"/>
      <c r="G66" s="124"/>
      <c r="H66" s="103"/>
      <c r="I66" s="103"/>
      <c r="J66" s="103"/>
      <c r="K66" s="103"/>
      <c r="L66" s="103"/>
      <c r="M66" s="103"/>
      <c r="N66" s="103"/>
      <c r="O66" s="103"/>
      <c r="P66" s="103"/>
      <c r="Q66" s="103"/>
      <c r="R66" s="103"/>
      <c r="S66" s="103"/>
      <c r="T66" s="103"/>
      <c r="U66" s="103"/>
      <c r="V66" s="103"/>
      <c r="W66" s="103"/>
      <c r="X66" s="103"/>
      <c r="Y66" s="103"/>
      <c r="Z66" s="103"/>
      <c r="AA66" s="103"/>
    </row>
    <row r="67" spans="1:27" ht="15.75" customHeight="1">
      <c r="A67" s="103"/>
      <c r="B67" s="103"/>
      <c r="C67" s="770" t="str">
        <f>Validacion!A7</f>
        <v>Vero</v>
      </c>
      <c r="D67" s="103"/>
      <c r="E67" s="757" t="str">
        <f>Validacion!A9</f>
        <v>Irlanda</v>
      </c>
      <c r="F67" s="758"/>
      <c r="G67" s="124"/>
      <c r="H67" s="103"/>
      <c r="I67" s="103"/>
      <c r="J67" s="103"/>
      <c r="K67" s="103"/>
      <c r="L67" s="103"/>
      <c r="M67" s="103"/>
      <c r="N67" s="103"/>
      <c r="O67" s="103"/>
      <c r="P67" s="103"/>
      <c r="Q67" s="103"/>
      <c r="R67" s="103"/>
      <c r="S67" s="103"/>
      <c r="T67" s="103"/>
      <c r="U67" s="103"/>
      <c r="V67" s="103"/>
      <c r="W67" s="103"/>
      <c r="X67" s="103"/>
      <c r="Y67" s="103"/>
      <c r="Z67" s="103"/>
      <c r="AA67" s="103"/>
    </row>
    <row r="68" spans="1:27" ht="15.75" customHeight="1">
      <c r="A68" s="103"/>
      <c r="B68" s="103"/>
      <c r="C68" s="771"/>
      <c r="D68" s="103"/>
      <c r="E68" s="721"/>
      <c r="F68" s="759"/>
      <c r="G68" s="124"/>
      <c r="H68" s="103"/>
      <c r="I68" s="103"/>
      <c r="J68" s="103"/>
      <c r="K68" s="103"/>
      <c r="L68" s="103"/>
      <c r="M68" s="103"/>
      <c r="N68" s="103"/>
      <c r="O68" s="103"/>
      <c r="P68" s="103"/>
      <c r="Q68" s="103"/>
      <c r="R68" s="103"/>
      <c r="S68" s="103"/>
      <c r="T68" s="103"/>
      <c r="U68" s="103"/>
      <c r="V68" s="103"/>
      <c r="W68" s="103"/>
      <c r="X68" s="103"/>
      <c r="Y68" s="103"/>
      <c r="Z68" s="103"/>
      <c r="AA68" s="103"/>
    </row>
    <row r="69" spans="1:27" ht="15.75" customHeight="1">
      <c r="A69" s="103"/>
      <c r="B69" s="103"/>
      <c r="C69" s="772" t="s">
        <v>4423</v>
      </c>
      <c r="D69" s="125"/>
      <c r="E69" s="760" t="s">
        <v>4424</v>
      </c>
      <c r="F69" s="761"/>
      <c r="G69" s="124"/>
      <c r="H69" s="103"/>
      <c r="I69" s="103"/>
      <c r="J69" s="103"/>
      <c r="K69" s="103"/>
      <c r="L69" s="103"/>
      <c r="M69" s="103"/>
      <c r="N69" s="103"/>
      <c r="O69" s="103"/>
      <c r="P69" s="103"/>
      <c r="Q69" s="103"/>
      <c r="R69" s="103"/>
      <c r="S69" s="103"/>
      <c r="T69" s="103"/>
      <c r="U69" s="103"/>
      <c r="V69" s="103"/>
      <c r="W69" s="103"/>
      <c r="X69" s="103"/>
      <c r="Y69" s="103"/>
      <c r="Z69" s="103"/>
      <c r="AA69" s="103"/>
    </row>
    <row r="70" spans="1:27" ht="15" customHeight="1">
      <c r="A70" s="103"/>
      <c r="B70" s="103"/>
      <c r="C70" s="771"/>
      <c r="D70" s="103"/>
      <c r="E70" s="721"/>
      <c r="F70" s="759"/>
      <c r="G70" s="124"/>
      <c r="H70" s="103"/>
      <c r="I70" s="103"/>
      <c r="J70" s="103"/>
      <c r="K70" s="103"/>
      <c r="L70" s="103"/>
      <c r="M70" s="103"/>
      <c r="N70" s="103"/>
      <c r="O70" s="103"/>
      <c r="P70" s="103"/>
      <c r="Q70" s="103"/>
      <c r="R70" s="103"/>
      <c r="S70" s="103"/>
      <c r="T70" s="103"/>
      <c r="U70" s="103"/>
      <c r="V70" s="103"/>
      <c r="W70" s="103"/>
      <c r="X70" s="103"/>
      <c r="Y70" s="103"/>
      <c r="Z70" s="103"/>
      <c r="AA70" s="103"/>
    </row>
    <row r="71" spans="1:27" ht="15.75" customHeight="1">
      <c r="A71" s="103"/>
      <c r="B71" s="103"/>
      <c r="C71" s="103"/>
      <c r="D71" s="103"/>
      <c r="E71" s="103"/>
      <c r="F71" s="124"/>
      <c r="G71" s="124"/>
      <c r="H71" s="103"/>
      <c r="I71" s="103"/>
      <c r="J71" s="103"/>
      <c r="K71" s="103"/>
      <c r="L71" s="103"/>
      <c r="M71" s="103"/>
      <c r="N71" s="103"/>
      <c r="O71" s="103"/>
      <c r="P71" s="103"/>
      <c r="Q71" s="103"/>
      <c r="R71" s="103"/>
      <c r="S71" s="103"/>
      <c r="T71" s="103"/>
      <c r="U71" s="103"/>
      <c r="V71" s="103"/>
      <c r="W71" s="103"/>
      <c r="X71" s="103"/>
      <c r="Y71" s="103"/>
      <c r="Z71" s="103"/>
      <c r="AA71" s="103"/>
    </row>
    <row r="72" spans="1:27" ht="15.75" hidden="1" customHeight="1">
      <c r="A72" s="103"/>
      <c r="B72" s="103"/>
      <c r="C72" s="103"/>
      <c r="D72" s="103"/>
      <c r="E72" s="103"/>
      <c r="F72" s="124"/>
      <c r="G72" s="124"/>
      <c r="H72" s="103"/>
      <c r="I72" s="103"/>
      <c r="J72" s="103"/>
      <c r="K72" s="103"/>
      <c r="L72" s="103"/>
      <c r="M72" s="103"/>
      <c r="N72" s="103"/>
      <c r="O72" s="103"/>
      <c r="P72" s="103"/>
      <c r="Q72" s="103"/>
      <c r="R72" s="103"/>
      <c r="S72" s="103"/>
      <c r="T72" s="103"/>
      <c r="U72" s="103"/>
      <c r="V72" s="103"/>
      <c r="W72" s="103"/>
      <c r="X72" s="103"/>
      <c r="Y72" s="103"/>
      <c r="Z72" s="103"/>
      <c r="AA72" s="103"/>
    </row>
    <row r="73" spans="1:27" ht="15.75" customHeight="1">
      <c r="A73" s="103"/>
      <c r="B73" s="103"/>
      <c r="C73" s="103"/>
      <c r="D73" s="103"/>
      <c r="E73" s="103"/>
      <c r="F73" s="124"/>
      <c r="G73" s="124"/>
      <c r="H73" s="103"/>
      <c r="I73" s="103"/>
      <c r="J73" s="103"/>
      <c r="K73" s="103"/>
      <c r="L73" s="103"/>
      <c r="M73" s="103"/>
      <c r="N73" s="103"/>
      <c r="O73" s="103"/>
      <c r="P73" s="103"/>
      <c r="Q73" s="103"/>
      <c r="R73" s="103"/>
      <c r="S73" s="103"/>
      <c r="T73" s="103"/>
      <c r="U73" s="103"/>
      <c r="V73" s="103"/>
      <c r="W73" s="103"/>
      <c r="X73" s="103"/>
      <c r="Y73" s="103"/>
      <c r="Z73" s="103"/>
      <c r="AA73" s="103"/>
    </row>
    <row r="74" spans="1:27" ht="15.75" customHeight="1">
      <c r="A74" s="103"/>
      <c r="B74" s="103"/>
      <c r="C74" s="103"/>
      <c r="D74" s="103"/>
      <c r="E74" s="103"/>
      <c r="F74" s="124"/>
      <c r="G74" s="124"/>
      <c r="H74" s="103"/>
      <c r="I74" s="103"/>
      <c r="J74" s="103"/>
      <c r="K74" s="103"/>
      <c r="L74" s="103"/>
      <c r="M74" s="103"/>
      <c r="N74" s="103"/>
      <c r="O74" s="103"/>
      <c r="P74" s="103"/>
      <c r="Q74" s="103"/>
      <c r="R74" s="103"/>
      <c r="S74" s="103"/>
      <c r="T74" s="103"/>
      <c r="U74" s="103"/>
      <c r="V74" s="103"/>
      <c r="W74" s="103"/>
      <c r="X74" s="103"/>
      <c r="Y74" s="103"/>
      <c r="Z74" s="103"/>
      <c r="AA74" s="103"/>
    </row>
    <row r="75" spans="1:27" ht="15.75" customHeight="1">
      <c r="A75" s="103"/>
      <c r="B75" s="103"/>
      <c r="C75" s="103"/>
      <c r="D75" s="103"/>
      <c r="E75" s="103"/>
      <c r="F75" s="124"/>
      <c r="G75" s="124"/>
      <c r="H75" s="103"/>
      <c r="I75" s="103"/>
      <c r="J75" s="103"/>
      <c r="K75" s="103"/>
      <c r="L75" s="103"/>
      <c r="M75" s="103"/>
      <c r="N75" s="103"/>
      <c r="O75" s="103"/>
      <c r="P75" s="103"/>
      <c r="Q75" s="103"/>
      <c r="R75" s="103"/>
      <c r="S75" s="103"/>
      <c r="T75" s="103"/>
      <c r="U75" s="103"/>
      <c r="V75" s="103"/>
      <c r="W75" s="103"/>
      <c r="X75" s="103"/>
      <c r="Y75" s="103"/>
      <c r="Z75" s="103"/>
      <c r="AA75" s="103"/>
    </row>
    <row r="76" spans="1:27" ht="15.75" customHeight="1">
      <c r="A76" s="103"/>
      <c r="B76" s="103"/>
      <c r="C76" s="103"/>
      <c r="D76" s="103"/>
      <c r="E76" s="103"/>
      <c r="F76" s="124"/>
      <c r="G76" s="124"/>
      <c r="H76" s="103"/>
      <c r="I76" s="103"/>
      <c r="J76" s="103"/>
      <c r="K76" s="103"/>
      <c r="L76" s="103"/>
      <c r="M76" s="103"/>
      <c r="N76" s="103"/>
      <c r="O76" s="103"/>
      <c r="P76" s="103"/>
      <c r="Q76" s="103"/>
      <c r="R76" s="103"/>
      <c r="S76" s="103"/>
      <c r="T76" s="103"/>
      <c r="U76" s="103"/>
      <c r="V76" s="103"/>
      <c r="W76" s="103"/>
      <c r="X76" s="103"/>
      <c r="Y76" s="103"/>
      <c r="Z76" s="103"/>
      <c r="AA76" s="103"/>
    </row>
    <row r="77" spans="1:27" ht="15.75" customHeight="1">
      <c r="A77" s="103"/>
      <c r="B77" s="103"/>
      <c r="C77" s="103"/>
      <c r="D77" s="103"/>
      <c r="E77" s="103"/>
      <c r="F77" s="124"/>
      <c r="G77" s="124"/>
      <c r="H77" s="103"/>
      <c r="I77" s="103"/>
      <c r="J77" s="103"/>
      <c r="K77" s="103"/>
      <c r="L77" s="103"/>
      <c r="M77" s="103"/>
      <c r="N77" s="103"/>
      <c r="O77" s="103"/>
      <c r="P77" s="103"/>
      <c r="Q77" s="103"/>
      <c r="R77" s="103"/>
      <c r="S77" s="103"/>
      <c r="T77" s="103"/>
      <c r="U77" s="103"/>
      <c r="V77" s="103"/>
      <c r="W77" s="103"/>
      <c r="X77" s="103"/>
      <c r="Y77" s="103"/>
      <c r="Z77" s="103"/>
      <c r="AA77" s="103"/>
    </row>
    <row r="78" spans="1:27" ht="15.75" customHeight="1">
      <c r="A78" s="103"/>
      <c r="B78" s="103"/>
      <c r="C78" s="103"/>
      <c r="D78" s="103"/>
      <c r="E78" s="103"/>
      <c r="F78" s="124"/>
      <c r="G78" s="124"/>
      <c r="H78" s="103"/>
      <c r="I78" s="103"/>
      <c r="J78" s="103"/>
      <c r="K78" s="103"/>
      <c r="L78" s="103"/>
      <c r="M78" s="103"/>
      <c r="N78" s="103"/>
      <c r="O78" s="103"/>
      <c r="P78" s="103"/>
      <c r="Q78" s="103"/>
      <c r="R78" s="103"/>
      <c r="S78" s="103"/>
      <c r="T78" s="103"/>
      <c r="U78" s="103"/>
      <c r="V78" s="103"/>
      <c r="W78" s="103"/>
      <c r="X78" s="103"/>
      <c r="Y78" s="103"/>
      <c r="Z78" s="103"/>
      <c r="AA78" s="103"/>
    </row>
    <row r="79" spans="1:27" ht="15.75" customHeight="1">
      <c r="A79" s="103"/>
      <c r="B79" s="103"/>
      <c r="C79" s="103"/>
      <c r="D79" s="103"/>
      <c r="E79" s="103"/>
      <c r="F79" s="124"/>
      <c r="G79" s="124"/>
      <c r="H79" s="103"/>
      <c r="I79" s="103"/>
      <c r="J79" s="103"/>
      <c r="K79" s="103"/>
      <c r="L79" s="103"/>
      <c r="M79" s="103"/>
      <c r="N79" s="103"/>
      <c r="O79" s="103"/>
      <c r="P79" s="103"/>
      <c r="Q79" s="103"/>
      <c r="R79" s="103"/>
      <c r="S79" s="103"/>
      <c r="T79" s="103"/>
      <c r="U79" s="103"/>
      <c r="V79" s="103"/>
      <c r="W79" s="103"/>
      <c r="X79" s="103"/>
      <c r="Y79" s="103"/>
      <c r="Z79" s="103"/>
      <c r="AA79" s="103"/>
    </row>
    <row r="80" spans="1:27" ht="15.75" customHeight="1">
      <c r="A80" s="103"/>
      <c r="B80" s="103"/>
      <c r="C80" s="103"/>
      <c r="D80" s="103"/>
      <c r="E80" s="103"/>
      <c r="F80" s="124"/>
      <c r="G80" s="124"/>
      <c r="H80" s="103"/>
      <c r="I80" s="103"/>
      <c r="J80" s="103"/>
      <c r="K80" s="103"/>
      <c r="L80" s="103"/>
      <c r="M80" s="103"/>
      <c r="N80" s="103"/>
      <c r="O80" s="103"/>
      <c r="P80" s="103"/>
      <c r="Q80" s="103"/>
      <c r="R80" s="103"/>
      <c r="S80" s="103"/>
      <c r="T80" s="103"/>
      <c r="U80" s="103"/>
      <c r="V80" s="103"/>
      <c r="W80" s="103"/>
      <c r="X80" s="103"/>
      <c r="Y80" s="103"/>
      <c r="Z80" s="103"/>
      <c r="AA80" s="103"/>
    </row>
    <row r="81" spans="1:27" ht="15.75" customHeight="1">
      <c r="A81" s="103"/>
      <c r="B81" s="103"/>
      <c r="C81" s="103"/>
      <c r="D81" s="103"/>
      <c r="E81" s="103"/>
      <c r="F81" s="124"/>
      <c r="G81" s="124"/>
      <c r="H81" s="103"/>
      <c r="I81" s="103"/>
      <c r="J81" s="103"/>
      <c r="K81" s="103"/>
      <c r="L81" s="103"/>
      <c r="M81" s="103"/>
      <c r="N81" s="103"/>
      <c r="O81" s="103"/>
      <c r="P81" s="103"/>
      <c r="Q81" s="103"/>
      <c r="R81" s="103"/>
      <c r="S81" s="103"/>
      <c r="T81" s="103"/>
      <c r="U81" s="103"/>
      <c r="V81" s="103"/>
      <c r="W81" s="103"/>
      <c r="X81" s="103"/>
      <c r="Y81" s="103"/>
      <c r="Z81" s="103"/>
      <c r="AA81" s="103"/>
    </row>
    <row r="82" spans="1:27" ht="15.75" customHeight="1">
      <c r="A82" s="103"/>
      <c r="B82" s="103"/>
      <c r="C82" s="103"/>
      <c r="D82" s="103"/>
      <c r="E82" s="103"/>
      <c r="F82" s="124"/>
      <c r="G82" s="124"/>
      <c r="H82" s="103"/>
      <c r="I82" s="103"/>
      <c r="J82" s="103"/>
      <c r="K82" s="103"/>
      <c r="L82" s="103"/>
      <c r="M82" s="103"/>
      <c r="N82" s="103"/>
      <c r="O82" s="103"/>
      <c r="P82" s="103"/>
      <c r="Q82" s="103"/>
      <c r="R82" s="103"/>
      <c r="S82" s="103"/>
      <c r="T82" s="103"/>
      <c r="U82" s="103"/>
      <c r="V82" s="103"/>
      <c r="W82" s="103"/>
      <c r="X82" s="103"/>
      <c r="Y82" s="103"/>
      <c r="Z82" s="103"/>
      <c r="AA82" s="103"/>
    </row>
    <row r="83" spans="1:27" ht="15.75" customHeight="1">
      <c r="A83" s="103"/>
      <c r="B83" s="103"/>
      <c r="C83" s="103"/>
      <c r="D83" s="103"/>
      <c r="E83" s="103"/>
      <c r="F83" s="124"/>
      <c r="G83" s="124"/>
      <c r="H83" s="103"/>
      <c r="I83" s="103"/>
      <c r="J83" s="103"/>
      <c r="K83" s="103"/>
      <c r="L83" s="103"/>
      <c r="M83" s="103"/>
      <c r="N83" s="103"/>
      <c r="O83" s="103"/>
      <c r="P83" s="103"/>
      <c r="Q83" s="103"/>
      <c r="R83" s="103"/>
      <c r="S83" s="103"/>
      <c r="T83" s="103"/>
      <c r="U83" s="103"/>
      <c r="V83" s="103"/>
      <c r="W83" s="103"/>
      <c r="X83" s="103"/>
      <c r="Y83" s="103"/>
      <c r="Z83" s="103"/>
      <c r="AA83" s="103"/>
    </row>
    <row r="84" spans="1:27" ht="15.75" customHeight="1">
      <c r="A84" s="103"/>
      <c r="B84" s="103"/>
      <c r="C84" s="103"/>
      <c r="D84" s="103"/>
      <c r="E84" s="103"/>
      <c r="F84" s="124"/>
      <c r="G84" s="124"/>
      <c r="H84" s="103"/>
      <c r="I84" s="103"/>
      <c r="J84" s="103"/>
      <c r="K84" s="103"/>
      <c r="L84" s="103"/>
      <c r="M84" s="103"/>
      <c r="N84" s="103"/>
      <c r="O84" s="103"/>
      <c r="P84" s="103"/>
      <c r="Q84" s="103"/>
      <c r="R84" s="103"/>
      <c r="S84" s="103"/>
      <c r="T84" s="103"/>
      <c r="U84" s="103"/>
      <c r="V84" s="103"/>
      <c r="W84" s="103"/>
      <c r="X84" s="103"/>
      <c r="Y84" s="103"/>
      <c r="Z84" s="103"/>
      <c r="AA84" s="103"/>
    </row>
    <row r="85" spans="1:27" ht="15.75" customHeight="1">
      <c r="A85" s="103"/>
      <c r="B85" s="103"/>
      <c r="C85" s="103"/>
      <c r="D85" s="103"/>
      <c r="E85" s="103"/>
      <c r="F85" s="124"/>
      <c r="G85" s="124"/>
      <c r="H85" s="103"/>
      <c r="I85" s="103"/>
      <c r="J85" s="103"/>
      <c r="K85" s="103"/>
      <c r="L85" s="103"/>
      <c r="M85" s="103"/>
      <c r="N85" s="103"/>
      <c r="O85" s="103"/>
      <c r="P85" s="103"/>
      <c r="Q85" s="103"/>
      <c r="R85" s="103"/>
      <c r="S85" s="103"/>
      <c r="T85" s="103"/>
      <c r="U85" s="103"/>
      <c r="V85" s="103"/>
      <c r="W85" s="103"/>
      <c r="X85" s="103"/>
      <c r="Y85" s="103"/>
      <c r="Z85" s="103"/>
      <c r="AA85" s="103"/>
    </row>
    <row r="86" spans="1:27" ht="15.75" customHeight="1">
      <c r="A86" s="103"/>
      <c r="B86" s="103"/>
      <c r="C86" s="103"/>
      <c r="D86" s="103"/>
      <c r="E86" s="103"/>
      <c r="F86" s="124"/>
      <c r="G86" s="124"/>
      <c r="H86" s="103"/>
      <c r="I86" s="103"/>
      <c r="J86" s="103"/>
      <c r="K86" s="103"/>
      <c r="L86" s="103"/>
      <c r="M86" s="103"/>
      <c r="N86" s="103"/>
      <c r="O86" s="103"/>
      <c r="P86" s="103"/>
      <c r="Q86" s="103"/>
      <c r="R86" s="103"/>
      <c r="S86" s="103"/>
      <c r="T86" s="103"/>
      <c r="U86" s="103"/>
      <c r="V86" s="103"/>
      <c r="W86" s="103"/>
      <c r="X86" s="103"/>
      <c r="Y86" s="103"/>
      <c r="Z86" s="103"/>
      <c r="AA86" s="103"/>
    </row>
    <row r="87" spans="1:27" ht="15.75" customHeight="1">
      <c r="A87" s="103"/>
      <c r="B87" s="103"/>
      <c r="C87" s="103"/>
      <c r="D87" s="103"/>
      <c r="E87" s="103"/>
      <c r="F87" s="124"/>
      <c r="G87" s="124"/>
      <c r="H87" s="103"/>
      <c r="I87" s="103"/>
      <c r="J87" s="103"/>
      <c r="K87" s="103"/>
      <c r="L87" s="103"/>
      <c r="M87" s="103"/>
      <c r="N87" s="103"/>
      <c r="O87" s="103"/>
      <c r="P87" s="103"/>
      <c r="Q87" s="103"/>
      <c r="R87" s="103"/>
      <c r="S87" s="103"/>
      <c r="T87" s="103"/>
      <c r="U87" s="103"/>
      <c r="V87" s="103"/>
      <c r="W87" s="103"/>
      <c r="X87" s="103"/>
      <c r="Y87" s="103"/>
      <c r="Z87" s="103"/>
      <c r="AA87" s="103"/>
    </row>
    <row r="88" spans="1:27" ht="15.75" customHeight="1">
      <c r="A88" s="103"/>
      <c r="B88" s="103"/>
      <c r="C88" s="103"/>
      <c r="D88" s="103"/>
      <c r="E88" s="103"/>
      <c r="F88" s="124"/>
      <c r="G88" s="124"/>
      <c r="H88" s="103"/>
      <c r="I88" s="103"/>
      <c r="J88" s="103"/>
      <c r="K88" s="103"/>
      <c r="L88" s="103"/>
      <c r="M88" s="103"/>
      <c r="N88" s="103"/>
      <c r="O88" s="103"/>
      <c r="P88" s="103"/>
      <c r="Q88" s="103"/>
      <c r="R88" s="103"/>
      <c r="S88" s="103"/>
      <c r="T88" s="103"/>
      <c r="U88" s="103"/>
      <c r="V88" s="103"/>
      <c r="W88" s="103"/>
      <c r="X88" s="103"/>
      <c r="Y88" s="103"/>
      <c r="Z88" s="103"/>
      <c r="AA88" s="103"/>
    </row>
    <row r="89" spans="1:27" ht="15.75" customHeight="1">
      <c r="A89" s="103"/>
      <c r="B89" s="103"/>
      <c r="C89" s="103"/>
      <c r="D89" s="103"/>
      <c r="E89" s="103"/>
      <c r="F89" s="124"/>
      <c r="G89" s="124"/>
      <c r="H89" s="103"/>
      <c r="I89" s="103"/>
      <c r="J89" s="103"/>
      <c r="K89" s="103"/>
      <c r="L89" s="103"/>
      <c r="M89" s="103"/>
      <c r="N89" s="103"/>
      <c r="O89" s="103"/>
      <c r="P89" s="103"/>
      <c r="Q89" s="103"/>
      <c r="R89" s="103"/>
      <c r="S89" s="103"/>
      <c r="T89" s="103"/>
      <c r="U89" s="103"/>
      <c r="V89" s="103"/>
      <c r="W89" s="103"/>
      <c r="X89" s="103"/>
      <c r="Y89" s="103"/>
      <c r="Z89" s="103"/>
      <c r="AA89" s="103"/>
    </row>
    <row r="90" spans="1:27" ht="15.75" customHeight="1">
      <c r="A90" s="103"/>
      <c r="B90" s="103"/>
      <c r="C90" s="103"/>
      <c r="D90" s="103"/>
      <c r="E90" s="103"/>
      <c r="F90" s="124"/>
      <c r="G90" s="124"/>
      <c r="H90" s="103"/>
      <c r="I90" s="103"/>
      <c r="J90" s="103"/>
      <c r="K90" s="103"/>
      <c r="L90" s="103"/>
      <c r="M90" s="103"/>
      <c r="N90" s="103"/>
      <c r="O90" s="103"/>
      <c r="P90" s="103"/>
      <c r="Q90" s="103"/>
      <c r="R90" s="103"/>
      <c r="S90" s="103"/>
      <c r="T90" s="103"/>
      <c r="U90" s="103"/>
      <c r="V90" s="103"/>
      <c r="W90" s="103"/>
      <c r="X90" s="103"/>
      <c r="Y90" s="103"/>
      <c r="Z90" s="103"/>
      <c r="AA90" s="103"/>
    </row>
    <row r="91" spans="1:27" ht="15.75" customHeight="1">
      <c r="A91" s="103"/>
      <c r="B91" s="103"/>
      <c r="C91" s="103"/>
      <c r="D91" s="103"/>
      <c r="E91" s="103"/>
      <c r="F91" s="124"/>
      <c r="G91" s="124"/>
      <c r="H91" s="103"/>
      <c r="I91" s="103"/>
      <c r="J91" s="103"/>
      <c r="K91" s="103"/>
      <c r="L91" s="103"/>
      <c r="M91" s="103"/>
      <c r="N91" s="103"/>
      <c r="O91" s="103"/>
      <c r="P91" s="103"/>
      <c r="Q91" s="103"/>
      <c r="R91" s="103"/>
      <c r="S91" s="103"/>
      <c r="T91" s="103"/>
      <c r="U91" s="103"/>
      <c r="V91" s="103"/>
      <c r="W91" s="103"/>
      <c r="X91" s="103"/>
      <c r="Y91" s="103"/>
      <c r="Z91" s="103"/>
      <c r="AA91" s="103"/>
    </row>
    <row r="92" spans="1:27" ht="15.75" customHeight="1">
      <c r="A92" s="103"/>
      <c r="B92" s="103"/>
      <c r="C92" s="103"/>
      <c r="D92" s="103"/>
      <c r="E92" s="103"/>
      <c r="F92" s="124"/>
      <c r="G92" s="124"/>
      <c r="H92" s="103"/>
      <c r="I92" s="103"/>
      <c r="J92" s="103"/>
      <c r="K92" s="103"/>
      <c r="L92" s="103"/>
      <c r="M92" s="103"/>
      <c r="N92" s="103"/>
      <c r="O92" s="103"/>
      <c r="P92" s="103"/>
      <c r="Q92" s="103"/>
      <c r="R92" s="103"/>
      <c r="S92" s="103"/>
      <c r="T92" s="103"/>
      <c r="U92" s="103"/>
      <c r="V92" s="103"/>
      <c r="W92" s="103"/>
      <c r="X92" s="103"/>
      <c r="Y92" s="103"/>
      <c r="Z92" s="103"/>
      <c r="AA92" s="103"/>
    </row>
    <row r="93" spans="1:27" ht="15.75" customHeight="1">
      <c r="A93" s="103"/>
      <c r="B93" s="103"/>
      <c r="C93" s="103"/>
      <c r="D93" s="103"/>
      <c r="E93" s="103"/>
      <c r="F93" s="124"/>
      <c r="G93" s="124"/>
      <c r="H93" s="103"/>
      <c r="I93" s="103"/>
      <c r="J93" s="103"/>
      <c r="K93" s="103"/>
      <c r="L93" s="103"/>
      <c r="M93" s="103"/>
      <c r="N93" s="103"/>
      <c r="O93" s="103"/>
      <c r="P93" s="103"/>
      <c r="Q93" s="103"/>
      <c r="R93" s="103"/>
      <c r="S93" s="103"/>
      <c r="T93" s="103"/>
      <c r="U93" s="103"/>
      <c r="V93" s="103"/>
      <c r="W93" s="103"/>
      <c r="X93" s="103"/>
      <c r="Y93" s="103"/>
      <c r="Z93" s="103"/>
      <c r="AA93" s="103"/>
    </row>
    <row r="94" spans="1:27" ht="15.75" customHeight="1">
      <c r="A94" s="103"/>
      <c r="B94" s="103"/>
      <c r="C94" s="103"/>
      <c r="D94" s="103"/>
      <c r="E94" s="103"/>
      <c r="F94" s="124"/>
      <c r="G94" s="124"/>
      <c r="H94" s="103"/>
      <c r="I94" s="103"/>
      <c r="J94" s="103"/>
      <c r="K94" s="103"/>
      <c r="L94" s="103"/>
      <c r="M94" s="103"/>
      <c r="N94" s="103"/>
      <c r="O94" s="103"/>
      <c r="P94" s="103"/>
      <c r="Q94" s="103"/>
      <c r="R94" s="103"/>
      <c r="S94" s="103"/>
      <c r="T94" s="103"/>
      <c r="U94" s="103"/>
      <c r="V94" s="103"/>
      <c r="W94" s="103"/>
      <c r="X94" s="103"/>
      <c r="Y94" s="103"/>
      <c r="Z94" s="103"/>
      <c r="AA94" s="103"/>
    </row>
    <row r="95" spans="1:27" ht="15.75" customHeight="1">
      <c r="A95" s="103"/>
      <c r="B95" s="103"/>
      <c r="C95" s="103"/>
      <c r="D95" s="103"/>
      <c r="E95" s="103"/>
      <c r="F95" s="124"/>
      <c r="G95" s="124"/>
      <c r="H95" s="103"/>
      <c r="I95" s="103"/>
      <c r="J95" s="103"/>
      <c r="K95" s="103"/>
      <c r="L95" s="103"/>
      <c r="M95" s="103"/>
      <c r="N95" s="103"/>
      <c r="O95" s="103"/>
      <c r="P95" s="103"/>
      <c r="Q95" s="103"/>
      <c r="R95" s="103"/>
      <c r="S95" s="103"/>
      <c r="T95" s="103"/>
      <c r="U95" s="103"/>
      <c r="V95" s="103"/>
      <c r="W95" s="103"/>
      <c r="X95" s="103"/>
      <c r="Y95" s="103"/>
      <c r="Z95" s="103"/>
      <c r="AA95" s="103"/>
    </row>
    <row r="96" spans="1:27" ht="15.75" customHeight="1">
      <c r="A96" s="103"/>
      <c r="B96" s="103"/>
      <c r="C96" s="103"/>
      <c r="D96" s="103"/>
      <c r="E96" s="103"/>
      <c r="F96" s="124"/>
      <c r="G96" s="124"/>
      <c r="H96" s="103"/>
      <c r="I96" s="103"/>
      <c r="J96" s="103"/>
      <c r="K96" s="103"/>
      <c r="L96" s="103"/>
      <c r="M96" s="103"/>
      <c r="N96" s="103"/>
      <c r="O96" s="103"/>
      <c r="P96" s="103"/>
      <c r="Q96" s="103"/>
      <c r="R96" s="103"/>
      <c r="S96" s="103"/>
      <c r="T96" s="103"/>
      <c r="U96" s="103"/>
      <c r="V96" s="103"/>
      <c r="W96" s="103"/>
      <c r="X96" s="103"/>
      <c r="Y96" s="103"/>
      <c r="Z96" s="103"/>
      <c r="AA96" s="103"/>
    </row>
    <row r="97" spans="1:27" ht="15.75" customHeight="1">
      <c r="A97" s="103"/>
      <c r="B97" s="103"/>
      <c r="C97" s="103"/>
      <c r="D97" s="103"/>
      <c r="E97" s="103"/>
      <c r="F97" s="124"/>
      <c r="G97" s="124"/>
      <c r="H97" s="103"/>
      <c r="I97" s="103"/>
      <c r="J97" s="103"/>
      <c r="K97" s="103"/>
      <c r="L97" s="103"/>
      <c r="M97" s="103"/>
      <c r="N97" s="103"/>
      <c r="O97" s="103"/>
      <c r="P97" s="103"/>
      <c r="Q97" s="103"/>
      <c r="R97" s="103"/>
      <c r="S97" s="103"/>
      <c r="T97" s="103"/>
      <c r="U97" s="103"/>
      <c r="V97" s="103"/>
      <c r="W97" s="103"/>
      <c r="X97" s="103"/>
      <c r="Y97" s="103"/>
      <c r="Z97" s="103"/>
      <c r="AA97" s="103"/>
    </row>
    <row r="98" spans="1:27" ht="15.75" customHeight="1">
      <c r="A98" s="103"/>
      <c r="B98" s="103"/>
      <c r="C98" s="103"/>
      <c r="D98" s="103"/>
      <c r="E98" s="103"/>
      <c r="F98" s="124"/>
      <c r="G98" s="124"/>
      <c r="H98" s="103"/>
      <c r="I98" s="103"/>
      <c r="J98" s="103"/>
      <c r="K98" s="103"/>
      <c r="L98" s="103"/>
      <c r="M98" s="103"/>
      <c r="N98" s="103"/>
      <c r="O98" s="103"/>
      <c r="P98" s="103"/>
      <c r="Q98" s="103"/>
      <c r="R98" s="103"/>
      <c r="S98" s="103"/>
      <c r="T98" s="103"/>
      <c r="U98" s="103"/>
      <c r="V98" s="103"/>
      <c r="W98" s="103"/>
      <c r="X98" s="103"/>
      <c r="Y98" s="103"/>
      <c r="Z98" s="103"/>
      <c r="AA98" s="103"/>
    </row>
    <row r="99" spans="1:27" ht="15.75" customHeight="1">
      <c r="A99" s="103"/>
      <c r="B99" s="103"/>
      <c r="C99" s="103"/>
      <c r="D99" s="103"/>
      <c r="E99" s="103"/>
      <c r="F99" s="124"/>
      <c r="G99" s="124"/>
      <c r="H99" s="103"/>
      <c r="I99" s="103"/>
      <c r="J99" s="103"/>
      <c r="K99" s="103"/>
      <c r="L99" s="103"/>
      <c r="M99" s="103"/>
      <c r="N99" s="103"/>
      <c r="O99" s="103"/>
      <c r="P99" s="103"/>
      <c r="Q99" s="103"/>
      <c r="R99" s="103"/>
      <c r="S99" s="103"/>
      <c r="T99" s="103"/>
      <c r="U99" s="103"/>
      <c r="V99" s="103"/>
      <c r="W99" s="103"/>
      <c r="X99" s="103"/>
      <c r="Y99" s="103"/>
      <c r="Z99" s="103"/>
      <c r="AA99" s="103"/>
    </row>
    <row r="100" spans="1:27" ht="15.75" customHeight="1">
      <c r="A100" s="103"/>
      <c r="B100" s="103"/>
      <c r="C100" s="103"/>
      <c r="D100" s="103"/>
      <c r="E100" s="103"/>
      <c r="F100" s="124"/>
      <c r="G100" s="124"/>
      <c r="H100" s="103"/>
      <c r="I100" s="103"/>
      <c r="J100" s="103"/>
      <c r="K100" s="103"/>
      <c r="L100" s="103"/>
      <c r="M100" s="103"/>
      <c r="N100" s="103"/>
      <c r="O100" s="103"/>
      <c r="P100" s="103"/>
      <c r="Q100" s="103"/>
      <c r="R100" s="103"/>
      <c r="S100" s="103"/>
      <c r="T100" s="103"/>
      <c r="U100" s="103"/>
      <c r="V100" s="103"/>
      <c r="W100" s="103"/>
      <c r="X100" s="103"/>
      <c r="Y100" s="103"/>
      <c r="Z100" s="103"/>
      <c r="AA100" s="103"/>
    </row>
    <row r="101" spans="1:27" ht="15.75" customHeight="1">
      <c r="A101" s="103"/>
      <c r="B101" s="103"/>
      <c r="C101" s="103"/>
      <c r="D101" s="103"/>
      <c r="E101" s="103"/>
      <c r="F101" s="124"/>
      <c r="G101" s="124"/>
      <c r="H101" s="103"/>
      <c r="I101" s="103"/>
      <c r="J101" s="103"/>
      <c r="K101" s="103"/>
      <c r="L101" s="103"/>
      <c r="M101" s="103"/>
      <c r="N101" s="103"/>
      <c r="O101" s="103"/>
      <c r="P101" s="103"/>
      <c r="Q101" s="103"/>
      <c r="R101" s="103"/>
      <c r="S101" s="103"/>
      <c r="T101" s="103"/>
      <c r="U101" s="103"/>
      <c r="V101" s="103"/>
      <c r="W101" s="103"/>
      <c r="X101" s="103"/>
      <c r="Y101" s="103"/>
      <c r="Z101" s="103"/>
      <c r="AA101" s="103"/>
    </row>
    <row r="102" spans="1:27" ht="15.75" customHeight="1">
      <c r="A102" s="103"/>
      <c r="B102" s="103"/>
      <c r="C102" s="103"/>
      <c r="D102" s="103"/>
      <c r="E102" s="103"/>
      <c r="F102" s="124"/>
      <c r="G102" s="124"/>
      <c r="H102" s="103"/>
      <c r="I102" s="103"/>
      <c r="J102" s="103"/>
      <c r="K102" s="103"/>
      <c r="L102" s="103"/>
      <c r="M102" s="103"/>
      <c r="N102" s="103"/>
      <c r="O102" s="103"/>
      <c r="P102" s="103"/>
      <c r="Q102" s="103"/>
      <c r="R102" s="103"/>
      <c r="S102" s="103"/>
      <c r="T102" s="103"/>
      <c r="U102" s="103"/>
      <c r="V102" s="103"/>
      <c r="W102" s="103"/>
      <c r="X102" s="103"/>
      <c r="Y102" s="103"/>
      <c r="Z102" s="103"/>
      <c r="AA102" s="103"/>
    </row>
    <row r="103" spans="1:27" ht="15.75" customHeight="1">
      <c r="A103" s="103"/>
      <c r="B103" s="103"/>
      <c r="C103" s="103"/>
      <c r="D103" s="103"/>
      <c r="E103" s="103"/>
      <c r="F103" s="124"/>
      <c r="G103" s="124"/>
      <c r="H103" s="103"/>
      <c r="I103" s="103"/>
      <c r="J103" s="103"/>
      <c r="K103" s="103"/>
      <c r="L103" s="103"/>
      <c r="M103" s="103"/>
      <c r="N103" s="103"/>
      <c r="O103" s="103"/>
      <c r="P103" s="103"/>
      <c r="Q103" s="103"/>
      <c r="R103" s="103"/>
      <c r="S103" s="103"/>
      <c r="T103" s="103"/>
      <c r="U103" s="103"/>
      <c r="V103" s="103"/>
      <c r="W103" s="103"/>
      <c r="X103" s="103"/>
      <c r="Y103" s="103"/>
      <c r="Z103" s="103"/>
      <c r="AA103" s="103"/>
    </row>
    <row r="104" spans="1:27" ht="15.75" customHeight="1">
      <c r="A104" s="103"/>
      <c r="B104" s="103"/>
      <c r="C104" s="103"/>
      <c r="D104" s="103"/>
      <c r="E104" s="103"/>
      <c r="F104" s="124"/>
      <c r="G104" s="124"/>
      <c r="H104" s="103"/>
      <c r="I104" s="103"/>
      <c r="J104" s="103"/>
      <c r="K104" s="103"/>
      <c r="L104" s="103"/>
      <c r="M104" s="103"/>
      <c r="N104" s="103"/>
      <c r="O104" s="103"/>
      <c r="P104" s="103"/>
      <c r="Q104" s="103"/>
      <c r="R104" s="103"/>
      <c r="S104" s="103"/>
      <c r="T104" s="103"/>
      <c r="U104" s="103"/>
      <c r="V104" s="103"/>
      <c r="W104" s="103"/>
      <c r="X104" s="103"/>
      <c r="Y104" s="103"/>
      <c r="Z104" s="103"/>
      <c r="AA104" s="103"/>
    </row>
    <row r="105" spans="1:27" ht="15.75" customHeight="1">
      <c r="A105" s="103"/>
      <c r="B105" s="103"/>
      <c r="C105" s="103"/>
      <c r="D105" s="103"/>
      <c r="E105" s="103"/>
      <c r="F105" s="124"/>
      <c r="G105" s="124"/>
      <c r="H105" s="103"/>
      <c r="I105" s="103"/>
      <c r="J105" s="103"/>
      <c r="K105" s="103"/>
      <c r="L105" s="103"/>
      <c r="M105" s="103"/>
      <c r="N105" s="103"/>
      <c r="O105" s="103"/>
      <c r="P105" s="103"/>
      <c r="Q105" s="103"/>
      <c r="R105" s="103"/>
      <c r="S105" s="103"/>
      <c r="T105" s="103"/>
      <c r="U105" s="103"/>
      <c r="V105" s="103"/>
      <c r="W105" s="103"/>
      <c r="X105" s="103"/>
      <c r="Y105" s="103"/>
      <c r="Z105" s="103"/>
      <c r="AA105" s="103"/>
    </row>
    <row r="106" spans="1:27" ht="15.75" customHeight="1">
      <c r="A106" s="103"/>
      <c r="B106" s="103"/>
      <c r="C106" s="103"/>
      <c r="D106" s="103"/>
      <c r="E106" s="103"/>
      <c r="F106" s="124"/>
      <c r="G106" s="124"/>
      <c r="H106" s="103"/>
      <c r="I106" s="103"/>
      <c r="J106" s="103"/>
      <c r="K106" s="103"/>
      <c r="L106" s="103"/>
      <c r="M106" s="103"/>
      <c r="N106" s="103"/>
      <c r="O106" s="103"/>
      <c r="P106" s="103"/>
      <c r="Q106" s="103"/>
      <c r="R106" s="103"/>
      <c r="S106" s="103"/>
      <c r="T106" s="103"/>
      <c r="U106" s="103"/>
      <c r="V106" s="103"/>
      <c r="W106" s="103"/>
      <c r="X106" s="103"/>
      <c r="Y106" s="103"/>
      <c r="Z106" s="103"/>
      <c r="AA106" s="103"/>
    </row>
    <row r="107" spans="1:27" ht="15.75" customHeight="1">
      <c r="A107" s="103"/>
      <c r="B107" s="103"/>
      <c r="C107" s="103"/>
      <c r="D107" s="103"/>
      <c r="E107" s="103"/>
      <c r="F107" s="124"/>
      <c r="G107" s="124"/>
      <c r="H107" s="103"/>
      <c r="I107" s="103"/>
      <c r="J107" s="103"/>
      <c r="K107" s="103"/>
      <c r="L107" s="103"/>
      <c r="M107" s="103"/>
      <c r="N107" s="103"/>
      <c r="O107" s="103"/>
      <c r="P107" s="103"/>
      <c r="Q107" s="103"/>
      <c r="R107" s="103"/>
      <c r="S107" s="103"/>
      <c r="T107" s="103"/>
      <c r="U107" s="103"/>
      <c r="V107" s="103"/>
      <c r="W107" s="103"/>
      <c r="X107" s="103"/>
      <c r="Y107" s="103"/>
      <c r="Z107" s="103"/>
      <c r="AA107" s="103"/>
    </row>
    <row r="108" spans="1:27" ht="15.75" customHeight="1">
      <c r="A108" s="103"/>
      <c r="B108" s="103"/>
      <c r="C108" s="103"/>
      <c r="D108" s="103"/>
      <c r="E108" s="103"/>
      <c r="F108" s="124"/>
      <c r="G108" s="124"/>
      <c r="H108" s="103"/>
      <c r="I108" s="103"/>
      <c r="J108" s="103"/>
      <c r="K108" s="103"/>
      <c r="L108" s="103"/>
      <c r="M108" s="103"/>
      <c r="N108" s="103"/>
      <c r="O108" s="103"/>
      <c r="P108" s="103"/>
      <c r="Q108" s="103"/>
      <c r="R108" s="103"/>
      <c r="S108" s="103"/>
      <c r="T108" s="103"/>
      <c r="U108" s="103"/>
      <c r="V108" s="103"/>
      <c r="W108" s="103"/>
      <c r="X108" s="103"/>
      <c r="Y108" s="103"/>
      <c r="Z108" s="103"/>
      <c r="AA108" s="103"/>
    </row>
    <row r="109" spans="1:27" ht="15.75" customHeight="1">
      <c r="A109" s="103"/>
      <c r="B109" s="103"/>
      <c r="C109" s="103"/>
      <c r="D109" s="103"/>
      <c r="E109" s="103"/>
      <c r="F109" s="124"/>
      <c r="G109" s="124"/>
      <c r="H109" s="103"/>
      <c r="I109" s="103"/>
      <c r="J109" s="103"/>
      <c r="K109" s="103"/>
      <c r="L109" s="103"/>
      <c r="M109" s="103"/>
      <c r="N109" s="103"/>
      <c r="O109" s="103"/>
      <c r="P109" s="103"/>
      <c r="Q109" s="103"/>
      <c r="R109" s="103"/>
      <c r="S109" s="103"/>
      <c r="T109" s="103"/>
      <c r="U109" s="103"/>
      <c r="V109" s="103"/>
      <c r="W109" s="103"/>
      <c r="X109" s="103"/>
      <c r="Y109" s="103"/>
      <c r="Z109" s="103"/>
      <c r="AA109" s="103"/>
    </row>
    <row r="110" spans="1:27" ht="15.75" customHeight="1">
      <c r="A110" s="103"/>
      <c r="B110" s="103"/>
      <c r="C110" s="103"/>
      <c r="D110" s="103"/>
      <c r="E110" s="103"/>
      <c r="F110" s="124"/>
      <c r="G110" s="124"/>
      <c r="H110" s="103"/>
      <c r="I110" s="103"/>
      <c r="J110" s="103"/>
      <c r="K110" s="103"/>
      <c r="L110" s="103"/>
      <c r="M110" s="103"/>
      <c r="N110" s="103"/>
      <c r="O110" s="103"/>
      <c r="P110" s="103"/>
      <c r="Q110" s="103"/>
      <c r="R110" s="103"/>
      <c r="S110" s="103"/>
      <c r="T110" s="103"/>
      <c r="U110" s="103"/>
      <c r="V110" s="103"/>
      <c r="W110" s="103"/>
      <c r="X110" s="103"/>
      <c r="Y110" s="103"/>
      <c r="Z110" s="103"/>
      <c r="AA110" s="103"/>
    </row>
    <row r="111" spans="1:27" ht="15.75" customHeight="1">
      <c r="A111" s="103"/>
      <c r="B111" s="103"/>
      <c r="C111" s="103"/>
      <c r="D111" s="103"/>
      <c r="E111" s="103"/>
      <c r="F111" s="124"/>
      <c r="G111" s="124"/>
      <c r="H111" s="103"/>
      <c r="I111" s="103"/>
      <c r="J111" s="103"/>
      <c r="K111" s="103"/>
      <c r="L111" s="103"/>
      <c r="M111" s="103"/>
      <c r="N111" s="103"/>
      <c r="O111" s="103"/>
      <c r="P111" s="103"/>
      <c r="Q111" s="103"/>
      <c r="R111" s="103"/>
      <c r="S111" s="103"/>
      <c r="T111" s="103"/>
      <c r="U111" s="103"/>
      <c r="V111" s="103"/>
      <c r="W111" s="103"/>
      <c r="X111" s="103"/>
      <c r="Y111" s="103"/>
      <c r="Z111" s="103"/>
      <c r="AA111" s="103"/>
    </row>
    <row r="112" spans="1:27" ht="15.75" customHeight="1">
      <c r="A112" s="103"/>
      <c r="B112" s="103"/>
      <c r="C112" s="103"/>
      <c r="D112" s="103"/>
      <c r="E112" s="103"/>
      <c r="F112" s="124"/>
      <c r="G112" s="124"/>
      <c r="H112" s="103"/>
      <c r="I112" s="103"/>
      <c r="J112" s="103"/>
      <c r="K112" s="103"/>
      <c r="L112" s="103"/>
      <c r="M112" s="103"/>
      <c r="N112" s="103"/>
      <c r="O112" s="103"/>
      <c r="P112" s="103"/>
      <c r="Q112" s="103"/>
      <c r="R112" s="103"/>
      <c r="S112" s="103"/>
      <c r="T112" s="103"/>
      <c r="U112" s="103"/>
      <c r="V112" s="103"/>
      <c r="W112" s="103"/>
      <c r="X112" s="103"/>
      <c r="Y112" s="103"/>
      <c r="Z112" s="103"/>
      <c r="AA112" s="103"/>
    </row>
    <row r="113" spans="1:27" ht="15.75" customHeight="1">
      <c r="A113" s="103"/>
      <c r="B113" s="103"/>
      <c r="C113" s="103"/>
      <c r="D113" s="103"/>
      <c r="E113" s="103"/>
      <c r="F113" s="124"/>
      <c r="G113" s="124"/>
      <c r="H113" s="103"/>
      <c r="I113" s="103"/>
      <c r="J113" s="103"/>
      <c r="K113" s="103"/>
      <c r="L113" s="103"/>
      <c r="M113" s="103"/>
      <c r="N113" s="103"/>
      <c r="O113" s="103"/>
      <c r="P113" s="103"/>
      <c r="Q113" s="103"/>
      <c r="R113" s="103"/>
      <c r="S113" s="103"/>
      <c r="T113" s="103"/>
      <c r="U113" s="103"/>
      <c r="V113" s="103"/>
      <c r="W113" s="103"/>
      <c r="X113" s="103"/>
      <c r="Y113" s="103"/>
      <c r="Z113" s="103"/>
      <c r="AA113" s="103"/>
    </row>
    <row r="114" spans="1:27" ht="15.75" customHeight="1">
      <c r="A114" s="103"/>
      <c r="B114" s="103"/>
      <c r="C114" s="103"/>
      <c r="D114" s="103"/>
      <c r="E114" s="103"/>
      <c r="F114" s="124"/>
      <c r="G114" s="124"/>
      <c r="H114" s="103"/>
      <c r="I114" s="103"/>
      <c r="J114" s="103"/>
      <c r="K114" s="103"/>
      <c r="L114" s="103"/>
      <c r="M114" s="103"/>
      <c r="N114" s="103"/>
      <c r="O114" s="103"/>
      <c r="P114" s="103"/>
      <c r="Q114" s="103"/>
      <c r="R114" s="103"/>
      <c r="S114" s="103"/>
      <c r="T114" s="103"/>
      <c r="U114" s="103"/>
      <c r="V114" s="103"/>
      <c r="W114" s="103"/>
      <c r="X114" s="103"/>
      <c r="Y114" s="103"/>
      <c r="Z114" s="103"/>
      <c r="AA114" s="103"/>
    </row>
    <row r="115" spans="1:27" ht="15.75" customHeight="1">
      <c r="A115" s="103"/>
      <c r="B115" s="103"/>
      <c r="C115" s="103"/>
      <c r="D115" s="103"/>
      <c r="E115" s="103"/>
      <c r="F115" s="124"/>
      <c r="G115" s="124"/>
      <c r="H115" s="103"/>
      <c r="I115" s="103"/>
      <c r="J115" s="103"/>
      <c r="K115" s="103"/>
      <c r="L115" s="103"/>
      <c r="M115" s="103"/>
      <c r="N115" s="103"/>
      <c r="O115" s="103"/>
      <c r="P115" s="103"/>
      <c r="Q115" s="103"/>
      <c r="R115" s="103"/>
      <c r="S115" s="103"/>
      <c r="T115" s="103"/>
      <c r="U115" s="103"/>
      <c r="V115" s="103"/>
      <c r="W115" s="103"/>
      <c r="X115" s="103"/>
      <c r="Y115" s="103"/>
      <c r="Z115" s="103"/>
      <c r="AA115" s="103"/>
    </row>
    <row r="116" spans="1:27" ht="15.75" customHeight="1">
      <c r="A116" s="103"/>
      <c r="B116" s="103"/>
      <c r="C116" s="103"/>
      <c r="D116" s="103"/>
      <c r="E116" s="103"/>
      <c r="F116" s="124"/>
      <c r="G116" s="124"/>
      <c r="H116" s="103"/>
      <c r="I116" s="103"/>
      <c r="J116" s="103"/>
      <c r="K116" s="103"/>
      <c r="L116" s="103"/>
      <c r="M116" s="103"/>
      <c r="N116" s="103"/>
      <c r="O116" s="103"/>
      <c r="P116" s="103"/>
      <c r="Q116" s="103"/>
      <c r="R116" s="103"/>
      <c r="S116" s="103"/>
      <c r="T116" s="103"/>
      <c r="U116" s="103"/>
      <c r="V116" s="103"/>
      <c r="W116" s="103"/>
      <c r="X116" s="103"/>
      <c r="Y116" s="103"/>
      <c r="Z116" s="103"/>
      <c r="AA116" s="103"/>
    </row>
    <row r="117" spans="1:27" ht="15.75" customHeight="1">
      <c r="A117" s="103"/>
      <c r="B117" s="103"/>
      <c r="C117" s="103"/>
      <c r="D117" s="103"/>
      <c r="E117" s="103"/>
      <c r="F117" s="124"/>
      <c r="G117" s="124"/>
      <c r="H117" s="103"/>
      <c r="I117" s="103"/>
      <c r="J117" s="103"/>
      <c r="K117" s="103"/>
      <c r="L117" s="103"/>
      <c r="M117" s="103"/>
      <c r="N117" s="103"/>
      <c r="O117" s="103"/>
      <c r="P117" s="103"/>
      <c r="Q117" s="103"/>
      <c r="R117" s="103"/>
      <c r="S117" s="103"/>
      <c r="T117" s="103"/>
      <c r="U117" s="103"/>
      <c r="V117" s="103"/>
      <c r="W117" s="103"/>
      <c r="X117" s="103"/>
      <c r="Y117" s="103"/>
      <c r="Z117" s="103"/>
      <c r="AA117" s="103"/>
    </row>
    <row r="118" spans="1:27" ht="15.75" customHeight="1">
      <c r="A118" s="103"/>
      <c r="B118" s="103"/>
      <c r="C118" s="103"/>
      <c r="D118" s="103"/>
      <c r="E118" s="103"/>
      <c r="F118" s="124"/>
      <c r="G118" s="124"/>
      <c r="H118" s="103"/>
      <c r="I118" s="103"/>
      <c r="J118" s="103"/>
      <c r="K118" s="103"/>
      <c r="L118" s="103"/>
      <c r="M118" s="103"/>
      <c r="N118" s="103"/>
      <c r="O118" s="103"/>
      <c r="P118" s="103"/>
      <c r="Q118" s="103"/>
      <c r="R118" s="103"/>
      <c r="S118" s="103"/>
      <c r="T118" s="103"/>
      <c r="U118" s="103"/>
      <c r="V118" s="103"/>
      <c r="W118" s="103"/>
      <c r="X118" s="103"/>
      <c r="Y118" s="103"/>
      <c r="Z118" s="103"/>
      <c r="AA118" s="103"/>
    </row>
    <row r="119" spans="1:27" ht="15.75" customHeight="1">
      <c r="A119" s="103"/>
      <c r="B119" s="103"/>
      <c r="C119" s="103"/>
      <c r="D119" s="103"/>
      <c r="E119" s="103"/>
      <c r="F119" s="124"/>
      <c r="G119" s="124"/>
      <c r="H119" s="103"/>
      <c r="I119" s="103"/>
      <c r="J119" s="103"/>
      <c r="K119" s="103"/>
      <c r="L119" s="103"/>
      <c r="M119" s="103"/>
      <c r="N119" s="103"/>
      <c r="O119" s="103"/>
      <c r="P119" s="103"/>
      <c r="Q119" s="103"/>
      <c r="R119" s="103"/>
      <c r="S119" s="103"/>
      <c r="T119" s="103"/>
      <c r="U119" s="103"/>
      <c r="V119" s="103"/>
      <c r="W119" s="103"/>
      <c r="X119" s="103"/>
      <c r="Y119" s="103"/>
      <c r="Z119" s="103"/>
      <c r="AA119" s="103"/>
    </row>
    <row r="120" spans="1:27" ht="15.75" customHeight="1">
      <c r="A120" s="103"/>
      <c r="B120" s="103"/>
      <c r="C120" s="103"/>
      <c r="D120" s="103"/>
      <c r="E120" s="103"/>
      <c r="F120" s="124"/>
      <c r="G120" s="124"/>
      <c r="H120" s="103"/>
      <c r="I120" s="103"/>
      <c r="J120" s="103"/>
      <c r="K120" s="103"/>
      <c r="L120" s="103"/>
      <c r="M120" s="103"/>
      <c r="N120" s="103"/>
      <c r="O120" s="103"/>
      <c r="P120" s="103"/>
      <c r="Q120" s="103"/>
      <c r="R120" s="103"/>
      <c r="S120" s="103"/>
      <c r="T120" s="103"/>
      <c r="U120" s="103"/>
      <c r="V120" s="103"/>
      <c r="W120" s="103"/>
      <c r="X120" s="103"/>
      <c r="Y120" s="103"/>
      <c r="Z120" s="103"/>
      <c r="AA120" s="103"/>
    </row>
    <row r="121" spans="1:27" ht="15.75" customHeight="1">
      <c r="A121" s="103"/>
      <c r="B121" s="103"/>
      <c r="C121" s="103"/>
      <c r="D121" s="103"/>
      <c r="E121" s="103"/>
      <c r="F121" s="124"/>
      <c r="G121" s="124"/>
      <c r="H121" s="103"/>
      <c r="I121" s="103"/>
      <c r="J121" s="103"/>
      <c r="K121" s="103"/>
      <c r="L121" s="103"/>
      <c r="M121" s="103"/>
      <c r="N121" s="103"/>
      <c r="O121" s="103"/>
      <c r="P121" s="103"/>
      <c r="Q121" s="103"/>
      <c r="R121" s="103"/>
      <c r="S121" s="103"/>
      <c r="T121" s="103"/>
      <c r="U121" s="103"/>
      <c r="V121" s="103"/>
      <c r="W121" s="103"/>
      <c r="X121" s="103"/>
      <c r="Y121" s="103"/>
      <c r="Z121" s="103"/>
      <c r="AA121" s="103"/>
    </row>
    <row r="122" spans="1:27" ht="15.75" customHeight="1">
      <c r="A122" s="103"/>
      <c r="B122" s="103"/>
      <c r="C122" s="103"/>
      <c r="D122" s="103"/>
      <c r="E122" s="103"/>
      <c r="F122" s="124"/>
      <c r="G122" s="124"/>
      <c r="H122" s="103"/>
      <c r="I122" s="103"/>
      <c r="J122" s="103"/>
      <c r="K122" s="103"/>
      <c r="L122" s="103"/>
      <c r="M122" s="103"/>
      <c r="N122" s="103"/>
      <c r="O122" s="103"/>
      <c r="P122" s="103"/>
      <c r="Q122" s="103"/>
      <c r="R122" s="103"/>
      <c r="S122" s="103"/>
      <c r="T122" s="103"/>
      <c r="U122" s="103"/>
      <c r="V122" s="103"/>
      <c r="W122" s="103"/>
      <c r="X122" s="103"/>
      <c r="Y122" s="103"/>
      <c r="Z122" s="103"/>
      <c r="AA122" s="103"/>
    </row>
    <row r="123" spans="1:27" ht="15.75" customHeight="1">
      <c r="A123" s="103"/>
      <c r="B123" s="103"/>
      <c r="C123" s="103"/>
      <c r="D123" s="103"/>
      <c r="E123" s="103"/>
      <c r="F123" s="124"/>
      <c r="G123" s="124"/>
      <c r="H123" s="103"/>
      <c r="I123" s="103"/>
      <c r="J123" s="103"/>
      <c r="K123" s="103"/>
      <c r="L123" s="103"/>
      <c r="M123" s="103"/>
      <c r="N123" s="103"/>
      <c r="O123" s="103"/>
      <c r="P123" s="103"/>
      <c r="Q123" s="103"/>
      <c r="R123" s="103"/>
      <c r="S123" s="103"/>
      <c r="T123" s="103"/>
      <c r="U123" s="103"/>
      <c r="V123" s="103"/>
      <c r="W123" s="103"/>
      <c r="X123" s="103"/>
      <c r="Y123" s="103"/>
      <c r="Z123" s="103"/>
      <c r="AA123" s="103"/>
    </row>
    <row r="124" spans="1:27" ht="15.75" customHeight="1">
      <c r="A124" s="103"/>
      <c r="B124" s="103"/>
      <c r="C124" s="103"/>
      <c r="D124" s="103"/>
      <c r="E124" s="103"/>
      <c r="F124" s="124"/>
      <c r="G124" s="124"/>
      <c r="H124" s="103"/>
      <c r="I124" s="103"/>
      <c r="J124" s="103"/>
      <c r="K124" s="103"/>
      <c r="L124" s="103"/>
      <c r="M124" s="103"/>
      <c r="N124" s="103"/>
      <c r="O124" s="103"/>
      <c r="P124" s="103"/>
      <c r="Q124" s="103"/>
      <c r="R124" s="103"/>
      <c r="S124" s="103"/>
      <c r="T124" s="103"/>
      <c r="U124" s="103"/>
      <c r="V124" s="103"/>
      <c r="W124" s="103"/>
      <c r="X124" s="103"/>
      <c r="Y124" s="103"/>
      <c r="Z124" s="103"/>
      <c r="AA124" s="103"/>
    </row>
    <row r="125" spans="1:27" ht="15.75" customHeight="1">
      <c r="A125" s="103"/>
      <c r="B125" s="103"/>
      <c r="C125" s="103"/>
      <c r="D125" s="103"/>
      <c r="E125" s="103"/>
      <c r="F125" s="124"/>
      <c r="G125" s="124"/>
      <c r="H125" s="103"/>
      <c r="I125" s="103"/>
      <c r="J125" s="103"/>
      <c r="K125" s="103"/>
      <c r="L125" s="103"/>
      <c r="M125" s="103"/>
      <c r="N125" s="103"/>
      <c r="O125" s="103"/>
      <c r="P125" s="103"/>
      <c r="Q125" s="103"/>
      <c r="R125" s="103"/>
      <c r="S125" s="103"/>
      <c r="T125" s="103"/>
      <c r="U125" s="103"/>
      <c r="V125" s="103"/>
      <c r="W125" s="103"/>
      <c r="X125" s="103"/>
      <c r="Y125" s="103"/>
      <c r="Z125" s="103"/>
      <c r="AA125" s="103"/>
    </row>
    <row r="126" spans="1:27" ht="15.75" customHeight="1">
      <c r="A126" s="103"/>
      <c r="B126" s="103"/>
      <c r="C126" s="103"/>
      <c r="D126" s="103"/>
      <c r="E126" s="103"/>
      <c r="F126" s="124"/>
      <c r="G126" s="124"/>
      <c r="H126" s="103"/>
      <c r="I126" s="103"/>
      <c r="J126" s="103"/>
      <c r="K126" s="103"/>
      <c r="L126" s="103"/>
      <c r="M126" s="103"/>
      <c r="N126" s="103"/>
      <c r="O126" s="103"/>
      <c r="P126" s="103"/>
      <c r="Q126" s="103"/>
      <c r="R126" s="103"/>
      <c r="S126" s="103"/>
      <c r="T126" s="103"/>
      <c r="U126" s="103"/>
      <c r="V126" s="103"/>
      <c r="W126" s="103"/>
      <c r="X126" s="103"/>
      <c r="Y126" s="103"/>
      <c r="Z126" s="103"/>
      <c r="AA126" s="103"/>
    </row>
    <row r="127" spans="1:27" ht="15.75" customHeight="1">
      <c r="A127" s="103"/>
      <c r="B127" s="103"/>
      <c r="C127" s="103"/>
      <c r="D127" s="103"/>
      <c r="E127" s="103"/>
      <c r="F127" s="124"/>
      <c r="G127" s="124"/>
      <c r="H127" s="103"/>
      <c r="I127" s="103"/>
      <c r="J127" s="103"/>
      <c r="K127" s="103"/>
      <c r="L127" s="103"/>
      <c r="M127" s="103"/>
      <c r="N127" s="103"/>
      <c r="O127" s="103"/>
      <c r="P127" s="103"/>
      <c r="Q127" s="103"/>
      <c r="R127" s="103"/>
      <c r="S127" s="103"/>
      <c r="T127" s="103"/>
      <c r="U127" s="103"/>
      <c r="V127" s="103"/>
      <c r="W127" s="103"/>
      <c r="X127" s="103"/>
      <c r="Y127" s="103"/>
      <c r="Z127" s="103"/>
      <c r="AA127" s="103"/>
    </row>
    <row r="128" spans="1:27" ht="15.75" customHeight="1">
      <c r="A128" s="103"/>
      <c r="B128" s="103"/>
      <c r="C128" s="103"/>
      <c r="D128" s="103"/>
      <c r="E128" s="103"/>
      <c r="F128" s="124"/>
      <c r="G128" s="124"/>
      <c r="H128" s="103"/>
      <c r="I128" s="103"/>
      <c r="J128" s="103"/>
      <c r="K128" s="103"/>
      <c r="L128" s="103"/>
      <c r="M128" s="103"/>
      <c r="N128" s="103"/>
      <c r="O128" s="103"/>
      <c r="P128" s="103"/>
      <c r="Q128" s="103"/>
      <c r="R128" s="103"/>
      <c r="S128" s="103"/>
      <c r="T128" s="103"/>
      <c r="U128" s="103"/>
      <c r="V128" s="103"/>
      <c r="W128" s="103"/>
      <c r="X128" s="103"/>
      <c r="Y128" s="103"/>
      <c r="Z128" s="103"/>
      <c r="AA128" s="103"/>
    </row>
    <row r="129" spans="1:27" ht="15.75" customHeight="1">
      <c r="A129" s="103"/>
      <c r="B129" s="103"/>
      <c r="C129" s="103"/>
      <c r="D129" s="103"/>
      <c r="E129" s="103"/>
      <c r="F129" s="124"/>
      <c r="G129" s="124"/>
      <c r="H129" s="103"/>
      <c r="I129" s="103"/>
      <c r="J129" s="103"/>
      <c r="K129" s="103"/>
      <c r="L129" s="103"/>
      <c r="M129" s="103"/>
      <c r="N129" s="103"/>
      <c r="O129" s="103"/>
      <c r="P129" s="103"/>
      <c r="Q129" s="103"/>
      <c r="R129" s="103"/>
      <c r="S129" s="103"/>
      <c r="T129" s="103"/>
      <c r="U129" s="103"/>
      <c r="V129" s="103"/>
      <c r="W129" s="103"/>
      <c r="X129" s="103"/>
      <c r="Y129" s="103"/>
      <c r="Z129" s="103"/>
      <c r="AA129" s="103"/>
    </row>
    <row r="130" spans="1:27" ht="15.75" customHeight="1">
      <c r="A130" s="103"/>
      <c r="B130" s="103"/>
      <c r="C130" s="103"/>
      <c r="D130" s="103"/>
      <c r="E130" s="103"/>
      <c r="F130" s="124"/>
      <c r="G130" s="124"/>
      <c r="H130" s="103"/>
      <c r="I130" s="103"/>
      <c r="J130" s="103"/>
      <c r="K130" s="103"/>
      <c r="L130" s="103"/>
      <c r="M130" s="103"/>
      <c r="N130" s="103"/>
      <c r="O130" s="103"/>
      <c r="P130" s="103"/>
      <c r="Q130" s="103"/>
      <c r="R130" s="103"/>
      <c r="S130" s="103"/>
      <c r="T130" s="103"/>
      <c r="U130" s="103"/>
      <c r="V130" s="103"/>
      <c r="W130" s="103"/>
      <c r="X130" s="103"/>
      <c r="Y130" s="103"/>
      <c r="Z130" s="103"/>
      <c r="AA130" s="103"/>
    </row>
    <row r="131" spans="1:27" ht="15.75" customHeight="1">
      <c r="A131" s="103"/>
      <c r="B131" s="103"/>
      <c r="C131" s="103"/>
      <c r="D131" s="103"/>
      <c r="E131" s="103"/>
      <c r="F131" s="124"/>
      <c r="G131" s="124"/>
      <c r="H131" s="103"/>
      <c r="I131" s="103"/>
      <c r="J131" s="103"/>
      <c r="K131" s="103"/>
      <c r="L131" s="103"/>
      <c r="M131" s="103"/>
      <c r="N131" s="103"/>
      <c r="O131" s="103"/>
      <c r="P131" s="103"/>
      <c r="Q131" s="103"/>
      <c r="R131" s="103"/>
      <c r="S131" s="103"/>
      <c r="T131" s="103"/>
      <c r="U131" s="103"/>
      <c r="V131" s="103"/>
      <c r="W131" s="103"/>
      <c r="X131" s="103"/>
      <c r="Y131" s="103"/>
      <c r="Z131" s="103"/>
      <c r="AA131" s="103"/>
    </row>
    <row r="132" spans="1:27" ht="15.75" customHeight="1">
      <c r="A132" s="103"/>
      <c r="B132" s="103"/>
      <c r="C132" s="103"/>
      <c r="D132" s="103"/>
      <c r="E132" s="103"/>
      <c r="F132" s="124"/>
      <c r="G132" s="124"/>
      <c r="H132" s="103"/>
      <c r="I132" s="103"/>
      <c r="J132" s="103"/>
      <c r="K132" s="103"/>
      <c r="L132" s="103"/>
      <c r="M132" s="103"/>
      <c r="N132" s="103"/>
      <c r="O132" s="103"/>
      <c r="P132" s="103"/>
      <c r="Q132" s="103"/>
      <c r="R132" s="103"/>
      <c r="S132" s="103"/>
      <c r="T132" s="103"/>
      <c r="U132" s="103"/>
      <c r="V132" s="103"/>
      <c r="W132" s="103"/>
      <c r="X132" s="103"/>
      <c r="Y132" s="103"/>
      <c r="Z132" s="103"/>
      <c r="AA132" s="103"/>
    </row>
    <row r="133" spans="1:27" ht="15.75" customHeight="1">
      <c r="A133" s="103"/>
      <c r="B133" s="103"/>
      <c r="C133" s="103"/>
      <c r="D133" s="103"/>
      <c r="E133" s="103"/>
      <c r="F133" s="124"/>
      <c r="G133" s="124"/>
      <c r="H133" s="103"/>
      <c r="I133" s="103"/>
      <c r="J133" s="103"/>
      <c r="K133" s="103"/>
      <c r="L133" s="103"/>
      <c r="M133" s="103"/>
      <c r="N133" s="103"/>
      <c r="O133" s="103"/>
      <c r="P133" s="103"/>
      <c r="Q133" s="103"/>
      <c r="R133" s="103"/>
      <c r="S133" s="103"/>
      <c r="T133" s="103"/>
      <c r="U133" s="103"/>
      <c r="V133" s="103"/>
      <c r="W133" s="103"/>
      <c r="X133" s="103"/>
      <c r="Y133" s="103"/>
      <c r="Z133" s="103"/>
      <c r="AA133" s="103"/>
    </row>
    <row r="134" spans="1:27" ht="15.75" customHeight="1">
      <c r="A134" s="103"/>
      <c r="B134" s="103"/>
      <c r="C134" s="103"/>
      <c r="D134" s="103"/>
      <c r="E134" s="103"/>
      <c r="F134" s="124"/>
      <c r="G134" s="124"/>
      <c r="H134" s="103"/>
      <c r="I134" s="103"/>
      <c r="J134" s="103"/>
      <c r="K134" s="103"/>
      <c r="L134" s="103"/>
      <c r="M134" s="103"/>
      <c r="N134" s="103"/>
      <c r="O134" s="103"/>
      <c r="P134" s="103"/>
      <c r="Q134" s="103"/>
      <c r="R134" s="103"/>
      <c r="S134" s="103"/>
      <c r="T134" s="103"/>
      <c r="U134" s="103"/>
      <c r="V134" s="103"/>
      <c r="W134" s="103"/>
      <c r="X134" s="103"/>
      <c r="Y134" s="103"/>
      <c r="Z134" s="103"/>
      <c r="AA134" s="103"/>
    </row>
    <row r="135" spans="1:27" ht="15.75" customHeight="1">
      <c r="A135" s="103"/>
      <c r="B135" s="103"/>
      <c r="C135" s="103"/>
      <c r="D135" s="103"/>
      <c r="E135" s="103"/>
      <c r="F135" s="124"/>
      <c r="G135" s="124"/>
      <c r="H135" s="103"/>
      <c r="I135" s="103"/>
      <c r="J135" s="103"/>
      <c r="K135" s="103"/>
      <c r="L135" s="103"/>
      <c r="M135" s="103"/>
      <c r="N135" s="103"/>
      <c r="O135" s="103"/>
      <c r="P135" s="103"/>
      <c r="Q135" s="103"/>
      <c r="R135" s="103"/>
      <c r="S135" s="103"/>
      <c r="T135" s="103"/>
      <c r="U135" s="103"/>
      <c r="V135" s="103"/>
      <c r="W135" s="103"/>
      <c r="X135" s="103"/>
      <c r="Y135" s="103"/>
      <c r="Z135" s="103"/>
      <c r="AA135" s="103"/>
    </row>
    <row r="136" spans="1:27" ht="15.75" customHeight="1">
      <c r="A136" s="103"/>
      <c r="B136" s="103"/>
      <c r="C136" s="103"/>
      <c r="D136" s="103"/>
      <c r="E136" s="103"/>
      <c r="F136" s="124"/>
      <c r="G136" s="124"/>
      <c r="H136" s="103"/>
      <c r="I136" s="103"/>
      <c r="J136" s="103"/>
      <c r="K136" s="103"/>
      <c r="L136" s="103"/>
      <c r="M136" s="103"/>
      <c r="N136" s="103"/>
      <c r="O136" s="103"/>
      <c r="P136" s="103"/>
      <c r="Q136" s="103"/>
      <c r="R136" s="103"/>
      <c r="S136" s="103"/>
      <c r="T136" s="103"/>
      <c r="U136" s="103"/>
      <c r="V136" s="103"/>
      <c r="W136" s="103"/>
      <c r="X136" s="103"/>
      <c r="Y136" s="103"/>
      <c r="Z136" s="103"/>
      <c r="AA136" s="103"/>
    </row>
    <row r="137" spans="1:27" ht="15.75" customHeight="1">
      <c r="A137" s="103"/>
      <c r="B137" s="103"/>
      <c r="C137" s="103"/>
      <c r="D137" s="103"/>
      <c r="E137" s="103"/>
      <c r="F137" s="124"/>
      <c r="G137" s="124"/>
      <c r="H137" s="103"/>
      <c r="I137" s="103"/>
      <c r="J137" s="103"/>
      <c r="K137" s="103"/>
      <c r="L137" s="103"/>
      <c r="M137" s="103"/>
      <c r="N137" s="103"/>
      <c r="O137" s="103"/>
      <c r="P137" s="103"/>
      <c r="Q137" s="103"/>
      <c r="R137" s="103"/>
      <c r="S137" s="103"/>
      <c r="T137" s="103"/>
      <c r="U137" s="103"/>
      <c r="V137" s="103"/>
      <c r="W137" s="103"/>
      <c r="X137" s="103"/>
      <c r="Y137" s="103"/>
      <c r="Z137" s="103"/>
      <c r="AA137" s="103"/>
    </row>
    <row r="138" spans="1:27" ht="15.75" customHeight="1">
      <c r="A138" s="103"/>
      <c r="B138" s="103"/>
      <c r="C138" s="103"/>
      <c r="D138" s="103"/>
      <c r="E138" s="103"/>
      <c r="F138" s="124"/>
      <c r="G138" s="124"/>
      <c r="H138" s="103"/>
      <c r="I138" s="103"/>
      <c r="J138" s="103"/>
      <c r="K138" s="103"/>
      <c r="L138" s="103"/>
      <c r="M138" s="103"/>
      <c r="N138" s="103"/>
      <c r="O138" s="103"/>
      <c r="P138" s="103"/>
      <c r="Q138" s="103"/>
      <c r="R138" s="103"/>
      <c r="S138" s="103"/>
      <c r="T138" s="103"/>
      <c r="U138" s="103"/>
      <c r="V138" s="103"/>
      <c r="W138" s="103"/>
      <c r="X138" s="103"/>
      <c r="Y138" s="103"/>
      <c r="Z138" s="103"/>
      <c r="AA138" s="103"/>
    </row>
    <row r="139" spans="1:27" ht="15.75" customHeight="1">
      <c r="A139" s="103"/>
      <c r="B139" s="103"/>
      <c r="C139" s="103"/>
      <c r="D139" s="103"/>
      <c r="E139" s="103"/>
      <c r="F139" s="124"/>
      <c r="G139" s="124"/>
      <c r="H139" s="103"/>
      <c r="I139" s="103"/>
      <c r="J139" s="103"/>
      <c r="K139" s="103"/>
      <c r="L139" s="103"/>
      <c r="M139" s="103"/>
      <c r="N139" s="103"/>
      <c r="O139" s="103"/>
      <c r="P139" s="103"/>
      <c r="Q139" s="103"/>
      <c r="R139" s="103"/>
      <c r="S139" s="103"/>
      <c r="T139" s="103"/>
      <c r="U139" s="103"/>
      <c r="V139" s="103"/>
      <c r="W139" s="103"/>
      <c r="X139" s="103"/>
      <c r="Y139" s="103"/>
      <c r="Z139" s="103"/>
      <c r="AA139" s="103"/>
    </row>
    <row r="140" spans="1:27" ht="15.75" customHeight="1">
      <c r="A140" s="103"/>
      <c r="B140" s="103"/>
      <c r="C140" s="103"/>
      <c r="D140" s="103"/>
      <c r="E140" s="103"/>
      <c r="F140" s="124"/>
      <c r="G140" s="124"/>
      <c r="H140" s="103"/>
      <c r="I140" s="103"/>
      <c r="J140" s="103"/>
      <c r="K140" s="103"/>
      <c r="L140" s="103"/>
      <c r="M140" s="103"/>
      <c r="N140" s="103"/>
      <c r="O140" s="103"/>
      <c r="P140" s="103"/>
      <c r="Q140" s="103"/>
      <c r="R140" s="103"/>
      <c r="S140" s="103"/>
      <c r="T140" s="103"/>
      <c r="U140" s="103"/>
      <c r="V140" s="103"/>
      <c r="W140" s="103"/>
      <c r="X140" s="103"/>
      <c r="Y140" s="103"/>
      <c r="Z140" s="103"/>
      <c r="AA140" s="103"/>
    </row>
    <row r="141" spans="1:27" ht="15.75" customHeight="1">
      <c r="A141" s="103"/>
      <c r="B141" s="103"/>
      <c r="C141" s="103"/>
      <c r="D141" s="103"/>
      <c r="E141" s="103"/>
      <c r="F141" s="124"/>
      <c r="G141" s="124"/>
      <c r="H141" s="103"/>
      <c r="I141" s="103"/>
      <c r="J141" s="103"/>
      <c r="K141" s="103"/>
      <c r="L141" s="103"/>
      <c r="M141" s="103"/>
      <c r="N141" s="103"/>
      <c r="O141" s="103"/>
      <c r="P141" s="103"/>
      <c r="Q141" s="103"/>
      <c r="R141" s="103"/>
      <c r="S141" s="103"/>
      <c r="T141" s="103"/>
      <c r="U141" s="103"/>
      <c r="V141" s="103"/>
      <c r="W141" s="103"/>
      <c r="X141" s="103"/>
      <c r="Y141" s="103"/>
      <c r="Z141" s="103"/>
      <c r="AA141" s="103"/>
    </row>
    <row r="142" spans="1:27" ht="15.75" customHeight="1">
      <c r="A142" s="103"/>
      <c r="B142" s="103"/>
      <c r="C142" s="103"/>
      <c r="D142" s="103"/>
      <c r="E142" s="103"/>
      <c r="F142" s="124"/>
      <c r="G142" s="124"/>
      <c r="H142" s="103"/>
      <c r="I142" s="103"/>
      <c r="J142" s="103"/>
      <c r="K142" s="103"/>
      <c r="L142" s="103"/>
      <c r="M142" s="103"/>
      <c r="N142" s="103"/>
      <c r="O142" s="103"/>
      <c r="P142" s="103"/>
      <c r="Q142" s="103"/>
      <c r="R142" s="103"/>
      <c r="S142" s="103"/>
      <c r="T142" s="103"/>
      <c r="U142" s="103"/>
      <c r="V142" s="103"/>
      <c r="W142" s="103"/>
      <c r="X142" s="103"/>
      <c r="Y142" s="103"/>
      <c r="Z142" s="103"/>
      <c r="AA142" s="103"/>
    </row>
    <row r="143" spans="1:27" ht="15.75" customHeight="1">
      <c r="A143" s="103"/>
      <c r="B143" s="103"/>
      <c r="C143" s="103"/>
      <c r="D143" s="103"/>
      <c r="E143" s="103"/>
      <c r="F143" s="124"/>
      <c r="G143" s="124"/>
      <c r="H143" s="103"/>
      <c r="I143" s="103"/>
      <c r="J143" s="103"/>
      <c r="K143" s="103"/>
      <c r="L143" s="103"/>
      <c r="M143" s="103"/>
      <c r="N143" s="103"/>
      <c r="O143" s="103"/>
      <c r="P143" s="103"/>
      <c r="Q143" s="103"/>
      <c r="R143" s="103"/>
      <c r="S143" s="103"/>
      <c r="T143" s="103"/>
      <c r="U143" s="103"/>
      <c r="V143" s="103"/>
      <c r="W143" s="103"/>
      <c r="X143" s="103"/>
      <c r="Y143" s="103"/>
      <c r="Z143" s="103"/>
      <c r="AA143" s="103"/>
    </row>
    <row r="144" spans="1:27" ht="15.75" customHeight="1">
      <c r="A144" s="103"/>
      <c r="B144" s="103"/>
      <c r="C144" s="103"/>
      <c r="D144" s="103"/>
      <c r="E144" s="103"/>
      <c r="F144" s="124"/>
      <c r="G144" s="124"/>
      <c r="H144" s="103"/>
      <c r="I144" s="103"/>
      <c r="J144" s="103"/>
      <c r="K144" s="103"/>
      <c r="L144" s="103"/>
      <c r="M144" s="103"/>
      <c r="N144" s="103"/>
      <c r="O144" s="103"/>
      <c r="P144" s="103"/>
      <c r="Q144" s="103"/>
      <c r="R144" s="103"/>
      <c r="S144" s="103"/>
      <c r="T144" s="103"/>
      <c r="U144" s="103"/>
      <c r="V144" s="103"/>
      <c r="W144" s="103"/>
      <c r="X144" s="103"/>
      <c r="Y144" s="103"/>
      <c r="Z144" s="103"/>
      <c r="AA144" s="103"/>
    </row>
    <row r="145" spans="1:27" ht="15.75" customHeight="1">
      <c r="A145" s="103"/>
      <c r="B145" s="103"/>
      <c r="C145" s="103"/>
      <c r="D145" s="103"/>
      <c r="E145" s="103"/>
      <c r="F145" s="124"/>
      <c r="G145" s="124"/>
      <c r="H145" s="103"/>
      <c r="I145" s="103"/>
      <c r="J145" s="103"/>
      <c r="K145" s="103"/>
      <c r="L145" s="103"/>
      <c r="M145" s="103"/>
      <c r="N145" s="103"/>
      <c r="O145" s="103"/>
      <c r="P145" s="103"/>
      <c r="Q145" s="103"/>
      <c r="R145" s="103"/>
      <c r="S145" s="103"/>
      <c r="T145" s="103"/>
      <c r="U145" s="103"/>
      <c r="V145" s="103"/>
      <c r="W145" s="103"/>
      <c r="X145" s="103"/>
      <c r="Y145" s="103"/>
      <c r="Z145" s="103"/>
      <c r="AA145" s="103"/>
    </row>
    <row r="146" spans="1:27" ht="15.75" customHeight="1">
      <c r="A146" s="103"/>
      <c r="B146" s="103"/>
      <c r="C146" s="103"/>
      <c r="D146" s="103"/>
      <c r="E146" s="103"/>
      <c r="F146" s="124"/>
      <c r="G146" s="124"/>
      <c r="H146" s="103"/>
      <c r="I146" s="103"/>
      <c r="J146" s="103"/>
      <c r="K146" s="103"/>
      <c r="L146" s="103"/>
      <c r="M146" s="103"/>
      <c r="N146" s="103"/>
      <c r="O146" s="103"/>
      <c r="P146" s="103"/>
      <c r="Q146" s="103"/>
      <c r="R146" s="103"/>
      <c r="S146" s="103"/>
      <c r="T146" s="103"/>
      <c r="U146" s="103"/>
      <c r="V146" s="103"/>
      <c r="W146" s="103"/>
      <c r="X146" s="103"/>
      <c r="Y146" s="103"/>
      <c r="Z146" s="103"/>
      <c r="AA146" s="103"/>
    </row>
    <row r="147" spans="1:27" ht="15.75" customHeight="1">
      <c r="A147" s="103"/>
      <c r="B147" s="103"/>
      <c r="C147" s="103"/>
      <c r="D147" s="103"/>
      <c r="E147" s="103"/>
      <c r="F147" s="124"/>
      <c r="G147" s="124"/>
      <c r="H147" s="103"/>
      <c r="I147" s="103"/>
      <c r="J147" s="103"/>
      <c r="K147" s="103"/>
      <c r="L147" s="103"/>
      <c r="M147" s="103"/>
      <c r="N147" s="103"/>
      <c r="O147" s="103"/>
      <c r="P147" s="103"/>
      <c r="Q147" s="103"/>
      <c r="R147" s="103"/>
      <c r="S147" s="103"/>
      <c r="T147" s="103"/>
      <c r="U147" s="103"/>
      <c r="V147" s="103"/>
      <c r="W147" s="103"/>
      <c r="X147" s="103"/>
      <c r="Y147" s="103"/>
      <c r="Z147" s="103"/>
      <c r="AA147" s="103"/>
    </row>
    <row r="148" spans="1:27" ht="15.75" customHeight="1">
      <c r="A148" s="103"/>
      <c r="B148" s="103"/>
      <c r="C148" s="103"/>
      <c r="D148" s="103"/>
      <c r="E148" s="103"/>
      <c r="F148" s="124"/>
      <c r="G148" s="124"/>
      <c r="H148" s="103"/>
      <c r="I148" s="103"/>
      <c r="J148" s="103"/>
      <c r="K148" s="103"/>
      <c r="L148" s="103"/>
      <c r="M148" s="103"/>
      <c r="N148" s="103"/>
      <c r="O148" s="103"/>
      <c r="P148" s="103"/>
      <c r="Q148" s="103"/>
      <c r="R148" s="103"/>
      <c r="S148" s="103"/>
      <c r="T148" s="103"/>
      <c r="U148" s="103"/>
      <c r="V148" s="103"/>
      <c r="W148" s="103"/>
      <c r="X148" s="103"/>
      <c r="Y148" s="103"/>
      <c r="Z148" s="103"/>
      <c r="AA148" s="103"/>
    </row>
    <row r="149" spans="1:27" ht="15.75" customHeight="1">
      <c r="A149" s="103"/>
      <c r="B149" s="103"/>
      <c r="C149" s="103"/>
      <c r="D149" s="103"/>
      <c r="E149" s="103"/>
      <c r="F149" s="124"/>
      <c r="G149" s="124"/>
      <c r="H149" s="103"/>
      <c r="I149" s="103"/>
      <c r="J149" s="103"/>
      <c r="K149" s="103"/>
      <c r="L149" s="103"/>
      <c r="M149" s="103"/>
      <c r="N149" s="103"/>
      <c r="O149" s="103"/>
      <c r="P149" s="103"/>
      <c r="Q149" s="103"/>
      <c r="R149" s="103"/>
      <c r="S149" s="103"/>
      <c r="T149" s="103"/>
      <c r="U149" s="103"/>
      <c r="V149" s="103"/>
      <c r="W149" s="103"/>
      <c r="X149" s="103"/>
      <c r="Y149" s="103"/>
      <c r="Z149" s="103"/>
      <c r="AA149" s="103"/>
    </row>
    <row r="150" spans="1:27" ht="15.75" customHeight="1">
      <c r="A150" s="103"/>
      <c r="B150" s="103"/>
      <c r="C150" s="103"/>
      <c r="D150" s="103"/>
      <c r="E150" s="103"/>
      <c r="F150" s="124"/>
      <c r="G150" s="124"/>
      <c r="H150" s="103"/>
      <c r="I150" s="103"/>
      <c r="J150" s="103"/>
      <c r="K150" s="103"/>
      <c r="L150" s="103"/>
      <c r="M150" s="103"/>
      <c r="N150" s="103"/>
      <c r="O150" s="103"/>
      <c r="P150" s="103"/>
      <c r="Q150" s="103"/>
      <c r="R150" s="103"/>
      <c r="S150" s="103"/>
      <c r="T150" s="103"/>
      <c r="U150" s="103"/>
      <c r="V150" s="103"/>
      <c r="W150" s="103"/>
      <c r="X150" s="103"/>
      <c r="Y150" s="103"/>
      <c r="Z150" s="103"/>
      <c r="AA150" s="103"/>
    </row>
    <row r="151" spans="1:27" ht="15.75" customHeight="1">
      <c r="A151" s="103"/>
      <c r="B151" s="103"/>
      <c r="C151" s="103"/>
      <c r="D151" s="103"/>
      <c r="E151" s="103"/>
      <c r="F151" s="124"/>
      <c r="G151" s="124"/>
      <c r="H151" s="103"/>
      <c r="I151" s="103"/>
      <c r="J151" s="103"/>
      <c r="K151" s="103"/>
      <c r="L151" s="103"/>
      <c r="M151" s="103"/>
      <c r="N151" s="103"/>
      <c r="O151" s="103"/>
      <c r="P151" s="103"/>
      <c r="Q151" s="103"/>
      <c r="R151" s="103"/>
      <c r="S151" s="103"/>
      <c r="T151" s="103"/>
      <c r="U151" s="103"/>
      <c r="V151" s="103"/>
      <c r="W151" s="103"/>
      <c r="X151" s="103"/>
      <c r="Y151" s="103"/>
      <c r="Z151" s="103"/>
      <c r="AA151" s="103"/>
    </row>
    <row r="152" spans="1:27" ht="15.75" customHeight="1">
      <c r="A152" s="103"/>
      <c r="B152" s="103"/>
      <c r="C152" s="103"/>
      <c r="D152" s="103"/>
      <c r="E152" s="103"/>
      <c r="F152" s="124"/>
      <c r="G152" s="124"/>
      <c r="H152" s="103"/>
      <c r="I152" s="103"/>
      <c r="J152" s="103"/>
      <c r="K152" s="103"/>
      <c r="L152" s="103"/>
      <c r="M152" s="103"/>
      <c r="N152" s="103"/>
      <c r="O152" s="103"/>
      <c r="P152" s="103"/>
      <c r="Q152" s="103"/>
      <c r="R152" s="103"/>
      <c r="S152" s="103"/>
      <c r="T152" s="103"/>
      <c r="U152" s="103"/>
      <c r="V152" s="103"/>
      <c r="W152" s="103"/>
      <c r="X152" s="103"/>
      <c r="Y152" s="103"/>
      <c r="Z152" s="103"/>
      <c r="AA152" s="103"/>
    </row>
    <row r="153" spans="1:27" ht="15.75" customHeight="1">
      <c r="A153" s="103"/>
      <c r="B153" s="103"/>
      <c r="C153" s="103"/>
      <c r="D153" s="103"/>
      <c r="E153" s="103"/>
      <c r="F153" s="124"/>
      <c r="G153" s="124"/>
      <c r="H153" s="103"/>
      <c r="I153" s="103"/>
      <c r="J153" s="103"/>
      <c r="K153" s="103"/>
      <c r="L153" s="103"/>
      <c r="M153" s="103"/>
      <c r="N153" s="103"/>
      <c r="O153" s="103"/>
      <c r="P153" s="103"/>
      <c r="Q153" s="103"/>
      <c r="R153" s="103"/>
      <c r="S153" s="103"/>
      <c r="T153" s="103"/>
      <c r="U153" s="103"/>
      <c r="V153" s="103"/>
      <c r="W153" s="103"/>
      <c r="X153" s="103"/>
      <c r="Y153" s="103"/>
      <c r="Z153" s="103"/>
      <c r="AA153" s="103"/>
    </row>
    <row r="154" spans="1:27" ht="15.75" customHeight="1">
      <c r="A154" s="103"/>
      <c r="B154" s="103"/>
      <c r="C154" s="103"/>
      <c r="D154" s="103"/>
      <c r="E154" s="103"/>
      <c r="F154" s="124"/>
      <c r="G154" s="124"/>
      <c r="H154" s="103"/>
      <c r="I154" s="103"/>
      <c r="J154" s="103"/>
      <c r="K154" s="103"/>
      <c r="L154" s="103"/>
      <c r="M154" s="103"/>
      <c r="N154" s="103"/>
      <c r="O154" s="103"/>
      <c r="P154" s="103"/>
      <c r="Q154" s="103"/>
      <c r="R154" s="103"/>
      <c r="S154" s="103"/>
      <c r="T154" s="103"/>
      <c r="U154" s="103"/>
      <c r="V154" s="103"/>
      <c r="W154" s="103"/>
      <c r="X154" s="103"/>
      <c r="Y154" s="103"/>
      <c r="Z154" s="103"/>
      <c r="AA154" s="103"/>
    </row>
    <row r="155" spans="1:27" ht="15.75" customHeight="1">
      <c r="A155" s="103"/>
      <c r="B155" s="103"/>
      <c r="C155" s="103"/>
      <c r="D155" s="103"/>
      <c r="E155" s="103"/>
      <c r="F155" s="124"/>
      <c r="G155" s="124"/>
      <c r="H155" s="103"/>
      <c r="I155" s="103"/>
      <c r="J155" s="103"/>
      <c r="K155" s="103"/>
      <c r="L155" s="103"/>
      <c r="M155" s="103"/>
      <c r="N155" s="103"/>
      <c r="O155" s="103"/>
      <c r="P155" s="103"/>
      <c r="Q155" s="103"/>
      <c r="R155" s="103"/>
      <c r="S155" s="103"/>
      <c r="T155" s="103"/>
      <c r="U155" s="103"/>
      <c r="V155" s="103"/>
      <c r="W155" s="103"/>
      <c r="X155" s="103"/>
      <c r="Y155" s="103"/>
      <c r="Z155" s="103"/>
      <c r="AA155" s="103"/>
    </row>
    <row r="156" spans="1:27" ht="15.75" customHeight="1">
      <c r="A156" s="103"/>
      <c r="B156" s="103"/>
      <c r="C156" s="103"/>
      <c r="D156" s="103"/>
      <c r="E156" s="103"/>
      <c r="F156" s="124"/>
      <c r="G156" s="124"/>
      <c r="H156" s="103"/>
      <c r="I156" s="103"/>
      <c r="J156" s="103"/>
      <c r="K156" s="103"/>
      <c r="L156" s="103"/>
      <c r="M156" s="103"/>
      <c r="N156" s="103"/>
      <c r="O156" s="103"/>
      <c r="P156" s="103"/>
      <c r="Q156" s="103"/>
      <c r="R156" s="103"/>
      <c r="S156" s="103"/>
      <c r="T156" s="103"/>
      <c r="U156" s="103"/>
      <c r="V156" s="103"/>
      <c r="W156" s="103"/>
      <c r="X156" s="103"/>
      <c r="Y156" s="103"/>
      <c r="Z156" s="103"/>
      <c r="AA156" s="103"/>
    </row>
    <row r="157" spans="1:27" ht="15.75" customHeight="1">
      <c r="A157" s="103"/>
      <c r="B157" s="103"/>
      <c r="C157" s="103"/>
      <c r="D157" s="103"/>
      <c r="E157" s="103"/>
      <c r="F157" s="124"/>
      <c r="G157" s="124"/>
      <c r="H157" s="103"/>
      <c r="I157" s="103"/>
      <c r="J157" s="103"/>
      <c r="K157" s="103"/>
      <c r="L157" s="103"/>
      <c r="M157" s="103"/>
      <c r="N157" s="103"/>
      <c r="O157" s="103"/>
      <c r="P157" s="103"/>
      <c r="Q157" s="103"/>
      <c r="R157" s="103"/>
      <c r="S157" s="103"/>
      <c r="T157" s="103"/>
      <c r="U157" s="103"/>
      <c r="V157" s="103"/>
      <c r="W157" s="103"/>
      <c r="X157" s="103"/>
      <c r="Y157" s="103"/>
      <c r="Z157" s="103"/>
      <c r="AA157" s="103"/>
    </row>
    <row r="158" spans="1:27" ht="15.75" customHeight="1">
      <c r="A158" s="103"/>
      <c r="B158" s="103"/>
      <c r="C158" s="103"/>
      <c r="D158" s="103"/>
      <c r="E158" s="103"/>
      <c r="F158" s="124"/>
      <c r="G158" s="124"/>
      <c r="H158" s="103"/>
      <c r="I158" s="103"/>
      <c r="J158" s="103"/>
      <c r="K158" s="103"/>
      <c r="L158" s="103"/>
      <c r="M158" s="103"/>
      <c r="N158" s="103"/>
      <c r="O158" s="103"/>
      <c r="P158" s="103"/>
      <c r="Q158" s="103"/>
      <c r="R158" s="103"/>
      <c r="S158" s="103"/>
      <c r="T158" s="103"/>
      <c r="U158" s="103"/>
      <c r="V158" s="103"/>
      <c r="W158" s="103"/>
      <c r="X158" s="103"/>
      <c r="Y158" s="103"/>
      <c r="Z158" s="103"/>
      <c r="AA158" s="103"/>
    </row>
    <row r="159" spans="1:27" ht="15.75" customHeight="1">
      <c r="A159" s="103"/>
      <c r="B159" s="103"/>
      <c r="C159" s="103"/>
      <c r="D159" s="103"/>
      <c r="E159" s="103"/>
      <c r="F159" s="124"/>
      <c r="G159" s="124"/>
      <c r="H159" s="103"/>
      <c r="I159" s="103"/>
      <c r="J159" s="103"/>
      <c r="K159" s="103"/>
      <c r="L159" s="103"/>
      <c r="M159" s="103"/>
      <c r="N159" s="103"/>
      <c r="O159" s="103"/>
      <c r="P159" s="103"/>
      <c r="Q159" s="103"/>
      <c r="R159" s="103"/>
      <c r="S159" s="103"/>
      <c r="T159" s="103"/>
      <c r="U159" s="103"/>
      <c r="V159" s="103"/>
      <c r="W159" s="103"/>
      <c r="X159" s="103"/>
      <c r="Y159" s="103"/>
      <c r="Z159" s="103"/>
      <c r="AA159" s="103"/>
    </row>
    <row r="160" spans="1:27" ht="15.75" customHeight="1">
      <c r="A160" s="103"/>
      <c r="B160" s="103"/>
      <c r="C160" s="103"/>
      <c r="D160" s="103"/>
      <c r="E160" s="103"/>
      <c r="F160" s="124"/>
      <c r="G160" s="124"/>
      <c r="H160" s="103"/>
      <c r="I160" s="103"/>
      <c r="J160" s="103"/>
      <c r="K160" s="103"/>
      <c r="L160" s="103"/>
      <c r="M160" s="103"/>
      <c r="N160" s="103"/>
      <c r="O160" s="103"/>
      <c r="P160" s="103"/>
      <c r="Q160" s="103"/>
      <c r="R160" s="103"/>
      <c r="S160" s="103"/>
      <c r="T160" s="103"/>
      <c r="U160" s="103"/>
      <c r="V160" s="103"/>
      <c r="W160" s="103"/>
      <c r="X160" s="103"/>
      <c r="Y160" s="103"/>
      <c r="Z160" s="103"/>
      <c r="AA160" s="103"/>
    </row>
    <row r="161" spans="1:27" ht="15.75" customHeight="1">
      <c r="A161" s="103"/>
      <c r="B161" s="103"/>
      <c r="C161" s="103"/>
      <c r="D161" s="103"/>
      <c r="E161" s="103"/>
      <c r="F161" s="124"/>
      <c r="G161" s="124"/>
      <c r="H161" s="103"/>
      <c r="I161" s="103"/>
      <c r="J161" s="103"/>
      <c r="K161" s="103"/>
      <c r="L161" s="103"/>
      <c r="M161" s="103"/>
      <c r="N161" s="103"/>
      <c r="O161" s="103"/>
      <c r="P161" s="103"/>
      <c r="Q161" s="103"/>
      <c r="R161" s="103"/>
      <c r="S161" s="103"/>
      <c r="T161" s="103"/>
      <c r="U161" s="103"/>
      <c r="V161" s="103"/>
      <c r="W161" s="103"/>
      <c r="X161" s="103"/>
      <c r="Y161" s="103"/>
      <c r="Z161" s="103"/>
      <c r="AA161" s="103"/>
    </row>
    <row r="162" spans="1:27" ht="15.75" customHeight="1">
      <c r="A162" s="103"/>
      <c r="B162" s="103"/>
      <c r="C162" s="103"/>
      <c r="D162" s="103"/>
      <c r="E162" s="103"/>
      <c r="F162" s="124"/>
      <c r="G162" s="124"/>
      <c r="H162" s="103"/>
      <c r="I162" s="103"/>
      <c r="J162" s="103"/>
      <c r="K162" s="103"/>
      <c r="L162" s="103"/>
      <c r="M162" s="103"/>
      <c r="N162" s="103"/>
      <c r="O162" s="103"/>
      <c r="P162" s="103"/>
      <c r="Q162" s="103"/>
      <c r="R162" s="103"/>
      <c r="S162" s="103"/>
      <c r="T162" s="103"/>
      <c r="U162" s="103"/>
      <c r="V162" s="103"/>
      <c r="W162" s="103"/>
      <c r="X162" s="103"/>
      <c r="Y162" s="103"/>
      <c r="Z162" s="103"/>
      <c r="AA162" s="103"/>
    </row>
    <row r="163" spans="1:27" ht="15.75" customHeight="1">
      <c r="A163" s="103"/>
      <c r="B163" s="103"/>
      <c r="C163" s="103"/>
      <c r="D163" s="103"/>
      <c r="E163" s="103"/>
      <c r="F163" s="124"/>
      <c r="G163" s="124"/>
      <c r="H163" s="103"/>
      <c r="I163" s="103"/>
      <c r="J163" s="103"/>
      <c r="K163" s="103"/>
      <c r="L163" s="103"/>
      <c r="M163" s="103"/>
      <c r="N163" s="103"/>
      <c r="O163" s="103"/>
      <c r="P163" s="103"/>
      <c r="Q163" s="103"/>
      <c r="R163" s="103"/>
      <c r="S163" s="103"/>
      <c r="T163" s="103"/>
      <c r="U163" s="103"/>
      <c r="V163" s="103"/>
      <c r="W163" s="103"/>
      <c r="X163" s="103"/>
      <c r="Y163" s="103"/>
      <c r="Z163" s="103"/>
      <c r="AA163" s="103"/>
    </row>
    <row r="164" spans="1:27" ht="15.75" customHeight="1">
      <c r="A164" s="103"/>
      <c r="B164" s="103"/>
      <c r="C164" s="103"/>
      <c r="D164" s="103"/>
      <c r="E164" s="103"/>
      <c r="F164" s="124"/>
      <c r="G164" s="124"/>
      <c r="H164" s="103"/>
      <c r="I164" s="103"/>
      <c r="J164" s="103"/>
      <c r="K164" s="103"/>
      <c r="L164" s="103"/>
      <c r="M164" s="103"/>
      <c r="N164" s="103"/>
      <c r="O164" s="103"/>
      <c r="P164" s="103"/>
      <c r="Q164" s="103"/>
      <c r="R164" s="103"/>
      <c r="S164" s="103"/>
      <c r="T164" s="103"/>
      <c r="U164" s="103"/>
      <c r="V164" s="103"/>
      <c r="W164" s="103"/>
      <c r="X164" s="103"/>
      <c r="Y164" s="103"/>
      <c r="Z164" s="103"/>
      <c r="AA164" s="103"/>
    </row>
    <row r="165" spans="1:27" ht="15.75" customHeight="1">
      <c r="A165" s="103"/>
      <c r="B165" s="103"/>
      <c r="C165" s="103"/>
      <c r="D165" s="103"/>
      <c r="E165" s="103"/>
      <c r="F165" s="124"/>
      <c r="G165" s="124"/>
      <c r="H165" s="103"/>
      <c r="I165" s="103"/>
      <c r="J165" s="103"/>
      <c r="K165" s="103"/>
      <c r="L165" s="103"/>
      <c r="M165" s="103"/>
      <c r="N165" s="103"/>
      <c r="O165" s="103"/>
      <c r="P165" s="103"/>
      <c r="Q165" s="103"/>
      <c r="R165" s="103"/>
      <c r="S165" s="103"/>
      <c r="T165" s="103"/>
      <c r="U165" s="103"/>
      <c r="V165" s="103"/>
      <c r="W165" s="103"/>
      <c r="X165" s="103"/>
      <c r="Y165" s="103"/>
      <c r="Z165" s="103"/>
      <c r="AA165" s="103"/>
    </row>
    <row r="166" spans="1:27" ht="15.75" customHeight="1">
      <c r="A166" s="103"/>
      <c r="B166" s="103"/>
      <c r="C166" s="103"/>
      <c r="D166" s="103"/>
      <c r="E166" s="103"/>
      <c r="F166" s="124"/>
      <c r="G166" s="124"/>
      <c r="H166" s="103"/>
      <c r="I166" s="103"/>
      <c r="J166" s="103"/>
      <c r="K166" s="103"/>
      <c r="L166" s="103"/>
      <c r="M166" s="103"/>
      <c r="N166" s="103"/>
      <c r="O166" s="103"/>
      <c r="P166" s="103"/>
      <c r="Q166" s="103"/>
      <c r="R166" s="103"/>
      <c r="S166" s="103"/>
      <c r="T166" s="103"/>
      <c r="U166" s="103"/>
      <c r="V166" s="103"/>
      <c r="W166" s="103"/>
      <c r="X166" s="103"/>
      <c r="Y166" s="103"/>
      <c r="Z166" s="103"/>
      <c r="AA166" s="103"/>
    </row>
    <row r="167" spans="1:27" ht="15.75" customHeight="1">
      <c r="A167" s="103"/>
      <c r="B167" s="103"/>
      <c r="C167" s="103"/>
      <c r="D167" s="103"/>
      <c r="E167" s="103"/>
      <c r="F167" s="124"/>
      <c r="G167" s="124"/>
      <c r="H167" s="103"/>
      <c r="I167" s="103"/>
      <c r="J167" s="103"/>
      <c r="K167" s="103"/>
      <c r="L167" s="103"/>
      <c r="M167" s="103"/>
      <c r="N167" s="103"/>
      <c r="O167" s="103"/>
      <c r="P167" s="103"/>
      <c r="Q167" s="103"/>
      <c r="R167" s="103"/>
      <c r="S167" s="103"/>
      <c r="T167" s="103"/>
      <c r="U167" s="103"/>
      <c r="V167" s="103"/>
      <c r="W167" s="103"/>
      <c r="X167" s="103"/>
      <c r="Y167" s="103"/>
      <c r="Z167" s="103"/>
      <c r="AA167" s="103"/>
    </row>
    <row r="168" spans="1:27" ht="15.75" customHeight="1">
      <c r="A168" s="103"/>
      <c r="B168" s="103"/>
      <c r="C168" s="103"/>
      <c r="D168" s="103"/>
      <c r="E168" s="103"/>
      <c r="F168" s="124"/>
      <c r="G168" s="124"/>
      <c r="H168" s="103"/>
      <c r="I168" s="103"/>
      <c r="J168" s="103"/>
      <c r="K168" s="103"/>
      <c r="L168" s="103"/>
      <c r="M168" s="103"/>
      <c r="N168" s="103"/>
      <c r="O168" s="103"/>
      <c r="P168" s="103"/>
      <c r="Q168" s="103"/>
      <c r="R168" s="103"/>
      <c r="S168" s="103"/>
      <c r="T168" s="103"/>
      <c r="U168" s="103"/>
      <c r="V168" s="103"/>
      <c r="W168" s="103"/>
      <c r="X168" s="103"/>
      <c r="Y168" s="103"/>
      <c r="Z168" s="103"/>
      <c r="AA168" s="103"/>
    </row>
    <row r="169" spans="1:27" ht="15.75" customHeight="1">
      <c r="A169" s="103"/>
      <c r="B169" s="103"/>
      <c r="C169" s="103"/>
      <c r="D169" s="103"/>
      <c r="E169" s="103"/>
      <c r="F169" s="124"/>
      <c r="G169" s="124"/>
      <c r="H169" s="103"/>
      <c r="I169" s="103"/>
      <c r="J169" s="103"/>
      <c r="K169" s="103"/>
      <c r="L169" s="103"/>
      <c r="M169" s="103"/>
      <c r="N169" s="103"/>
      <c r="O169" s="103"/>
      <c r="P169" s="103"/>
      <c r="Q169" s="103"/>
      <c r="R169" s="103"/>
      <c r="S169" s="103"/>
      <c r="T169" s="103"/>
      <c r="U169" s="103"/>
      <c r="V169" s="103"/>
      <c r="W169" s="103"/>
      <c r="X169" s="103"/>
      <c r="Y169" s="103"/>
      <c r="Z169" s="103"/>
      <c r="AA169" s="103"/>
    </row>
    <row r="170" spans="1:27" ht="15.75" customHeight="1">
      <c r="A170" s="103"/>
      <c r="B170" s="103"/>
      <c r="C170" s="103"/>
      <c r="D170" s="103"/>
      <c r="E170" s="103"/>
      <c r="F170" s="124"/>
      <c r="G170" s="124"/>
      <c r="H170" s="103"/>
      <c r="I170" s="103"/>
      <c r="J170" s="103"/>
      <c r="K170" s="103"/>
      <c r="L170" s="103"/>
      <c r="M170" s="103"/>
      <c r="N170" s="103"/>
      <c r="O170" s="103"/>
      <c r="P170" s="103"/>
      <c r="Q170" s="103"/>
      <c r="R170" s="103"/>
      <c r="S170" s="103"/>
      <c r="T170" s="103"/>
      <c r="U170" s="103"/>
      <c r="V170" s="103"/>
      <c r="W170" s="103"/>
      <c r="X170" s="103"/>
      <c r="Y170" s="103"/>
      <c r="Z170" s="103"/>
      <c r="AA170" s="103"/>
    </row>
    <row r="171" spans="1:27" ht="15.75" customHeight="1">
      <c r="A171" s="103"/>
      <c r="B171" s="103"/>
      <c r="C171" s="103"/>
      <c r="D171" s="103"/>
      <c r="E171" s="103"/>
      <c r="F171" s="124"/>
      <c r="G171" s="124"/>
      <c r="H171" s="103"/>
      <c r="I171" s="103"/>
      <c r="J171" s="103"/>
      <c r="K171" s="103"/>
      <c r="L171" s="103"/>
      <c r="M171" s="103"/>
      <c r="N171" s="103"/>
      <c r="O171" s="103"/>
      <c r="P171" s="103"/>
      <c r="Q171" s="103"/>
      <c r="R171" s="103"/>
      <c r="S171" s="103"/>
      <c r="T171" s="103"/>
      <c r="U171" s="103"/>
      <c r="V171" s="103"/>
      <c r="W171" s="103"/>
      <c r="X171" s="103"/>
      <c r="Y171" s="103"/>
      <c r="Z171" s="103"/>
      <c r="AA171" s="103"/>
    </row>
    <row r="172" spans="1:27" ht="15.75" customHeight="1">
      <c r="A172" s="103"/>
      <c r="B172" s="103"/>
      <c r="C172" s="103"/>
      <c r="D172" s="103"/>
      <c r="E172" s="103"/>
      <c r="F172" s="124"/>
      <c r="G172" s="124"/>
      <c r="H172" s="103"/>
      <c r="I172" s="103"/>
      <c r="J172" s="103"/>
      <c r="K172" s="103"/>
      <c r="L172" s="103"/>
      <c r="M172" s="103"/>
      <c r="N172" s="103"/>
      <c r="O172" s="103"/>
      <c r="P172" s="103"/>
      <c r="Q172" s="103"/>
      <c r="R172" s="103"/>
      <c r="S172" s="103"/>
      <c r="T172" s="103"/>
      <c r="U172" s="103"/>
      <c r="V172" s="103"/>
      <c r="W172" s="103"/>
      <c r="X172" s="103"/>
      <c r="Y172" s="103"/>
      <c r="Z172" s="103"/>
      <c r="AA172" s="103"/>
    </row>
    <row r="173" spans="1:27" ht="15.75" customHeight="1">
      <c r="A173" s="103"/>
      <c r="B173" s="103"/>
      <c r="C173" s="103"/>
      <c r="D173" s="103"/>
      <c r="E173" s="103"/>
      <c r="F173" s="124"/>
      <c r="G173" s="124"/>
      <c r="H173" s="103"/>
      <c r="I173" s="103"/>
      <c r="J173" s="103"/>
      <c r="K173" s="103"/>
      <c r="L173" s="103"/>
      <c r="M173" s="103"/>
      <c r="N173" s="103"/>
      <c r="O173" s="103"/>
      <c r="P173" s="103"/>
      <c r="Q173" s="103"/>
      <c r="R173" s="103"/>
      <c r="S173" s="103"/>
      <c r="T173" s="103"/>
      <c r="U173" s="103"/>
      <c r="V173" s="103"/>
      <c r="W173" s="103"/>
      <c r="X173" s="103"/>
      <c r="Y173" s="103"/>
      <c r="Z173" s="103"/>
      <c r="AA173" s="103"/>
    </row>
    <row r="174" spans="1:27" ht="15.75" customHeight="1">
      <c r="A174" s="103"/>
      <c r="B174" s="103"/>
      <c r="C174" s="103"/>
      <c r="D174" s="103"/>
      <c r="E174" s="103"/>
      <c r="F174" s="124"/>
      <c r="G174" s="124"/>
      <c r="H174" s="103"/>
      <c r="I174" s="103"/>
      <c r="J174" s="103"/>
      <c r="K174" s="103"/>
      <c r="L174" s="103"/>
      <c r="M174" s="103"/>
      <c r="N174" s="103"/>
      <c r="O174" s="103"/>
      <c r="P174" s="103"/>
      <c r="Q174" s="103"/>
      <c r="R174" s="103"/>
      <c r="S174" s="103"/>
      <c r="T174" s="103"/>
      <c r="U174" s="103"/>
      <c r="V174" s="103"/>
      <c r="W174" s="103"/>
      <c r="X174" s="103"/>
      <c r="Y174" s="103"/>
      <c r="Z174" s="103"/>
      <c r="AA174" s="103"/>
    </row>
    <row r="175" spans="1:27" ht="15.75" customHeight="1">
      <c r="A175" s="103"/>
      <c r="B175" s="103"/>
      <c r="C175" s="103"/>
      <c r="D175" s="103"/>
      <c r="E175" s="103"/>
      <c r="F175" s="124"/>
      <c r="G175" s="124"/>
      <c r="H175" s="103"/>
      <c r="I175" s="103"/>
      <c r="J175" s="103"/>
      <c r="K175" s="103"/>
      <c r="L175" s="103"/>
      <c r="M175" s="103"/>
      <c r="N175" s="103"/>
      <c r="O175" s="103"/>
      <c r="P175" s="103"/>
      <c r="Q175" s="103"/>
      <c r="R175" s="103"/>
      <c r="S175" s="103"/>
      <c r="T175" s="103"/>
      <c r="U175" s="103"/>
      <c r="V175" s="103"/>
      <c r="W175" s="103"/>
      <c r="X175" s="103"/>
      <c r="Y175" s="103"/>
      <c r="Z175" s="103"/>
      <c r="AA175" s="103"/>
    </row>
    <row r="176" spans="1:27" ht="15.75" customHeight="1">
      <c r="A176" s="103"/>
      <c r="B176" s="103"/>
      <c r="C176" s="103"/>
      <c r="D176" s="103"/>
      <c r="E176" s="103"/>
      <c r="F176" s="124"/>
      <c r="G176" s="124"/>
      <c r="H176" s="103"/>
      <c r="I176" s="103"/>
      <c r="J176" s="103"/>
      <c r="K176" s="103"/>
      <c r="L176" s="103"/>
      <c r="M176" s="103"/>
      <c r="N176" s="103"/>
      <c r="O176" s="103"/>
      <c r="P176" s="103"/>
      <c r="Q176" s="103"/>
      <c r="R176" s="103"/>
      <c r="S176" s="103"/>
      <c r="T176" s="103"/>
      <c r="U176" s="103"/>
      <c r="V176" s="103"/>
      <c r="W176" s="103"/>
      <c r="X176" s="103"/>
      <c r="Y176" s="103"/>
      <c r="Z176" s="103"/>
      <c r="AA176" s="103"/>
    </row>
    <row r="177" spans="1:27" ht="15.75" customHeight="1">
      <c r="A177" s="103"/>
      <c r="B177" s="103"/>
      <c r="C177" s="103"/>
      <c r="D177" s="103"/>
      <c r="E177" s="103"/>
      <c r="F177" s="124"/>
      <c r="G177" s="124"/>
      <c r="H177" s="103"/>
      <c r="I177" s="103"/>
      <c r="J177" s="103"/>
      <c r="K177" s="103"/>
      <c r="L177" s="103"/>
      <c r="M177" s="103"/>
      <c r="N177" s="103"/>
      <c r="O177" s="103"/>
      <c r="P177" s="103"/>
      <c r="Q177" s="103"/>
      <c r="R177" s="103"/>
      <c r="S177" s="103"/>
      <c r="T177" s="103"/>
      <c r="U177" s="103"/>
      <c r="V177" s="103"/>
      <c r="W177" s="103"/>
      <c r="X177" s="103"/>
      <c r="Y177" s="103"/>
      <c r="Z177" s="103"/>
      <c r="AA177" s="103"/>
    </row>
    <row r="178" spans="1:27" ht="15.75" customHeight="1">
      <c r="A178" s="103"/>
      <c r="B178" s="103"/>
      <c r="C178" s="103"/>
      <c r="D178" s="103"/>
      <c r="E178" s="103"/>
      <c r="F178" s="124"/>
      <c r="G178" s="124"/>
      <c r="H178" s="103"/>
      <c r="I178" s="103"/>
      <c r="J178" s="103"/>
      <c r="K178" s="103"/>
      <c r="L178" s="103"/>
      <c r="M178" s="103"/>
      <c r="N178" s="103"/>
      <c r="O178" s="103"/>
      <c r="P178" s="103"/>
      <c r="Q178" s="103"/>
      <c r="R178" s="103"/>
      <c r="S178" s="103"/>
      <c r="T178" s="103"/>
      <c r="U178" s="103"/>
      <c r="V178" s="103"/>
      <c r="W178" s="103"/>
      <c r="X178" s="103"/>
      <c r="Y178" s="103"/>
      <c r="Z178" s="103"/>
      <c r="AA178" s="103"/>
    </row>
    <row r="179" spans="1:27" ht="15.75" customHeight="1">
      <c r="A179" s="103"/>
      <c r="B179" s="103"/>
      <c r="C179" s="103"/>
      <c r="D179" s="103"/>
      <c r="E179" s="103"/>
      <c r="F179" s="124"/>
      <c r="G179" s="124"/>
      <c r="H179" s="103"/>
      <c r="I179" s="103"/>
      <c r="J179" s="103"/>
      <c r="K179" s="103"/>
      <c r="L179" s="103"/>
      <c r="M179" s="103"/>
      <c r="N179" s="103"/>
      <c r="O179" s="103"/>
      <c r="P179" s="103"/>
      <c r="Q179" s="103"/>
      <c r="R179" s="103"/>
      <c r="S179" s="103"/>
      <c r="T179" s="103"/>
      <c r="U179" s="103"/>
      <c r="V179" s="103"/>
      <c r="W179" s="103"/>
      <c r="X179" s="103"/>
      <c r="Y179" s="103"/>
      <c r="Z179" s="103"/>
      <c r="AA179" s="103"/>
    </row>
    <row r="180" spans="1:27" ht="15.75" customHeight="1">
      <c r="A180" s="103"/>
      <c r="B180" s="103"/>
      <c r="C180" s="103"/>
      <c r="D180" s="103"/>
      <c r="E180" s="103"/>
      <c r="F180" s="124"/>
      <c r="G180" s="124"/>
      <c r="H180" s="103"/>
      <c r="I180" s="103"/>
      <c r="J180" s="103"/>
      <c r="K180" s="103"/>
      <c r="L180" s="103"/>
      <c r="M180" s="103"/>
      <c r="N180" s="103"/>
      <c r="O180" s="103"/>
      <c r="P180" s="103"/>
      <c r="Q180" s="103"/>
      <c r="R180" s="103"/>
      <c r="S180" s="103"/>
      <c r="T180" s="103"/>
      <c r="U180" s="103"/>
      <c r="V180" s="103"/>
      <c r="W180" s="103"/>
      <c r="X180" s="103"/>
      <c r="Y180" s="103"/>
      <c r="Z180" s="103"/>
      <c r="AA180" s="103"/>
    </row>
    <row r="181" spans="1:27" ht="15.75" customHeight="1">
      <c r="A181" s="103"/>
      <c r="B181" s="103"/>
      <c r="C181" s="103"/>
      <c r="D181" s="103"/>
      <c r="E181" s="103"/>
      <c r="F181" s="124"/>
      <c r="G181" s="124"/>
      <c r="H181" s="103"/>
      <c r="I181" s="103"/>
      <c r="J181" s="103"/>
      <c r="K181" s="103"/>
      <c r="L181" s="103"/>
      <c r="M181" s="103"/>
      <c r="N181" s="103"/>
      <c r="O181" s="103"/>
      <c r="P181" s="103"/>
      <c r="Q181" s="103"/>
      <c r="R181" s="103"/>
      <c r="S181" s="103"/>
      <c r="T181" s="103"/>
      <c r="U181" s="103"/>
      <c r="V181" s="103"/>
      <c r="W181" s="103"/>
      <c r="X181" s="103"/>
      <c r="Y181" s="103"/>
      <c r="Z181" s="103"/>
      <c r="AA181" s="103"/>
    </row>
    <row r="182" spans="1:27" ht="15.75" customHeight="1">
      <c r="A182" s="103"/>
      <c r="B182" s="103"/>
      <c r="C182" s="103"/>
      <c r="D182" s="103"/>
      <c r="E182" s="103"/>
      <c r="F182" s="124"/>
      <c r="G182" s="124"/>
      <c r="H182" s="103"/>
      <c r="I182" s="103"/>
      <c r="J182" s="103"/>
      <c r="K182" s="103"/>
      <c r="L182" s="103"/>
      <c r="M182" s="103"/>
      <c r="N182" s="103"/>
      <c r="O182" s="103"/>
      <c r="P182" s="103"/>
      <c r="Q182" s="103"/>
      <c r="R182" s="103"/>
      <c r="S182" s="103"/>
      <c r="T182" s="103"/>
      <c r="U182" s="103"/>
      <c r="V182" s="103"/>
      <c r="W182" s="103"/>
      <c r="X182" s="103"/>
      <c r="Y182" s="103"/>
      <c r="Z182" s="103"/>
      <c r="AA182" s="103"/>
    </row>
    <row r="183" spans="1:27" ht="15.75" customHeight="1">
      <c r="A183" s="103"/>
      <c r="B183" s="103"/>
      <c r="C183" s="103"/>
      <c r="D183" s="103"/>
      <c r="E183" s="103"/>
      <c r="F183" s="124"/>
      <c r="G183" s="124"/>
      <c r="H183" s="103"/>
      <c r="I183" s="103"/>
      <c r="J183" s="103"/>
      <c r="K183" s="103"/>
      <c r="L183" s="103"/>
      <c r="M183" s="103"/>
      <c r="N183" s="103"/>
      <c r="O183" s="103"/>
      <c r="P183" s="103"/>
      <c r="Q183" s="103"/>
      <c r="R183" s="103"/>
      <c r="S183" s="103"/>
      <c r="T183" s="103"/>
      <c r="U183" s="103"/>
      <c r="V183" s="103"/>
      <c r="W183" s="103"/>
      <c r="X183" s="103"/>
      <c r="Y183" s="103"/>
      <c r="Z183" s="103"/>
      <c r="AA183" s="103"/>
    </row>
    <row r="184" spans="1:27" ht="15.75" customHeight="1">
      <c r="A184" s="103"/>
      <c r="B184" s="103"/>
      <c r="C184" s="103"/>
      <c r="D184" s="103"/>
      <c r="E184" s="103"/>
      <c r="F184" s="124"/>
      <c r="G184" s="124"/>
      <c r="H184" s="103"/>
      <c r="I184" s="103"/>
      <c r="J184" s="103"/>
      <c r="K184" s="103"/>
      <c r="L184" s="103"/>
      <c r="M184" s="103"/>
      <c r="N184" s="103"/>
      <c r="O184" s="103"/>
      <c r="P184" s="103"/>
      <c r="Q184" s="103"/>
      <c r="R184" s="103"/>
      <c r="S184" s="103"/>
      <c r="T184" s="103"/>
      <c r="U184" s="103"/>
      <c r="V184" s="103"/>
      <c r="W184" s="103"/>
      <c r="X184" s="103"/>
      <c r="Y184" s="103"/>
      <c r="Z184" s="103"/>
      <c r="AA184" s="103"/>
    </row>
    <row r="185" spans="1:27" ht="15.75" customHeight="1">
      <c r="A185" s="103"/>
      <c r="B185" s="103"/>
      <c r="C185" s="103"/>
      <c r="D185" s="103"/>
      <c r="E185" s="103"/>
      <c r="F185" s="124"/>
      <c r="G185" s="124"/>
      <c r="H185" s="103"/>
      <c r="I185" s="103"/>
      <c r="J185" s="103"/>
      <c r="K185" s="103"/>
      <c r="L185" s="103"/>
      <c r="M185" s="103"/>
      <c r="N185" s="103"/>
      <c r="O185" s="103"/>
      <c r="P185" s="103"/>
      <c r="Q185" s="103"/>
      <c r="R185" s="103"/>
      <c r="S185" s="103"/>
      <c r="T185" s="103"/>
      <c r="U185" s="103"/>
      <c r="V185" s="103"/>
      <c r="W185" s="103"/>
      <c r="X185" s="103"/>
      <c r="Y185" s="103"/>
      <c r="Z185" s="103"/>
      <c r="AA185" s="103"/>
    </row>
    <row r="186" spans="1:27" ht="15.75" customHeight="1">
      <c r="A186" s="103"/>
      <c r="B186" s="103"/>
      <c r="C186" s="103"/>
      <c r="D186" s="103"/>
      <c r="E186" s="103"/>
      <c r="F186" s="124"/>
      <c r="G186" s="124"/>
      <c r="H186" s="103"/>
      <c r="I186" s="103"/>
      <c r="J186" s="103"/>
      <c r="K186" s="103"/>
      <c r="L186" s="103"/>
      <c r="M186" s="103"/>
      <c r="N186" s="103"/>
      <c r="O186" s="103"/>
      <c r="P186" s="103"/>
      <c r="Q186" s="103"/>
      <c r="R186" s="103"/>
      <c r="S186" s="103"/>
      <c r="T186" s="103"/>
      <c r="U186" s="103"/>
      <c r="V186" s="103"/>
      <c r="W186" s="103"/>
      <c r="X186" s="103"/>
      <c r="Y186" s="103"/>
      <c r="Z186" s="103"/>
      <c r="AA186" s="103"/>
    </row>
    <row r="187" spans="1:27" ht="15.75" customHeight="1">
      <c r="A187" s="103"/>
      <c r="B187" s="103"/>
      <c r="C187" s="103"/>
      <c r="D187" s="103"/>
      <c r="E187" s="103"/>
      <c r="F187" s="124"/>
      <c r="G187" s="124"/>
      <c r="H187" s="103"/>
      <c r="I187" s="103"/>
      <c r="J187" s="103"/>
      <c r="K187" s="103"/>
      <c r="L187" s="103"/>
      <c r="M187" s="103"/>
      <c r="N187" s="103"/>
      <c r="O187" s="103"/>
      <c r="P187" s="103"/>
      <c r="Q187" s="103"/>
      <c r="R187" s="103"/>
      <c r="S187" s="103"/>
      <c r="T187" s="103"/>
      <c r="U187" s="103"/>
      <c r="V187" s="103"/>
      <c r="W187" s="103"/>
      <c r="X187" s="103"/>
      <c r="Y187" s="103"/>
      <c r="Z187" s="103"/>
      <c r="AA187" s="103"/>
    </row>
    <row r="188" spans="1:27" ht="15.75" customHeight="1">
      <c r="A188" s="103"/>
      <c r="B188" s="103"/>
      <c r="C188" s="103"/>
      <c r="D188" s="103"/>
      <c r="E188" s="103"/>
      <c r="F188" s="124"/>
      <c r="G188" s="124"/>
      <c r="H188" s="103"/>
      <c r="I188" s="103"/>
      <c r="J188" s="103"/>
      <c r="K188" s="103"/>
      <c r="L188" s="103"/>
      <c r="M188" s="103"/>
      <c r="N188" s="103"/>
      <c r="O188" s="103"/>
      <c r="P188" s="103"/>
      <c r="Q188" s="103"/>
      <c r="R188" s="103"/>
      <c r="S188" s="103"/>
      <c r="T188" s="103"/>
      <c r="U188" s="103"/>
      <c r="V188" s="103"/>
      <c r="W188" s="103"/>
      <c r="X188" s="103"/>
      <c r="Y188" s="103"/>
      <c r="Z188" s="103"/>
      <c r="AA188" s="103"/>
    </row>
    <row r="189" spans="1:27" ht="15.75" customHeight="1">
      <c r="A189" s="103"/>
      <c r="B189" s="103"/>
      <c r="C189" s="103"/>
      <c r="D189" s="103"/>
      <c r="E189" s="103"/>
      <c r="F189" s="124"/>
      <c r="G189" s="124"/>
      <c r="H189" s="103"/>
      <c r="I189" s="103"/>
      <c r="J189" s="103"/>
      <c r="K189" s="103"/>
      <c r="L189" s="103"/>
      <c r="M189" s="103"/>
      <c r="N189" s="103"/>
      <c r="O189" s="103"/>
      <c r="P189" s="103"/>
      <c r="Q189" s="103"/>
      <c r="R189" s="103"/>
      <c r="S189" s="103"/>
      <c r="T189" s="103"/>
      <c r="U189" s="103"/>
      <c r="V189" s="103"/>
      <c r="W189" s="103"/>
      <c r="X189" s="103"/>
      <c r="Y189" s="103"/>
      <c r="Z189" s="103"/>
      <c r="AA189" s="103"/>
    </row>
    <row r="190" spans="1:27" ht="15.75" customHeight="1">
      <c r="A190" s="103"/>
      <c r="B190" s="103"/>
      <c r="C190" s="103"/>
      <c r="D190" s="103"/>
      <c r="E190" s="103"/>
      <c r="F190" s="124"/>
      <c r="G190" s="124"/>
      <c r="H190" s="103"/>
      <c r="I190" s="103"/>
      <c r="J190" s="103"/>
      <c r="K190" s="103"/>
      <c r="L190" s="103"/>
      <c r="M190" s="103"/>
      <c r="N190" s="103"/>
      <c r="O190" s="103"/>
      <c r="P190" s="103"/>
      <c r="Q190" s="103"/>
      <c r="R190" s="103"/>
      <c r="S190" s="103"/>
      <c r="T190" s="103"/>
      <c r="U190" s="103"/>
      <c r="V190" s="103"/>
      <c r="W190" s="103"/>
      <c r="X190" s="103"/>
      <c r="Y190" s="103"/>
      <c r="Z190" s="103"/>
      <c r="AA190" s="103"/>
    </row>
    <row r="191" spans="1:27" ht="15.75" customHeight="1">
      <c r="A191" s="103"/>
      <c r="B191" s="103"/>
      <c r="C191" s="103"/>
      <c r="D191" s="103"/>
      <c r="E191" s="103"/>
      <c r="F191" s="124"/>
      <c r="G191" s="124"/>
      <c r="H191" s="103"/>
      <c r="I191" s="103"/>
      <c r="J191" s="103"/>
      <c r="K191" s="103"/>
      <c r="L191" s="103"/>
      <c r="M191" s="103"/>
      <c r="N191" s="103"/>
      <c r="O191" s="103"/>
      <c r="P191" s="103"/>
      <c r="Q191" s="103"/>
      <c r="R191" s="103"/>
      <c r="S191" s="103"/>
      <c r="T191" s="103"/>
      <c r="U191" s="103"/>
      <c r="V191" s="103"/>
      <c r="W191" s="103"/>
      <c r="X191" s="103"/>
      <c r="Y191" s="103"/>
      <c r="Z191" s="103"/>
      <c r="AA191" s="103"/>
    </row>
    <row r="192" spans="1:27" ht="15.75" customHeight="1">
      <c r="A192" s="103"/>
      <c r="B192" s="103"/>
      <c r="C192" s="103"/>
      <c r="D192" s="103"/>
      <c r="E192" s="103"/>
      <c r="F192" s="124"/>
      <c r="G192" s="124"/>
      <c r="H192" s="103"/>
      <c r="I192" s="103"/>
      <c r="J192" s="103"/>
      <c r="K192" s="103"/>
      <c r="L192" s="103"/>
      <c r="M192" s="103"/>
      <c r="N192" s="103"/>
      <c r="O192" s="103"/>
      <c r="P192" s="103"/>
      <c r="Q192" s="103"/>
      <c r="R192" s="103"/>
      <c r="S192" s="103"/>
      <c r="T192" s="103"/>
      <c r="U192" s="103"/>
      <c r="V192" s="103"/>
      <c r="W192" s="103"/>
      <c r="X192" s="103"/>
      <c r="Y192" s="103"/>
      <c r="Z192" s="103"/>
      <c r="AA192" s="103"/>
    </row>
    <row r="193" spans="1:27" ht="15.75" customHeight="1">
      <c r="A193" s="103"/>
      <c r="B193" s="103"/>
      <c r="C193" s="103"/>
      <c r="D193" s="103"/>
      <c r="E193" s="103"/>
      <c r="F193" s="124"/>
      <c r="G193" s="124"/>
      <c r="H193" s="103"/>
      <c r="I193" s="103"/>
      <c r="J193" s="103"/>
      <c r="K193" s="103"/>
      <c r="L193" s="103"/>
      <c r="M193" s="103"/>
      <c r="N193" s="103"/>
      <c r="O193" s="103"/>
      <c r="P193" s="103"/>
      <c r="Q193" s="103"/>
      <c r="R193" s="103"/>
      <c r="S193" s="103"/>
      <c r="T193" s="103"/>
      <c r="U193" s="103"/>
      <c r="V193" s="103"/>
      <c r="W193" s="103"/>
      <c r="X193" s="103"/>
      <c r="Y193" s="103"/>
      <c r="Z193" s="103"/>
      <c r="AA193" s="103"/>
    </row>
    <row r="194" spans="1:27" ht="15.75" customHeight="1">
      <c r="A194" s="103"/>
      <c r="B194" s="103"/>
      <c r="C194" s="103"/>
      <c r="D194" s="103"/>
      <c r="E194" s="103"/>
      <c r="F194" s="124"/>
      <c r="G194" s="124"/>
      <c r="H194" s="103"/>
      <c r="I194" s="103"/>
      <c r="J194" s="103"/>
      <c r="K194" s="103"/>
      <c r="L194" s="103"/>
      <c r="M194" s="103"/>
      <c r="N194" s="103"/>
      <c r="O194" s="103"/>
      <c r="P194" s="103"/>
      <c r="Q194" s="103"/>
      <c r="R194" s="103"/>
      <c r="S194" s="103"/>
      <c r="T194" s="103"/>
      <c r="U194" s="103"/>
      <c r="V194" s="103"/>
      <c r="W194" s="103"/>
      <c r="X194" s="103"/>
      <c r="Y194" s="103"/>
      <c r="Z194" s="103"/>
      <c r="AA194" s="103"/>
    </row>
    <row r="195" spans="1:27" ht="15.75" customHeight="1">
      <c r="A195" s="103"/>
      <c r="B195" s="103"/>
      <c r="C195" s="103"/>
      <c r="D195" s="103"/>
      <c r="E195" s="103"/>
      <c r="F195" s="124"/>
      <c r="G195" s="124"/>
      <c r="H195" s="103"/>
      <c r="I195" s="103"/>
      <c r="J195" s="103"/>
      <c r="K195" s="103"/>
      <c r="L195" s="103"/>
      <c r="M195" s="103"/>
      <c r="N195" s="103"/>
      <c r="O195" s="103"/>
      <c r="P195" s="103"/>
      <c r="Q195" s="103"/>
      <c r="R195" s="103"/>
      <c r="S195" s="103"/>
      <c r="T195" s="103"/>
      <c r="U195" s="103"/>
      <c r="V195" s="103"/>
      <c r="W195" s="103"/>
      <c r="X195" s="103"/>
      <c r="Y195" s="103"/>
      <c r="Z195" s="103"/>
      <c r="AA195" s="103"/>
    </row>
    <row r="196" spans="1:27" ht="15.75" customHeight="1">
      <c r="A196" s="103"/>
      <c r="B196" s="103"/>
      <c r="C196" s="103"/>
      <c r="D196" s="103"/>
      <c r="E196" s="103"/>
      <c r="F196" s="124"/>
      <c r="G196" s="124"/>
      <c r="H196" s="103"/>
      <c r="I196" s="103"/>
      <c r="J196" s="103"/>
      <c r="K196" s="103"/>
      <c r="L196" s="103"/>
      <c r="M196" s="103"/>
      <c r="N196" s="103"/>
      <c r="O196" s="103"/>
      <c r="P196" s="103"/>
      <c r="Q196" s="103"/>
      <c r="R196" s="103"/>
      <c r="S196" s="103"/>
      <c r="T196" s="103"/>
      <c r="U196" s="103"/>
      <c r="V196" s="103"/>
      <c r="W196" s="103"/>
      <c r="X196" s="103"/>
      <c r="Y196" s="103"/>
      <c r="Z196" s="103"/>
      <c r="AA196" s="103"/>
    </row>
    <row r="197" spans="1:27" ht="15.75" customHeight="1">
      <c r="A197" s="103"/>
      <c r="B197" s="103"/>
      <c r="C197" s="103"/>
      <c r="D197" s="103"/>
      <c r="E197" s="103"/>
      <c r="F197" s="124"/>
      <c r="G197" s="124"/>
      <c r="H197" s="103"/>
      <c r="I197" s="103"/>
      <c r="J197" s="103"/>
      <c r="K197" s="103"/>
      <c r="L197" s="103"/>
      <c r="M197" s="103"/>
      <c r="N197" s="103"/>
      <c r="O197" s="103"/>
      <c r="P197" s="103"/>
      <c r="Q197" s="103"/>
      <c r="R197" s="103"/>
      <c r="S197" s="103"/>
      <c r="T197" s="103"/>
      <c r="U197" s="103"/>
      <c r="V197" s="103"/>
      <c r="W197" s="103"/>
      <c r="X197" s="103"/>
      <c r="Y197" s="103"/>
      <c r="Z197" s="103"/>
      <c r="AA197" s="103"/>
    </row>
    <row r="198" spans="1:27" ht="15.75" customHeight="1">
      <c r="A198" s="103"/>
      <c r="B198" s="103"/>
      <c r="C198" s="103"/>
      <c r="D198" s="103"/>
      <c r="E198" s="103"/>
      <c r="F198" s="124"/>
      <c r="G198" s="124"/>
      <c r="H198" s="103"/>
      <c r="I198" s="103"/>
      <c r="J198" s="103"/>
      <c r="K198" s="103"/>
      <c r="L198" s="103"/>
      <c r="M198" s="103"/>
      <c r="N198" s="103"/>
      <c r="O198" s="103"/>
      <c r="P198" s="103"/>
      <c r="Q198" s="103"/>
      <c r="R198" s="103"/>
      <c r="S198" s="103"/>
      <c r="T198" s="103"/>
      <c r="U198" s="103"/>
      <c r="V198" s="103"/>
      <c r="W198" s="103"/>
      <c r="X198" s="103"/>
      <c r="Y198" s="103"/>
      <c r="Z198" s="103"/>
      <c r="AA198" s="103"/>
    </row>
    <row r="199" spans="1:27" ht="15.75" customHeight="1">
      <c r="A199" s="103"/>
      <c r="B199" s="103"/>
      <c r="C199" s="103"/>
      <c r="D199" s="103"/>
      <c r="E199" s="103"/>
      <c r="F199" s="124"/>
      <c r="G199" s="124"/>
      <c r="H199" s="103"/>
      <c r="I199" s="103"/>
      <c r="J199" s="103"/>
      <c r="K199" s="103"/>
      <c r="L199" s="103"/>
      <c r="M199" s="103"/>
      <c r="N199" s="103"/>
      <c r="O199" s="103"/>
      <c r="P199" s="103"/>
      <c r="Q199" s="103"/>
      <c r="R199" s="103"/>
      <c r="S199" s="103"/>
      <c r="T199" s="103"/>
      <c r="U199" s="103"/>
      <c r="V199" s="103"/>
      <c r="W199" s="103"/>
      <c r="X199" s="103"/>
      <c r="Y199" s="103"/>
      <c r="Z199" s="103"/>
      <c r="AA199" s="103"/>
    </row>
    <row r="200" spans="1:27" ht="15.75" customHeight="1">
      <c r="A200" s="103"/>
      <c r="B200" s="103"/>
      <c r="C200" s="103"/>
      <c r="D200" s="103"/>
      <c r="E200" s="103"/>
      <c r="F200" s="124"/>
      <c r="G200" s="124"/>
      <c r="H200" s="103"/>
      <c r="I200" s="103"/>
      <c r="J200" s="103"/>
      <c r="K200" s="103"/>
      <c r="L200" s="103"/>
      <c r="M200" s="103"/>
      <c r="N200" s="103"/>
      <c r="O200" s="103"/>
      <c r="P200" s="103"/>
      <c r="Q200" s="103"/>
      <c r="R200" s="103"/>
      <c r="S200" s="103"/>
      <c r="T200" s="103"/>
      <c r="U200" s="103"/>
      <c r="V200" s="103"/>
      <c r="W200" s="103"/>
      <c r="X200" s="103"/>
      <c r="Y200" s="103"/>
      <c r="Z200" s="103"/>
      <c r="AA200" s="103"/>
    </row>
    <row r="201" spans="1:27" ht="15.75" customHeight="1">
      <c r="A201" s="103"/>
      <c r="B201" s="103"/>
      <c r="C201" s="103"/>
      <c r="D201" s="103"/>
      <c r="E201" s="103"/>
      <c r="F201" s="124"/>
      <c r="G201" s="124"/>
      <c r="H201" s="103"/>
      <c r="I201" s="103"/>
      <c r="J201" s="103"/>
      <c r="K201" s="103"/>
      <c r="L201" s="103"/>
      <c r="M201" s="103"/>
      <c r="N201" s="103"/>
      <c r="O201" s="103"/>
      <c r="P201" s="103"/>
      <c r="Q201" s="103"/>
      <c r="R201" s="103"/>
      <c r="S201" s="103"/>
      <c r="T201" s="103"/>
      <c r="U201" s="103"/>
      <c r="V201" s="103"/>
      <c r="W201" s="103"/>
      <c r="X201" s="103"/>
      <c r="Y201" s="103"/>
      <c r="Z201" s="103"/>
      <c r="AA201" s="103"/>
    </row>
    <row r="202" spans="1:27" ht="15.75" customHeight="1">
      <c r="A202" s="103"/>
      <c r="B202" s="103"/>
      <c r="C202" s="103"/>
      <c r="D202" s="103"/>
      <c r="E202" s="103"/>
      <c r="F202" s="124"/>
      <c r="G202" s="124"/>
      <c r="H202" s="103"/>
      <c r="I202" s="103"/>
      <c r="J202" s="103"/>
      <c r="K202" s="103"/>
      <c r="L202" s="103"/>
      <c r="M202" s="103"/>
      <c r="N202" s="103"/>
      <c r="O202" s="103"/>
      <c r="P202" s="103"/>
      <c r="Q202" s="103"/>
      <c r="R202" s="103"/>
      <c r="S202" s="103"/>
      <c r="T202" s="103"/>
      <c r="U202" s="103"/>
      <c r="V202" s="103"/>
      <c r="W202" s="103"/>
      <c r="X202" s="103"/>
      <c r="Y202" s="103"/>
      <c r="Z202" s="103"/>
      <c r="AA202" s="103"/>
    </row>
    <row r="203" spans="1:27" ht="15.75" customHeight="1">
      <c r="A203" s="103"/>
      <c r="B203" s="103"/>
      <c r="C203" s="103"/>
      <c r="D203" s="103"/>
      <c r="E203" s="103"/>
      <c r="F203" s="124"/>
      <c r="G203" s="124"/>
      <c r="H203" s="103"/>
      <c r="I203" s="103"/>
      <c r="J203" s="103"/>
      <c r="K203" s="103"/>
      <c r="L203" s="103"/>
      <c r="M203" s="103"/>
      <c r="N203" s="103"/>
      <c r="O203" s="103"/>
      <c r="P203" s="103"/>
      <c r="Q203" s="103"/>
      <c r="R203" s="103"/>
      <c r="S203" s="103"/>
      <c r="T203" s="103"/>
      <c r="U203" s="103"/>
      <c r="V203" s="103"/>
      <c r="W203" s="103"/>
      <c r="X203" s="103"/>
      <c r="Y203" s="103"/>
      <c r="Z203" s="103"/>
      <c r="AA203" s="103"/>
    </row>
    <row r="204" spans="1:27" ht="15.75" customHeight="1">
      <c r="A204" s="103"/>
      <c r="B204" s="103"/>
      <c r="C204" s="103"/>
      <c r="D204" s="103"/>
      <c r="E204" s="103"/>
      <c r="F204" s="124"/>
      <c r="G204" s="124"/>
      <c r="H204" s="103"/>
      <c r="I204" s="103"/>
      <c r="J204" s="103"/>
      <c r="K204" s="103"/>
      <c r="L204" s="103"/>
      <c r="M204" s="103"/>
      <c r="N204" s="103"/>
      <c r="O204" s="103"/>
      <c r="P204" s="103"/>
      <c r="Q204" s="103"/>
      <c r="R204" s="103"/>
      <c r="S204" s="103"/>
      <c r="T204" s="103"/>
      <c r="U204" s="103"/>
      <c r="V204" s="103"/>
      <c r="W204" s="103"/>
      <c r="X204" s="103"/>
      <c r="Y204" s="103"/>
      <c r="Z204" s="103"/>
      <c r="AA204" s="103"/>
    </row>
    <row r="205" spans="1:27" ht="15.75" customHeight="1">
      <c r="A205" s="103"/>
      <c r="B205" s="103"/>
      <c r="C205" s="103"/>
      <c r="D205" s="103"/>
      <c r="E205" s="103"/>
      <c r="F205" s="124"/>
      <c r="G205" s="124"/>
      <c r="H205" s="103"/>
      <c r="I205" s="103"/>
      <c r="J205" s="103"/>
      <c r="K205" s="103"/>
      <c r="L205" s="103"/>
      <c r="M205" s="103"/>
      <c r="N205" s="103"/>
      <c r="O205" s="103"/>
      <c r="P205" s="103"/>
      <c r="Q205" s="103"/>
      <c r="R205" s="103"/>
      <c r="S205" s="103"/>
      <c r="T205" s="103"/>
      <c r="U205" s="103"/>
      <c r="V205" s="103"/>
      <c r="W205" s="103"/>
      <c r="X205" s="103"/>
      <c r="Y205" s="103"/>
      <c r="Z205" s="103"/>
      <c r="AA205" s="103"/>
    </row>
    <row r="206" spans="1:27" ht="15.75" customHeight="1">
      <c r="A206" s="103"/>
      <c r="B206" s="103"/>
      <c r="C206" s="103"/>
      <c r="D206" s="103"/>
      <c r="E206" s="103"/>
      <c r="F206" s="124"/>
      <c r="G206" s="124"/>
      <c r="H206" s="103"/>
      <c r="I206" s="103"/>
      <c r="J206" s="103"/>
      <c r="K206" s="103"/>
      <c r="L206" s="103"/>
      <c r="M206" s="103"/>
      <c r="N206" s="103"/>
      <c r="O206" s="103"/>
      <c r="P206" s="103"/>
      <c r="Q206" s="103"/>
      <c r="R206" s="103"/>
      <c r="S206" s="103"/>
      <c r="T206" s="103"/>
      <c r="U206" s="103"/>
      <c r="V206" s="103"/>
      <c r="W206" s="103"/>
      <c r="X206" s="103"/>
      <c r="Y206" s="103"/>
      <c r="Z206" s="103"/>
      <c r="AA206" s="103"/>
    </row>
    <row r="207" spans="1:27" ht="15.75" customHeight="1">
      <c r="A207" s="103"/>
      <c r="B207" s="103"/>
      <c r="C207" s="103"/>
      <c r="D207" s="103"/>
      <c r="E207" s="103"/>
      <c r="F207" s="124"/>
      <c r="G207" s="124"/>
      <c r="H207" s="103"/>
      <c r="I207" s="103"/>
      <c r="J207" s="103"/>
      <c r="K207" s="103"/>
      <c r="L207" s="103"/>
      <c r="M207" s="103"/>
      <c r="N207" s="103"/>
      <c r="O207" s="103"/>
      <c r="P207" s="103"/>
      <c r="Q207" s="103"/>
      <c r="R207" s="103"/>
      <c r="S207" s="103"/>
      <c r="T207" s="103"/>
      <c r="U207" s="103"/>
      <c r="V207" s="103"/>
      <c r="W207" s="103"/>
      <c r="X207" s="103"/>
      <c r="Y207" s="103"/>
      <c r="Z207" s="103"/>
      <c r="AA207" s="103"/>
    </row>
    <row r="208" spans="1:27" ht="15.75" customHeight="1">
      <c r="A208" s="103"/>
      <c r="B208" s="103"/>
      <c r="C208" s="103"/>
      <c r="D208" s="103"/>
      <c r="E208" s="103"/>
      <c r="F208" s="124"/>
      <c r="G208" s="124"/>
      <c r="H208" s="103"/>
      <c r="I208" s="103"/>
      <c r="J208" s="103"/>
      <c r="K208" s="103"/>
      <c r="L208" s="103"/>
      <c r="M208" s="103"/>
      <c r="N208" s="103"/>
      <c r="O208" s="103"/>
      <c r="P208" s="103"/>
      <c r="Q208" s="103"/>
      <c r="R208" s="103"/>
      <c r="S208" s="103"/>
      <c r="T208" s="103"/>
      <c r="U208" s="103"/>
      <c r="V208" s="103"/>
      <c r="W208" s="103"/>
      <c r="X208" s="103"/>
      <c r="Y208" s="103"/>
      <c r="Z208" s="103"/>
      <c r="AA208" s="103"/>
    </row>
    <row r="209" spans="1:27" ht="15.75" customHeight="1">
      <c r="A209" s="103"/>
      <c r="B209" s="103"/>
      <c r="C209" s="103"/>
      <c r="D209" s="103"/>
      <c r="E209" s="103"/>
      <c r="F209" s="124"/>
      <c r="G209" s="124"/>
      <c r="H209" s="103"/>
      <c r="I209" s="103"/>
      <c r="J209" s="103"/>
      <c r="K209" s="103"/>
      <c r="L209" s="103"/>
      <c r="M209" s="103"/>
      <c r="N209" s="103"/>
      <c r="O209" s="103"/>
      <c r="P209" s="103"/>
      <c r="Q209" s="103"/>
      <c r="R209" s="103"/>
      <c r="S209" s="103"/>
      <c r="T209" s="103"/>
      <c r="U209" s="103"/>
      <c r="V209" s="103"/>
      <c r="W209" s="103"/>
      <c r="X209" s="103"/>
      <c r="Y209" s="103"/>
      <c r="Z209" s="103"/>
      <c r="AA209" s="103"/>
    </row>
    <row r="210" spans="1:27" ht="15.75" customHeight="1">
      <c r="A210" s="103"/>
      <c r="B210" s="103"/>
      <c r="C210" s="103"/>
      <c r="D210" s="103"/>
      <c r="E210" s="103"/>
      <c r="F210" s="124"/>
      <c r="G210" s="124"/>
      <c r="H210" s="103"/>
      <c r="I210" s="103"/>
      <c r="J210" s="103"/>
      <c r="K210" s="103"/>
      <c r="L210" s="103"/>
      <c r="M210" s="103"/>
      <c r="N210" s="103"/>
      <c r="O210" s="103"/>
      <c r="P210" s="103"/>
      <c r="Q210" s="103"/>
      <c r="R210" s="103"/>
      <c r="S210" s="103"/>
      <c r="T210" s="103"/>
      <c r="U210" s="103"/>
      <c r="V210" s="103"/>
      <c r="W210" s="103"/>
      <c r="X210" s="103"/>
      <c r="Y210" s="103"/>
      <c r="Z210" s="103"/>
      <c r="AA210" s="103"/>
    </row>
    <row r="211" spans="1:27" ht="15.75" customHeight="1">
      <c r="A211" s="103"/>
      <c r="B211" s="103"/>
      <c r="C211" s="103"/>
      <c r="D211" s="103"/>
      <c r="E211" s="103"/>
      <c r="F211" s="124"/>
      <c r="G211" s="124"/>
      <c r="H211" s="103"/>
      <c r="I211" s="103"/>
      <c r="J211" s="103"/>
      <c r="K211" s="103"/>
      <c r="L211" s="103"/>
      <c r="M211" s="103"/>
      <c r="N211" s="103"/>
      <c r="O211" s="103"/>
      <c r="P211" s="103"/>
      <c r="Q211" s="103"/>
      <c r="R211" s="103"/>
      <c r="S211" s="103"/>
      <c r="T211" s="103"/>
      <c r="U211" s="103"/>
      <c r="V211" s="103"/>
      <c r="W211" s="103"/>
      <c r="X211" s="103"/>
      <c r="Y211" s="103"/>
      <c r="Z211" s="103"/>
      <c r="AA211" s="103"/>
    </row>
    <row r="212" spans="1:27" ht="15.75" customHeight="1">
      <c r="A212" s="103"/>
      <c r="B212" s="103"/>
      <c r="C212" s="103"/>
      <c r="D212" s="103"/>
      <c r="E212" s="103"/>
      <c r="F212" s="124"/>
      <c r="G212" s="124"/>
      <c r="H212" s="103"/>
      <c r="I212" s="103"/>
      <c r="J212" s="103"/>
      <c r="K212" s="103"/>
      <c r="L212" s="103"/>
      <c r="M212" s="103"/>
      <c r="N212" s="103"/>
      <c r="O212" s="103"/>
      <c r="P212" s="103"/>
      <c r="Q212" s="103"/>
      <c r="R212" s="103"/>
      <c r="S212" s="103"/>
      <c r="T212" s="103"/>
      <c r="U212" s="103"/>
      <c r="V212" s="103"/>
      <c r="W212" s="103"/>
      <c r="X212" s="103"/>
      <c r="Y212" s="103"/>
      <c r="Z212" s="103"/>
      <c r="AA212" s="103"/>
    </row>
    <row r="213" spans="1:27" ht="15.75" customHeight="1">
      <c r="A213" s="103"/>
      <c r="B213" s="103"/>
      <c r="C213" s="103"/>
      <c r="D213" s="103"/>
      <c r="E213" s="103"/>
      <c r="F213" s="124"/>
      <c r="G213" s="124"/>
      <c r="H213" s="103"/>
      <c r="I213" s="103"/>
      <c r="J213" s="103"/>
      <c r="K213" s="103"/>
      <c r="L213" s="103"/>
      <c r="M213" s="103"/>
      <c r="N213" s="103"/>
      <c r="O213" s="103"/>
      <c r="P213" s="103"/>
      <c r="Q213" s="103"/>
      <c r="R213" s="103"/>
      <c r="S213" s="103"/>
      <c r="T213" s="103"/>
      <c r="U213" s="103"/>
      <c r="V213" s="103"/>
      <c r="W213" s="103"/>
      <c r="X213" s="103"/>
      <c r="Y213" s="103"/>
      <c r="Z213" s="103"/>
      <c r="AA213" s="103"/>
    </row>
    <row r="214" spans="1:27" ht="15.75" customHeight="1">
      <c r="A214" s="103"/>
      <c r="B214" s="103"/>
      <c r="C214" s="103"/>
      <c r="D214" s="103"/>
      <c r="E214" s="103"/>
      <c r="F214" s="124"/>
      <c r="G214" s="124"/>
      <c r="H214" s="103"/>
      <c r="I214" s="103"/>
      <c r="J214" s="103"/>
      <c r="K214" s="103"/>
      <c r="L214" s="103"/>
      <c r="M214" s="103"/>
      <c r="N214" s="103"/>
      <c r="O214" s="103"/>
      <c r="P214" s="103"/>
      <c r="Q214" s="103"/>
      <c r="R214" s="103"/>
      <c r="S214" s="103"/>
      <c r="T214" s="103"/>
      <c r="U214" s="103"/>
      <c r="V214" s="103"/>
      <c r="W214" s="103"/>
      <c r="X214" s="103"/>
      <c r="Y214" s="103"/>
      <c r="Z214" s="103"/>
      <c r="AA214" s="103"/>
    </row>
    <row r="215" spans="1:27" ht="15.75" customHeight="1">
      <c r="A215" s="103"/>
      <c r="B215" s="103"/>
      <c r="C215" s="103"/>
      <c r="D215" s="103"/>
      <c r="E215" s="103"/>
      <c r="F215" s="124"/>
      <c r="G215" s="124"/>
      <c r="H215" s="103"/>
      <c r="I215" s="103"/>
      <c r="J215" s="103"/>
      <c r="K215" s="103"/>
      <c r="L215" s="103"/>
      <c r="M215" s="103"/>
      <c r="N215" s="103"/>
      <c r="O215" s="103"/>
      <c r="P215" s="103"/>
      <c r="Q215" s="103"/>
      <c r="R215" s="103"/>
      <c r="S215" s="103"/>
      <c r="T215" s="103"/>
      <c r="U215" s="103"/>
      <c r="V215" s="103"/>
      <c r="W215" s="103"/>
      <c r="X215" s="103"/>
      <c r="Y215" s="103"/>
      <c r="Z215" s="103"/>
      <c r="AA215" s="103"/>
    </row>
    <row r="216" spans="1:27" ht="15.75" customHeight="1">
      <c r="A216" s="103"/>
      <c r="B216" s="103"/>
      <c r="C216" s="103"/>
      <c r="D216" s="103"/>
      <c r="E216" s="103"/>
      <c r="F216" s="124"/>
      <c r="G216" s="124"/>
      <c r="H216" s="103"/>
      <c r="I216" s="103"/>
      <c r="J216" s="103"/>
      <c r="K216" s="103"/>
      <c r="L216" s="103"/>
      <c r="M216" s="103"/>
      <c r="N216" s="103"/>
      <c r="O216" s="103"/>
      <c r="P216" s="103"/>
      <c r="Q216" s="103"/>
      <c r="R216" s="103"/>
      <c r="S216" s="103"/>
      <c r="T216" s="103"/>
      <c r="U216" s="103"/>
      <c r="V216" s="103"/>
      <c r="W216" s="103"/>
      <c r="X216" s="103"/>
      <c r="Y216" s="103"/>
      <c r="Z216" s="103"/>
      <c r="AA216" s="103"/>
    </row>
    <row r="217" spans="1:27" ht="15.75" customHeight="1">
      <c r="A217" s="103"/>
      <c r="B217" s="103"/>
      <c r="C217" s="103"/>
      <c r="D217" s="103"/>
      <c r="E217" s="103"/>
      <c r="F217" s="124"/>
      <c r="G217" s="124"/>
      <c r="H217" s="103"/>
      <c r="I217" s="103"/>
      <c r="J217" s="103"/>
      <c r="K217" s="103"/>
      <c r="L217" s="103"/>
      <c r="M217" s="103"/>
      <c r="N217" s="103"/>
      <c r="O217" s="103"/>
      <c r="P217" s="103"/>
      <c r="Q217" s="103"/>
      <c r="R217" s="103"/>
      <c r="S217" s="103"/>
      <c r="T217" s="103"/>
      <c r="U217" s="103"/>
      <c r="V217" s="103"/>
      <c r="W217" s="103"/>
      <c r="X217" s="103"/>
      <c r="Y217" s="103"/>
      <c r="Z217" s="103"/>
      <c r="AA217" s="103"/>
    </row>
    <row r="218" spans="1:27" ht="15.75" customHeight="1">
      <c r="A218" s="103"/>
      <c r="B218" s="103"/>
      <c r="C218" s="103"/>
      <c r="D218" s="103"/>
      <c r="E218" s="103"/>
      <c r="F218" s="124"/>
      <c r="G218" s="124"/>
      <c r="H218" s="103"/>
      <c r="I218" s="103"/>
      <c r="J218" s="103"/>
      <c r="K218" s="103"/>
      <c r="L218" s="103"/>
      <c r="M218" s="103"/>
      <c r="N218" s="103"/>
      <c r="O218" s="103"/>
      <c r="P218" s="103"/>
      <c r="Q218" s="103"/>
      <c r="R218" s="103"/>
      <c r="S218" s="103"/>
      <c r="T218" s="103"/>
      <c r="U218" s="103"/>
      <c r="V218" s="103"/>
      <c r="W218" s="103"/>
      <c r="X218" s="103"/>
      <c r="Y218" s="103"/>
      <c r="Z218" s="103"/>
      <c r="AA218" s="103"/>
    </row>
    <row r="219" spans="1:27" ht="15.75" customHeight="1">
      <c r="A219" s="103"/>
      <c r="B219" s="103"/>
      <c r="C219" s="103"/>
      <c r="D219" s="103"/>
      <c r="E219" s="103"/>
      <c r="F219" s="124"/>
      <c r="G219" s="124"/>
      <c r="H219" s="103"/>
      <c r="I219" s="103"/>
      <c r="J219" s="103"/>
      <c r="K219" s="103"/>
      <c r="L219" s="103"/>
      <c r="M219" s="103"/>
      <c r="N219" s="103"/>
      <c r="O219" s="103"/>
      <c r="P219" s="103"/>
      <c r="Q219" s="103"/>
      <c r="R219" s="103"/>
      <c r="S219" s="103"/>
      <c r="T219" s="103"/>
      <c r="U219" s="103"/>
      <c r="V219" s="103"/>
      <c r="W219" s="103"/>
      <c r="X219" s="103"/>
      <c r="Y219" s="103"/>
      <c r="Z219" s="103"/>
      <c r="AA219" s="103"/>
    </row>
    <row r="220" spans="1:27" ht="15.75" customHeight="1">
      <c r="A220" s="103"/>
      <c r="B220" s="103"/>
      <c r="C220" s="103"/>
      <c r="D220" s="103"/>
      <c r="E220" s="103"/>
      <c r="F220" s="124"/>
      <c r="G220" s="124"/>
      <c r="H220" s="103"/>
      <c r="I220" s="103"/>
      <c r="J220" s="103"/>
      <c r="K220" s="103"/>
      <c r="L220" s="103"/>
      <c r="M220" s="103"/>
      <c r="N220" s="103"/>
      <c r="O220" s="103"/>
      <c r="P220" s="103"/>
      <c r="Q220" s="103"/>
      <c r="R220" s="103"/>
      <c r="S220" s="103"/>
      <c r="T220" s="103"/>
      <c r="U220" s="103"/>
      <c r="V220" s="103"/>
      <c r="W220" s="103"/>
      <c r="X220" s="103"/>
      <c r="Y220" s="103"/>
      <c r="Z220" s="103"/>
      <c r="AA220" s="103"/>
    </row>
    <row r="221" spans="1:27" ht="15.75" customHeight="1">
      <c r="A221" s="103"/>
      <c r="B221" s="103"/>
      <c r="C221" s="103"/>
      <c r="D221" s="103"/>
      <c r="E221" s="103"/>
      <c r="F221" s="124"/>
      <c r="G221" s="124"/>
      <c r="H221" s="103"/>
      <c r="I221" s="103"/>
      <c r="J221" s="103"/>
      <c r="K221" s="103"/>
      <c r="L221" s="103"/>
      <c r="M221" s="103"/>
      <c r="N221" s="103"/>
      <c r="O221" s="103"/>
      <c r="P221" s="103"/>
      <c r="Q221" s="103"/>
      <c r="R221" s="103"/>
      <c r="S221" s="103"/>
      <c r="T221" s="103"/>
      <c r="U221" s="103"/>
      <c r="V221" s="103"/>
      <c r="W221" s="103"/>
      <c r="X221" s="103"/>
      <c r="Y221" s="103"/>
      <c r="Z221" s="103"/>
      <c r="AA221" s="103"/>
    </row>
    <row r="222" spans="1:27" ht="15.75" customHeight="1">
      <c r="A222" s="103"/>
      <c r="B222" s="103"/>
      <c r="C222" s="103"/>
      <c r="D222" s="103"/>
      <c r="E222" s="103"/>
      <c r="F222" s="124"/>
      <c r="G222" s="124"/>
      <c r="H222" s="103"/>
      <c r="I222" s="103"/>
      <c r="J222" s="103"/>
      <c r="K222" s="103"/>
      <c r="L222" s="103"/>
      <c r="M222" s="103"/>
      <c r="N222" s="103"/>
      <c r="O222" s="103"/>
      <c r="P222" s="103"/>
      <c r="Q222" s="103"/>
      <c r="R222" s="103"/>
      <c r="S222" s="103"/>
      <c r="T222" s="103"/>
      <c r="U222" s="103"/>
      <c r="V222" s="103"/>
      <c r="W222" s="103"/>
      <c r="X222" s="103"/>
      <c r="Y222" s="103"/>
      <c r="Z222" s="103"/>
      <c r="AA222" s="103"/>
    </row>
    <row r="223" spans="1:27" ht="15.75" customHeight="1">
      <c r="A223" s="103"/>
      <c r="B223" s="103"/>
      <c r="C223" s="103"/>
      <c r="D223" s="103"/>
      <c r="E223" s="103"/>
      <c r="F223" s="124"/>
      <c r="G223" s="124"/>
      <c r="H223" s="103"/>
      <c r="I223" s="103"/>
      <c r="J223" s="103"/>
      <c r="K223" s="103"/>
      <c r="L223" s="103"/>
      <c r="M223" s="103"/>
      <c r="N223" s="103"/>
      <c r="O223" s="103"/>
      <c r="P223" s="103"/>
      <c r="Q223" s="103"/>
      <c r="R223" s="103"/>
      <c r="S223" s="103"/>
      <c r="T223" s="103"/>
      <c r="U223" s="103"/>
      <c r="V223" s="103"/>
      <c r="W223" s="103"/>
      <c r="X223" s="103"/>
      <c r="Y223" s="103"/>
      <c r="Z223" s="103"/>
      <c r="AA223" s="103"/>
    </row>
    <row r="224" spans="1:27" ht="15.75" customHeight="1">
      <c r="A224" s="103"/>
      <c r="B224" s="103"/>
      <c r="C224" s="103"/>
      <c r="D224" s="103"/>
      <c r="E224" s="103"/>
      <c r="F224" s="124"/>
      <c r="G224" s="124"/>
      <c r="H224" s="103"/>
      <c r="I224" s="103"/>
      <c r="J224" s="103"/>
      <c r="K224" s="103"/>
      <c r="L224" s="103"/>
      <c r="M224" s="103"/>
      <c r="N224" s="103"/>
      <c r="O224" s="103"/>
      <c r="P224" s="103"/>
      <c r="Q224" s="103"/>
      <c r="R224" s="103"/>
      <c r="S224" s="103"/>
      <c r="T224" s="103"/>
      <c r="U224" s="103"/>
      <c r="V224" s="103"/>
      <c r="W224" s="103"/>
      <c r="X224" s="103"/>
      <c r="Y224" s="103"/>
      <c r="Z224" s="103"/>
      <c r="AA224" s="103"/>
    </row>
    <row r="225" spans="1:27" ht="15.75" customHeight="1">
      <c r="A225" s="103"/>
      <c r="B225" s="103"/>
      <c r="C225" s="103"/>
      <c r="D225" s="103"/>
      <c r="E225" s="103"/>
      <c r="F225" s="124"/>
      <c r="G225" s="124"/>
      <c r="H225" s="103"/>
      <c r="I225" s="103"/>
      <c r="J225" s="103"/>
      <c r="K225" s="103"/>
      <c r="L225" s="103"/>
      <c r="M225" s="103"/>
      <c r="N225" s="103"/>
      <c r="O225" s="103"/>
      <c r="P225" s="103"/>
      <c r="Q225" s="103"/>
      <c r="R225" s="103"/>
      <c r="S225" s="103"/>
      <c r="T225" s="103"/>
      <c r="U225" s="103"/>
      <c r="V225" s="103"/>
      <c r="W225" s="103"/>
      <c r="X225" s="103"/>
      <c r="Y225" s="103"/>
      <c r="Z225" s="103"/>
      <c r="AA225" s="103"/>
    </row>
    <row r="226" spans="1:27" ht="15.75" customHeight="1">
      <c r="A226" s="103"/>
      <c r="B226" s="103"/>
      <c r="C226" s="103"/>
      <c r="D226" s="103"/>
      <c r="E226" s="103"/>
      <c r="F226" s="124"/>
      <c r="G226" s="124"/>
      <c r="H226" s="103"/>
      <c r="I226" s="103"/>
      <c r="J226" s="103"/>
      <c r="K226" s="103"/>
      <c r="L226" s="103"/>
      <c r="M226" s="103"/>
      <c r="N226" s="103"/>
      <c r="O226" s="103"/>
      <c r="P226" s="103"/>
      <c r="Q226" s="103"/>
      <c r="R226" s="103"/>
      <c r="S226" s="103"/>
      <c r="T226" s="103"/>
      <c r="U226" s="103"/>
      <c r="V226" s="103"/>
      <c r="W226" s="103"/>
      <c r="X226" s="103"/>
      <c r="Y226" s="103"/>
      <c r="Z226" s="103"/>
      <c r="AA226" s="103"/>
    </row>
    <row r="227" spans="1:27" ht="15.75" customHeight="1">
      <c r="A227" s="103"/>
      <c r="B227" s="103"/>
      <c r="C227" s="103"/>
      <c r="D227" s="103"/>
      <c r="E227" s="103"/>
      <c r="F227" s="124"/>
      <c r="G227" s="124"/>
      <c r="H227" s="103"/>
      <c r="I227" s="103"/>
      <c r="J227" s="103"/>
      <c r="K227" s="103"/>
      <c r="L227" s="103"/>
      <c r="M227" s="103"/>
      <c r="N227" s="103"/>
      <c r="O227" s="103"/>
      <c r="P227" s="103"/>
      <c r="Q227" s="103"/>
      <c r="R227" s="103"/>
      <c r="S227" s="103"/>
      <c r="T227" s="103"/>
      <c r="U227" s="103"/>
      <c r="V227" s="103"/>
      <c r="W227" s="103"/>
      <c r="X227" s="103"/>
      <c r="Y227" s="103"/>
      <c r="Z227" s="103"/>
      <c r="AA227" s="103"/>
    </row>
    <row r="228" spans="1:27" ht="15.75" customHeight="1">
      <c r="A228" s="103"/>
      <c r="B228" s="103"/>
      <c r="C228" s="103"/>
      <c r="D228" s="103"/>
      <c r="E228" s="103"/>
      <c r="F228" s="124"/>
      <c r="G228" s="124"/>
      <c r="H228" s="103"/>
      <c r="I228" s="103"/>
      <c r="J228" s="103"/>
      <c r="K228" s="103"/>
      <c r="L228" s="103"/>
      <c r="M228" s="103"/>
      <c r="N228" s="103"/>
      <c r="O228" s="103"/>
      <c r="P228" s="103"/>
      <c r="Q228" s="103"/>
      <c r="R228" s="103"/>
      <c r="S228" s="103"/>
      <c r="T228" s="103"/>
      <c r="U228" s="103"/>
      <c r="V228" s="103"/>
      <c r="W228" s="103"/>
      <c r="X228" s="103"/>
      <c r="Y228" s="103"/>
      <c r="Z228" s="103"/>
      <c r="AA228" s="103"/>
    </row>
    <row r="229" spans="1:27" ht="15.75" customHeight="1">
      <c r="A229" s="103"/>
      <c r="B229" s="103"/>
      <c r="C229" s="103"/>
      <c r="D229" s="103"/>
      <c r="E229" s="103"/>
      <c r="F229" s="124"/>
      <c r="G229" s="124"/>
      <c r="H229" s="103"/>
      <c r="I229" s="103"/>
      <c r="J229" s="103"/>
      <c r="K229" s="103"/>
      <c r="L229" s="103"/>
      <c r="M229" s="103"/>
      <c r="N229" s="103"/>
      <c r="O229" s="103"/>
      <c r="P229" s="103"/>
      <c r="Q229" s="103"/>
      <c r="R229" s="103"/>
      <c r="S229" s="103"/>
      <c r="T229" s="103"/>
      <c r="U229" s="103"/>
      <c r="V229" s="103"/>
      <c r="W229" s="103"/>
      <c r="X229" s="103"/>
      <c r="Y229" s="103"/>
      <c r="Z229" s="103"/>
      <c r="AA229" s="103"/>
    </row>
    <row r="230" spans="1:27" ht="15.75" customHeight="1">
      <c r="A230" s="103"/>
      <c r="B230" s="103"/>
      <c r="C230" s="103"/>
      <c r="D230" s="103"/>
      <c r="E230" s="103"/>
      <c r="F230" s="124"/>
      <c r="G230" s="124"/>
      <c r="H230" s="103"/>
      <c r="I230" s="103"/>
      <c r="J230" s="103"/>
      <c r="K230" s="103"/>
      <c r="L230" s="103"/>
      <c r="M230" s="103"/>
      <c r="N230" s="103"/>
      <c r="O230" s="103"/>
      <c r="P230" s="103"/>
      <c r="Q230" s="103"/>
      <c r="R230" s="103"/>
      <c r="S230" s="103"/>
      <c r="T230" s="103"/>
      <c r="U230" s="103"/>
      <c r="V230" s="103"/>
      <c r="W230" s="103"/>
      <c r="X230" s="103"/>
      <c r="Y230" s="103"/>
      <c r="Z230" s="103"/>
      <c r="AA230" s="103"/>
    </row>
    <row r="231" spans="1:27" ht="15.75" customHeight="1">
      <c r="A231" s="103"/>
      <c r="B231" s="103"/>
      <c r="C231" s="103"/>
      <c r="D231" s="103"/>
      <c r="E231" s="103"/>
      <c r="F231" s="124"/>
      <c r="G231" s="124"/>
      <c r="H231" s="103"/>
      <c r="I231" s="103"/>
      <c r="J231" s="103"/>
      <c r="K231" s="103"/>
      <c r="L231" s="103"/>
      <c r="M231" s="103"/>
      <c r="N231" s="103"/>
      <c r="O231" s="103"/>
      <c r="P231" s="103"/>
      <c r="Q231" s="103"/>
      <c r="R231" s="103"/>
      <c r="S231" s="103"/>
      <c r="T231" s="103"/>
      <c r="U231" s="103"/>
      <c r="V231" s="103"/>
      <c r="W231" s="103"/>
      <c r="X231" s="103"/>
      <c r="Y231" s="103"/>
      <c r="Z231" s="103"/>
      <c r="AA231" s="103"/>
    </row>
    <row r="232" spans="1:27" ht="15.75" customHeight="1">
      <c r="A232" s="103"/>
      <c r="B232" s="103"/>
      <c r="C232" s="103"/>
      <c r="D232" s="103"/>
      <c r="E232" s="103"/>
      <c r="F232" s="124"/>
      <c r="G232" s="124"/>
      <c r="H232" s="103"/>
      <c r="I232" s="103"/>
      <c r="J232" s="103"/>
      <c r="K232" s="103"/>
      <c r="L232" s="103"/>
      <c r="M232" s="103"/>
      <c r="N232" s="103"/>
      <c r="O232" s="103"/>
      <c r="P232" s="103"/>
      <c r="Q232" s="103"/>
      <c r="R232" s="103"/>
      <c r="S232" s="103"/>
      <c r="T232" s="103"/>
      <c r="U232" s="103"/>
      <c r="V232" s="103"/>
      <c r="W232" s="103"/>
      <c r="X232" s="103"/>
      <c r="Y232" s="103"/>
      <c r="Z232" s="103"/>
      <c r="AA232" s="103"/>
    </row>
    <row r="233" spans="1:27" ht="15.75" customHeight="1">
      <c r="A233" s="103"/>
      <c r="B233" s="103"/>
      <c r="C233" s="103"/>
      <c r="D233" s="103"/>
      <c r="E233" s="103"/>
      <c r="F233" s="124"/>
      <c r="G233" s="124"/>
      <c r="H233" s="103"/>
      <c r="I233" s="103"/>
      <c r="J233" s="103"/>
      <c r="K233" s="103"/>
      <c r="L233" s="103"/>
      <c r="M233" s="103"/>
      <c r="N233" s="103"/>
      <c r="O233" s="103"/>
      <c r="P233" s="103"/>
      <c r="Q233" s="103"/>
      <c r="R233" s="103"/>
      <c r="S233" s="103"/>
      <c r="T233" s="103"/>
      <c r="U233" s="103"/>
      <c r="V233" s="103"/>
      <c r="W233" s="103"/>
      <c r="X233" s="103"/>
      <c r="Y233" s="103"/>
      <c r="Z233" s="103"/>
      <c r="AA233" s="103"/>
    </row>
    <row r="234" spans="1:27" ht="15.75" customHeight="1">
      <c r="A234" s="103"/>
      <c r="B234" s="103"/>
      <c r="C234" s="103"/>
      <c r="D234" s="103"/>
      <c r="E234" s="103"/>
      <c r="F234" s="124"/>
      <c r="G234" s="124"/>
      <c r="H234" s="103"/>
      <c r="I234" s="103"/>
      <c r="J234" s="103"/>
      <c r="K234" s="103"/>
      <c r="L234" s="103"/>
      <c r="M234" s="103"/>
      <c r="N234" s="103"/>
      <c r="O234" s="103"/>
      <c r="P234" s="103"/>
      <c r="Q234" s="103"/>
      <c r="R234" s="103"/>
      <c r="S234" s="103"/>
      <c r="T234" s="103"/>
      <c r="U234" s="103"/>
      <c r="V234" s="103"/>
      <c r="W234" s="103"/>
      <c r="X234" s="103"/>
      <c r="Y234" s="103"/>
      <c r="Z234" s="103"/>
      <c r="AA234" s="103"/>
    </row>
    <row r="235" spans="1:27" ht="15.75" customHeight="1">
      <c r="A235" s="103"/>
      <c r="B235" s="103"/>
      <c r="C235" s="103"/>
      <c r="D235" s="103"/>
      <c r="E235" s="103"/>
      <c r="F235" s="124"/>
      <c r="G235" s="124"/>
      <c r="H235" s="103"/>
      <c r="I235" s="103"/>
      <c r="J235" s="103"/>
      <c r="K235" s="103"/>
      <c r="L235" s="103"/>
      <c r="M235" s="103"/>
      <c r="N235" s="103"/>
      <c r="O235" s="103"/>
      <c r="P235" s="103"/>
      <c r="Q235" s="103"/>
      <c r="R235" s="103"/>
      <c r="S235" s="103"/>
      <c r="T235" s="103"/>
      <c r="U235" s="103"/>
      <c r="V235" s="103"/>
      <c r="W235" s="103"/>
      <c r="X235" s="103"/>
      <c r="Y235" s="103"/>
      <c r="Z235" s="103"/>
      <c r="AA235" s="103"/>
    </row>
    <row r="236" spans="1:27" ht="15.75" customHeight="1">
      <c r="A236" s="103"/>
      <c r="B236" s="103"/>
      <c r="C236" s="103"/>
      <c r="D236" s="103"/>
      <c r="E236" s="103"/>
      <c r="F236" s="124"/>
      <c r="G236" s="124"/>
      <c r="H236" s="103"/>
      <c r="I236" s="103"/>
      <c r="J236" s="103"/>
      <c r="K236" s="103"/>
      <c r="L236" s="103"/>
      <c r="M236" s="103"/>
      <c r="N236" s="103"/>
      <c r="O236" s="103"/>
      <c r="P236" s="103"/>
      <c r="Q236" s="103"/>
      <c r="R236" s="103"/>
      <c r="S236" s="103"/>
      <c r="T236" s="103"/>
      <c r="U236" s="103"/>
      <c r="V236" s="103"/>
      <c r="W236" s="103"/>
      <c r="X236" s="103"/>
      <c r="Y236" s="103"/>
      <c r="Z236" s="103"/>
      <c r="AA236" s="103"/>
    </row>
    <row r="237" spans="1:27" ht="15.75" customHeight="1">
      <c r="A237" s="103"/>
      <c r="B237" s="103"/>
      <c r="C237" s="103"/>
      <c r="D237" s="103"/>
      <c r="E237" s="103"/>
      <c r="F237" s="124"/>
      <c r="G237" s="124"/>
      <c r="H237" s="103"/>
      <c r="I237" s="103"/>
      <c r="J237" s="103"/>
      <c r="K237" s="103"/>
      <c r="L237" s="103"/>
      <c r="M237" s="103"/>
      <c r="N237" s="103"/>
      <c r="O237" s="103"/>
      <c r="P237" s="103"/>
      <c r="Q237" s="103"/>
      <c r="R237" s="103"/>
      <c r="S237" s="103"/>
      <c r="T237" s="103"/>
      <c r="U237" s="103"/>
      <c r="V237" s="103"/>
      <c r="W237" s="103"/>
      <c r="X237" s="103"/>
      <c r="Y237" s="103"/>
      <c r="Z237" s="103"/>
      <c r="AA237" s="103"/>
    </row>
    <row r="238" spans="1:27" ht="15.75" customHeight="1">
      <c r="A238" s="103"/>
      <c r="B238" s="103"/>
      <c r="C238" s="103"/>
      <c r="D238" s="103"/>
      <c r="E238" s="103"/>
      <c r="F238" s="124"/>
      <c r="G238" s="124"/>
      <c r="H238" s="103"/>
      <c r="I238" s="103"/>
      <c r="J238" s="103"/>
      <c r="K238" s="103"/>
      <c r="L238" s="103"/>
      <c r="M238" s="103"/>
      <c r="N238" s="103"/>
      <c r="O238" s="103"/>
      <c r="P238" s="103"/>
      <c r="Q238" s="103"/>
      <c r="R238" s="103"/>
      <c r="S238" s="103"/>
      <c r="T238" s="103"/>
      <c r="U238" s="103"/>
      <c r="V238" s="103"/>
      <c r="W238" s="103"/>
      <c r="X238" s="103"/>
      <c r="Y238" s="103"/>
      <c r="Z238" s="103"/>
      <c r="AA238" s="103"/>
    </row>
    <row r="239" spans="1:27" ht="15.75" customHeight="1">
      <c r="A239" s="103"/>
      <c r="B239" s="103"/>
      <c r="C239" s="103"/>
      <c r="D239" s="103"/>
      <c r="E239" s="103"/>
      <c r="F239" s="124"/>
      <c r="G239" s="124"/>
      <c r="H239" s="103"/>
      <c r="I239" s="103"/>
      <c r="J239" s="103"/>
      <c r="K239" s="103"/>
      <c r="L239" s="103"/>
      <c r="M239" s="103"/>
      <c r="N239" s="103"/>
      <c r="O239" s="103"/>
      <c r="P239" s="103"/>
      <c r="Q239" s="103"/>
      <c r="R239" s="103"/>
      <c r="S239" s="103"/>
      <c r="T239" s="103"/>
      <c r="U239" s="103"/>
      <c r="V239" s="103"/>
      <c r="W239" s="103"/>
      <c r="X239" s="103"/>
      <c r="Y239" s="103"/>
      <c r="Z239" s="103"/>
      <c r="AA239" s="103"/>
    </row>
    <row r="240" spans="1:27" ht="15.75" customHeight="1">
      <c r="A240" s="103"/>
      <c r="B240" s="103"/>
      <c r="C240" s="103"/>
      <c r="D240" s="103"/>
      <c r="E240" s="103"/>
      <c r="F240" s="124"/>
      <c r="G240" s="124"/>
      <c r="H240" s="103"/>
      <c r="I240" s="103"/>
      <c r="J240" s="103"/>
      <c r="K240" s="103"/>
      <c r="L240" s="103"/>
      <c r="M240" s="103"/>
      <c r="N240" s="103"/>
      <c r="O240" s="103"/>
      <c r="P240" s="103"/>
      <c r="Q240" s="103"/>
      <c r="R240" s="103"/>
      <c r="S240" s="103"/>
      <c r="T240" s="103"/>
      <c r="U240" s="103"/>
      <c r="V240" s="103"/>
      <c r="W240" s="103"/>
      <c r="X240" s="103"/>
      <c r="Y240" s="103"/>
      <c r="Z240" s="103"/>
      <c r="AA240" s="103"/>
    </row>
    <row r="241" spans="1:27" ht="15.75" customHeight="1">
      <c r="A241" s="103"/>
      <c r="B241" s="103"/>
      <c r="C241" s="103"/>
      <c r="D241" s="103"/>
      <c r="E241" s="103"/>
      <c r="F241" s="124"/>
      <c r="G241" s="124"/>
      <c r="H241" s="103"/>
      <c r="I241" s="103"/>
      <c r="J241" s="103"/>
      <c r="K241" s="103"/>
      <c r="L241" s="103"/>
      <c r="M241" s="103"/>
      <c r="N241" s="103"/>
      <c r="O241" s="103"/>
      <c r="P241" s="103"/>
      <c r="Q241" s="103"/>
      <c r="R241" s="103"/>
      <c r="S241" s="103"/>
      <c r="T241" s="103"/>
      <c r="U241" s="103"/>
      <c r="V241" s="103"/>
      <c r="W241" s="103"/>
      <c r="X241" s="103"/>
      <c r="Y241" s="103"/>
      <c r="Z241" s="103"/>
      <c r="AA241" s="103"/>
    </row>
    <row r="242" spans="1:27" ht="15.75" customHeight="1">
      <c r="A242" s="103"/>
      <c r="B242" s="103"/>
      <c r="C242" s="103"/>
      <c r="D242" s="103"/>
      <c r="E242" s="103"/>
      <c r="F242" s="124"/>
      <c r="G242" s="124"/>
      <c r="H242" s="103"/>
      <c r="I242" s="103"/>
      <c r="J242" s="103"/>
      <c r="K242" s="103"/>
      <c r="L242" s="103"/>
      <c r="M242" s="103"/>
      <c r="N242" s="103"/>
      <c r="O242" s="103"/>
      <c r="P242" s="103"/>
      <c r="Q242" s="103"/>
      <c r="R242" s="103"/>
      <c r="S242" s="103"/>
      <c r="T242" s="103"/>
      <c r="U242" s="103"/>
      <c r="V242" s="103"/>
      <c r="W242" s="103"/>
      <c r="X242" s="103"/>
      <c r="Y242" s="103"/>
      <c r="Z242" s="103"/>
      <c r="AA242" s="103"/>
    </row>
    <row r="243" spans="1:27" ht="15.75" customHeight="1">
      <c r="A243" s="103"/>
      <c r="B243" s="103"/>
      <c r="C243" s="103"/>
      <c r="D243" s="103"/>
      <c r="E243" s="103"/>
      <c r="F243" s="124"/>
      <c r="G243" s="124"/>
      <c r="H243" s="103"/>
      <c r="I243" s="103"/>
      <c r="J243" s="103"/>
      <c r="K243" s="103"/>
      <c r="L243" s="103"/>
      <c r="M243" s="103"/>
      <c r="N243" s="103"/>
      <c r="O243" s="103"/>
      <c r="P243" s="103"/>
      <c r="Q243" s="103"/>
      <c r="R243" s="103"/>
      <c r="S243" s="103"/>
      <c r="T243" s="103"/>
      <c r="U243" s="103"/>
      <c r="V243" s="103"/>
      <c r="W243" s="103"/>
      <c r="X243" s="103"/>
      <c r="Y243" s="103"/>
      <c r="Z243" s="103"/>
      <c r="AA243" s="103"/>
    </row>
    <row r="244" spans="1:27" ht="15.75" customHeight="1">
      <c r="A244" s="103"/>
      <c r="B244" s="103"/>
      <c r="C244" s="103"/>
      <c r="D244" s="103"/>
      <c r="E244" s="103"/>
      <c r="F244" s="124"/>
      <c r="G244" s="124"/>
      <c r="H244" s="103"/>
      <c r="I244" s="103"/>
      <c r="J244" s="103"/>
      <c r="K244" s="103"/>
      <c r="L244" s="103"/>
      <c r="M244" s="103"/>
      <c r="N244" s="103"/>
      <c r="O244" s="103"/>
      <c r="P244" s="103"/>
      <c r="Q244" s="103"/>
      <c r="R244" s="103"/>
      <c r="S244" s="103"/>
      <c r="T244" s="103"/>
      <c r="U244" s="103"/>
      <c r="V244" s="103"/>
      <c r="W244" s="103"/>
      <c r="X244" s="103"/>
      <c r="Y244" s="103"/>
      <c r="Z244" s="103"/>
      <c r="AA244" s="103"/>
    </row>
    <row r="245" spans="1:27" ht="15.75" customHeight="1">
      <c r="A245" s="103"/>
      <c r="B245" s="103"/>
      <c r="C245" s="103"/>
      <c r="D245" s="103"/>
      <c r="E245" s="103"/>
      <c r="F245" s="124"/>
      <c r="G245" s="124"/>
      <c r="H245" s="103"/>
      <c r="I245" s="103"/>
      <c r="J245" s="103"/>
      <c r="K245" s="103"/>
      <c r="L245" s="103"/>
      <c r="M245" s="103"/>
      <c r="N245" s="103"/>
      <c r="O245" s="103"/>
      <c r="P245" s="103"/>
      <c r="Q245" s="103"/>
      <c r="R245" s="103"/>
      <c r="S245" s="103"/>
      <c r="T245" s="103"/>
      <c r="U245" s="103"/>
      <c r="V245" s="103"/>
      <c r="W245" s="103"/>
      <c r="X245" s="103"/>
      <c r="Y245" s="103"/>
      <c r="Z245" s="103"/>
      <c r="AA245" s="103"/>
    </row>
    <row r="246" spans="1:27" ht="15.75" customHeight="1">
      <c r="A246" s="103"/>
      <c r="B246" s="103"/>
      <c r="C246" s="103"/>
      <c r="D246" s="103"/>
      <c r="E246" s="103"/>
      <c r="F246" s="124"/>
      <c r="G246" s="124"/>
      <c r="H246" s="103"/>
      <c r="I246" s="103"/>
      <c r="J246" s="103"/>
      <c r="K246" s="103"/>
      <c r="L246" s="103"/>
      <c r="M246" s="103"/>
      <c r="N246" s="103"/>
      <c r="O246" s="103"/>
      <c r="P246" s="103"/>
      <c r="Q246" s="103"/>
      <c r="R246" s="103"/>
      <c r="S246" s="103"/>
      <c r="T246" s="103"/>
      <c r="U246" s="103"/>
      <c r="V246" s="103"/>
      <c r="W246" s="103"/>
      <c r="X246" s="103"/>
      <c r="Y246" s="103"/>
      <c r="Z246" s="103"/>
      <c r="AA246" s="103"/>
    </row>
    <row r="247" spans="1:27" ht="15.75" customHeight="1">
      <c r="A247" s="103"/>
      <c r="B247" s="103"/>
      <c r="C247" s="103"/>
      <c r="D247" s="103"/>
      <c r="E247" s="103"/>
      <c r="F247" s="124"/>
      <c r="G247" s="124"/>
      <c r="H247" s="103"/>
      <c r="I247" s="103"/>
      <c r="J247" s="103"/>
      <c r="K247" s="103"/>
      <c r="L247" s="103"/>
      <c r="M247" s="103"/>
      <c r="N247" s="103"/>
      <c r="O247" s="103"/>
      <c r="P247" s="103"/>
      <c r="Q247" s="103"/>
      <c r="R247" s="103"/>
      <c r="S247" s="103"/>
      <c r="T247" s="103"/>
      <c r="U247" s="103"/>
      <c r="V247" s="103"/>
      <c r="W247" s="103"/>
      <c r="X247" s="103"/>
      <c r="Y247" s="103"/>
      <c r="Z247" s="103"/>
      <c r="AA247" s="103"/>
    </row>
    <row r="248" spans="1:27" ht="15.75" customHeight="1">
      <c r="A248" s="103"/>
      <c r="B248" s="103"/>
      <c r="C248" s="103"/>
      <c r="D248" s="103"/>
      <c r="E248" s="103"/>
      <c r="F248" s="124"/>
      <c r="G248" s="124"/>
      <c r="H248" s="103"/>
      <c r="I248" s="103"/>
      <c r="J248" s="103"/>
      <c r="K248" s="103"/>
      <c r="L248" s="103"/>
      <c r="M248" s="103"/>
      <c r="N248" s="103"/>
      <c r="O248" s="103"/>
      <c r="P248" s="103"/>
      <c r="Q248" s="103"/>
      <c r="R248" s="103"/>
      <c r="S248" s="103"/>
      <c r="T248" s="103"/>
      <c r="U248" s="103"/>
      <c r="V248" s="103"/>
      <c r="W248" s="103"/>
      <c r="X248" s="103"/>
      <c r="Y248" s="103"/>
      <c r="Z248" s="103"/>
      <c r="AA248" s="103"/>
    </row>
    <row r="249" spans="1:27" ht="15.75" customHeight="1">
      <c r="A249" s="103"/>
      <c r="B249" s="103"/>
      <c r="C249" s="103"/>
      <c r="D249" s="103"/>
      <c r="E249" s="103"/>
      <c r="F249" s="124"/>
      <c r="G249" s="124"/>
      <c r="H249" s="103"/>
      <c r="I249" s="103"/>
      <c r="J249" s="103"/>
      <c r="K249" s="103"/>
      <c r="L249" s="103"/>
      <c r="M249" s="103"/>
      <c r="N249" s="103"/>
      <c r="O249" s="103"/>
      <c r="P249" s="103"/>
      <c r="Q249" s="103"/>
      <c r="R249" s="103"/>
      <c r="S249" s="103"/>
      <c r="T249" s="103"/>
      <c r="U249" s="103"/>
      <c r="V249" s="103"/>
      <c r="W249" s="103"/>
      <c r="X249" s="103"/>
      <c r="Y249" s="103"/>
      <c r="Z249" s="103"/>
      <c r="AA249" s="103"/>
    </row>
    <row r="250" spans="1:27" ht="15.75" customHeight="1">
      <c r="A250" s="103"/>
      <c r="B250" s="103"/>
      <c r="C250" s="103"/>
      <c r="D250" s="103"/>
      <c r="E250" s="103"/>
      <c r="F250" s="124"/>
      <c r="G250" s="124"/>
      <c r="H250" s="103"/>
      <c r="I250" s="103"/>
      <c r="J250" s="103"/>
      <c r="K250" s="103"/>
      <c r="L250" s="103"/>
      <c r="M250" s="103"/>
      <c r="N250" s="103"/>
      <c r="O250" s="103"/>
      <c r="P250" s="103"/>
      <c r="Q250" s="103"/>
      <c r="R250" s="103"/>
      <c r="S250" s="103"/>
      <c r="T250" s="103"/>
      <c r="U250" s="103"/>
      <c r="V250" s="103"/>
      <c r="W250" s="103"/>
      <c r="X250" s="103"/>
      <c r="Y250" s="103"/>
      <c r="Z250" s="103"/>
      <c r="AA250" s="103"/>
    </row>
    <row r="251" spans="1:27" ht="15.75" customHeight="1">
      <c r="A251" s="103"/>
      <c r="B251" s="103"/>
      <c r="C251" s="103"/>
      <c r="D251" s="103"/>
      <c r="E251" s="103"/>
      <c r="F251" s="124"/>
      <c r="G251" s="124"/>
      <c r="H251" s="103"/>
      <c r="I251" s="103"/>
      <c r="J251" s="103"/>
      <c r="K251" s="103"/>
      <c r="L251" s="103"/>
      <c r="M251" s="103"/>
      <c r="N251" s="103"/>
      <c r="O251" s="103"/>
      <c r="P251" s="103"/>
      <c r="Q251" s="103"/>
      <c r="R251" s="103"/>
      <c r="S251" s="103"/>
      <c r="T251" s="103"/>
      <c r="U251" s="103"/>
      <c r="V251" s="103"/>
      <c r="W251" s="103"/>
      <c r="X251" s="103"/>
      <c r="Y251" s="103"/>
      <c r="Z251" s="103"/>
      <c r="AA251" s="103"/>
    </row>
    <row r="252" spans="1:27" ht="15.75" customHeight="1">
      <c r="A252" s="103"/>
      <c r="B252" s="103"/>
      <c r="C252" s="103"/>
      <c r="D252" s="103"/>
      <c r="E252" s="103"/>
      <c r="F252" s="124"/>
      <c r="G252" s="124"/>
      <c r="H252" s="103"/>
      <c r="I252" s="103"/>
      <c r="J252" s="103"/>
      <c r="K252" s="103"/>
      <c r="L252" s="103"/>
      <c r="M252" s="103"/>
      <c r="N252" s="103"/>
      <c r="O252" s="103"/>
      <c r="P252" s="103"/>
      <c r="Q252" s="103"/>
      <c r="R252" s="103"/>
      <c r="S252" s="103"/>
      <c r="T252" s="103"/>
      <c r="U252" s="103"/>
      <c r="V252" s="103"/>
      <c r="W252" s="103"/>
      <c r="X252" s="103"/>
      <c r="Y252" s="103"/>
      <c r="Z252" s="103"/>
      <c r="AA252" s="103"/>
    </row>
    <row r="253" spans="1:27" ht="15.75" customHeight="1">
      <c r="A253" s="103"/>
      <c r="B253" s="103"/>
      <c r="C253" s="103"/>
      <c r="D253" s="103"/>
      <c r="E253" s="103"/>
      <c r="F253" s="124"/>
      <c r="G253" s="124"/>
      <c r="H253" s="103"/>
      <c r="I253" s="103"/>
      <c r="J253" s="103"/>
      <c r="K253" s="103"/>
      <c r="L253" s="103"/>
      <c r="M253" s="103"/>
      <c r="N253" s="103"/>
      <c r="O253" s="103"/>
      <c r="P253" s="103"/>
      <c r="Q253" s="103"/>
      <c r="R253" s="103"/>
      <c r="S253" s="103"/>
      <c r="T253" s="103"/>
      <c r="U253" s="103"/>
      <c r="V253" s="103"/>
      <c r="W253" s="103"/>
      <c r="X253" s="103"/>
      <c r="Y253" s="103"/>
      <c r="Z253" s="103"/>
      <c r="AA253" s="103"/>
    </row>
    <row r="254" spans="1:27" ht="15.75" customHeight="1">
      <c r="A254" s="103"/>
      <c r="B254" s="103"/>
      <c r="C254" s="103"/>
      <c r="D254" s="103"/>
      <c r="E254" s="103"/>
      <c r="F254" s="124"/>
      <c r="G254" s="124"/>
      <c r="H254" s="103"/>
      <c r="I254" s="103"/>
      <c r="J254" s="103"/>
      <c r="K254" s="103"/>
      <c r="L254" s="103"/>
      <c r="M254" s="103"/>
      <c r="N254" s="103"/>
      <c r="O254" s="103"/>
      <c r="P254" s="103"/>
      <c r="Q254" s="103"/>
      <c r="R254" s="103"/>
      <c r="S254" s="103"/>
      <c r="T254" s="103"/>
      <c r="U254" s="103"/>
      <c r="V254" s="103"/>
      <c r="W254" s="103"/>
      <c r="X254" s="103"/>
      <c r="Y254" s="103"/>
      <c r="Z254" s="103"/>
      <c r="AA254" s="103"/>
    </row>
    <row r="255" spans="1:27" ht="15.75" customHeight="1">
      <c r="A255" s="103"/>
      <c r="B255" s="103"/>
      <c r="C255" s="103"/>
      <c r="D255" s="103"/>
      <c r="E255" s="103"/>
      <c r="F255" s="124"/>
      <c r="G255" s="124"/>
      <c r="H255" s="103"/>
      <c r="I255" s="103"/>
      <c r="J255" s="103"/>
      <c r="K255" s="103"/>
      <c r="L255" s="103"/>
      <c r="M255" s="103"/>
      <c r="N255" s="103"/>
      <c r="O255" s="103"/>
      <c r="P255" s="103"/>
      <c r="Q255" s="103"/>
      <c r="R255" s="103"/>
      <c r="S255" s="103"/>
      <c r="T255" s="103"/>
      <c r="U255" s="103"/>
      <c r="V255" s="103"/>
      <c r="W255" s="103"/>
      <c r="X255" s="103"/>
      <c r="Y255" s="103"/>
      <c r="Z255" s="103"/>
      <c r="AA255" s="103"/>
    </row>
    <row r="256" spans="1:27" ht="15.75" customHeight="1">
      <c r="A256" s="103"/>
      <c r="B256" s="103"/>
      <c r="C256" s="103"/>
      <c r="D256" s="103"/>
      <c r="E256" s="103"/>
      <c r="F256" s="124"/>
      <c r="G256" s="124"/>
      <c r="H256" s="103"/>
      <c r="I256" s="103"/>
      <c r="J256" s="103"/>
      <c r="K256" s="103"/>
      <c r="L256" s="103"/>
      <c r="M256" s="103"/>
      <c r="N256" s="103"/>
      <c r="O256" s="103"/>
      <c r="P256" s="103"/>
      <c r="Q256" s="103"/>
      <c r="R256" s="103"/>
      <c r="S256" s="103"/>
      <c r="T256" s="103"/>
      <c r="U256" s="103"/>
      <c r="V256" s="103"/>
      <c r="W256" s="103"/>
      <c r="X256" s="103"/>
      <c r="Y256" s="103"/>
      <c r="Z256" s="103"/>
      <c r="AA256" s="103"/>
    </row>
    <row r="257" spans="1:27" ht="15.75" customHeight="1">
      <c r="A257" s="103"/>
      <c r="B257" s="103"/>
      <c r="C257" s="103"/>
      <c r="D257" s="103"/>
      <c r="E257" s="103"/>
      <c r="F257" s="124"/>
      <c r="G257" s="124"/>
      <c r="H257" s="103"/>
      <c r="I257" s="103"/>
      <c r="J257" s="103"/>
      <c r="K257" s="103"/>
      <c r="L257" s="103"/>
      <c r="M257" s="103"/>
      <c r="N257" s="103"/>
      <c r="O257" s="103"/>
      <c r="P257" s="103"/>
      <c r="Q257" s="103"/>
      <c r="R257" s="103"/>
      <c r="S257" s="103"/>
      <c r="T257" s="103"/>
      <c r="U257" s="103"/>
      <c r="V257" s="103"/>
      <c r="W257" s="103"/>
      <c r="X257" s="103"/>
      <c r="Y257" s="103"/>
      <c r="Z257" s="103"/>
      <c r="AA257" s="103"/>
    </row>
    <row r="258" spans="1:27" ht="15.75" customHeight="1">
      <c r="A258" s="103"/>
      <c r="B258" s="103"/>
      <c r="C258" s="103"/>
      <c r="D258" s="103"/>
      <c r="E258" s="103"/>
      <c r="F258" s="124"/>
      <c r="G258" s="124"/>
      <c r="H258" s="103"/>
      <c r="I258" s="103"/>
      <c r="J258" s="103"/>
      <c r="K258" s="103"/>
      <c r="L258" s="103"/>
      <c r="M258" s="103"/>
      <c r="N258" s="103"/>
      <c r="O258" s="103"/>
      <c r="P258" s="103"/>
      <c r="Q258" s="103"/>
      <c r="R258" s="103"/>
      <c r="S258" s="103"/>
      <c r="T258" s="103"/>
      <c r="U258" s="103"/>
      <c r="V258" s="103"/>
      <c r="W258" s="103"/>
      <c r="X258" s="103"/>
      <c r="Y258" s="103"/>
      <c r="Z258" s="103"/>
      <c r="AA258" s="103"/>
    </row>
    <row r="259" spans="1:27" ht="15.75" customHeight="1">
      <c r="A259" s="103"/>
      <c r="B259" s="103"/>
      <c r="C259" s="103"/>
      <c r="D259" s="103"/>
      <c r="E259" s="103"/>
      <c r="F259" s="124"/>
      <c r="G259" s="124"/>
      <c r="H259" s="103"/>
      <c r="I259" s="103"/>
      <c r="J259" s="103"/>
      <c r="K259" s="103"/>
      <c r="L259" s="103"/>
      <c r="M259" s="103"/>
      <c r="N259" s="103"/>
      <c r="O259" s="103"/>
      <c r="P259" s="103"/>
      <c r="Q259" s="103"/>
      <c r="R259" s="103"/>
      <c r="S259" s="103"/>
      <c r="T259" s="103"/>
      <c r="U259" s="103"/>
      <c r="V259" s="103"/>
      <c r="W259" s="103"/>
      <c r="X259" s="103"/>
      <c r="Y259" s="103"/>
      <c r="Z259" s="103"/>
      <c r="AA259" s="103"/>
    </row>
    <row r="260" spans="1:27" ht="15.75" customHeight="1">
      <c r="A260" s="103"/>
      <c r="B260" s="103"/>
      <c r="C260" s="103"/>
      <c r="D260" s="103"/>
      <c r="E260" s="103"/>
      <c r="F260" s="124"/>
      <c r="G260" s="124"/>
      <c r="H260" s="103"/>
      <c r="I260" s="103"/>
      <c r="J260" s="103"/>
      <c r="K260" s="103"/>
      <c r="L260" s="103"/>
      <c r="M260" s="103"/>
      <c r="N260" s="103"/>
      <c r="O260" s="103"/>
      <c r="P260" s="103"/>
      <c r="Q260" s="103"/>
      <c r="R260" s="103"/>
      <c r="S260" s="103"/>
      <c r="T260" s="103"/>
      <c r="U260" s="103"/>
      <c r="V260" s="103"/>
      <c r="W260" s="103"/>
      <c r="X260" s="103"/>
      <c r="Y260" s="103"/>
      <c r="Z260" s="103"/>
      <c r="AA260" s="103"/>
    </row>
    <row r="261" spans="1:27" ht="15.75" customHeight="1">
      <c r="A261" s="103"/>
      <c r="B261" s="103"/>
      <c r="C261" s="103"/>
      <c r="D261" s="103"/>
      <c r="E261" s="103"/>
      <c r="F261" s="124"/>
      <c r="G261" s="124"/>
      <c r="H261" s="103"/>
      <c r="I261" s="103"/>
      <c r="J261" s="103"/>
      <c r="K261" s="103"/>
      <c r="L261" s="103"/>
      <c r="M261" s="103"/>
      <c r="N261" s="103"/>
      <c r="O261" s="103"/>
      <c r="P261" s="103"/>
      <c r="Q261" s="103"/>
      <c r="R261" s="103"/>
      <c r="S261" s="103"/>
      <c r="T261" s="103"/>
      <c r="U261" s="103"/>
      <c r="V261" s="103"/>
      <c r="W261" s="103"/>
      <c r="X261" s="103"/>
      <c r="Y261" s="103"/>
      <c r="Z261" s="103"/>
      <c r="AA261" s="103"/>
    </row>
    <row r="262" spans="1:27" ht="15.75" customHeight="1">
      <c r="A262" s="103"/>
      <c r="B262" s="103"/>
      <c r="C262" s="103"/>
      <c r="D262" s="103"/>
      <c r="E262" s="103"/>
      <c r="F262" s="124"/>
      <c r="G262" s="124"/>
      <c r="H262" s="103"/>
      <c r="I262" s="103"/>
      <c r="J262" s="103"/>
      <c r="K262" s="103"/>
      <c r="L262" s="103"/>
      <c r="M262" s="103"/>
      <c r="N262" s="103"/>
      <c r="O262" s="103"/>
      <c r="P262" s="103"/>
      <c r="Q262" s="103"/>
      <c r="R262" s="103"/>
      <c r="S262" s="103"/>
      <c r="T262" s="103"/>
      <c r="U262" s="103"/>
      <c r="V262" s="103"/>
      <c r="W262" s="103"/>
      <c r="X262" s="103"/>
      <c r="Y262" s="103"/>
      <c r="Z262" s="103"/>
      <c r="AA262" s="103"/>
    </row>
    <row r="263" spans="1:27" ht="15.75" customHeight="1">
      <c r="A263" s="103"/>
      <c r="B263" s="103"/>
      <c r="C263" s="103"/>
      <c r="D263" s="103"/>
      <c r="E263" s="103"/>
      <c r="F263" s="124"/>
      <c r="G263" s="124"/>
      <c r="H263" s="103"/>
      <c r="I263" s="103"/>
      <c r="J263" s="103"/>
      <c r="K263" s="103"/>
      <c r="L263" s="103"/>
      <c r="M263" s="103"/>
      <c r="N263" s="103"/>
      <c r="O263" s="103"/>
      <c r="P263" s="103"/>
      <c r="Q263" s="103"/>
      <c r="R263" s="103"/>
      <c r="S263" s="103"/>
      <c r="T263" s="103"/>
      <c r="U263" s="103"/>
      <c r="V263" s="103"/>
      <c r="W263" s="103"/>
      <c r="X263" s="103"/>
      <c r="Y263" s="103"/>
      <c r="Z263" s="103"/>
      <c r="AA263" s="103"/>
    </row>
    <row r="264" spans="1:27" ht="15.75" customHeight="1">
      <c r="A264" s="103"/>
      <c r="B264" s="103"/>
      <c r="C264" s="103"/>
      <c r="D264" s="103"/>
      <c r="E264" s="103"/>
      <c r="F264" s="124"/>
      <c r="G264" s="124"/>
      <c r="H264" s="103"/>
      <c r="I264" s="103"/>
      <c r="J264" s="103"/>
      <c r="K264" s="103"/>
      <c r="L264" s="103"/>
      <c r="M264" s="103"/>
      <c r="N264" s="103"/>
      <c r="O264" s="103"/>
      <c r="P264" s="103"/>
      <c r="Q264" s="103"/>
      <c r="R264" s="103"/>
      <c r="S264" s="103"/>
      <c r="T264" s="103"/>
      <c r="U264" s="103"/>
      <c r="V264" s="103"/>
      <c r="W264" s="103"/>
      <c r="X264" s="103"/>
      <c r="Y264" s="103"/>
      <c r="Z264" s="103"/>
      <c r="AA264" s="103"/>
    </row>
    <row r="265" spans="1:27" ht="15.75" customHeight="1">
      <c r="A265" s="103"/>
      <c r="B265" s="103"/>
      <c r="C265" s="103"/>
      <c r="D265" s="103"/>
      <c r="E265" s="103"/>
      <c r="F265" s="124"/>
      <c r="G265" s="124"/>
      <c r="H265" s="103"/>
      <c r="I265" s="103"/>
      <c r="J265" s="103"/>
      <c r="K265" s="103"/>
      <c r="L265" s="103"/>
      <c r="M265" s="103"/>
      <c r="N265" s="103"/>
      <c r="O265" s="103"/>
      <c r="P265" s="103"/>
      <c r="Q265" s="103"/>
      <c r="R265" s="103"/>
      <c r="S265" s="103"/>
      <c r="T265" s="103"/>
      <c r="U265" s="103"/>
      <c r="V265" s="103"/>
      <c r="W265" s="103"/>
      <c r="X265" s="103"/>
      <c r="Y265" s="103"/>
      <c r="Z265" s="103"/>
      <c r="AA265" s="103"/>
    </row>
    <row r="266" spans="1:27" ht="15.75" customHeight="1">
      <c r="A266" s="103"/>
      <c r="B266" s="103"/>
      <c r="C266" s="103"/>
      <c r="D266" s="103"/>
      <c r="E266" s="103"/>
      <c r="F266" s="124"/>
      <c r="G266" s="124"/>
      <c r="H266" s="103"/>
      <c r="I266" s="103"/>
      <c r="J266" s="103"/>
      <c r="K266" s="103"/>
      <c r="L266" s="103"/>
      <c r="M266" s="103"/>
      <c r="N266" s="103"/>
      <c r="O266" s="103"/>
      <c r="P266" s="103"/>
      <c r="Q266" s="103"/>
      <c r="R266" s="103"/>
      <c r="S266" s="103"/>
      <c r="T266" s="103"/>
      <c r="U266" s="103"/>
      <c r="V266" s="103"/>
      <c r="W266" s="103"/>
      <c r="X266" s="103"/>
      <c r="Y266" s="103"/>
      <c r="Z266" s="103"/>
      <c r="AA266" s="103"/>
    </row>
    <row r="267" spans="1:27" ht="15.75" customHeight="1">
      <c r="A267" s="103"/>
      <c r="B267" s="103"/>
      <c r="C267" s="103"/>
      <c r="D267" s="103"/>
      <c r="E267" s="103"/>
      <c r="F267" s="124"/>
      <c r="G267" s="124"/>
      <c r="H267" s="103"/>
      <c r="I267" s="103"/>
      <c r="J267" s="103"/>
      <c r="K267" s="103"/>
      <c r="L267" s="103"/>
      <c r="M267" s="103"/>
      <c r="N267" s="103"/>
      <c r="O267" s="103"/>
      <c r="P267" s="103"/>
      <c r="Q267" s="103"/>
      <c r="R267" s="103"/>
      <c r="S267" s="103"/>
      <c r="T267" s="103"/>
      <c r="U267" s="103"/>
      <c r="V267" s="103"/>
      <c r="W267" s="103"/>
      <c r="X267" s="103"/>
      <c r="Y267" s="103"/>
      <c r="Z267" s="103"/>
      <c r="AA267" s="103"/>
    </row>
    <row r="268" spans="1:27" ht="15.75" customHeight="1">
      <c r="A268" s="103"/>
      <c r="B268" s="103"/>
      <c r="C268" s="103"/>
      <c r="D268" s="103"/>
      <c r="E268" s="103"/>
      <c r="F268" s="124"/>
      <c r="G268" s="124"/>
      <c r="H268" s="103"/>
      <c r="I268" s="103"/>
      <c r="J268" s="103"/>
      <c r="K268" s="103"/>
      <c r="L268" s="103"/>
      <c r="M268" s="103"/>
      <c r="N268" s="103"/>
      <c r="O268" s="103"/>
      <c r="P268" s="103"/>
      <c r="Q268" s="103"/>
      <c r="R268" s="103"/>
      <c r="S268" s="103"/>
      <c r="T268" s="103"/>
      <c r="U268" s="103"/>
      <c r="V268" s="103"/>
      <c r="W268" s="103"/>
      <c r="X268" s="103"/>
      <c r="Y268" s="103"/>
      <c r="Z268" s="103"/>
      <c r="AA268" s="103"/>
    </row>
    <row r="269" spans="1:27" ht="15.75" customHeight="1">
      <c r="A269" s="103"/>
      <c r="B269" s="103"/>
      <c r="C269" s="103"/>
      <c r="D269" s="103"/>
      <c r="E269" s="103"/>
      <c r="F269" s="124"/>
      <c r="G269" s="124"/>
      <c r="H269" s="103"/>
      <c r="I269" s="103"/>
      <c r="J269" s="103"/>
      <c r="K269" s="103"/>
      <c r="L269" s="103"/>
      <c r="M269" s="103"/>
      <c r="N269" s="103"/>
      <c r="O269" s="103"/>
      <c r="P269" s="103"/>
      <c r="Q269" s="103"/>
      <c r="R269" s="103"/>
      <c r="S269" s="103"/>
      <c r="T269" s="103"/>
      <c r="U269" s="103"/>
      <c r="V269" s="103"/>
      <c r="W269" s="103"/>
      <c r="X269" s="103"/>
      <c r="Y269" s="103"/>
      <c r="Z269" s="103"/>
      <c r="AA269" s="103"/>
    </row>
    <row r="270" spans="1:27" ht="15.75" customHeight="1">
      <c r="A270" s="103"/>
      <c r="B270" s="103"/>
      <c r="C270" s="103"/>
      <c r="D270" s="103"/>
      <c r="E270" s="103"/>
      <c r="F270" s="124"/>
      <c r="G270" s="124"/>
      <c r="H270" s="103"/>
      <c r="I270" s="103"/>
      <c r="J270" s="103"/>
      <c r="K270" s="103"/>
      <c r="L270" s="103"/>
      <c r="M270" s="103"/>
      <c r="N270" s="103"/>
      <c r="O270" s="103"/>
      <c r="P270" s="103"/>
      <c r="Q270" s="103"/>
      <c r="R270" s="103"/>
      <c r="S270" s="103"/>
      <c r="T270" s="103"/>
      <c r="U270" s="103"/>
      <c r="V270" s="103"/>
      <c r="W270" s="103"/>
      <c r="X270" s="103"/>
      <c r="Y270" s="103"/>
      <c r="Z270" s="103"/>
      <c r="AA270" s="103"/>
    </row>
    <row r="271" spans="1:27" ht="15.75" customHeight="1">
      <c r="A271" s="103"/>
      <c r="B271" s="103"/>
      <c r="C271" s="103"/>
      <c r="D271" s="103"/>
      <c r="E271" s="103"/>
      <c r="F271" s="124"/>
      <c r="G271" s="124"/>
      <c r="H271" s="103"/>
      <c r="I271" s="103"/>
      <c r="J271" s="103"/>
      <c r="K271" s="103"/>
      <c r="L271" s="103"/>
      <c r="M271" s="103"/>
      <c r="N271" s="103"/>
      <c r="O271" s="103"/>
      <c r="P271" s="103"/>
      <c r="Q271" s="103"/>
      <c r="R271" s="103"/>
      <c r="S271" s="103"/>
      <c r="T271" s="103"/>
      <c r="U271" s="103"/>
      <c r="V271" s="103"/>
      <c r="W271" s="103"/>
      <c r="X271" s="103"/>
      <c r="Y271" s="103"/>
      <c r="Z271" s="103"/>
      <c r="AA271" s="103"/>
    </row>
    <row r="272" spans="1:27" ht="15.75" customHeight="1">
      <c r="A272" s="103"/>
      <c r="B272" s="103"/>
      <c r="C272" s="103"/>
      <c r="D272" s="103"/>
      <c r="E272" s="103"/>
      <c r="F272" s="124"/>
      <c r="G272" s="124"/>
      <c r="H272" s="103"/>
      <c r="I272" s="103"/>
      <c r="J272" s="103"/>
      <c r="K272" s="103"/>
      <c r="L272" s="103"/>
      <c r="M272" s="103"/>
      <c r="N272" s="103"/>
      <c r="O272" s="103"/>
      <c r="P272" s="103"/>
      <c r="Q272" s="103"/>
      <c r="R272" s="103"/>
      <c r="S272" s="103"/>
      <c r="T272" s="103"/>
      <c r="U272" s="103"/>
      <c r="V272" s="103"/>
      <c r="W272" s="103"/>
      <c r="X272" s="103"/>
      <c r="Y272" s="103"/>
      <c r="Z272" s="103"/>
      <c r="AA272" s="103"/>
    </row>
    <row r="273" spans="1:27" ht="15.75" customHeight="1">
      <c r="A273" s="103"/>
      <c r="B273" s="103"/>
      <c r="C273" s="103"/>
      <c r="D273" s="103"/>
      <c r="E273" s="103"/>
      <c r="F273" s="124"/>
      <c r="G273" s="124"/>
      <c r="H273" s="103"/>
      <c r="I273" s="103"/>
      <c r="J273" s="103"/>
      <c r="K273" s="103"/>
      <c r="L273" s="103"/>
      <c r="M273" s="103"/>
      <c r="N273" s="103"/>
      <c r="O273" s="103"/>
      <c r="P273" s="103"/>
      <c r="Q273" s="103"/>
      <c r="R273" s="103"/>
      <c r="S273" s="103"/>
      <c r="T273" s="103"/>
      <c r="U273" s="103"/>
      <c r="V273" s="103"/>
      <c r="W273" s="103"/>
      <c r="X273" s="103"/>
      <c r="Y273" s="103"/>
      <c r="Z273" s="103"/>
      <c r="AA273" s="103"/>
    </row>
    <row r="274" spans="1:27" ht="15.75" customHeight="1">
      <c r="A274" s="103"/>
      <c r="B274" s="103"/>
      <c r="C274" s="103"/>
      <c r="D274" s="103"/>
      <c r="E274" s="103"/>
      <c r="F274" s="124"/>
      <c r="G274" s="124"/>
      <c r="H274" s="103"/>
      <c r="I274" s="103"/>
      <c r="J274" s="103"/>
      <c r="K274" s="103"/>
      <c r="L274" s="103"/>
      <c r="M274" s="103"/>
      <c r="N274" s="103"/>
      <c r="O274" s="103"/>
      <c r="P274" s="103"/>
      <c r="Q274" s="103"/>
      <c r="R274" s="103"/>
      <c r="S274" s="103"/>
      <c r="T274" s="103"/>
      <c r="U274" s="103"/>
      <c r="V274" s="103"/>
      <c r="W274" s="103"/>
      <c r="X274" s="103"/>
      <c r="Y274" s="103"/>
      <c r="Z274" s="103"/>
      <c r="AA274" s="103"/>
    </row>
    <row r="275" spans="1:27" ht="15.75" customHeight="1">
      <c r="A275" s="103"/>
      <c r="B275" s="103"/>
      <c r="C275" s="103"/>
      <c r="D275" s="103"/>
      <c r="E275" s="103"/>
      <c r="F275" s="124"/>
      <c r="G275" s="124"/>
      <c r="H275" s="103"/>
      <c r="I275" s="103"/>
      <c r="J275" s="103"/>
      <c r="K275" s="103"/>
      <c r="L275" s="103"/>
      <c r="M275" s="103"/>
      <c r="N275" s="103"/>
      <c r="O275" s="103"/>
      <c r="P275" s="103"/>
      <c r="Q275" s="103"/>
      <c r="R275" s="103"/>
      <c r="S275" s="103"/>
      <c r="T275" s="103"/>
      <c r="U275" s="103"/>
      <c r="V275" s="103"/>
      <c r="W275" s="103"/>
      <c r="X275" s="103"/>
      <c r="Y275" s="103"/>
      <c r="Z275" s="103"/>
      <c r="AA275" s="103"/>
    </row>
    <row r="276" spans="1:27" ht="15.75" customHeight="1">
      <c r="A276" s="103"/>
      <c r="B276" s="103"/>
      <c r="C276" s="103"/>
      <c r="D276" s="103"/>
      <c r="E276" s="103"/>
      <c r="F276" s="124"/>
      <c r="G276" s="124"/>
      <c r="H276" s="103"/>
      <c r="I276" s="103"/>
      <c r="J276" s="103"/>
      <c r="K276" s="103"/>
      <c r="L276" s="103"/>
      <c r="M276" s="103"/>
      <c r="N276" s="103"/>
      <c r="O276" s="103"/>
      <c r="P276" s="103"/>
      <c r="Q276" s="103"/>
      <c r="R276" s="103"/>
      <c r="S276" s="103"/>
      <c r="T276" s="103"/>
      <c r="U276" s="103"/>
      <c r="V276" s="103"/>
      <c r="W276" s="103"/>
      <c r="X276" s="103"/>
      <c r="Y276" s="103"/>
      <c r="Z276" s="103"/>
      <c r="AA276" s="103"/>
    </row>
    <row r="277" spans="1:27" ht="15.75" customHeight="1">
      <c r="A277" s="103"/>
      <c r="B277" s="103"/>
      <c r="C277" s="103"/>
      <c r="D277" s="103"/>
      <c r="E277" s="103"/>
      <c r="F277" s="124"/>
      <c r="G277" s="124"/>
      <c r="H277" s="103"/>
      <c r="I277" s="103"/>
      <c r="J277" s="103"/>
      <c r="K277" s="103"/>
      <c r="L277" s="103"/>
      <c r="M277" s="103"/>
      <c r="N277" s="103"/>
      <c r="O277" s="103"/>
      <c r="P277" s="103"/>
      <c r="Q277" s="103"/>
      <c r="R277" s="103"/>
      <c r="S277" s="103"/>
      <c r="T277" s="103"/>
      <c r="U277" s="103"/>
      <c r="V277" s="103"/>
      <c r="W277" s="103"/>
      <c r="X277" s="103"/>
      <c r="Y277" s="103"/>
      <c r="Z277" s="103"/>
      <c r="AA277" s="103"/>
    </row>
    <row r="278" spans="1:27" ht="15.75" customHeight="1">
      <c r="A278" s="103"/>
      <c r="B278" s="103"/>
      <c r="C278" s="103"/>
      <c r="D278" s="103"/>
      <c r="E278" s="103"/>
      <c r="F278" s="124"/>
      <c r="G278" s="124"/>
      <c r="H278" s="103"/>
      <c r="I278" s="103"/>
      <c r="J278" s="103"/>
      <c r="K278" s="103"/>
      <c r="L278" s="103"/>
      <c r="M278" s="103"/>
      <c r="N278" s="103"/>
      <c r="O278" s="103"/>
      <c r="P278" s="103"/>
      <c r="Q278" s="103"/>
      <c r="R278" s="103"/>
      <c r="S278" s="103"/>
      <c r="T278" s="103"/>
      <c r="U278" s="103"/>
      <c r="V278" s="103"/>
      <c r="W278" s="103"/>
      <c r="X278" s="103"/>
      <c r="Y278" s="103"/>
      <c r="Z278" s="103"/>
      <c r="AA278" s="103"/>
    </row>
    <row r="279" spans="1:27" ht="15.75" customHeight="1">
      <c r="A279" s="103"/>
      <c r="B279" s="103"/>
      <c r="C279" s="103"/>
      <c r="D279" s="103"/>
      <c r="E279" s="103"/>
      <c r="F279" s="124"/>
      <c r="G279" s="124"/>
      <c r="H279" s="103"/>
      <c r="I279" s="103"/>
      <c r="J279" s="103"/>
      <c r="K279" s="103"/>
      <c r="L279" s="103"/>
      <c r="M279" s="103"/>
      <c r="N279" s="103"/>
      <c r="O279" s="103"/>
      <c r="P279" s="103"/>
      <c r="Q279" s="103"/>
      <c r="R279" s="103"/>
      <c r="S279" s="103"/>
      <c r="T279" s="103"/>
      <c r="U279" s="103"/>
      <c r="V279" s="103"/>
      <c r="W279" s="103"/>
      <c r="X279" s="103"/>
      <c r="Y279" s="103"/>
      <c r="Z279" s="103"/>
      <c r="AA279" s="103"/>
    </row>
    <row r="280" spans="1:27" ht="15.75" customHeight="1">
      <c r="A280" s="103"/>
      <c r="B280" s="103"/>
      <c r="C280" s="103"/>
      <c r="D280" s="103"/>
      <c r="E280" s="103"/>
      <c r="F280" s="124"/>
      <c r="G280" s="124"/>
      <c r="H280" s="103"/>
      <c r="I280" s="103"/>
      <c r="J280" s="103"/>
      <c r="K280" s="103"/>
      <c r="L280" s="103"/>
      <c r="M280" s="103"/>
      <c r="N280" s="103"/>
      <c r="O280" s="103"/>
      <c r="P280" s="103"/>
      <c r="Q280" s="103"/>
      <c r="R280" s="103"/>
      <c r="S280" s="103"/>
      <c r="T280" s="103"/>
      <c r="U280" s="103"/>
      <c r="V280" s="103"/>
      <c r="W280" s="103"/>
      <c r="X280" s="103"/>
      <c r="Y280" s="103"/>
      <c r="Z280" s="103"/>
      <c r="AA280" s="103"/>
    </row>
    <row r="281" spans="1:27" ht="15.75" customHeight="1">
      <c r="A281" s="103"/>
      <c r="B281" s="103"/>
      <c r="C281" s="103"/>
      <c r="D281" s="103"/>
      <c r="E281" s="103"/>
      <c r="F281" s="124"/>
      <c r="G281" s="124"/>
      <c r="H281" s="103"/>
      <c r="I281" s="103"/>
      <c r="J281" s="103"/>
      <c r="K281" s="103"/>
      <c r="L281" s="103"/>
      <c r="M281" s="103"/>
      <c r="N281" s="103"/>
      <c r="O281" s="103"/>
      <c r="P281" s="103"/>
      <c r="Q281" s="103"/>
      <c r="R281" s="103"/>
      <c r="S281" s="103"/>
      <c r="T281" s="103"/>
      <c r="U281" s="103"/>
      <c r="V281" s="103"/>
      <c r="W281" s="103"/>
      <c r="X281" s="103"/>
      <c r="Y281" s="103"/>
      <c r="Z281" s="103"/>
      <c r="AA281" s="103"/>
    </row>
    <row r="282" spans="1:27" ht="15.75" customHeight="1">
      <c r="A282" s="103"/>
      <c r="B282" s="103"/>
      <c r="C282" s="103"/>
      <c r="D282" s="103"/>
      <c r="E282" s="103"/>
      <c r="F282" s="124"/>
      <c r="G282" s="124"/>
      <c r="H282" s="103"/>
      <c r="I282" s="103"/>
      <c r="J282" s="103"/>
      <c r="K282" s="103"/>
      <c r="L282" s="103"/>
      <c r="M282" s="103"/>
      <c r="N282" s="103"/>
      <c r="O282" s="103"/>
      <c r="P282" s="103"/>
      <c r="Q282" s="103"/>
      <c r="R282" s="103"/>
      <c r="S282" s="103"/>
      <c r="T282" s="103"/>
      <c r="U282" s="103"/>
      <c r="V282" s="103"/>
      <c r="W282" s="103"/>
      <c r="X282" s="103"/>
      <c r="Y282" s="103"/>
      <c r="Z282" s="103"/>
      <c r="AA282" s="103"/>
    </row>
    <row r="283" spans="1:27" ht="15.75" customHeight="1">
      <c r="A283" s="103"/>
      <c r="B283" s="103"/>
      <c r="C283" s="103"/>
      <c r="D283" s="103"/>
      <c r="E283" s="103"/>
      <c r="F283" s="124"/>
      <c r="G283" s="124"/>
      <c r="H283" s="103"/>
      <c r="I283" s="103"/>
      <c r="J283" s="103"/>
      <c r="K283" s="103"/>
      <c r="L283" s="103"/>
      <c r="M283" s="103"/>
      <c r="N283" s="103"/>
      <c r="O283" s="103"/>
      <c r="P283" s="103"/>
      <c r="Q283" s="103"/>
      <c r="R283" s="103"/>
      <c r="S283" s="103"/>
      <c r="T283" s="103"/>
      <c r="U283" s="103"/>
      <c r="V283" s="103"/>
      <c r="W283" s="103"/>
      <c r="X283" s="103"/>
      <c r="Y283" s="103"/>
      <c r="Z283" s="103"/>
      <c r="AA283" s="103"/>
    </row>
    <row r="284" spans="1:27" ht="15.75" customHeight="1">
      <c r="A284" s="103"/>
      <c r="B284" s="103"/>
      <c r="C284" s="103"/>
      <c r="D284" s="103"/>
      <c r="E284" s="103"/>
      <c r="F284" s="124"/>
      <c r="G284" s="124"/>
      <c r="H284" s="103"/>
      <c r="I284" s="103"/>
      <c r="J284" s="103"/>
      <c r="K284" s="103"/>
      <c r="L284" s="103"/>
      <c r="M284" s="103"/>
      <c r="N284" s="103"/>
      <c r="O284" s="103"/>
      <c r="P284" s="103"/>
      <c r="Q284" s="103"/>
      <c r="R284" s="103"/>
      <c r="S284" s="103"/>
      <c r="T284" s="103"/>
      <c r="U284" s="103"/>
      <c r="V284" s="103"/>
      <c r="W284" s="103"/>
      <c r="X284" s="103"/>
      <c r="Y284" s="103"/>
      <c r="Z284" s="103"/>
      <c r="AA284" s="103"/>
    </row>
    <row r="285" spans="1:27" ht="15.75" customHeight="1">
      <c r="A285" s="103"/>
      <c r="B285" s="103"/>
      <c r="C285" s="103"/>
      <c r="D285" s="103"/>
      <c r="E285" s="103"/>
      <c r="F285" s="124"/>
      <c r="G285" s="124"/>
      <c r="H285" s="103"/>
      <c r="I285" s="103"/>
      <c r="J285" s="103"/>
      <c r="K285" s="103"/>
      <c r="L285" s="103"/>
      <c r="M285" s="103"/>
      <c r="N285" s="103"/>
      <c r="O285" s="103"/>
      <c r="P285" s="103"/>
      <c r="Q285" s="103"/>
      <c r="R285" s="103"/>
      <c r="S285" s="103"/>
      <c r="T285" s="103"/>
      <c r="U285" s="103"/>
      <c r="V285" s="103"/>
      <c r="W285" s="103"/>
      <c r="X285" s="103"/>
      <c r="Y285" s="103"/>
      <c r="Z285" s="103"/>
      <c r="AA285" s="103"/>
    </row>
    <row r="286" spans="1:27" ht="15.75" customHeight="1">
      <c r="A286" s="103"/>
      <c r="B286" s="103"/>
      <c r="C286" s="103"/>
      <c r="D286" s="103"/>
      <c r="E286" s="103"/>
      <c r="F286" s="124"/>
      <c r="G286" s="124"/>
      <c r="H286" s="103"/>
      <c r="I286" s="103"/>
      <c r="J286" s="103"/>
      <c r="K286" s="103"/>
      <c r="L286" s="103"/>
      <c r="M286" s="103"/>
      <c r="N286" s="103"/>
      <c r="O286" s="103"/>
      <c r="P286" s="103"/>
      <c r="Q286" s="103"/>
      <c r="R286" s="103"/>
      <c r="S286" s="103"/>
      <c r="T286" s="103"/>
      <c r="U286" s="103"/>
      <c r="V286" s="103"/>
      <c r="W286" s="103"/>
      <c r="X286" s="103"/>
      <c r="Y286" s="103"/>
      <c r="Z286" s="103"/>
      <c r="AA286" s="103"/>
    </row>
    <row r="287" spans="1:27" ht="15.75" customHeight="1">
      <c r="A287" s="103"/>
      <c r="B287" s="103"/>
      <c r="C287" s="103"/>
      <c r="D287" s="103"/>
      <c r="E287" s="103"/>
      <c r="F287" s="124"/>
      <c r="G287" s="124"/>
      <c r="H287" s="103"/>
      <c r="I287" s="103"/>
      <c r="J287" s="103"/>
      <c r="K287" s="103"/>
      <c r="L287" s="103"/>
      <c r="M287" s="103"/>
      <c r="N287" s="103"/>
      <c r="O287" s="103"/>
      <c r="P287" s="103"/>
      <c r="Q287" s="103"/>
      <c r="R287" s="103"/>
      <c r="S287" s="103"/>
      <c r="T287" s="103"/>
      <c r="U287" s="103"/>
      <c r="V287" s="103"/>
      <c r="W287" s="103"/>
      <c r="X287" s="103"/>
      <c r="Y287" s="103"/>
      <c r="Z287" s="103"/>
      <c r="AA287" s="103"/>
    </row>
    <row r="288" spans="1:27" ht="15.75" customHeight="1">
      <c r="A288" s="103"/>
      <c r="B288" s="103"/>
      <c r="C288" s="103"/>
      <c r="D288" s="103"/>
      <c r="E288" s="103"/>
      <c r="F288" s="124"/>
      <c r="G288" s="124"/>
      <c r="H288" s="103"/>
      <c r="I288" s="103"/>
      <c r="J288" s="103"/>
      <c r="K288" s="103"/>
      <c r="L288" s="103"/>
      <c r="M288" s="103"/>
      <c r="N288" s="103"/>
      <c r="O288" s="103"/>
      <c r="P288" s="103"/>
      <c r="Q288" s="103"/>
      <c r="R288" s="103"/>
      <c r="S288" s="103"/>
      <c r="T288" s="103"/>
      <c r="U288" s="103"/>
      <c r="V288" s="103"/>
      <c r="W288" s="103"/>
      <c r="X288" s="103"/>
      <c r="Y288" s="103"/>
      <c r="Z288" s="103"/>
      <c r="AA288" s="103"/>
    </row>
    <row r="289" spans="1:27" ht="15.75" customHeight="1">
      <c r="A289" s="103"/>
      <c r="B289" s="103"/>
      <c r="C289" s="103"/>
      <c r="D289" s="103"/>
      <c r="E289" s="103"/>
      <c r="F289" s="124"/>
      <c r="G289" s="124"/>
      <c r="H289" s="103"/>
      <c r="I289" s="103"/>
      <c r="J289" s="103"/>
      <c r="K289" s="103"/>
      <c r="L289" s="103"/>
      <c r="M289" s="103"/>
      <c r="N289" s="103"/>
      <c r="O289" s="103"/>
      <c r="P289" s="103"/>
      <c r="Q289" s="103"/>
      <c r="R289" s="103"/>
      <c r="S289" s="103"/>
      <c r="T289" s="103"/>
      <c r="U289" s="103"/>
      <c r="V289" s="103"/>
      <c r="W289" s="103"/>
      <c r="X289" s="103"/>
      <c r="Y289" s="103"/>
      <c r="Z289" s="103"/>
      <c r="AA289" s="103"/>
    </row>
    <row r="290" spans="1:27" ht="15.75" customHeight="1">
      <c r="A290" s="103"/>
      <c r="B290" s="103"/>
      <c r="C290" s="103"/>
      <c r="D290" s="103"/>
      <c r="E290" s="103"/>
      <c r="F290" s="124"/>
      <c r="G290" s="124"/>
      <c r="H290" s="103"/>
      <c r="I290" s="103"/>
      <c r="J290" s="103"/>
      <c r="K290" s="103"/>
      <c r="L290" s="103"/>
      <c r="M290" s="103"/>
      <c r="N290" s="103"/>
      <c r="O290" s="103"/>
      <c r="P290" s="103"/>
      <c r="Q290" s="103"/>
      <c r="R290" s="103"/>
      <c r="S290" s="103"/>
      <c r="T290" s="103"/>
      <c r="U290" s="103"/>
      <c r="V290" s="103"/>
      <c r="W290" s="103"/>
      <c r="X290" s="103"/>
      <c r="Y290" s="103"/>
      <c r="Z290" s="103"/>
      <c r="AA290" s="103"/>
    </row>
    <row r="291" spans="1:27" ht="15.75" customHeight="1">
      <c r="A291" s="103"/>
      <c r="B291" s="103"/>
      <c r="C291" s="103"/>
      <c r="D291" s="103"/>
      <c r="E291" s="103"/>
      <c r="F291" s="124"/>
      <c r="G291" s="124"/>
      <c r="H291" s="103"/>
      <c r="I291" s="103"/>
      <c r="J291" s="103"/>
      <c r="K291" s="103"/>
      <c r="L291" s="103"/>
      <c r="M291" s="103"/>
      <c r="N291" s="103"/>
      <c r="O291" s="103"/>
      <c r="P291" s="103"/>
      <c r="Q291" s="103"/>
      <c r="R291" s="103"/>
      <c r="S291" s="103"/>
      <c r="T291" s="103"/>
      <c r="U291" s="103"/>
      <c r="V291" s="103"/>
      <c r="W291" s="103"/>
      <c r="X291" s="103"/>
      <c r="Y291" s="103"/>
      <c r="Z291" s="103"/>
      <c r="AA291" s="103"/>
    </row>
    <row r="292" spans="1:27" ht="15.75" customHeight="1">
      <c r="A292" s="103"/>
      <c r="B292" s="103"/>
      <c r="C292" s="103"/>
      <c r="D292" s="103"/>
      <c r="E292" s="103"/>
      <c r="F292" s="124"/>
      <c r="G292" s="124"/>
      <c r="H292" s="103"/>
      <c r="I292" s="103"/>
      <c r="J292" s="103"/>
      <c r="K292" s="103"/>
      <c r="L292" s="103"/>
      <c r="M292" s="103"/>
      <c r="N292" s="103"/>
      <c r="O292" s="103"/>
      <c r="P292" s="103"/>
      <c r="Q292" s="103"/>
      <c r="R292" s="103"/>
      <c r="S292" s="103"/>
      <c r="T292" s="103"/>
      <c r="U292" s="103"/>
      <c r="V292" s="103"/>
      <c r="W292" s="103"/>
      <c r="X292" s="103"/>
      <c r="Y292" s="103"/>
      <c r="Z292" s="103"/>
      <c r="AA292" s="103"/>
    </row>
    <row r="293" spans="1:27" ht="15.75" customHeight="1">
      <c r="A293" s="103"/>
      <c r="B293" s="103"/>
      <c r="C293" s="103"/>
      <c r="D293" s="103"/>
      <c r="E293" s="103"/>
      <c r="F293" s="124"/>
      <c r="G293" s="124"/>
      <c r="H293" s="103"/>
      <c r="I293" s="103"/>
      <c r="J293" s="103"/>
      <c r="K293" s="103"/>
      <c r="L293" s="103"/>
      <c r="M293" s="103"/>
      <c r="N293" s="103"/>
      <c r="O293" s="103"/>
      <c r="P293" s="103"/>
      <c r="Q293" s="103"/>
      <c r="R293" s="103"/>
      <c r="S293" s="103"/>
      <c r="T293" s="103"/>
      <c r="U293" s="103"/>
      <c r="V293" s="103"/>
      <c r="W293" s="103"/>
      <c r="X293" s="103"/>
      <c r="Y293" s="103"/>
      <c r="Z293" s="103"/>
      <c r="AA293" s="103"/>
    </row>
    <row r="294" spans="1:27" ht="15.75" customHeight="1">
      <c r="A294" s="103"/>
      <c r="B294" s="103"/>
      <c r="C294" s="103"/>
      <c r="D294" s="103"/>
      <c r="E294" s="103"/>
      <c r="F294" s="124"/>
      <c r="G294" s="124"/>
      <c r="H294" s="103"/>
      <c r="I294" s="103"/>
      <c r="J294" s="103"/>
      <c r="K294" s="103"/>
      <c r="L294" s="103"/>
      <c r="M294" s="103"/>
      <c r="N294" s="103"/>
      <c r="O294" s="103"/>
      <c r="P294" s="103"/>
      <c r="Q294" s="103"/>
      <c r="R294" s="103"/>
      <c r="S294" s="103"/>
      <c r="T294" s="103"/>
      <c r="U294" s="103"/>
      <c r="V294" s="103"/>
      <c r="W294" s="103"/>
      <c r="X294" s="103"/>
      <c r="Y294" s="103"/>
      <c r="Z294" s="103"/>
      <c r="AA294" s="103"/>
    </row>
    <row r="295" spans="1:27" ht="15.75" customHeight="1">
      <c r="A295" s="103"/>
      <c r="B295" s="103"/>
      <c r="C295" s="103"/>
      <c r="D295" s="103"/>
      <c r="E295" s="103"/>
      <c r="F295" s="124"/>
      <c r="G295" s="124"/>
      <c r="H295" s="103"/>
      <c r="I295" s="103"/>
      <c r="J295" s="103"/>
      <c r="K295" s="103"/>
      <c r="L295" s="103"/>
      <c r="M295" s="103"/>
      <c r="N295" s="103"/>
      <c r="O295" s="103"/>
      <c r="P295" s="103"/>
      <c r="Q295" s="103"/>
      <c r="R295" s="103"/>
      <c r="S295" s="103"/>
      <c r="T295" s="103"/>
      <c r="U295" s="103"/>
      <c r="V295" s="103"/>
      <c r="W295" s="103"/>
      <c r="X295" s="103"/>
      <c r="Y295" s="103"/>
      <c r="Z295" s="103"/>
      <c r="AA295" s="103"/>
    </row>
    <row r="296" spans="1:27" ht="15.75" customHeight="1">
      <c r="A296" s="103"/>
      <c r="B296" s="103"/>
      <c r="C296" s="103"/>
      <c r="D296" s="103"/>
      <c r="E296" s="103"/>
      <c r="F296" s="124"/>
      <c r="G296" s="124"/>
      <c r="H296" s="103"/>
      <c r="I296" s="103"/>
      <c r="J296" s="103"/>
      <c r="K296" s="103"/>
      <c r="L296" s="103"/>
      <c r="M296" s="103"/>
      <c r="N296" s="103"/>
      <c r="O296" s="103"/>
      <c r="P296" s="103"/>
      <c r="Q296" s="103"/>
      <c r="R296" s="103"/>
      <c r="S296" s="103"/>
      <c r="T296" s="103"/>
      <c r="U296" s="103"/>
      <c r="V296" s="103"/>
      <c r="W296" s="103"/>
      <c r="X296" s="103"/>
      <c r="Y296" s="103"/>
      <c r="Z296" s="103"/>
      <c r="AA296" s="103"/>
    </row>
    <row r="297" spans="1:27" ht="15.75" customHeight="1">
      <c r="A297" s="103"/>
      <c r="B297" s="103"/>
      <c r="C297" s="103"/>
      <c r="D297" s="103"/>
      <c r="E297" s="103"/>
      <c r="F297" s="124"/>
      <c r="G297" s="124"/>
      <c r="H297" s="103"/>
      <c r="I297" s="103"/>
      <c r="J297" s="103"/>
      <c r="K297" s="103"/>
      <c r="L297" s="103"/>
      <c r="M297" s="103"/>
      <c r="N297" s="103"/>
      <c r="O297" s="103"/>
      <c r="P297" s="103"/>
      <c r="Q297" s="103"/>
      <c r="R297" s="103"/>
      <c r="S297" s="103"/>
      <c r="T297" s="103"/>
      <c r="U297" s="103"/>
      <c r="V297" s="103"/>
      <c r="W297" s="103"/>
      <c r="X297" s="103"/>
      <c r="Y297" s="103"/>
      <c r="Z297" s="103"/>
      <c r="AA297" s="103"/>
    </row>
    <row r="298" spans="1:27" ht="15.75" customHeight="1">
      <c r="A298" s="103"/>
      <c r="B298" s="103"/>
      <c r="C298" s="103"/>
      <c r="D298" s="103"/>
      <c r="E298" s="103"/>
      <c r="F298" s="124"/>
      <c r="G298" s="124"/>
      <c r="H298" s="103"/>
      <c r="I298" s="103"/>
      <c r="J298" s="103"/>
      <c r="K298" s="103"/>
      <c r="L298" s="103"/>
      <c r="M298" s="103"/>
      <c r="N298" s="103"/>
      <c r="O298" s="103"/>
      <c r="P298" s="103"/>
      <c r="Q298" s="103"/>
      <c r="R298" s="103"/>
      <c r="S298" s="103"/>
      <c r="T298" s="103"/>
      <c r="U298" s="103"/>
      <c r="V298" s="103"/>
      <c r="W298" s="103"/>
      <c r="X298" s="103"/>
      <c r="Y298" s="103"/>
      <c r="Z298" s="103"/>
      <c r="AA298" s="103"/>
    </row>
    <row r="299" spans="1:27" ht="15.75" customHeight="1">
      <c r="A299" s="103"/>
      <c r="B299" s="103"/>
      <c r="C299" s="103"/>
      <c r="D299" s="103"/>
      <c r="E299" s="103"/>
      <c r="F299" s="124"/>
      <c r="G299" s="124"/>
      <c r="H299" s="103"/>
      <c r="I299" s="103"/>
      <c r="J299" s="103"/>
      <c r="K299" s="103"/>
      <c r="L299" s="103"/>
      <c r="M299" s="103"/>
      <c r="N299" s="103"/>
      <c r="O299" s="103"/>
      <c r="P299" s="103"/>
      <c r="Q299" s="103"/>
      <c r="R299" s="103"/>
      <c r="S299" s="103"/>
      <c r="T299" s="103"/>
      <c r="U299" s="103"/>
      <c r="V299" s="103"/>
      <c r="W299" s="103"/>
      <c r="X299" s="103"/>
      <c r="Y299" s="103"/>
      <c r="Z299" s="103"/>
      <c r="AA299" s="103"/>
    </row>
    <row r="300" spans="1:27" ht="15.75" customHeight="1">
      <c r="A300" s="103"/>
      <c r="B300" s="103"/>
      <c r="C300" s="103"/>
      <c r="D300" s="103"/>
      <c r="E300" s="103"/>
      <c r="F300" s="124"/>
      <c r="G300" s="124"/>
      <c r="H300" s="103"/>
      <c r="I300" s="103"/>
      <c r="J300" s="103"/>
      <c r="K300" s="103"/>
      <c r="L300" s="103"/>
      <c r="M300" s="103"/>
      <c r="N300" s="103"/>
      <c r="O300" s="103"/>
      <c r="P300" s="103"/>
      <c r="Q300" s="103"/>
      <c r="R300" s="103"/>
      <c r="S300" s="103"/>
      <c r="T300" s="103"/>
      <c r="U300" s="103"/>
      <c r="V300" s="103"/>
      <c r="W300" s="103"/>
      <c r="X300" s="103"/>
      <c r="Y300" s="103"/>
      <c r="Z300" s="103"/>
      <c r="AA300" s="103"/>
    </row>
    <row r="301" spans="1:27" ht="15.75" customHeight="1">
      <c r="A301" s="103"/>
      <c r="B301" s="103"/>
      <c r="C301" s="103"/>
      <c r="D301" s="103"/>
      <c r="E301" s="103"/>
      <c r="F301" s="124"/>
      <c r="G301" s="124"/>
      <c r="H301" s="103"/>
      <c r="I301" s="103"/>
      <c r="J301" s="103"/>
      <c r="K301" s="103"/>
      <c r="L301" s="103"/>
      <c r="M301" s="103"/>
      <c r="N301" s="103"/>
      <c r="O301" s="103"/>
      <c r="P301" s="103"/>
      <c r="Q301" s="103"/>
      <c r="R301" s="103"/>
      <c r="S301" s="103"/>
      <c r="T301" s="103"/>
      <c r="U301" s="103"/>
      <c r="V301" s="103"/>
      <c r="W301" s="103"/>
      <c r="X301" s="103"/>
      <c r="Y301" s="103"/>
      <c r="Z301" s="103"/>
      <c r="AA301" s="103"/>
    </row>
    <row r="302" spans="1:27" ht="15.75" customHeight="1">
      <c r="A302" s="103"/>
      <c r="B302" s="103"/>
      <c r="C302" s="103"/>
      <c r="D302" s="103"/>
      <c r="E302" s="103"/>
      <c r="F302" s="124"/>
      <c r="G302" s="124"/>
      <c r="H302" s="103"/>
      <c r="I302" s="103"/>
      <c r="J302" s="103"/>
      <c r="K302" s="103"/>
      <c r="L302" s="103"/>
      <c r="M302" s="103"/>
      <c r="N302" s="103"/>
      <c r="O302" s="103"/>
      <c r="P302" s="103"/>
      <c r="Q302" s="103"/>
      <c r="R302" s="103"/>
      <c r="S302" s="103"/>
      <c r="T302" s="103"/>
      <c r="U302" s="103"/>
      <c r="V302" s="103"/>
      <c r="W302" s="103"/>
      <c r="X302" s="103"/>
      <c r="Y302" s="103"/>
      <c r="Z302" s="103"/>
      <c r="AA302" s="103"/>
    </row>
    <row r="303" spans="1:27" ht="15.75" customHeight="1">
      <c r="A303" s="103"/>
      <c r="B303" s="103"/>
      <c r="C303" s="103"/>
      <c r="D303" s="103"/>
      <c r="E303" s="103"/>
      <c r="F303" s="124"/>
      <c r="G303" s="124"/>
      <c r="H303" s="103"/>
      <c r="I303" s="103"/>
      <c r="J303" s="103"/>
      <c r="K303" s="103"/>
      <c r="L303" s="103"/>
      <c r="M303" s="103"/>
      <c r="N303" s="103"/>
      <c r="O303" s="103"/>
      <c r="P303" s="103"/>
      <c r="Q303" s="103"/>
      <c r="R303" s="103"/>
      <c r="S303" s="103"/>
      <c r="T303" s="103"/>
      <c r="U303" s="103"/>
      <c r="V303" s="103"/>
      <c r="W303" s="103"/>
      <c r="X303" s="103"/>
      <c r="Y303" s="103"/>
      <c r="Z303" s="103"/>
      <c r="AA303" s="103"/>
    </row>
    <row r="304" spans="1:27" ht="15.75" customHeight="1">
      <c r="A304" s="103"/>
      <c r="B304" s="103"/>
      <c r="C304" s="103"/>
      <c r="D304" s="103"/>
      <c r="E304" s="103"/>
      <c r="F304" s="124"/>
      <c r="G304" s="124"/>
      <c r="H304" s="103"/>
      <c r="I304" s="103"/>
      <c r="J304" s="103"/>
      <c r="K304" s="103"/>
      <c r="L304" s="103"/>
      <c r="M304" s="103"/>
      <c r="N304" s="103"/>
      <c r="O304" s="103"/>
      <c r="P304" s="103"/>
      <c r="Q304" s="103"/>
      <c r="R304" s="103"/>
      <c r="S304" s="103"/>
      <c r="T304" s="103"/>
      <c r="U304" s="103"/>
      <c r="V304" s="103"/>
      <c r="W304" s="103"/>
      <c r="X304" s="103"/>
      <c r="Y304" s="103"/>
      <c r="Z304" s="103"/>
      <c r="AA304" s="103"/>
    </row>
    <row r="305" spans="1:27" ht="15.75" customHeight="1">
      <c r="A305" s="103"/>
      <c r="B305" s="103"/>
      <c r="C305" s="103"/>
      <c r="D305" s="103"/>
      <c r="E305" s="103"/>
      <c r="F305" s="124"/>
      <c r="G305" s="124"/>
      <c r="H305" s="103"/>
      <c r="I305" s="103"/>
      <c r="J305" s="103"/>
      <c r="K305" s="103"/>
      <c r="L305" s="103"/>
      <c r="M305" s="103"/>
      <c r="N305" s="103"/>
      <c r="O305" s="103"/>
      <c r="P305" s="103"/>
      <c r="Q305" s="103"/>
      <c r="R305" s="103"/>
      <c r="S305" s="103"/>
      <c r="T305" s="103"/>
      <c r="U305" s="103"/>
      <c r="V305" s="103"/>
      <c r="W305" s="103"/>
      <c r="X305" s="103"/>
      <c r="Y305" s="103"/>
      <c r="Z305" s="103"/>
      <c r="AA305" s="103"/>
    </row>
    <row r="306" spans="1:27" ht="15.75" customHeight="1">
      <c r="A306" s="103"/>
      <c r="B306" s="103"/>
      <c r="C306" s="103"/>
      <c r="D306" s="103"/>
      <c r="E306" s="103"/>
      <c r="F306" s="124"/>
      <c r="G306" s="124"/>
      <c r="H306" s="103"/>
      <c r="I306" s="103"/>
      <c r="J306" s="103"/>
      <c r="K306" s="103"/>
      <c r="L306" s="103"/>
      <c r="M306" s="103"/>
      <c r="N306" s="103"/>
      <c r="O306" s="103"/>
      <c r="P306" s="103"/>
      <c r="Q306" s="103"/>
      <c r="R306" s="103"/>
      <c r="S306" s="103"/>
      <c r="T306" s="103"/>
      <c r="U306" s="103"/>
      <c r="V306" s="103"/>
      <c r="W306" s="103"/>
      <c r="X306" s="103"/>
      <c r="Y306" s="103"/>
      <c r="Z306" s="103"/>
      <c r="AA306" s="103"/>
    </row>
    <row r="307" spans="1:27" ht="15.75" customHeight="1">
      <c r="A307" s="103"/>
      <c r="B307" s="103"/>
      <c r="C307" s="103"/>
      <c r="D307" s="103"/>
      <c r="E307" s="103"/>
      <c r="F307" s="124"/>
      <c r="G307" s="124"/>
      <c r="H307" s="103"/>
      <c r="I307" s="103"/>
      <c r="J307" s="103"/>
      <c r="K307" s="103"/>
      <c r="L307" s="103"/>
      <c r="M307" s="103"/>
      <c r="N307" s="103"/>
      <c r="O307" s="103"/>
      <c r="P307" s="103"/>
      <c r="Q307" s="103"/>
      <c r="R307" s="103"/>
      <c r="S307" s="103"/>
      <c r="T307" s="103"/>
      <c r="U307" s="103"/>
      <c r="V307" s="103"/>
      <c r="W307" s="103"/>
      <c r="X307" s="103"/>
      <c r="Y307" s="103"/>
      <c r="Z307" s="103"/>
      <c r="AA307" s="103"/>
    </row>
    <row r="308" spans="1:27" ht="15.75" customHeight="1">
      <c r="A308" s="103"/>
      <c r="B308" s="103"/>
      <c r="C308" s="103"/>
      <c r="D308" s="103"/>
      <c r="E308" s="103"/>
      <c r="F308" s="124"/>
      <c r="G308" s="124"/>
      <c r="H308" s="103"/>
      <c r="I308" s="103"/>
      <c r="J308" s="103"/>
      <c r="K308" s="103"/>
      <c r="L308" s="103"/>
      <c r="M308" s="103"/>
      <c r="N308" s="103"/>
      <c r="O308" s="103"/>
      <c r="P308" s="103"/>
      <c r="Q308" s="103"/>
      <c r="R308" s="103"/>
      <c r="S308" s="103"/>
      <c r="T308" s="103"/>
      <c r="U308" s="103"/>
      <c r="V308" s="103"/>
      <c r="W308" s="103"/>
      <c r="X308" s="103"/>
      <c r="Y308" s="103"/>
      <c r="Z308" s="103"/>
      <c r="AA308" s="103"/>
    </row>
    <row r="309" spans="1:27" ht="15.75" customHeight="1">
      <c r="A309" s="103"/>
      <c r="B309" s="103"/>
      <c r="C309" s="103"/>
      <c r="D309" s="103"/>
      <c r="E309" s="103"/>
      <c r="F309" s="124"/>
      <c r="G309" s="124"/>
      <c r="H309" s="103"/>
      <c r="I309" s="103"/>
      <c r="J309" s="103"/>
      <c r="K309" s="103"/>
      <c r="L309" s="103"/>
      <c r="M309" s="103"/>
      <c r="N309" s="103"/>
      <c r="O309" s="103"/>
      <c r="P309" s="103"/>
      <c r="Q309" s="103"/>
      <c r="R309" s="103"/>
      <c r="S309" s="103"/>
      <c r="T309" s="103"/>
      <c r="U309" s="103"/>
      <c r="V309" s="103"/>
      <c r="W309" s="103"/>
      <c r="X309" s="103"/>
      <c r="Y309" s="103"/>
      <c r="Z309" s="103"/>
      <c r="AA309" s="103"/>
    </row>
    <row r="310" spans="1:27" ht="15.75" customHeight="1">
      <c r="A310" s="103"/>
      <c r="B310" s="103"/>
      <c r="C310" s="103"/>
      <c r="D310" s="103"/>
      <c r="E310" s="103"/>
      <c r="F310" s="124"/>
      <c r="G310" s="124"/>
      <c r="H310" s="103"/>
      <c r="I310" s="103"/>
      <c r="J310" s="103"/>
      <c r="K310" s="103"/>
      <c r="L310" s="103"/>
      <c r="M310" s="103"/>
      <c r="N310" s="103"/>
      <c r="O310" s="103"/>
      <c r="P310" s="103"/>
      <c r="Q310" s="103"/>
      <c r="R310" s="103"/>
      <c r="S310" s="103"/>
      <c r="T310" s="103"/>
      <c r="U310" s="103"/>
      <c r="V310" s="103"/>
      <c r="W310" s="103"/>
      <c r="X310" s="103"/>
      <c r="Y310" s="103"/>
      <c r="Z310" s="103"/>
      <c r="AA310" s="103"/>
    </row>
    <row r="311" spans="1:27" ht="15.75" customHeight="1">
      <c r="A311" s="103"/>
      <c r="B311" s="103"/>
      <c r="C311" s="103"/>
      <c r="D311" s="103"/>
      <c r="E311" s="103"/>
      <c r="F311" s="124"/>
      <c r="G311" s="124"/>
      <c r="H311" s="103"/>
      <c r="I311" s="103"/>
      <c r="J311" s="103"/>
      <c r="K311" s="103"/>
      <c r="L311" s="103"/>
      <c r="M311" s="103"/>
      <c r="N311" s="103"/>
      <c r="O311" s="103"/>
      <c r="P311" s="103"/>
      <c r="Q311" s="103"/>
      <c r="R311" s="103"/>
      <c r="S311" s="103"/>
      <c r="T311" s="103"/>
      <c r="U311" s="103"/>
      <c r="V311" s="103"/>
      <c r="W311" s="103"/>
      <c r="X311" s="103"/>
      <c r="Y311" s="103"/>
      <c r="Z311" s="103"/>
      <c r="AA311" s="103"/>
    </row>
    <row r="312" spans="1:27" ht="15.75" customHeight="1">
      <c r="A312" s="103"/>
      <c r="B312" s="103"/>
      <c r="C312" s="103"/>
      <c r="D312" s="103"/>
      <c r="E312" s="103"/>
      <c r="F312" s="124"/>
      <c r="G312" s="124"/>
      <c r="H312" s="103"/>
      <c r="I312" s="103"/>
      <c r="J312" s="103"/>
      <c r="K312" s="103"/>
      <c r="L312" s="103"/>
      <c r="M312" s="103"/>
      <c r="N312" s="103"/>
      <c r="O312" s="103"/>
      <c r="P312" s="103"/>
      <c r="Q312" s="103"/>
      <c r="R312" s="103"/>
      <c r="S312" s="103"/>
      <c r="T312" s="103"/>
      <c r="U312" s="103"/>
      <c r="V312" s="103"/>
      <c r="W312" s="103"/>
      <c r="X312" s="103"/>
      <c r="Y312" s="103"/>
      <c r="Z312" s="103"/>
      <c r="AA312" s="103"/>
    </row>
    <row r="313" spans="1:27" ht="15.75" customHeight="1">
      <c r="A313" s="103"/>
      <c r="B313" s="103"/>
      <c r="C313" s="103"/>
      <c r="D313" s="103"/>
      <c r="E313" s="103"/>
      <c r="F313" s="124"/>
      <c r="G313" s="124"/>
      <c r="H313" s="103"/>
      <c r="I313" s="103"/>
      <c r="J313" s="103"/>
      <c r="K313" s="103"/>
      <c r="L313" s="103"/>
      <c r="M313" s="103"/>
      <c r="N313" s="103"/>
      <c r="O313" s="103"/>
      <c r="P313" s="103"/>
      <c r="Q313" s="103"/>
      <c r="R313" s="103"/>
      <c r="S313" s="103"/>
      <c r="T313" s="103"/>
      <c r="U313" s="103"/>
      <c r="V313" s="103"/>
      <c r="W313" s="103"/>
      <c r="X313" s="103"/>
      <c r="Y313" s="103"/>
      <c r="Z313" s="103"/>
      <c r="AA313" s="103"/>
    </row>
    <row r="314" spans="1:27" ht="15.75" customHeight="1">
      <c r="A314" s="103"/>
      <c r="B314" s="103"/>
      <c r="C314" s="103"/>
      <c r="D314" s="103"/>
      <c r="E314" s="103"/>
      <c r="F314" s="124"/>
      <c r="G314" s="124"/>
      <c r="H314" s="103"/>
      <c r="I314" s="103"/>
      <c r="J314" s="103"/>
      <c r="K314" s="103"/>
      <c r="L314" s="103"/>
      <c r="M314" s="103"/>
      <c r="N314" s="103"/>
      <c r="O314" s="103"/>
      <c r="P314" s="103"/>
      <c r="Q314" s="103"/>
      <c r="R314" s="103"/>
      <c r="S314" s="103"/>
      <c r="T314" s="103"/>
      <c r="U314" s="103"/>
      <c r="V314" s="103"/>
      <c r="W314" s="103"/>
      <c r="X314" s="103"/>
      <c r="Y314" s="103"/>
      <c r="Z314" s="103"/>
      <c r="AA314" s="103"/>
    </row>
    <row r="315" spans="1:27" ht="15.75" customHeight="1">
      <c r="A315" s="103"/>
      <c r="B315" s="103"/>
      <c r="C315" s="103"/>
      <c r="D315" s="103"/>
      <c r="E315" s="103"/>
      <c r="F315" s="124"/>
      <c r="G315" s="124"/>
      <c r="H315" s="103"/>
      <c r="I315" s="103"/>
      <c r="J315" s="103"/>
      <c r="K315" s="103"/>
      <c r="L315" s="103"/>
      <c r="M315" s="103"/>
      <c r="N315" s="103"/>
      <c r="O315" s="103"/>
      <c r="P315" s="103"/>
      <c r="Q315" s="103"/>
      <c r="R315" s="103"/>
      <c r="S315" s="103"/>
      <c r="T315" s="103"/>
      <c r="U315" s="103"/>
      <c r="V315" s="103"/>
      <c r="W315" s="103"/>
      <c r="X315" s="103"/>
      <c r="Y315" s="103"/>
      <c r="Z315" s="103"/>
      <c r="AA315" s="103"/>
    </row>
    <row r="316" spans="1:27" ht="15.75" customHeight="1">
      <c r="A316" s="103"/>
      <c r="B316" s="103"/>
      <c r="C316" s="103"/>
      <c r="D316" s="103"/>
      <c r="E316" s="103"/>
      <c r="F316" s="124"/>
      <c r="G316" s="124"/>
      <c r="H316" s="103"/>
      <c r="I316" s="103"/>
      <c r="J316" s="103"/>
      <c r="K316" s="103"/>
      <c r="L316" s="103"/>
      <c r="M316" s="103"/>
      <c r="N316" s="103"/>
      <c r="O316" s="103"/>
      <c r="P316" s="103"/>
      <c r="Q316" s="103"/>
      <c r="R316" s="103"/>
      <c r="S316" s="103"/>
      <c r="T316" s="103"/>
      <c r="U316" s="103"/>
      <c r="V316" s="103"/>
      <c r="W316" s="103"/>
      <c r="X316" s="103"/>
      <c r="Y316" s="103"/>
      <c r="Z316" s="103"/>
      <c r="AA316" s="103"/>
    </row>
    <row r="317" spans="1:27" ht="15.75" customHeight="1">
      <c r="A317" s="103"/>
      <c r="B317" s="103"/>
      <c r="C317" s="103"/>
      <c r="D317" s="103"/>
      <c r="E317" s="103"/>
      <c r="F317" s="124"/>
      <c r="G317" s="124"/>
      <c r="H317" s="103"/>
      <c r="I317" s="103"/>
      <c r="J317" s="103"/>
      <c r="K317" s="103"/>
      <c r="L317" s="103"/>
      <c r="M317" s="103"/>
      <c r="N317" s="103"/>
      <c r="O317" s="103"/>
      <c r="P317" s="103"/>
      <c r="Q317" s="103"/>
      <c r="R317" s="103"/>
      <c r="S317" s="103"/>
      <c r="T317" s="103"/>
      <c r="U317" s="103"/>
      <c r="V317" s="103"/>
      <c r="W317" s="103"/>
      <c r="X317" s="103"/>
      <c r="Y317" s="103"/>
      <c r="Z317" s="103"/>
      <c r="AA317" s="103"/>
    </row>
    <row r="318" spans="1:27" ht="15.75" customHeight="1">
      <c r="A318" s="103"/>
      <c r="B318" s="103"/>
      <c r="C318" s="103"/>
      <c r="D318" s="103"/>
      <c r="E318" s="103"/>
      <c r="F318" s="124"/>
      <c r="G318" s="124"/>
      <c r="H318" s="103"/>
      <c r="I318" s="103"/>
      <c r="J318" s="103"/>
      <c r="K318" s="103"/>
      <c r="L318" s="103"/>
      <c r="M318" s="103"/>
      <c r="N318" s="103"/>
      <c r="O318" s="103"/>
      <c r="P318" s="103"/>
      <c r="Q318" s="103"/>
      <c r="R318" s="103"/>
      <c r="S318" s="103"/>
      <c r="T318" s="103"/>
      <c r="U318" s="103"/>
      <c r="V318" s="103"/>
      <c r="W318" s="103"/>
      <c r="X318" s="103"/>
      <c r="Y318" s="103"/>
      <c r="Z318" s="103"/>
      <c r="AA318" s="103"/>
    </row>
    <row r="319" spans="1:27" ht="15.75" customHeight="1">
      <c r="A319" s="103"/>
      <c r="B319" s="103"/>
      <c r="C319" s="103"/>
      <c r="D319" s="103"/>
      <c r="E319" s="103"/>
      <c r="F319" s="124"/>
      <c r="G319" s="124"/>
      <c r="H319" s="103"/>
      <c r="I319" s="103"/>
      <c r="J319" s="103"/>
      <c r="K319" s="103"/>
      <c r="L319" s="103"/>
      <c r="M319" s="103"/>
      <c r="N319" s="103"/>
      <c r="O319" s="103"/>
      <c r="P319" s="103"/>
      <c r="Q319" s="103"/>
      <c r="R319" s="103"/>
      <c r="S319" s="103"/>
      <c r="T319" s="103"/>
      <c r="U319" s="103"/>
      <c r="V319" s="103"/>
      <c r="W319" s="103"/>
      <c r="X319" s="103"/>
      <c r="Y319" s="103"/>
      <c r="Z319" s="103"/>
      <c r="AA319" s="103"/>
    </row>
    <row r="320" spans="1:27" ht="15.75" customHeight="1">
      <c r="A320" s="103"/>
      <c r="B320" s="103"/>
      <c r="C320" s="103"/>
      <c r="D320" s="103"/>
      <c r="E320" s="103"/>
      <c r="F320" s="124"/>
      <c r="G320" s="124"/>
      <c r="H320" s="103"/>
      <c r="I320" s="103"/>
      <c r="J320" s="103"/>
      <c r="K320" s="103"/>
      <c r="L320" s="103"/>
      <c r="M320" s="103"/>
      <c r="N320" s="103"/>
      <c r="O320" s="103"/>
      <c r="P320" s="103"/>
      <c r="Q320" s="103"/>
      <c r="R320" s="103"/>
      <c r="S320" s="103"/>
      <c r="T320" s="103"/>
      <c r="U320" s="103"/>
      <c r="V320" s="103"/>
      <c r="W320" s="103"/>
      <c r="X320" s="103"/>
      <c r="Y320" s="103"/>
      <c r="Z320" s="103"/>
      <c r="AA320" s="103"/>
    </row>
    <row r="321" spans="1:27" ht="15.75" customHeight="1">
      <c r="A321" s="103"/>
      <c r="B321" s="103"/>
      <c r="C321" s="103"/>
      <c r="D321" s="103"/>
      <c r="E321" s="103"/>
      <c r="F321" s="124"/>
      <c r="G321" s="124"/>
      <c r="H321" s="103"/>
      <c r="I321" s="103"/>
      <c r="J321" s="103"/>
      <c r="K321" s="103"/>
      <c r="L321" s="103"/>
      <c r="M321" s="103"/>
      <c r="N321" s="103"/>
      <c r="O321" s="103"/>
      <c r="P321" s="103"/>
      <c r="Q321" s="103"/>
      <c r="R321" s="103"/>
      <c r="S321" s="103"/>
      <c r="T321" s="103"/>
      <c r="U321" s="103"/>
      <c r="V321" s="103"/>
      <c r="W321" s="103"/>
      <c r="X321" s="103"/>
      <c r="Y321" s="103"/>
      <c r="Z321" s="103"/>
      <c r="AA321" s="103"/>
    </row>
    <row r="322" spans="1:27" ht="15.75" customHeight="1">
      <c r="A322" s="103"/>
      <c r="B322" s="103"/>
      <c r="C322" s="103"/>
      <c r="D322" s="103"/>
      <c r="E322" s="103"/>
      <c r="F322" s="124"/>
      <c r="G322" s="124"/>
      <c r="H322" s="103"/>
      <c r="I322" s="103"/>
      <c r="J322" s="103"/>
      <c r="K322" s="103"/>
      <c r="L322" s="103"/>
      <c r="M322" s="103"/>
      <c r="N322" s="103"/>
      <c r="O322" s="103"/>
      <c r="P322" s="103"/>
      <c r="Q322" s="103"/>
      <c r="R322" s="103"/>
      <c r="S322" s="103"/>
      <c r="T322" s="103"/>
      <c r="U322" s="103"/>
      <c r="V322" s="103"/>
      <c r="W322" s="103"/>
      <c r="X322" s="103"/>
      <c r="Y322" s="103"/>
      <c r="Z322" s="103"/>
      <c r="AA322" s="103"/>
    </row>
    <row r="323" spans="1:27" ht="15.75" customHeight="1">
      <c r="A323" s="103"/>
      <c r="B323" s="103"/>
      <c r="C323" s="103"/>
      <c r="D323" s="103"/>
      <c r="E323" s="103"/>
      <c r="F323" s="124"/>
      <c r="G323" s="124"/>
      <c r="H323" s="103"/>
      <c r="I323" s="103"/>
      <c r="J323" s="103"/>
      <c r="K323" s="103"/>
      <c r="L323" s="103"/>
      <c r="M323" s="103"/>
      <c r="N323" s="103"/>
      <c r="O323" s="103"/>
      <c r="P323" s="103"/>
      <c r="Q323" s="103"/>
      <c r="R323" s="103"/>
      <c r="S323" s="103"/>
      <c r="T323" s="103"/>
      <c r="U323" s="103"/>
      <c r="V323" s="103"/>
      <c r="W323" s="103"/>
      <c r="X323" s="103"/>
      <c r="Y323" s="103"/>
      <c r="Z323" s="103"/>
      <c r="AA323" s="103"/>
    </row>
    <row r="324" spans="1:27" ht="15.75" customHeight="1">
      <c r="A324" s="103"/>
      <c r="B324" s="103"/>
      <c r="C324" s="103"/>
      <c r="D324" s="103"/>
      <c r="E324" s="103"/>
      <c r="F324" s="124"/>
      <c r="G324" s="124"/>
      <c r="H324" s="103"/>
      <c r="I324" s="103"/>
      <c r="J324" s="103"/>
      <c r="K324" s="103"/>
      <c r="L324" s="103"/>
      <c r="M324" s="103"/>
      <c r="N324" s="103"/>
      <c r="O324" s="103"/>
      <c r="P324" s="103"/>
      <c r="Q324" s="103"/>
      <c r="R324" s="103"/>
      <c r="S324" s="103"/>
      <c r="T324" s="103"/>
      <c r="U324" s="103"/>
      <c r="V324" s="103"/>
      <c r="W324" s="103"/>
      <c r="X324" s="103"/>
      <c r="Y324" s="103"/>
      <c r="Z324" s="103"/>
      <c r="AA324" s="103"/>
    </row>
    <row r="325" spans="1:27" ht="15.75" customHeight="1">
      <c r="A325" s="103"/>
      <c r="B325" s="103"/>
      <c r="C325" s="103"/>
      <c r="D325" s="103"/>
      <c r="E325" s="103"/>
      <c r="F325" s="124"/>
      <c r="G325" s="124"/>
      <c r="H325" s="103"/>
      <c r="I325" s="103"/>
      <c r="J325" s="103"/>
      <c r="K325" s="103"/>
      <c r="L325" s="103"/>
      <c r="M325" s="103"/>
      <c r="N325" s="103"/>
      <c r="O325" s="103"/>
      <c r="P325" s="103"/>
      <c r="Q325" s="103"/>
      <c r="R325" s="103"/>
      <c r="S325" s="103"/>
      <c r="T325" s="103"/>
      <c r="U325" s="103"/>
      <c r="V325" s="103"/>
      <c r="W325" s="103"/>
      <c r="X325" s="103"/>
      <c r="Y325" s="103"/>
      <c r="Z325" s="103"/>
      <c r="AA325" s="103"/>
    </row>
    <row r="326" spans="1:27" ht="15.75" customHeight="1">
      <c r="A326" s="103"/>
      <c r="B326" s="103"/>
      <c r="C326" s="103"/>
      <c r="D326" s="103"/>
      <c r="E326" s="103"/>
      <c r="F326" s="124"/>
      <c r="G326" s="124"/>
      <c r="H326" s="103"/>
      <c r="I326" s="103"/>
      <c r="J326" s="103"/>
      <c r="K326" s="103"/>
      <c r="L326" s="103"/>
      <c r="M326" s="103"/>
      <c r="N326" s="103"/>
      <c r="O326" s="103"/>
      <c r="P326" s="103"/>
      <c r="Q326" s="103"/>
      <c r="R326" s="103"/>
      <c r="S326" s="103"/>
      <c r="T326" s="103"/>
      <c r="U326" s="103"/>
      <c r="V326" s="103"/>
      <c r="W326" s="103"/>
      <c r="X326" s="103"/>
      <c r="Y326" s="103"/>
      <c r="Z326" s="103"/>
      <c r="AA326" s="103"/>
    </row>
    <row r="327" spans="1:27" ht="15.75" customHeight="1">
      <c r="A327" s="103"/>
      <c r="B327" s="103"/>
      <c r="C327" s="103"/>
      <c r="D327" s="103"/>
      <c r="E327" s="103"/>
      <c r="F327" s="124"/>
      <c r="G327" s="124"/>
      <c r="H327" s="103"/>
      <c r="I327" s="103"/>
      <c r="J327" s="103"/>
      <c r="K327" s="103"/>
      <c r="L327" s="103"/>
      <c r="M327" s="103"/>
      <c r="N327" s="103"/>
      <c r="O327" s="103"/>
      <c r="P327" s="103"/>
      <c r="Q327" s="103"/>
      <c r="R327" s="103"/>
      <c r="S327" s="103"/>
      <c r="T327" s="103"/>
      <c r="U327" s="103"/>
      <c r="V327" s="103"/>
      <c r="W327" s="103"/>
      <c r="X327" s="103"/>
      <c r="Y327" s="103"/>
      <c r="Z327" s="103"/>
      <c r="AA327" s="103"/>
    </row>
    <row r="328" spans="1:27" ht="15.75" customHeight="1">
      <c r="A328" s="103"/>
      <c r="B328" s="103"/>
      <c r="C328" s="103"/>
      <c r="D328" s="103"/>
      <c r="E328" s="103"/>
      <c r="F328" s="124"/>
      <c r="G328" s="124"/>
      <c r="H328" s="103"/>
      <c r="I328" s="103"/>
      <c r="J328" s="103"/>
      <c r="K328" s="103"/>
      <c r="L328" s="103"/>
      <c r="M328" s="103"/>
      <c r="N328" s="103"/>
      <c r="O328" s="103"/>
      <c r="P328" s="103"/>
      <c r="Q328" s="103"/>
      <c r="R328" s="103"/>
      <c r="S328" s="103"/>
      <c r="T328" s="103"/>
      <c r="U328" s="103"/>
      <c r="V328" s="103"/>
      <c r="W328" s="103"/>
      <c r="X328" s="103"/>
      <c r="Y328" s="103"/>
      <c r="Z328" s="103"/>
      <c r="AA328" s="103"/>
    </row>
    <row r="329" spans="1:27" ht="15.75" customHeight="1">
      <c r="A329" s="103"/>
      <c r="B329" s="103"/>
      <c r="C329" s="103"/>
      <c r="D329" s="103"/>
      <c r="E329" s="103"/>
      <c r="F329" s="124"/>
      <c r="G329" s="124"/>
      <c r="H329" s="103"/>
      <c r="I329" s="103"/>
      <c r="J329" s="103"/>
      <c r="K329" s="103"/>
      <c r="L329" s="103"/>
      <c r="M329" s="103"/>
      <c r="N329" s="103"/>
      <c r="O329" s="103"/>
      <c r="P329" s="103"/>
      <c r="Q329" s="103"/>
      <c r="R329" s="103"/>
      <c r="S329" s="103"/>
      <c r="T329" s="103"/>
      <c r="U329" s="103"/>
      <c r="V329" s="103"/>
      <c r="W329" s="103"/>
      <c r="X329" s="103"/>
      <c r="Y329" s="103"/>
      <c r="Z329" s="103"/>
      <c r="AA329" s="103"/>
    </row>
    <row r="330" spans="1:27" ht="15.75" customHeight="1">
      <c r="A330" s="103"/>
      <c r="B330" s="103"/>
      <c r="C330" s="103"/>
      <c r="D330" s="103"/>
      <c r="E330" s="103"/>
      <c r="F330" s="124"/>
      <c r="G330" s="124"/>
      <c r="H330" s="103"/>
      <c r="I330" s="103"/>
      <c r="J330" s="103"/>
      <c r="K330" s="103"/>
      <c r="L330" s="103"/>
      <c r="M330" s="103"/>
      <c r="N330" s="103"/>
      <c r="O330" s="103"/>
      <c r="P330" s="103"/>
      <c r="Q330" s="103"/>
      <c r="R330" s="103"/>
      <c r="S330" s="103"/>
      <c r="T330" s="103"/>
      <c r="U330" s="103"/>
      <c r="V330" s="103"/>
      <c r="W330" s="103"/>
      <c r="X330" s="103"/>
      <c r="Y330" s="103"/>
      <c r="Z330" s="103"/>
      <c r="AA330" s="103"/>
    </row>
    <row r="331" spans="1:27" ht="15.75" customHeight="1">
      <c r="A331" s="103"/>
      <c r="B331" s="103"/>
      <c r="C331" s="103"/>
      <c r="D331" s="103"/>
      <c r="E331" s="103"/>
      <c r="F331" s="124"/>
      <c r="G331" s="124"/>
      <c r="H331" s="103"/>
      <c r="I331" s="103"/>
      <c r="J331" s="103"/>
      <c r="K331" s="103"/>
      <c r="L331" s="103"/>
      <c r="M331" s="103"/>
      <c r="N331" s="103"/>
      <c r="O331" s="103"/>
      <c r="P331" s="103"/>
      <c r="Q331" s="103"/>
      <c r="R331" s="103"/>
      <c r="S331" s="103"/>
      <c r="T331" s="103"/>
      <c r="U331" s="103"/>
      <c r="V331" s="103"/>
      <c r="W331" s="103"/>
      <c r="X331" s="103"/>
      <c r="Y331" s="103"/>
      <c r="Z331" s="103"/>
      <c r="AA331" s="103"/>
    </row>
    <row r="332" spans="1:27" ht="15.75" customHeight="1">
      <c r="A332" s="103"/>
      <c r="B332" s="103"/>
      <c r="C332" s="103"/>
      <c r="D332" s="103"/>
      <c r="E332" s="103"/>
      <c r="F332" s="124"/>
      <c r="G332" s="124"/>
      <c r="H332" s="103"/>
      <c r="I332" s="103"/>
      <c r="J332" s="103"/>
      <c r="K332" s="103"/>
      <c r="L332" s="103"/>
      <c r="M332" s="103"/>
      <c r="N332" s="103"/>
      <c r="O332" s="103"/>
      <c r="P332" s="103"/>
      <c r="Q332" s="103"/>
      <c r="R332" s="103"/>
      <c r="S332" s="103"/>
      <c r="T332" s="103"/>
      <c r="U332" s="103"/>
      <c r="V332" s="103"/>
      <c r="W332" s="103"/>
      <c r="X332" s="103"/>
      <c r="Y332" s="103"/>
      <c r="Z332" s="103"/>
      <c r="AA332" s="103"/>
    </row>
    <row r="333" spans="1:27" ht="15.75" customHeight="1">
      <c r="A333" s="103"/>
      <c r="B333" s="103"/>
      <c r="C333" s="103"/>
      <c r="D333" s="103"/>
      <c r="E333" s="103"/>
      <c r="F333" s="124"/>
      <c r="G333" s="124"/>
      <c r="H333" s="103"/>
      <c r="I333" s="103"/>
      <c r="J333" s="103"/>
      <c r="K333" s="103"/>
      <c r="L333" s="103"/>
      <c r="M333" s="103"/>
      <c r="N333" s="103"/>
      <c r="O333" s="103"/>
      <c r="P333" s="103"/>
      <c r="Q333" s="103"/>
      <c r="R333" s="103"/>
      <c r="S333" s="103"/>
      <c r="T333" s="103"/>
      <c r="U333" s="103"/>
      <c r="V333" s="103"/>
      <c r="W333" s="103"/>
      <c r="X333" s="103"/>
      <c r="Y333" s="103"/>
      <c r="Z333" s="103"/>
      <c r="AA333" s="103"/>
    </row>
    <row r="334" spans="1:27" ht="15.75" customHeight="1">
      <c r="A334" s="103"/>
      <c r="B334" s="103"/>
      <c r="C334" s="103"/>
      <c r="D334" s="103"/>
      <c r="E334" s="103"/>
      <c r="F334" s="124"/>
      <c r="G334" s="124"/>
      <c r="H334" s="103"/>
      <c r="I334" s="103"/>
      <c r="J334" s="103"/>
      <c r="K334" s="103"/>
      <c r="L334" s="103"/>
      <c r="M334" s="103"/>
      <c r="N334" s="103"/>
      <c r="O334" s="103"/>
      <c r="P334" s="103"/>
      <c r="Q334" s="103"/>
      <c r="R334" s="103"/>
      <c r="S334" s="103"/>
      <c r="T334" s="103"/>
      <c r="U334" s="103"/>
      <c r="V334" s="103"/>
      <c r="W334" s="103"/>
      <c r="X334" s="103"/>
      <c r="Y334" s="103"/>
      <c r="Z334" s="103"/>
      <c r="AA334" s="103"/>
    </row>
    <row r="335" spans="1:27" ht="15.75" customHeight="1">
      <c r="A335" s="103"/>
      <c r="B335" s="103"/>
      <c r="C335" s="103"/>
      <c r="D335" s="103"/>
      <c r="E335" s="103"/>
      <c r="F335" s="124"/>
      <c r="G335" s="124"/>
      <c r="H335" s="103"/>
      <c r="I335" s="103"/>
      <c r="J335" s="103"/>
      <c r="K335" s="103"/>
      <c r="L335" s="103"/>
      <c r="M335" s="103"/>
      <c r="N335" s="103"/>
      <c r="O335" s="103"/>
      <c r="P335" s="103"/>
      <c r="Q335" s="103"/>
      <c r="R335" s="103"/>
      <c r="S335" s="103"/>
      <c r="T335" s="103"/>
      <c r="U335" s="103"/>
      <c r="V335" s="103"/>
      <c r="W335" s="103"/>
      <c r="X335" s="103"/>
      <c r="Y335" s="103"/>
      <c r="Z335" s="103"/>
      <c r="AA335" s="103"/>
    </row>
    <row r="336" spans="1:27" ht="15.75" customHeight="1">
      <c r="A336" s="103"/>
      <c r="B336" s="103"/>
      <c r="C336" s="103"/>
      <c r="D336" s="103"/>
      <c r="E336" s="103"/>
      <c r="F336" s="124"/>
      <c r="G336" s="124"/>
      <c r="H336" s="103"/>
      <c r="I336" s="103"/>
      <c r="J336" s="103"/>
      <c r="K336" s="103"/>
      <c r="L336" s="103"/>
      <c r="M336" s="103"/>
      <c r="N336" s="103"/>
      <c r="O336" s="103"/>
      <c r="P336" s="103"/>
      <c r="Q336" s="103"/>
      <c r="R336" s="103"/>
      <c r="S336" s="103"/>
      <c r="T336" s="103"/>
      <c r="U336" s="103"/>
      <c r="V336" s="103"/>
      <c r="W336" s="103"/>
      <c r="X336" s="103"/>
      <c r="Y336" s="103"/>
      <c r="Z336" s="103"/>
      <c r="AA336" s="103"/>
    </row>
    <row r="337" spans="1:27" ht="15.75" customHeight="1">
      <c r="A337" s="103"/>
      <c r="B337" s="103"/>
      <c r="C337" s="103"/>
      <c r="D337" s="103"/>
      <c r="E337" s="103"/>
      <c r="F337" s="124"/>
      <c r="G337" s="124"/>
      <c r="H337" s="103"/>
      <c r="I337" s="103"/>
      <c r="J337" s="103"/>
      <c r="K337" s="103"/>
      <c r="L337" s="103"/>
      <c r="M337" s="103"/>
      <c r="N337" s="103"/>
      <c r="O337" s="103"/>
      <c r="P337" s="103"/>
      <c r="Q337" s="103"/>
      <c r="R337" s="103"/>
      <c r="S337" s="103"/>
      <c r="T337" s="103"/>
      <c r="U337" s="103"/>
      <c r="V337" s="103"/>
      <c r="W337" s="103"/>
      <c r="X337" s="103"/>
      <c r="Y337" s="103"/>
      <c r="Z337" s="103"/>
      <c r="AA337" s="103"/>
    </row>
    <row r="338" spans="1:27" ht="15.75" customHeight="1">
      <c r="A338" s="103"/>
      <c r="B338" s="103"/>
      <c r="C338" s="103"/>
      <c r="D338" s="103"/>
      <c r="E338" s="103"/>
      <c r="F338" s="124"/>
      <c r="G338" s="124"/>
      <c r="H338" s="103"/>
      <c r="I338" s="103"/>
      <c r="J338" s="103"/>
      <c r="K338" s="103"/>
      <c r="L338" s="103"/>
      <c r="M338" s="103"/>
      <c r="N338" s="103"/>
      <c r="O338" s="103"/>
      <c r="P338" s="103"/>
      <c r="Q338" s="103"/>
      <c r="R338" s="103"/>
      <c r="S338" s="103"/>
      <c r="T338" s="103"/>
      <c r="U338" s="103"/>
      <c r="V338" s="103"/>
      <c r="W338" s="103"/>
      <c r="X338" s="103"/>
      <c r="Y338" s="103"/>
      <c r="Z338" s="103"/>
      <c r="AA338" s="103"/>
    </row>
    <row r="339" spans="1:27" ht="15.75" customHeight="1">
      <c r="A339" s="103"/>
      <c r="B339" s="103"/>
      <c r="C339" s="103"/>
      <c r="D339" s="103"/>
      <c r="E339" s="103"/>
      <c r="F339" s="124"/>
      <c r="G339" s="124"/>
      <c r="H339" s="103"/>
      <c r="I339" s="103"/>
      <c r="J339" s="103"/>
      <c r="K339" s="103"/>
      <c r="L339" s="103"/>
      <c r="M339" s="103"/>
      <c r="N339" s="103"/>
      <c r="O339" s="103"/>
      <c r="P339" s="103"/>
      <c r="Q339" s="103"/>
      <c r="R339" s="103"/>
      <c r="S339" s="103"/>
      <c r="T339" s="103"/>
      <c r="U339" s="103"/>
      <c r="V339" s="103"/>
      <c r="W339" s="103"/>
      <c r="X339" s="103"/>
      <c r="Y339" s="103"/>
      <c r="Z339" s="103"/>
      <c r="AA339" s="103"/>
    </row>
    <row r="340" spans="1:27" ht="15.75" customHeight="1">
      <c r="A340" s="103"/>
      <c r="B340" s="103"/>
      <c r="C340" s="103"/>
      <c r="D340" s="103"/>
      <c r="E340" s="103"/>
      <c r="F340" s="124"/>
      <c r="G340" s="124"/>
      <c r="H340" s="103"/>
      <c r="I340" s="103"/>
      <c r="J340" s="103"/>
      <c r="K340" s="103"/>
      <c r="L340" s="103"/>
      <c r="M340" s="103"/>
      <c r="N340" s="103"/>
      <c r="O340" s="103"/>
      <c r="P340" s="103"/>
      <c r="Q340" s="103"/>
      <c r="R340" s="103"/>
      <c r="S340" s="103"/>
      <c r="T340" s="103"/>
      <c r="U340" s="103"/>
      <c r="V340" s="103"/>
      <c r="W340" s="103"/>
      <c r="X340" s="103"/>
      <c r="Y340" s="103"/>
      <c r="Z340" s="103"/>
      <c r="AA340" s="103"/>
    </row>
    <row r="341" spans="1:27" ht="15.75" customHeight="1">
      <c r="A341" s="103"/>
      <c r="B341" s="103"/>
      <c r="C341" s="103"/>
      <c r="D341" s="103"/>
      <c r="E341" s="103"/>
      <c r="F341" s="124"/>
      <c r="G341" s="124"/>
      <c r="H341" s="103"/>
      <c r="I341" s="103"/>
      <c r="J341" s="103"/>
      <c r="K341" s="103"/>
      <c r="L341" s="103"/>
      <c r="M341" s="103"/>
      <c r="N341" s="103"/>
      <c r="O341" s="103"/>
      <c r="P341" s="103"/>
      <c r="Q341" s="103"/>
      <c r="R341" s="103"/>
      <c r="S341" s="103"/>
      <c r="T341" s="103"/>
      <c r="U341" s="103"/>
      <c r="V341" s="103"/>
      <c r="W341" s="103"/>
      <c r="X341" s="103"/>
      <c r="Y341" s="103"/>
      <c r="Z341" s="103"/>
      <c r="AA341" s="103"/>
    </row>
    <row r="342" spans="1:27" ht="15.75" customHeight="1">
      <c r="A342" s="103"/>
      <c r="B342" s="103"/>
      <c r="C342" s="103"/>
      <c r="D342" s="103"/>
      <c r="E342" s="103"/>
      <c r="F342" s="124"/>
      <c r="G342" s="124"/>
      <c r="H342" s="103"/>
      <c r="I342" s="103"/>
      <c r="J342" s="103"/>
      <c r="K342" s="103"/>
      <c r="L342" s="103"/>
      <c r="M342" s="103"/>
      <c r="N342" s="103"/>
      <c r="O342" s="103"/>
      <c r="P342" s="103"/>
      <c r="Q342" s="103"/>
      <c r="R342" s="103"/>
      <c r="S342" s="103"/>
      <c r="T342" s="103"/>
      <c r="U342" s="103"/>
      <c r="V342" s="103"/>
      <c r="W342" s="103"/>
      <c r="X342" s="103"/>
      <c r="Y342" s="103"/>
      <c r="Z342" s="103"/>
      <c r="AA342" s="103"/>
    </row>
    <row r="343" spans="1:27" ht="15.75" customHeight="1">
      <c r="A343" s="103"/>
      <c r="B343" s="103"/>
      <c r="C343" s="103"/>
      <c r="D343" s="103"/>
      <c r="E343" s="103"/>
      <c r="F343" s="124"/>
      <c r="G343" s="124"/>
      <c r="H343" s="103"/>
      <c r="I343" s="103"/>
      <c r="J343" s="103"/>
      <c r="K343" s="103"/>
      <c r="L343" s="103"/>
      <c r="M343" s="103"/>
      <c r="N343" s="103"/>
      <c r="O343" s="103"/>
      <c r="P343" s="103"/>
      <c r="Q343" s="103"/>
      <c r="R343" s="103"/>
      <c r="S343" s="103"/>
      <c r="T343" s="103"/>
      <c r="U343" s="103"/>
      <c r="V343" s="103"/>
      <c r="W343" s="103"/>
      <c r="X343" s="103"/>
      <c r="Y343" s="103"/>
      <c r="Z343" s="103"/>
      <c r="AA343" s="103"/>
    </row>
    <row r="344" spans="1:27" ht="15.75" customHeight="1">
      <c r="A344" s="103"/>
      <c r="B344" s="103"/>
      <c r="C344" s="103"/>
      <c r="D344" s="103"/>
      <c r="E344" s="103"/>
      <c r="F344" s="124"/>
      <c r="G344" s="124"/>
      <c r="H344" s="103"/>
      <c r="I344" s="103"/>
      <c r="J344" s="103"/>
      <c r="K344" s="103"/>
      <c r="L344" s="103"/>
      <c r="M344" s="103"/>
      <c r="N344" s="103"/>
      <c r="O344" s="103"/>
      <c r="P344" s="103"/>
      <c r="Q344" s="103"/>
      <c r="R344" s="103"/>
      <c r="S344" s="103"/>
      <c r="T344" s="103"/>
      <c r="U344" s="103"/>
      <c r="V344" s="103"/>
      <c r="W344" s="103"/>
      <c r="X344" s="103"/>
      <c r="Y344" s="103"/>
      <c r="Z344" s="103"/>
      <c r="AA344" s="103"/>
    </row>
    <row r="345" spans="1:27" ht="15.75" customHeight="1">
      <c r="A345" s="103"/>
      <c r="B345" s="103"/>
      <c r="C345" s="103"/>
      <c r="D345" s="103"/>
      <c r="E345" s="103"/>
      <c r="F345" s="124"/>
      <c r="G345" s="124"/>
      <c r="H345" s="103"/>
      <c r="I345" s="103"/>
      <c r="J345" s="103"/>
      <c r="K345" s="103"/>
      <c r="L345" s="103"/>
      <c r="M345" s="103"/>
      <c r="N345" s="103"/>
      <c r="O345" s="103"/>
      <c r="P345" s="103"/>
      <c r="Q345" s="103"/>
      <c r="R345" s="103"/>
      <c r="S345" s="103"/>
      <c r="T345" s="103"/>
      <c r="U345" s="103"/>
      <c r="V345" s="103"/>
      <c r="W345" s="103"/>
      <c r="X345" s="103"/>
      <c r="Y345" s="103"/>
      <c r="Z345" s="103"/>
      <c r="AA345" s="103"/>
    </row>
    <row r="346" spans="1:27" ht="15.75" customHeight="1">
      <c r="A346" s="103"/>
      <c r="B346" s="103"/>
      <c r="C346" s="103"/>
      <c r="D346" s="103"/>
      <c r="E346" s="103"/>
      <c r="F346" s="124"/>
      <c r="G346" s="124"/>
      <c r="H346" s="103"/>
      <c r="I346" s="103"/>
      <c r="J346" s="103"/>
      <c r="K346" s="103"/>
      <c r="L346" s="103"/>
      <c r="M346" s="103"/>
      <c r="N346" s="103"/>
      <c r="O346" s="103"/>
      <c r="P346" s="103"/>
      <c r="Q346" s="103"/>
      <c r="R346" s="103"/>
      <c r="S346" s="103"/>
      <c r="T346" s="103"/>
      <c r="U346" s="103"/>
      <c r="V346" s="103"/>
      <c r="W346" s="103"/>
      <c r="X346" s="103"/>
      <c r="Y346" s="103"/>
      <c r="Z346" s="103"/>
      <c r="AA346" s="103"/>
    </row>
    <row r="347" spans="1:27" ht="15.75" customHeight="1">
      <c r="A347" s="103"/>
      <c r="B347" s="103"/>
      <c r="C347" s="103"/>
      <c r="D347" s="103"/>
      <c r="E347" s="103"/>
      <c r="F347" s="124"/>
      <c r="G347" s="124"/>
      <c r="H347" s="103"/>
      <c r="I347" s="103"/>
      <c r="J347" s="103"/>
      <c r="K347" s="103"/>
      <c r="L347" s="103"/>
      <c r="M347" s="103"/>
      <c r="N347" s="103"/>
      <c r="O347" s="103"/>
      <c r="P347" s="103"/>
      <c r="Q347" s="103"/>
      <c r="R347" s="103"/>
      <c r="S347" s="103"/>
      <c r="T347" s="103"/>
      <c r="U347" s="103"/>
      <c r="V347" s="103"/>
      <c r="W347" s="103"/>
      <c r="X347" s="103"/>
      <c r="Y347" s="103"/>
      <c r="Z347" s="103"/>
      <c r="AA347" s="103"/>
    </row>
    <row r="348" spans="1:27" ht="15.75" customHeight="1">
      <c r="A348" s="103"/>
      <c r="B348" s="103"/>
      <c r="C348" s="103"/>
      <c r="D348" s="103"/>
      <c r="E348" s="103"/>
      <c r="F348" s="124"/>
      <c r="G348" s="124"/>
      <c r="H348" s="103"/>
      <c r="I348" s="103"/>
      <c r="J348" s="103"/>
      <c r="K348" s="103"/>
      <c r="L348" s="103"/>
      <c r="M348" s="103"/>
      <c r="N348" s="103"/>
      <c r="O348" s="103"/>
      <c r="P348" s="103"/>
      <c r="Q348" s="103"/>
      <c r="R348" s="103"/>
      <c r="S348" s="103"/>
      <c r="T348" s="103"/>
      <c r="U348" s="103"/>
      <c r="V348" s="103"/>
      <c r="W348" s="103"/>
      <c r="X348" s="103"/>
      <c r="Y348" s="103"/>
      <c r="Z348" s="103"/>
      <c r="AA348" s="103"/>
    </row>
    <row r="349" spans="1:27" ht="15.75" customHeight="1">
      <c r="A349" s="103"/>
      <c r="B349" s="103"/>
      <c r="C349" s="103"/>
      <c r="D349" s="103"/>
      <c r="E349" s="103"/>
      <c r="F349" s="124"/>
      <c r="G349" s="124"/>
      <c r="H349" s="103"/>
      <c r="I349" s="103"/>
      <c r="J349" s="103"/>
      <c r="K349" s="103"/>
      <c r="L349" s="103"/>
      <c r="M349" s="103"/>
      <c r="N349" s="103"/>
      <c r="O349" s="103"/>
      <c r="P349" s="103"/>
      <c r="Q349" s="103"/>
      <c r="R349" s="103"/>
      <c r="S349" s="103"/>
      <c r="T349" s="103"/>
      <c r="U349" s="103"/>
      <c r="V349" s="103"/>
      <c r="W349" s="103"/>
      <c r="X349" s="103"/>
      <c r="Y349" s="103"/>
      <c r="Z349" s="103"/>
      <c r="AA349" s="103"/>
    </row>
    <row r="350" spans="1:27" ht="15.75" customHeight="1">
      <c r="A350" s="103"/>
      <c r="B350" s="103"/>
      <c r="C350" s="103"/>
      <c r="D350" s="103"/>
      <c r="E350" s="103"/>
      <c r="F350" s="124"/>
      <c r="G350" s="124"/>
      <c r="H350" s="103"/>
      <c r="I350" s="103"/>
      <c r="J350" s="103"/>
      <c r="K350" s="103"/>
      <c r="L350" s="103"/>
      <c r="M350" s="103"/>
      <c r="N350" s="103"/>
      <c r="O350" s="103"/>
      <c r="P350" s="103"/>
      <c r="Q350" s="103"/>
      <c r="R350" s="103"/>
      <c r="S350" s="103"/>
      <c r="T350" s="103"/>
      <c r="U350" s="103"/>
      <c r="V350" s="103"/>
      <c r="W350" s="103"/>
      <c r="X350" s="103"/>
      <c r="Y350" s="103"/>
      <c r="Z350" s="103"/>
      <c r="AA350" s="103"/>
    </row>
    <row r="351" spans="1:27" ht="15.75" customHeight="1">
      <c r="A351" s="103"/>
      <c r="B351" s="103"/>
      <c r="C351" s="103"/>
      <c r="D351" s="103"/>
      <c r="E351" s="103"/>
      <c r="F351" s="124"/>
      <c r="G351" s="124"/>
      <c r="H351" s="103"/>
      <c r="I351" s="103"/>
      <c r="J351" s="103"/>
      <c r="K351" s="103"/>
      <c r="L351" s="103"/>
      <c r="M351" s="103"/>
      <c r="N351" s="103"/>
      <c r="O351" s="103"/>
      <c r="P351" s="103"/>
      <c r="Q351" s="103"/>
      <c r="R351" s="103"/>
      <c r="S351" s="103"/>
      <c r="T351" s="103"/>
      <c r="U351" s="103"/>
      <c r="V351" s="103"/>
      <c r="W351" s="103"/>
      <c r="X351" s="103"/>
      <c r="Y351" s="103"/>
      <c r="Z351" s="103"/>
      <c r="AA351" s="103"/>
    </row>
    <row r="352" spans="1:27" ht="15.75" customHeight="1">
      <c r="A352" s="103"/>
      <c r="B352" s="103"/>
      <c r="C352" s="103"/>
      <c r="D352" s="103"/>
      <c r="E352" s="103"/>
      <c r="F352" s="124"/>
      <c r="G352" s="124"/>
      <c r="H352" s="103"/>
      <c r="I352" s="103"/>
      <c r="J352" s="103"/>
      <c r="K352" s="103"/>
      <c r="L352" s="103"/>
      <c r="M352" s="103"/>
      <c r="N352" s="103"/>
      <c r="O352" s="103"/>
      <c r="P352" s="103"/>
      <c r="Q352" s="103"/>
      <c r="R352" s="103"/>
      <c r="S352" s="103"/>
      <c r="T352" s="103"/>
      <c r="U352" s="103"/>
      <c r="V352" s="103"/>
      <c r="W352" s="103"/>
      <c r="X352" s="103"/>
      <c r="Y352" s="103"/>
      <c r="Z352" s="103"/>
      <c r="AA352" s="103"/>
    </row>
    <row r="353" spans="1:27" ht="15.75" customHeight="1">
      <c r="A353" s="103"/>
      <c r="B353" s="103"/>
      <c r="C353" s="103"/>
      <c r="D353" s="103"/>
      <c r="E353" s="103"/>
      <c r="F353" s="124"/>
      <c r="G353" s="124"/>
      <c r="H353" s="103"/>
      <c r="I353" s="103"/>
      <c r="J353" s="103"/>
      <c r="K353" s="103"/>
      <c r="L353" s="103"/>
      <c r="M353" s="103"/>
      <c r="N353" s="103"/>
      <c r="O353" s="103"/>
      <c r="P353" s="103"/>
      <c r="Q353" s="103"/>
      <c r="R353" s="103"/>
      <c r="S353" s="103"/>
      <c r="T353" s="103"/>
      <c r="U353" s="103"/>
      <c r="V353" s="103"/>
      <c r="W353" s="103"/>
      <c r="X353" s="103"/>
      <c r="Y353" s="103"/>
      <c r="Z353" s="103"/>
      <c r="AA353" s="103"/>
    </row>
    <row r="354" spans="1:27" ht="15.75" customHeight="1">
      <c r="A354" s="103"/>
      <c r="B354" s="103"/>
      <c r="C354" s="103"/>
      <c r="D354" s="103"/>
      <c r="E354" s="103"/>
      <c r="F354" s="124"/>
      <c r="G354" s="124"/>
      <c r="H354" s="103"/>
      <c r="I354" s="103"/>
      <c r="J354" s="103"/>
      <c r="K354" s="103"/>
      <c r="L354" s="103"/>
      <c r="M354" s="103"/>
      <c r="N354" s="103"/>
      <c r="O354" s="103"/>
      <c r="P354" s="103"/>
      <c r="Q354" s="103"/>
      <c r="R354" s="103"/>
      <c r="S354" s="103"/>
      <c r="T354" s="103"/>
      <c r="U354" s="103"/>
      <c r="V354" s="103"/>
      <c r="W354" s="103"/>
      <c r="X354" s="103"/>
      <c r="Y354" s="103"/>
      <c r="Z354" s="103"/>
      <c r="AA354" s="103"/>
    </row>
    <row r="355" spans="1:27" ht="15.75" customHeight="1">
      <c r="A355" s="103"/>
      <c r="B355" s="103"/>
      <c r="C355" s="103"/>
      <c r="D355" s="103"/>
      <c r="E355" s="103"/>
      <c r="F355" s="124"/>
      <c r="G355" s="124"/>
      <c r="H355" s="103"/>
      <c r="I355" s="103"/>
      <c r="J355" s="103"/>
      <c r="K355" s="103"/>
      <c r="L355" s="103"/>
      <c r="M355" s="103"/>
      <c r="N355" s="103"/>
      <c r="O355" s="103"/>
      <c r="P355" s="103"/>
      <c r="Q355" s="103"/>
      <c r="R355" s="103"/>
      <c r="S355" s="103"/>
      <c r="T355" s="103"/>
      <c r="U355" s="103"/>
      <c r="V355" s="103"/>
      <c r="W355" s="103"/>
      <c r="X355" s="103"/>
      <c r="Y355" s="103"/>
      <c r="Z355" s="103"/>
      <c r="AA355" s="103"/>
    </row>
    <row r="356" spans="1:27" ht="15.75" customHeight="1">
      <c r="A356" s="103"/>
      <c r="B356" s="103"/>
      <c r="C356" s="103"/>
      <c r="D356" s="103"/>
      <c r="E356" s="103"/>
      <c r="F356" s="124"/>
      <c r="G356" s="124"/>
      <c r="H356" s="103"/>
      <c r="I356" s="103"/>
      <c r="J356" s="103"/>
      <c r="K356" s="103"/>
      <c r="L356" s="103"/>
      <c r="M356" s="103"/>
      <c r="N356" s="103"/>
      <c r="O356" s="103"/>
      <c r="P356" s="103"/>
      <c r="Q356" s="103"/>
      <c r="R356" s="103"/>
      <c r="S356" s="103"/>
      <c r="T356" s="103"/>
      <c r="U356" s="103"/>
      <c r="V356" s="103"/>
      <c r="W356" s="103"/>
      <c r="X356" s="103"/>
      <c r="Y356" s="103"/>
      <c r="Z356" s="103"/>
      <c r="AA356" s="103"/>
    </row>
    <row r="357" spans="1:27" ht="15.75" customHeight="1">
      <c r="A357" s="103"/>
      <c r="B357" s="103"/>
      <c r="C357" s="103"/>
      <c r="D357" s="103"/>
      <c r="E357" s="103"/>
      <c r="F357" s="124"/>
      <c r="G357" s="124"/>
      <c r="H357" s="103"/>
      <c r="I357" s="103"/>
      <c r="J357" s="103"/>
      <c r="K357" s="103"/>
      <c r="L357" s="103"/>
      <c r="M357" s="103"/>
      <c r="N357" s="103"/>
      <c r="O357" s="103"/>
      <c r="P357" s="103"/>
      <c r="Q357" s="103"/>
      <c r="R357" s="103"/>
      <c r="S357" s="103"/>
      <c r="T357" s="103"/>
      <c r="U357" s="103"/>
      <c r="V357" s="103"/>
      <c r="W357" s="103"/>
      <c r="X357" s="103"/>
      <c r="Y357" s="103"/>
      <c r="Z357" s="103"/>
      <c r="AA357" s="103"/>
    </row>
    <row r="358" spans="1:27" ht="15.75" customHeight="1">
      <c r="A358" s="103"/>
      <c r="B358" s="103"/>
      <c r="C358" s="103"/>
      <c r="D358" s="103"/>
      <c r="E358" s="103"/>
      <c r="F358" s="124"/>
      <c r="G358" s="124"/>
      <c r="H358" s="103"/>
      <c r="I358" s="103"/>
      <c r="J358" s="103"/>
      <c r="K358" s="103"/>
      <c r="L358" s="103"/>
      <c r="M358" s="103"/>
      <c r="N358" s="103"/>
      <c r="O358" s="103"/>
      <c r="P358" s="103"/>
      <c r="Q358" s="103"/>
      <c r="R358" s="103"/>
      <c r="S358" s="103"/>
      <c r="T358" s="103"/>
      <c r="U358" s="103"/>
      <c r="V358" s="103"/>
      <c r="W358" s="103"/>
      <c r="X358" s="103"/>
      <c r="Y358" s="103"/>
      <c r="Z358" s="103"/>
      <c r="AA358" s="103"/>
    </row>
    <row r="359" spans="1:27" ht="15.75" customHeight="1">
      <c r="A359" s="103"/>
      <c r="B359" s="103"/>
      <c r="C359" s="103"/>
      <c r="D359" s="103"/>
      <c r="E359" s="103"/>
      <c r="F359" s="124"/>
      <c r="G359" s="124"/>
      <c r="H359" s="103"/>
      <c r="I359" s="103"/>
      <c r="J359" s="103"/>
      <c r="K359" s="103"/>
      <c r="L359" s="103"/>
      <c r="M359" s="103"/>
      <c r="N359" s="103"/>
      <c r="O359" s="103"/>
      <c r="P359" s="103"/>
      <c r="Q359" s="103"/>
      <c r="R359" s="103"/>
      <c r="S359" s="103"/>
      <c r="T359" s="103"/>
      <c r="U359" s="103"/>
      <c r="V359" s="103"/>
      <c r="W359" s="103"/>
      <c r="X359" s="103"/>
      <c r="Y359" s="103"/>
      <c r="Z359" s="103"/>
      <c r="AA359" s="103"/>
    </row>
    <row r="360" spans="1:27" ht="15.75" customHeight="1">
      <c r="A360" s="103"/>
      <c r="B360" s="103"/>
      <c r="C360" s="103"/>
      <c r="D360" s="103"/>
      <c r="E360" s="103"/>
      <c r="F360" s="124"/>
      <c r="G360" s="124"/>
      <c r="H360" s="103"/>
      <c r="I360" s="103"/>
      <c r="J360" s="103"/>
      <c r="K360" s="103"/>
      <c r="L360" s="103"/>
      <c r="M360" s="103"/>
      <c r="N360" s="103"/>
      <c r="O360" s="103"/>
      <c r="P360" s="103"/>
      <c r="Q360" s="103"/>
      <c r="R360" s="103"/>
      <c r="S360" s="103"/>
      <c r="T360" s="103"/>
      <c r="U360" s="103"/>
      <c r="V360" s="103"/>
      <c r="W360" s="103"/>
      <c r="X360" s="103"/>
      <c r="Y360" s="103"/>
      <c r="Z360" s="103"/>
      <c r="AA360" s="103"/>
    </row>
    <row r="361" spans="1:27" ht="15.75" customHeight="1">
      <c r="A361" s="103"/>
      <c r="B361" s="103"/>
      <c r="C361" s="103"/>
      <c r="D361" s="103"/>
      <c r="E361" s="103"/>
      <c r="F361" s="124"/>
      <c r="G361" s="124"/>
      <c r="H361" s="103"/>
      <c r="I361" s="103"/>
      <c r="J361" s="103"/>
      <c r="K361" s="103"/>
      <c r="L361" s="103"/>
      <c r="M361" s="103"/>
      <c r="N361" s="103"/>
      <c r="O361" s="103"/>
      <c r="P361" s="103"/>
      <c r="Q361" s="103"/>
      <c r="R361" s="103"/>
      <c r="S361" s="103"/>
      <c r="T361" s="103"/>
      <c r="U361" s="103"/>
      <c r="V361" s="103"/>
      <c r="W361" s="103"/>
      <c r="X361" s="103"/>
      <c r="Y361" s="103"/>
      <c r="Z361" s="103"/>
      <c r="AA361" s="103"/>
    </row>
    <row r="362" spans="1:27" ht="15.75" customHeight="1">
      <c r="A362" s="103"/>
      <c r="B362" s="103"/>
      <c r="C362" s="103"/>
      <c r="D362" s="103"/>
      <c r="E362" s="103"/>
      <c r="F362" s="124"/>
      <c r="G362" s="124"/>
      <c r="H362" s="103"/>
      <c r="I362" s="103"/>
      <c r="J362" s="103"/>
      <c r="K362" s="103"/>
      <c r="L362" s="103"/>
      <c r="M362" s="103"/>
      <c r="N362" s="103"/>
      <c r="O362" s="103"/>
      <c r="P362" s="103"/>
      <c r="Q362" s="103"/>
      <c r="R362" s="103"/>
      <c r="S362" s="103"/>
      <c r="T362" s="103"/>
      <c r="U362" s="103"/>
      <c r="V362" s="103"/>
      <c r="W362" s="103"/>
      <c r="X362" s="103"/>
      <c r="Y362" s="103"/>
      <c r="Z362" s="103"/>
      <c r="AA362" s="103"/>
    </row>
    <row r="363" spans="1:27" ht="15.75" customHeight="1">
      <c r="A363" s="103"/>
      <c r="B363" s="103"/>
      <c r="C363" s="103"/>
      <c r="D363" s="103"/>
      <c r="E363" s="103"/>
      <c r="F363" s="124"/>
      <c r="G363" s="124"/>
      <c r="H363" s="103"/>
      <c r="I363" s="103"/>
      <c r="J363" s="103"/>
      <c r="K363" s="103"/>
      <c r="L363" s="103"/>
      <c r="M363" s="103"/>
      <c r="N363" s="103"/>
      <c r="O363" s="103"/>
      <c r="P363" s="103"/>
      <c r="Q363" s="103"/>
      <c r="R363" s="103"/>
      <c r="S363" s="103"/>
      <c r="T363" s="103"/>
      <c r="U363" s="103"/>
      <c r="V363" s="103"/>
      <c r="W363" s="103"/>
      <c r="X363" s="103"/>
      <c r="Y363" s="103"/>
      <c r="Z363" s="103"/>
      <c r="AA363" s="103"/>
    </row>
    <row r="364" spans="1:27" ht="15.75" customHeight="1">
      <c r="A364" s="103"/>
      <c r="B364" s="103"/>
      <c r="C364" s="103"/>
      <c r="D364" s="103"/>
      <c r="E364" s="103"/>
      <c r="F364" s="124"/>
      <c r="G364" s="124"/>
      <c r="H364" s="103"/>
      <c r="I364" s="103"/>
      <c r="J364" s="103"/>
      <c r="K364" s="103"/>
      <c r="L364" s="103"/>
      <c r="M364" s="103"/>
      <c r="N364" s="103"/>
      <c r="O364" s="103"/>
      <c r="P364" s="103"/>
      <c r="Q364" s="103"/>
      <c r="R364" s="103"/>
      <c r="S364" s="103"/>
      <c r="T364" s="103"/>
      <c r="U364" s="103"/>
      <c r="V364" s="103"/>
      <c r="W364" s="103"/>
      <c r="X364" s="103"/>
      <c r="Y364" s="103"/>
      <c r="Z364" s="103"/>
      <c r="AA364" s="103"/>
    </row>
    <row r="365" spans="1:27" ht="15.75" customHeight="1">
      <c r="A365" s="103"/>
      <c r="B365" s="103"/>
      <c r="C365" s="103"/>
      <c r="D365" s="103"/>
      <c r="E365" s="103"/>
      <c r="F365" s="124"/>
      <c r="G365" s="124"/>
      <c r="H365" s="103"/>
      <c r="I365" s="103"/>
      <c r="J365" s="103"/>
      <c r="K365" s="103"/>
      <c r="L365" s="103"/>
      <c r="M365" s="103"/>
      <c r="N365" s="103"/>
      <c r="O365" s="103"/>
      <c r="P365" s="103"/>
      <c r="Q365" s="103"/>
      <c r="R365" s="103"/>
      <c r="S365" s="103"/>
      <c r="T365" s="103"/>
      <c r="U365" s="103"/>
      <c r="V365" s="103"/>
      <c r="W365" s="103"/>
      <c r="X365" s="103"/>
      <c r="Y365" s="103"/>
      <c r="Z365" s="103"/>
      <c r="AA365" s="103"/>
    </row>
    <row r="366" spans="1:27" ht="15.75" customHeight="1">
      <c r="A366" s="103"/>
      <c r="B366" s="103"/>
      <c r="C366" s="103"/>
      <c r="D366" s="103"/>
      <c r="E366" s="103"/>
      <c r="F366" s="124"/>
      <c r="G366" s="124"/>
      <c r="H366" s="103"/>
      <c r="I366" s="103"/>
      <c r="J366" s="103"/>
      <c r="K366" s="103"/>
      <c r="L366" s="103"/>
      <c r="M366" s="103"/>
      <c r="N366" s="103"/>
      <c r="O366" s="103"/>
      <c r="P366" s="103"/>
      <c r="Q366" s="103"/>
      <c r="R366" s="103"/>
      <c r="S366" s="103"/>
      <c r="T366" s="103"/>
      <c r="U366" s="103"/>
      <c r="V366" s="103"/>
      <c r="W366" s="103"/>
      <c r="X366" s="103"/>
      <c r="Y366" s="103"/>
      <c r="Z366" s="103"/>
      <c r="AA366" s="103"/>
    </row>
    <row r="367" spans="1:27" ht="15.75" customHeight="1">
      <c r="A367" s="103"/>
      <c r="B367" s="103"/>
      <c r="C367" s="103"/>
      <c r="D367" s="103"/>
      <c r="E367" s="103"/>
      <c r="F367" s="124"/>
      <c r="G367" s="124"/>
      <c r="H367" s="103"/>
      <c r="I367" s="103"/>
      <c r="J367" s="103"/>
      <c r="K367" s="103"/>
      <c r="L367" s="103"/>
      <c r="M367" s="103"/>
      <c r="N367" s="103"/>
      <c r="O367" s="103"/>
      <c r="P367" s="103"/>
      <c r="Q367" s="103"/>
      <c r="R367" s="103"/>
      <c r="S367" s="103"/>
      <c r="T367" s="103"/>
      <c r="U367" s="103"/>
      <c r="V367" s="103"/>
      <c r="W367" s="103"/>
      <c r="X367" s="103"/>
      <c r="Y367" s="103"/>
      <c r="Z367" s="103"/>
      <c r="AA367" s="103"/>
    </row>
    <row r="368" spans="1:27" ht="15.75" customHeight="1">
      <c r="A368" s="103"/>
      <c r="B368" s="103"/>
      <c r="C368" s="103"/>
      <c r="D368" s="103"/>
      <c r="E368" s="103"/>
      <c r="F368" s="124"/>
      <c r="G368" s="124"/>
      <c r="H368" s="103"/>
      <c r="I368" s="103"/>
      <c r="J368" s="103"/>
      <c r="K368" s="103"/>
      <c r="L368" s="103"/>
      <c r="M368" s="103"/>
      <c r="N368" s="103"/>
      <c r="O368" s="103"/>
      <c r="P368" s="103"/>
      <c r="Q368" s="103"/>
      <c r="R368" s="103"/>
      <c r="S368" s="103"/>
      <c r="T368" s="103"/>
      <c r="U368" s="103"/>
      <c r="V368" s="103"/>
      <c r="W368" s="103"/>
      <c r="X368" s="103"/>
      <c r="Y368" s="103"/>
      <c r="Z368" s="103"/>
      <c r="AA368" s="103"/>
    </row>
    <row r="369" spans="1:27" ht="15.75" customHeight="1">
      <c r="A369" s="103"/>
      <c r="B369" s="103"/>
      <c r="C369" s="103"/>
      <c r="D369" s="103"/>
      <c r="E369" s="103"/>
      <c r="F369" s="124"/>
      <c r="G369" s="124"/>
      <c r="H369" s="103"/>
      <c r="I369" s="103"/>
      <c r="J369" s="103"/>
      <c r="K369" s="103"/>
      <c r="L369" s="103"/>
      <c r="M369" s="103"/>
      <c r="N369" s="103"/>
      <c r="O369" s="103"/>
      <c r="P369" s="103"/>
      <c r="Q369" s="103"/>
      <c r="R369" s="103"/>
      <c r="S369" s="103"/>
      <c r="T369" s="103"/>
      <c r="U369" s="103"/>
      <c r="V369" s="103"/>
      <c r="W369" s="103"/>
      <c r="X369" s="103"/>
      <c r="Y369" s="103"/>
      <c r="Z369" s="103"/>
      <c r="AA369" s="103"/>
    </row>
    <row r="370" spans="1:27" ht="15.75" customHeight="1">
      <c r="A370" s="103"/>
      <c r="B370" s="103"/>
      <c r="C370" s="103"/>
      <c r="D370" s="103"/>
      <c r="E370" s="103"/>
      <c r="F370" s="124"/>
      <c r="G370" s="124"/>
      <c r="H370" s="103"/>
      <c r="I370" s="103"/>
      <c r="J370" s="103"/>
      <c r="K370" s="103"/>
      <c r="L370" s="103"/>
      <c r="M370" s="103"/>
      <c r="N370" s="103"/>
      <c r="O370" s="103"/>
      <c r="P370" s="103"/>
      <c r="Q370" s="103"/>
      <c r="R370" s="103"/>
      <c r="S370" s="103"/>
      <c r="T370" s="103"/>
      <c r="U370" s="103"/>
      <c r="V370" s="103"/>
      <c r="W370" s="103"/>
      <c r="X370" s="103"/>
      <c r="Y370" s="103"/>
      <c r="Z370" s="103"/>
      <c r="AA370" s="103"/>
    </row>
    <row r="371" spans="1:27" ht="15.75" customHeight="1">
      <c r="A371" s="103"/>
      <c r="B371" s="103"/>
      <c r="C371" s="103"/>
      <c r="D371" s="103"/>
      <c r="E371" s="103"/>
      <c r="F371" s="124"/>
      <c r="G371" s="124"/>
      <c r="H371" s="103"/>
      <c r="I371" s="103"/>
      <c r="J371" s="103"/>
      <c r="K371" s="103"/>
      <c r="L371" s="103"/>
      <c r="M371" s="103"/>
      <c r="N371" s="103"/>
      <c r="O371" s="103"/>
      <c r="P371" s="103"/>
      <c r="Q371" s="103"/>
      <c r="R371" s="103"/>
      <c r="S371" s="103"/>
      <c r="T371" s="103"/>
      <c r="U371" s="103"/>
      <c r="V371" s="103"/>
      <c r="W371" s="103"/>
      <c r="X371" s="103"/>
      <c r="Y371" s="103"/>
      <c r="Z371" s="103"/>
      <c r="AA371" s="103"/>
    </row>
    <row r="372" spans="1:27" ht="15.75" customHeight="1">
      <c r="A372" s="103"/>
      <c r="B372" s="103"/>
      <c r="C372" s="103"/>
      <c r="D372" s="103"/>
      <c r="E372" s="103"/>
      <c r="F372" s="124"/>
      <c r="G372" s="124"/>
      <c r="H372" s="103"/>
      <c r="I372" s="103"/>
      <c r="J372" s="103"/>
      <c r="K372" s="103"/>
      <c r="L372" s="103"/>
      <c r="M372" s="103"/>
      <c r="N372" s="103"/>
      <c r="O372" s="103"/>
      <c r="P372" s="103"/>
      <c r="Q372" s="103"/>
      <c r="R372" s="103"/>
      <c r="S372" s="103"/>
      <c r="T372" s="103"/>
      <c r="U372" s="103"/>
      <c r="V372" s="103"/>
      <c r="W372" s="103"/>
      <c r="X372" s="103"/>
      <c r="Y372" s="103"/>
      <c r="Z372" s="103"/>
      <c r="AA372" s="103"/>
    </row>
    <row r="373" spans="1:27" ht="15.75" customHeight="1">
      <c r="A373" s="103"/>
      <c r="B373" s="103"/>
      <c r="C373" s="103"/>
      <c r="D373" s="103"/>
      <c r="E373" s="103"/>
      <c r="F373" s="124"/>
      <c r="G373" s="124"/>
      <c r="H373" s="103"/>
      <c r="I373" s="103"/>
      <c r="J373" s="103"/>
      <c r="K373" s="103"/>
      <c r="L373" s="103"/>
      <c r="M373" s="103"/>
      <c r="N373" s="103"/>
      <c r="O373" s="103"/>
      <c r="P373" s="103"/>
      <c r="Q373" s="103"/>
      <c r="R373" s="103"/>
      <c r="S373" s="103"/>
      <c r="T373" s="103"/>
      <c r="U373" s="103"/>
      <c r="V373" s="103"/>
      <c r="W373" s="103"/>
      <c r="X373" s="103"/>
      <c r="Y373" s="103"/>
      <c r="Z373" s="103"/>
      <c r="AA373" s="103"/>
    </row>
    <row r="374" spans="1:27" ht="15.75" customHeight="1">
      <c r="A374" s="103"/>
      <c r="B374" s="103"/>
      <c r="C374" s="103"/>
      <c r="D374" s="103"/>
      <c r="E374" s="103"/>
      <c r="F374" s="124"/>
      <c r="G374" s="124"/>
      <c r="H374" s="103"/>
      <c r="I374" s="103"/>
      <c r="J374" s="103"/>
      <c r="K374" s="103"/>
      <c r="L374" s="103"/>
      <c r="M374" s="103"/>
      <c r="N374" s="103"/>
      <c r="O374" s="103"/>
      <c r="P374" s="103"/>
      <c r="Q374" s="103"/>
      <c r="R374" s="103"/>
      <c r="S374" s="103"/>
      <c r="T374" s="103"/>
      <c r="U374" s="103"/>
      <c r="V374" s="103"/>
      <c r="W374" s="103"/>
      <c r="X374" s="103"/>
      <c r="Y374" s="103"/>
      <c r="Z374" s="103"/>
      <c r="AA374" s="103"/>
    </row>
    <row r="375" spans="1:27" ht="15.75" customHeight="1">
      <c r="A375" s="103"/>
      <c r="B375" s="103"/>
      <c r="C375" s="103"/>
      <c r="D375" s="103"/>
      <c r="E375" s="103"/>
      <c r="F375" s="124"/>
      <c r="G375" s="124"/>
      <c r="H375" s="103"/>
      <c r="I375" s="103"/>
      <c r="J375" s="103"/>
      <c r="K375" s="103"/>
      <c r="L375" s="103"/>
      <c r="M375" s="103"/>
      <c r="N375" s="103"/>
      <c r="O375" s="103"/>
      <c r="P375" s="103"/>
      <c r="Q375" s="103"/>
      <c r="R375" s="103"/>
      <c r="S375" s="103"/>
      <c r="T375" s="103"/>
      <c r="U375" s="103"/>
      <c r="V375" s="103"/>
      <c r="W375" s="103"/>
      <c r="X375" s="103"/>
      <c r="Y375" s="103"/>
      <c r="Z375" s="103"/>
      <c r="AA375" s="103"/>
    </row>
    <row r="376" spans="1:27" ht="15.75" customHeight="1">
      <c r="A376" s="103"/>
      <c r="B376" s="103"/>
      <c r="C376" s="103"/>
      <c r="D376" s="103"/>
      <c r="E376" s="103"/>
      <c r="F376" s="124"/>
      <c r="G376" s="124"/>
      <c r="H376" s="103"/>
      <c r="I376" s="103"/>
      <c r="J376" s="103"/>
      <c r="K376" s="103"/>
      <c r="L376" s="103"/>
      <c r="M376" s="103"/>
      <c r="N376" s="103"/>
      <c r="O376" s="103"/>
      <c r="P376" s="103"/>
      <c r="Q376" s="103"/>
      <c r="R376" s="103"/>
      <c r="S376" s="103"/>
      <c r="T376" s="103"/>
      <c r="U376" s="103"/>
      <c r="V376" s="103"/>
      <c r="W376" s="103"/>
      <c r="X376" s="103"/>
      <c r="Y376" s="103"/>
      <c r="Z376" s="103"/>
      <c r="AA376" s="103"/>
    </row>
    <row r="377" spans="1:27" ht="15.75" customHeight="1">
      <c r="A377" s="103"/>
      <c r="B377" s="103"/>
      <c r="C377" s="103"/>
      <c r="D377" s="103"/>
      <c r="E377" s="103"/>
      <c r="F377" s="124"/>
      <c r="G377" s="124"/>
      <c r="H377" s="103"/>
      <c r="I377" s="103"/>
      <c r="J377" s="103"/>
      <c r="K377" s="103"/>
      <c r="L377" s="103"/>
      <c r="M377" s="103"/>
      <c r="N377" s="103"/>
      <c r="O377" s="103"/>
      <c r="P377" s="103"/>
      <c r="Q377" s="103"/>
      <c r="R377" s="103"/>
      <c r="S377" s="103"/>
      <c r="T377" s="103"/>
      <c r="U377" s="103"/>
      <c r="V377" s="103"/>
      <c r="W377" s="103"/>
      <c r="X377" s="103"/>
      <c r="Y377" s="103"/>
      <c r="Z377" s="103"/>
      <c r="AA377" s="103"/>
    </row>
    <row r="378" spans="1:27" ht="15.75" customHeight="1">
      <c r="A378" s="103"/>
      <c r="B378" s="103"/>
      <c r="C378" s="103"/>
      <c r="D378" s="103"/>
      <c r="E378" s="103"/>
      <c r="F378" s="124"/>
      <c r="G378" s="124"/>
      <c r="H378" s="103"/>
      <c r="I378" s="103"/>
      <c r="J378" s="103"/>
      <c r="K378" s="103"/>
      <c r="L378" s="103"/>
      <c r="M378" s="103"/>
      <c r="N378" s="103"/>
      <c r="O378" s="103"/>
      <c r="P378" s="103"/>
      <c r="Q378" s="103"/>
      <c r="R378" s="103"/>
      <c r="S378" s="103"/>
      <c r="T378" s="103"/>
      <c r="U378" s="103"/>
      <c r="V378" s="103"/>
      <c r="W378" s="103"/>
      <c r="X378" s="103"/>
      <c r="Y378" s="103"/>
      <c r="Z378" s="103"/>
      <c r="AA378" s="103"/>
    </row>
    <row r="379" spans="1:27" ht="15.75" customHeight="1">
      <c r="A379" s="103"/>
      <c r="B379" s="103"/>
      <c r="C379" s="103"/>
      <c r="D379" s="103"/>
      <c r="E379" s="103"/>
      <c r="F379" s="124"/>
      <c r="G379" s="124"/>
      <c r="H379" s="103"/>
      <c r="I379" s="103"/>
      <c r="J379" s="103"/>
      <c r="K379" s="103"/>
      <c r="L379" s="103"/>
      <c r="M379" s="103"/>
      <c r="N379" s="103"/>
      <c r="O379" s="103"/>
      <c r="P379" s="103"/>
      <c r="Q379" s="103"/>
      <c r="R379" s="103"/>
      <c r="S379" s="103"/>
      <c r="T379" s="103"/>
      <c r="U379" s="103"/>
      <c r="V379" s="103"/>
      <c r="W379" s="103"/>
      <c r="X379" s="103"/>
      <c r="Y379" s="103"/>
      <c r="Z379" s="103"/>
      <c r="AA379" s="103"/>
    </row>
    <row r="380" spans="1:27" ht="15.75" customHeight="1">
      <c r="A380" s="103"/>
      <c r="B380" s="103"/>
      <c r="C380" s="103"/>
      <c r="D380" s="103"/>
      <c r="E380" s="103"/>
      <c r="F380" s="124"/>
      <c r="G380" s="124"/>
      <c r="H380" s="103"/>
      <c r="I380" s="103"/>
      <c r="J380" s="103"/>
      <c r="K380" s="103"/>
      <c r="L380" s="103"/>
      <c r="M380" s="103"/>
      <c r="N380" s="103"/>
      <c r="O380" s="103"/>
      <c r="P380" s="103"/>
      <c r="Q380" s="103"/>
      <c r="R380" s="103"/>
      <c r="S380" s="103"/>
      <c r="T380" s="103"/>
      <c r="U380" s="103"/>
      <c r="V380" s="103"/>
      <c r="W380" s="103"/>
      <c r="X380" s="103"/>
      <c r="Y380" s="103"/>
      <c r="Z380" s="103"/>
      <c r="AA380" s="103"/>
    </row>
    <row r="381" spans="1:27" ht="15.75" customHeight="1">
      <c r="A381" s="103"/>
      <c r="B381" s="103"/>
      <c r="C381" s="103"/>
      <c r="D381" s="103"/>
      <c r="E381" s="103"/>
      <c r="F381" s="124"/>
      <c r="G381" s="124"/>
      <c r="H381" s="103"/>
      <c r="I381" s="103"/>
      <c r="J381" s="103"/>
      <c r="K381" s="103"/>
      <c r="L381" s="103"/>
      <c r="M381" s="103"/>
      <c r="N381" s="103"/>
      <c r="O381" s="103"/>
      <c r="P381" s="103"/>
      <c r="Q381" s="103"/>
      <c r="R381" s="103"/>
      <c r="S381" s="103"/>
      <c r="T381" s="103"/>
      <c r="U381" s="103"/>
      <c r="V381" s="103"/>
      <c r="W381" s="103"/>
      <c r="X381" s="103"/>
      <c r="Y381" s="103"/>
      <c r="Z381" s="103"/>
      <c r="AA381" s="103"/>
    </row>
    <row r="382" spans="1:27" ht="15.75" customHeight="1">
      <c r="A382" s="103"/>
      <c r="B382" s="103"/>
      <c r="C382" s="103"/>
      <c r="D382" s="103"/>
      <c r="E382" s="103"/>
      <c r="F382" s="124"/>
      <c r="G382" s="124"/>
      <c r="H382" s="103"/>
      <c r="I382" s="103"/>
      <c r="J382" s="103"/>
      <c r="K382" s="103"/>
      <c r="L382" s="103"/>
      <c r="M382" s="103"/>
      <c r="N382" s="103"/>
      <c r="O382" s="103"/>
      <c r="P382" s="103"/>
      <c r="Q382" s="103"/>
      <c r="R382" s="103"/>
      <c r="S382" s="103"/>
      <c r="T382" s="103"/>
      <c r="U382" s="103"/>
      <c r="V382" s="103"/>
      <c r="W382" s="103"/>
      <c r="X382" s="103"/>
      <c r="Y382" s="103"/>
      <c r="Z382" s="103"/>
      <c r="AA382" s="103"/>
    </row>
    <row r="383" spans="1:27" ht="15.75" customHeight="1">
      <c r="A383" s="103"/>
      <c r="B383" s="103"/>
      <c r="C383" s="103"/>
      <c r="D383" s="103"/>
      <c r="E383" s="103"/>
      <c r="F383" s="124"/>
      <c r="G383" s="124"/>
      <c r="H383" s="103"/>
      <c r="I383" s="103"/>
      <c r="J383" s="103"/>
      <c r="K383" s="103"/>
      <c r="L383" s="103"/>
      <c r="M383" s="103"/>
      <c r="N383" s="103"/>
      <c r="O383" s="103"/>
      <c r="P383" s="103"/>
      <c r="Q383" s="103"/>
      <c r="R383" s="103"/>
      <c r="S383" s="103"/>
      <c r="T383" s="103"/>
      <c r="U383" s="103"/>
      <c r="V383" s="103"/>
      <c r="W383" s="103"/>
      <c r="X383" s="103"/>
      <c r="Y383" s="103"/>
      <c r="Z383" s="103"/>
      <c r="AA383" s="103"/>
    </row>
    <row r="384" spans="1:27" ht="15.75" customHeight="1">
      <c r="A384" s="103"/>
      <c r="B384" s="103"/>
      <c r="C384" s="103"/>
      <c r="D384" s="103"/>
      <c r="E384" s="103"/>
      <c r="F384" s="124"/>
      <c r="G384" s="124"/>
      <c r="H384" s="103"/>
      <c r="I384" s="103"/>
      <c r="J384" s="103"/>
      <c r="K384" s="103"/>
      <c r="L384" s="103"/>
      <c r="M384" s="103"/>
      <c r="N384" s="103"/>
      <c r="O384" s="103"/>
      <c r="P384" s="103"/>
      <c r="Q384" s="103"/>
      <c r="R384" s="103"/>
      <c r="S384" s="103"/>
      <c r="T384" s="103"/>
      <c r="U384" s="103"/>
      <c r="V384" s="103"/>
      <c r="W384" s="103"/>
      <c r="X384" s="103"/>
      <c r="Y384" s="103"/>
      <c r="Z384" s="103"/>
      <c r="AA384" s="103"/>
    </row>
    <row r="385" spans="1:27" ht="15.75" customHeight="1">
      <c r="A385" s="103"/>
      <c r="B385" s="103"/>
      <c r="C385" s="103"/>
      <c r="D385" s="103"/>
      <c r="E385" s="103"/>
      <c r="F385" s="124"/>
      <c r="G385" s="124"/>
      <c r="H385" s="103"/>
      <c r="I385" s="103"/>
      <c r="J385" s="103"/>
      <c r="K385" s="103"/>
      <c r="L385" s="103"/>
      <c r="M385" s="103"/>
      <c r="N385" s="103"/>
      <c r="O385" s="103"/>
      <c r="P385" s="103"/>
      <c r="Q385" s="103"/>
      <c r="R385" s="103"/>
      <c r="S385" s="103"/>
      <c r="T385" s="103"/>
      <c r="U385" s="103"/>
      <c r="V385" s="103"/>
      <c r="W385" s="103"/>
      <c r="X385" s="103"/>
      <c r="Y385" s="103"/>
      <c r="Z385" s="103"/>
      <c r="AA385" s="103"/>
    </row>
    <row r="386" spans="1:27" ht="15.75" customHeight="1">
      <c r="A386" s="103"/>
      <c r="B386" s="103"/>
      <c r="C386" s="103"/>
      <c r="D386" s="103"/>
      <c r="E386" s="103"/>
      <c r="F386" s="124"/>
      <c r="G386" s="124"/>
      <c r="H386" s="103"/>
      <c r="I386" s="103"/>
      <c r="J386" s="103"/>
      <c r="K386" s="103"/>
      <c r="L386" s="103"/>
      <c r="M386" s="103"/>
      <c r="N386" s="103"/>
      <c r="O386" s="103"/>
      <c r="P386" s="103"/>
      <c r="Q386" s="103"/>
      <c r="R386" s="103"/>
      <c r="S386" s="103"/>
      <c r="T386" s="103"/>
      <c r="U386" s="103"/>
      <c r="V386" s="103"/>
      <c r="W386" s="103"/>
      <c r="X386" s="103"/>
      <c r="Y386" s="103"/>
      <c r="Z386" s="103"/>
      <c r="AA386" s="103"/>
    </row>
    <row r="387" spans="1:27" ht="15.75" customHeight="1">
      <c r="A387" s="103"/>
      <c r="B387" s="103"/>
      <c r="C387" s="103"/>
      <c r="D387" s="103"/>
      <c r="E387" s="103"/>
      <c r="F387" s="124"/>
      <c r="G387" s="124"/>
      <c r="H387" s="103"/>
      <c r="I387" s="103"/>
      <c r="J387" s="103"/>
      <c r="K387" s="103"/>
      <c r="L387" s="103"/>
      <c r="M387" s="103"/>
      <c r="N387" s="103"/>
      <c r="O387" s="103"/>
      <c r="P387" s="103"/>
      <c r="Q387" s="103"/>
      <c r="R387" s="103"/>
      <c r="S387" s="103"/>
      <c r="T387" s="103"/>
      <c r="U387" s="103"/>
      <c r="V387" s="103"/>
      <c r="W387" s="103"/>
      <c r="X387" s="103"/>
      <c r="Y387" s="103"/>
      <c r="Z387" s="103"/>
      <c r="AA387" s="103"/>
    </row>
    <row r="388" spans="1:27" ht="15.75" customHeight="1">
      <c r="A388" s="103"/>
      <c r="B388" s="103"/>
      <c r="C388" s="103"/>
      <c r="D388" s="103"/>
      <c r="E388" s="103"/>
      <c r="F388" s="124"/>
      <c r="G388" s="124"/>
      <c r="H388" s="103"/>
      <c r="I388" s="103"/>
      <c r="J388" s="103"/>
      <c r="K388" s="103"/>
      <c r="L388" s="103"/>
      <c r="M388" s="103"/>
      <c r="N388" s="103"/>
      <c r="O388" s="103"/>
      <c r="P388" s="103"/>
      <c r="Q388" s="103"/>
      <c r="R388" s="103"/>
      <c r="S388" s="103"/>
      <c r="T388" s="103"/>
      <c r="U388" s="103"/>
      <c r="V388" s="103"/>
      <c r="W388" s="103"/>
      <c r="X388" s="103"/>
      <c r="Y388" s="103"/>
      <c r="Z388" s="103"/>
      <c r="AA388" s="103"/>
    </row>
    <row r="389" spans="1:27" ht="15.75" customHeight="1">
      <c r="A389" s="103"/>
      <c r="B389" s="103"/>
      <c r="C389" s="103"/>
      <c r="D389" s="103"/>
      <c r="E389" s="103"/>
      <c r="F389" s="124"/>
      <c r="G389" s="124"/>
      <c r="H389" s="103"/>
      <c r="I389" s="103"/>
      <c r="J389" s="103"/>
      <c r="K389" s="103"/>
      <c r="L389" s="103"/>
      <c r="M389" s="103"/>
      <c r="N389" s="103"/>
      <c r="O389" s="103"/>
      <c r="P389" s="103"/>
      <c r="Q389" s="103"/>
      <c r="R389" s="103"/>
      <c r="S389" s="103"/>
      <c r="T389" s="103"/>
      <c r="U389" s="103"/>
      <c r="V389" s="103"/>
      <c r="W389" s="103"/>
      <c r="X389" s="103"/>
      <c r="Y389" s="103"/>
      <c r="Z389" s="103"/>
      <c r="AA389" s="103"/>
    </row>
    <row r="390" spans="1:27" ht="15.75" customHeight="1">
      <c r="A390" s="103"/>
      <c r="B390" s="103"/>
      <c r="C390" s="103"/>
      <c r="D390" s="103"/>
      <c r="E390" s="103"/>
      <c r="F390" s="124"/>
      <c r="G390" s="124"/>
      <c r="H390" s="103"/>
      <c r="I390" s="103"/>
      <c r="J390" s="103"/>
      <c r="K390" s="103"/>
      <c r="L390" s="103"/>
      <c r="M390" s="103"/>
      <c r="N390" s="103"/>
      <c r="O390" s="103"/>
      <c r="P390" s="103"/>
      <c r="Q390" s="103"/>
      <c r="R390" s="103"/>
      <c r="S390" s="103"/>
      <c r="T390" s="103"/>
      <c r="U390" s="103"/>
      <c r="V390" s="103"/>
      <c r="W390" s="103"/>
      <c r="X390" s="103"/>
      <c r="Y390" s="103"/>
      <c r="Z390" s="103"/>
      <c r="AA390" s="103"/>
    </row>
    <row r="391" spans="1:27" ht="15.75" customHeight="1">
      <c r="A391" s="103"/>
      <c r="B391" s="103"/>
      <c r="C391" s="103"/>
      <c r="D391" s="103"/>
      <c r="E391" s="103"/>
      <c r="F391" s="124"/>
      <c r="G391" s="124"/>
      <c r="H391" s="103"/>
      <c r="I391" s="103"/>
      <c r="J391" s="103"/>
      <c r="K391" s="103"/>
      <c r="L391" s="103"/>
      <c r="M391" s="103"/>
      <c r="N391" s="103"/>
      <c r="O391" s="103"/>
      <c r="P391" s="103"/>
      <c r="Q391" s="103"/>
      <c r="R391" s="103"/>
      <c r="S391" s="103"/>
      <c r="T391" s="103"/>
      <c r="U391" s="103"/>
      <c r="V391" s="103"/>
      <c r="W391" s="103"/>
      <c r="X391" s="103"/>
      <c r="Y391" s="103"/>
      <c r="Z391" s="103"/>
      <c r="AA391" s="103"/>
    </row>
    <row r="392" spans="1:27" ht="15.75" customHeight="1">
      <c r="A392" s="103"/>
      <c r="B392" s="103"/>
      <c r="C392" s="103"/>
      <c r="D392" s="103"/>
      <c r="E392" s="103"/>
      <c r="F392" s="124"/>
      <c r="G392" s="124"/>
      <c r="H392" s="103"/>
      <c r="I392" s="103"/>
      <c r="J392" s="103"/>
      <c r="K392" s="103"/>
      <c r="L392" s="103"/>
      <c r="M392" s="103"/>
      <c r="N392" s="103"/>
      <c r="O392" s="103"/>
      <c r="P392" s="103"/>
      <c r="Q392" s="103"/>
      <c r="R392" s="103"/>
      <c r="S392" s="103"/>
      <c r="T392" s="103"/>
      <c r="U392" s="103"/>
      <c r="V392" s="103"/>
      <c r="W392" s="103"/>
      <c r="X392" s="103"/>
      <c r="Y392" s="103"/>
      <c r="Z392" s="103"/>
      <c r="AA392" s="103"/>
    </row>
    <row r="393" spans="1:27" ht="15.75" customHeight="1">
      <c r="A393" s="103"/>
      <c r="B393" s="103"/>
      <c r="C393" s="103"/>
      <c r="D393" s="103"/>
      <c r="E393" s="103"/>
      <c r="F393" s="124"/>
      <c r="G393" s="124"/>
      <c r="H393" s="103"/>
      <c r="I393" s="103"/>
      <c r="J393" s="103"/>
      <c r="K393" s="103"/>
      <c r="L393" s="103"/>
      <c r="M393" s="103"/>
      <c r="N393" s="103"/>
      <c r="O393" s="103"/>
      <c r="P393" s="103"/>
      <c r="Q393" s="103"/>
      <c r="R393" s="103"/>
      <c r="S393" s="103"/>
      <c r="T393" s="103"/>
      <c r="U393" s="103"/>
      <c r="V393" s="103"/>
      <c r="W393" s="103"/>
      <c r="X393" s="103"/>
      <c r="Y393" s="103"/>
      <c r="Z393" s="103"/>
      <c r="AA393" s="103"/>
    </row>
    <row r="394" spans="1:27" ht="15.75" customHeight="1">
      <c r="A394" s="103"/>
      <c r="B394" s="103"/>
      <c r="C394" s="103"/>
      <c r="D394" s="103"/>
      <c r="E394" s="103"/>
      <c r="F394" s="124"/>
      <c r="G394" s="124"/>
      <c r="H394" s="103"/>
      <c r="I394" s="103"/>
      <c r="J394" s="103"/>
      <c r="K394" s="103"/>
      <c r="L394" s="103"/>
      <c r="M394" s="103"/>
      <c r="N394" s="103"/>
      <c r="O394" s="103"/>
      <c r="P394" s="103"/>
      <c r="Q394" s="103"/>
      <c r="R394" s="103"/>
      <c r="S394" s="103"/>
      <c r="T394" s="103"/>
      <c r="U394" s="103"/>
      <c r="V394" s="103"/>
      <c r="W394" s="103"/>
      <c r="X394" s="103"/>
      <c r="Y394" s="103"/>
      <c r="Z394" s="103"/>
      <c r="AA394" s="103"/>
    </row>
    <row r="395" spans="1:27" ht="15.75" customHeight="1">
      <c r="A395" s="103"/>
      <c r="B395" s="103"/>
      <c r="C395" s="103"/>
      <c r="D395" s="103"/>
      <c r="E395" s="103"/>
      <c r="F395" s="124"/>
      <c r="G395" s="124"/>
      <c r="H395" s="103"/>
      <c r="I395" s="103"/>
      <c r="J395" s="103"/>
      <c r="K395" s="103"/>
      <c r="L395" s="103"/>
      <c r="M395" s="103"/>
      <c r="N395" s="103"/>
      <c r="O395" s="103"/>
      <c r="P395" s="103"/>
      <c r="Q395" s="103"/>
      <c r="R395" s="103"/>
      <c r="S395" s="103"/>
      <c r="T395" s="103"/>
      <c r="U395" s="103"/>
      <c r="V395" s="103"/>
      <c r="W395" s="103"/>
      <c r="X395" s="103"/>
      <c r="Y395" s="103"/>
      <c r="Z395" s="103"/>
      <c r="AA395" s="103"/>
    </row>
    <row r="396" spans="1:27" ht="15.75" customHeight="1">
      <c r="A396" s="103"/>
      <c r="B396" s="103"/>
      <c r="C396" s="103"/>
      <c r="D396" s="103"/>
      <c r="E396" s="103"/>
      <c r="F396" s="124"/>
      <c r="G396" s="124"/>
      <c r="H396" s="103"/>
      <c r="I396" s="103"/>
      <c r="J396" s="103"/>
      <c r="K396" s="103"/>
      <c r="L396" s="103"/>
      <c r="M396" s="103"/>
      <c r="N396" s="103"/>
      <c r="O396" s="103"/>
      <c r="P396" s="103"/>
      <c r="Q396" s="103"/>
      <c r="R396" s="103"/>
      <c r="S396" s="103"/>
      <c r="T396" s="103"/>
      <c r="U396" s="103"/>
      <c r="V396" s="103"/>
      <c r="W396" s="103"/>
      <c r="X396" s="103"/>
      <c r="Y396" s="103"/>
      <c r="Z396" s="103"/>
      <c r="AA396" s="103"/>
    </row>
    <row r="397" spans="1:27" ht="15.75" customHeight="1">
      <c r="A397" s="103"/>
      <c r="B397" s="103"/>
      <c r="C397" s="103"/>
      <c r="D397" s="103"/>
      <c r="E397" s="103"/>
      <c r="F397" s="124"/>
      <c r="G397" s="124"/>
      <c r="H397" s="103"/>
      <c r="I397" s="103"/>
      <c r="J397" s="103"/>
      <c r="K397" s="103"/>
      <c r="L397" s="103"/>
      <c r="M397" s="103"/>
      <c r="N397" s="103"/>
      <c r="O397" s="103"/>
      <c r="P397" s="103"/>
      <c r="Q397" s="103"/>
      <c r="R397" s="103"/>
      <c r="S397" s="103"/>
      <c r="T397" s="103"/>
      <c r="U397" s="103"/>
      <c r="V397" s="103"/>
      <c r="W397" s="103"/>
      <c r="X397" s="103"/>
      <c r="Y397" s="103"/>
      <c r="Z397" s="103"/>
      <c r="AA397" s="103"/>
    </row>
    <row r="398" spans="1:27" ht="15.75" customHeight="1">
      <c r="A398" s="103"/>
      <c r="B398" s="103"/>
      <c r="C398" s="103"/>
      <c r="D398" s="103"/>
      <c r="E398" s="103"/>
      <c r="F398" s="124"/>
      <c r="G398" s="124"/>
      <c r="H398" s="103"/>
      <c r="I398" s="103"/>
      <c r="J398" s="103"/>
      <c r="K398" s="103"/>
      <c r="L398" s="103"/>
      <c r="M398" s="103"/>
      <c r="N398" s="103"/>
      <c r="O398" s="103"/>
      <c r="P398" s="103"/>
      <c r="Q398" s="103"/>
      <c r="R398" s="103"/>
      <c r="S398" s="103"/>
      <c r="T398" s="103"/>
      <c r="U398" s="103"/>
      <c r="V398" s="103"/>
      <c r="W398" s="103"/>
      <c r="X398" s="103"/>
      <c r="Y398" s="103"/>
      <c r="Z398" s="103"/>
      <c r="AA398" s="103"/>
    </row>
    <row r="399" spans="1:27" ht="15.75" customHeight="1">
      <c r="A399" s="103"/>
      <c r="B399" s="103"/>
      <c r="C399" s="103"/>
      <c r="D399" s="103"/>
      <c r="E399" s="103"/>
      <c r="F399" s="124"/>
      <c r="G399" s="124"/>
      <c r="H399" s="103"/>
      <c r="I399" s="103"/>
      <c r="J399" s="103"/>
      <c r="K399" s="103"/>
      <c r="L399" s="103"/>
      <c r="M399" s="103"/>
      <c r="N399" s="103"/>
      <c r="O399" s="103"/>
      <c r="P399" s="103"/>
      <c r="Q399" s="103"/>
      <c r="R399" s="103"/>
      <c r="S399" s="103"/>
      <c r="T399" s="103"/>
      <c r="U399" s="103"/>
      <c r="V399" s="103"/>
      <c r="W399" s="103"/>
      <c r="X399" s="103"/>
      <c r="Y399" s="103"/>
      <c r="Z399" s="103"/>
      <c r="AA399" s="103"/>
    </row>
    <row r="400" spans="1:27" ht="15.75" customHeight="1">
      <c r="A400" s="103"/>
      <c r="B400" s="103"/>
      <c r="C400" s="103"/>
      <c r="D400" s="103"/>
      <c r="E400" s="103"/>
      <c r="F400" s="124"/>
      <c r="G400" s="124"/>
      <c r="H400" s="103"/>
      <c r="I400" s="103"/>
      <c r="J400" s="103"/>
      <c r="K400" s="103"/>
      <c r="L400" s="103"/>
      <c r="M400" s="103"/>
      <c r="N400" s="103"/>
      <c r="O400" s="103"/>
      <c r="P400" s="103"/>
      <c r="Q400" s="103"/>
      <c r="R400" s="103"/>
      <c r="S400" s="103"/>
      <c r="T400" s="103"/>
      <c r="U400" s="103"/>
      <c r="V400" s="103"/>
      <c r="W400" s="103"/>
      <c r="X400" s="103"/>
      <c r="Y400" s="103"/>
      <c r="Z400" s="103"/>
      <c r="AA400" s="103"/>
    </row>
    <row r="401" spans="1:27" ht="15.75" customHeight="1">
      <c r="A401" s="103"/>
      <c r="B401" s="103"/>
      <c r="C401" s="103"/>
      <c r="D401" s="103"/>
      <c r="E401" s="103"/>
      <c r="F401" s="124"/>
      <c r="G401" s="124"/>
      <c r="H401" s="103"/>
      <c r="I401" s="103"/>
      <c r="J401" s="103"/>
      <c r="K401" s="103"/>
      <c r="L401" s="103"/>
      <c r="M401" s="103"/>
      <c r="N401" s="103"/>
      <c r="O401" s="103"/>
      <c r="P401" s="103"/>
      <c r="Q401" s="103"/>
      <c r="R401" s="103"/>
      <c r="S401" s="103"/>
      <c r="T401" s="103"/>
      <c r="U401" s="103"/>
      <c r="V401" s="103"/>
      <c r="W401" s="103"/>
      <c r="X401" s="103"/>
      <c r="Y401" s="103"/>
      <c r="Z401" s="103"/>
      <c r="AA401" s="103"/>
    </row>
    <row r="402" spans="1:27" ht="15.75" customHeight="1">
      <c r="A402" s="103"/>
      <c r="B402" s="103"/>
      <c r="C402" s="103"/>
      <c r="D402" s="103"/>
      <c r="E402" s="103"/>
      <c r="F402" s="124"/>
      <c r="G402" s="124"/>
      <c r="H402" s="103"/>
      <c r="I402" s="103"/>
      <c r="J402" s="103"/>
      <c r="K402" s="103"/>
      <c r="L402" s="103"/>
      <c r="M402" s="103"/>
      <c r="N402" s="103"/>
      <c r="O402" s="103"/>
      <c r="P402" s="103"/>
      <c r="Q402" s="103"/>
      <c r="R402" s="103"/>
      <c r="S402" s="103"/>
      <c r="T402" s="103"/>
      <c r="U402" s="103"/>
      <c r="V402" s="103"/>
      <c r="W402" s="103"/>
      <c r="X402" s="103"/>
      <c r="Y402" s="103"/>
      <c r="Z402" s="103"/>
      <c r="AA402" s="103"/>
    </row>
    <row r="403" spans="1:27" ht="15.75" customHeight="1">
      <c r="A403" s="103"/>
      <c r="B403" s="103"/>
      <c r="C403" s="103"/>
      <c r="D403" s="103"/>
      <c r="E403" s="103"/>
      <c r="F403" s="124"/>
      <c r="G403" s="124"/>
      <c r="H403" s="103"/>
      <c r="I403" s="103"/>
      <c r="J403" s="103"/>
      <c r="K403" s="103"/>
      <c r="L403" s="103"/>
      <c r="M403" s="103"/>
      <c r="N403" s="103"/>
      <c r="O403" s="103"/>
      <c r="P403" s="103"/>
      <c r="Q403" s="103"/>
      <c r="R403" s="103"/>
      <c r="S403" s="103"/>
      <c r="T403" s="103"/>
      <c r="U403" s="103"/>
      <c r="V403" s="103"/>
      <c r="W403" s="103"/>
      <c r="X403" s="103"/>
      <c r="Y403" s="103"/>
      <c r="Z403" s="103"/>
      <c r="AA403" s="103"/>
    </row>
    <row r="404" spans="1:27" ht="15.75" customHeight="1">
      <c r="A404" s="103"/>
      <c r="B404" s="103"/>
      <c r="C404" s="103"/>
      <c r="D404" s="103"/>
      <c r="E404" s="103"/>
      <c r="F404" s="124"/>
      <c r="G404" s="124"/>
      <c r="H404" s="103"/>
      <c r="I404" s="103"/>
      <c r="J404" s="103"/>
      <c r="K404" s="103"/>
      <c r="L404" s="103"/>
      <c r="M404" s="103"/>
      <c r="N404" s="103"/>
      <c r="O404" s="103"/>
      <c r="P404" s="103"/>
      <c r="Q404" s="103"/>
      <c r="R404" s="103"/>
      <c r="S404" s="103"/>
      <c r="T404" s="103"/>
      <c r="U404" s="103"/>
      <c r="V404" s="103"/>
      <c r="W404" s="103"/>
      <c r="X404" s="103"/>
      <c r="Y404" s="103"/>
      <c r="Z404" s="103"/>
      <c r="AA404" s="103"/>
    </row>
    <row r="405" spans="1:27" ht="15.75" customHeight="1">
      <c r="A405" s="103"/>
      <c r="B405" s="103"/>
      <c r="C405" s="103"/>
      <c r="D405" s="103"/>
      <c r="E405" s="103"/>
      <c r="F405" s="124"/>
      <c r="G405" s="124"/>
      <c r="H405" s="103"/>
      <c r="I405" s="103"/>
      <c r="J405" s="103"/>
      <c r="K405" s="103"/>
      <c r="L405" s="103"/>
      <c r="M405" s="103"/>
      <c r="N405" s="103"/>
      <c r="O405" s="103"/>
      <c r="P405" s="103"/>
      <c r="Q405" s="103"/>
      <c r="R405" s="103"/>
      <c r="S405" s="103"/>
      <c r="T405" s="103"/>
      <c r="U405" s="103"/>
      <c r="V405" s="103"/>
      <c r="W405" s="103"/>
      <c r="X405" s="103"/>
      <c r="Y405" s="103"/>
      <c r="Z405" s="103"/>
      <c r="AA405" s="103"/>
    </row>
    <row r="406" spans="1:27" ht="15.75" customHeight="1">
      <c r="A406" s="103"/>
      <c r="B406" s="103"/>
      <c r="C406" s="103"/>
      <c r="D406" s="103"/>
      <c r="E406" s="103"/>
      <c r="F406" s="124"/>
      <c r="G406" s="124"/>
      <c r="H406" s="103"/>
      <c r="I406" s="103"/>
      <c r="J406" s="103"/>
      <c r="K406" s="103"/>
      <c r="L406" s="103"/>
      <c r="M406" s="103"/>
      <c r="N406" s="103"/>
      <c r="O406" s="103"/>
      <c r="P406" s="103"/>
      <c r="Q406" s="103"/>
      <c r="R406" s="103"/>
      <c r="S406" s="103"/>
      <c r="T406" s="103"/>
      <c r="U406" s="103"/>
      <c r="V406" s="103"/>
      <c r="W406" s="103"/>
      <c r="X406" s="103"/>
      <c r="Y406" s="103"/>
      <c r="Z406" s="103"/>
      <c r="AA406" s="103"/>
    </row>
    <row r="407" spans="1:27" ht="15.75" customHeight="1">
      <c r="A407" s="103"/>
      <c r="B407" s="103"/>
      <c r="C407" s="103"/>
      <c r="D407" s="103"/>
      <c r="E407" s="103"/>
      <c r="F407" s="124"/>
      <c r="G407" s="124"/>
      <c r="H407" s="103"/>
      <c r="I407" s="103"/>
      <c r="J407" s="103"/>
      <c r="K407" s="103"/>
      <c r="L407" s="103"/>
      <c r="M407" s="103"/>
      <c r="N407" s="103"/>
      <c r="O407" s="103"/>
      <c r="P407" s="103"/>
      <c r="Q407" s="103"/>
      <c r="R407" s="103"/>
      <c r="S407" s="103"/>
      <c r="T407" s="103"/>
      <c r="U407" s="103"/>
      <c r="V407" s="103"/>
      <c r="W407" s="103"/>
      <c r="X407" s="103"/>
      <c r="Y407" s="103"/>
      <c r="Z407" s="103"/>
      <c r="AA407" s="103"/>
    </row>
    <row r="408" spans="1:27" ht="15.75" customHeight="1">
      <c r="A408" s="103"/>
      <c r="B408" s="103"/>
      <c r="C408" s="103"/>
      <c r="D408" s="103"/>
      <c r="E408" s="103"/>
      <c r="F408" s="124"/>
      <c r="G408" s="124"/>
      <c r="H408" s="103"/>
      <c r="I408" s="103"/>
      <c r="J408" s="103"/>
      <c r="K408" s="103"/>
      <c r="L408" s="103"/>
      <c r="M408" s="103"/>
      <c r="N408" s="103"/>
      <c r="O408" s="103"/>
      <c r="P408" s="103"/>
      <c r="Q408" s="103"/>
      <c r="R408" s="103"/>
      <c r="S408" s="103"/>
      <c r="T408" s="103"/>
      <c r="U408" s="103"/>
      <c r="V408" s="103"/>
      <c r="W408" s="103"/>
      <c r="X408" s="103"/>
      <c r="Y408" s="103"/>
      <c r="Z408" s="103"/>
      <c r="AA408" s="103"/>
    </row>
    <row r="409" spans="1:27" ht="15.75" customHeight="1">
      <c r="A409" s="103"/>
      <c r="B409" s="103"/>
      <c r="C409" s="103"/>
      <c r="D409" s="103"/>
      <c r="E409" s="103"/>
      <c r="F409" s="124"/>
      <c r="G409" s="124"/>
      <c r="H409" s="103"/>
      <c r="I409" s="103"/>
      <c r="J409" s="103"/>
      <c r="K409" s="103"/>
      <c r="L409" s="103"/>
      <c r="M409" s="103"/>
      <c r="N409" s="103"/>
      <c r="O409" s="103"/>
      <c r="P409" s="103"/>
      <c r="Q409" s="103"/>
      <c r="R409" s="103"/>
      <c r="S409" s="103"/>
      <c r="T409" s="103"/>
      <c r="U409" s="103"/>
      <c r="V409" s="103"/>
      <c r="W409" s="103"/>
      <c r="X409" s="103"/>
      <c r="Y409" s="103"/>
      <c r="Z409" s="103"/>
      <c r="AA409" s="103"/>
    </row>
    <row r="410" spans="1:27" ht="15.75" customHeight="1">
      <c r="A410" s="103"/>
      <c r="B410" s="103"/>
      <c r="C410" s="103"/>
      <c r="D410" s="103"/>
      <c r="E410" s="103"/>
      <c r="F410" s="124"/>
      <c r="G410" s="124"/>
      <c r="H410" s="103"/>
      <c r="I410" s="103"/>
      <c r="J410" s="103"/>
      <c r="K410" s="103"/>
      <c r="L410" s="103"/>
      <c r="M410" s="103"/>
      <c r="N410" s="103"/>
      <c r="O410" s="103"/>
      <c r="P410" s="103"/>
      <c r="Q410" s="103"/>
      <c r="R410" s="103"/>
      <c r="S410" s="103"/>
      <c r="T410" s="103"/>
      <c r="U410" s="103"/>
      <c r="V410" s="103"/>
      <c r="W410" s="103"/>
      <c r="X410" s="103"/>
      <c r="Y410" s="103"/>
      <c r="Z410" s="103"/>
      <c r="AA410" s="103"/>
    </row>
    <row r="411" spans="1:27" ht="15.75" customHeight="1">
      <c r="A411" s="103"/>
      <c r="B411" s="103"/>
      <c r="C411" s="103"/>
      <c r="D411" s="103"/>
      <c r="E411" s="103"/>
      <c r="F411" s="124"/>
      <c r="G411" s="124"/>
      <c r="H411" s="103"/>
      <c r="I411" s="103"/>
      <c r="J411" s="103"/>
      <c r="K411" s="103"/>
      <c r="L411" s="103"/>
      <c r="M411" s="103"/>
      <c r="N411" s="103"/>
      <c r="O411" s="103"/>
      <c r="P411" s="103"/>
      <c r="Q411" s="103"/>
      <c r="R411" s="103"/>
      <c r="S411" s="103"/>
      <c r="T411" s="103"/>
      <c r="U411" s="103"/>
      <c r="V411" s="103"/>
      <c r="W411" s="103"/>
      <c r="X411" s="103"/>
      <c r="Y411" s="103"/>
      <c r="Z411" s="103"/>
      <c r="AA411" s="103"/>
    </row>
    <row r="412" spans="1:27" ht="15.75" customHeight="1">
      <c r="A412" s="103"/>
      <c r="B412" s="103"/>
      <c r="C412" s="103"/>
      <c r="D412" s="103"/>
      <c r="E412" s="103"/>
      <c r="F412" s="124"/>
      <c r="G412" s="124"/>
      <c r="H412" s="103"/>
      <c r="I412" s="103"/>
      <c r="J412" s="103"/>
      <c r="K412" s="103"/>
      <c r="L412" s="103"/>
      <c r="M412" s="103"/>
      <c r="N412" s="103"/>
      <c r="O412" s="103"/>
      <c r="P412" s="103"/>
      <c r="Q412" s="103"/>
      <c r="R412" s="103"/>
      <c r="S412" s="103"/>
      <c r="T412" s="103"/>
      <c r="U412" s="103"/>
      <c r="V412" s="103"/>
      <c r="W412" s="103"/>
      <c r="X412" s="103"/>
      <c r="Y412" s="103"/>
      <c r="Z412" s="103"/>
      <c r="AA412" s="103"/>
    </row>
    <row r="413" spans="1:27" ht="15.75" customHeight="1">
      <c r="A413" s="103"/>
      <c r="B413" s="103"/>
      <c r="C413" s="103"/>
      <c r="D413" s="103"/>
      <c r="E413" s="103"/>
      <c r="F413" s="124"/>
      <c r="G413" s="124"/>
      <c r="H413" s="103"/>
      <c r="I413" s="103"/>
      <c r="J413" s="103"/>
      <c r="K413" s="103"/>
      <c r="L413" s="103"/>
      <c r="M413" s="103"/>
      <c r="N413" s="103"/>
      <c r="O413" s="103"/>
      <c r="P413" s="103"/>
      <c r="Q413" s="103"/>
      <c r="R413" s="103"/>
      <c r="S413" s="103"/>
      <c r="T413" s="103"/>
      <c r="U413" s="103"/>
      <c r="V413" s="103"/>
      <c r="W413" s="103"/>
      <c r="X413" s="103"/>
      <c r="Y413" s="103"/>
      <c r="Z413" s="103"/>
      <c r="AA413" s="103"/>
    </row>
    <row r="414" spans="1:27" ht="15.75" customHeight="1">
      <c r="A414" s="103"/>
      <c r="B414" s="103"/>
      <c r="C414" s="103"/>
      <c r="D414" s="103"/>
      <c r="E414" s="103"/>
      <c r="F414" s="124"/>
      <c r="G414" s="124"/>
      <c r="H414" s="103"/>
      <c r="I414" s="103"/>
      <c r="J414" s="103"/>
      <c r="K414" s="103"/>
      <c r="L414" s="103"/>
      <c r="M414" s="103"/>
      <c r="N414" s="103"/>
      <c r="O414" s="103"/>
      <c r="P414" s="103"/>
      <c r="Q414" s="103"/>
      <c r="R414" s="103"/>
      <c r="S414" s="103"/>
      <c r="T414" s="103"/>
      <c r="U414" s="103"/>
      <c r="V414" s="103"/>
      <c r="W414" s="103"/>
      <c r="X414" s="103"/>
      <c r="Y414" s="103"/>
      <c r="Z414" s="103"/>
      <c r="AA414" s="103"/>
    </row>
    <row r="415" spans="1:27" ht="15.75" customHeight="1">
      <c r="A415" s="103"/>
      <c r="B415" s="103"/>
      <c r="C415" s="103"/>
      <c r="D415" s="103"/>
      <c r="E415" s="103"/>
      <c r="F415" s="124"/>
      <c r="G415" s="124"/>
      <c r="H415" s="103"/>
      <c r="I415" s="103"/>
      <c r="J415" s="103"/>
      <c r="K415" s="103"/>
      <c r="L415" s="103"/>
      <c r="M415" s="103"/>
      <c r="N415" s="103"/>
      <c r="O415" s="103"/>
      <c r="P415" s="103"/>
      <c r="Q415" s="103"/>
      <c r="R415" s="103"/>
      <c r="S415" s="103"/>
      <c r="T415" s="103"/>
      <c r="U415" s="103"/>
      <c r="V415" s="103"/>
      <c r="W415" s="103"/>
      <c r="X415" s="103"/>
      <c r="Y415" s="103"/>
      <c r="Z415" s="103"/>
      <c r="AA415" s="103"/>
    </row>
    <row r="416" spans="1:27" ht="15.75" customHeight="1">
      <c r="A416" s="103"/>
      <c r="B416" s="103"/>
      <c r="C416" s="103"/>
      <c r="D416" s="103"/>
      <c r="E416" s="103"/>
      <c r="F416" s="124"/>
      <c r="G416" s="124"/>
      <c r="H416" s="103"/>
      <c r="I416" s="103"/>
      <c r="J416" s="103"/>
      <c r="K416" s="103"/>
      <c r="L416" s="103"/>
      <c r="M416" s="103"/>
      <c r="N416" s="103"/>
      <c r="O416" s="103"/>
      <c r="P416" s="103"/>
      <c r="Q416" s="103"/>
      <c r="R416" s="103"/>
      <c r="S416" s="103"/>
      <c r="T416" s="103"/>
      <c r="U416" s="103"/>
      <c r="V416" s="103"/>
      <c r="W416" s="103"/>
      <c r="X416" s="103"/>
      <c r="Y416" s="103"/>
      <c r="Z416" s="103"/>
      <c r="AA416" s="103"/>
    </row>
    <row r="417" spans="1:27" ht="15.75" customHeight="1">
      <c r="A417" s="103"/>
      <c r="B417" s="103"/>
      <c r="C417" s="103"/>
      <c r="D417" s="103"/>
      <c r="E417" s="103"/>
      <c r="F417" s="124"/>
      <c r="G417" s="124"/>
      <c r="H417" s="103"/>
      <c r="I417" s="103"/>
      <c r="J417" s="103"/>
      <c r="K417" s="103"/>
      <c r="L417" s="103"/>
      <c r="M417" s="103"/>
      <c r="N417" s="103"/>
      <c r="O417" s="103"/>
      <c r="P417" s="103"/>
      <c r="Q417" s="103"/>
      <c r="R417" s="103"/>
      <c r="S417" s="103"/>
      <c r="T417" s="103"/>
      <c r="U417" s="103"/>
      <c r="V417" s="103"/>
      <c r="W417" s="103"/>
      <c r="X417" s="103"/>
      <c r="Y417" s="103"/>
      <c r="Z417" s="103"/>
      <c r="AA417" s="103"/>
    </row>
    <row r="418" spans="1:27" ht="15.75" customHeight="1">
      <c r="A418" s="103"/>
      <c r="B418" s="103"/>
      <c r="C418" s="103"/>
      <c r="D418" s="103"/>
      <c r="E418" s="103"/>
      <c r="F418" s="124"/>
      <c r="G418" s="124"/>
      <c r="H418" s="103"/>
      <c r="I418" s="103"/>
      <c r="J418" s="103"/>
      <c r="K418" s="103"/>
      <c r="L418" s="103"/>
      <c r="M418" s="103"/>
      <c r="N418" s="103"/>
      <c r="O418" s="103"/>
      <c r="P418" s="103"/>
      <c r="Q418" s="103"/>
      <c r="R418" s="103"/>
      <c r="S418" s="103"/>
      <c r="T418" s="103"/>
      <c r="U418" s="103"/>
      <c r="V418" s="103"/>
      <c r="W418" s="103"/>
      <c r="X418" s="103"/>
      <c r="Y418" s="103"/>
      <c r="Z418" s="103"/>
      <c r="AA418" s="103"/>
    </row>
    <row r="419" spans="1:27" ht="15.75" customHeight="1">
      <c r="A419" s="103"/>
      <c r="B419" s="103"/>
      <c r="C419" s="103"/>
      <c r="D419" s="103"/>
      <c r="E419" s="103"/>
      <c r="F419" s="124"/>
      <c r="G419" s="124"/>
      <c r="H419" s="103"/>
      <c r="I419" s="103"/>
      <c r="J419" s="103"/>
      <c r="K419" s="103"/>
      <c r="L419" s="103"/>
      <c r="M419" s="103"/>
      <c r="N419" s="103"/>
      <c r="O419" s="103"/>
      <c r="P419" s="103"/>
      <c r="Q419" s="103"/>
      <c r="R419" s="103"/>
      <c r="S419" s="103"/>
      <c r="T419" s="103"/>
      <c r="U419" s="103"/>
      <c r="V419" s="103"/>
      <c r="W419" s="103"/>
      <c r="X419" s="103"/>
      <c r="Y419" s="103"/>
      <c r="Z419" s="103"/>
      <c r="AA419" s="103"/>
    </row>
    <row r="420" spans="1:27" ht="15.75" customHeight="1">
      <c r="A420" s="103"/>
      <c r="B420" s="103"/>
      <c r="C420" s="103"/>
      <c r="D420" s="103"/>
      <c r="E420" s="103"/>
      <c r="F420" s="124"/>
      <c r="G420" s="124"/>
      <c r="H420" s="103"/>
      <c r="I420" s="103"/>
      <c r="J420" s="103"/>
      <c r="K420" s="103"/>
      <c r="L420" s="103"/>
      <c r="M420" s="103"/>
      <c r="N420" s="103"/>
      <c r="O420" s="103"/>
      <c r="P420" s="103"/>
      <c r="Q420" s="103"/>
      <c r="R420" s="103"/>
      <c r="S420" s="103"/>
      <c r="T420" s="103"/>
      <c r="U420" s="103"/>
      <c r="V420" s="103"/>
      <c r="W420" s="103"/>
      <c r="X420" s="103"/>
      <c r="Y420" s="103"/>
      <c r="Z420" s="103"/>
      <c r="AA420" s="103"/>
    </row>
    <row r="421" spans="1:27" ht="15.75" customHeight="1">
      <c r="A421" s="103"/>
      <c r="B421" s="103"/>
      <c r="C421" s="103"/>
      <c r="D421" s="103"/>
      <c r="E421" s="103"/>
      <c r="F421" s="124"/>
      <c r="G421" s="124"/>
      <c r="H421" s="103"/>
      <c r="I421" s="103"/>
      <c r="J421" s="103"/>
      <c r="K421" s="103"/>
      <c r="L421" s="103"/>
      <c r="M421" s="103"/>
      <c r="N421" s="103"/>
      <c r="O421" s="103"/>
      <c r="P421" s="103"/>
      <c r="Q421" s="103"/>
      <c r="R421" s="103"/>
      <c r="S421" s="103"/>
      <c r="T421" s="103"/>
      <c r="U421" s="103"/>
      <c r="V421" s="103"/>
      <c r="W421" s="103"/>
      <c r="X421" s="103"/>
      <c r="Y421" s="103"/>
      <c r="Z421" s="103"/>
      <c r="AA421" s="103"/>
    </row>
    <row r="422" spans="1:27" ht="15.75" customHeight="1">
      <c r="A422" s="103"/>
      <c r="B422" s="103"/>
      <c r="C422" s="103"/>
      <c r="D422" s="103"/>
      <c r="E422" s="103"/>
      <c r="F422" s="124"/>
      <c r="G422" s="124"/>
      <c r="H422" s="103"/>
      <c r="I422" s="103"/>
      <c r="J422" s="103"/>
      <c r="K422" s="103"/>
      <c r="L422" s="103"/>
      <c r="M422" s="103"/>
      <c r="N422" s="103"/>
      <c r="O422" s="103"/>
      <c r="P422" s="103"/>
      <c r="Q422" s="103"/>
      <c r="R422" s="103"/>
      <c r="S422" s="103"/>
      <c r="T422" s="103"/>
      <c r="U422" s="103"/>
      <c r="V422" s="103"/>
      <c r="W422" s="103"/>
      <c r="X422" s="103"/>
      <c r="Y422" s="103"/>
      <c r="Z422" s="103"/>
      <c r="AA422" s="103"/>
    </row>
    <row r="423" spans="1:27" ht="15.75" customHeight="1">
      <c r="A423" s="103"/>
      <c r="B423" s="103"/>
      <c r="C423" s="103"/>
      <c r="D423" s="103"/>
      <c r="E423" s="103"/>
      <c r="F423" s="124"/>
      <c r="G423" s="124"/>
      <c r="H423" s="103"/>
      <c r="I423" s="103"/>
      <c r="J423" s="103"/>
      <c r="K423" s="103"/>
      <c r="L423" s="103"/>
      <c r="M423" s="103"/>
      <c r="N423" s="103"/>
      <c r="O423" s="103"/>
      <c r="P423" s="103"/>
      <c r="Q423" s="103"/>
      <c r="R423" s="103"/>
      <c r="S423" s="103"/>
      <c r="T423" s="103"/>
      <c r="U423" s="103"/>
      <c r="V423" s="103"/>
      <c r="W423" s="103"/>
      <c r="X423" s="103"/>
      <c r="Y423" s="103"/>
      <c r="Z423" s="103"/>
      <c r="AA423" s="103"/>
    </row>
    <row r="424" spans="1:27" ht="15.75" customHeight="1">
      <c r="A424" s="103"/>
      <c r="B424" s="103"/>
      <c r="C424" s="103"/>
      <c r="D424" s="103"/>
      <c r="E424" s="103"/>
      <c r="F424" s="124"/>
      <c r="G424" s="124"/>
      <c r="H424" s="103"/>
      <c r="I424" s="103"/>
      <c r="J424" s="103"/>
      <c r="K424" s="103"/>
      <c r="L424" s="103"/>
      <c r="M424" s="103"/>
      <c r="N424" s="103"/>
      <c r="O424" s="103"/>
      <c r="P424" s="103"/>
      <c r="Q424" s="103"/>
      <c r="R424" s="103"/>
      <c r="S424" s="103"/>
      <c r="T424" s="103"/>
      <c r="U424" s="103"/>
      <c r="V424" s="103"/>
      <c r="W424" s="103"/>
      <c r="X424" s="103"/>
      <c r="Y424" s="103"/>
      <c r="Z424" s="103"/>
      <c r="AA424" s="103"/>
    </row>
    <row r="425" spans="1:27" ht="15.75" customHeight="1">
      <c r="A425" s="103"/>
      <c r="B425" s="103"/>
      <c r="C425" s="103"/>
      <c r="D425" s="103"/>
      <c r="E425" s="103"/>
      <c r="F425" s="124"/>
      <c r="G425" s="124"/>
      <c r="H425" s="103"/>
      <c r="I425" s="103"/>
      <c r="J425" s="103"/>
      <c r="K425" s="103"/>
      <c r="L425" s="103"/>
      <c r="M425" s="103"/>
      <c r="N425" s="103"/>
      <c r="O425" s="103"/>
      <c r="P425" s="103"/>
      <c r="Q425" s="103"/>
      <c r="R425" s="103"/>
      <c r="S425" s="103"/>
      <c r="T425" s="103"/>
      <c r="U425" s="103"/>
      <c r="V425" s="103"/>
      <c r="W425" s="103"/>
      <c r="X425" s="103"/>
      <c r="Y425" s="103"/>
      <c r="Z425" s="103"/>
      <c r="AA425" s="103"/>
    </row>
    <row r="426" spans="1:27" ht="15.75" customHeight="1">
      <c r="A426" s="103"/>
      <c r="B426" s="103"/>
      <c r="C426" s="103"/>
      <c r="D426" s="103"/>
      <c r="E426" s="103"/>
      <c r="F426" s="124"/>
      <c r="G426" s="124"/>
      <c r="H426" s="103"/>
      <c r="I426" s="103"/>
      <c r="J426" s="103"/>
      <c r="K426" s="103"/>
      <c r="L426" s="103"/>
      <c r="M426" s="103"/>
      <c r="N426" s="103"/>
      <c r="O426" s="103"/>
      <c r="P426" s="103"/>
      <c r="Q426" s="103"/>
      <c r="R426" s="103"/>
      <c r="S426" s="103"/>
      <c r="T426" s="103"/>
      <c r="U426" s="103"/>
      <c r="V426" s="103"/>
      <c r="W426" s="103"/>
      <c r="X426" s="103"/>
      <c r="Y426" s="103"/>
      <c r="Z426" s="103"/>
      <c r="AA426" s="103"/>
    </row>
    <row r="427" spans="1:27" ht="15.75" customHeight="1">
      <c r="A427" s="103"/>
      <c r="B427" s="103"/>
      <c r="C427" s="103"/>
      <c r="D427" s="103"/>
      <c r="E427" s="103"/>
      <c r="F427" s="124"/>
      <c r="G427" s="124"/>
      <c r="H427" s="103"/>
      <c r="I427" s="103"/>
      <c r="J427" s="103"/>
      <c r="K427" s="103"/>
      <c r="L427" s="103"/>
      <c r="M427" s="103"/>
      <c r="N427" s="103"/>
      <c r="O427" s="103"/>
      <c r="P427" s="103"/>
      <c r="Q427" s="103"/>
      <c r="R427" s="103"/>
      <c r="S427" s="103"/>
      <c r="T427" s="103"/>
      <c r="U427" s="103"/>
      <c r="V427" s="103"/>
      <c r="W427" s="103"/>
      <c r="X427" s="103"/>
      <c r="Y427" s="103"/>
      <c r="Z427" s="103"/>
      <c r="AA427" s="103"/>
    </row>
    <row r="428" spans="1:27" ht="15.75" customHeight="1">
      <c r="A428" s="103"/>
      <c r="B428" s="103"/>
      <c r="C428" s="103"/>
      <c r="D428" s="103"/>
      <c r="E428" s="103"/>
      <c r="F428" s="124"/>
      <c r="G428" s="124"/>
      <c r="H428" s="103"/>
      <c r="I428" s="103"/>
      <c r="J428" s="103"/>
      <c r="K428" s="103"/>
      <c r="L428" s="103"/>
      <c r="M428" s="103"/>
      <c r="N428" s="103"/>
      <c r="O428" s="103"/>
      <c r="P428" s="103"/>
      <c r="Q428" s="103"/>
      <c r="R428" s="103"/>
      <c r="S428" s="103"/>
      <c r="T428" s="103"/>
      <c r="U428" s="103"/>
      <c r="V428" s="103"/>
      <c r="W428" s="103"/>
      <c r="X428" s="103"/>
      <c r="Y428" s="103"/>
      <c r="Z428" s="103"/>
      <c r="AA428" s="103"/>
    </row>
    <row r="429" spans="1:27" ht="15.75" customHeight="1">
      <c r="A429" s="103"/>
      <c r="B429" s="103"/>
      <c r="C429" s="103"/>
      <c r="D429" s="103"/>
      <c r="E429" s="103"/>
      <c r="F429" s="124"/>
      <c r="G429" s="124"/>
      <c r="H429" s="103"/>
      <c r="I429" s="103"/>
      <c r="J429" s="103"/>
      <c r="K429" s="103"/>
      <c r="L429" s="103"/>
      <c r="M429" s="103"/>
      <c r="N429" s="103"/>
      <c r="O429" s="103"/>
      <c r="P429" s="103"/>
      <c r="Q429" s="103"/>
      <c r="R429" s="103"/>
      <c r="S429" s="103"/>
      <c r="T429" s="103"/>
      <c r="U429" s="103"/>
      <c r="V429" s="103"/>
      <c r="W429" s="103"/>
      <c r="X429" s="103"/>
      <c r="Y429" s="103"/>
      <c r="Z429" s="103"/>
      <c r="AA429" s="103"/>
    </row>
    <row r="430" spans="1:27" ht="15.75" customHeight="1">
      <c r="A430" s="103"/>
      <c r="B430" s="103"/>
      <c r="C430" s="103"/>
      <c r="D430" s="103"/>
      <c r="E430" s="103"/>
      <c r="F430" s="124"/>
      <c r="G430" s="124"/>
      <c r="H430" s="103"/>
      <c r="I430" s="103"/>
      <c r="J430" s="103"/>
      <c r="K430" s="103"/>
      <c r="L430" s="103"/>
      <c r="M430" s="103"/>
      <c r="N430" s="103"/>
      <c r="O430" s="103"/>
      <c r="P430" s="103"/>
      <c r="Q430" s="103"/>
      <c r="R430" s="103"/>
      <c r="S430" s="103"/>
      <c r="T430" s="103"/>
      <c r="U430" s="103"/>
      <c r="V430" s="103"/>
      <c r="W430" s="103"/>
      <c r="X430" s="103"/>
      <c r="Y430" s="103"/>
      <c r="Z430" s="103"/>
      <c r="AA430" s="103"/>
    </row>
    <row r="431" spans="1:27" ht="15.75" customHeight="1">
      <c r="A431" s="103"/>
      <c r="B431" s="103"/>
      <c r="C431" s="103"/>
      <c r="D431" s="103"/>
      <c r="E431" s="103"/>
      <c r="F431" s="124"/>
      <c r="G431" s="124"/>
      <c r="H431" s="103"/>
      <c r="I431" s="103"/>
      <c r="J431" s="103"/>
      <c r="K431" s="103"/>
      <c r="L431" s="103"/>
      <c r="M431" s="103"/>
      <c r="N431" s="103"/>
      <c r="O431" s="103"/>
      <c r="P431" s="103"/>
      <c r="Q431" s="103"/>
      <c r="R431" s="103"/>
      <c r="S431" s="103"/>
      <c r="T431" s="103"/>
      <c r="U431" s="103"/>
      <c r="V431" s="103"/>
      <c r="W431" s="103"/>
      <c r="X431" s="103"/>
      <c r="Y431" s="103"/>
      <c r="Z431" s="103"/>
      <c r="AA431" s="103"/>
    </row>
    <row r="432" spans="1:27" ht="15.75" customHeight="1">
      <c r="A432" s="103"/>
      <c r="B432" s="103"/>
      <c r="C432" s="103"/>
      <c r="D432" s="103"/>
      <c r="E432" s="103"/>
      <c r="F432" s="124"/>
      <c r="G432" s="124"/>
      <c r="H432" s="103"/>
      <c r="I432" s="103"/>
      <c r="J432" s="103"/>
      <c r="K432" s="103"/>
      <c r="L432" s="103"/>
      <c r="M432" s="103"/>
      <c r="N432" s="103"/>
      <c r="O432" s="103"/>
      <c r="P432" s="103"/>
      <c r="Q432" s="103"/>
      <c r="R432" s="103"/>
      <c r="S432" s="103"/>
      <c r="T432" s="103"/>
      <c r="U432" s="103"/>
      <c r="V432" s="103"/>
      <c r="W432" s="103"/>
      <c r="X432" s="103"/>
      <c r="Y432" s="103"/>
      <c r="Z432" s="103"/>
      <c r="AA432" s="103"/>
    </row>
    <row r="433" spans="1:27" ht="15.75" customHeight="1">
      <c r="A433" s="103"/>
      <c r="B433" s="103"/>
      <c r="C433" s="103"/>
      <c r="D433" s="103"/>
      <c r="E433" s="103"/>
      <c r="F433" s="124"/>
      <c r="G433" s="124"/>
      <c r="H433" s="103"/>
      <c r="I433" s="103"/>
      <c r="J433" s="103"/>
      <c r="K433" s="103"/>
      <c r="L433" s="103"/>
      <c r="M433" s="103"/>
      <c r="N433" s="103"/>
      <c r="O433" s="103"/>
      <c r="P433" s="103"/>
      <c r="Q433" s="103"/>
      <c r="R433" s="103"/>
      <c r="S433" s="103"/>
      <c r="T433" s="103"/>
      <c r="U433" s="103"/>
      <c r="V433" s="103"/>
      <c r="W433" s="103"/>
      <c r="X433" s="103"/>
      <c r="Y433" s="103"/>
      <c r="Z433" s="103"/>
      <c r="AA433" s="103"/>
    </row>
    <row r="434" spans="1:27" ht="15.75" customHeight="1">
      <c r="A434" s="103"/>
      <c r="B434" s="103"/>
      <c r="C434" s="103"/>
      <c r="D434" s="103"/>
      <c r="E434" s="103"/>
      <c r="F434" s="124"/>
      <c r="G434" s="124"/>
      <c r="H434" s="103"/>
      <c r="I434" s="103"/>
      <c r="J434" s="103"/>
      <c r="K434" s="103"/>
      <c r="L434" s="103"/>
      <c r="M434" s="103"/>
      <c r="N434" s="103"/>
      <c r="O434" s="103"/>
      <c r="P434" s="103"/>
      <c r="Q434" s="103"/>
      <c r="R434" s="103"/>
      <c r="S434" s="103"/>
      <c r="T434" s="103"/>
      <c r="U434" s="103"/>
      <c r="V434" s="103"/>
      <c r="W434" s="103"/>
      <c r="X434" s="103"/>
      <c r="Y434" s="103"/>
      <c r="Z434" s="103"/>
      <c r="AA434" s="103"/>
    </row>
    <row r="435" spans="1:27" ht="15.75" customHeight="1">
      <c r="A435" s="103"/>
      <c r="B435" s="103"/>
      <c r="C435" s="103"/>
      <c r="D435" s="103"/>
      <c r="E435" s="103"/>
      <c r="F435" s="124"/>
      <c r="G435" s="124"/>
      <c r="H435" s="103"/>
      <c r="I435" s="103"/>
      <c r="J435" s="103"/>
      <c r="K435" s="103"/>
      <c r="L435" s="103"/>
      <c r="M435" s="103"/>
      <c r="N435" s="103"/>
      <c r="O435" s="103"/>
      <c r="P435" s="103"/>
      <c r="Q435" s="103"/>
      <c r="R435" s="103"/>
      <c r="S435" s="103"/>
      <c r="T435" s="103"/>
      <c r="U435" s="103"/>
      <c r="V435" s="103"/>
      <c r="W435" s="103"/>
      <c r="X435" s="103"/>
      <c r="Y435" s="103"/>
      <c r="Z435" s="103"/>
      <c r="AA435" s="103"/>
    </row>
    <row r="436" spans="1:27" ht="15.75" customHeight="1">
      <c r="A436" s="103"/>
      <c r="B436" s="103"/>
      <c r="C436" s="103"/>
      <c r="D436" s="103"/>
      <c r="E436" s="103"/>
      <c r="F436" s="124"/>
      <c r="G436" s="124"/>
      <c r="H436" s="103"/>
      <c r="I436" s="103"/>
      <c r="J436" s="103"/>
      <c r="K436" s="103"/>
      <c r="L436" s="103"/>
      <c r="M436" s="103"/>
      <c r="N436" s="103"/>
      <c r="O436" s="103"/>
      <c r="P436" s="103"/>
      <c r="Q436" s="103"/>
      <c r="R436" s="103"/>
      <c r="S436" s="103"/>
      <c r="T436" s="103"/>
      <c r="U436" s="103"/>
      <c r="V436" s="103"/>
      <c r="W436" s="103"/>
      <c r="X436" s="103"/>
      <c r="Y436" s="103"/>
      <c r="Z436" s="103"/>
      <c r="AA436" s="103"/>
    </row>
    <row r="437" spans="1:27" ht="15.75" customHeight="1">
      <c r="A437" s="103"/>
      <c r="B437" s="103"/>
      <c r="C437" s="103"/>
      <c r="D437" s="103"/>
      <c r="E437" s="103"/>
      <c r="F437" s="124"/>
      <c r="G437" s="124"/>
      <c r="H437" s="103"/>
      <c r="I437" s="103"/>
      <c r="J437" s="103"/>
      <c r="K437" s="103"/>
      <c r="L437" s="103"/>
      <c r="M437" s="103"/>
      <c r="N437" s="103"/>
      <c r="O437" s="103"/>
      <c r="P437" s="103"/>
      <c r="Q437" s="103"/>
      <c r="R437" s="103"/>
      <c r="S437" s="103"/>
      <c r="T437" s="103"/>
      <c r="U437" s="103"/>
      <c r="V437" s="103"/>
      <c r="W437" s="103"/>
      <c r="X437" s="103"/>
      <c r="Y437" s="103"/>
      <c r="Z437" s="103"/>
      <c r="AA437" s="103"/>
    </row>
    <row r="438" spans="1:27" ht="15.75" customHeight="1">
      <c r="A438" s="103"/>
      <c r="B438" s="103"/>
      <c r="C438" s="103"/>
      <c r="D438" s="103"/>
      <c r="E438" s="103"/>
      <c r="F438" s="124"/>
      <c r="G438" s="124"/>
      <c r="H438" s="103"/>
      <c r="I438" s="103"/>
      <c r="J438" s="103"/>
      <c r="K438" s="103"/>
      <c r="L438" s="103"/>
      <c r="M438" s="103"/>
      <c r="N438" s="103"/>
      <c r="O438" s="103"/>
      <c r="P438" s="103"/>
      <c r="Q438" s="103"/>
      <c r="R438" s="103"/>
      <c r="S438" s="103"/>
      <c r="T438" s="103"/>
      <c r="U438" s="103"/>
      <c r="V438" s="103"/>
      <c r="W438" s="103"/>
      <c r="X438" s="103"/>
      <c r="Y438" s="103"/>
      <c r="Z438" s="103"/>
      <c r="AA438" s="103"/>
    </row>
    <row r="439" spans="1:27" ht="15.75" customHeight="1">
      <c r="A439" s="103"/>
      <c r="B439" s="103"/>
      <c r="C439" s="103"/>
      <c r="D439" s="103"/>
      <c r="E439" s="103"/>
      <c r="F439" s="124"/>
      <c r="G439" s="124"/>
      <c r="H439" s="103"/>
      <c r="I439" s="103"/>
      <c r="J439" s="103"/>
      <c r="K439" s="103"/>
      <c r="L439" s="103"/>
      <c r="M439" s="103"/>
      <c r="N439" s="103"/>
      <c r="O439" s="103"/>
      <c r="P439" s="103"/>
      <c r="Q439" s="103"/>
      <c r="R439" s="103"/>
      <c r="S439" s="103"/>
      <c r="T439" s="103"/>
      <c r="U439" s="103"/>
      <c r="V439" s="103"/>
      <c r="W439" s="103"/>
      <c r="X439" s="103"/>
      <c r="Y439" s="103"/>
      <c r="Z439" s="103"/>
      <c r="AA439" s="103"/>
    </row>
    <row r="440" spans="1:27" ht="15.75" customHeight="1">
      <c r="A440" s="103"/>
      <c r="B440" s="103"/>
      <c r="C440" s="103"/>
      <c r="D440" s="103"/>
      <c r="E440" s="103"/>
      <c r="F440" s="124"/>
      <c r="G440" s="124"/>
      <c r="H440" s="103"/>
      <c r="I440" s="103"/>
      <c r="J440" s="103"/>
      <c r="K440" s="103"/>
      <c r="L440" s="103"/>
      <c r="M440" s="103"/>
      <c r="N440" s="103"/>
      <c r="O440" s="103"/>
      <c r="P440" s="103"/>
      <c r="Q440" s="103"/>
      <c r="R440" s="103"/>
      <c r="S440" s="103"/>
      <c r="T440" s="103"/>
      <c r="U440" s="103"/>
      <c r="V440" s="103"/>
      <c r="W440" s="103"/>
      <c r="X440" s="103"/>
      <c r="Y440" s="103"/>
      <c r="Z440" s="103"/>
      <c r="AA440" s="103"/>
    </row>
    <row r="441" spans="1:27" ht="15.75" customHeight="1">
      <c r="A441" s="103"/>
      <c r="B441" s="103"/>
      <c r="C441" s="103"/>
      <c r="D441" s="103"/>
      <c r="E441" s="103"/>
      <c r="F441" s="124"/>
      <c r="G441" s="124"/>
      <c r="H441" s="103"/>
      <c r="I441" s="103"/>
      <c r="J441" s="103"/>
      <c r="K441" s="103"/>
      <c r="L441" s="103"/>
      <c r="M441" s="103"/>
      <c r="N441" s="103"/>
      <c r="O441" s="103"/>
      <c r="P441" s="103"/>
      <c r="Q441" s="103"/>
      <c r="R441" s="103"/>
      <c r="S441" s="103"/>
      <c r="T441" s="103"/>
      <c r="U441" s="103"/>
      <c r="V441" s="103"/>
      <c r="W441" s="103"/>
      <c r="X441" s="103"/>
      <c r="Y441" s="103"/>
      <c r="Z441" s="103"/>
      <c r="AA441" s="103"/>
    </row>
    <row r="442" spans="1:27" ht="15.75" customHeight="1">
      <c r="A442" s="103"/>
      <c r="B442" s="103"/>
      <c r="C442" s="103"/>
      <c r="D442" s="103"/>
      <c r="E442" s="103"/>
      <c r="F442" s="124"/>
      <c r="G442" s="124"/>
      <c r="H442" s="103"/>
      <c r="I442" s="103"/>
      <c r="J442" s="103"/>
      <c r="K442" s="103"/>
      <c r="L442" s="103"/>
      <c r="M442" s="103"/>
      <c r="N442" s="103"/>
      <c r="O442" s="103"/>
      <c r="P442" s="103"/>
      <c r="Q442" s="103"/>
      <c r="R442" s="103"/>
      <c r="S442" s="103"/>
      <c r="T442" s="103"/>
      <c r="U442" s="103"/>
      <c r="V442" s="103"/>
      <c r="W442" s="103"/>
      <c r="X442" s="103"/>
      <c r="Y442" s="103"/>
      <c r="Z442" s="103"/>
      <c r="AA442" s="103"/>
    </row>
    <row r="443" spans="1:27" ht="15.75" customHeight="1">
      <c r="A443" s="103"/>
      <c r="B443" s="103"/>
      <c r="C443" s="103"/>
      <c r="D443" s="103"/>
      <c r="E443" s="103"/>
      <c r="F443" s="124"/>
      <c r="G443" s="124"/>
      <c r="H443" s="103"/>
      <c r="I443" s="103"/>
      <c r="J443" s="103"/>
      <c r="K443" s="103"/>
      <c r="L443" s="103"/>
      <c r="M443" s="103"/>
      <c r="N443" s="103"/>
      <c r="O443" s="103"/>
      <c r="P443" s="103"/>
      <c r="Q443" s="103"/>
      <c r="R443" s="103"/>
      <c r="S443" s="103"/>
      <c r="T443" s="103"/>
      <c r="U443" s="103"/>
      <c r="V443" s="103"/>
      <c r="W443" s="103"/>
      <c r="X443" s="103"/>
      <c r="Y443" s="103"/>
      <c r="Z443" s="103"/>
      <c r="AA443" s="103"/>
    </row>
    <row r="444" spans="1:27" ht="15.75" customHeight="1">
      <c r="A444" s="103"/>
      <c r="B444" s="103"/>
      <c r="C444" s="103"/>
      <c r="D444" s="103"/>
      <c r="E444" s="103"/>
      <c r="F444" s="124"/>
      <c r="G444" s="124"/>
      <c r="H444" s="103"/>
      <c r="I444" s="103"/>
      <c r="J444" s="103"/>
      <c r="K444" s="103"/>
      <c r="L444" s="103"/>
      <c r="M444" s="103"/>
      <c r="N444" s="103"/>
      <c r="O444" s="103"/>
      <c r="P444" s="103"/>
      <c r="Q444" s="103"/>
      <c r="R444" s="103"/>
      <c r="S444" s="103"/>
      <c r="T444" s="103"/>
      <c r="U444" s="103"/>
      <c r="V444" s="103"/>
      <c r="W444" s="103"/>
      <c r="X444" s="103"/>
      <c r="Y444" s="103"/>
      <c r="Z444" s="103"/>
      <c r="AA444" s="103"/>
    </row>
    <row r="445" spans="1:27" ht="15.75" customHeight="1">
      <c r="A445" s="103"/>
      <c r="B445" s="103"/>
      <c r="C445" s="103"/>
      <c r="D445" s="103"/>
      <c r="E445" s="103"/>
      <c r="F445" s="124"/>
      <c r="G445" s="124"/>
      <c r="H445" s="103"/>
      <c r="I445" s="103"/>
      <c r="J445" s="103"/>
      <c r="K445" s="103"/>
      <c r="L445" s="103"/>
      <c r="M445" s="103"/>
      <c r="N445" s="103"/>
      <c r="O445" s="103"/>
      <c r="P445" s="103"/>
      <c r="Q445" s="103"/>
      <c r="R445" s="103"/>
      <c r="S445" s="103"/>
      <c r="T445" s="103"/>
      <c r="U445" s="103"/>
      <c r="V445" s="103"/>
      <c r="W445" s="103"/>
      <c r="X445" s="103"/>
      <c r="Y445" s="103"/>
      <c r="Z445" s="103"/>
      <c r="AA445" s="103"/>
    </row>
    <row r="446" spans="1:27" ht="15.75" customHeight="1">
      <c r="A446" s="103"/>
      <c r="B446" s="103"/>
      <c r="C446" s="103"/>
      <c r="D446" s="103"/>
      <c r="E446" s="103"/>
      <c r="F446" s="124"/>
      <c r="G446" s="124"/>
      <c r="H446" s="103"/>
      <c r="I446" s="103"/>
      <c r="J446" s="103"/>
      <c r="K446" s="103"/>
      <c r="L446" s="103"/>
      <c r="M446" s="103"/>
      <c r="N446" s="103"/>
      <c r="O446" s="103"/>
      <c r="P446" s="103"/>
      <c r="Q446" s="103"/>
      <c r="R446" s="103"/>
      <c r="S446" s="103"/>
      <c r="T446" s="103"/>
      <c r="U446" s="103"/>
      <c r="V446" s="103"/>
      <c r="W446" s="103"/>
      <c r="X446" s="103"/>
      <c r="Y446" s="103"/>
      <c r="Z446" s="103"/>
      <c r="AA446" s="103"/>
    </row>
    <row r="447" spans="1:27" ht="15.75" customHeight="1">
      <c r="A447" s="103"/>
      <c r="B447" s="103"/>
      <c r="C447" s="103"/>
      <c r="D447" s="103"/>
      <c r="E447" s="103"/>
      <c r="F447" s="124"/>
      <c r="G447" s="124"/>
      <c r="H447" s="103"/>
      <c r="I447" s="103"/>
      <c r="J447" s="103"/>
      <c r="K447" s="103"/>
      <c r="L447" s="103"/>
      <c r="M447" s="103"/>
      <c r="N447" s="103"/>
      <c r="O447" s="103"/>
      <c r="P447" s="103"/>
      <c r="Q447" s="103"/>
      <c r="R447" s="103"/>
      <c r="S447" s="103"/>
      <c r="T447" s="103"/>
      <c r="U447" s="103"/>
      <c r="V447" s="103"/>
      <c r="W447" s="103"/>
      <c r="X447" s="103"/>
      <c r="Y447" s="103"/>
      <c r="Z447" s="103"/>
      <c r="AA447" s="103"/>
    </row>
    <row r="448" spans="1:27" ht="15.75" customHeight="1">
      <c r="A448" s="103"/>
      <c r="B448" s="103"/>
      <c r="C448" s="103"/>
      <c r="D448" s="103"/>
      <c r="E448" s="103"/>
      <c r="F448" s="124"/>
      <c r="G448" s="124"/>
      <c r="H448" s="103"/>
      <c r="I448" s="103"/>
      <c r="J448" s="103"/>
      <c r="K448" s="103"/>
      <c r="L448" s="103"/>
      <c r="M448" s="103"/>
      <c r="N448" s="103"/>
      <c r="O448" s="103"/>
      <c r="P448" s="103"/>
      <c r="Q448" s="103"/>
      <c r="R448" s="103"/>
      <c r="S448" s="103"/>
      <c r="T448" s="103"/>
      <c r="U448" s="103"/>
      <c r="V448" s="103"/>
      <c r="W448" s="103"/>
      <c r="X448" s="103"/>
      <c r="Y448" s="103"/>
      <c r="Z448" s="103"/>
      <c r="AA448" s="103"/>
    </row>
    <row r="449" spans="1:27" ht="15.75" customHeight="1">
      <c r="A449" s="103"/>
      <c r="B449" s="103"/>
      <c r="C449" s="103"/>
      <c r="D449" s="103"/>
      <c r="E449" s="103"/>
      <c r="F449" s="124"/>
      <c r="G449" s="124"/>
      <c r="H449" s="103"/>
      <c r="I449" s="103"/>
      <c r="J449" s="103"/>
      <c r="K449" s="103"/>
      <c r="L449" s="103"/>
      <c r="M449" s="103"/>
      <c r="N449" s="103"/>
      <c r="O449" s="103"/>
      <c r="P449" s="103"/>
      <c r="Q449" s="103"/>
      <c r="R449" s="103"/>
      <c r="S449" s="103"/>
      <c r="T449" s="103"/>
      <c r="U449" s="103"/>
      <c r="V449" s="103"/>
      <c r="W449" s="103"/>
      <c r="X449" s="103"/>
      <c r="Y449" s="103"/>
      <c r="Z449" s="103"/>
      <c r="AA449" s="103"/>
    </row>
    <row r="450" spans="1:27" ht="15.75" customHeight="1">
      <c r="A450" s="103"/>
      <c r="B450" s="103"/>
      <c r="C450" s="103"/>
      <c r="D450" s="103"/>
      <c r="E450" s="103"/>
      <c r="F450" s="124"/>
      <c r="G450" s="124"/>
      <c r="H450" s="103"/>
      <c r="I450" s="103"/>
      <c r="J450" s="103"/>
      <c r="K450" s="103"/>
      <c r="L450" s="103"/>
      <c r="M450" s="103"/>
      <c r="N450" s="103"/>
      <c r="O450" s="103"/>
      <c r="P450" s="103"/>
      <c r="Q450" s="103"/>
      <c r="R450" s="103"/>
      <c r="S450" s="103"/>
      <c r="T450" s="103"/>
      <c r="U450" s="103"/>
      <c r="V450" s="103"/>
      <c r="W450" s="103"/>
      <c r="X450" s="103"/>
      <c r="Y450" s="103"/>
      <c r="Z450" s="103"/>
      <c r="AA450" s="103"/>
    </row>
    <row r="451" spans="1:27" ht="15.75" customHeight="1">
      <c r="A451" s="103"/>
      <c r="B451" s="103"/>
      <c r="C451" s="103"/>
      <c r="D451" s="103"/>
      <c r="E451" s="103"/>
      <c r="F451" s="124"/>
      <c r="G451" s="124"/>
      <c r="H451" s="103"/>
      <c r="I451" s="103"/>
      <c r="J451" s="103"/>
      <c r="K451" s="103"/>
      <c r="L451" s="103"/>
      <c r="M451" s="103"/>
      <c r="N451" s="103"/>
      <c r="O451" s="103"/>
      <c r="P451" s="103"/>
      <c r="Q451" s="103"/>
      <c r="R451" s="103"/>
      <c r="S451" s="103"/>
      <c r="T451" s="103"/>
      <c r="U451" s="103"/>
      <c r="V451" s="103"/>
      <c r="W451" s="103"/>
      <c r="X451" s="103"/>
      <c r="Y451" s="103"/>
      <c r="Z451" s="103"/>
      <c r="AA451" s="103"/>
    </row>
    <row r="452" spans="1:27" ht="15.75" customHeight="1">
      <c r="A452" s="103"/>
      <c r="B452" s="103"/>
      <c r="C452" s="103"/>
      <c r="D452" s="103"/>
      <c r="E452" s="103"/>
      <c r="F452" s="124"/>
      <c r="G452" s="124"/>
      <c r="H452" s="103"/>
      <c r="I452" s="103"/>
      <c r="J452" s="103"/>
      <c r="K452" s="103"/>
      <c r="L452" s="103"/>
      <c r="M452" s="103"/>
      <c r="N452" s="103"/>
      <c r="O452" s="103"/>
      <c r="P452" s="103"/>
      <c r="Q452" s="103"/>
      <c r="R452" s="103"/>
      <c r="S452" s="103"/>
      <c r="T452" s="103"/>
      <c r="U452" s="103"/>
      <c r="V452" s="103"/>
      <c r="W452" s="103"/>
      <c r="X452" s="103"/>
      <c r="Y452" s="103"/>
      <c r="Z452" s="103"/>
      <c r="AA452" s="103"/>
    </row>
    <row r="453" spans="1:27" ht="15.75" customHeight="1">
      <c r="A453" s="103"/>
      <c r="B453" s="103"/>
      <c r="C453" s="103"/>
      <c r="D453" s="103"/>
      <c r="E453" s="103"/>
      <c r="F453" s="124"/>
      <c r="G453" s="124"/>
      <c r="H453" s="103"/>
      <c r="I453" s="103"/>
      <c r="J453" s="103"/>
      <c r="K453" s="103"/>
      <c r="L453" s="103"/>
      <c r="M453" s="103"/>
      <c r="N453" s="103"/>
      <c r="O453" s="103"/>
      <c r="P453" s="103"/>
      <c r="Q453" s="103"/>
      <c r="R453" s="103"/>
      <c r="S453" s="103"/>
      <c r="T453" s="103"/>
      <c r="U453" s="103"/>
      <c r="V453" s="103"/>
      <c r="W453" s="103"/>
      <c r="X453" s="103"/>
      <c r="Y453" s="103"/>
      <c r="Z453" s="103"/>
      <c r="AA453" s="103"/>
    </row>
    <row r="454" spans="1:27" ht="15.75" customHeight="1">
      <c r="A454" s="103"/>
      <c r="B454" s="103"/>
      <c r="C454" s="103"/>
      <c r="D454" s="103"/>
      <c r="E454" s="103"/>
      <c r="F454" s="124"/>
      <c r="G454" s="124"/>
      <c r="H454" s="103"/>
      <c r="I454" s="103"/>
      <c r="J454" s="103"/>
      <c r="K454" s="103"/>
      <c r="L454" s="103"/>
      <c r="M454" s="103"/>
      <c r="N454" s="103"/>
      <c r="O454" s="103"/>
      <c r="P454" s="103"/>
      <c r="Q454" s="103"/>
      <c r="R454" s="103"/>
      <c r="S454" s="103"/>
      <c r="T454" s="103"/>
      <c r="U454" s="103"/>
      <c r="V454" s="103"/>
      <c r="W454" s="103"/>
      <c r="X454" s="103"/>
      <c r="Y454" s="103"/>
      <c r="Z454" s="103"/>
      <c r="AA454" s="103"/>
    </row>
    <row r="455" spans="1:27" ht="15.75" customHeight="1">
      <c r="A455" s="103"/>
      <c r="B455" s="103"/>
      <c r="C455" s="103"/>
      <c r="D455" s="103"/>
      <c r="E455" s="103"/>
      <c r="F455" s="124"/>
      <c r="G455" s="124"/>
      <c r="H455" s="103"/>
      <c r="I455" s="103"/>
      <c r="J455" s="103"/>
      <c r="K455" s="103"/>
      <c r="L455" s="103"/>
      <c r="M455" s="103"/>
      <c r="N455" s="103"/>
      <c r="O455" s="103"/>
      <c r="P455" s="103"/>
      <c r="Q455" s="103"/>
      <c r="R455" s="103"/>
      <c r="S455" s="103"/>
      <c r="T455" s="103"/>
      <c r="U455" s="103"/>
      <c r="V455" s="103"/>
      <c r="W455" s="103"/>
      <c r="X455" s="103"/>
      <c r="Y455" s="103"/>
      <c r="Z455" s="103"/>
      <c r="AA455" s="103"/>
    </row>
    <row r="456" spans="1:27" ht="15.75" customHeight="1">
      <c r="A456" s="103"/>
      <c r="B456" s="103"/>
      <c r="C456" s="103"/>
      <c r="D456" s="103"/>
      <c r="E456" s="103"/>
      <c r="F456" s="124"/>
      <c r="G456" s="124"/>
      <c r="H456" s="103"/>
      <c r="I456" s="103"/>
      <c r="J456" s="103"/>
      <c r="K456" s="103"/>
      <c r="L456" s="103"/>
      <c r="M456" s="103"/>
      <c r="N456" s="103"/>
      <c r="O456" s="103"/>
      <c r="P456" s="103"/>
      <c r="Q456" s="103"/>
      <c r="R456" s="103"/>
      <c r="S456" s="103"/>
      <c r="T456" s="103"/>
      <c r="U456" s="103"/>
      <c r="V456" s="103"/>
      <c r="W456" s="103"/>
      <c r="X456" s="103"/>
      <c r="Y456" s="103"/>
      <c r="Z456" s="103"/>
      <c r="AA456" s="103"/>
    </row>
    <row r="457" spans="1:27" ht="15.75" customHeight="1">
      <c r="A457" s="103"/>
      <c r="B457" s="103"/>
      <c r="C457" s="103"/>
      <c r="D457" s="103"/>
      <c r="E457" s="103"/>
      <c r="F457" s="124"/>
      <c r="G457" s="124"/>
      <c r="H457" s="103"/>
      <c r="I457" s="103"/>
      <c r="J457" s="103"/>
      <c r="K457" s="103"/>
      <c r="L457" s="103"/>
      <c r="M457" s="103"/>
      <c r="N457" s="103"/>
      <c r="O457" s="103"/>
      <c r="P457" s="103"/>
      <c r="Q457" s="103"/>
      <c r="R457" s="103"/>
      <c r="S457" s="103"/>
      <c r="T457" s="103"/>
      <c r="U457" s="103"/>
      <c r="V457" s="103"/>
      <c r="W457" s="103"/>
      <c r="X457" s="103"/>
      <c r="Y457" s="103"/>
      <c r="Z457" s="103"/>
      <c r="AA457" s="103"/>
    </row>
    <row r="458" spans="1:27" ht="15.75" customHeight="1">
      <c r="A458" s="103"/>
      <c r="B458" s="103"/>
      <c r="C458" s="103"/>
      <c r="D458" s="103"/>
      <c r="E458" s="103"/>
      <c r="F458" s="124"/>
      <c r="G458" s="124"/>
      <c r="H458" s="103"/>
      <c r="I458" s="103"/>
      <c r="J458" s="103"/>
      <c r="K458" s="103"/>
      <c r="L458" s="103"/>
      <c r="M458" s="103"/>
      <c r="N458" s="103"/>
      <c r="O458" s="103"/>
      <c r="P458" s="103"/>
      <c r="Q458" s="103"/>
      <c r="R458" s="103"/>
      <c r="S458" s="103"/>
      <c r="T458" s="103"/>
      <c r="U458" s="103"/>
      <c r="V458" s="103"/>
      <c r="W458" s="103"/>
      <c r="X458" s="103"/>
      <c r="Y458" s="103"/>
      <c r="Z458" s="103"/>
      <c r="AA458" s="103"/>
    </row>
    <row r="459" spans="1:27" ht="15.75" customHeight="1">
      <c r="A459" s="103"/>
      <c r="B459" s="103"/>
      <c r="C459" s="103"/>
      <c r="D459" s="103"/>
      <c r="E459" s="103"/>
      <c r="F459" s="124"/>
      <c r="G459" s="124"/>
      <c r="H459" s="103"/>
      <c r="I459" s="103"/>
      <c r="J459" s="103"/>
      <c r="K459" s="103"/>
      <c r="L459" s="103"/>
      <c r="M459" s="103"/>
      <c r="N459" s="103"/>
      <c r="O459" s="103"/>
      <c r="P459" s="103"/>
      <c r="Q459" s="103"/>
      <c r="R459" s="103"/>
      <c r="S459" s="103"/>
      <c r="T459" s="103"/>
      <c r="U459" s="103"/>
      <c r="V459" s="103"/>
      <c r="W459" s="103"/>
      <c r="X459" s="103"/>
      <c r="Y459" s="103"/>
      <c r="Z459" s="103"/>
      <c r="AA459" s="103"/>
    </row>
    <row r="460" spans="1:27" ht="15.75" customHeight="1">
      <c r="A460" s="103"/>
      <c r="B460" s="103"/>
      <c r="C460" s="103"/>
      <c r="D460" s="103"/>
      <c r="E460" s="103"/>
      <c r="F460" s="124"/>
      <c r="G460" s="124"/>
      <c r="H460" s="103"/>
      <c r="I460" s="103"/>
      <c r="J460" s="103"/>
      <c r="K460" s="103"/>
      <c r="L460" s="103"/>
      <c r="M460" s="103"/>
      <c r="N460" s="103"/>
      <c r="O460" s="103"/>
      <c r="P460" s="103"/>
      <c r="Q460" s="103"/>
      <c r="R460" s="103"/>
      <c r="S460" s="103"/>
      <c r="T460" s="103"/>
      <c r="U460" s="103"/>
      <c r="V460" s="103"/>
      <c r="W460" s="103"/>
      <c r="X460" s="103"/>
      <c r="Y460" s="103"/>
      <c r="Z460" s="103"/>
      <c r="AA460" s="103"/>
    </row>
    <row r="461" spans="1:27" ht="15.75" customHeight="1">
      <c r="A461" s="103"/>
      <c r="B461" s="103"/>
      <c r="C461" s="103"/>
      <c r="D461" s="103"/>
      <c r="E461" s="103"/>
      <c r="F461" s="124"/>
      <c r="G461" s="124"/>
      <c r="H461" s="103"/>
      <c r="I461" s="103"/>
      <c r="J461" s="103"/>
      <c r="K461" s="103"/>
      <c r="L461" s="103"/>
      <c r="M461" s="103"/>
      <c r="N461" s="103"/>
      <c r="O461" s="103"/>
      <c r="P461" s="103"/>
      <c r="Q461" s="103"/>
      <c r="R461" s="103"/>
      <c r="S461" s="103"/>
      <c r="T461" s="103"/>
      <c r="U461" s="103"/>
      <c r="V461" s="103"/>
      <c r="W461" s="103"/>
      <c r="X461" s="103"/>
      <c r="Y461" s="103"/>
      <c r="Z461" s="103"/>
      <c r="AA461" s="103"/>
    </row>
    <row r="462" spans="1:27" ht="15.75" customHeight="1">
      <c r="A462" s="103"/>
      <c r="B462" s="103"/>
      <c r="C462" s="103"/>
      <c r="D462" s="103"/>
      <c r="E462" s="103"/>
      <c r="F462" s="124"/>
      <c r="G462" s="124"/>
      <c r="H462" s="103"/>
      <c r="I462" s="103"/>
      <c r="J462" s="103"/>
      <c r="K462" s="103"/>
      <c r="L462" s="103"/>
      <c r="M462" s="103"/>
      <c r="N462" s="103"/>
      <c r="O462" s="103"/>
      <c r="P462" s="103"/>
      <c r="Q462" s="103"/>
      <c r="R462" s="103"/>
      <c r="S462" s="103"/>
      <c r="T462" s="103"/>
      <c r="U462" s="103"/>
      <c r="V462" s="103"/>
      <c r="W462" s="103"/>
      <c r="X462" s="103"/>
      <c r="Y462" s="103"/>
      <c r="Z462" s="103"/>
      <c r="AA462" s="103"/>
    </row>
    <row r="463" spans="1:27" ht="15.75" customHeight="1">
      <c r="A463" s="103"/>
      <c r="B463" s="103"/>
      <c r="C463" s="103"/>
      <c r="D463" s="103"/>
      <c r="E463" s="103"/>
      <c r="F463" s="124"/>
      <c r="G463" s="124"/>
      <c r="H463" s="103"/>
      <c r="I463" s="103"/>
      <c r="J463" s="103"/>
      <c r="K463" s="103"/>
      <c r="L463" s="103"/>
      <c r="M463" s="103"/>
      <c r="N463" s="103"/>
      <c r="O463" s="103"/>
      <c r="P463" s="103"/>
      <c r="Q463" s="103"/>
      <c r="R463" s="103"/>
      <c r="S463" s="103"/>
      <c r="T463" s="103"/>
      <c r="U463" s="103"/>
      <c r="V463" s="103"/>
      <c r="W463" s="103"/>
      <c r="X463" s="103"/>
      <c r="Y463" s="103"/>
      <c r="Z463" s="103"/>
      <c r="AA463" s="103"/>
    </row>
    <row r="464" spans="1:27" ht="15.75" customHeight="1">
      <c r="A464" s="103"/>
      <c r="B464" s="103"/>
      <c r="C464" s="103"/>
      <c r="D464" s="103"/>
      <c r="E464" s="103"/>
      <c r="F464" s="124"/>
      <c r="G464" s="124"/>
      <c r="H464" s="103"/>
      <c r="I464" s="103"/>
      <c r="J464" s="103"/>
      <c r="K464" s="103"/>
      <c r="L464" s="103"/>
      <c r="M464" s="103"/>
      <c r="N464" s="103"/>
      <c r="O464" s="103"/>
      <c r="P464" s="103"/>
      <c r="Q464" s="103"/>
      <c r="R464" s="103"/>
      <c r="S464" s="103"/>
      <c r="T464" s="103"/>
      <c r="U464" s="103"/>
      <c r="V464" s="103"/>
      <c r="W464" s="103"/>
      <c r="X464" s="103"/>
      <c r="Y464" s="103"/>
      <c r="Z464" s="103"/>
      <c r="AA464" s="103"/>
    </row>
    <row r="465" spans="1:27" ht="15.75" customHeight="1">
      <c r="A465" s="103"/>
      <c r="B465" s="103"/>
      <c r="C465" s="103"/>
      <c r="D465" s="103"/>
      <c r="E465" s="103"/>
      <c r="F465" s="124"/>
      <c r="G465" s="124"/>
      <c r="H465" s="103"/>
      <c r="I465" s="103"/>
      <c r="J465" s="103"/>
      <c r="K465" s="103"/>
      <c r="L465" s="103"/>
      <c r="M465" s="103"/>
      <c r="N465" s="103"/>
      <c r="O465" s="103"/>
      <c r="P465" s="103"/>
      <c r="Q465" s="103"/>
      <c r="R465" s="103"/>
      <c r="S465" s="103"/>
      <c r="T465" s="103"/>
      <c r="U465" s="103"/>
      <c r="V465" s="103"/>
      <c r="W465" s="103"/>
      <c r="X465" s="103"/>
      <c r="Y465" s="103"/>
      <c r="Z465" s="103"/>
      <c r="AA465" s="103"/>
    </row>
    <row r="466" spans="1:27" ht="15.75" customHeight="1">
      <c r="A466" s="103"/>
      <c r="B466" s="103"/>
      <c r="C466" s="103"/>
      <c r="D466" s="103"/>
      <c r="E466" s="103"/>
      <c r="F466" s="124"/>
      <c r="G466" s="124"/>
      <c r="H466" s="103"/>
      <c r="I466" s="103"/>
      <c r="J466" s="103"/>
      <c r="K466" s="103"/>
      <c r="L466" s="103"/>
      <c r="M466" s="103"/>
      <c r="N466" s="103"/>
      <c r="O466" s="103"/>
      <c r="P466" s="103"/>
      <c r="Q466" s="103"/>
      <c r="R466" s="103"/>
      <c r="S466" s="103"/>
      <c r="T466" s="103"/>
      <c r="U466" s="103"/>
      <c r="V466" s="103"/>
      <c r="W466" s="103"/>
      <c r="X466" s="103"/>
      <c r="Y466" s="103"/>
      <c r="Z466" s="103"/>
      <c r="AA466" s="103"/>
    </row>
    <row r="467" spans="1:27" ht="15.75" customHeight="1">
      <c r="A467" s="103"/>
      <c r="B467" s="103"/>
      <c r="C467" s="103"/>
      <c r="D467" s="103"/>
      <c r="E467" s="103"/>
      <c r="F467" s="124"/>
      <c r="G467" s="124"/>
      <c r="H467" s="103"/>
      <c r="I467" s="103"/>
      <c r="J467" s="103"/>
      <c r="K467" s="103"/>
      <c r="L467" s="103"/>
      <c r="M467" s="103"/>
      <c r="N467" s="103"/>
      <c r="O467" s="103"/>
      <c r="P467" s="103"/>
      <c r="Q467" s="103"/>
      <c r="R467" s="103"/>
      <c r="S467" s="103"/>
      <c r="T467" s="103"/>
      <c r="U467" s="103"/>
      <c r="V467" s="103"/>
      <c r="W467" s="103"/>
      <c r="X467" s="103"/>
      <c r="Y467" s="103"/>
      <c r="Z467" s="103"/>
      <c r="AA467" s="103"/>
    </row>
    <row r="468" spans="1:27" ht="15.75" customHeight="1">
      <c r="A468" s="103"/>
      <c r="B468" s="103"/>
      <c r="C468" s="103"/>
      <c r="D468" s="103"/>
      <c r="E468" s="103"/>
      <c r="F468" s="124"/>
      <c r="G468" s="124"/>
      <c r="H468" s="103"/>
      <c r="I468" s="103"/>
      <c r="J468" s="103"/>
      <c r="K468" s="103"/>
      <c r="L468" s="103"/>
      <c r="M468" s="103"/>
      <c r="N468" s="103"/>
      <c r="O468" s="103"/>
      <c r="P468" s="103"/>
      <c r="Q468" s="103"/>
      <c r="R468" s="103"/>
      <c r="S468" s="103"/>
      <c r="T468" s="103"/>
      <c r="U468" s="103"/>
      <c r="V468" s="103"/>
      <c r="W468" s="103"/>
      <c r="X468" s="103"/>
      <c r="Y468" s="103"/>
      <c r="Z468" s="103"/>
      <c r="AA468" s="103"/>
    </row>
    <row r="469" spans="1:27" ht="15.75" customHeight="1">
      <c r="A469" s="103"/>
      <c r="B469" s="103"/>
      <c r="C469" s="103"/>
      <c r="D469" s="103"/>
      <c r="E469" s="103"/>
      <c r="F469" s="124"/>
      <c r="G469" s="124"/>
      <c r="H469" s="103"/>
      <c r="I469" s="103"/>
      <c r="J469" s="103"/>
      <c r="K469" s="103"/>
      <c r="L469" s="103"/>
      <c r="M469" s="103"/>
      <c r="N469" s="103"/>
      <c r="O469" s="103"/>
      <c r="P469" s="103"/>
      <c r="Q469" s="103"/>
      <c r="R469" s="103"/>
      <c r="S469" s="103"/>
      <c r="T469" s="103"/>
      <c r="U469" s="103"/>
      <c r="V469" s="103"/>
      <c r="W469" s="103"/>
      <c r="X469" s="103"/>
      <c r="Y469" s="103"/>
      <c r="Z469" s="103"/>
      <c r="AA469" s="103"/>
    </row>
    <row r="470" spans="1:27" ht="15.75" customHeight="1">
      <c r="A470" s="103"/>
      <c r="B470" s="103"/>
      <c r="C470" s="103"/>
      <c r="D470" s="103"/>
      <c r="E470" s="103"/>
      <c r="F470" s="124"/>
      <c r="G470" s="124"/>
      <c r="H470" s="103"/>
      <c r="I470" s="103"/>
      <c r="J470" s="103"/>
      <c r="K470" s="103"/>
      <c r="L470" s="103"/>
      <c r="M470" s="103"/>
      <c r="N470" s="103"/>
      <c r="O470" s="103"/>
      <c r="P470" s="103"/>
      <c r="Q470" s="103"/>
      <c r="R470" s="103"/>
      <c r="S470" s="103"/>
      <c r="T470" s="103"/>
      <c r="U470" s="103"/>
      <c r="V470" s="103"/>
      <c r="W470" s="103"/>
      <c r="X470" s="103"/>
      <c r="Y470" s="103"/>
      <c r="Z470" s="103"/>
      <c r="AA470" s="103"/>
    </row>
    <row r="471" spans="1:27" ht="15.75" customHeight="1">
      <c r="A471" s="103"/>
      <c r="B471" s="103"/>
      <c r="C471" s="103"/>
      <c r="D471" s="103"/>
      <c r="E471" s="103"/>
      <c r="F471" s="124"/>
      <c r="G471" s="124"/>
      <c r="H471" s="103"/>
      <c r="I471" s="103"/>
      <c r="J471" s="103"/>
      <c r="K471" s="103"/>
      <c r="L471" s="103"/>
      <c r="M471" s="103"/>
      <c r="N471" s="103"/>
      <c r="O471" s="103"/>
      <c r="P471" s="103"/>
      <c r="Q471" s="103"/>
      <c r="R471" s="103"/>
      <c r="S471" s="103"/>
      <c r="T471" s="103"/>
      <c r="U471" s="103"/>
      <c r="V471" s="103"/>
      <c r="W471" s="103"/>
      <c r="X471" s="103"/>
      <c r="Y471" s="103"/>
      <c r="Z471" s="103"/>
      <c r="AA471" s="103"/>
    </row>
    <row r="472" spans="1:27" ht="15.75" customHeight="1">
      <c r="A472" s="103"/>
      <c r="B472" s="103"/>
      <c r="C472" s="103"/>
      <c r="D472" s="103"/>
      <c r="E472" s="103"/>
      <c r="F472" s="124"/>
      <c r="G472" s="124"/>
      <c r="H472" s="103"/>
      <c r="I472" s="103"/>
      <c r="J472" s="103"/>
      <c r="K472" s="103"/>
      <c r="L472" s="103"/>
      <c r="M472" s="103"/>
      <c r="N472" s="103"/>
      <c r="O472" s="103"/>
      <c r="P472" s="103"/>
      <c r="Q472" s="103"/>
      <c r="R472" s="103"/>
      <c r="S472" s="103"/>
      <c r="T472" s="103"/>
      <c r="U472" s="103"/>
      <c r="V472" s="103"/>
      <c r="W472" s="103"/>
      <c r="X472" s="103"/>
      <c r="Y472" s="103"/>
      <c r="Z472" s="103"/>
      <c r="AA472" s="103"/>
    </row>
    <row r="473" spans="1:27" ht="15.75" customHeight="1">
      <c r="A473" s="103"/>
      <c r="B473" s="103"/>
      <c r="C473" s="103"/>
      <c r="D473" s="103"/>
      <c r="E473" s="103"/>
      <c r="F473" s="124"/>
      <c r="G473" s="124"/>
      <c r="H473" s="103"/>
      <c r="I473" s="103"/>
      <c r="J473" s="103"/>
      <c r="K473" s="103"/>
      <c r="L473" s="103"/>
      <c r="M473" s="103"/>
      <c r="N473" s="103"/>
      <c r="O473" s="103"/>
      <c r="P473" s="103"/>
      <c r="Q473" s="103"/>
      <c r="R473" s="103"/>
      <c r="S473" s="103"/>
      <c r="T473" s="103"/>
      <c r="U473" s="103"/>
      <c r="V473" s="103"/>
      <c r="W473" s="103"/>
      <c r="X473" s="103"/>
      <c r="Y473" s="103"/>
      <c r="Z473" s="103"/>
      <c r="AA473" s="103"/>
    </row>
    <row r="474" spans="1:27" ht="15.75" customHeight="1">
      <c r="A474" s="103"/>
      <c r="B474" s="103"/>
      <c r="C474" s="103"/>
      <c r="D474" s="103"/>
      <c r="E474" s="103"/>
      <c r="F474" s="124"/>
      <c r="G474" s="124"/>
      <c r="H474" s="103"/>
      <c r="I474" s="103"/>
      <c r="J474" s="103"/>
      <c r="K474" s="103"/>
      <c r="L474" s="103"/>
      <c r="M474" s="103"/>
      <c r="N474" s="103"/>
      <c r="O474" s="103"/>
      <c r="P474" s="103"/>
      <c r="Q474" s="103"/>
      <c r="R474" s="103"/>
      <c r="S474" s="103"/>
      <c r="T474" s="103"/>
      <c r="U474" s="103"/>
      <c r="V474" s="103"/>
      <c r="W474" s="103"/>
      <c r="X474" s="103"/>
      <c r="Y474" s="103"/>
      <c r="Z474" s="103"/>
      <c r="AA474" s="103"/>
    </row>
    <row r="475" spans="1:27" ht="15.75" customHeight="1">
      <c r="A475" s="103"/>
      <c r="B475" s="103"/>
      <c r="C475" s="103"/>
      <c r="D475" s="103"/>
      <c r="E475" s="103"/>
      <c r="F475" s="124"/>
      <c r="G475" s="124"/>
      <c r="H475" s="103"/>
      <c r="I475" s="103"/>
      <c r="J475" s="103"/>
      <c r="K475" s="103"/>
      <c r="L475" s="103"/>
      <c r="M475" s="103"/>
      <c r="N475" s="103"/>
      <c r="O475" s="103"/>
      <c r="P475" s="103"/>
      <c r="Q475" s="103"/>
      <c r="R475" s="103"/>
      <c r="S475" s="103"/>
      <c r="T475" s="103"/>
      <c r="U475" s="103"/>
      <c r="V475" s="103"/>
      <c r="W475" s="103"/>
      <c r="X475" s="103"/>
      <c r="Y475" s="103"/>
      <c r="Z475" s="103"/>
      <c r="AA475" s="103"/>
    </row>
    <row r="476" spans="1:27" ht="15.75" customHeight="1">
      <c r="A476" s="103"/>
      <c r="B476" s="103"/>
      <c r="C476" s="103"/>
      <c r="D476" s="103"/>
      <c r="E476" s="103"/>
      <c r="F476" s="124"/>
      <c r="G476" s="124"/>
      <c r="H476" s="103"/>
      <c r="I476" s="103"/>
      <c r="J476" s="103"/>
      <c r="K476" s="103"/>
      <c r="L476" s="103"/>
      <c r="M476" s="103"/>
      <c r="N476" s="103"/>
      <c r="O476" s="103"/>
      <c r="P476" s="103"/>
      <c r="Q476" s="103"/>
      <c r="R476" s="103"/>
      <c r="S476" s="103"/>
      <c r="T476" s="103"/>
      <c r="U476" s="103"/>
      <c r="V476" s="103"/>
      <c r="W476" s="103"/>
      <c r="X476" s="103"/>
      <c r="Y476" s="103"/>
      <c r="Z476" s="103"/>
      <c r="AA476" s="103"/>
    </row>
    <row r="477" spans="1:27" ht="15.75" customHeight="1">
      <c r="A477" s="103"/>
      <c r="B477" s="103"/>
      <c r="C477" s="103"/>
      <c r="D477" s="103"/>
      <c r="E477" s="103"/>
      <c r="F477" s="124"/>
      <c r="G477" s="124"/>
      <c r="H477" s="103"/>
      <c r="I477" s="103"/>
      <c r="J477" s="103"/>
      <c r="K477" s="103"/>
      <c r="L477" s="103"/>
      <c r="M477" s="103"/>
      <c r="N477" s="103"/>
      <c r="O477" s="103"/>
      <c r="P477" s="103"/>
      <c r="Q477" s="103"/>
      <c r="R477" s="103"/>
      <c r="S477" s="103"/>
      <c r="T477" s="103"/>
      <c r="U477" s="103"/>
      <c r="V477" s="103"/>
      <c r="W477" s="103"/>
      <c r="X477" s="103"/>
      <c r="Y477" s="103"/>
      <c r="Z477" s="103"/>
      <c r="AA477" s="103"/>
    </row>
    <row r="478" spans="1:27" ht="15.75" customHeight="1">
      <c r="A478" s="103"/>
      <c r="B478" s="103"/>
      <c r="C478" s="103"/>
      <c r="D478" s="103"/>
      <c r="E478" s="103"/>
      <c r="F478" s="124"/>
      <c r="G478" s="124"/>
      <c r="H478" s="103"/>
      <c r="I478" s="103"/>
      <c r="J478" s="103"/>
      <c r="K478" s="103"/>
      <c r="L478" s="103"/>
      <c r="M478" s="103"/>
      <c r="N478" s="103"/>
      <c r="O478" s="103"/>
      <c r="P478" s="103"/>
      <c r="Q478" s="103"/>
      <c r="R478" s="103"/>
      <c r="S478" s="103"/>
      <c r="T478" s="103"/>
      <c r="U478" s="103"/>
      <c r="V478" s="103"/>
      <c r="W478" s="103"/>
      <c r="X478" s="103"/>
      <c r="Y478" s="103"/>
      <c r="Z478" s="103"/>
      <c r="AA478" s="103"/>
    </row>
    <row r="479" spans="1:27" ht="15.75" customHeight="1">
      <c r="A479" s="103"/>
      <c r="B479" s="103"/>
      <c r="C479" s="103"/>
      <c r="D479" s="103"/>
      <c r="E479" s="103"/>
      <c r="F479" s="124"/>
      <c r="G479" s="124"/>
      <c r="H479" s="103"/>
      <c r="I479" s="103"/>
      <c r="J479" s="103"/>
      <c r="K479" s="103"/>
      <c r="L479" s="103"/>
      <c r="M479" s="103"/>
      <c r="N479" s="103"/>
      <c r="O479" s="103"/>
      <c r="P479" s="103"/>
      <c r="Q479" s="103"/>
      <c r="R479" s="103"/>
      <c r="S479" s="103"/>
      <c r="T479" s="103"/>
      <c r="U479" s="103"/>
      <c r="V479" s="103"/>
      <c r="W479" s="103"/>
      <c r="X479" s="103"/>
      <c r="Y479" s="103"/>
      <c r="Z479" s="103"/>
      <c r="AA479" s="103"/>
    </row>
    <row r="480" spans="1:27" ht="15.75" customHeight="1">
      <c r="A480" s="103"/>
      <c r="B480" s="103"/>
      <c r="C480" s="103"/>
      <c r="D480" s="103"/>
      <c r="E480" s="103"/>
      <c r="F480" s="124"/>
      <c r="G480" s="124"/>
      <c r="H480" s="103"/>
      <c r="I480" s="103"/>
      <c r="J480" s="103"/>
      <c r="K480" s="103"/>
      <c r="L480" s="103"/>
      <c r="M480" s="103"/>
      <c r="N480" s="103"/>
      <c r="O480" s="103"/>
      <c r="P480" s="103"/>
      <c r="Q480" s="103"/>
      <c r="R480" s="103"/>
      <c r="S480" s="103"/>
      <c r="T480" s="103"/>
      <c r="U480" s="103"/>
      <c r="V480" s="103"/>
      <c r="W480" s="103"/>
      <c r="X480" s="103"/>
      <c r="Y480" s="103"/>
      <c r="Z480" s="103"/>
      <c r="AA480" s="103"/>
    </row>
    <row r="481" spans="1:27" ht="15.75" customHeight="1">
      <c r="A481" s="103"/>
      <c r="B481" s="103"/>
      <c r="C481" s="103"/>
      <c r="D481" s="103"/>
      <c r="E481" s="103"/>
      <c r="F481" s="124"/>
      <c r="G481" s="124"/>
      <c r="H481" s="103"/>
      <c r="I481" s="103"/>
      <c r="J481" s="103"/>
      <c r="K481" s="103"/>
      <c r="L481" s="103"/>
      <c r="M481" s="103"/>
      <c r="N481" s="103"/>
      <c r="O481" s="103"/>
      <c r="P481" s="103"/>
      <c r="Q481" s="103"/>
      <c r="R481" s="103"/>
      <c r="S481" s="103"/>
      <c r="T481" s="103"/>
      <c r="U481" s="103"/>
      <c r="V481" s="103"/>
      <c r="W481" s="103"/>
      <c r="X481" s="103"/>
      <c r="Y481" s="103"/>
      <c r="Z481" s="103"/>
      <c r="AA481" s="103"/>
    </row>
    <row r="482" spans="1:27" ht="15.75" customHeight="1">
      <c r="A482" s="103"/>
      <c r="B482" s="103"/>
      <c r="C482" s="103"/>
      <c r="D482" s="103"/>
      <c r="E482" s="103"/>
      <c r="F482" s="124"/>
      <c r="G482" s="124"/>
      <c r="H482" s="103"/>
      <c r="I482" s="103"/>
      <c r="J482" s="103"/>
      <c r="K482" s="103"/>
      <c r="L482" s="103"/>
      <c r="M482" s="103"/>
      <c r="N482" s="103"/>
      <c r="O482" s="103"/>
      <c r="P482" s="103"/>
      <c r="Q482" s="103"/>
      <c r="R482" s="103"/>
      <c r="S482" s="103"/>
      <c r="T482" s="103"/>
      <c r="U482" s="103"/>
      <c r="V482" s="103"/>
      <c r="W482" s="103"/>
      <c r="X482" s="103"/>
      <c r="Y482" s="103"/>
      <c r="Z482" s="103"/>
      <c r="AA482" s="103"/>
    </row>
    <row r="483" spans="1:27" ht="15.75" customHeight="1">
      <c r="A483" s="103"/>
      <c r="B483" s="103"/>
      <c r="C483" s="103"/>
      <c r="D483" s="103"/>
      <c r="E483" s="103"/>
      <c r="F483" s="124"/>
      <c r="G483" s="124"/>
      <c r="H483" s="103"/>
      <c r="I483" s="103"/>
      <c r="J483" s="103"/>
      <c r="K483" s="103"/>
      <c r="L483" s="103"/>
      <c r="M483" s="103"/>
      <c r="N483" s="103"/>
      <c r="O483" s="103"/>
      <c r="P483" s="103"/>
      <c r="Q483" s="103"/>
      <c r="R483" s="103"/>
      <c r="S483" s="103"/>
      <c r="T483" s="103"/>
      <c r="U483" s="103"/>
      <c r="V483" s="103"/>
      <c r="W483" s="103"/>
      <c r="X483" s="103"/>
      <c r="Y483" s="103"/>
      <c r="Z483" s="103"/>
      <c r="AA483" s="103"/>
    </row>
    <row r="484" spans="1:27" ht="15.75" customHeight="1">
      <c r="A484" s="103"/>
      <c r="B484" s="103"/>
      <c r="C484" s="103"/>
      <c r="D484" s="103"/>
      <c r="E484" s="103"/>
      <c r="F484" s="124"/>
      <c r="G484" s="124"/>
      <c r="H484" s="103"/>
      <c r="I484" s="103"/>
      <c r="J484" s="103"/>
      <c r="K484" s="103"/>
      <c r="L484" s="103"/>
      <c r="M484" s="103"/>
      <c r="N484" s="103"/>
      <c r="O484" s="103"/>
      <c r="P484" s="103"/>
      <c r="Q484" s="103"/>
      <c r="R484" s="103"/>
      <c r="S484" s="103"/>
      <c r="T484" s="103"/>
      <c r="U484" s="103"/>
      <c r="V484" s="103"/>
      <c r="W484" s="103"/>
      <c r="X484" s="103"/>
      <c r="Y484" s="103"/>
      <c r="Z484" s="103"/>
      <c r="AA484" s="103"/>
    </row>
    <row r="485" spans="1:27" ht="15.75" customHeight="1">
      <c r="A485" s="103"/>
      <c r="B485" s="103"/>
      <c r="C485" s="103"/>
      <c r="D485" s="103"/>
      <c r="E485" s="103"/>
      <c r="F485" s="124"/>
      <c r="G485" s="124"/>
      <c r="H485" s="103"/>
      <c r="I485" s="103"/>
      <c r="J485" s="103"/>
      <c r="K485" s="103"/>
      <c r="L485" s="103"/>
      <c r="M485" s="103"/>
      <c r="N485" s="103"/>
      <c r="O485" s="103"/>
      <c r="P485" s="103"/>
      <c r="Q485" s="103"/>
      <c r="R485" s="103"/>
      <c r="S485" s="103"/>
      <c r="T485" s="103"/>
      <c r="U485" s="103"/>
      <c r="V485" s="103"/>
      <c r="W485" s="103"/>
      <c r="X485" s="103"/>
      <c r="Y485" s="103"/>
      <c r="Z485" s="103"/>
      <c r="AA485" s="103"/>
    </row>
    <row r="486" spans="1:27" ht="15.75" customHeight="1">
      <c r="A486" s="103"/>
      <c r="B486" s="103"/>
      <c r="C486" s="103"/>
      <c r="D486" s="103"/>
      <c r="E486" s="103"/>
      <c r="F486" s="124"/>
      <c r="G486" s="124"/>
      <c r="H486" s="103"/>
      <c r="I486" s="103"/>
      <c r="J486" s="103"/>
      <c r="K486" s="103"/>
      <c r="L486" s="103"/>
      <c r="M486" s="103"/>
      <c r="N486" s="103"/>
      <c r="O486" s="103"/>
      <c r="P486" s="103"/>
      <c r="Q486" s="103"/>
      <c r="R486" s="103"/>
      <c r="S486" s="103"/>
      <c r="T486" s="103"/>
      <c r="U486" s="103"/>
      <c r="V486" s="103"/>
      <c r="W486" s="103"/>
      <c r="X486" s="103"/>
      <c r="Y486" s="103"/>
      <c r="Z486" s="103"/>
      <c r="AA486" s="103"/>
    </row>
    <row r="487" spans="1:27" ht="15.75" customHeight="1">
      <c r="A487" s="103"/>
      <c r="B487" s="103"/>
      <c r="C487" s="103"/>
      <c r="D487" s="103"/>
      <c r="E487" s="103"/>
      <c r="F487" s="124"/>
      <c r="G487" s="124"/>
      <c r="H487" s="103"/>
      <c r="I487" s="103"/>
      <c r="J487" s="103"/>
      <c r="K487" s="103"/>
      <c r="L487" s="103"/>
      <c r="M487" s="103"/>
      <c r="N487" s="103"/>
      <c r="O487" s="103"/>
      <c r="P487" s="103"/>
      <c r="Q487" s="103"/>
      <c r="R487" s="103"/>
      <c r="S487" s="103"/>
      <c r="T487" s="103"/>
      <c r="U487" s="103"/>
      <c r="V487" s="103"/>
      <c r="W487" s="103"/>
      <c r="X487" s="103"/>
      <c r="Y487" s="103"/>
      <c r="Z487" s="103"/>
      <c r="AA487" s="103"/>
    </row>
    <row r="488" spans="1:27" ht="15.75" customHeight="1">
      <c r="A488" s="103"/>
      <c r="B488" s="103"/>
      <c r="C488" s="103"/>
      <c r="D488" s="103"/>
      <c r="E488" s="103"/>
      <c r="F488" s="124"/>
      <c r="G488" s="124"/>
      <c r="H488" s="103"/>
      <c r="I488" s="103"/>
      <c r="J488" s="103"/>
      <c r="K488" s="103"/>
      <c r="L488" s="103"/>
      <c r="M488" s="103"/>
      <c r="N488" s="103"/>
      <c r="O488" s="103"/>
      <c r="P488" s="103"/>
      <c r="Q488" s="103"/>
      <c r="R488" s="103"/>
      <c r="S488" s="103"/>
      <c r="T488" s="103"/>
      <c r="U488" s="103"/>
      <c r="V488" s="103"/>
      <c r="W488" s="103"/>
      <c r="X488" s="103"/>
      <c r="Y488" s="103"/>
      <c r="Z488" s="103"/>
      <c r="AA488" s="103"/>
    </row>
    <row r="489" spans="1:27" ht="15.75" customHeight="1">
      <c r="A489" s="103"/>
      <c r="B489" s="103"/>
      <c r="C489" s="103"/>
      <c r="D489" s="103"/>
      <c r="E489" s="103"/>
      <c r="F489" s="124"/>
      <c r="G489" s="124"/>
      <c r="H489" s="103"/>
      <c r="I489" s="103"/>
      <c r="J489" s="103"/>
      <c r="K489" s="103"/>
      <c r="L489" s="103"/>
      <c r="M489" s="103"/>
      <c r="N489" s="103"/>
      <c r="O489" s="103"/>
      <c r="P489" s="103"/>
      <c r="Q489" s="103"/>
      <c r="R489" s="103"/>
      <c r="S489" s="103"/>
      <c r="T489" s="103"/>
      <c r="U489" s="103"/>
      <c r="V489" s="103"/>
      <c r="W489" s="103"/>
      <c r="X489" s="103"/>
      <c r="Y489" s="103"/>
      <c r="Z489" s="103"/>
      <c r="AA489" s="103"/>
    </row>
    <row r="490" spans="1:27" ht="15.75" customHeight="1">
      <c r="A490" s="103"/>
      <c r="B490" s="103"/>
      <c r="C490" s="103"/>
      <c r="D490" s="103"/>
      <c r="E490" s="103"/>
      <c r="F490" s="124"/>
      <c r="G490" s="124"/>
      <c r="H490" s="103"/>
      <c r="I490" s="103"/>
      <c r="J490" s="103"/>
      <c r="K490" s="103"/>
      <c r="L490" s="103"/>
      <c r="M490" s="103"/>
      <c r="N490" s="103"/>
      <c r="O490" s="103"/>
      <c r="P490" s="103"/>
      <c r="Q490" s="103"/>
      <c r="R490" s="103"/>
      <c r="S490" s="103"/>
      <c r="T490" s="103"/>
      <c r="U490" s="103"/>
      <c r="V490" s="103"/>
      <c r="W490" s="103"/>
      <c r="X490" s="103"/>
      <c r="Y490" s="103"/>
      <c r="Z490" s="103"/>
      <c r="AA490" s="103"/>
    </row>
    <row r="491" spans="1:27" ht="15.75" customHeight="1">
      <c r="A491" s="103"/>
      <c r="B491" s="103"/>
      <c r="C491" s="103"/>
      <c r="D491" s="103"/>
      <c r="E491" s="103"/>
      <c r="F491" s="124"/>
      <c r="G491" s="124"/>
      <c r="H491" s="103"/>
      <c r="I491" s="103"/>
      <c r="J491" s="103"/>
      <c r="K491" s="103"/>
      <c r="L491" s="103"/>
      <c r="M491" s="103"/>
      <c r="N491" s="103"/>
      <c r="O491" s="103"/>
      <c r="P491" s="103"/>
      <c r="Q491" s="103"/>
      <c r="R491" s="103"/>
      <c r="S491" s="103"/>
      <c r="T491" s="103"/>
      <c r="U491" s="103"/>
      <c r="V491" s="103"/>
      <c r="W491" s="103"/>
      <c r="X491" s="103"/>
      <c r="Y491" s="103"/>
      <c r="Z491" s="103"/>
      <c r="AA491" s="103"/>
    </row>
    <row r="492" spans="1:27" ht="15.75" customHeight="1">
      <c r="A492" s="103"/>
      <c r="B492" s="103"/>
      <c r="C492" s="103"/>
      <c r="D492" s="103"/>
      <c r="E492" s="103"/>
      <c r="F492" s="124"/>
      <c r="G492" s="124"/>
      <c r="H492" s="103"/>
      <c r="I492" s="103"/>
      <c r="J492" s="103"/>
      <c r="K492" s="103"/>
      <c r="L492" s="103"/>
      <c r="M492" s="103"/>
      <c r="N492" s="103"/>
      <c r="O492" s="103"/>
      <c r="P492" s="103"/>
      <c r="Q492" s="103"/>
      <c r="R492" s="103"/>
      <c r="S492" s="103"/>
      <c r="T492" s="103"/>
      <c r="U492" s="103"/>
      <c r="V492" s="103"/>
      <c r="W492" s="103"/>
      <c r="X492" s="103"/>
      <c r="Y492" s="103"/>
      <c r="Z492" s="103"/>
      <c r="AA492" s="103"/>
    </row>
    <row r="493" spans="1:27" ht="15.75" customHeight="1">
      <c r="A493" s="103"/>
      <c r="B493" s="103"/>
      <c r="C493" s="103"/>
      <c r="D493" s="103"/>
      <c r="E493" s="103"/>
      <c r="F493" s="124"/>
      <c r="G493" s="124"/>
      <c r="H493" s="103"/>
      <c r="I493" s="103"/>
      <c r="J493" s="103"/>
      <c r="K493" s="103"/>
      <c r="L493" s="103"/>
      <c r="M493" s="103"/>
      <c r="N493" s="103"/>
      <c r="O493" s="103"/>
      <c r="P493" s="103"/>
      <c r="Q493" s="103"/>
      <c r="R493" s="103"/>
      <c r="S493" s="103"/>
      <c r="T493" s="103"/>
      <c r="U493" s="103"/>
      <c r="V493" s="103"/>
      <c r="W493" s="103"/>
      <c r="X493" s="103"/>
      <c r="Y493" s="103"/>
      <c r="Z493" s="103"/>
      <c r="AA493" s="103"/>
    </row>
    <row r="494" spans="1:27" ht="15.75" customHeight="1">
      <c r="A494" s="103"/>
      <c r="B494" s="103"/>
      <c r="C494" s="103"/>
      <c r="D494" s="103"/>
      <c r="E494" s="103"/>
      <c r="F494" s="124"/>
      <c r="G494" s="124"/>
      <c r="H494" s="103"/>
      <c r="I494" s="103"/>
      <c r="J494" s="103"/>
      <c r="K494" s="103"/>
      <c r="L494" s="103"/>
      <c r="M494" s="103"/>
      <c r="N494" s="103"/>
      <c r="O494" s="103"/>
      <c r="P494" s="103"/>
      <c r="Q494" s="103"/>
      <c r="R494" s="103"/>
      <c r="S494" s="103"/>
      <c r="T494" s="103"/>
      <c r="U494" s="103"/>
      <c r="V494" s="103"/>
      <c r="W494" s="103"/>
      <c r="X494" s="103"/>
      <c r="Y494" s="103"/>
      <c r="Z494" s="103"/>
      <c r="AA494" s="103"/>
    </row>
    <row r="495" spans="1:27" ht="15.75" customHeight="1">
      <c r="A495" s="103"/>
      <c r="B495" s="103"/>
      <c r="C495" s="103"/>
      <c r="D495" s="103"/>
      <c r="E495" s="103"/>
      <c r="F495" s="124"/>
      <c r="G495" s="124"/>
      <c r="H495" s="103"/>
      <c r="I495" s="103"/>
      <c r="J495" s="103"/>
      <c r="K495" s="103"/>
      <c r="L495" s="103"/>
      <c r="M495" s="103"/>
      <c r="N495" s="103"/>
      <c r="O495" s="103"/>
      <c r="P495" s="103"/>
      <c r="Q495" s="103"/>
      <c r="R495" s="103"/>
      <c r="S495" s="103"/>
      <c r="T495" s="103"/>
      <c r="U495" s="103"/>
      <c r="V495" s="103"/>
      <c r="W495" s="103"/>
      <c r="X495" s="103"/>
      <c r="Y495" s="103"/>
      <c r="Z495" s="103"/>
      <c r="AA495" s="103"/>
    </row>
    <row r="496" spans="1:27" ht="15.75" customHeight="1">
      <c r="A496" s="103"/>
      <c r="B496" s="103"/>
      <c r="C496" s="103"/>
      <c r="D496" s="103"/>
      <c r="E496" s="103"/>
      <c r="F496" s="124"/>
      <c r="G496" s="124"/>
      <c r="H496" s="103"/>
      <c r="I496" s="103"/>
      <c r="J496" s="103"/>
      <c r="K496" s="103"/>
      <c r="L496" s="103"/>
      <c r="M496" s="103"/>
      <c r="N496" s="103"/>
      <c r="O496" s="103"/>
      <c r="P496" s="103"/>
      <c r="Q496" s="103"/>
      <c r="R496" s="103"/>
      <c r="S496" s="103"/>
      <c r="T496" s="103"/>
      <c r="U496" s="103"/>
      <c r="V496" s="103"/>
      <c r="W496" s="103"/>
      <c r="X496" s="103"/>
      <c r="Y496" s="103"/>
      <c r="Z496" s="103"/>
      <c r="AA496" s="103"/>
    </row>
    <row r="497" spans="1:27" ht="15.75" customHeight="1">
      <c r="A497" s="103"/>
      <c r="B497" s="103"/>
      <c r="C497" s="103"/>
      <c r="D497" s="103"/>
      <c r="E497" s="103"/>
      <c r="F497" s="124"/>
      <c r="G497" s="124"/>
      <c r="H497" s="103"/>
      <c r="I497" s="103"/>
      <c r="J497" s="103"/>
      <c r="K497" s="103"/>
      <c r="L497" s="103"/>
      <c r="M497" s="103"/>
      <c r="N497" s="103"/>
      <c r="O497" s="103"/>
      <c r="P497" s="103"/>
      <c r="Q497" s="103"/>
      <c r="R497" s="103"/>
      <c r="S497" s="103"/>
      <c r="T497" s="103"/>
      <c r="U497" s="103"/>
      <c r="V497" s="103"/>
      <c r="W497" s="103"/>
      <c r="X497" s="103"/>
      <c r="Y497" s="103"/>
      <c r="Z497" s="103"/>
      <c r="AA497" s="103"/>
    </row>
    <row r="498" spans="1:27" ht="15.75" customHeight="1">
      <c r="A498" s="103"/>
      <c r="B498" s="103"/>
      <c r="C498" s="103"/>
      <c r="D498" s="103"/>
      <c r="E498" s="103"/>
      <c r="F498" s="124"/>
      <c r="G498" s="124"/>
      <c r="H498" s="103"/>
      <c r="I498" s="103"/>
      <c r="J498" s="103"/>
      <c r="K498" s="103"/>
      <c r="L498" s="103"/>
      <c r="M498" s="103"/>
      <c r="N498" s="103"/>
      <c r="O498" s="103"/>
      <c r="P498" s="103"/>
      <c r="Q498" s="103"/>
      <c r="R498" s="103"/>
      <c r="S498" s="103"/>
      <c r="T498" s="103"/>
      <c r="U498" s="103"/>
      <c r="V498" s="103"/>
      <c r="W498" s="103"/>
      <c r="X498" s="103"/>
      <c r="Y498" s="103"/>
      <c r="Z498" s="103"/>
      <c r="AA498" s="103"/>
    </row>
    <row r="499" spans="1:27" ht="15.75" customHeight="1">
      <c r="A499" s="103"/>
      <c r="B499" s="103"/>
      <c r="C499" s="103"/>
      <c r="D499" s="103"/>
      <c r="E499" s="103"/>
      <c r="F499" s="124"/>
      <c r="G499" s="124"/>
      <c r="H499" s="103"/>
      <c r="I499" s="103"/>
      <c r="J499" s="103"/>
      <c r="K499" s="103"/>
      <c r="L499" s="103"/>
      <c r="M499" s="103"/>
      <c r="N499" s="103"/>
      <c r="O499" s="103"/>
      <c r="P499" s="103"/>
      <c r="Q499" s="103"/>
      <c r="R499" s="103"/>
      <c r="S499" s="103"/>
      <c r="T499" s="103"/>
      <c r="U499" s="103"/>
      <c r="V499" s="103"/>
      <c r="W499" s="103"/>
      <c r="X499" s="103"/>
      <c r="Y499" s="103"/>
      <c r="Z499" s="103"/>
      <c r="AA499" s="103"/>
    </row>
    <row r="500" spans="1:27" ht="15.75" customHeight="1">
      <c r="A500" s="103"/>
      <c r="B500" s="103"/>
      <c r="C500" s="103"/>
      <c r="D500" s="103"/>
      <c r="E500" s="103"/>
      <c r="F500" s="124"/>
      <c r="G500" s="124"/>
      <c r="H500" s="103"/>
      <c r="I500" s="103"/>
      <c r="J500" s="103"/>
      <c r="K500" s="103"/>
      <c r="L500" s="103"/>
      <c r="M500" s="103"/>
      <c r="N500" s="103"/>
      <c r="O500" s="103"/>
      <c r="P500" s="103"/>
      <c r="Q500" s="103"/>
      <c r="R500" s="103"/>
      <c r="S500" s="103"/>
      <c r="T500" s="103"/>
      <c r="U500" s="103"/>
      <c r="V500" s="103"/>
      <c r="W500" s="103"/>
      <c r="X500" s="103"/>
      <c r="Y500" s="103"/>
      <c r="Z500" s="103"/>
      <c r="AA500" s="103"/>
    </row>
    <row r="501" spans="1:27" ht="15.75" customHeight="1">
      <c r="A501" s="103"/>
      <c r="B501" s="103"/>
      <c r="C501" s="103"/>
      <c r="D501" s="103"/>
      <c r="E501" s="103"/>
      <c r="F501" s="124"/>
      <c r="G501" s="124"/>
      <c r="H501" s="103"/>
      <c r="I501" s="103"/>
      <c r="J501" s="103"/>
      <c r="K501" s="103"/>
      <c r="L501" s="103"/>
      <c r="M501" s="103"/>
      <c r="N501" s="103"/>
      <c r="O501" s="103"/>
      <c r="P501" s="103"/>
      <c r="Q501" s="103"/>
      <c r="R501" s="103"/>
      <c r="S501" s="103"/>
      <c r="T501" s="103"/>
      <c r="U501" s="103"/>
      <c r="V501" s="103"/>
      <c r="W501" s="103"/>
      <c r="X501" s="103"/>
      <c r="Y501" s="103"/>
      <c r="Z501" s="103"/>
      <c r="AA501" s="103"/>
    </row>
    <row r="502" spans="1:27" ht="15.75" customHeight="1">
      <c r="A502" s="103"/>
      <c r="B502" s="103"/>
      <c r="C502" s="103"/>
      <c r="D502" s="103"/>
      <c r="E502" s="103"/>
      <c r="F502" s="124"/>
      <c r="G502" s="124"/>
      <c r="H502" s="103"/>
      <c r="I502" s="103"/>
      <c r="J502" s="103"/>
      <c r="K502" s="103"/>
      <c r="L502" s="103"/>
      <c r="M502" s="103"/>
      <c r="N502" s="103"/>
      <c r="O502" s="103"/>
      <c r="P502" s="103"/>
      <c r="Q502" s="103"/>
      <c r="R502" s="103"/>
      <c r="S502" s="103"/>
      <c r="T502" s="103"/>
      <c r="U502" s="103"/>
      <c r="V502" s="103"/>
      <c r="W502" s="103"/>
      <c r="X502" s="103"/>
      <c r="Y502" s="103"/>
      <c r="Z502" s="103"/>
      <c r="AA502" s="103"/>
    </row>
    <row r="503" spans="1:27" ht="15.75" customHeight="1">
      <c r="A503" s="103"/>
      <c r="B503" s="103"/>
      <c r="C503" s="103"/>
      <c r="D503" s="103"/>
      <c r="E503" s="103"/>
      <c r="F503" s="124"/>
      <c r="G503" s="124"/>
      <c r="H503" s="103"/>
      <c r="I503" s="103"/>
      <c r="J503" s="103"/>
      <c r="K503" s="103"/>
      <c r="L503" s="103"/>
      <c r="M503" s="103"/>
      <c r="N503" s="103"/>
      <c r="O503" s="103"/>
      <c r="P503" s="103"/>
      <c r="Q503" s="103"/>
      <c r="R503" s="103"/>
      <c r="S503" s="103"/>
      <c r="T503" s="103"/>
      <c r="U503" s="103"/>
      <c r="V503" s="103"/>
      <c r="W503" s="103"/>
      <c r="X503" s="103"/>
      <c r="Y503" s="103"/>
      <c r="Z503" s="103"/>
      <c r="AA503" s="103"/>
    </row>
    <row r="504" spans="1:27" ht="15.75" customHeight="1">
      <c r="A504" s="103"/>
      <c r="B504" s="103"/>
      <c r="C504" s="103"/>
      <c r="D504" s="103"/>
      <c r="E504" s="103"/>
      <c r="F504" s="124"/>
      <c r="G504" s="124"/>
      <c r="H504" s="103"/>
      <c r="I504" s="103"/>
      <c r="J504" s="103"/>
      <c r="K504" s="103"/>
      <c r="L504" s="103"/>
      <c r="M504" s="103"/>
      <c r="N504" s="103"/>
      <c r="O504" s="103"/>
      <c r="P504" s="103"/>
      <c r="Q504" s="103"/>
      <c r="R504" s="103"/>
      <c r="S504" s="103"/>
      <c r="T504" s="103"/>
      <c r="U504" s="103"/>
      <c r="V504" s="103"/>
      <c r="W504" s="103"/>
      <c r="X504" s="103"/>
      <c r="Y504" s="103"/>
      <c r="Z504" s="103"/>
      <c r="AA504" s="103"/>
    </row>
    <row r="505" spans="1:27" ht="15.75" customHeight="1">
      <c r="A505" s="103"/>
      <c r="B505" s="103"/>
      <c r="C505" s="103"/>
      <c r="D505" s="103"/>
      <c r="E505" s="103"/>
      <c r="F505" s="124"/>
      <c r="G505" s="124"/>
      <c r="H505" s="103"/>
      <c r="I505" s="103"/>
      <c r="J505" s="103"/>
      <c r="K505" s="103"/>
      <c r="L505" s="103"/>
      <c r="M505" s="103"/>
      <c r="N505" s="103"/>
      <c r="O505" s="103"/>
      <c r="P505" s="103"/>
      <c r="Q505" s="103"/>
      <c r="R505" s="103"/>
      <c r="S505" s="103"/>
      <c r="T505" s="103"/>
      <c r="U505" s="103"/>
      <c r="V505" s="103"/>
      <c r="W505" s="103"/>
      <c r="X505" s="103"/>
      <c r="Y505" s="103"/>
      <c r="Z505" s="103"/>
      <c r="AA505" s="103"/>
    </row>
    <row r="506" spans="1:27" ht="15.75" customHeight="1">
      <c r="A506" s="103"/>
      <c r="B506" s="103"/>
      <c r="C506" s="103"/>
      <c r="D506" s="103"/>
      <c r="E506" s="103"/>
      <c r="F506" s="124"/>
      <c r="G506" s="124"/>
      <c r="H506" s="103"/>
      <c r="I506" s="103"/>
      <c r="J506" s="103"/>
      <c r="K506" s="103"/>
      <c r="L506" s="103"/>
      <c r="M506" s="103"/>
      <c r="N506" s="103"/>
      <c r="O506" s="103"/>
      <c r="P506" s="103"/>
      <c r="Q506" s="103"/>
      <c r="R506" s="103"/>
      <c r="S506" s="103"/>
      <c r="T506" s="103"/>
      <c r="U506" s="103"/>
      <c r="V506" s="103"/>
      <c r="W506" s="103"/>
      <c r="X506" s="103"/>
      <c r="Y506" s="103"/>
      <c r="Z506" s="103"/>
      <c r="AA506" s="103"/>
    </row>
    <row r="507" spans="1:27" ht="15.75" customHeight="1">
      <c r="A507" s="103"/>
      <c r="B507" s="103"/>
      <c r="C507" s="103"/>
      <c r="D507" s="103"/>
      <c r="E507" s="103"/>
      <c r="F507" s="124"/>
      <c r="G507" s="124"/>
      <c r="H507" s="103"/>
      <c r="I507" s="103"/>
      <c r="J507" s="103"/>
      <c r="K507" s="103"/>
      <c r="L507" s="103"/>
      <c r="M507" s="103"/>
      <c r="N507" s="103"/>
      <c r="O507" s="103"/>
      <c r="P507" s="103"/>
      <c r="Q507" s="103"/>
      <c r="R507" s="103"/>
      <c r="S507" s="103"/>
      <c r="T507" s="103"/>
      <c r="U507" s="103"/>
      <c r="V507" s="103"/>
      <c r="W507" s="103"/>
      <c r="X507" s="103"/>
      <c r="Y507" s="103"/>
      <c r="Z507" s="103"/>
      <c r="AA507" s="103"/>
    </row>
    <row r="508" spans="1:27" ht="15.75" customHeight="1">
      <c r="A508" s="103"/>
      <c r="B508" s="103"/>
      <c r="C508" s="103"/>
      <c r="D508" s="103"/>
      <c r="E508" s="103"/>
      <c r="F508" s="124"/>
      <c r="G508" s="124"/>
      <c r="H508" s="103"/>
      <c r="I508" s="103"/>
      <c r="J508" s="103"/>
      <c r="K508" s="103"/>
      <c r="L508" s="103"/>
      <c r="M508" s="103"/>
      <c r="N508" s="103"/>
      <c r="O508" s="103"/>
      <c r="P508" s="103"/>
      <c r="Q508" s="103"/>
      <c r="R508" s="103"/>
      <c r="S508" s="103"/>
      <c r="T508" s="103"/>
      <c r="U508" s="103"/>
      <c r="V508" s="103"/>
      <c r="W508" s="103"/>
      <c r="X508" s="103"/>
      <c r="Y508" s="103"/>
      <c r="Z508" s="103"/>
      <c r="AA508" s="103"/>
    </row>
    <row r="509" spans="1:27" ht="15.75" customHeight="1">
      <c r="A509" s="103"/>
      <c r="B509" s="103"/>
      <c r="C509" s="103"/>
      <c r="D509" s="103"/>
      <c r="E509" s="103"/>
      <c r="F509" s="124"/>
      <c r="G509" s="124"/>
      <c r="H509" s="103"/>
      <c r="I509" s="103"/>
      <c r="J509" s="103"/>
      <c r="K509" s="103"/>
      <c r="L509" s="103"/>
      <c r="M509" s="103"/>
      <c r="N509" s="103"/>
      <c r="O509" s="103"/>
      <c r="P509" s="103"/>
      <c r="Q509" s="103"/>
      <c r="R509" s="103"/>
      <c r="S509" s="103"/>
      <c r="T509" s="103"/>
      <c r="U509" s="103"/>
      <c r="V509" s="103"/>
      <c r="W509" s="103"/>
      <c r="X509" s="103"/>
      <c r="Y509" s="103"/>
      <c r="Z509" s="103"/>
      <c r="AA509" s="103"/>
    </row>
    <row r="510" spans="1:27" ht="15.75" customHeight="1">
      <c r="A510" s="103"/>
      <c r="B510" s="103"/>
      <c r="C510" s="103"/>
      <c r="D510" s="103"/>
      <c r="E510" s="103"/>
      <c r="F510" s="124"/>
      <c r="G510" s="124"/>
      <c r="H510" s="103"/>
      <c r="I510" s="103"/>
      <c r="J510" s="103"/>
      <c r="K510" s="103"/>
      <c r="L510" s="103"/>
      <c r="M510" s="103"/>
      <c r="N510" s="103"/>
      <c r="O510" s="103"/>
      <c r="P510" s="103"/>
      <c r="Q510" s="103"/>
      <c r="R510" s="103"/>
      <c r="S510" s="103"/>
      <c r="T510" s="103"/>
      <c r="U510" s="103"/>
      <c r="V510" s="103"/>
      <c r="W510" s="103"/>
      <c r="X510" s="103"/>
      <c r="Y510" s="103"/>
      <c r="Z510" s="103"/>
      <c r="AA510" s="103"/>
    </row>
    <row r="511" spans="1:27" ht="15.75" customHeight="1">
      <c r="A511" s="103"/>
      <c r="B511" s="103"/>
      <c r="C511" s="103"/>
      <c r="D511" s="103"/>
      <c r="E511" s="103"/>
      <c r="F511" s="124"/>
      <c r="G511" s="124"/>
      <c r="H511" s="103"/>
      <c r="I511" s="103"/>
      <c r="J511" s="103"/>
      <c r="K511" s="103"/>
      <c r="L511" s="103"/>
      <c r="M511" s="103"/>
      <c r="N511" s="103"/>
      <c r="O511" s="103"/>
      <c r="P511" s="103"/>
      <c r="Q511" s="103"/>
      <c r="R511" s="103"/>
      <c r="S511" s="103"/>
      <c r="T511" s="103"/>
      <c r="U511" s="103"/>
      <c r="V511" s="103"/>
      <c r="W511" s="103"/>
      <c r="X511" s="103"/>
      <c r="Y511" s="103"/>
      <c r="Z511" s="103"/>
      <c r="AA511" s="103"/>
    </row>
    <row r="512" spans="1:27" ht="15.75" customHeight="1">
      <c r="A512" s="103"/>
      <c r="B512" s="103"/>
      <c r="C512" s="103"/>
      <c r="D512" s="103"/>
      <c r="E512" s="103"/>
      <c r="F512" s="124"/>
      <c r="G512" s="124"/>
      <c r="H512" s="103"/>
      <c r="I512" s="103"/>
      <c r="J512" s="103"/>
      <c r="K512" s="103"/>
      <c r="L512" s="103"/>
      <c r="M512" s="103"/>
      <c r="N512" s="103"/>
      <c r="O512" s="103"/>
      <c r="P512" s="103"/>
      <c r="Q512" s="103"/>
      <c r="R512" s="103"/>
      <c r="S512" s="103"/>
      <c r="T512" s="103"/>
      <c r="U512" s="103"/>
      <c r="V512" s="103"/>
      <c r="W512" s="103"/>
      <c r="X512" s="103"/>
      <c r="Y512" s="103"/>
      <c r="Z512" s="103"/>
      <c r="AA512" s="103"/>
    </row>
    <row r="513" spans="1:27" ht="15.75" customHeight="1">
      <c r="A513" s="103"/>
      <c r="B513" s="103"/>
      <c r="C513" s="103"/>
      <c r="D513" s="103"/>
      <c r="E513" s="103"/>
      <c r="F513" s="124"/>
      <c r="G513" s="124"/>
      <c r="H513" s="103"/>
      <c r="I513" s="103"/>
      <c r="J513" s="103"/>
      <c r="K513" s="103"/>
      <c r="L513" s="103"/>
      <c r="M513" s="103"/>
      <c r="N513" s="103"/>
      <c r="O513" s="103"/>
      <c r="P513" s="103"/>
      <c r="Q513" s="103"/>
      <c r="R513" s="103"/>
      <c r="S513" s="103"/>
      <c r="T513" s="103"/>
      <c r="U513" s="103"/>
      <c r="V513" s="103"/>
      <c r="W513" s="103"/>
      <c r="X513" s="103"/>
      <c r="Y513" s="103"/>
      <c r="Z513" s="103"/>
      <c r="AA513" s="103"/>
    </row>
    <row r="514" spans="1:27" ht="15.75" customHeight="1">
      <c r="A514" s="103"/>
      <c r="B514" s="103"/>
      <c r="C514" s="103"/>
      <c r="D514" s="103"/>
      <c r="E514" s="103"/>
      <c r="F514" s="124"/>
      <c r="G514" s="124"/>
      <c r="H514" s="103"/>
      <c r="I514" s="103"/>
      <c r="J514" s="103"/>
      <c r="K514" s="103"/>
      <c r="L514" s="103"/>
      <c r="M514" s="103"/>
      <c r="N514" s="103"/>
      <c r="O514" s="103"/>
      <c r="P514" s="103"/>
      <c r="Q514" s="103"/>
      <c r="R514" s="103"/>
      <c r="S514" s="103"/>
      <c r="T514" s="103"/>
      <c r="U514" s="103"/>
      <c r="V514" s="103"/>
      <c r="W514" s="103"/>
      <c r="X514" s="103"/>
      <c r="Y514" s="103"/>
      <c r="Z514" s="103"/>
      <c r="AA514" s="103"/>
    </row>
    <row r="515" spans="1:27" ht="15.75" customHeight="1">
      <c r="A515" s="103"/>
      <c r="B515" s="103"/>
      <c r="C515" s="103"/>
      <c r="D515" s="103"/>
      <c r="E515" s="103"/>
      <c r="F515" s="124"/>
      <c r="G515" s="124"/>
      <c r="H515" s="103"/>
      <c r="I515" s="103"/>
      <c r="J515" s="103"/>
      <c r="K515" s="103"/>
      <c r="L515" s="103"/>
      <c r="M515" s="103"/>
      <c r="N515" s="103"/>
      <c r="O515" s="103"/>
      <c r="P515" s="103"/>
      <c r="Q515" s="103"/>
      <c r="R515" s="103"/>
      <c r="S515" s="103"/>
      <c r="T515" s="103"/>
      <c r="U515" s="103"/>
      <c r="V515" s="103"/>
      <c r="W515" s="103"/>
      <c r="X515" s="103"/>
      <c r="Y515" s="103"/>
      <c r="Z515" s="103"/>
      <c r="AA515" s="103"/>
    </row>
    <row r="516" spans="1:27" ht="15.75" customHeight="1">
      <c r="A516" s="103"/>
      <c r="B516" s="103"/>
      <c r="C516" s="103"/>
      <c r="D516" s="103"/>
      <c r="E516" s="103"/>
      <c r="F516" s="124"/>
      <c r="G516" s="124"/>
      <c r="H516" s="103"/>
      <c r="I516" s="103"/>
      <c r="J516" s="103"/>
      <c r="K516" s="103"/>
      <c r="L516" s="103"/>
      <c r="M516" s="103"/>
      <c r="N516" s="103"/>
      <c r="O516" s="103"/>
      <c r="P516" s="103"/>
      <c r="Q516" s="103"/>
      <c r="R516" s="103"/>
      <c r="S516" s="103"/>
      <c r="T516" s="103"/>
      <c r="U516" s="103"/>
      <c r="V516" s="103"/>
      <c r="W516" s="103"/>
      <c r="X516" s="103"/>
      <c r="Y516" s="103"/>
      <c r="Z516" s="103"/>
      <c r="AA516" s="103"/>
    </row>
    <row r="517" spans="1:27" ht="15.75" customHeight="1">
      <c r="A517" s="103"/>
      <c r="B517" s="103"/>
      <c r="C517" s="103"/>
      <c r="D517" s="103"/>
      <c r="E517" s="103"/>
      <c r="F517" s="124"/>
      <c r="G517" s="124"/>
      <c r="H517" s="103"/>
      <c r="I517" s="103"/>
      <c r="J517" s="103"/>
      <c r="K517" s="103"/>
      <c r="L517" s="103"/>
      <c r="M517" s="103"/>
      <c r="N517" s="103"/>
      <c r="O517" s="103"/>
      <c r="P517" s="103"/>
      <c r="Q517" s="103"/>
      <c r="R517" s="103"/>
      <c r="S517" s="103"/>
      <c r="T517" s="103"/>
      <c r="U517" s="103"/>
      <c r="V517" s="103"/>
      <c r="W517" s="103"/>
      <c r="X517" s="103"/>
      <c r="Y517" s="103"/>
      <c r="Z517" s="103"/>
      <c r="AA517" s="103"/>
    </row>
    <row r="518" spans="1:27" ht="15.75" customHeight="1">
      <c r="A518" s="103"/>
      <c r="B518" s="103"/>
      <c r="C518" s="103"/>
      <c r="D518" s="103"/>
      <c r="E518" s="103"/>
      <c r="F518" s="124"/>
      <c r="G518" s="124"/>
      <c r="H518" s="103"/>
      <c r="I518" s="103"/>
      <c r="J518" s="103"/>
      <c r="K518" s="103"/>
      <c r="L518" s="103"/>
      <c r="M518" s="103"/>
      <c r="N518" s="103"/>
      <c r="O518" s="103"/>
      <c r="P518" s="103"/>
      <c r="Q518" s="103"/>
      <c r="R518" s="103"/>
      <c r="S518" s="103"/>
      <c r="T518" s="103"/>
      <c r="U518" s="103"/>
      <c r="V518" s="103"/>
      <c r="W518" s="103"/>
      <c r="X518" s="103"/>
      <c r="Y518" s="103"/>
      <c r="Z518" s="103"/>
      <c r="AA518" s="103"/>
    </row>
    <row r="519" spans="1:27" ht="15.75" customHeight="1">
      <c r="A519" s="103"/>
      <c r="B519" s="103"/>
      <c r="C519" s="103"/>
      <c r="D519" s="103"/>
      <c r="E519" s="103"/>
      <c r="F519" s="124"/>
      <c r="G519" s="124"/>
      <c r="H519" s="103"/>
      <c r="I519" s="103"/>
      <c r="J519" s="103"/>
      <c r="K519" s="103"/>
      <c r="L519" s="103"/>
      <c r="M519" s="103"/>
      <c r="N519" s="103"/>
      <c r="O519" s="103"/>
      <c r="P519" s="103"/>
      <c r="Q519" s="103"/>
      <c r="R519" s="103"/>
      <c r="S519" s="103"/>
      <c r="T519" s="103"/>
      <c r="U519" s="103"/>
      <c r="V519" s="103"/>
      <c r="W519" s="103"/>
      <c r="X519" s="103"/>
      <c r="Y519" s="103"/>
      <c r="Z519" s="103"/>
      <c r="AA519" s="103"/>
    </row>
    <row r="520" spans="1:27" ht="15.75" customHeight="1">
      <c r="A520" s="103"/>
      <c r="B520" s="103"/>
      <c r="C520" s="103"/>
      <c r="D520" s="103"/>
      <c r="E520" s="103"/>
      <c r="F520" s="124"/>
      <c r="G520" s="124"/>
      <c r="H520" s="103"/>
      <c r="I520" s="103"/>
      <c r="J520" s="103"/>
      <c r="K520" s="103"/>
      <c r="L520" s="103"/>
      <c r="M520" s="103"/>
      <c r="N520" s="103"/>
      <c r="O520" s="103"/>
      <c r="P520" s="103"/>
      <c r="Q520" s="103"/>
      <c r="R520" s="103"/>
      <c r="S520" s="103"/>
      <c r="T520" s="103"/>
      <c r="U520" s="103"/>
      <c r="V520" s="103"/>
      <c r="W520" s="103"/>
      <c r="X520" s="103"/>
      <c r="Y520" s="103"/>
      <c r="Z520" s="103"/>
      <c r="AA520" s="103"/>
    </row>
    <row r="521" spans="1:27" ht="15.75" customHeight="1">
      <c r="A521" s="103"/>
      <c r="B521" s="103"/>
      <c r="C521" s="103"/>
      <c r="D521" s="103"/>
      <c r="E521" s="103"/>
      <c r="F521" s="124"/>
      <c r="G521" s="124"/>
      <c r="H521" s="103"/>
      <c r="I521" s="103"/>
      <c r="J521" s="103"/>
      <c r="K521" s="103"/>
      <c r="L521" s="103"/>
      <c r="M521" s="103"/>
      <c r="N521" s="103"/>
      <c r="O521" s="103"/>
      <c r="P521" s="103"/>
      <c r="Q521" s="103"/>
      <c r="R521" s="103"/>
      <c r="S521" s="103"/>
      <c r="T521" s="103"/>
      <c r="U521" s="103"/>
      <c r="V521" s="103"/>
      <c r="W521" s="103"/>
      <c r="X521" s="103"/>
      <c r="Y521" s="103"/>
      <c r="Z521" s="103"/>
      <c r="AA521" s="103"/>
    </row>
    <row r="522" spans="1:27" ht="15.75" customHeight="1">
      <c r="A522" s="103"/>
      <c r="B522" s="103"/>
      <c r="C522" s="103"/>
      <c r="D522" s="103"/>
      <c r="E522" s="103"/>
      <c r="F522" s="124"/>
      <c r="G522" s="124"/>
      <c r="H522" s="103"/>
      <c r="I522" s="103"/>
      <c r="J522" s="103"/>
      <c r="K522" s="103"/>
      <c r="L522" s="103"/>
      <c r="M522" s="103"/>
      <c r="N522" s="103"/>
      <c r="O522" s="103"/>
      <c r="P522" s="103"/>
      <c r="Q522" s="103"/>
      <c r="R522" s="103"/>
      <c r="S522" s="103"/>
      <c r="T522" s="103"/>
      <c r="U522" s="103"/>
      <c r="V522" s="103"/>
      <c r="W522" s="103"/>
      <c r="X522" s="103"/>
      <c r="Y522" s="103"/>
      <c r="Z522" s="103"/>
      <c r="AA522" s="103"/>
    </row>
    <row r="523" spans="1:27" ht="15.75" customHeight="1">
      <c r="A523" s="103"/>
      <c r="B523" s="103"/>
      <c r="C523" s="103"/>
      <c r="D523" s="103"/>
      <c r="E523" s="103"/>
      <c r="F523" s="124"/>
      <c r="G523" s="124"/>
      <c r="H523" s="103"/>
      <c r="I523" s="103"/>
      <c r="J523" s="103"/>
      <c r="K523" s="103"/>
      <c r="L523" s="103"/>
      <c r="M523" s="103"/>
      <c r="N523" s="103"/>
      <c r="O523" s="103"/>
      <c r="P523" s="103"/>
      <c r="Q523" s="103"/>
      <c r="R523" s="103"/>
      <c r="S523" s="103"/>
      <c r="T523" s="103"/>
      <c r="U523" s="103"/>
      <c r="V523" s="103"/>
      <c r="W523" s="103"/>
      <c r="X523" s="103"/>
      <c r="Y523" s="103"/>
      <c r="Z523" s="103"/>
      <c r="AA523" s="103"/>
    </row>
    <row r="524" spans="1:27" ht="15.75" customHeight="1">
      <c r="A524" s="103"/>
      <c r="B524" s="103"/>
      <c r="C524" s="103"/>
      <c r="D524" s="103"/>
      <c r="E524" s="103"/>
      <c r="F524" s="124"/>
      <c r="G524" s="124"/>
      <c r="H524" s="103"/>
      <c r="I524" s="103"/>
      <c r="J524" s="103"/>
      <c r="K524" s="103"/>
      <c r="L524" s="103"/>
      <c r="M524" s="103"/>
      <c r="N524" s="103"/>
      <c r="O524" s="103"/>
      <c r="P524" s="103"/>
      <c r="Q524" s="103"/>
      <c r="R524" s="103"/>
      <c r="S524" s="103"/>
      <c r="T524" s="103"/>
      <c r="U524" s="103"/>
      <c r="V524" s="103"/>
      <c r="W524" s="103"/>
      <c r="X524" s="103"/>
      <c r="Y524" s="103"/>
      <c r="Z524" s="103"/>
      <c r="AA524" s="103"/>
    </row>
    <row r="525" spans="1:27" ht="15.75" customHeight="1">
      <c r="A525" s="103"/>
      <c r="B525" s="103"/>
      <c r="C525" s="103"/>
      <c r="D525" s="103"/>
      <c r="E525" s="103"/>
      <c r="F525" s="124"/>
      <c r="G525" s="124"/>
      <c r="H525" s="103"/>
      <c r="I525" s="103"/>
      <c r="J525" s="103"/>
      <c r="K525" s="103"/>
      <c r="L525" s="103"/>
      <c r="M525" s="103"/>
      <c r="N525" s="103"/>
      <c r="O525" s="103"/>
      <c r="P525" s="103"/>
      <c r="Q525" s="103"/>
      <c r="R525" s="103"/>
      <c r="S525" s="103"/>
      <c r="T525" s="103"/>
      <c r="U525" s="103"/>
      <c r="V525" s="103"/>
      <c r="W525" s="103"/>
      <c r="X525" s="103"/>
      <c r="Y525" s="103"/>
      <c r="Z525" s="103"/>
      <c r="AA525" s="103"/>
    </row>
    <row r="526" spans="1:27" ht="15.75" customHeight="1">
      <c r="A526" s="103"/>
      <c r="B526" s="103"/>
      <c r="C526" s="103"/>
      <c r="D526" s="103"/>
      <c r="E526" s="103"/>
      <c r="F526" s="124"/>
      <c r="G526" s="124"/>
      <c r="H526" s="103"/>
      <c r="I526" s="103"/>
      <c r="J526" s="103"/>
      <c r="K526" s="103"/>
      <c r="L526" s="103"/>
      <c r="M526" s="103"/>
      <c r="N526" s="103"/>
      <c r="O526" s="103"/>
      <c r="P526" s="103"/>
      <c r="Q526" s="103"/>
      <c r="R526" s="103"/>
      <c r="S526" s="103"/>
      <c r="T526" s="103"/>
      <c r="U526" s="103"/>
      <c r="V526" s="103"/>
      <c r="W526" s="103"/>
      <c r="X526" s="103"/>
      <c r="Y526" s="103"/>
      <c r="Z526" s="103"/>
      <c r="AA526" s="103"/>
    </row>
    <row r="527" spans="1:27" ht="15.75" customHeight="1">
      <c r="A527" s="103"/>
      <c r="B527" s="103"/>
      <c r="C527" s="103"/>
      <c r="D527" s="103"/>
      <c r="E527" s="103"/>
      <c r="F527" s="124"/>
      <c r="G527" s="124"/>
      <c r="H527" s="103"/>
      <c r="I527" s="103"/>
      <c r="J527" s="103"/>
      <c r="K527" s="103"/>
      <c r="L527" s="103"/>
      <c r="M527" s="103"/>
      <c r="N527" s="103"/>
      <c r="O527" s="103"/>
      <c r="P527" s="103"/>
      <c r="Q527" s="103"/>
      <c r="R527" s="103"/>
      <c r="S527" s="103"/>
      <c r="T527" s="103"/>
      <c r="U527" s="103"/>
      <c r="V527" s="103"/>
      <c r="W527" s="103"/>
      <c r="X527" s="103"/>
      <c r="Y527" s="103"/>
      <c r="Z527" s="103"/>
      <c r="AA527" s="103"/>
    </row>
    <row r="528" spans="1:27" ht="15.75" customHeight="1">
      <c r="A528" s="103"/>
      <c r="B528" s="103"/>
      <c r="C528" s="103"/>
      <c r="D528" s="103"/>
      <c r="E528" s="103"/>
      <c r="F528" s="124"/>
      <c r="G528" s="124"/>
      <c r="H528" s="103"/>
      <c r="I528" s="103"/>
      <c r="J528" s="103"/>
      <c r="K528" s="103"/>
      <c r="L528" s="103"/>
      <c r="M528" s="103"/>
      <c r="N528" s="103"/>
      <c r="O528" s="103"/>
      <c r="P528" s="103"/>
      <c r="Q528" s="103"/>
      <c r="R528" s="103"/>
      <c r="S528" s="103"/>
      <c r="T528" s="103"/>
      <c r="U528" s="103"/>
      <c r="V528" s="103"/>
      <c r="W528" s="103"/>
      <c r="X528" s="103"/>
      <c r="Y528" s="103"/>
      <c r="Z528" s="103"/>
      <c r="AA528" s="103"/>
    </row>
    <row r="529" spans="1:27" ht="15.75" customHeight="1">
      <c r="A529" s="103"/>
      <c r="B529" s="103"/>
      <c r="C529" s="103"/>
      <c r="D529" s="103"/>
      <c r="E529" s="103"/>
      <c r="F529" s="124"/>
      <c r="G529" s="124"/>
      <c r="H529" s="103"/>
      <c r="I529" s="103"/>
      <c r="J529" s="103"/>
      <c r="K529" s="103"/>
      <c r="L529" s="103"/>
      <c r="M529" s="103"/>
      <c r="N529" s="103"/>
      <c r="O529" s="103"/>
      <c r="P529" s="103"/>
      <c r="Q529" s="103"/>
      <c r="R529" s="103"/>
      <c r="S529" s="103"/>
      <c r="T529" s="103"/>
      <c r="U529" s="103"/>
      <c r="V529" s="103"/>
      <c r="W529" s="103"/>
      <c r="X529" s="103"/>
      <c r="Y529" s="103"/>
      <c r="Z529" s="103"/>
      <c r="AA529" s="103"/>
    </row>
    <row r="530" spans="1:27" ht="15.75" customHeight="1">
      <c r="A530" s="103"/>
      <c r="B530" s="103"/>
      <c r="C530" s="103"/>
      <c r="D530" s="103"/>
      <c r="E530" s="103"/>
      <c r="F530" s="124"/>
      <c r="G530" s="124"/>
      <c r="H530" s="103"/>
      <c r="I530" s="103"/>
      <c r="J530" s="103"/>
      <c r="K530" s="103"/>
      <c r="L530" s="103"/>
      <c r="M530" s="103"/>
      <c r="N530" s="103"/>
      <c r="O530" s="103"/>
      <c r="P530" s="103"/>
      <c r="Q530" s="103"/>
      <c r="R530" s="103"/>
      <c r="S530" s="103"/>
      <c r="T530" s="103"/>
      <c r="U530" s="103"/>
      <c r="V530" s="103"/>
      <c r="W530" s="103"/>
      <c r="X530" s="103"/>
      <c r="Y530" s="103"/>
      <c r="Z530" s="103"/>
      <c r="AA530" s="103"/>
    </row>
    <row r="531" spans="1:27" ht="15.75" customHeight="1">
      <c r="A531" s="103"/>
      <c r="B531" s="103"/>
      <c r="C531" s="103"/>
      <c r="D531" s="103"/>
      <c r="E531" s="103"/>
      <c r="F531" s="124"/>
      <c r="G531" s="124"/>
      <c r="H531" s="103"/>
      <c r="I531" s="103"/>
      <c r="J531" s="103"/>
      <c r="K531" s="103"/>
      <c r="L531" s="103"/>
      <c r="M531" s="103"/>
      <c r="N531" s="103"/>
      <c r="O531" s="103"/>
      <c r="P531" s="103"/>
      <c r="Q531" s="103"/>
      <c r="R531" s="103"/>
      <c r="S531" s="103"/>
      <c r="T531" s="103"/>
      <c r="U531" s="103"/>
      <c r="V531" s="103"/>
      <c r="W531" s="103"/>
      <c r="X531" s="103"/>
      <c r="Y531" s="103"/>
      <c r="Z531" s="103"/>
      <c r="AA531" s="103"/>
    </row>
    <row r="532" spans="1:27" ht="15.75" customHeight="1">
      <c r="A532" s="103"/>
      <c r="B532" s="103"/>
      <c r="C532" s="103"/>
      <c r="D532" s="103"/>
      <c r="E532" s="103"/>
      <c r="F532" s="124"/>
      <c r="G532" s="124"/>
      <c r="H532" s="103"/>
      <c r="I532" s="103"/>
      <c r="J532" s="103"/>
      <c r="K532" s="103"/>
      <c r="L532" s="103"/>
      <c r="M532" s="103"/>
      <c r="N532" s="103"/>
      <c r="O532" s="103"/>
      <c r="P532" s="103"/>
      <c r="Q532" s="103"/>
      <c r="R532" s="103"/>
      <c r="S532" s="103"/>
      <c r="T532" s="103"/>
      <c r="U532" s="103"/>
      <c r="V532" s="103"/>
      <c r="W532" s="103"/>
      <c r="X532" s="103"/>
      <c r="Y532" s="103"/>
      <c r="Z532" s="103"/>
      <c r="AA532" s="103"/>
    </row>
    <row r="533" spans="1:27" ht="15.75" customHeight="1">
      <c r="A533" s="103"/>
      <c r="B533" s="103"/>
      <c r="C533" s="103"/>
      <c r="D533" s="103"/>
      <c r="E533" s="103"/>
      <c r="F533" s="124"/>
      <c r="G533" s="124"/>
      <c r="H533" s="103"/>
      <c r="I533" s="103"/>
      <c r="J533" s="103"/>
      <c r="K533" s="103"/>
      <c r="L533" s="103"/>
      <c r="M533" s="103"/>
      <c r="N533" s="103"/>
      <c r="O533" s="103"/>
      <c r="P533" s="103"/>
      <c r="Q533" s="103"/>
      <c r="R533" s="103"/>
      <c r="S533" s="103"/>
      <c r="T533" s="103"/>
      <c r="U533" s="103"/>
      <c r="V533" s="103"/>
      <c r="W533" s="103"/>
      <c r="X533" s="103"/>
      <c r="Y533" s="103"/>
      <c r="Z533" s="103"/>
      <c r="AA533" s="103"/>
    </row>
    <row r="534" spans="1:27" ht="15.75" customHeight="1">
      <c r="A534" s="103"/>
      <c r="B534" s="103"/>
      <c r="C534" s="103"/>
      <c r="D534" s="103"/>
      <c r="E534" s="103"/>
      <c r="F534" s="124"/>
      <c r="G534" s="124"/>
      <c r="H534" s="103"/>
      <c r="I534" s="103"/>
      <c r="J534" s="103"/>
      <c r="K534" s="103"/>
      <c r="L534" s="103"/>
      <c r="M534" s="103"/>
      <c r="N534" s="103"/>
      <c r="O534" s="103"/>
      <c r="P534" s="103"/>
      <c r="Q534" s="103"/>
      <c r="R534" s="103"/>
      <c r="S534" s="103"/>
      <c r="T534" s="103"/>
      <c r="U534" s="103"/>
      <c r="V534" s="103"/>
      <c r="W534" s="103"/>
      <c r="X534" s="103"/>
      <c r="Y534" s="103"/>
      <c r="Z534" s="103"/>
      <c r="AA534" s="103"/>
    </row>
    <row r="535" spans="1:27" ht="15.75" customHeight="1">
      <c r="A535" s="103"/>
      <c r="B535" s="103"/>
      <c r="C535" s="103"/>
      <c r="D535" s="103"/>
      <c r="E535" s="103"/>
      <c r="F535" s="124"/>
      <c r="G535" s="124"/>
      <c r="H535" s="103"/>
      <c r="I535" s="103"/>
      <c r="J535" s="103"/>
      <c r="K535" s="103"/>
      <c r="L535" s="103"/>
      <c r="M535" s="103"/>
      <c r="N535" s="103"/>
      <c r="O535" s="103"/>
      <c r="P535" s="103"/>
      <c r="Q535" s="103"/>
      <c r="R535" s="103"/>
      <c r="S535" s="103"/>
      <c r="T535" s="103"/>
      <c r="U535" s="103"/>
      <c r="V535" s="103"/>
      <c r="W535" s="103"/>
      <c r="X535" s="103"/>
      <c r="Y535" s="103"/>
      <c r="Z535" s="103"/>
      <c r="AA535" s="103"/>
    </row>
    <row r="536" spans="1:27" ht="15.75" customHeight="1">
      <c r="A536" s="103"/>
      <c r="B536" s="103"/>
      <c r="C536" s="103"/>
      <c r="D536" s="103"/>
      <c r="E536" s="103"/>
      <c r="F536" s="124"/>
      <c r="G536" s="124"/>
      <c r="H536" s="103"/>
      <c r="I536" s="103"/>
      <c r="J536" s="103"/>
      <c r="K536" s="103"/>
      <c r="L536" s="103"/>
      <c r="M536" s="103"/>
      <c r="N536" s="103"/>
      <c r="O536" s="103"/>
      <c r="P536" s="103"/>
      <c r="Q536" s="103"/>
      <c r="R536" s="103"/>
      <c r="S536" s="103"/>
      <c r="T536" s="103"/>
      <c r="U536" s="103"/>
      <c r="V536" s="103"/>
      <c r="W536" s="103"/>
      <c r="X536" s="103"/>
      <c r="Y536" s="103"/>
      <c r="Z536" s="103"/>
      <c r="AA536" s="103"/>
    </row>
    <row r="537" spans="1:27" ht="15.75" customHeight="1">
      <c r="A537" s="103"/>
      <c r="B537" s="103"/>
      <c r="C537" s="103"/>
      <c r="D537" s="103"/>
      <c r="E537" s="103"/>
      <c r="F537" s="124"/>
      <c r="G537" s="124"/>
      <c r="H537" s="103"/>
      <c r="I537" s="103"/>
      <c r="J537" s="103"/>
      <c r="K537" s="103"/>
      <c r="L537" s="103"/>
      <c r="M537" s="103"/>
      <c r="N537" s="103"/>
      <c r="O537" s="103"/>
      <c r="P537" s="103"/>
      <c r="Q537" s="103"/>
      <c r="R537" s="103"/>
      <c r="S537" s="103"/>
      <c r="T537" s="103"/>
      <c r="U537" s="103"/>
      <c r="V537" s="103"/>
      <c r="W537" s="103"/>
      <c r="X537" s="103"/>
      <c r="Y537" s="103"/>
      <c r="Z537" s="103"/>
      <c r="AA537" s="103"/>
    </row>
    <row r="538" spans="1:27" ht="15.75" customHeight="1">
      <c r="A538" s="103"/>
      <c r="B538" s="103"/>
      <c r="C538" s="103"/>
      <c r="D538" s="103"/>
      <c r="E538" s="103"/>
      <c r="F538" s="124"/>
      <c r="G538" s="124"/>
      <c r="H538" s="103"/>
      <c r="I538" s="103"/>
      <c r="J538" s="103"/>
      <c r="K538" s="103"/>
      <c r="L538" s="103"/>
      <c r="M538" s="103"/>
      <c r="N538" s="103"/>
      <c r="O538" s="103"/>
      <c r="P538" s="103"/>
      <c r="Q538" s="103"/>
      <c r="R538" s="103"/>
      <c r="S538" s="103"/>
      <c r="T538" s="103"/>
      <c r="U538" s="103"/>
      <c r="V538" s="103"/>
      <c r="W538" s="103"/>
      <c r="X538" s="103"/>
      <c r="Y538" s="103"/>
      <c r="Z538" s="103"/>
      <c r="AA538" s="103"/>
    </row>
    <row r="539" spans="1:27" ht="15.75" customHeight="1">
      <c r="A539" s="103"/>
      <c r="B539" s="103"/>
      <c r="C539" s="103"/>
      <c r="D539" s="103"/>
      <c r="E539" s="103"/>
      <c r="F539" s="124"/>
      <c r="G539" s="124"/>
      <c r="H539" s="103"/>
      <c r="I539" s="103"/>
      <c r="J539" s="103"/>
      <c r="K539" s="103"/>
      <c r="L539" s="103"/>
      <c r="M539" s="103"/>
      <c r="N539" s="103"/>
      <c r="O539" s="103"/>
      <c r="P539" s="103"/>
      <c r="Q539" s="103"/>
      <c r="R539" s="103"/>
      <c r="S539" s="103"/>
      <c r="T539" s="103"/>
      <c r="U539" s="103"/>
      <c r="V539" s="103"/>
      <c r="W539" s="103"/>
      <c r="X539" s="103"/>
      <c r="Y539" s="103"/>
      <c r="Z539" s="103"/>
      <c r="AA539" s="103"/>
    </row>
    <row r="540" spans="1:27" ht="15.75" customHeight="1">
      <c r="A540" s="103"/>
      <c r="B540" s="103"/>
      <c r="C540" s="103"/>
      <c r="D540" s="103"/>
      <c r="E540" s="103"/>
      <c r="F540" s="124"/>
      <c r="G540" s="124"/>
      <c r="H540" s="103"/>
      <c r="I540" s="103"/>
      <c r="J540" s="103"/>
      <c r="K540" s="103"/>
      <c r="L540" s="103"/>
      <c r="M540" s="103"/>
      <c r="N540" s="103"/>
      <c r="O540" s="103"/>
      <c r="P540" s="103"/>
      <c r="Q540" s="103"/>
      <c r="R540" s="103"/>
      <c r="S540" s="103"/>
      <c r="T540" s="103"/>
      <c r="U540" s="103"/>
      <c r="V540" s="103"/>
      <c r="W540" s="103"/>
      <c r="X540" s="103"/>
      <c r="Y540" s="103"/>
      <c r="Z540" s="103"/>
      <c r="AA540" s="103"/>
    </row>
    <row r="541" spans="1:27" ht="15.75" customHeight="1">
      <c r="A541" s="103"/>
      <c r="B541" s="103"/>
      <c r="C541" s="103"/>
      <c r="D541" s="103"/>
      <c r="E541" s="103"/>
      <c r="F541" s="124"/>
      <c r="G541" s="124"/>
      <c r="H541" s="103"/>
      <c r="I541" s="103"/>
      <c r="J541" s="103"/>
      <c r="K541" s="103"/>
      <c r="L541" s="103"/>
      <c r="M541" s="103"/>
      <c r="N541" s="103"/>
      <c r="O541" s="103"/>
      <c r="P541" s="103"/>
      <c r="Q541" s="103"/>
      <c r="R541" s="103"/>
      <c r="S541" s="103"/>
      <c r="T541" s="103"/>
      <c r="U541" s="103"/>
      <c r="V541" s="103"/>
      <c r="W541" s="103"/>
      <c r="X541" s="103"/>
      <c r="Y541" s="103"/>
      <c r="Z541" s="103"/>
      <c r="AA541" s="103"/>
    </row>
    <row r="542" spans="1:27" ht="15.75" customHeight="1">
      <c r="A542" s="103"/>
      <c r="B542" s="103"/>
      <c r="C542" s="103"/>
      <c r="D542" s="103"/>
      <c r="E542" s="103"/>
      <c r="F542" s="124"/>
      <c r="G542" s="124"/>
      <c r="H542" s="103"/>
      <c r="I542" s="103"/>
      <c r="J542" s="103"/>
      <c r="K542" s="103"/>
      <c r="L542" s="103"/>
      <c r="M542" s="103"/>
      <c r="N542" s="103"/>
      <c r="O542" s="103"/>
      <c r="P542" s="103"/>
      <c r="Q542" s="103"/>
      <c r="R542" s="103"/>
      <c r="S542" s="103"/>
      <c r="T542" s="103"/>
      <c r="U542" s="103"/>
      <c r="V542" s="103"/>
      <c r="W542" s="103"/>
      <c r="X542" s="103"/>
      <c r="Y542" s="103"/>
      <c r="Z542" s="103"/>
      <c r="AA542" s="103"/>
    </row>
    <row r="543" spans="1:27" ht="15.75" customHeight="1">
      <c r="A543" s="103"/>
      <c r="B543" s="103"/>
      <c r="C543" s="103"/>
      <c r="D543" s="103"/>
      <c r="E543" s="103"/>
      <c r="F543" s="124"/>
      <c r="G543" s="124"/>
      <c r="H543" s="103"/>
      <c r="I543" s="103"/>
      <c r="J543" s="103"/>
      <c r="K543" s="103"/>
      <c r="L543" s="103"/>
      <c r="M543" s="103"/>
      <c r="N543" s="103"/>
      <c r="O543" s="103"/>
      <c r="P543" s="103"/>
      <c r="Q543" s="103"/>
      <c r="R543" s="103"/>
      <c r="S543" s="103"/>
      <c r="T543" s="103"/>
      <c r="U543" s="103"/>
      <c r="V543" s="103"/>
      <c r="W543" s="103"/>
      <c r="X543" s="103"/>
      <c r="Y543" s="103"/>
      <c r="Z543" s="103"/>
      <c r="AA543" s="103"/>
    </row>
    <row r="544" spans="1:27" ht="15.75" customHeight="1">
      <c r="A544" s="103"/>
      <c r="B544" s="103"/>
      <c r="C544" s="103"/>
      <c r="D544" s="103"/>
      <c r="E544" s="103"/>
      <c r="F544" s="124"/>
      <c r="G544" s="124"/>
      <c r="H544" s="103"/>
      <c r="I544" s="103"/>
      <c r="J544" s="103"/>
      <c r="K544" s="103"/>
      <c r="L544" s="103"/>
      <c r="M544" s="103"/>
      <c r="N544" s="103"/>
      <c r="O544" s="103"/>
      <c r="P544" s="103"/>
      <c r="Q544" s="103"/>
      <c r="R544" s="103"/>
      <c r="S544" s="103"/>
      <c r="T544" s="103"/>
      <c r="U544" s="103"/>
      <c r="V544" s="103"/>
      <c r="W544" s="103"/>
      <c r="X544" s="103"/>
      <c r="Y544" s="103"/>
      <c r="Z544" s="103"/>
      <c r="AA544" s="103"/>
    </row>
    <row r="545" spans="1:27" ht="15.75" customHeight="1">
      <c r="A545" s="103"/>
      <c r="B545" s="103"/>
      <c r="C545" s="103"/>
      <c r="D545" s="103"/>
      <c r="E545" s="103"/>
      <c r="F545" s="124"/>
      <c r="G545" s="124"/>
      <c r="H545" s="103"/>
      <c r="I545" s="103"/>
      <c r="J545" s="103"/>
      <c r="K545" s="103"/>
      <c r="L545" s="103"/>
      <c r="M545" s="103"/>
      <c r="N545" s="103"/>
      <c r="O545" s="103"/>
      <c r="P545" s="103"/>
      <c r="Q545" s="103"/>
      <c r="R545" s="103"/>
      <c r="S545" s="103"/>
      <c r="T545" s="103"/>
      <c r="U545" s="103"/>
      <c r="V545" s="103"/>
      <c r="W545" s="103"/>
      <c r="X545" s="103"/>
      <c r="Y545" s="103"/>
      <c r="Z545" s="103"/>
      <c r="AA545" s="103"/>
    </row>
    <row r="546" spans="1:27" ht="15.75" customHeight="1">
      <c r="A546" s="103"/>
      <c r="B546" s="103"/>
      <c r="C546" s="103"/>
      <c r="D546" s="103"/>
      <c r="E546" s="103"/>
      <c r="F546" s="124"/>
      <c r="G546" s="124"/>
      <c r="H546" s="103"/>
      <c r="I546" s="103"/>
      <c r="J546" s="103"/>
      <c r="K546" s="103"/>
      <c r="L546" s="103"/>
      <c r="M546" s="103"/>
      <c r="N546" s="103"/>
      <c r="O546" s="103"/>
      <c r="P546" s="103"/>
      <c r="Q546" s="103"/>
      <c r="R546" s="103"/>
      <c r="S546" s="103"/>
      <c r="T546" s="103"/>
      <c r="U546" s="103"/>
      <c r="V546" s="103"/>
      <c r="W546" s="103"/>
      <c r="X546" s="103"/>
      <c r="Y546" s="103"/>
      <c r="Z546" s="103"/>
      <c r="AA546" s="103"/>
    </row>
    <row r="547" spans="1:27" ht="15.75" customHeight="1">
      <c r="A547" s="103"/>
      <c r="B547" s="103"/>
      <c r="C547" s="103"/>
      <c r="D547" s="103"/>
      <c r="E547" s="103"/>
      <c r="F547" s="124"/>
      <c r="G547" s="124"/>
      <c r="H547" s="103"/>
      <c r="I547" s="103"/>
      <c r="J547" s="103"/>
      <c r="K547" s="103"/>
      <c r="L547" s="103"/>
      <c r="M547" s="103"/>
      <c r="N547" s="103"/>
      <c r="O547" s="103"/>
      <c r="P547" s="103"/>
      <c r="Q547" s="103"/>
      <c r="R547" s="103"/>
      <c r="S547" s="103"/>
      <c r="T547" s="103"/>
      <c r="U547" s="103"/>
      <c r="V547" s="103"/>
      <c r="W547" s="103"/>
      <c r="X547" s="103"/>
      <c r="Y547" s="103"/>
      <c r="Z547" s="103"/>
      <c r="AA547" s="103"/>
    </row>
    <row r="548" spans="1:27" ht="15.75" customHeight="1">
      <c r="A548" s="103"/>
      <c r="B548" s="103"/>
      <c r="C548" s="103"/>
      <c r="D548" s="103"/>
      <c r="E548" s="103"/>
      <c r="F548" s="124"/>
      <c r="G548" s="124"/>
      <c r="H548" s="103"/>
      <c r="I548" s="103"/>
      <c r="J548" s="103"/>
      <c r="K548" s="103"/>
      <c r="L548" s="103"/>
      <c r="M548" s="103"/>
      <c r="N548" s="103"/>
      <c r="O548" s="103"/>
      <c r="P548" s="103"/>
      <c r="Q548" s="103"/>
      <c r="R548" s="103"/>
      <c r="S548" s="103"/>
      <c r="T548" s="103"/>
      <c r="U548" s="103"/>
      <c r="V548" s="103"/>
      <c r="W548" s="103"/>
      <c r="X548" s="103"/>
      <c r="Y548" s="103"/>
      <c r="Z548" s="103"/>
      <c r="AA548" s="103"/>
    </row>
    <row r="549" spans="1:27" ht="15.75" customHeight="1">
      <c r="A549" s="103"/>
      <c r="B549" s="103"/>
      <c r="C549" s="103"/>
      <c r="D549" s="103"/>
      <c r="E549" s="103"/>
      <c r="F549" s="124"/>
      <c r="G549" s="124"/>
      <c r="H549" s="103"/>
      <c r="I549" s="103"/>
      <c r="J549" s="103"/>
      <c r="K549" s="103"/>
      <c r="L549" s="103"/>
      <c r="M549" s="103"/>
      <c r="N549" s="103"/>
      <c r="O549" s="103"/>
      <c r="P549" s="103"/>
      <c r="Q549" s="103"/>
      <c r="R549" s="103"/>
      <c r="S549" s="103"/>
      <c r="T549" s="103"/>
      <c r="U549" s="103"/>
      <c r="V549" s="103"/>
      <c r="W549" s="103"/>
      <c r="X549" s="103"/>
      <c r="Y549" s="103"/>
      <c r="Z549" s="103"/>
      <c r="AA549" s="103"/>
    </row>
    <row r="550" spans="1:27" ht="15.75" customHeight="1">
      <c r="A550" s="103"/>
      <c r="B550" s="103"/>
      <c r="C550" s="103"/>
      <c r="D550" s="103"/>
      <c r="E550" s="103"/>
      <c r="F550" s="124"/>
      <c r="G550" s="124"/>
      <c r="H550" s="103"/>
      <c r="I550" s="103"/>
      <c r="J550" s="103"/>
      <c r="K550" s="103"/>
      <c r="L550" s="103"/>
      <c r="M550" s="103"/>
      <c r="N550" s="103"/>
      <c r="O550" s="103"/>
      <c r="P550" s="103"/>
      <c r="Q550" s="103"/>
      <c r="R550" s="103"/>
      <c r="S550" s="103"/>
      <c r="T550" s="103"/>
      <c r="U550" s="103"/>
      <c r="V550" s="103"/>
      <c r="W550" s="103"/>
      <c r="X550" s="103"/>
      <c r="Y550" s="103"/>
      <c r="Z550" s="103"/>
      <c r="AA550" s="103"/>
    </row>
    <row r="551" spans="1:27" ht="15.75" customHeight="1">
      <c r="A551" s="103"/>
      <c r="B551" s="103"/>
      <c r="C551" s="103"/>
      <c r="D551" s="103"/>
      <c r="E551" s="103"/>
      <c r="F551" s="124"/>
      <c r="G551" s="124"/>
      <c r="H551" s="103"/>
      <c r="I551" s="103"/>
      <c r="J551" s="103"/>
      <c r="K551" s="103"/>
      <c r="L551" s="103"/>
      <c r="M551" s="103"/>
      <c r="N551" s="103"/>
      <c r="O551" s="103"/>
      <c r="P551" s="103"/>
      <c r="Q551" s="103"/>
      <c r="R551" s="103"/>
      <c r="S551" s="103"/>
      <c r="T551" s="103"/>
      <c r="U551" s="103"/>
      <c r="V551" s="103"/>
      <c r="W551" s="103"/>
      <c r="X551" s="103"/>
      <c r="Y551" s="103"/>
      <c r="Z551" s="103"/>
      <c r="AA551" s="103"/>
    </row>
    <row r="552" spans="1:27" ht="15.75" customHeight="1">
      <c r="A552" s="103"/>
      <c r="B552" s="103"/>
      <c r="C552" s="103"/>
      <c r="D552" s="103"/>
      <c r="E552" s="103"/>
      <c r="F552" s="124"/>
      <c r="G552" s="124"/>
      <c r="H552" s="103"/>
      <c r="I552" s="103"/>
      <c r="J552" s="103"/>
      <c r="K552" s="103"/>
      <c r="L552" s="103"/>
      <c r="M552" s="103"/>
      <c r="N552" s="103"/>
      <c r="O552" s="103"/>
      <c r="P552" s="103"/>
      <c r="Q552" s="103"/>
      <c r="R552" s="103"/>
      <c r="S552" s="103"/>
      <c r="T552" s="103"/>
      <c r="U552" s="103"/>
      <c r="V552" s="103"/>
      <c r="W552" s="103"/>
      <c r="X552" s="103"/>
      <c r="Y552" s="103"/>
      <c r="Z552" s="103"/>
      <c r="AA552" s="103"/>
    </row>
    <row r="553" spans="1:27" ht="15.75" customHeight="1">
      <c r="A553" s="103"/>
      <c r="B553" s="103"/>
      <c r="C553" s="103"/>
      <c r="D553" s="103"/>
      <c r="E553" s="103"/>
      <c r="F553" s="124"/>
      <c r="G553" s="124"/>
      <c r="H553" s="103"/>
      <c r="I553" s="103"/>
      <c r="J553" s="103"/>
      <c r="K553" s="103"/>
      <c r="L553" s="103"/>
      <c r="M553" s="103"/>
      <c r="N553" s="103"/>
      <c r="O553" s="103"/>
      <c r="P553" s="103"/>
      <c r="Q553" s="103"/>
      <c r="R553" s="103"/>
      <c r="S553" s="103"/>
      <c r="T553" s="103"/>
      <c r="U553" s="103"/>
      <c r="V553" s="103"/>
      <c r="W553" s="103"/>
      <c r="X553" s="103"/>
      <c r="Y553" s="103"/>
      <c r="Z553" s="103"/>
      <c r="AA553" s="103"/>
    </row>
    <row r="554" spans="1:27" ht="15.75" customHeight="1">
      <c r="A554" s="103"/>
      <c r="B554" s="103"/>
      <c r="C554" s="103"/>
      <c r="D554" s="103"/>
      <c r="E554" s="103"/>
      <c r="F554" s="124"/>
      <c r="G554" s="124"/>
      <c r="H554" s="103"/>
      <c r="I554" s="103"/>
      <c r="J554" s="103"/>
      <c r="K554" s="103"/>
      <c r="L554" s="103"/>
      <c r="M554" s="103"/>
      <c r="N554" s="103"/>
      <c r="O554" s="103"/>
      <c r="P554" s="103"/>
      <c r="Q554" s="103"/>
      <c r="R554" s="103"/>
      <c r="S554" s="103"/>
      <c r="T554" s="103"/>
      <c r="U554" s="103"/>
      <c r="V554" s="103"/>
      <c r="W554" s="103"/>
      <c r="X554" s="103"/>
      <c r="Y554" s="103"/>
      <c r="Z554" s="103"/>
      <c r="AA554" s="103"/>
    </row>
    <row r="555" spans="1:27" ht="15.75" customHeight="1">
      <c r="A555" s="103"/>
      <c r="B555" s="103"/>
      <c r="C555" s="103"/>
      <c r="D555" s="103"/>
      <c r="E555" s="103"/>
      <c r="F555" s="124"/>
      <c r="G555" s="124"/>
      <c r="H555" s="103"/>
      <c r="I555" s="103"/>
      <c r="J555" s="103"/>
      <c r="K555" s="103"/>
      <c r="L555" s="103"/>
      <c r="M555" s="103"/>
      <c r="N555" s="103"/>
      <c r="O555" s="103"/>
      <c r="P555" s="103"/>
      <c r="Q555" s="103"/>
      <c r="R555" s="103"/>
      <c r="S555" s="103"/>
      <c r="T555" s="103"/>
      <c r="U555" s="103"/>
      <c r="V555" s="103"/>
      <c r="W555" s="103"/>
      <c r="X555" s="103"/>
      <c r="Y555" s="103"/>
      <c r="Z555" s="103"/>
      <c r="AA555" s="103"/>
    </row>
    <row r="556" spans="1:27" ht="15.75" customHeight="1">
      <c r="A556" s="103"/>
      <c r="B556" s="103"/>
      <c r="C556" s="103"/>
      <c r="D556" s="103"/>
      <c r="E556" s="103"/>
      <c r="F556" s="124"/>
      <c r="G556" s="124"/>
      <c r="H556" s="103"/>
      <c r="I556" s="103"/>
      <c r="J556" s="103"/>
      <c r="K556" s="103"/>
      <c r="L556" s="103"/>
      <c r="M556" s="103"/>
      <c r="N556" s="103"/>
      <c r="O556" s="103"/>
      <c r="P556" s="103"/>
      <c r="Q556" s="103"/>
      <c r="R556" s="103"/>
      <c r="S556" s="103"/>
      <c r="T556" s="103"/>
      <c r="U556" s="103"/>
      <c r="V556" s="103"/>
      <c r="W556" s="103"/>
      <c r="X556" s="103"/>
      <c r="Y556" s="103"/>
      <c r="Z556" s="103"/>
      <c r="AA556" s="103"/>
    </row>
    <row r="557" spans="1:27" ht="15.75" customHeight="1">
      <c r="A557" s="103"/>
      <c r="B557" s="103"/>
      <c r="C557" s="103"/>
      <c r="D557" s="103"/>
      <c r="E557" s="103"/>
      <c r="F557" s="124"/>
      <c r="G557" s="124"/>
      <c r="H557" s="103"/>
      <c r="I557" s="103"/>
      <c r="J557" s="103"/>
      <c r="K557" s="103"/>
      <c r="L557" s="103"/>
      <c r="M557" s="103"/>
      <c r="N557" s="103"/>
      <c r="O557" s="103"/>
      <c r="P557" s="103"/>
      <c r="Q557" s="103"/>
      <c r="R557" s="103"/>
      <c r="S557" s="103"/>
      <c r="T557" s="103"/>
      <c r="U557" s="103"/>
      <c r="V557" s="103"/>
      <c r="W557" s="103"/>
      <c r="X557" s="103"/>
      <c r="Y557" s="103"/>
      <c r="Z557" s="103"/>
      <c r="AA557" s="103"/>
    </row>
    <row r="558" spans="1:27" ht="15.75" customHeight="1">
      <c r="A558" s="103"/>
      <c r="B558" s="103"/>
      <c r="C558" s="103"/>
      <c r="D558" s="103"/>
      <c r="E558" s="103"/>
      <c r="F558" s="124"/>
      <c r="G558" s="124"/>
      <c r="H558" s="103"/>
      <c r="I558" s="103"/>
      <c r="J558" s="103"/>
      <c r="K558" s="103"/>
      <c r="L558" s="103"/>
      <c r="M558" s="103"/>
      <c r="N558" s="103"/>
      <c r="O558" s="103"/>
      <c r="P558" s="103"/>
      <c r="Q558" s="103"/>
      <c r="R558" s="103"/>
      <c r="S558" s="103"/>
      <c r="T558" s="103"/>
      <c r="U558" s="103"/>
      <c r="V558" s="103"/>
      <c r="W558" s="103"/>
      <c r="X558" s="103"/>
      <c r="Y558" s="103"/>
      <c r="Z558" s="103"/>
      <c r="AA558" s="103"/>
    </row>
    <row r="559" spans="1:27" ht="15.75" customHeight="1">
      <c r="A559" s="103"/>
      <c r="B559" s="103"/>
      <c r="C559" s="103"/>
      <c r="D559" s="103"/>
      <c r="E559" s="103"/>
      <c r="F559" s="124"/>
      <c r="G559" s="124"/>
      <c r="H559" s="103"/>
      <c r="I559" s="103"/>
      <c r="J559" s="103"/>
      <c r="K559" s="103"/>
      <c r="L559" s="103"/>
      <c r="M559" s="103"/>
      <c r="N559" s="103"/>
      <c r="O559" s="103"/>
      <c r="P559" s="103"/>
      <c r="Q559" s="103"/>
      <c r="R559" s="103"/>
      <c r="S559" s="103"/>
      <c r="T559" s="103"/>
      <c r="U559" s="103"/>
      <c r="V559" s="103"/>
      <c r="W559" s="103"/>
      <c r="X559" s="103"/>
      <c r="Y559" s="103"/>
      <c r="Z559" s="103"/>
      <c r="AA559" s="103"/>
    </row>
    <row r="560" spans="1:27" ht="15.75" customHeight="1">
      <c r="A560" s="103"/>
      <c r="B560" s="103"/>
      <c r="C560" s="103"/>
      <c r="D560" s="103"/>
      <c r="E560" s="103"/>
      <c r="F560" s="124"/>
      <c r="G560" s="124"/>
      <c r="H560" s="103"/>
      <c r="I560" s="103"/>
      <c r="J560" s="103"/>
      <c r="K560" s="103"/>
      <c r="L560" s="103"/>
      <c r="M560" s="103"/>
      <c r="N560" s="103"/>
      <c r="O560" s="103"/>
      <c r="P560" s="103"/>
      <c r="Q560" s="103"/>
      <c r="R560" s="103"/>
      <c r="S560" s="103"/>
      <c r="T560" s="103"/>
      <c r="U560" s="103"/>
      <c r="V560" s="103"/>
      <c r="W560" s="103"/>
      <c r="X560" s="103"/>
      <c r="Y560" s="103"/>
      <c r="Z560" s="103"/>
      <c r="AA560" s="103"/>
    </row>
    <row r="561" spans="1:27" ht="15.75" customHeight="1">
      <c r="A561" s="103"/>
      <c r="B561" s="103"/>
      <c r="C561" s="103"/>
      <c r="D561" s="103"/>
      <c r="E561" s="103"/>
      <c r="F561" s="124"/>
      <c r="G561" s="124"/>
      <c r="H561" s="103"/>
      <c r="I561" s="103"/>
      <c r="J561" s="103"/>
      <c r="K561" s="103"/>
      <c r="L561" s="103"/>
      <c r="M561" s="103"/>
      <c r="N561" s="103"/>
      <c r="O561" s="103"/>
      <c r="P561" s="103"/>
      <c r="Q561" s="103"/>
      <c r="R561" s="103"/>
      <c r="S561" s="103"/>
      <c r="T561" s="103"/>
      <c r="U561" s="103"/>
      <c r="V561" s="103"/>
      <c r="W561" s="103"/>
      <c r="X561" s="103"/>
      <c r="Y561" s="103"/>
      <c r="Z561" s="103"/>
      <c r="AA561" s="103"/>
    </row>
    <row r="562" spans="1:27" ht="15.75" customHeight="1">
      <c r="A562" s="103"/>
      <c r="B562" s="103"/>
      <c r="C562" s="103"/>
      <c r="D562" s="103"/>
      <c r="E562" s="103"/>
      <c r="F562" s="124"/>
      <c r="G562" s="124"/>
      <c r="H562" s="103"/>
      <c r="I562" s="103"/>
      <c r="J562" s="103"/>
      <c r="K562" s="103"/>
      <c r="L562" s="103"/>
      <c r="M562" s="103"/>
      <c r="N562" s="103"/>
      <c r="O562" s="103"/>
      <c r="P562" s="103"/>
      <c r="Q562" s="103"/>
      <c r="R562" s="103"/>
      <c r="S562" s="103"/>
      <c r="T562" s="103"/>
      <c r="U562" s="103"/>
      <c r="V562" s="103"/>
      <c r="W562" s="103"/>
      <c r="X562" s="103"/>
      <c r="Y562" s="103"/>
      <c r="Z562" s="103"/>
      <c r="AA562" s="103"/>
    </row>
    <row r="563" spans="1:27" ht="15.75" customHeight="1">
      <c r="A563" s="103"/>
      <c r="B563" s="103"/>
      <c r="C563" s="103"/>
      <c r="D563" s="103"/>
      <c r="E563" s="103"/>
      <c r="F563" s="124"/>
      <c r="G563" s="124"/>
      <c r="H563" s="103"/>
      <c r="I563" s="103"/>
      <c r="J563" s="103"/>
      <c r="K563" s="103"/>
      <c r="L563" s="103"/>
      <c r="M563" s="103"/>
      <c r="N563" s="103"/>
      <c r="O563" s="103"/>
      <c r="P563" s="103"/>
      <c r="Q563" s="103"/>
      <c r="R563" s="103"/>
      <c r="S563" s="103"/>
      <c r="T563" s="103"/>
      <c r="U563" s="103"/>
      <c r="V563" s="103"/>
      <c r="W563" s="103"/>
      <c r="X563" s="103"/>
      <c r="Y563" s="103"/>
      <c r="Z563" s="103"/>
      <c r="AA563" s="103"/>
    </row>
    <row r="564" spans="1:27" ht="15.75" customHeight="1">
      <c r="A564" s="103"/>
      <c r="B564" s="103"/>
      <c r="C564" s="103"/>
      <c r="D564" s="103"/>
      <c r="E564" s="103"/>
      <c r="F564" s="124"/>
      <c r="G564" s="124"/>
      <c r="H564" s="103"/>
      <c r="I564" s="103"/>
      <c r="J564" s="103"/>
      <c r="K564" s="103"/>
      <c r="L564" s="103"/>
      <c r="M564" s="103"/>
      <c r="N564" s="103"/>
      <c r="O564" s="103"/>
      <c r="P564" s="103"/>
      <c r="Q564" s="103"/>
      <c r="R564" s="103"/>
      <c r="S564" s="103"/>
      <c r="T564" s="103"/>
      <c r="U564" s="103"/>
      <c r="V564" s="103"/>
      <c r="W564" s="103"/>
      <c r="X564" s="103"/>
      <c r="Y564" s="103"/>
      <c r="Z564" s="103"/>
      <c r="AA564" s="103"/>
    </row>
    <row r="565" spans="1:27" ht="15.75" customHeight="1">
      <c r="A565" s="103"/>
      <c r="B565" s="103"/>
      <c r="C565" s="103"/>
      <c r="D565" s="103"/>
      <c r="E565" s="103"/>
      <c r="F565" s="124"/>
      <c r="G565" s="124"/>
      <c r="H565" s="103"/>
      <c r="I565" s="103"/>
      <c r="J565" s="103"/>
      <c r="K565" s="103"/>
      <c r="L565" s="103"/>
      <c r="M565" s="103"/>
      <c r="N565" s="103"/>
      <c r="O565" s="103"/>
      <c r="P565" s="103"/>
      <c r="Q565" s="103"/>
      <c r="R565" s="103"/>
      <c r="S565" s="103"/>
      <c r="T565" s="103"/>
      <c r="U565" s="103"/>
      <c r="V565" s="103"/>
      <c r="W565" s="103"/>
      <c r="X565" s="103"/>
      <c r="Y565" s="103"/>
      <c r="Z565" s="103"/>
      <c r="AA565" s="103"/>
    </row>
    <row r="566" spans="1:27" ht="15.75" customHeight="1">
      <c r="A566" s="103"/>
      <c r="B566" s="103"/>
      <c r="C566" s="103"/>
      <c r="D566" s="103"/>
      <c r="E566" s="103"/>
      <c r="F566" s="124"/>
      <c r="G566" s="124"/>
      <c r="H566" s="103"/>
      <c r="I566" s="103"/>
      <c r="J566" s="103"/>
      <c r="K566" s="103"/>
      <c r="L566" s="103"/>
      <c r="M566" s="103"/>
      <c r="N566" s="103"/>
      <c r="O566" s="103"/>
      <c r="P566" s="103"/>
      <c r="Q566" s="103"/>
      <c r="R566" s="103"/>
      <c r="S566" s="103"/>
      <c r="T566" s="103"/>
      <c r="U566" s="103"/>
      <c r="V566" s="103"/>
      <c r="W566" s="103"/>
      <c r="X566" s="103"/>
      <c r="Y566" s="103"/>
      <c r="Z566" s="103"/>
      <c r="AA566" s="103"/>
    </row>
    <row r="567" spans="1:27" ht="15.75" customHeight="1">
      <c r="A567" s="103"/>
      <c r="B567" s="103"/>
      <c r="C567" s="103"/>
      <c r="D567" s="103"/>
      <c r="E567" s="103"/>
      <c r="F567" s="124"/>
      <c r="G567" s="124"/>
      <c r="H567" s="103"/>
      <c r="I567" s="103"/>
      <c r="J567" s="103"/>
      <c r="K567" s="103"/>
      <c r="L567" s="103"/>
      <c r="M567" s="103"/>
      <c r="N567" s="103"/>
      <c r="O567" s="103"/>
      <c r="P567" s="103"/>
      <c r="Q567" s="103"/>
      <c r="R567" s="103"/>
      <c r="S567" s="103"/>
      <c r="T567" s="103"/>
      <c r="U567" s="103"/>
      <c r="V567" s="103"/>
      <c r="W567" s="103"/>
      <c r="X567" s="103"/>
      <c r="Y567" s="103"/>
      <c r="Z567" s="103"/>
      <c r="AA567" s="103"/>
    </row>
    <row r="568" spans="1:27" ht="15.75" customHeight="1">
      <c r="A568" s="103"/>
      <c r="B568" s="103"/>
      <c r="C568" s="103"/>
      <c r="D568" s="103"/>
      <c r="E568" s="103"/>
      <c r="F568" s="124"/>
      <c r="G568" s="124"/>
      <c r="H568" s="103"/>
      <c r="I568" s="103"/>
      <c r="J568" s="103"/>
      <c r="K568" s="103"/>
      <c r="L568" s="103"/>
      <c r="M568" s="103"/>
      <c r="N568" s="103"/>
      <c r="O568" s="103"/>
      <c r="P568" s="103"/>
      <c r="Q568" s="103"/>
      <c r="R568" s="103"/>
      <c r="S568" s="103"/>
      <c r="T568" s="103"/>
      <c r="U568" s="103"/>
      <c r="V568" s="103"/>
      <c r="W568" s="103"/>
      <c r="X568" s="103"/>
      <c r="Y568" s="103"/>
      <c r="Z568" s="103"/>
      <c r="AA568" s="103"/>
    </row>
    <row r="569" spans="1:27" ht="15.75" customHeight="1">
      <c r="A569" s="103"/>
      <c r="B569" s="103"/>
      <c r="C569" s="103"/>
      <c r="D569" s="103"/>
      <c r="E569" s="103"/>
      <c r="F569" s="124"/>
      <c r="G569" s="124"/>
      <c r="H569" s="103"/>
      <c r="I569" s="103"/>
      <c r="J569" s="103"/>
      <c r="K569" s="103"/>
      <c r="L569" s="103"/>
      <c r="M569" s="103"/>
      <c r="N569" s="103"/>
      <c r="O569" s="103"/>
      <c r="P569" s="103"/>
      <c r="Q569" s="103"/>
      <c r="R569" s="103"/>
      <c r="S569" s="103"/>
      <c r="T569" s="103"/>
      <c r="U569" s="103"/>
      <c r="V569" s="103"/>
      <c r="W569" s="103"/>
      <c r="X569" s="103"/>
      <c r="Y569" s="103"/>
      <c r="Z569" s="103"/>
      <c r="AA569" s="103"/>
    </row>
    <row r="570" spans="1:27" ht="15.75" customHeight="1">
      <c r="A570" s="103"/>
      <c r="B570" s="103"/>
      <c r="C570" s="103"/>
      <c r="D570" s="103"/>
      <c r="E570" s="103"/>
      <c r="F570" s="124"/>
      <c r="G570" s="124"/>
      <c r="H570" s="103"/>
      <c r="I570" s="103"/>
      <c r="J570" s="103"/>
      <c r="K570" s="103"/>
      <c r="L570" s="103"/>
      <c r="M570" s="103"/>
      <c r="N570" s="103"/>
      <c r="O570" s="103"/>
      <c r="P570" s="103"/>
      <c r="Q570" s="103"/>
      <c r="R570" s="103"/>
      <c r="S570" s="103"/>
      <c r="T570" s="103"/>
      <c r="U570" s="103"/>
      <c r="V570" s="103"/>
      <c r="W570" s="103"/>
      <c r="X570" s="103"/>
      <c r="Y570" s="103"/>
      <c r="Z570" s="103"/>
      <c r="AA570" s="103"/>
    </row>
    <row r="571" spans="1:27" ht="15.75" customHeight="1">
      <c r="A571" s="103"/>
      <c r="B571" s="103"/>
      <c r="C571" s="103"/>
      <c r="D571" s="103"/>
      <c r="E571" s="103"/>
      <c r="F571" s="124"/>
      <c r="G571" s="124"/>
      <c r="H571" s="103"/>
      <c r="I571" s="103"/>
      <c r="J571" s="103"/>
      <c r="K571" s="103"/>
      <c r="L571" s="103"/>
      <c r="M571" s="103"/>
      <c r="N571" s="103"/>
      <c r="O571" s="103"/>
      <c r="P571" s="103"/>
      <c r="Q571" s="103"/>
      <c r="R571" s="103"/>
      <c r="S571" s="103"/>
      <c r="T571" s="103"/>
      <c r="U571" s="103"/>
      <c r="V571" s="103"/>
      <c r="W571" s="103"/>
      <c r="X571" s="103"/>
      <c r="Y571" s="103"/>
      <c r="Z571" s="103"/>
      <c r="AA571" s="103"/>
    </row>
    <row r="572" spans="1:27" ht="15.75" customHeight="1">
      <c r="A572" s="103"/>
      <c r="B572" s="103"/>
      <c r="C572" s="103"/>
      <c r="D572" s="103"/>
      <c r="E572" s="103"/>
      <c r="F572" s="124"/>
      <c r="G572" s="124"/>
      <c r="H572" s="103"/>
      <c r="I572" s="103"/>
      <c r="J572" s="103"/>
      <c r="K572" s="103"/>
      <c r="L572" s="103"/>
      <c r="M572" s="103"/>
      <c r="N572" s="103"/>
      <c r="O572" s="103"/>
      <c r="P572" s="103"/>
      <c r="Q572" s="103"/>
      <c r="R572" s="103"/>
      <c r="S572" s="103"/>
      <c r="T572" s="103"/>
      <c r="U572" s="103"/>
      <c r="V572" s="103"/>
      <c r="W572" s="103"/>
      <c r="X572" s="103"/>
      <c r="Y572" s="103"/>
      <c r="Z572" s="103"/>
      <c r="AA572" s="103"/>
    </row>
    <row r="573" spans="1:27" ht="15.75" customHeight="1">
      <c r="A573" s="103"/>
      <c r="B573" s="103"/>
      <c r="C573" s="103"/>
      <c r="D573" s="103"/>
      <c r="E573" s="103"/>
      <c r="F573" s="124"/>
      <c r="G573" s="124"/>
      <c r="H573" s="103"/>
      <c r="I573" s="103"/>
      <c r="J573" s="103"/>
      <c r="K573" s="103"/>
      <c r="L573" s="103"/>
      <c r="M573" s="103"/>
      <c r="N573" s="103"/>
      <c r="O573" s="103"/>
      <c r="P573" s="103"/>
      <c r="Q573" s="103"/>
      <c r="R573" s="103"/>
      <c r="S573" s="103"/>
      <c r="T573" s="103"/>
      <c r="U573" s="103"/>
      <c r="V573" s="103"/>
      <c r="W573" s="103"/>
      <c r="X573" s="103"/>
      <c r="Y573" s="103"/>
      <c r="Z573" s="103"/>
      <c r="AA573" s="103"/>
    </row>
    <row r="574" spans="1:27" ht="15.75" customHeight="1">
      <c r="A574" s="103"/>
      <c r="B574" s="103"/>
      <c r="C574" s="103"/>
      <c r="D574" s="103"/>
      <c r="E574" s="103"/>
      <c r="F574" s="124"/>
      <c r="G574" s="124"/>
      <c r="H574" s="103"/>
      <c r="I574" s="103"/>
      <c r="J574" s="103"/>
      <c r="K574" s="103"/>
      <c r="L574" s="103"/>
      <c r="M574" s="103"/>
      <c r="N574" s="103"/>
      <c r="O574" s="103"/>
      <c r="P574" s="103"/>
      <c r="Q574" s="103"/>
      <c r="R574" s="103"/>
      <c r="S574" s="103"/>
      <c r="T574" s="103"/>
      <c r="U574" s="103"/>
      <c r="V574" s="103"/>
      <c r="W574" s="103"/>
      <c r="X574" s="103"/>
      <c r="Y574" s="103"/>
      <c r="Z574" s="103"/>
      <c r="AA574" s="103"/>
    </row>
    <row r="575" spans="1:27" ht="15.75" customHeight="1">
      <c r="A575" s="103"/>
      <c r="B575" s="103"/>
      <c r="C575" s="103"/>
      <c r="D575" s="103"/>
      <c r="E575" s="103"/>
      <c r="F575" s="124"/>
      <c r="G575" s="124"/>
      <c r="H575" s="103"/>
      <c r="I575" s="103"/>
      <c r="J575" s="103"/>
      <c r="K575" s="103"/>
      <c r="L575" s="103"/>
      <c r="M575" s="103"/>
      <c r="N575" s="103"/>
      <c r="O575" s="103"/>
      <c r="P575" s="103"/>
      <c r="Q575" s="103"/>
      <c r="R575" s="103"/>
      <c r="S575" s="103"/>
      <c r="T575" s="103"/>
      <c r="U575" s="103"/>
      <c r="V575" s="103"/>
      <c r="W575" s="103"/>
      <c r="X575" s="103"/>
      <c r="Y575" s="103"/>
      <c r="Z575" s="103"/>
      <c r="AA575" s="103"/>
    </row>
    <row r="576" spans="1:27" ht="15.75" customHeight="1">
      <c r="A576" s="103"/>
      <c r="B576" s="103"/>
      <c r="C576" s="103"/>
      <c r="D576" s="103"/>
      <c r="E576" s="103"/>
      <c r="F576" s="124"/>
      <c r="G576" s="124"/>
      <c r="H576" s="103"/>
      <c r="I576" s="103"/>
      <c r="J576" s="103"/>
      <c r="K576" s="103"/>
      <c r="L576" s="103"/>
      <c r="M576" s="103"/>
      <c r="N576" s="103"/>
      <c r="O576" s="103"/>
      <c r="P576" s="103"/>
      <c r="Q576" s="103"/>
      <c r="R576" s="103"/>
      <c r="S576" s="103"/>
      <c r="T576" s="103"/>
      <c r="U576" s="103"/>
      <c r="V576" s="103"/>
      <c r="W576" s="103"/>
      <c r="X576" s="103"/>
      <c r="Y576" s="103"/>
      <c r="Z576" s="103"/>
      <c r="AA576" s="103"/>
    </row>
    <row r="577" spans="1:27" ht="15.75" customHeight="1">
      <c r="A577" s="103"/>
      <c r="B577" s="103"/>
      <c r="C577" s="103"/>
      <c r="D577" s="103"/>
      <c r="E577" s="103"/>
      <c r="F577" s="124"/>
      <c r="G577" s="124"/>
      <c r="H577" s="103"/>
      <c r="I577" s="103"/>
      <c r="J577" s="103"/>
      <c r="K577" s="103"/>
      <c r="L577" s="103"/>
      <c r="M577" s="103"/>
      <c r="N577" s="103"/>
      <c r="O577" s="103"/>
      <c r="P577" s="103"/>
      <c r="Q577" s="103"/>
      <c r="R577" s="103"/>
      <c r="S577" s="103"/>
      <c r="T577" s="103"/>
      <c r="U577" s="103"/>
      <c r="V577" s="103"/>
      <c r="W577" s="103"/>
      <c r="X577" s="103"/>
      <c r="Y577" s="103"/>
      <c r="Z577" s="103"/>
      <c r="AA577" s="103"/>
    </row>
    <row r="578" spans="1:27" ht="15.75" customHeight="1">
      <c r="A578" s="103"/>
      <c r="B578" s="103"/>
      <c r="C578" s="103"/>
      <c r="D578" s="103"/>
      <c r="E578" s="103"/>
      <c r="F578" s="124"/>
      <c r="G578" s="124"/>
      <c r="H578" s="103"/>
      <c r="I578" s="103"/>
      <c r="J578" s="103"/>
      <c r="K578" s="103"/>
      <c r="L578" s="103"/>
      <c r="M578" s="103"/>
      <c r="N578" s="103"/>
      <c r="O578" s="103"/>
      <c r="P578" s="103"/>
      <c r="Q578" s="103"/>
      <c r="R578" s="103"/>
      <c r="S578" s="103"/>
      <c r="T578" s="103"/>
      <c r="U578" s="103"/>
      <c r="V578" s="103"/>
      <c r="W578" s="103"/>
      <c r="X578" s="103"/>
      <c r="Y578" s="103"/>
      <c r="Z578" s="103"/>
      <c r="AA578" s="103"/>
    </row>
    <row r="579" spans="1:27" ht="15.75" customHeight="1">
      <c r="A579" s="103"/>
      <c r="B579" s="103"/>
      <c r="C579" s="103"/>
      <c r="D579" s="103"/>
      <c r="E579" s="103"/>
      <c r="F579" s="124"/>
      <c r="G579" s="124"/>
      <c r="H579" s="103"/>
      <c r="I579" s="103"/>
      <c r="J579" s="103"/>
      <c r="K579" s="103"/>
      <c r="L579" s="103"/>
      <c r="M579" s="103"/>
      <c r="N579" s="103"/>
      <c r="O579" s="103"/>
      <c r="P579" s="103"/>
      <c r="Q579" s="103"/>
      <c r="R579" s="103"/>
      <c r="S579" s="103"/>
      <c r="T579" s="103"/>
      <c r="U579" s="103"/>
      <c r="V579" s="103"/>
      <c r="W579" s="103"/>
      <c r="X579" s="103"/>
      <c r="Y579" s="103"/>
      <c r="Z579" s="103"/>
      <c r="AA579" s="103"/>
    </row>
    <row r="580" spans="1:27" ht="15.75" customHeight="1">
      <c r="A580" s="103"/>
      <c r="B580" s="103"/>
      <c r="C580" s="103"/>
      <c r="D580" s="103"/>
      <c r="E580" s="103"/>
      <c r="F580" s="124"/>
      <c r="G580" s="124"/>
      <c r="H580" s="103"/>
      <c r="I580" s="103"/>
      <c r="J580" s="103"/>
      <c r="K580" s="103"/>
      <c r="L580" s="103"/>
      <c r="M580" s="103"/>
      <c r="N580" s="103"/>
      <c r="O580" s="103"/>
      <c r="P580" s="103"/>
      <c r="Q580" s="103"/>
      <c r="R580" s="103"/>
      <c r="S580" s="103"/>
      <c r="T580" s="103"/>
      <c r="U580" s="103"/>
      <c r="V580" s="103"/>
      <c r="W580" s="103"/>
      <c r="X580" s="103"/>
      <c r="Y580" s="103"/>
      <c r="Z580" s="103"/>
      <c r="AA580" s="103"/>
    </row>
    <row r="581" spans="1:27" ht="15.75" customHeight="1">
      <c r="A581" s="103"/>
      <c r="B581" s="103"/>
      <c r="C581" s="103"/>
      <c r="D581" s="103"/>
      <c r="E581" s="103"/>
      <c r="F581" s="124"/>
      <c r="G581" s="124"/>
      <c r="H581" s="103"/>
      <c r="I581" s="103"/>
      <c r="J581" s="103"/>
      <c r="K581" s="103"/>
      <c r="L581" s="103"/>
      <c r="M581" s="103"/>
      <c r="N581" s="103"/>
      <c r="O581" s="103"/>
      <c r="P581" s="103"/>
      <c r="Q581" s="103"/>
      <c r="R581" s="103"/>
      <c r="S581" s="103"/>
      <c r="T581" s="103"/>
      <c r="U581" s="103"/>
      <c r="V581" s="103"/>
      <c r="W581" s="103"/>
      <c r="X581" s="103"/>
      <c r="Y581" s="103"/>
      <c r="Z581" s="103"/>
      <c r="AA581" s="103"/>
    </row>
    <row r="582" spans="1:27" ht="15.75" customHeight="1">
      <c r="A582" s="103"/>
      <c r="B582" s="103"/>
      <c r="C582" s="103"/>
      <c r="D582" s="103"/>
      <c r="E582" s="103"/>
      <c r="F582" s="124"/>
      <c r="G582" s="124"/>
      <c r="H582" s="103"/>
      <c r="I582" s="103"/>
      <c r="J582" s="103"/>
      <c r="K582" s="103"/>
      <c r="L582" s="103"/>
      <c r="M582" s="103"/>
      <c r="N582" s="103"/>
      <c r="O582" s="103"/>
      <c r="P582" s="103"/>
      <c r="Q582" s="103"/>
      <c r="R582" s="103"/>
      <c r="S582" s="103"/>
      <c r="T582" s="103"/>
      <c r="U582" s="103"/>
      <c r="V582" s="103"/>
      <c r="W582" s="103"/>
      <c r="X582" s="103"/>
      <c r="Y582" s="103"/>
      <c r="Z582" s="103"/>
      <c r="AA582" s="103"/>
    </row>
    <row r="583" spans="1:27" ht="15.75" customHeight="1">
      <c r="A583" s="103"/>
      <c r="B583" s="103"/>
      <c r="C583" s="103"/>
      <c r="D583" s="103"/>
      <c r="E583" s="103"/>
      <c r="F583" s="124"/>
      <c r="G583" s="124"/>
      <c r="H583" s="103"/>
      <c r="I583" s="103"/>
      <c r="J583" s="103"/>
      <c r="K583" s="103"/>
      <c r="L583" s="103"/>
      <c r="M583" s="103"/>
      <c r="N583" s="103"/>
      <c r="O583" s="103"/>
      <c r="P583" s="103"/>
      <c r="Q583" s="103"/>
      <c r="R583" s="103"/>
      <c r="S583" s="103"/>
      <c r="T583" s="103"/>
      <c r="U583" s="103"/>
      <c r="V583" s="103"/>
      <c r="W583" s="103"/>
      <c r="X583" s="103"/>
      <c r="Y583" s="103"/>
      <c r="Z583" s="103"/>
      <c r="AA583" s="103"/>
    </row>
    <row r="584" spans="1:27" ht="15.75" customHeight="1">
      <c r="A584" s="103"/>
      <c r="B584" s="103"/>
      <c r="C584" s="103"/>
      <c r="D584" s="103"/>
      <c r="E584" s="103"/>
      <c r="F584" s="124"/>
      <c r="G584" s="124"/>
      <c r="H584" s="103"/>
      <c r="I584" s="103"/>
      <c r="J584" s="103"/>
      <c r="K584" s="103"/>
      <c r="L584" s="103"/>
      <c r="M584" s="103"/>
      <c r="N584" s="103"/>
      <c r="O584" s="103"/>
      <c r="P584" s="103"/>
      <c r="Q584" s="103"/>
      <c r="R584" s="103"/>
      <c r="S584" s="103"/>
      <c r="T584" s="103"/>
      <c r="U584" s="103"/>
      <c r="V584" s="103"/>
      <c r="W584" s="103"/>
      <c r="X584" s="103"/>
      <c r="Y584" s="103"/>
      <c r="Z584" s="103"/>
      <c r="AA584" s="103"/>
    </row>
    <row r="585" spans="1:27" ht="15.75" customHeight="1">
      <c r="A585" s="103"/>
      <c r="B585" s="103"/>
      <c r="C585" s="103"/>
      <c r="D585" s="103"/>
      <c r="E585" s="103"/>
      <c r="F585" s="124"/>
      <c r="G585" s="124"/>
      <c r="H585" s="103"/>
      <c r="I585" s="103"/>
      <c r="J585" s="103"/>
      <c r="K585" s="103"/>
      <c r="L585" s="103"/>
      <c r="M585" s="103"/>
      <c r="N585" s="103"/>
      <c r="O585" s="103"/>
      <c r="P585" s="103"/>
      <c r="Q585" s="103"/>
      <c r="R585" s="103"/>
      <c r="S585" s="103"/>
      <c r="T585" s="103"/>
      <c r="U585" s="103"/>
      <c r="V585" s="103"/>
      <c r="W585" s="103"/>
      <c r="X585" s="103"/>
      <c r="Y585" s="103"/>
      <c r="Z585" s="103"/>
      <c r="AA585" s="103"/>
    </row>
    <row r="586" spans="1:27" ht="15.75" customHeight="1">
      <c r="A586" s="103"/>
      <c r="B586" s="103"/>
      <c r="C586" s="103"/>
      <c r="D586" s="103"/>
      <c r="E586" s="103"/>
      <c r="F586" s="124"/>
      <c r="G586" s="124"/>
      <c r="H586" s="103"/>
      <c r="I586" s="103"/>
      <c r="J586" s="103"/>
      <c r="K586" s="103"/>
      <c r="L586" s="103"/>
      <c r="M586" s="103"/>
      <c r="N586" s="103"/>
      <c r="O586" s="103"/>
      <c r="P586" s="103"/>
      <c r="Q586" s="103"/>
      <c r="R586" s="103"/>
      <c r="S586" s="103"/>
      <c r="T586" s="103"/>
      <c r="U586" s="103"/>
      <c r="V586" s="103"/>
      <c r="W586" s="103"/>
      <c r="X586" s="103"/>
      <c r="Y586" s="103"/>
      <c r="Z586" s="103"/>
      <c r="AA586" s="103"/>
    </row>
    <row r="587" spans="1:27" ht="15.75" customHeight="1">
      <c r="A587" s="103"/>
      <c r="B587" s="103"/>
      <c r="C587" s="103"/>
      <c r="D587" s="103"/>
      <c r="E587" s="103"/>
      <c r="F587" s="124"/>
      <c r="G587" s="124"/>
      <c r="H587" s="103"/>
      <c r="I587" s="103"/>
      <c r="J587" s="103"/>
      <c r="K587" s="103"/>
      <c r="L587" s="103"/>
      <c r="M587" s="103"/>
      <c r="N587" s="103"/>
      <c r="O587" s="103"/>
      <c r="P587" s="103"/>
      <c r="Q587" s="103"/>
      <c r="R587" s="103"/>
      <c r="S587" s="103"/>
      <c r="T587" s="103"/>
      <c r="U587" s="103"/>
      <c r="V587" s="103"/>
      <c r="W587" s="103"/>
      <c r="X587" s="103"/>
      <c r="Y587" s="103"/>
      <c r="Z587" s="103"/>
      <c r="AA587" s="103"/>
    </row>
    <row r="588" spans="1:27" ht="15.75" customHeight="1">
      <c r="A588" s="103"/>
      <c r="B588" s="103"/>
      <c r="C588" s="103"/>
      <c r="D588" s="103"/>
      <c r="E588" s="103"/>
      <c r="F588" s="124"/>
      <c r="G588" s="124"/>
      <c r="H588" s="103"/>
      <c r="I588" s="103"/>
      <c r="J588" s="103"/>
      <c r="K588" s="103"/>
      <c r="L588" s="103"/>
      <c r="M588" s="103"/>
      <c r="N588" s="103"/>
      <c r="O588" s="103"/>
      <c r="P588" s="103"/>
      <c r="Q588" s="103"/>
      <c r="R588" s="103"/>
      <c r="S588" s="103"/>
      <c r="T588" s="103"/>
      <c r="U588" s="103"/>
      <c r="V588" s="103"/>
      <c r="W588" s="103"/>
      <c r="X588" s="103"/>
      <c r="Y588" s="103"/>
      <c r="Z588" s="103"/>
      <c r="AA588" s="103"/>
    </row>
    <row r="589" spans="1:27" ht="15.75" customHeight="1">
      <c r="A589" s="103"/>
      <c r="B589" s="103"/>
      <c r="C589" s="103"/>
      <c r="D589" s="103"/>
      <c r="E589" s="103"/>
      <c r="F589" s="124"/>
      <c r="G589" s="124"/>
      <c r="H589" s="103"/>
      <c r="I589" s="103"/>
      <c r="J589" s="103"/>
      <c r="K589" s="103"/>
      <c r="L589" s="103"/>
      <c r="M589" s="103"/>
      <c r="N589" s="103"/>
      <c r="O589" s="103"/>
      <c r="P589" s="103"/>
      <c r="Q589" s="103"/>
      <c r="R589" s="103"/>
      <c r="S589" s="103"/>
      <c r="T589" s="103"/>
      <c r="U589" s="103"/>
      <c r="V589" s="103"/>
      <c r="W589" s="103"/>
      <c r="X589" s="103"/>
      <c r="Y589" s="103"/>
      <c r="Z589" s="103"/>
      <c r="AA589" s="103"/>
    </row>
    <row r="590" spans="1:27" ht="15.75" customHeight="1">
      <c r="A590" s="103"/>
      <c r="B590" s="103"/>
      <c r="C590" s="103"/>
      <c r="D590" s="103"/>
      <c r="E590" s="103"/>
      <c r="F590" s="124"/>
      <c r="G590" s="124"/>
      <c r="H590" s="103"/>
      <c r="I590" s="103"/>
      <c r="J590" s="103"/>
      <c r="K590" s="103"/>
      <c r="L590" s="103"/>
      <c r="M590" s="103"/>
      <c r="N590" s="103"/>
      <c r="O590" s="103"/>
      <c r="P590" s="103"/>
      <c r="Q590" s="103"/>
      <c r="R590" s="103"/>
      <c r="S590" s="103"/>
      <c r="T590" s="103"/>
      <c r="U590" s="103"/>
      <c r="V590" s="103"/>
      <c r="W590" s="103"/>
      <c r="X590" s="103"/>
      <c r="Y590" s="103"/>
      <c r="Z590" s="103"/>
      <c r="AA590" s="103"/>
    </row>
    <row r="591" spans="1:27" ht="15.75" customHeight="1">
      <c r="A591" s="103"/>
      <c r="B591" s="103"/>
      <c r="C591" s="103"/>
      <c r="D591" s="103"/>
      <c r="E591" s="103"/>
      <c r="F591" s="124"/>
      <c r="G591" s="124"/>
      <c r="H591" s="103"/>
      <c r="I591" s="103"/>
      <c r="J591" s="103"/>
      <c r="K591" s="103"/>
      <c r="L591" s="103"/>
      <c r="M591" s="103"/>
      <c r="N591" s="103"/>
      <c r="O591" s="103"/>
      <c r="P591" s="103"/>
      <c r="Q591" s="103"/>
      <c r="R591" s="103"/>
      <c r="S591" s="103"/>
      <c r="T591" s="103"/>
      <c r="U591" s="103"/>
      <c r="V591" s="103"/>
      <c r="W591" s="103"/>
      <c r="X591" s="103"/>
      <c r="Y591" s="103"/>
      <c r="Z591" s="103"/>
      <c r="AA591" s="103"/>
    </row>
    <row r="592" spans="1:27" ht="15.75" customHeight="1">
      <c r="A592" s="103"/>
      <c r="B592" s="103"/>
      <c r="C592" s="103"/>
      <c r="D592" s="103"/>
      <c r="E592" s="103"/>
      <c r="F592" s="124"/>
      <c r="G592" s="124"/>
      <c r="H592" s="103"/>
      <c r="I592" s="103"/>
      <c r="J592" s="103"/>
      <c r="K592" s="103"/>
      <c r="L592" s="103"/>
      <c r="M592" s="103"/>
      <c r="N592" s="103"/>
      <c r="O592" s="103"/>
      <c r="P592" s="103"/>
      <c r="Q592" s="103"/>
      <c r="R592" s="103"/>
      <c r="S592" s="103"/>
      <c r="T592" s="103"/>
      <c r="U592" s="103"/>
      <c r="V592" s="103"/>
      <c r="W592" s="103"/>
      <c r="X592" s="103"/>
      <c r="Y592" s="103"/>
      <c r="Z592" s="103"/>
      <c r="AA592" s="103"/>
    </row>
    <row r="593" spans="1:27" ht="15.75" customHeight="1">
      <c r="A593" s="103"/>
      <c r="B593" s="103"/>
      <c r="C593" s="103"/>
      <c r="D593" s="103"/>
      <c r="E593" s="103"/>
      <c r="F593" s="124"/>
      <c r="G593" s="124"/>
      <c r="H593" s="103"/>
      <c r="I593" s="103"/>
      <c r="J593" s="103"/>
      <c r="K593" s="103"/>
      <c r="L593" s="103"/>
      <c r="M593" s="103"/>
      <c r="N593" s="103"/>
      <c r="O593" s="103"/>
      <c r="P593" s="103"/>
      <c r="Q593" s="103"/>
      <c r="R593" s="103"/>
      <c r="S593" s="103"/>
      <c r="T593" s="103"/>
      <c r="U593" s="103"/>
      <c r="V593" s="103"/>
      <c r="W593" s="103"/>
      <c r="X593" s="103"/>
      <c r="Y593" s="103"/>
      <c r="Z593" s="103"/>
      <c r="AA593" s="103"/>
    </row>
    <row r="594" spans="1:27" ht="15.75" customHeight="1">
      <c r="A594" s="103"/>
      <c r="B594" s="103"/>
      <c r="C594" s="103"/>
      <c r="D594" s="103"/>
      <c r="E594" s="103"/>
      <c r="F594" s="124"/>
      <c r="G594" s="124"/>
      <c r="H594" s="103"/>
      <c r="I594" s="103"/>
      <c r="J594" s="103"/>
      <c r="K594" s="103"/>
      <c r="L594" s="103"/>
      <c r="M594" s="103"/>
      <c r="N594" s="103"/>
      <c r="O594" s="103"/>
      <c r="P594" s="103"/>
      <c r="Q594" s="103"/>
      <c r="R594" s="103"/>
      <c r="S594" s="103"/>
      <c r="T594" s="103"/>
      <c r="U594" s="103"/>
      <c r="V594" s="103"/>
      <c r="W594" s="103"/>
      <c r="X594" s="103"/>
      <c r="Y594" s="103"/>
      <c r="Z594" s="103"/>
      <c r="AA594" s="103"/>
    </row>
    <row r="595" spans="1:27" ht="15.75" customHeight="1">
      <c r="A595" s="103"/>
      <c r="B595" s="103"/>
      <c r="C595" s="103"/>
      <c r="D595" s="103"/>
      <c r="E595" s="103"/>
      <c r="F595" s="124"/>
      <c r="G595" s="124"/>
      <c r="H595" s="103"/>
      <c r="I595" s="103"/>
      <c r="J595" s="103"/>
      <c r="K595" s="103"/>
      <c r="L595" s="103"/>
      <c r="M595" s="103"/>
      <c r="N595" s="103"/>
      <c r="O595" s="103"/>
      <c r="P595" s="103"/>
      <c r="Q595" s="103"/>
      <c r="R595" s="103"/>
      <c r="S595" s="103"/>
      <c r="T595" s="103"/>
      <c r="U595" s="103"/>
      <c r="V595" s="103"/>
      <c r="W595" s="103"/>
      <c r="X595" s="103"/>
      <c r="Y595" s="103"/>
      <c r="Z595" s="103"/>
      <c r="AA595" s="103"/>
    </row>
    <row r="596" spans="1:27" ht="15.75" customHeight="1">
      <c r="A596" s="103"/>
      <c r="B596" s="103"/>
      <c r="C596" s="103"/>
      <c r="D596" s="103"/>
      <c r="E596" s="103"/>
      <c r="F596" s="124"/>
      <c r="G596" s="124"/>
      <c r="H596" s="103"/>
      <c r="I596" s="103"/>
      <c r="J596" s="103"/>
      <c r="K596" s="103"/>
      <c r="L596" s="103"/>
      <c r="M596" s="103"/>
      <c r="N596" s="103"/>
      <c r="O596" s="103"/>
      <c r="P596" s="103"/>
      <c r="Q596" s="103"/>
      <c r="R596" s="103"/>
      <c r="S596" s="103"/>
      <c r="T596" s="103"/>
      <c r="U596" s="103"/>
      <c r="V596" s="103"/>
      <c r="W596" s="103"/>
      <c r="X596" s="103"/>
      <c r="Y596" s="103"/>
      <c r="Z596" s="103"/>
      <c r="AA596" s="103"/>
    </row>
    <row r="597" spans="1:27" ht="15.75" customHeight="1">
      <c r="A597" s="103"/>
      <c r="B597" s="103"/>
      <c r="C597" s="103"/>
      <c r="D597" s="103"/>
      <c r="E597" s="103"/>
      <c r="F597" s="124"/>
      <c r="G597" s="124"/>
      <c r="H597" s="103"/>
      <c r="I597" s="103"/>
      <c r="J597" s="103"/>
      <c r="K597" s="103"/>
      <c r="L597" s="103"/>
      <c r="M597" s="103"/>
      <c r="N597" s="103"/>
      <c r="O597" s="103"/>
      <c r="P597" s="103"/>
      <c r="Q597" s="103"/>
      <c r="R597" s="103"/>
      <c r="S597" s="103"/>
      <c r="T597" s="103"/>
      <c r="U597" s="103"/>
      <c r="V597" s="103"/>
      <c r="W597" s="103"/>
      <c r="X597" s="103"/>
      <c r="Y597" s="103"/>
      <c r="Z597" s="103"/>
      <c r="AA597" s="103"/>
    </row>
    <row r="598" spans="1:27" ht="15.75" customHeight="1">
      <c r="A598" s="103"/>
      <c r="B598" s="103"/>
      <c r="C598" s="103"/>
      <c r="D598" s="103"/>
      <c r="E598" s="103"/>
      <c r="F598" s="124"/>
      <c r="G598" s="124"/>
      <c r="H598" s="103"/>
      <c r="I598" s="103"/>
      <c r="J598" s="103"/>
      <c r="K598" s="103"/>
      <c r="L598" s="103"/>
      <c r="M598" s="103"/>
      <c r="N598" s="103"/>
      <c r="O598" s="103"/>
      <c r="P598" s="103"/>
      <c r="Q598" s="103"/>
      <c r="R598" s="103"/>
      <c r="S598" s="103"/>
      <c r="T598" s="103"/>
      <c r="U598" s="103"/>
      <c r="V598" s="103"/>
      <c r="W598" s="103"/>
      <c r="X598" s="103"/>
      <c r="Y598" s="103"/>
      <c r="Z598" s="103"/>
      <c r="AA598" s="103"/>
    </row>
    <row r="599" spans="1:27" ht="15.75" customHeight="1">
      <c r="A599" s="103"/>
      <c r="B599" s="103"/>
      <c r="C599" s="103"/>
      <c r="D599" s="103"/>
      <c r="E599" s="103"/>
      <c r="F599" s="124"/>
      <c r="G599" s="124"/>
      <c r="H599" s="103"/>
      <c r="I599" s="103"/>
      <c r="J599" s="103"/>
      <c r="K599" s="103"/>
      <c r="L599" s="103"/>
      <c r="M599" s="103"/>
      <c r="N599" s="103"/>
      <c r="O599" s="103"/>
      <c r="P599" s="103"/>
      <c r="Q599" s="103"/>
      <c r="R599" s="103"/>
      <c r="S599" s="103"/>
      <c r="T599" s="103"/>
      <c r="U599" s="103"/>
      <c r="V599" s="103"/>
      <c r="W599" s="103"/>
      <c r="X599" s="103"/>
      <c r="Y599" s="103"/>
      <c r="Z599" s="103"/>
      <c r="AA599" s="103"/>
    </row>
    <row r="600" spans="1:27" ht="15.75" customHeight="1">
      <c r="A600" s="103"/>
      <c r="B600" s="103"/>
      <c r="C600" s="103"/>
      <c r="D600" s="103"/>
      <c r="E600" s="103"/>
      <c r="F600" s="124"/>
      <c r="G600" s="124"/>
      <c r="H600" s="103"/>
      <c r="I600" s="103"/>
      <c r="J600" s="103"/>
      <c r="K600" s="103"/>
      <c r="L600" s="103"/>
      <c r="M600" s="103"/>
      <c r="N600" s="103"/>
      <c r="O600" s="103"/>
      <c r="P600" s="103"/>
      <c r="Q600" s="103"/>
      <c r="R600" s="103"/>
      <c r="S600" s="103"/>
      <c r="T600" s="103"/>
      <c r="U600" s="103"/>
      <c r="V600" s="103"/>
      <c r="W600" s="103"/>
      <c r="X600" s="103"/>
      <c r="Y600" s="103"/>
      <c r="Z600" s="103"/>
      <c r="AA600" s="103"/>
    </row>
    <row r="601" spans="1:27" ht="15.75" customHeight="1">
      <c r="A601" s="103"/>
      <c r="B601" s="103"/>
      <c r="C601" s="103"/>
      <c r="D601" s="103"/>
      <c r="E601" s="103"/>
      <c r="F601" s="124"/>
      <c r="G601" s="124"/>
      <c r="H601" s="103"/>
      <c r="I601" s="103"/>
      <c r="J601" s="103"/>
      <c r="K601" s="103"/>
      <c r="L601" s="103"/>
      <c r="M601" s="103"/>
      <c r="N601" s="103"/>
      <c r="O601" s="103"/>
      <c r="P601" s="103"/>
      <c r="Q601" s="103"/>
      <c r="R601" s="103"/>
      <c r="S601" s="103"/>
      <c r="T601" s="103"/>
      <c r="U601" s="103"/>
      <c r="V601" s="103"/>
      <c r="W601" s="103"/>
      <c r="X601" s="103"/>
      <c r="Y601" s="103"/>
      <c r="Z601" s="103"/>
      <c r="AA601" s="103"/>
    </row>
    <row r="602" spans="1:27" ht="15.75" customHeight="1">
      <c r="A602" s="103"/>
      <c r="B602" s="103"/>
      <c r="C602" s="103"/>
      <c r="D602" s="103"/>
      <c r="E602" s="103"/>
      <c r="F602" s="124"/>
      <c r="G602" s="124"/>
      <c r="H602" s="103"/>
      <c r="I602" s="103"/>
      <c r="J602" s="103"/>
      <c r="K602" s="103"/>
      <c r="L602" s="103"/>
      <c r="M602" s="103"/>
      <c r="N602" s="103"/>
      <c r="O602" s="103"/>
      <c r="P602" s="103"/>
      <c r="Q602" s="103"/>
      <c r="R602" s="103"/>
      <c r="S602" s="103"/>
      <c r="T602" s="103"/>
      <c r="U602" s="103"/>
      <c r="V602" s="103"/>
      <c r="W602" s="103"/>
      <c r="X602" s="103"/>
      <c r="Y602" s="103"/>
      <c r="Z602" s="103"/>
      <c r="AA602" s="103"/>
    </row>
    <row r="603" spans="1:27" ht="15.75" customHeight="1">
      <c r="A603" s="103"/>
      <c r="B603" s="103"/>
      <c r="C603" s="103"/>
      <c r="D603" s="103"/>
      <c r="E603" s="103"/>
      <c r="F603" s="124"/>
      <c r="G603" s="124"/>
      <c r="H603" s="103"/>
      <c r="I603" s="103"/>
      <c r="J603" s="103"/>
      <c r="K603" s="103"/>
      <c r="L603" s="103"/>
      <c r="M603" s="103"/>
      <c r="N603" s="103"/>
      <c r="O603" s="103"/>
      <c r="P603" s="103"/>
      <c r="Q603" s="103"/>
      <c r="R603" s="103"/>
      <c r="S603" s="103"/>
      <c r="T603" s="103"/>
      <c r="U603" s="103"/>
      <c r="V603" s="103"/>
      <c r="W603" s="103"/>
      <c r="X603" s="103"/>
      <c r="Y603" s="103"/>
      <c r="Z603" s="103"/>
      <c r="AA603" s="103"/>
    </row>
    <row r="604" spans="1:27" ht="15.75" customHeight="1">
      <c r="A604" s="103"/>
      <c r="B604" s="103"/>
      <c r="C604" s="103"/>
      <c r="D604" s="103"/>
      <c r="E604" s="103"/>
      <c r="F604" s="124"/>
      <c r="G604" s="124"/>
      <c r="H604" s="103"/>
      <c r="I604" s="103"/>
      <c r="J604" s="103"/>
      <c r="K604" s="103"/>
      <c r="L604" s="103"/>
      <c r="M604" s="103"/>
      <c r="N604" s="103"/>
      <c r="O604" s="103"/>
      <c r="P604" s="103"/>
      <c r="Q604" s="103"/>
      <c r="R604" s="103"/>
      <c r="S604" s="103"/>
      <c r="T604" s="103"/>
      <c r="U604" s="103"/>
      <c r="V604" s="103"/>
      <c r="W604" s="103"/>
      <c r="X604" s="103"/>
      <c r="Y604" s="103"/>
      <c r="Z604" s="103"/>
      <c r="AA604" s="103"/>
    </row>
    <row r="605" spans="1:27" ht="15.75" customHeight="1">
      <c r="A605" s="103"/>
      <c r="B605" s="103"/>
      <c r="C605" s="103"/>
      <c r="D605" s="103"/>
      <c r="E605" s="103"/>
      <c r="F605" s="124"/>
      <c r="G605" s="124"/>
      <c r="H605" s="103"/>
      <c r="I605" s="103"/>
      <c r="J605" s="103"/>
      <c r="K605" s="103"/>
      <c r="L605" s="103"/>
      <c r="M605" s="103"/>
      <c r="N605" s="103"/>
      <c r="O605" s="103"/>
      <c r="P605" s="103"/>
      <c r="Q605" s="103"/>
      <c r="R605" s="103"/>
      <c r="S605" s="103"/>
      <c r="T605" s="103"/>
      <c r="U605" s="103"/>
      <c r="V605" s="103"/>
      <c r="W605" s="103"/>
      <c r="X605" s="103"/>
      <c r="Y605" s="103"/>
      <c r="Z605" s="103"/>
      <c r="AA605" s="103"/>
    </row>
    <row r="606" spans="1:27" ht="15.75" customHeight="1">
      <c r="A606" s="103"/>
      <c r="B606" s="103"/>
      <c r="C606" s="103"/>
      <c r="D606" s="103"/>
      <c r="E606" s="103"/>
      <c r="F606" s="124"/>
      <c r="G606" s="124"/>
      <c r="H606" s="103"/>
      <c r="I606" s="103"/>
      <c r="J606" s="103"/>
      <c r="K606" s="103"/>
      <c r="L606" s="103"/>
      <c r="M606" s="103"/>
      <c r="N606" s="103"/>
      <c r="O606" s="103"/>
      <c r="P606" s="103"/>
      <c r="Q606" s="103"/>
      <c r="R606" s="103"/>
      <c r="S606" s="103"/>
      <c r="T606" s="103"/>
      <c r="U606" s="103"/>
      <c r="V606" s="103"/>
      <c r="W606" s="103"/>
      <c r="X606" s="103"/>
      <c r="Y606" s="103"/>
      <c r="Z606" s="103"/>
      <c r="AA606" s="103"/>
    </row>
    <row r="607" spans="1:27" ht="15.75" customHeight="1">
      <c r="A607" s="103"/>
      <c r="B607" s="103"/>
      <c r="C607" s="103"/>
      <c r="D607" s="103"/>
      <c r="E607" s="103"/>
      <c r="F607" s="124"/>
      <c r="G607" s="124"/>
      <c r="H607" s="103"/>
      <c r="I607" s="103"/>
      <c r="J607" s="103"/>
      <c r="K607" s="103"/>
      <c r="L607" s="103"/>
      <c r="M607" s="103"/>
      <c r="N607" s="103"/>
      <c r="O607" s="103"/>
      <c r="P607" s="103"/>
      <c r="Q607" s="103"/>
      <c r="R607" s="103"/>
      <c r="S607" s="103"/>
      <c r="T607" s="103"/>
      <c r="U607" s="103"/>
      <c r="V607" s="103"/>
      <c r="W607" s="103"/>
      <c r="X607" s="103"/>
      <c r="Y607" s="103"/>
      <c r="Z607" s="103"/>
      <c r="AA607" s="103"/>
    </row>
    <row r="608" spans="1:27" ht="15.75" customHeight="1">
      <c r="A608" s="103"/>
      <c r="B608" s="103"/>
      <c r="C608" s="103"/>
      <c r="D608" s="103"/>
      <c r="E608" s="103"/>
      <c r="F608" s="124"/>
      <c r="G608" s="124"/>
      <c r="H608" s="103"/>
      <c r="I608" s="103"/>
      <c r="J608" s="103"/>
      <c r="K608" s="103"/>
      <c r="L608" s="103"/>
      <c r="M608" s="103"/>
      <c r="N608" s="103"/>
      <c r="O608" s="103"/>
      <c r="P608" s="103"/>
      <c r="Q608" s="103"/>
      <c r="R608" s="103"/>
      <c r="S608" s="103"/>
      <c r="T608" s="103"/>
      <c r="U608" s="103"/>
      <c r="V608" s="103"/>
      <c r="W608" s="103"/>
      <c r="X608" s="103"/>
      <c r="Y608" s="103"/>
      <c r="Z608" s="103"/>
      <c r="AA608" s="103"/>
    </row>
    <row r="609" spans="1:27" ht="15.75" customHeight="1">
      <c r="A609" s="103"/>
      <c r="B609" s="103"/>
      <c r="C609" s="103"/>
      <c r="D609" s="103"/>
      <c r="E609" s="103"/>
      <c r="F609" s="124"/>
      <c r="G609" s="124"/>
      <c r="H609" s="103"/>
      <c r="I609" s="103"/>
      <c r="J609" s="103"/>
      <c r="K609" s="103"/>
      <c r="L609" s="103"/>
      <c r="M609" s="103"/>
      <c r="N609" s="103"/>
      <c r="O609" s="103"/>
      <c r="P609" s="103"/>
      <c r="Q609" s="103"/>
      <c r="R609" s="103"/>
      <c r="S609" s="103"/>
      <c r="T609" s="103"/>
      <c r="U609" s="103"/>
      <c r="V609" s="103"/>
      <c r="W609" s="103"/>
      <c r="X609" s="103"/>
      <c r="Y609" s="103"/>
      <c r="Z609" s="103"/>
      <c r="AA609" s="103"/>
    </row>
    <row r="610" spans="1:27" ht="15.75" customHeight="1">
      <c r="A610" s="103"/>
      <c r="B610" s="103"/>
      <c r="C610" s="103"/>
      <c r="D610" s="103"/>
      <c r="E610" s="103"/>
      <c r="F610" s="124"/>
      <c r="G610" s="124"/>
      <c r="H610" s="103"/>
      <c r="I610" s="103"/>
      <c r="J610" s="103"/>
      <c r="K610" s="103"/>
      <c r="L610" s="103"/>
      <c r="M610" s="103"/>
      <c r="N610" s="103"/>
      <c r="O610" s="103"/>
      <c r="P610" s="103"/>
      <c r="Q610" s="103"/>
      <c r="R610" s="103"/>
      <c r="S610" s="103"/>
      <c r="T610" s="103"/>
      <c r="U610" s="103"/>
      <c r="V610" s="103"/>
      <c r="W610" s="103"/>
      <c r="X610" s="103"/>
      <c r="Y610" s="103"/>
      <c r="Z610" s="103"/>
      <c r="AA610" s="103"/>
    </row>
    <row r="611" spans="1:27" ht="15.75" customHeight="1">
      <c r="A611" s="103"/>
      <c r="B611" s="103"/>
      <c r="C611" s="103"/>
      <c r="D611" s="103"/>
      <c r="E611" s="103"/>
      <c r="F611" s="124"/>
      <c r="G611" s="124"/>
      <c r="H611" s="103"/>
      <c r="I611" s="103"/>
      <c r="J611" s="103"/>
      <c r="K611" s="103"/>
      <c r="L611" s="103"/>
      <c r="M611" s="103"/>
      <c r="N611" s="103"/>
      <c r="O611" s="103"/>
      <c r="P611" s="103"/>
      <c r="Q611" s="103"/>
      <c r="R611" s="103"/>
      <c r="S611" s="103"/>
      <c r="T611" s="103"/>
      <c r="U611" s="103"/>
      <c r="V611" s="103"/>
      <c r="W611" s="103"/>
      <c r="X611" s="103"/>
      <c r="Y611" s="103"/>
      <c r="Z611" s="103"/>
      <c r="AA611" s="103"/>
    </row>
    <row r="612" spans="1:27" ht="15.75" customHeight="1">
      <c r="A612" s="103"/>
      <c r="B612" s="103"/>
      <c r="C612" s="103"/>
      <c r="D612" s="103"/>
      <c r="E612" s="103"/>
      <c r="F612" s="124"/>
      <c r="G612" s="124"/>
      <c r="H612" s="103"/>
      <c r="I612" s="103"/>
      <c r="J612" s="103"/>
      <c r="K612" s="103"/>
      <c r="L612" s="103"/>
      <c r="M612" s="103"/>
      <c r="N612" s="103"/>
      <c r="O612" s="103"/>
      <c r="P612" s="103"/>
      <c r="Q612" s="103"/>
      <c r="R612" s="103"/>
      <c r="S612" s="103"/>
      <c r="T612" s="103"/>
      <c r="U612" s="103"/>
      <c r="V612" s="103"/>
      <c r="W612" s="103"/>
      <c r="X612" s="103"/>
      <c r="Y612" s="103"/>
      <c r="Z612" s="103"/>
      <c r="AA612" s="103"/>
    </row>
    <row r="613" spans="1:27" ht="15.75" customHeight="1">
      <c r="A613" s="103"/>
      <c r="B613" s="103"/>
      <c r="C613" s="103"/>
      <c r="D613" s="103"/>
      <c r="E613" s="103"/>
      <c r="F613" s="124"/>
      <c r="G613" s="124"/>
      <c r="H613" s="103"/>
      <c r="I613" s="103"/>
      <c r="J613" s="103"/>
      <c r="K613" s="103"/>
      <c r="L613" s="103"/>
      <c r="M613" s="103"/>
      <c r="N613" s="103"/>
      <c r="O613" s="103"/>
      <c r="P613" s="103"/>
      <c r="Q613" s="103"/>
      <c r="R613" s="103"/>
      <c r="S613" s="103"/>
      <c r="T613" s="103"/>
      <c r="U613" s="103"/>
      <c r="V613" s="103"/>
      <c r="W613" s="103"/>
      <c r="X613" s="103"/>
      <c r="Y613" s="103"/>
      <c r="Z613" s="103"/>
      <c r="AA613" s="103"/>
    </row>
    <row r="614" spans="1:27" ht="15.75" customHeight="1">
      <c r="A614" s="103"/>
      <c r="B614" s="103"/>
      <c r="C614" s="103"/>
      <c r="D614" s="103"/>
      <c r="E614" s="103"/>
      <c r="F614" s="124"/>
      <c r="G614" s="124"/>
      <c r="H614" s="103"/>
      <c r="I614" s="103"/>
      <c r="J614" s="103"/>
      <c r="K614" s="103"/>
      <c r="L614" s="103"/>
      <c r="M614" s="103"/>
      <c r="N614" s="103"/>
      <c r="O614" s="103"/>
      <c r="P614" s="103"/>
      <c r="Q614" s="103"/>
      <c r="R614" s="103"/>
      <c r="S614" s="103"/>
      <c r="T614" s="103"/>
      <c r="U614" s="103"/>
      <c r="V614" s="103"/>
      <c r="W614" s="103"/>
      <c r="X614" s="103"/>
      <c r="Y614" s="103"/>
      <c r="Z614" s="103"/>
      <c r="AA614" s="103"/>
    </row>
    <row r="615" spans="1:27" ht="15.75" customHeight="1">
      <c r="A615" s="103"/>
      <c r="B615" s="103"/>
      <c r="C615" s="103"/>
      <c r="D615" s="103"/>
      <c r="E615" s="103"/>
      <c r="F615" s="124"/>
      <c r="G615" s="124"/>
      <c r="H615" s="103"/>
      <c r="I615" s="103"/>
      <c r="J615" s="103"/>
      <c r="K615" s="103"/>
      <c r="L615" s="103"/>
      <c r="M615" s="103"/>
      <c r="N615" s="103"/>
      <c r="O615" s="103"/>
      <c r="P615" s="103"/>
      <c r="Q615" s="103"/>
      <c r="R615" s="103"/>
      <c r="S615" s="103"/>
      <c r="T615" s="103"/>
      <c r="U615" s="103"/>
      <c r="V615" s="103"/>
      <c r="W615" s="103"/>
      <c r="X615" s="103"/>
      <c r="Y615" s="103"/>
      <c r="Z615" s="103"/>
      <c r="AA615" s="103"/>
    </row>
    <row r="616" spans="1:27" ht="15.75" customHeight="1">
      <c r="A616" s="103"/>
      <c r="B616" s="103"/>
      <c r="C616" s="103"/>
      <c r="D616" s="103"/>
      <c r="E616" s="103"/>
      <c r="F616" s="124"/>
      <c r="G616" s="124"/>
      <c r="H616" s="103"/>
      <c r="I616" s="103"/>
      <c r="J616" s="103"/>
      <c r="K616" s="103"/>
      <c r="L616" s="103"/>
      <c r="M616" s="103"/>
      <c r="N616" s="103"/>
      <c r="O616" s="103"/>
      <c r="P616" s="103"/>
      <c r="Q616" s="103"/>
      <c r="R616" s="103"/>
      <c r="S616" s="103"/>
      <c r="T616" s="103"/>
      <c r="U616" s="103"/>
      <c r="V616" s="103"/>
      <c r="W616" s="103"/>
      <c r="X616" s="103"/>
      <c r="Y616" s="103"/>
      <c r="Z616" s="103"/>
      <c r="AA616" s="103"/>
    </row>
    <row r="617" spans="1:27" ht="15.75" customHeight="1">
      <c r="A617" s="103"/>
      <c r="B617" s="103"/>
      <c r="C617" s="103"/>
      <c r="D617" s="103"/>
      <c r="E617" s="103"/>
      <c r="F617" s="124"/>
      <c r="G617" s="124"/>
      <c r="H617" s="103"/>
      <c r="I617" s="103"/>
      <c r="J617" s="103"/>
      <c r="K617" s="103"/>
      <c r="L617" s="103"/>
      <c r="M617" s="103"/>
      <c r="N617" s="103"/>
      <c r="O617" s="103"/>
      <c r="P617" s="103"/>
      <c r="Q617" s="103"/>
      <c r="R617" s="103"/>
      <c r="S617" s="103"/>
      <c r="T617" s="103"/>
      <c r="U617" s="103"/>
      <c r="V617" s="103"/>
      <c r="W617" s="103"/>
      <c r="X617" s="103"/>
      <c r="Y617" s="103"/>
      <c r="Z617" s="103"/>
      <c r="AA617" s="103"/>
    </row>
    <row r="618" spans="1:27" ht="15.75" customHeight="1">
      <c r="A618" s="103"/>
      <c r="B618" s="103"/>
      <c r="C618" s="103"/>
      <c r="D618" s="103"/>
      <c r="E618" s="103"/>
      <c r="F618" s="124"/>
      <c r="G618" s="124"/>
      <c r="H618" s="103"/>
      <c r="I618" s="103"/>
      <c r="J618" s="103"/>
      <c r="K618" s="103"/>
      <c r="L618" s="103"/>
      <c r="M618" s="103"/>
      <c r="N618" s="103"/>
      <c r="O618" s="103"/>
      <c r="P618" s="103"/>
      <c r="Q618" s="103"/>
      <c r="R618" s="103"/>
      <c r="S618" s="103"/>
      <c r="T618" s="103"/>
      <c r="U618" s="103"/>
      <c r="V618" s="103"/>
      <c r="W618" s="103"/>
      <c r="X618" s="103"/>
      <c r="Y618" s="103"/>
      <c r="Z618" s="103"/>
      <c r="AA618" s="103"/>
    </row>
    <row r="619" spans="1:27" ht="15.75" customHeight="1">
      <c r="A619" s="103"/>
      <c r="B619" s="103"/>
      <c r="C619" s="103"/>
      <c r="D619" s="103"/>
      <c r="E619" s="103"/>
      <c r="F619" s="124"/>
      <c r="G619" s="124"/>
      <c r="H619" s="103"/>
      <c r="I619" s="103"/>
      <c r="J619" s="103"/>
      <c r="K619" s="103"/>
      <c r="L619" s="103"/>
      <c r="M619" s="103"/>
      <c r="N619" s="103"/>
      <c r="O619" s="103"/>
      <c r="P619" s="103"/>
      <c r="Q619" s="103"/>
      <c r="R619" s="103"/>
      <c r="S619" s="103"/>
      <c r="T619" s="103"/>
      <c r="U619" s="103"/>
      <c r="V619" s="103"/>
      <c r="W619" s="103"/>
      <c r="X619" s="103"/>
      <c r="Y619" s="103"/>
      <c r="Z619" s="103"/>
      <c r="AA619" s="103"/>
    </row>
    <row r="620" spans="1:27" ht="15.75" customHeight="1">
      <c r="A620" s="103"/>
      <c r="B620" s="103"/>
      <c r="C620" s="103"/>
      <c r="D620" s="103"/>
      <c r="E620" s="103"/>
      <c r="F620" s="124"/>
      <c r="G620" s="124"/>
      <c r="H620" s="103"/>
      <c r="I620" s="103"/>
      <c r="J620" s="103"/>
      <c r="K620" s="103"/>
      <c r="L620" s="103"/>
      <c r="M620" s="103"/>
      <c r="N620" s="103"/>
      <c r="O620" s="103"/>
      <c r="P620" s="103"/>
      <c r="Q620" s="103"/>
      <c r="R620" s="103"/>
      <c r="S620" s="103"/>
      <c r="T620" s="103"/>
      <c r="U620" s="103"/>
      <c r="V620" s="103"/>
      <c r="W620" s="103"/>
      <c r="X620" s="103"/>
      <c r="Y620" s="103"/>
      <c r="Z620" s="103"/>
      <c r="AA620" s="103"/>
    </row>
    <row r="621" spans="1:27" ht="15.75" customHeight="1">
      <c r="A621" s="103"/>
      <c r="B621" s="103"/>
      <c r="C621" s="103"/>
      <c r="D621" s="103"/>
      <c r="E621" s="103"/>
      <c r="F621" s="124"/>
      <c r="G621" s="124"/>
      <c r="H621" s="103"/>
      <c r="I621" s="103"/>
      <c r="J621" s="103"/>
      <c r="K621" s="103"/>
      <c r="L621" s="103"/>
      <c r="M621" s="103"/>
      <c r="N621" s="103"/>
      <c r="O621" s="103"/>
      <c r="P621" s="103"/>
      <c r="Q621" s="103"/>
      <c r="R621" s="103"/>
      <c r="S621" s="103"/>
      <c r="T621" s="103"/>
      <c r="U621" s="103"/>
      <c r="V621" s="103"/>
      <c r="W621" s="103"/>
      <c r="X621" s="103"/>
      <c r="Y621" s="103"/>
      <c r="Z621" s="103"/>
      <c r="AA621" s="103"/>
    </row>
    <row r="622" spans="1:27" ht="15.75" customHeight="1">
      <c r="A622" s="103"/>
      <c r="B622" s="103"/>
      <c r="C622" s="103"/>
      <c r="D622" s="103"/>
      <c r="E622" s="103"/>
      <c r="F622" s="124"/>
      <c r="G622" s="124"/>
      <c r="H622" s="103"/>
      <c r="I622" s="103"/>
      <c r="J622" s="103"/>
      <c r="K622" s="103"/>
      <c r="L622" s="103"/>
      <c r="M622" s="103"/>
      <c r="N622" s="103"/>
      <c r="O622" s="103"/>
      <c r="P622" s="103"/>
      <c r="Q622" s="103"/>
      <c r="R622" s="103"/>
      <c r="S622" s="103"/>
      <c r="T622" s="103"/>
      <c r="U622" s="103"/>
      <c r="V622" s="103"/>
      <c r="W622" s="103"/>
      <c r="X622" s="103"/>
      <c r="Y622" s="103"/>
      <c r="Z622" s="103"/>
      <c r="AA622" s="103"/>
    </row>
    <row r="623" spans="1:27" ht="15.75" customHeight="1">
      <c r="A623" s="103"/>
      <c r="B623" s="103"/>
      <c r="C623" s="103"/>
      <c r="D623" s="103"/>
      <c r="E623" s="103"/>
      <c r="F623" s="124"/>
      <c r="G623" s="124"/>
      <c r="H623" s="103"/>
      <c r="I623" s="103"/>
      <c r="J623" s="103"/>
      <c r="K623" s="103"/>
      <c r="L623" s="103"/>
      <c r="M623" s="103"/>
      <c r="N623" s="103"/>
      <c r="O623" s="103"/>
      <c r="P623" s="103"/>
      <c r="Q623" s="103"/>
      <c r="R623" s="103"/>
      <c r="S623" s="103"/>
      <c r="T623" s="103"/>
      <c r="U623" s="103"/>
      <c r="V623" s="103"/>
      <c r="W623" s="103"/>
      <c r="X623" s="103"/>
      <c r="Y623" s="103"/>
      <c r="Z623" s="103"/>
      <c r="AA623" s="103"/>
    </row>
    <row r="624" spans="1:27" ht="15.75" customHeight="1">
      <c r="A624" s="103"/>
      <c r="B624" s="103"/>
      <c r="C624" s="103"/>
      <c r="D624" s="103"/>
      <c r="E624" s="103"/>
      <c r="F624" s="124"/>
      <c r="G624" s="124"/>
      <c r="H624" s="103"/>
      <c r="I624" s="103"/>
      <c r="J624" s="103"/>
      <c r="K624" s="103"/>
      <c r="L624" s="103"/>
      <c r="M624" s="103"/>
      <c r="N624" s="103"/>
      <c r="O624" s="103"/>
      <c r="P624" s="103"/>
      <c r="Q624" s="103"/>
      <c r="R624" s="103"/>
      <c r="S624" s="103"/>
      <c r="T624" s="103"/>
      <c r="U624" s="103"/>
      <c r="V624" s="103"/>
      <c r="W624" s="103"/>
      <c r="X624" s="103"/>
      <c r="Y624" s="103"/>
      <c r="Z624" s="103"/>
      <c r="AA624" s="103"/>
    </row>
    <row r="625" spans="1:27" ht="15.75" customHeight="1">
      <c r="A625" s="103"/>
      <c r="B625" s="103"/>
      <c r="C625" s="103"/>
      <c r="D625" s="103"/>
      <c r="E625" s="103"/>
      <c r="F625" s="124"/>
      <c r="G625" s="124"/>
      <c r="H625" s="103"/>
      <c r="I625" s="103"/>
      <c r="J625" s="103"/>
      <c r="K625" s="103"/>
      <c r="L625" s="103"/>
      <c r="M625" s="103"/>
      <c r="N625" s="103"/>
      <c r="O625" s="103"/>
      <c r="P625" s="103"/>
      <c r="Q625" s="103"/>
      <c r="R625" s="103"/>
      <c r="S625" s="103"/>
      <c r="T625" s="103"/>
      <c r="U625" s="103"/>
      <c r="V625" s="103"/>
      <c r="W625" s="103"/>
      <c r="X625" s="103"/>
      <c r="Y625" s="103"/>
      <c r="Z625" s="103"/>
      <c r="AA625" s="103"/>
    </row>
    <row r="626" spans="1:27" ht="15.75" customHeight="1">
      <c r="A626" s="103"/>
      <c r="B626" s="103"/>
      <c r="C626" s="103"/>
      <c r="D626" s="103"/>
      <c r="E626" s="103"/>
      <c r="F626" s="124"/>
      <c r="G626" s="124"/>
      <c r="H626" s="103"/>
      <c r="I626" s="103"/>
      <c r="J626" s="103"/>
      <c r="K626" s="103"/>
      <c r="L626" s="103"/>
      <c r="M626" s="103"/>
      <c r="N626" s="103"/>
      <c r="O626" s="103"/>
      <c r="P626" s="103"/>
      <c r="Q626" s="103"/>
      <c r="R626" s="103"/>
      <c r="S626" s="103"/>
      <c r="T626" s="103"/>
      <c r="U626" s="103"/>
      <c r="V626" s="103"/>
      <c r="W626" s="103"/>
      <c r="X626" s="103"/>
      <c r="Y626" s="103"/>
      <c r="Z626" s="103"/>
      <c r="AA626" s="103"/>
    </row>
    <row r="627" spans="1:27" ht="15.75" customHeight="1">
      <c r="A627" s="103"/>
      <c r="B627" s="103"/>
      <c r="C627" s="103"/>
      <c r="D627" s="103"/>
      <c r="E627" s="103"/>
      <c r="F627" s="124"/>
      <c r="G627" s="124"/>
      <c r="H627" s="103"/>
      <c r="I627" s="103"/>
      <c r="J627" s="103"/>
      <c r="K627" s="103"/>
      <c r="L627" s="103"/>
      <c r="M627" s="103"/>
      <c r="N627" s="103"/>
      <c r="O627" s="103"/>
      <c r="P627" s="103"/>
      <c r="Q627" s="103"/>
      <c r="R627" s="103"/>
      <c r="S627" s="103"/>
      <c r="T627" s="103"/>
      <c r="U627" s="103"/>
      <c r="V627" s="103"/>
      <c r="W627" s="103"/>
      <c r="X627" s="103"/>
      <c r="Y627" s="103"/>
      <c r="Z627" s="103"/>
      <c r="AA627" s="103"/>
    </row>
    <row r="628" spans="1:27" ht="15.75" customHeight="1">
      <c r="A628" s="103"/>
      <c r="B628" s="103"/>
      <c r="C628" s="103"/>
      <c r="D628" s="103"/>
      <c r="E628" s="103"/>
      <c r="F628" s="124"/>
      <c r="G628" s="124"/>
      <c r="H628" s="103"/>
      <c r="I628" s="103"/>
      <c r="J628" s="103"/>
      <c r="K628" s="103"/>
      <c r="L628" s="103"/>
      <c r="M628" s="103"/>
      <c r="N628" s="103"/>
      <c r="O628" s="103"/>
      <c r="P628" s="103"/>
      <c r="Q628" s="103"/>
      <c r="R628" s="103"/>
      <c r="S628" s="103"/>
      <c r="T628" s="103"/>
      <c r="U628" s="103"/>
      <c r="V628" s="103"/>
      <c r="W628" s="103"/>
      <c r="X628" s="103"/>
      <c r="Y628" s="103"/>
      <c r="Z628" s="103"/>
      <c r="AA628" s="103"/>
    </row>
    <row r="629" spans="1:27" ht="15.75" customHeight="1">
      <c r="A629" s="103"/>
      <c r="B629" s="103"/>
      <c r="C629" s="103"/>
      <c r="D629" s="103"/>
      <c r="E629" s="103"/>
      <c r="F629" s="124"/>
      <c r="G629" s="124"/>
      <c r="H629" s="103"/>
      <c r="I629" s="103"/>
      <c r="J629" s="103"/>
      <c r="K629" s="103"/>
      <c r="L629" s="103"/>
      <c r="M629" s="103"/>
      <c r="N629" s="103"/>
      <c r="O629" s="103"/>
      <c r="P629" s="103"/>
      <c r="Q629" s="103"/>
      <c r="R629" s="103"/>
      <c r="S629" s="103"/>
      <c r="T629" s="103"/>
      <c r="U629" s="103"/>
      <c r="V629" s="103"/>
      <c r="W629" s="103"/>
      <c r="X629" s="103"/>
      <c r="Y629" s="103"/>
      <c r="Z629" s="103"/>
      <c r="AA629" s="103"/>
    </row>
    <row r="630" spans="1:27" ht="15.75" customHeight="1">
      <c r="A630" s="103"/>
      <c r="B630" s="103"/>
      <c r="C630" s="103"/>
      <c r="D630" s="103"/>
      <c r="E630" s="103"/>
      <c r="F630" s="124"/>
      <c r="G630" s="124"/>
      <c r="H630" s="103"/>
      <c r="I630" s="103"/>
      <c r="J630" s="103"/>
      <c r="K630" s="103"/>
      <c r="L630" s="103"/>
      <c r="M630" s="103"/>
      <c r="N630" s="103"/>
      <c r="O630" s="103"/>
      <c r="P630" s="103"/>
      <c r="Q630" s="103"/>
      <c r="R630" s="103"/>
      <c r="S630" s="103"/>
      <c r="T630" s="103"/>
      <c r="U630" s="103"/>
      <c r="V630" s="103"/>
      <c r="W630" s="103"/>
      <c r="X630" s="103"/>
      <c r="Y630" s="103"/>
      <c r="Z630" s="103"/>
      <c r="AA630" s="103"/>
    </row>
    <row r="631" spans="1:27" ht="15.75" customHeight="1">
      <c r="A631" s="103"/>
      <c r="B631" s="103"/>
      <c r="C631" s="103"/>
      <c r="D631" s="103"/>
      <c r="E631" s="103"/>
      <c r="F631" s="124"/>
      <c r="G631" s="124"/>
      <c r="H631" s="103"/>
      <c r="I631" s="103"/>
      <c r="J631" s="103"/>
      <c r="K631" s="103"/>
      <c r="L631" s="103"/>
      <c r="M631" s="103"/>
      <c r="N631" s="103"/>
      <c r="O631" s="103"/>
      <c r="P631" s="103"/>
      <c r="Q631" s="103"/>
      <c r="R631" s="103"/>
      <c r="S631" s="103"/>
      <c r="T631" s="103"/>
      <c r="U631" s="103"/>
      <c r="V631" s="103"/>
      <c r="W631" s="103"/>
      <c r="X631" s="103"/>
      <c r="Y631" s="103"/>
      <c r="Z631" s="103"/>
      <c r="AA631" s="103"/>
    </row>
    <row r="632" spans="1:27" ht="15.75" customHeight="1">
      <c r="A632" s="103"/>
      <c r="B632" s="103"/>
      <c r="C632" s="103"/>
      <c r="D632" s="103"/>
      <c r="E632" s="103"/>
      <c r="F632" s="124"/>
      <c r="G632" s="124"/>
      <c r="H632" s="103"/>
      <c r="I632" s="103"/>
      <c r="J632" s="103"/>
      <c r="K632" s="103"/>
      <c r="L632" s="103"/>
      <c r="M632" s="103"/>
      <c r="N632" s="103"/>
      <c r="O632" s="103"/>
      <c r="P632" s="103"/>
      <c r="Q632" s="103"/>
      <c r="R632" s="103"/>
      <c r="S632" s="103"/>
      <c r="T632" s="103"/>
      <c r="U632" s="103"/>
      <c r="V632" s="103"/>
      <c r="W632" s="103"/>
      <c r="X632" s="103"/>
      <c r="Y632" s="103"/>
      <c r="Z632" s="103"/>
      <c r="AA632" s="103"/>
    </row>
    <row r="633" spans="1:27" ht="15.75" customHeight="1">
      <c r="A633" s="103"/>
      <c r="B633" s="103"/>
      <c r="C633" s="103"/>
      <c r="D633" s="103"/>
      <c r="E633" s="103"/>
      <c r="F633" s="124"/>
      <c r="G633" s="124"/>
      <c r="H633" s="103"/>
      <c r="I633" s="103"/>
      <c r="J633" s="103"/>
      <c r="K633" s="103"/>
      <c r="L633" s="103"/>
      <c r="M633" s="103"/>
      <c r="N633" s="103"/>
      <c r="O633" s="103"/>
      <c r="P633" s="103"/>
      <c r="Q633" s="103"/>
      <c r="R633" s="103"/>
      <c r="S633" s="103"/>
      <c r="T633" s="103"/>
      <c r="U633" s="103"/>
      <c r="V633" s="103"/>
      <c r="W633" s="103"/>
      <c r="X633" s="103"/>
      <c r="Y633" s="103"/>
      <c r="Z633" s="103"/>
      <c r="AA633" s="103"/>
    </row>
    <row r="634" spans="1:27" ht="15.75" customHeight="1">
      <c r="A634" s="103"/>
      <c r="B634" s="103"/>
      <c r="C634" s="103"/>
      <c r="D634" s="103"/>
      <c r="E634" s="103"/>
      <c r="F634" s="124"/>
      <c r="G634" s="124"/>
      <c r="H634" s="103"/>
      <c r="I634" s="103"/>
      <c r="J634" s="103"/>
      <c r="K634" s="103"/>
      <c r="L634" s="103"/>
      <c r="M634" s="103"/>
      <c r="N634" s="103"/>
      <c r="O634" s="103"/>
      <c r="P634" s="103"/>
      <c r="Q634" s="103"/>
      <c r="R634" s="103"/>
      <c r="S634" s="103"/>
      <c r="T634" s="103"/>
      <c r="U634" s="103"/>
      <c r="V634" s="103"/>
      <c r="W634" s="103"/>
      <c r="X634" s="103"/>
      <c r="Y634" s="103"/>
      <c r="Z634" s="103"/>
      <c r="AA634" s="103"/>
    </row>
    <row r="635" spans="1:27" ht="15.75" customHeight="1">
      <c r="A635" s="103"/>
      <c r="B635" s="103"/>
      <c r="C635" s="103"/>
      <c r="D635" s="103"/>
      <c r="E635" s="103"/>
      <c r="F635" s="124"/>
      <c r="G635" s="124"/>
      <c r="H635" s="103"/>
      <c r="I635" s="103"/>
      <c r="J635" s="103"/>
      <c r="K635" s="103"/>
      <c r="L635" s="103"/>
      <c r="M635" s="103"/>
      <c r="N635" s="103"/>
      <c r="O635" s="103"/>
      <c r="P635" s="103"/>
      <c r="Q635" s="103"/>
      <c r="R635" s="103"/>
      <c r="S635" s="103"/>
      <c r="T635" s="103"/>
      <c r="U635" s="103"/>
      <c r="V635" s="103"/>
      <c r="W635" s="103"/>
      <c r="X635" s="103"/>
      <c r="Y635" s="103"/>
      <c r="Z635" s="103"/>
      <c r="AA635" s="103"/>
    </row>
    <row r="636" spans="1:27" ht="15.75" customHeight="1">
      <c r="A636" s="103"/>
      <c r="B636" s="103"/>
      <c r="C636" s="103"/>
      <c r="D636" s="103"/>
      <c r="E636" s="103"/>
      <c r="F636" s="124"/>
      <c r="G636" s="124"/>
      <c r="H636" s="103"/>
      <c r="I636" s="103"/>
      <c r="J636" s="103"/>
      <c r="K636" s="103"/>
      <c r="L636" s="103"/>
      <c r="M636" s="103"/>
      <c r="N636" s="103"/>
      <c r="O636" s="103"/>
      <c r="P636" s="103"/>
      <c r="Q636" s="103"/>
      <c r="R636" s="103"/>
      <c r="S636" s="103"/>
      <c r="T636" s="103"/>
      <c r="U636" s="103"/>
      <c r="V636" s="103"/>
      <c r="W636" s="103"/>
      <c r="X636" s="103"/>
      <c r="Y636" s="103"/>
      <c r="Z636" s="103"/>
      <c r="AA636" s="103"/>
    </row>
    <row r="637" spans="1:27" ht="15.75" customHeight="1">
      <c r="A637" s="103"/>
      <c r="B637" s="103"/>
      <c r="C637" s="103"/>
      <c r="D637" s="103"/>
      <c r="E637" s="103"/>
      <c r="F637" s="124"/>
      <c r="G637" s="124"/>
      <c r="H637" s="103"/>
      <c r="I637" s="103"/>
      <c r="J637" s="103"/>
      <c r="K637" s="103"/>
      <c r="L637" s="103"/>
      <c r="M637" s="103"/>
      <c r="N637" s="103"/>
      <c r="O637" s="103"/>
      <c r="P637" s="103"/>
      <c r="Q637" s="103"/>
      <c r="R637" s="103"/>
      <c r="S637" s="103"/>
      <c r="T637" s="103"/>
      <c r="U637" s="103"/>
      <c r="V637" s="103"/>
      <c r="W637" s="103"/>
      <c r="X637" s="103"/>
      <c r="Y637" s="103"/>
      <c r="Z637" s="103"/>
      <c r="AA637" s="103"/>
    </row>
    <row r="638" spans="1:27" ht="15.75" customHeight="1">
      <c r="A638" s="103"/>
      <c r="B638" s="103"/>
      <c r="C638" s="103"/>
      <c r="D638" s="103"/>
      <c r="E638" s="103"/>
      <c r="F638" s="124"/>
      <c r="G638" s="124"/>
      <c r="H638" s="103"/>
      <c r="I638" s="103"/>
      <c r="J638" s="103"/>
      <c r="K638" s="103"/>
      <c r="L638" s="103"/>
      <c r="M638" s="103"/>
      <c r="N638" s="103"/>
      <c r="O638" s="103"/>
      <c r="P638" s="103"/>
      <c r="Q638" s="103"/>
      <c r="R638" s="103"/>
      <c r="S638" s="103"/>
      <c r="T638" s="103"/>
      <c r="U638" s="103"/>
      <c r="V638" s="103"/>
      <c r="W638" s="103"/>
      <c r="X638" s="103"/>
      <c r="Y638" s="103"/>
      <c r="Z638" s="103"/>
      <c r="AA638" s="103"/>
    </row>
    <row r="639" spans="1:27" ht="15.75" customHeight="1">
      <c r="A639" s="103"/>
      <c r="B639" s="103"/>
      <c r="C639" s="103"/>
      <c r="D639" s="103"/>
      <c r="E639" s="103"/>
      <c r="F639" s="124"/>
      <c r="G639" s="124"/>
      <c r="H639" s="103"/>
      <c r="I639" s="103"/>
      <c r="J639" s="103"/>
      <c r="K639" s="103"/>
      <c r="L639" s="103"/>
      <c r="M639" s="103"/>
      <c r="N639" s="103"/>
      <c r="O639" s="103"/>
      <c r="P639" s="103"/>
      <c r="Q639" s="103"/>
      <c r="R639" s="103"/>
      <c r="S639" s="103"/>
      <c r="T639" s="103"/>
      <c r="U639" s="103"/>
      <c r="V639" s="103"/>
      <c r="W639" s="103"/>
      <c r="X639" s="103"/>
      <c r="Y639" s="103"/>
      <c r="Z639" s="103"/>
      <c r="AA639" s="103"/>
    </row>
    <row r="640" spans="1:27" ht="15.75" customHeight="1">
      <c r="A640" s="103"/>
      <c r="B640" s="103"/>
      <c r="C640" s="103"/>
      <c r="D640" s="103"/>
      <c r="E640" s="103"/>
      <c r="F640" s="124"/>
      <c r="G640" s="124"/>
      <c r="H640" s="103"/>
      <c r="I640" s="103"/>
      <c r="J640" s="103"/>
      <c r="K640" s="103"/>
      <c r="L640" s="103"/>
      <c r="M640" s="103"/>
      <c r="N640" s="103"/>
      <c r="O640" s="103"/>
      <c r="P640" s="103"/>
      <c r="Q640" s="103"/>
      <c r="R640" s="103"/>
      <c r="S640" s="103"/>
      <c r="T640" s="103"/>
      <c r="U640" s="103"/>
      <c r="V640" s="103"/>
      <c r="W640" s="103"/>
      <c r="X640" s="103"/>
      <c r="Y640" s="103"/>
      <c r="Z640" s="103"/>
      <c r="AA640" s="103"/>
    </row>
    <row r="641" spans="1:27" ht="15.75" customHeight="1">
      <c r="A641" s="103"/>
      <c r="B641" s="103"/>
      <c r="C641" s="103"/>
      <c r="D641" s="103"/>
      <c r="E641" s="103"/>
      <c r="F641" s="124"/>
      <c r="G641" s="124"/>
      <c r="H641" s="103"/>
      <c r="I641" s="103"/>
      <c r="J641" s="103"/>
      <c r="K641" s="103"/>
      <c r="L641" s="103"/>
      <c r="M641" s="103"/>
      <c r="N641" s="103"/>
      <c r="O641" s="103"/>
      <c r="P641" s="103"/>
      <c r="Q641" s="103"/>
      <c r="R641" s="103"/>
      <c r="S641" s="103"/>
      <c r="T641" s="103"/>
      <c r="U641" s="103"/>
      <c r="V641" s="103"/>
      <c r="W641" s="103"/>
      <c r="X641" s="103"/>
      <c r="Y641" s="103"/>
      <c r="Z641" s="103"/>
      <c r="AA641" s="103"/>
    </row>
    <row r="642" spans="1:27" ht="15.75" customHeight="1">
      <c r="A642" s="103"/>
      <c r="B642" s="103"/>
      <c r="C642" s="103"/>
      <c r="D642" s="103"/>
      <c r="E642" s="103"/>
      <c r="F642" s="124"/>
      <c r="G642" s="124"/>
      <c r="H642" s="103"/>
      <c r="I642" s="103"/>
      <c r="J642" s="103"/>
      <c r="K642" s="103"/>
      <c r="L642" s="103"/>
      <c r="M642" s="103"/>
      <c r="N642" s="103"/>
      <c r="O642" s="103"/>
      <c r="P642" s="103"/>
      <c r="Q642" s="103"/>
      <c r="R642" s="103"/>
      <c r="S642" s="103"/>
      <c r="T642" s="103"/>
      <c r="U642" s="103"/>
      <c r="V642" s="103"/>
      <c r="W642" s="103"/>
      <c r="X642" s="103"/>
      <c r="Y642" s="103"/>
      <c r="Z642" s="103"/>
      <c r="AA642" s="103"/>
    </row>
    <row r="643" spans="1:27" ht="15.75" customHeight="1">
      <c r="A643" s="103"/>
      <c r="B643" s="103"/>
      <c r="C643" s="103"/>
      <c r="D643" s="103"/>
      <c r="E643" s="103"/>
      <c r="F643" s="124"/>
      <c r="G643" s="124"/>
      <c r="H643" s="103"/>
      <c r="I643" s="103"/>
      <c r="J643" s="103"/>
      <c r="K643" s="103"/>
      <c r="L643" s="103"/>
      <c r="M643" s="103"/>
      <c r="N643" s="103"/>
      <c r="O643" s="103"/>
      <c r="P643" s="103"/>
      <c r="Q643" s="103"/>
      <c r="R643" s="103"/>
      <c r="S643" s="103"/>
      <c r="T643" s="103"/>
      <c r="U643" s="103"/>
      <c r="V643" s="103"/>
      <c r="W643" s="103"/>
      <c r="X643" s="103"/>
      <c r="Y643" s="103"/>
      <c r="Z643" s="103"/>
      <c r="AA643" s="103"/>
    </row>
    <row r="644" spans="1:27" ht="15.75" customHeight="1">
      <c r="A644" s="103"/>
      <c r="B644" s="103"/>
      <c r="C644" s="103"/>
      <c r="D644" s="103"/>
      <c r="E644" s="103"/>
      <c r="F644" s="124"/>
      <c r="G644" s="124"/>
      <c r="H644" s="103"/>
      <c r="I644" s="103"/>
      <c r="J644" s="103"/>
      <c r="K644" s="103"/>
      <c r="L644" s="103"/>
      <c r="M644" s="103"/>
      <c r="N644" s="103"/>
      <c r="O644" s="103"/>
      <c r="P644" s="103"/>
      <c r="Q644" s="103"/>
      <c r="R644" s="103"/>
      <c r="S644" s="103"/>
      <c r="T644" s="103"/>
      <c r="U644" s="103"/>
      <c r="V644" s="103"/>
      <c r="W644" s="103"/>
      <c r="X644" s="103"/>
      <c r="Y644" s="103"/>
      <c r="Z644" s="103"/>
      <c r="AA644" s="103"/>
    </row>
    <row r="645" spans="1:27" ht="15.75" customHeight="1">
      <c r="A645" s="103"/>
      <c r="B645" s="103"/>
      <c r="C645" s="103"/>
      <c r="D645" s="103"/>
      <c r="E645" s="103"/>
      <c r="F645" s="124"/>
      <c r="G645" s="124"/>
      <c r="H645" s="103"/>
      <c r="I645" s="103"/>
      <c r="J645" s="103"/>
      <c r="K645" s="103"/>
      <c r="L645" s="103"/>
      <c r="M645" s="103"/>
      <c r="N645" s="103"/>
      <c r="O645" s="103"/>
      <c r="P645" s="103"/>
      <c r="Q645" s="103"/>
      <c r="R645" s="103"/>
      <c r="S645" s="103"/>
      <c r="T645" s="103"/>
      <c r="U645" s="103"/>
      <c r="V645" s="103"/>
      <c r="W645" s="103"/>
      <c r="X645" s="103"/>
      <c r="Y645" s="103"/>
      <c r="Z645" s="103"/>
      <c r="AA645" s="103"/>
    </row>
    <row r="646" spans="1:27" ht="15.75" customHeight="1">
      <c r="A646" s="103"/>
      <c r="B646" s="103"/>
      <c r="C646" s="103"/>
      <c r="D646" s="103"/>
      <c r="E646" s="103"/>
      <c r="F646" s="124"/>
      <c r="G646" s="124"/>
      <c r="H646" s="103"/>
      <c r="I646" s="103"/>
      <c r="J646" s="103"/>
      <c r="K646" s="103"/>
      <c r="L646" s="103"/>
      <c r="M646" s="103"/>
      <c r="N646" s="103"/>
      <c r="O646" s="103"/>
      <c r="P646" s="103"/>
      <c r="Q646" s="103"/>
      <c r="R646" s="103"/>
      <c r="S646" s="103"/>
      <c r="T646" s="103"/>
      <c r="U646" s="103"/>
      <c r="V646" s="103"/>
      <c r="W646" s="103"/>
      <c r="X646" s="103"/>
      <c r="Y646" s="103"/>
      <c r="Z646" s="103"/>
      <c r="AA646" s="103"/>
    </row>
    <row r="647" spans="1:27" ht="15.75" customHeight="1">
      <c r="A647" s="103"/>
      <c r="B647" s="103"/>
      <c r="C647" s="103"/>
      <c r="D647" s="103"/>
      <c r="E647" s="103"/>
      <c r="F647" s="124"/>
      <c r="G647" s="124"/>
      <c r="H647" s="103"/>
      <c r="I647" s="103"/>
      <c r="J647" s="103"/>
      <c r="K647" s="103"/>
      <c r="L647" s="103"/>
      <c r="M647" s="103"/>
      <c r="N647" s="103"/>
      <c r="O647" s="103"/>
      <c r="P647" s="103"/>
      <c r="Q647" s="103"/>
      <c r="R647" s="103"/>
      <c r="S647" s="103"/>
      <c r="T647" s="103"/>
      <c r="U647" s="103"/>
      <c r="V647" s="103"/>
      <c r="W647" s="103"/>
      <c r="X647" s="103"/>
      <c r="Y647" s="103"/>
      <c r="Z647" s="103"/>
      <c r="AA647" s="103"/>
    </row>
    <row r="648" spans="1:27" ht="15.75" customHeight="1">
      <c r="A648" s="103"/>
      <c r="B648" s="103"/>
      <c r="C648" s="103"/>
      <c r="D648" s="103"/>
      <c r="E648" s="103"/>
      <c r="F648" s="124"/>
      <c r="G648" s="124"/>
      <c r="H648" s="103"/>
      <c r="I648" s="103"/>
      <c r="J648" s="103"/>
      <c r="K648" s="103"/>
      <c r="L648" s="103"/>
      <c r="M648" s="103"/>
      <c r="N648" s="103"/>
      <c r="O648" s="103"/>
      <c r="P648" s="103"/>
      <c r="Q648" s="103"/>
      <c r="R648" s="103"/>
      <c r="S648" s="103"/>
      <c r="T648" s="103"/>
      <c r="U648" s="103"/>
      <c r="V648" s="103"/>
      <c r="W648" s="103"/>
      <c r="X648" s="103"/>
      <c r="Y648" s="103"/>
      <c r="Z648" s="103"/>
      <c r="AA648" s="103"/>
    </row>
    <row r="649" spans="1:27" ht="15.75" customHeight="1">
      <c r="A649" s="103"/>
      <c r="B649" s="103"/>
      <c r="C649" s="103"/>
      <c r="D649" s="103"/>
      <c r="E649" s="103"/>
      <c r="F649" s="124"/>
      <c r="G649" s="124"/>
      <c r="H649" s="103"/>
      <c r="I649" s="103"/>
      <c r="J649" s="103"/>
      <c r="K649" s="103"/>
      <c r="L649" s="103"/>
      <c r="M649" s="103"/>
      <c r="N649" s="103"/>
      <c r="O649" s="103"/>
      <c r="P649" s="103"/>
      <c r="Q649" s="103"/>
      <c r="R649" s="103"/>
      <c r="S649" s="103"/>
      <c r="T649" s="103"/>
      <c r="U649" s="103"/>
      <c r="V649" s="103"/>
      <c r="W649" s="103"/>
      <c r="X649" s="103"/>
      <c r="Y649" s="103"/>
      <c r="Z649" s="103"/>
      <c r="AA649" s="103"/>
    </row>
    <row r="650" spans="1:27" ht="15.75" customHeight="1">
      <c r="A650" s="103"/>
      <c r="B650" s="103"/>
      <c r="C650" s="103"/>
      <c r="D650" s="103"/>
      <c r="E650" s="103"/>
      <c r="F650" s="124"/>
      <c r="G650" s="124"/>
      <c r="H650" s="103"/>
      <c r="I650" s="103"/>
      <c r="J650" s="103"/>
      <c r="K650" s="103"/>
      <c r="L650" s="103"/>
      <c r="M650" s="103"/>
      <c r="N650" s="103"/>
      <c r="O650" s="103"/>
      <c r="P650" s="103"/>
      <c r="Q650" s="103"/>
      <c r="R650" s="103"/>
      <c r="S650" s="103"/>
      <c r="T650" s="103"/>
      <c r="U650" s="103"/>
      <c r="V650" s="103"/>
      <c r="W650" s="103"/>
      <c r="X650" s="103"/>
      <c r="Y650" s="103"/>
      <c r="Z650" s="103"/>
      <c r="AA650" s="103"/>
    </row>
    <row r="651" spans="1:27" ht="15.75" customHeight="1">
      <c r="A651" s="103"/>
      <c r="B651" s="103"/>
      <c r="C651" s="103"/>
      <c r="D651" s="103"/>
      <c r="E651" s="103"/>
      <c r="F651" s="124"/>
      <c r="G651" s="124"/>
      <c r="H651" s="103"/>
      <c r="I651" s="103"/>
      <c r="J651" s="103"/>
      <c r="K651" s="103"/>
      <c r="L651" s="103"/>
      <c r="M651" s="103"/>
      <c r="N651" s="103"/>
      <c r="O651" s="103"/>
      <c r="P651" s="103"/>
      <c r="Q651" s="103"/>
      <c r="R651" s="103"/>
      <c r="S651" s="103"/>
      <c r="T651" s="103"/>
      <c r="U651" s="103"/>
      <c r="V651" s="103"/>
      <c r="W651" s="103"/>
      <c r="X651" s="103"/>
      <c r="Y651" s="103"/>
      <c r="Z651" s="103"/>
      <c r="AA651" s="103"/>
    </row>
    <row r="652" spans="1:27" ht="15.75" customHeight="1">
      <c r="A652" s="103"/>
      <c r="B652" s="103"/>
      <c r="C652" s="103"/>
      <c r="D652" s="103"/>
      <c r="E652" s="103"/>
      <c r="F652" s="124"/>
      <c r="G652" s="124"/>
      <c r="H652" s="103"/>
      <c r="I652" s="103"/>
      <c r="J652" s="103"/>
      <c r="K652" s="103"/>
      <c r="L652" s="103"/>
      <c r="M652" s="103"/>
      <c r="N652" s="103"/>
      <c r="O652" s="103"/>
      <c r="P652" s="103"/>
      <c r="Q652" s="103"/>
      <c r="R652" s="103"/>
      <c r="S652" s="103"/>
      <c r="T652" s="103"/>
      <c r="U652" s="103"/>
      <c r="V652" s="103"/>
      <c r="W652" s="103"/>
      <c r="X652" s="103"/>
      <c r="Y652" s="103"/>
      <c r="Z652" s="103"/>
      <c r="AA652" s="103"/>
    </row>
    <row r="653" spans="1:27" ht="15.75" customHeight="1">
      <c r="A653" s="103"/>
      <c r="B653" s="103"/>
      <c r="C653" s="103"/>
      <c r="D653" s="103"/>
      <c r="E653" s="103"/>
      <c r="F653" s="124"/>
      <c r="G653" s="124"/>
      <c r="H653" s="103"/>
      <c r="I653" s="103"/>
      <c r="J653" s="103"/>
      <c r="K653" s="103"/>
      <c r="L653" s="103"/>
      <c r="M653" s="103"/>
      <c r="N653" s="103"/>
      <c r="O653" s="103"/>
      <c r="P653" s="103"/>
      <c r="Q653" s="103"/>
      <c r="R653" s="103"/>
      <c r="S653" s="103"/>
      <c r="T653" s="103"/>
      <c r="U653" s="103"/>
      <c r="V653" s="103"/>
      <c r="W653" s="103"/>
      <c r="X653" s="103"/>
      <c r="Y653" s="103"/>
      <c r="Z653" s="103"/>
      <c r="AA653" s="103"/>
    </row>
    <row r="654" spans="1:27" ht="15.75" customHeight="1">
      <c r="A654" s="103"/>
      <c r="B654" s="103"/>
      <c r="C654" s="103"/>
      <c r="D654" s="103"/>
      <c r="E654" s="103"/>
      <c r="F654" s="124"/>
      <c r="G654" s="124"/>
      <c r="H654" s="103"/>
      <c r="I654" s="103"/>
      <c r="J654" s="103"/>
      <c r="K654" s="103"/>
      <c r="L654" s="103"/>
      <c r="M654" s="103"/>
      <c r="N654" s="103"/>
      <c r="O654" s="103"/>
      <c r="P654" s="103"/>
      <c r="Q654" s="103"/>
      <c r="R654" s="103"/>
      <c r="S654" s="103"/>
      <c r="T654" s="103"/>
      <c r="U654" s="103"/>
      <c r="V654" s="103"/>
      <c r="W654" s="103"/>
      <c r="X654" s="103"/>
      <c r="Y654" s="103"/>
      <c r="Z654" s="103"/>
      <c r="AA654" s="103"/>
    </row>
    <row r="655" spans="1:27" ht="15.75" customHeight="1">
      <c r="A655" s="103"/>
      <c r="B655" s="103"/>
      <c r="C655" s="103"/>
      <c r="D655" s="103"/>
      <c r="E655" s="103"/>
      <c r="F655" s="124"/>
      <c r="G655" s="124"/>
      <c r="H655" s="103"/>
      <c r="I655" s="103"/>
      <c r="J655" s="103"/>
      <c r="K655" s="103"/>
      <c r="L655" s="103"/>
      <c r="M655" s="103"/>
      <c r="N655" s="103"/>
      <c r="O655" s="103"/>
      <c r="P655" s="103"/>
      <c r="Q655" s="103"/>
      <c r="R655" s="103"/>
      <c r="S655" s="103"/>
      <c r="T655" s="103"/>
      <c r="U655" s="103"/>
      <c r="V655" s="103"/>
      <c r="W655" s="103"/>
      <c r="X655" s="103"/>
      <c r="Y655" s="103"/>
      <c r="Z655" s="103"/>
      <c r="AA655" s="103"/>
    </row>
    <row r="656" spans="1:27" ht="15.75" customHeight="1">
      <c r="A656" s="103"/>
      <c r="B656" s="103"/>
      <c r="C656" s="103"/>
      <c r="D656" s="103"/>
      <c r="E656" s="103"/>
      <c r="F656" s="124"/>
      <c r="G656" s="124"/>
      <c r="H656" s="103"/>
      <c r="I656" s="103"/>
      <c r="J656" s="103"/>
      <c r="K656" s="103"/>
      <c r="L656" s="103"/>
      <c r="M656" s="103"/>
      <c r="N656" s="103"/>
      <c r="O656" s="103"/>
      <c r="P656" s="103"/>
      <c r="Q656" s="103"/>
      <c r="R656" s="103"/>
      <c r="S656" s="103"/>
      <c r="T656" s="103"/>
      <c r="U656" s="103"/>
      <c r="V656" s="103"/>
      <c r="W656" s="103"/>
      <c r="X656" s="103"/>
      <c r="Y656" s="103"/>
      <c r="Z656" s="103"/>
      <c r="AA656" s="103"/>
    </row>
    <row r="657" spans="1:27" ht="15.75" customHeight="1">
      <c r="A657" s="103"/>
      <c r="B657" s="103"/>
      <c r="C657" s="103"/>
      <c r="D657" s="103"/>
      <c r="E657" s="103"/>
      <c r="F657" s="124"/>
      <c r="G657" s="124"/>
      <c r="H657" s="103"/>
      <c r="I657" s="103"/>
      <c r="J657" s="103"/>
      <c r="K657" s="103"/>
      <c r="L657" s="103"/>
      <c r="M657" s="103"/>
      <c r="N657" s="103"/>
      <c r="O657" s="103"/>
      <c r="P657" s="103"/>
      <c r="Q657" s="103"/>
      <c r="R657" s="103"/>
      <c r="S657" s="103"/>
      <c r="T657" s="103"/>
      <c r="U657" s="103"/>
      <c r="V657" s="103"/>
      <c r="W657" s="103"/>
      <c r="X657" s="103"/>
      <c r="Y657" s="103"/>
      <c r="Z657" s="103"/>
      <c r="AA657" s="103"/>
    </row>
    <row r="658" spans="1:27" ht="15.75" customHeight="1">
      <c r="A658" s="103"/>
      <c r="B658" s="103"/>
      <c r="C658" s="103"/>
      <c r="D658" s="103"/>
      <c r="E658" s="103"/>
      <c r="F658" s="124"/>
      <c r="G658" s="124"/>
      <c r="H658" s="103"/>
      <c r="I658" s="103"/>
      <c r="J658" s="103"/>
      <c r="K658" s="103"/>
      <c r="L658" s="103"/>
      <c r="M658" s="103"/>
      <c r="N658" s="103"/>
      <c r="O658" s="103"/>
      <c r="P658" s="103"/>
      <c r="Q658" s="103"/>
      <c r="R658" s="103"/>
      <c r="S658" s="103"/>
      <c r="T658" s="103"/>
      <c r="U658" s="103"/>
      <c r="V658" s="103"/>
      <c r="W658" s="103"/>
      <c r="X658" s="103"/>
      <c r="Y658" s="103"/>
      <c r="Z658" s="103"/>
      <c r="AA658" s="103"/>
    </row>
    <row r="659" spans="1:27" ht="15.75" customHeight="1">
      <c r="A659" s="103"/>
      <c r="B659" s="103"/>
      <c r="C659" s="103"/>
      <c r="D659" s="103"/>
      <c r="E659" s="103"/>
      <c r="F659" s="124"/>
      <c r="G659" s="124"/>
      <c r="H659" s="103"/>
      <c r="I659" s="103"/>
      <c r="J659" s="103"/>
      <c r="K659" s="103"/>
      <c r="L659" s="103"/>
      <c r="M659" s="103"/>
      <c r="N659" s="103"/>
      <c r="O659" s="103"/>
      <c r="P659" s="103"/>
      <c r="Q659" s="103"/>
      <c r="R659" s="103"/>
      <c r="S659" s="103"/>
      <c r="T659" s="103"/>
      <c r="U659" s="103"/>
      <c r="V659" s="103"/>
      <c r="W659" s="103"/>
      <c r="X659" s="103"/>
      <c r="Y659" s="103"/>
      <c r="Z659" s="103"/>
      <c r="AA659" s="103"/>
    </row>
    <row r="660" spans="1:27" ht="15.75" customHeight="1">
      <c r="A660" s="103"/>
      <c r="B660" s="103"/>
      <c r="C660" s="103"/>
      <c r="D660" s="103"/>
      <c r="E660" s="103"/>
      <c r="F660" s="124"/>
      <c r="G660" s="124"/>
      <c r="H660" s="103"/>
      <c r="I660" s="103"/>
      <c r="J660" s="103"/>
      <c r="K660" s="103"/>
      <c r="L660" s="103"/>
      <c r="M660" s="103"/>
      <c r="N660" s="103"/>
      <c r="O660" s="103"/>
      <c r="P660" s="103"/>
      <c r="Q660" s="103"/>
      <c r="R660" s="103"/>
      <c r="S660" s="103"/>
      <c r="T660" s="103"/>
      <c r="U660" s="103"/>
      <c r="V660" s="103"/>
      <c r="W660" s="103"/>
      <c r="X660" s="103"/>
      <c r="Y660" s="103"/>
      <c r="Z660" s="103"/>
      <c r="AA660" s="103"/>
    </row>
    <row r="661" spans="1:27" ht="15.75" customHeight="1">
      <c r="A661" s="103"/>
      <c r="B661" s="103"/>
      <c r="C661" s="103"/>
      <c r="D661" s="103"/>
      <c r="E661" s="103"/>
      <c r="F661" s="124"/>
      <c r="G661" s="124"/>
      <c r="H661" s="103"/>
      <c r="I661" s="103"/>
      <c r="J661" s="103"/>
      <c r="K661" s="103"/>
      <c r="L661" s="103"/>
      <c r="M661" s="103"/>
      <c r="N661" s="103"/>
      <c r="O661" s="103"/>
      <c r="P661" s="103"/>
      <c r="Q661" s="103"/>
      <c r="R661" s="103"/>
      <c r="S661" s="103"/>
      <c r="T661" s="103"/>
      <c r="U661" s="103"/>
      <c r="V661" s="103"/>
      <c r="W661" s="103"/>
      <c r="X661" s="103"/>
      <c r="Y661" s="103"/>
      <c r="Z661" s="103"/>
      <c r="AA661" s="103"/>
    </row>
    <row r="662" spans="1:27" ht="15.75" customHeight="1">
      <c r="A662" s="103"/>
      <c r="B662" s="103"/>
      <c r="C662" s="103"/>
      <c r="D662" s="103"/>
      <c r="E662" s="103"/>
      <c r="F662" s="124"/>
      <c r="G662" s="124"/>
      <c r="H662" s="103"/>
      <c r="I662" s="103"/>
      <c r="J662" s="103"/>
      <c r="K662" s="103"/>
      <c r="L662" s="103"/>
      <c r="M662" s="103"/>
      <c r="N662" s="103"/>
      <c r="O662" s="103"/>
      <c r="P662" s="103"/>
      <c r="Q662" s="103"/>
      <c r="R662" s="103"/>
      <c r="S662" s="103"/>
      <c r="T662" s="103"/>
      <c r="U662" s="103"/>
      <c r="V662" s="103"/>
      <c r="W662" s="103"/>
      <c r="X662" s="103"/>
      <c r="Y662" s="103"/>
      <c r="Z662" s="103"/>
      <c r="AA662" s="103"/>
    </row>
    <row r="663" spans="1:27" ht="15.75" customHeight="1">
      <c r="A663" s="103"/>
      <c r="B663" s="103"/>
      <c r="C663" s="103"/>
      <c r="D663" s="103"/>
      <c r="E663" s="103"/>
      <c r="F663" s="124"/>
      <c r="G663" s="124"/>
      <c r="H663" s="103"/>
      <c r="I663" s="103"/>
      <c r="J663" s="103"/>
      <c r="K663" s="103"/>
      <c r="L663" s="103"/>
      <c r="M663" s="103"/>
      <c r="N663" s="103"/>
      <c r="O663" s="103"/>
      <c r="P663" s="103"/>
      <c r="Q663" s="103"/>
      <c r="R663" s="103"/>
      <c r="S663" s="103"/>
      <c r="T663" s="103"/>
      <c r="U663" s="103"/>
      <c r="V663" s="103"/>
      <c r="W663" s="103"/>
      <c r="X663" s="103"/>
      <c r="Y663" s="103"/>
      <c r="Z663" s="103"/>
      <c r="AA663" s="103"/>
    </row>
    <row r="664" spans="1:27" ht="15.75" customHeight="1">
      <c r="A664" s="103"/>
      <c r="B664" s="103"/>
      <c r="C664" s="103"/>
      <c r="D664" s="103"/>
      <c r="E664" s="103"/>
      <c r="F664" s="124"/>
      <c r="G664" s="124"/>
      <c r="H664" s="103"/>
      <c r="I664" s="103"/>
      <c r="J664" s="103"/>
      <c r="K664" s="103"/>
      <c r="L664" s="103"/>
      <c r="M664" s="103"/>
      <c r="N664" s="103"/>
      <c r="O664" s="103"/>
      <c r="P664" s="103"/>
      <c r="Q664" s="103"/>
      <c r="R664" s="103"/>
      <c r="S664" s="103"/>
      <c r="T664" s="103"/>
      <c r="U664" s="103"/>
      <c r="V664" s="103"/>
      <c r="W664" s="103"/>
      <c r="X664" s="103"/>
      <c r="Y664" s="103"/>
      <c r="Z664" s="103"/>
      <c r="AA664" s="103"/>
    </row>
    <row r="665" spans="1:27" ht="15.75" customHeight="1">
      <c r="A665" s="103"/>
      <c r="B665" s="103"/>
      <c r="C665" s="103"/>
      <c r="D665" s="103"/>
      <c r="E665" s="103"/>
      <c r="F665" s="124"/>
      <c r="G665" s="124"/>
      <c r="H665" s="103"/>
      <c r="I665" s="103"/>
      <c r="J665" s="103"/>
      <c r="K665" s="103"/>
      <c r="L665" s="103"/>
      <c r="M665" s="103"/>
      <c r="N665" s="103"/>
      <c r="O665" s="103"/>
      <c r="P665" s="103"/>
      <c r="Q665" s="103"/>
      <c r="R665" s="103"/>
      <c r="S665" s="103"/>
      <c r="T665" s="103"/>
      <c r="U665" s="103"/>
      <c r="V665" s="103"/>
      <c r="W665" s="103"/>
      <c r="X665" s="103"/>
      <c r="Y665" s="103"/>
      <c r="Z665" s="103"/>
      <c r="AA665" s="103"/>
    </row>
    <row r="666" spans="1:27" ht="15.75" customHeight="1">
      <c r="A666" s="103"/>
      <c r="B666" s="103"/>
      <c r="C666" s="103"/>
      <c r="D666" s="103"/>
      <c r="E666" s="103"/>
      <c r="F666" s="124"/>
      <c r="G666" s="124"/>
      <c r="H666" s="103"/>
      <c r="I666" s="103"/>
      <c r="J666" s="103"/>
      <c r="K666" s="103"/>
      <c r="L666" s="103"/>
      <c r="M666" s="103"/>
      <c r="N666" s="103"/>
      <c r="O666" s="103"/>
      <c r="P666" s="103"/>
      <c r="Q666" s="103"/>
      <c r="R666" s="103"/>
      <c r="S666" s="103"/>
      <c r="T666" s="103"/>
      <c r="U666" s="103"/>
      <c r="V666" s="103"/>
      <c r="W666" s="103"/>
      <c r="X666" s="103"/>
      <c r="Y666" s="103"/>
      <c r="Z666" s="103"/>
      <c r="AA666" s="103"/>
    </row>
    <row r="667" spans="1:27" ht="15.75" customHeight="1">
      <c r="A667" s="103"/>
      <c r="B667" s="103"/>
      <c r="C667" s="103"/>
      <c r="D667" s="103"/>
      <c r="E667" s="103"/>
      <c r="F667" s="124"/>
      <c r="G667" s="124"/>
      <c r="H667" s="103"/>
      <c r="I667" s="103"/>
      <c r="J667" s="103"/>
      <c r="K667" s="103"/>
      <c r="L667" s="103"/>
      <c r="M667" s="103"/>
      <c r="N667" s="103"/>
      <c r="O667" s="103"/>
      <c r="P667" s="103"/>
      <c r="Q667" s="103"/>
      <c r="R667" s="103"/>
      <c r="S667" s="103"/>
      <c r="T667" s="103"/>
      <c r="U667" s="103"/>
      <c r="V667" s="103"/>
      <c r="W667" s="103"/>
      <c r="X667" s="103"/>
      <c r="Y667" s="103"/>
      <c r="Z667" s="103"/>
      <c r="AA667" s="103"/>
    </row>
    <row r="668" spans="1:27" ht="15.75" customHeight="1">
      <c r="A668" s="103"/>
      <c r="B668" s="103"/>
      <c r="C668" s="103"/>
      <c r="D668" s="103"/>
      <c r="E668" s="103"/>
      <c r="F668" s="124"/>
      <c r="G668" s="124"/>
      <c r="H668" s="103"/>
      <c r="I668" s="103"/>
      <c r="J668" s="103"/>
      <c r="K668" s="103"/>
      <c r="L668" s="103"/>
      <c r="M668" s="103"/>
      <c r="N668" s="103"/>
      <c r="O668" s="103"/>
      <c r="P668" s="103"/>
      <c r="Q668" s="103"/>
      <c r="R668" s="103"/>
      <c r="S668" s="103"/>
      <c r="T668" s="103"/>
      <c r="U668" s="103"/>
      <c r="V668" s="103"/>
      <c r="W668" s="103"/>
      <c r="X668" s="103"/>
      <c r="Y668" s="103"/>
      <c r="Z668" s="103"/>
      <c r="AA668" s="103"/>
    </row>
    <row r="669" spans="1:27" ht="15.75" customHeight="1">
      <c r="A669" s="103"/>
      <c r="B669" s="103"/>
      <c r="C669" s="103"/>
      <c r="D669" s="103"/>
      <c r="E669" s="103"/>
      <c r="F669" s="124"/>
      <c r="G669" s="124"/>
      <c r="H669" s="103"/>
      <c r="I669" s="103"/>
      <c r="J669" s="103"/>
      <c r="K669" s="103"/>
      <c r="L669" s="103"/>
      <c r="M669" s="103"/>
      <c r="N669" s="103"/>
      <c r="O669" s="103"/>
      <c r="P669" s="103"/>
      <c r="Q669" s="103"/>
      <c r="R669" s="103"/>
      <c r="S669" s="103"/>
      <c r="T669" s="103"/>
      <c r="U669" s="103"/>
      <c r="V669" s="103"/>
      <c r="W669" s="103"/>
      <c r="X669" s="103"/>
      <c r="Y669" s="103"/>
      <c r="Z669" s="103"/>
      <c r="AA669" s="103"/>
    </row>
    <row r="670" spans="1:27" ht="15.75" customHeight="1">
      <c r="A670" s="103"/>
      <c r="B670" s="103"/>
      <c r="C670" s="103"/>
      <c r="D670" s="103"/>
      <c r="E670" s="103"/>
      <c r="F670" s="124"/>
      <c r="G670" s="124"/>
      <c r="H670" s="103"/>
      <c r="I670" s="103"/>
      <c r="J670" s="103"/>
      <c r="K670" s="103"/>
      <c r="L670" s="103"/>
      <c r="M670" s="103"/>
      <c r="N670" s="103"/>
      <c r="O670" s="103"/>
      <c r="P670" s="103"/>
      <c r="Q670" s="103"/>
      <c r="R670" s="103"/>
      <c r="S670" s="103"/>
      <c r="T670" s="103"/>
      <c r="U670" s="103"/>
      <c r="V670" s="103"/>
      <c r="W670" s="103"/>
      <c r="X670" s="103"/>
      <c r="Y670" s="103"/>
      <c r="Z670" s="103"/>
      <c r="AA670" s="103"/>
    </row>
    <row r="671" spans="1:27" ht="15.75" customHeight="1">
      <c r="A671" s="103"/>
      <c r="B671" s="103"/>
      <c r="C671" s="103"/>
      <c r="D671" s="103"/>
      <c r="E671" s="103"/>
      <c r="F671" s="124"/>
      <c r="G671" s="124"/>
      <c r="H671" s="103"/>
      <c r="I671" s="103"/>
      <c r="J671" s="103"/>
      <c r="K671" s="103"/>
      <c r="L671" s="103"/>
      <c r="M671" s="103"/>
      <c r="N671" s="103"/>
      <c r="O671" s="103"/>
      <c r="P671" s="103"/>
      <c r="Q671" s="103"/>
      <c r="R671" s="103"/>
      <c r="S671" s="103"/>
      <c r="T671" s="103"/>
      <c r="U671" s="103"/>
      <c r="V671" s="103"/>
      <c r="W671" s="103"/>
      <c r="X671" s="103"/>
      <c r="Y671" s="103"/>
      <c r="Z671" s="103"/>
      <c r="AA671" s="103"/>
    </row>
    <row r="672" spans="1:27" ht="15.75" customHeight="1">
      <c r="A672" s="103"/>
      <c r="B672" s="103"/>
      <c r="C672" s="103"/>
      <c r="D672" s="103"/>
      <c r="E672" s="103"/>
      <c r="F672" s="124"/>
      <c r="G672" s="124"/>
      <c r="H672" s="103"/>
      <c r="I672" s="103"/>
      <c r="J672" s="103"/>
      <c r="K672" s="103"/>
      <c r="L672" s="103"/>
      <c r="M672" s="103"/>
      <c r="N672" s="103"/>
      <c r="O672" s="103"/>
      <c r="P672" s="103"/>
      <c r="Q672" s="103"/>
      <c r="R672" s="103"/>
      <c r="S672" s="103"/>
      <c r="T672" s="103"/>
      <c r="U672" s="103"/>
      <c r="V672" s="103"/>
      <c r="W672" s="103"/>
      <c r="X672" s="103"/>
      <c r="Y672" s="103"/>
      <c r="Z672" s="103"/>
      <c r="AA672" s="103"/>
    </row>
    <row r="673" spans="1:27" ht="15.75" customHeight="1">
      <c r="A673" s="103"/>
      <c r="B673" s="103"/>
      <c r="C673" s="103"/>
      <c r="D673" s="103"/>
      <c r="E673" s="103"/>
      <c r="F673" s="124"/>
      <c r="G673" s="124"/>
      <c r="H673" s="103"/>
      <c r="I673" s="103"/>
      <c r="J673" s="103"/>
      <c r="K673" s="103"/>
      <c r="L673" s="103"/>
      <c r="M673" s="103"/>
      <c r="N673" s="103"/>
      <c r="O673" s="103"/>
      <c r="P673" s="103"/>
      <c r="Q673" s="103"/>
      <c r="R673" s="103"/>
      <c r="S673" s="103"/>
      <c r="T673" s="103"/>
      <c r="U673" s="103"/>
      <c r="V673" s="103"/>
      <c r="W673" s="103"/>
      <c r="X673" s="103"/>
      <c r="Y673" s="103"/>
      <c r="Z673" s="103"/>
      <c r="AA673" s="103"/>
    </row>
    <row r="674" spans="1:27" ht="15.75" customHeight="1">
      <c r="A674" s="103"/>
      <c r="B674" s="103"/>
      <c r="C674" s="103"/>
      <c r="D674" s="103"/>
      <c r="E674" s="103"/>
      <c r="F674" s="124"/>
      <c r="G674" s="124"/>
      <c r="H674" s="103"/>
      <c r="I674" s="103"/>
      <c r="J674" s="103"/>
      <c r="K674" s="103"/>
      <c r="L674" s="103"/>
      <c r="M674" s="103"/>
      <c r="N674" s="103"/>
      <c r="O674" s="103"/>
      <c r="P674" s="103"/>
      <c r="Q674" s="103"/>
      <c r="R674" s="103"/>
      <c r="S674" s="103"/>
      <c r="T674" s="103"/>
      <c r="U674" s="103"/>
      <c r="V674" s="103"/>
      <c r="W674" s="103"/>
      <c r="X674" s="103"/>
      <c r="Y674" s="103"/>
      <c r="Z674" s="103"/>
      <c r="AA674" s="103"/>
    </row>
    <row r="675" spans="1:27" ht="15.75" customHeight="1">
      <c r="A675" s="103"/>
      <c r="B675" s="103"/>
      <c r="C675" s="103"/>
      <c r="D675" s="103"/>
      <c r="E675" s="103"/>
      <c r="F675" s="124"/>
      <c r="G675" s="124"/>
      <c r="H675" s="103"/>
      <c r="I675" s="103"/>
      <c r="J675" s="103"/>
      <c r="K675" s="103"/>
      <c r="L675" s="103"/>
      <c r="M675" s="103"/>
      <c r="N675" s="103"/>
      <c r="O675" s="103"/>
      <c r="P675" s="103"/>
      <c r="Q675" s="103"/>
      <c r="R675" s="103"/>
      <c r="S675" s="103"/>
      <c r="T675" s="103"/>
      <c r="U675" s="103"/>
      <c r="V675" s="103"/>
      <c r="W675" s="103"/>
      <c r="X675" s="103"/>
      <c r="Y675" s="103"/>
      <c r="Z675" s="103"/>
      <c r="AA675" s="103"/>
    </row>
    <row r="676" spans="1:27" ht="15.75" customHeight="1">
      <c r="A676" s="103"/>
      <c r="B676" s="103"/>
      <c r="C676" s="103"/>
      <c r="D676" s="103"/>
      <c r="E676" s="103"/>
      <c r="F676" s="124"/>
      <c r="G676" s="124"/>
      <c r="H676" s="103"/>
      <c r="I676" s="103"/>
      <c r="J676" s="103"/>
      <c r="K676" s="103"/>
      <c r="L676" s="103"/>
      <c r="M676" s="103"/>
      <c r="N676" s="103"/>
      <c r="O676" s="103"/>
      <c r="P676" s="103"/>
      <c r="Q676" s="103"/>
      <c r="R676" s="103"/>
      <c r="S676" s="103"/>
      <c r="T676" s="103"/>
      <c r="U676" s="103"/>
      <c r="V676" s="103"/>
      <c r="W676" s="103"/>
      <c r="X676" s="103"/>
      <c r="Y676" s="103"/>
      <c r="Z676" s="103"/>
      <c r="AA676" s="103"/>
    </row>
    <row r="677" spans="1:27" ht="15.75" customHeight="1">
      <c r="A677" s="103"/>
      <c r="B677" s="103"/>
      <c r="C677" s="103"/>
      <c r="D677" s="103"/>
      <c r="E677" s="103"/>
      <c r="F677" s="124"/>
      <c r="G677" s="124"/>
      <c r="H677" s="103"/>
      <c r="I677" s="103"/>
      <c r="J677" s="103"/>
      <c r="K677" s="103"/>
      <c r="L677" s="103"/>
      <c r="M677" s="103"/>
      <c r="N677" s="103"/>
      <c r="O677" s="103"/>
      <c r="P677" s="103"/>
      <c r="Q677" s="103"/>
      <c r="R677" s="103"/>
      <c r="S677" s="103"/>
      <c r="T677" s="103"/>
      <c r="U677" s="103"/>
      <c r="V677" s="103"/>
      <c r="W677" s="103"/>
      <c r="X677" s="103"/>
      <c r="Y677" s="103"/>
      <c r="Z677" s="103"/>
      <c r="AA677" s="103"/>
    </row>
    <row r="678" spans="1:27" ht="15.75" customHeight="1">
      <c r="A678" s="103"/>
      <c r="B678" s="103"/>
      <c r="C678" s="103"/>
      <c r="D678" s="103"/>
      <c r="E678" s="103"/>
      <c r="F678" s="124"/>
      <c r="G678" s="124"/>
      <c r="H678" s="103"/>
      <c r="I678" s="103"/>
      <c r="J678" s="103"/>
      <c r="K678" s="103"/>
      <c r="L678" s="103"/>
      <c r="M678" s="103"/>
      <c r="N678" s="103"/>
      <c r="O678" s="103"/>
      <c r="P678" s="103"/>
      <c r="Q678" s="103"/>
      <c r="R678" s="103"/>
      <c r="S678" s="103"/>
      <c r="T678" s="103"/>
      <c r="U678" s="103"/>
      <c r="V678" s="103"/>
      <c r="W678" s="103"/>
      <c r="X678" s="103"/>
      <c r="Y678" s="103"/>
      <c r="Z678" s="103"/>
      <c r="AA678" s="103"/>
    </row>
    <row r="679" spans="1:27" ht="15.75" customHeight="1">
      <c r="A679" s="103"/>
      <c r="B679" s="103"/>
      <c r="C679" s="103"/>
      <c r="D679" s="103"/>
      <c r="E679" s="103"/>
      <c r="F679" s="124"/>
      <c r="G679" s="124"/>
      <c r="H679" s="103"/>
      <c r="I679" s="103"/>
      <c r="J679" s="103"/>
      <c r="K679" s="103"/>
      <c r="L679" s="103"/>
      <c r="M679" s="103"/>
      <c r="N679" s="103"/>
      <c r="O679" s="103"/>
      <c r="P679" s="103"/>
      <c r="Q679" s="103"/>
      <c r="R679" s="103"/>
      <c r="S679" s="103"/>
      <c r="T679" s="103"/>
      <c r="U679" s="103"/>
      <c r="V679" s="103"/>
      <c r="W679" s="103"/>
      <c r="X679" s="103"/>
      <c r="Y679" s="103"/>
      <c r="Z679" s="103"/>
      <c r="AA679" s="103"/>
    </row>
    <row r="680" spans="1:27" ht="15.75" customHeight="1">
      <c r="A680" s="103"/>
      <c r="B680" s="103"/>
      <c r="C680" s="103"/>
      <c r="D680" s="103"/>
      <c r="E680" s="103"/>
      <c r="F680" s="124"/>
      <c r="G680" s="124"/>
      <c r="H680" s="103"/>
      <c r="I680" s="103"/>
      <c r="J680" s="103"/>
      <c r="K680" s="103"/>
      <c r="L680" s="103"/>
      <c r="M680" s="103"/>
      <c r="N680" s="103"/>
      <c r="O680" s="103"/>
      <c r="P680" s="103"/>
      <c r="Q680" s="103"/>
      <c r="R680" s="103"/>
      <c r="S680" s="103"/>
      <c r="T680" s="103"/>
      <c r="U680" s="103"/>
      <c r="V680" s="103"/>
      <c r="W680" s="103"/>
      <c r="X680" s="103"/>
      <c r="Y680" s="103"/>
      <c r="Z680" s="103"/>
      <c r="AA680" s="103"/>
    </row>
    <row r="681" spans="1:27" ht="15.75" customHeight="1">
      <c r="A681" s="103"/>
      <c r="B681" s="103"/>
      <c r="C681" s="103"/>
      <c r="D681" s="103"/>
      <c r="E681" s="103"/>
      <c r="F681" s="124"/>
      <c r="G681" s="124"/>
      <c r="H681" s="103"/>
      <c r="I681" s="103"/>
      <c r="J681" s="103"/>
      <c r="K681" s="103"/>
      <c r="L681" s="103"/>
      <c r="M681" s="103"/>
      <c r="N681" s="103"/>
      <c r="O681" s="103"/>
      <c r="P681" s="103"/>
      <c r="Q681" s="103"/>
      <c r="R681" s="103"/>
      <c r="S681" s="103"/>
      <c r="T681" s="103"/>
      <c r="U681" s="103"/>
      <c r="V681" s="103"/>
      <c r="W681" s="103"/>
      <c r="X681" s="103"/>
      <c r="Y681" s="103"/>
      <c r="Z681" s="103"/>
      <c r="AA681" s="103"/>
    </row>
    <row r="682" spans="1:27" ht="15.75" customHeight="1">
      <c r="A682" s="103"/>
      <c r="B682" s="103"/>
      <c r="C682" s="103"/>
      <c r="D682" s="103"/>
      <c r="E682" s="103"/>
      <c r="F682" s="124"/>
      <c r="G682" s="124"/>
      <c r="H682" s="103"/>
      <c r="I682" s="103"/>
      <c r="J682" s="103"/>
      <c r="K682" s="103"/>
      <c r="L682" s="103"/>
      <c r="M682" s="103"/>
      <c r="N682" s="103"/>
      <c r="O682" s="103"/>
      <c r="P682" s="103"/>
      <c r="Q682" s="103"/>
      <c r="R682" s="103"/>
      <c r="S682" s="103"/>
      <c r="T682" s="103"/>
      <c r="U682" s="103"/>
      <c r="V682" s="103"/>
      <c r="W682" s="103"/>
      <c r="X682" s="103"/>
      <c r="Y682" s="103"/>
      <c r="Z682" s="103"/>
      <c r="AA682" s="103"/>
    </row>
    <row r="683" spans="1:27" ht="15.75" customHeight="1">
      <c r="A683" s="103"/>
      <c r="B683" s="103"/>
      <c r="C683" s="103"/>
      <c r="D683" s="103"/>
      <c r="E683" s="103"/>
      <c r="F683" s="124"/>
      <c r="G683" s="124"/>
      <c r="H683" s="103"/>
      <c r="I683" s="103"/>
      <c r="J683" s="103"/>
      <c r="K683" s="103"/>
      <c r="L683" s="103"/>
      <c r="M683" s="103"/>
      <c r="N683" s="103"/>
      <c r="O683" s="103"/>
      <c r="P683" s="103"/>
      <c r="Q683" s="103"/>
      <c r="R683" s="103"/>
      <c r="S683" s="103"/>
      <c r="T683" s="103"/>
      <c r="U683" s="103"/>
      <c r="V683" s="103"/>
      <c r="W683" s="103"/>
      <c r="X683" s="103"/>
      <c r="Y683" s="103"/>
      <c r="Z683" s="103"/>
      <c r="AA683" s="103"/>
    </row>
    <row r="684" spans="1:27" ht="15.75" customHeight="1">
      <c r="A684" s="103"/>
      <c r="B684" s="103"/>
      <c r="C684" s="103"/>
      <c r="D684" s="103"/>
      <c r="E684" s="103"/>
      <c r="F684" s="124"/>
      <c r="G684" s="124"/>
      <c r="H684" s="103"/>
      <c r="I684" s="103"/>
      <c r="J684" s="103"/>
      <c r="K684" s="103"/>
      <c r="L684" s="103"/>
      <c r="M684" s="103"/>
      <c r="N684" s="103"/>
      <c r="O684" s="103"/>
      <c r="P684" s="103"/>
      <c r="Q684" s="103"/>
      <c r="R684" s="103"/>
      <c r="S684" s="103"/>
      <c r="T684" s="103"/>
      <c r="U684" s="103"/>
      <c r="V684" s="103"/>
      <c r="W684" s="103"/>
      <c r="X684" s="103"/>
      <c r="Y684" s="103"/>
      <c r="Z684" s="103"/>
      <c r="AA684" s="103"/>
    </row>
    <row r="685" spans="1:27" ht="15.75" customHeight="1">
      <c r="A685" s="103"/>
      <c r="B685" s="103"/>
      <c r="C685" s="103"/>
      <c r="D685" s="103"/>
      <c r="E685" s="103"/>
      <c r="F685" s="124"/>
      <c r="G685" s="124"/>
      <c r="H685" s="103"/>
      <c r="I685" s="103"/>
      <c r="J685" s="103"/>
      <c r="K685" s="103"/>
      <c r="L685" s="103"/>
      <c r="M685" s="103"/>
      <c r="N685" s="103"/>
      <c r="O685" s="103"/>
      <c r="P685" s="103"/>
      <c r="Q685" s="103"/>
      <c r="R685" s="103"/>
      <c r="S685" s="103"/>
      <c r="T685" s="103"/>
      <c r="U685" s="103"/>
      <c r="V685" s="103"/>
      <c r="W685" s="103"/>
      <c r="X685" s="103"/>
      <c r="Y685" s="103"/>
      <c r="Z685" s="103"/>
      <c r="AA685" s="103"/>
    </row>
    <row r="686" spans="1:27" ht="15.75" customHeight="1">
      <c r="A686" s="103"/>
      <c r="B686" s="103"/>
      <c r="C686" s="103"/>
      <c r="D686" s="103"/>
      <c r="E686" s="103"/>
      <c r="F686" s="124"/>
      <c r="G686" s="124"/>
      <c r="H686" s="103"/>
      <c r="I686" s="103"/>
      <c r="J686" s="103"/>
      <c r="K686" s="103"/>
      <c r="L686" s="103"/>
      <c r="M686" s="103"/>
      <c r="N686" s="103"/>
      <c r="O686" s="103"/>
      <c r="P686" s="103"/>
      <c r="Q686" s="103"/>
      <c r="R686" s="103"/>
      <c r="S686" s="103"/>
      <c r="T686" s="103"/>
      <c r="U686" s="103"/>
      <c r="V686" s="103"/>
      <c r="W686" s="103"/>
      <c r="X686" s="103"/>
      <c r="Y686" s="103"/>
      <c r="Z686" s="103"/>
      <c r="AA686" s="103"/>
    </row>
    <row r="687" spans="1:27" ht="15.75" customHeight="1">
      <c r="A687" s="103"/>
      <c r="B687" s="103"/>
      <c r="C687" s="103"/>
      <c r="D687" s="103"/>
      <c r="E687" s="103"/>
      <c r="F687" s="124"/>
      <c r="G687" s="124"/>
      <c r="H687" s="103"/>
      <c r="I687" s="103"/>
      <c r="J687" s="103"/>
      <c r="K687" s="103"/>
      <c r="L687" s="103"/>
      <c r="M687" s="103"/>
      <c r="N687" s="103"/>
      <c r="O687" s="103"/>
      <c r="P687" s="103"/>
      <c r="Q687" s="103"/>
      <c r="R687" s="103"/>
      <c r="S687" s="103"/>
      <c r="T687" s="103"/>
      <c r="U687" s="103"/>
      <c r="V687" s="103"/>
      <c r="W687" s="103"/>
      <c r="X687" s="103"/>
      <c r="Y687" s="103"/>
      <c r="Z687" s="103"/>
      <c r="AA687" s="103"/>
    </row>
    <row r="688" spans="1:27" ht="15.75" customHeight="1">
      <c r="A688" s="103"/>
      <c r="B688" s="103"/>
      <c r="C688" s="103"/>
      <c r="D688" s="103"/>
      <c r="E688" s="103"/>
      <c r="F688" s="124"/>
      <c r="G688" s="124"/>
      <c r="H688" s="103"/>
      <c r="I688" s="103"/>
      <c r="J688" s="103"/>
      <c r="K688" s="103"/>
      <c r="L688" s="103"/>
      <c r="M688" s="103"/>
      <c r="N688" s="103"/>
      <c r="O688" s="103"/>
      <c r="P688" s="103"/>
      <c r="Q688" s="103"/>
      <c r="R688" s="103"/>
      <c r="S688" s="103"/>
      <c r="T688" s="103"/>
      <c r="U688" s="103"/>
      <c r="V688" s="103"/>
      <c r="W688" s="103"/>
      <c r="X688" s="103"/>
      <c r="Y688" s="103"/>
      <c r="Z688" s="103"/>
      <c r="AA688" s="103"/>
    </row>
    <row r="689" spans="1:27" ht="15.75" customHeight="1">
      <c r="A689" s="103"/>
      <c r="B689" s="103"/>
      <c r="C689" s="103"/>
      <c r="D689" s="103"/>
      <c r="E689" s="103"/>
      <c r="F689" s="124"/>
      <c r="G689" s="124"/>
      <c r="H689" s="103"/>
      <c r="I689" s="103"/>
      <c r="J689" s="103"/>
      <c r="K689" s="103"/>
      <c r="L689" s="103"/>
      <c r="M689" s="103"/>
      <c r="N689" s="103"/>
      <c r="O689" s="103"/>
      <c r="P689" s="103"/>
      <c r="Q689" s="103"/>
      <c r="R689" s="103"/>
      <c r="S689" s="103"/>
      <c r="T689" s="103"/>
      <c r="U689" s="103"/>
      <c r="V689" s="103"/>
      <c r="W689" s="103"/>
      <c r="X689" s="103"/>
      <c r="Y689" s="103"/>
      <c r="Z689" s="103"/>
      <c r="AA689" s="103"/>
    </row>
    <row r="690" spans="1:27" ht="15.75" customHeight="1">
      <c r="A690" s="103"/>
      <c r="B690" s="103"/>
      <c r="C690" s="103"/>
      <c r="D690" s="103"/>
      <c r="E690" s="103"/>
      <c r="F690" s="124"/>
      <c r="G690" s="124"/>
      <c r="H690" s="103"/>
      <c r="I690" s="103"/>
      <c r="J690" s="103"/>
      <c r="K690" s="103"/>
      <c r="L690" s="103"/>
      <c r="M690" s="103"/>
      <c r="N690" s="103"/>
      <c r="O690" s="103"/>
      <c r="P690" s="103"/>
      <c r="Q690" s="103"/>
      <c r="R690" s="103"/>
      <c r="S690" s="103"/>
      <c r="T690" s="103"/>
      <c r="U690" s="103"/>
      <c r="V690" s="103"/>
      <c r="W690" s="103"/>
      <c r="X690" s="103"/>
      <c r="Y690" s="103"/>
      <c r="Z690" s="103"/>
      <c r="AA690" s="103"/>
    </row>
    <row r="691" spans="1:27" ht="15.75" customHeight="1">
      <c r="A691" s="103"/>
      <c r="B691" s="103"/>
      <c r="C691" s="103"/>
      <c r="D691" s="103"/>
      <c r="E691" s="103"/>
      <c r="F691" s="124"/>
      <c r="G691" s="124"/>
      <c r="H691" s="103"/>
      <c r="I691" s="103"/>
      <c r="J691" s="103"/>
      <c r="K691" s="103"/>
      <c r="L691" s="103"/>
      <c r="M691" s="103"/>
      <c r="N691" s="103"/>
      <c r="O691" s="103"/>
      <c r="P691" s="103"/>
      <c r="Q691" s="103"/>
      <c r="R691" s="103"/>
      <c r="S691" s="103"/>
      <c r="T691" s="103"/>
      <c r="U691" s="103"/>
      <c r="V691" s="103"/>
      <c r="W691" s="103"/>
      <c r="X691" s="103"/>
      <c r="Y691" s="103"/>
      <c r="Z691" s="103"/>
      <c r="AA691" s="103"/>
    </row>
    <row r="692" spans="1:27" ht="15.75" customHeight="1">
      <c r="A692" s="103"/>
      <c r="B692" s="103"/>
      <c r="C692" s="103"/>
      <c r="D692" s="103"/>
      <c r="E692" s="103"/>
      <c r="F692" s="124"/>
      <c r="G692" s="124"/>
      <c r="H692" s="103"/>
      <c r="I692" s="103"/>
      <c r="J692" s="103"/>
      <c r="K692" s="103"/>
      <c r="L692" s="103"/>
      <c r="M692" s="103"/>
      <c r="N692" s="103"/>
      <c r="O692" s="103"/>
      <c r="P692" s="103"/>
      <c r="Q692" s="103"/>
      <c r="R692" s="103"/>
      <c r="S692" s="103"/>
      <c r="T692" s="103"/>
      <c r="U692" s="103"/>
      <c r="V692" s="103"/>
      <c r="W692" s="103"/>
      <c r="X692" s="103"/>
      <c r="Y692" s="103"/>
      <c r="Z692" s="103"/>
      <c r="AA692" s="103"/>
    </row>
    <row r="693" spans="1:27" ht="15.75" customHeight="1">
      <c r="A693" s="103"/>
      <c r="B693" s="103"/>
      <c r="C693" s="103"/>
      <c r="D693" s="103"/>
      <c r="E693" s="103"/>
      <c r="F693" s="124"/>
      <c r="G693" s="124"/>
      <c r="H693" s="103"/>
      <c r="I693" s="103"/>
      <c r="J693" s="103"/>
      <c r="K693" s="103"/>
      <c r="L693" s="103"/>
      <c r="M693" s="103"/>
      <c r="N693" s="103"/>
      <c r="O693" s="103"/>
      <c r="P693" s="103"/>
      <c r="Q693" s="103"/>
      <c r="R693" s="103"/>
      <c r="S693" s="103"/>
      <c r="T693" s="103"/>
      <c r="U693" s="103"/>
      <c r="V693" s="103"/>
      <c r="W693" s="103"/>
      <c r="X693" s="103"/>
      <c r="Y693" s="103"/>
      <c r="Z693" s="103"/>
      <c r="AA693" s="103"/>
    </row>
    <row r="694" spans="1:27" ht="15.75" customHeight="1">
      <c r="A694" s="103"/>
      <c r="B694" s="103"/>
      <c r="C694" s="103"/>
      <c r="D694" s="103"/>
      <c r="E694" s="103"/>
      <c r="F694" s="124"/>
      <c r="G694" s="124"/>
      <c r="H694" s="103"/>
      <c r="I694" s="103"/>
      <c r="J694" s="103"/>
      <c r="K694" s="103"/>
      <c r="L694" s="103"/>
      <c r="M694" s="103"/>
      <c r="N694" s="103"/>
      <c r="O694" s="103"/>
      <c r="P694" s="103"/>
      <c r="Q694" s="103"/>
      <c r="R694" s="103"/>
      <c r="S694" s="103"/>
      <c r="T694" s="103"/>
      <c r="U694" s="103"/>
      <c r="V694" s="103"/>
      <c r="W694" s="103"/>
      <c r="X694" s="103"/>
      <c r="Y694" s="103"/>
      <c r="Z694" s="103"/>
      <c r="AA694" s="103"/>
    </row>
    <row r="695" spans="1:27" ht="15.75" customHeight="1">
      <c r="A695" s="103"/>
      <c r="B695" s="103"/>
      <c r="C695" s="103"/>
      <c r="D695" s="103"/>
      <c r="E695" s="103"/>
      <c r="F695" s="124"/>
      <c r="G695" s="124"/>
      <c r="H695" s="103"/>
      <c r="I695" s="103"/>
      <c r="J695" s="103"/>
      <c r="K695" s="103"/>
      <c r="L695" s="103"/>
      <c r="M695" s="103"/>
      <c r="N695" s="103"/>
      <c r="O695" s="103"/>
      <c r="P695" s="103"/>
      <c r="Q695" s="103"/>
      <c r="R695" s="103"/>
      <c r="S695" s="103"/>
      <c r="T695" s="103"/>
      <c r="U695" s="103"/>
      <c r="V695" s="103"/>
      <c r="W695" s="103"/>
      <c r="X695" s="103"/>
      <c r="Y695" s="103"/>
      <c r="Z695" s="103"/>
      <c r="AA695" s="103"/>
    </row>
    <row r="696" spans="1:27" ht="15.75" customHeight="1">
      <c r="A696" s="103"/>
      <c r="B696" s="103"/>
      <c r="C696" s="103"/>
      <c r="D696" s="103"/>
      <c r="E696" s="103"/>
      <c r="F696" s="124"/>
      <c r="G696" s="124"/>
      <c r="H696" s="103"/>
      <c r="I696" s="103"/>
      <c r="J696" s="103"/>
      <c r="K696" s="103"/>
      <c r="L696" s="103"/>
      <c r="M696" s="103"/>
      <c r="N696" s="103"/>
      <c r="O696" s="103"/>
      <c r="P696" s="103"/>
      <c r="Q696" s="103"/>
      <c r="R696" s="103"/>
      <c r="S696" s="103"/>
      <c r="T696" s="103"/>
      <c r="U696" s="103"/>
      <c r="V696" s="103"/>
      <c r="W696" s="103"/>
      <c r="X696" s="103"/>
      <c r="Y696" s="103"/>
      <c r="Z696" s="103"/>
      <c r="AA696" s="103"/>
    </row>
    <row r="697" spans="1:27" ht="15.75" customHeight="1">
      <c r="A697" s="103"/>
      <c r="B697" s="103"/>
      <c r="C697" s="103"/>
      <c r="D697" s="103"/>
      <c r="E697" s="103"/>
      <c r="F697" s="124"/>
      <c r="G697" s="124"/>
      <c r="H697" s="103"/>
      <c r="I697" s="103"/>
      <c r="J697" s="103"/>
      <c r="K697" s="103"/>
      <c r="L697" s="103"/>
      <c r="M697" s="103"/>
      <c r="N697" s="103"/>
      <c r="O697" s="103"/>
      <c r="P697" s="103"/>
      <c r="Q697" s="103"/>
      <c r="R697" s="103"/>
      <c r="S697" s="103"/>
      <c r="T697" s="103"/>
      <c r="U697" s="103"/>
      <c r="V697" s="103"/>
      <c r="W697" s="103"/>
      <c r="X697" s="103"/>
      <c r="Y697" s="103"/>
      <c r="Z697" s="103"/>
      <c r="AA697" s="103"/>
    </row>
    <row r="698" spans="1:27" ht="15.75" customHeight="1">
      <c r="A698" s="103"/>
      <c r="B698" s="103"/>
      <c r="C698" s="103"/>
      <c r="D698" s="103"/>
      <c r="E698" s="103"/>
      <c r="F698" s="124"/>
      <c r="G698" s="124"/>
      <c r="H698" s="103"/>
      <c r="I698" s="103"/>
      <c r="J698" s="103"/>
      <c r="K698" s="103"/>
      <c r="L698" s="103"/>
      <c r="M698" s="103"/>
      <c r="N698" s="103"/>
      <c r="O698" s="103"/>
      <c r="P698" s="103"/>
      <c r="Q698" s="103"/>
      <c r="R698" s="103"/>
      <c r="S698" s="103"/>
      <c r="T698" s="103"/>
      <c r="U698" s="103"/>
      <c r="V698" s="103"/>
      <c r="W698" s="103"/>
      <c r="X698" s="103"/>
      <c r="Y698" s="103"/>
      <c r="Z698" s="103"/>
      <c r="AA698" s="103"/>
    </row>
    <row r="699" spans="1:27" ht="15.75" customHeight="1">
      <c r="A699" s="103"/>
      <c r="B699" s="103"/>
      <c r="C699" s="103"/>
      <c r="D699" s="103"/>
      <c r="E699" s="103"/>
      <c r="F699" s="124"/>
      <c r="G699" s="124"/>
      <c r="H699" s="103"/>
      <c r="I699" s="103"/>
      <c r="J699" s="103"/>
      <c r="K699" s="103"/>
      <c r="L699" s="103"/>
      <c r="M699" s="103"/>
      <c r="N699" s="103"/>
      <c r="O699" s="103"/>
      <c r="P699" s="103"/>
      <c r="Q699" s="103"/>
      <c r="R699" s="103"/>
      <c r="S699" s="103"/>
      <c r="T699" s="103"/>
      <c r="U699" s="103"/>
      <c r="V699" s="103"/>
      <c r="W699" s="103"/>
      <c r="X699" s="103"/>
      <c r="Y699" s="103"/>
      <c r="Z699" s="103"/>
      <c r="AA699" s="103"/>
    </row>
    <row r="700" spans="1:27" ht="15.75" customHeight="1">
      <c r="A700" s="103"/>
      <c r="B700" s="103"/>
      <c r="C700" s="103"/>
      <c r="D700" s="103"/>
      <c r="E700" s="103"/>
      <c r="F700" s="124"/>
      <c r="G700" s="124"/>
      <c r="H700" s="103"/>
      <c r="I700" s="103"/>
      <c r="J700" s="103"/>
      <c r="K700" s="103"/>
      <c r="L700" s="103"/>
      <c r="M700" s="103"/>
      <c r="N700" s="103"/>
      <c r="O700" s="103"/>
      <c r="P700" s="103"/>
      <c r="Q700" s="103"/>
      <c r="R700" s="103"/>
      <c r="S700" s="103"/>
      <c r="T700" s="103"/>
      <c r="U700" s="103"/>
      <c r="V700" s="103"/>
      <c r="W700" s="103"/>
      <c r="X700" s="103"/>
      <c r="Y700" s="103"/>
      <c r="Z700" s="103"/>
      <c r="AA700" s="103"/>
    </row>
    <row r="701" spans="1:27" ht="15.75" customHeight="1">
      <c r="A701" s="103"/>
      <c r="B701" s="103"/>
      <c r="C701" s="103"/>
      <c r="D701" s="103"/>
      <c r="E701" s="103"/>
      <c r="F701" s="124"/>
      <c r="G701" s="124"/>
      <c r="H701" s="103"/>
      <c r="I701" s="103"/>
      <c r="J701" s="103"/>
      <c r="K701" s="103"/>
      <c r="L701" s="103"/>
      <c r="M701" s="103"/>
      <c r="N701" s="103"/>
      <c r="O701" s="103"/>
      <c r="P701" s="103"/>
      <c r="Q701" s="103"/>
      <c r="R701" s="103"/>
      <c r="S701" s="103"/>
      <c r="T701" s="103"/>
      <c r="U701" s="103"/>
      <c r="V701" s="103"/>
      <c r="W701" s="103"/>
      <c r="X701" s="103"/>
      <c r="Y701" s="103"/>
      <c r="Z701" s="103"/>
      <c r="AA701" s="103"/>
    </row>
    <row r="702" spans="1:27" ht="15.75" customHeight="1">
      <c r="A702" s="103"/>
      <c r="B702" s="103"/>
      <c r="C702" s="103"/>
      <c r="D702" s="103"/>
      <c r="E702" s="103"/>
      <c r="F702" s="124"/>
      <c r="G702" s="124"/>
      <c r="H702" s="103"/>
      <c r="I702" s="103"/>
      <c r="J702" s="103"/>
      <c r="K702" s="103"/>
      <c r="L702" s="103"/>
      <c r="M702" s="103"/>
      <c r="N702" s="103"/>
      <c r="O702" s="103"/>
      <c r="P702" s="103"/>
      <c r="Q702" s="103"/>
      <c r="R702" s="103"/>
      <c r="S702" s="103"/>
      <c r="T702" s="103"/>
      <c r="U702" s="103"/>
      <c r="V702" s="103"/>
      <c r="W702" s="103"/>
      <c r="X702" s="103"/>
      <c r="Y702" s="103"/>
      <c r="Z702" s="103"/>
      <c r="AA702" s="103"/>
    </row>
    <row r="703" spans="1:27" ht="15.75" customHeight="1">
      <c r="A703" s="103"/>
      <c r="B703" s="103"/>
      <c r="C703" s="103"/>
      <c r="D703" s="103"/>
      <c r="E703" s="103"/>
      <c r="F703" s="124"/>
      <c r="G703" s="124"/>
      <c r="H703" s="103"/>
      <c r="I703" s="103"/>
      <c r="J703" s="103"/>
      <c r="K703" s="103"/>
      <c r="L703" s="103"/>
      <c r="M703" s="103"/>
      <c r="N703" s="103"/>
      <c r="O703" s="103"/>
      <c r="P703" s="103"/>
      <c r="Q703" s="103"/>
      <c r="R703" s="103"/>
      <c r="S703" s="103"/>
      <c r="T703" s="103"/>
      <c r="U703" s="103"/>
      <c r="V703" s="103"/>
      <c r="W703" s="103"/>
      <c r="X703" s="103"/>
      <c r="Y703" s="103"/>
      <c r="Z703" s="103"/>
      <c r="AA703" s="103"/>
    </row>
    <row r="704" spans="1:27" ht="15.75" customHeight="1">
      <c r="A704" s="103"/>
      <c r="B704" s="103"/>
      <c r="C704" s="103"/>
      <c r="D704" s="103"/>
      <c r="E704" s="103"/>
      <c r="F704" s="124"/>
      <c r="G704" s="124"/>
      <c r="H704" s="103"/>
      <c r="I704" s="103"/>
      <c r="J704" s="103"/>
      <c r="K704" s="103"/>
      <c r="L704" s="103"/>
      <c r="M704" s="103"/>
      <c r="N704" s="103"/>
      <c r="O704" s="103"/>
      <c r="P704" s="103"/>
      <c r="Q704" s="103"/>
      <c r="R704" s="103"/>
      <c r="S704" s="103"/>
      <c r="T704" s="103"/>
      <c r="U704" s="103"/>
      <c r="V704" s="103"/>
      <c r="W704" s="103"/>
      <c r="X704" s="103"/>
      <c r="Y704" s="103"/>
      <c r="Z704" s="103"/>
      <c r="AA704" s="103"/>
    </row>
    <row r="705" spans="1:27" ht="15.75" customHeight="1">
      <c r="A705" s="103"/>
      <c r="B705" s="103"/>
      <c r="C705" s="103"/>
      <c r="D705" s="103"/>
      <c r="E705" s="103"/>
      <c r="F705" s="124"/>
      <c r="G705" s="124"/>
      <c r="H705" s="103"/>
      <c r="I705" s="103"/>
      <c r="J705" s="103"/>
      <c r="K705" s="103"/>
      <c r="L705" s="103"/>
      <c r="M705" s="103"/>
      <c r="N705" s="103"/>
      <c r="O705" s="103"/>
      <c r="P705" s="103"/>
      <c r="Q705" s="103"/>
      <c r="R705" s="103"/>
      <c r="S705" s="103"/>
      <c r="T705" s="103"/>
      <c r="U705" s="103"/>
      <c r="V705" s="103"/>
      <c r="W705" s="103"/>
      <c r="X705" s="103"/>
      <c r="Y705" s="103"/>
      <c r="Z705" s="103"/>
      <c r="AA705" s="103"/>
    </row>
    <row r="706" spans="1:27" ht="15.75" customHeight="1">
      <c r="A706" s="103"/>
      <c r="B706" s="103"/>
      <c r="C706" s="103"/>
      <c r="D706" s="103"/>
      <c r="E706" s="103"/>
      <c r="F706" s="124"/>
      <c r="G706" s="124"/>
      <c r="H706" s="103"/>
      <c r="I706" s="103"/>
      <c r="J706" s="103"/>
      <c r="K706" s="103"/>
      <c r="L706" s="103"/>
      <c r="M706" s="103"/>
      <c r="N706" s="103"/>
      <c r="O706" s="103"/>
      <c r="P706" s="103"/>
      <c r="Q706" s="103"/>
      <c r="R706" s="103"/>
      <c r="S706" s="103"/>
      <c r="T706" s="103"/>
      <c r="U706" s="103"/>
      <c r="V706" s="103"/>
      <c r="W706" s="103"/>
      <c r="X706" s="103"/>
      <c r="Y706" s="103"/>
      <c r="Z706" s="103"/>
      <c r="AA706" s="103"/>
    </row>
    <row r="707" spans="1:27" ht="15.75" customHeight="1">
      <c r="A707" s="103"/>
      <c r="B707" s="103"/>
      <c r="C707" s="103"/>
      <c r="D707" s="103"/>
      <c r="E707" s="103"/>
      <c r="F707" s="124"/>
      <c r="G707" s="124"/>
      <c r="H707" s="103"/>
      <c r="I707" s="103"/>
      <c r="J707" s="103"/>
      <c r="K707" s="103"/>
      <c r="L707" s="103"/>
      <c r="M707" s="103"/>
      <c r="N707" s="103"/>
      <c r="O707" s="103"/>
      <c r="P707" s="103"/>
      <c r="Q707" s="103"/>
      <c r="R707" s="103"/>
      <c r="S707" s="103"/>
      <c r="T707" s="103"/>
      <c r="U707" s="103"/>
      <c r="V707" s="103"/>
      <c r="W707" s="103"/>
      <c r="X707" s="103"/>
      <c r="Y707" s="103"/>
      <c r="Z707" s="103"/>
      <c r="AA707" s="103"/>
    </row>
    <row r="708" spans="1:27" ht="15.75" customHeight="1">
      <c r="A708" s="103"/>
      <c r="B708" s="103"/>
      <c r="C708" s="103"/>
      <c r="D708" s="103"/>
      <c r="E708" s="103"/>
      <c r="F708" s="124"/>
      <c r="G708" s="124"/>
      <c r="H708" s="103"/>
      <c r="I708" s="103"/>
      <c r="J708" s="103"/>
      <c r="K708" s="103"/>
      <c r="L708" s="103"/>
      <c r="M708" s="103"/>
      <c r="N708" s="103"/>
      <c r="O708" s="103"/>
      <c r="P708" s="103"/>
      <c r="Q708" s="103"/>
      <c r="R708" s="103"/>
      <c r="S708" s="103"/>
      <c r="T708" s="103"/>
      <c r="U708" s="103"/>
      <c r="V708" s="103"/>
      <c r="W708" s="103"/>
      <c r="X708" s="103"/>
      <c r="Y708" s="103"/>
      <c r="Z708" s="103"/>
      <c r="AA708" s="103"/>
    </row>
    <row r="709" spans="1:27" ht="15.75" customHeight="1">
      <c r="A709" s="103"/>
      <c r="B709" s="103"/>
      <c r="C709" s="103"/>
      <c r="D709" s="103"/>
      <c r="E709" s="103"/>
      <c r="F709" s="124"/>
      <c r="G709" s="124"/>
      <c r="H709" s="103"/>
      <c r="I709" s="103"/>
      <c r="J709" s="103"/>
      <c r="K709" s="103"/>
      <c r="L709" s="103"/>
      <c r="M709" s="103"/>
      <c r="N709" s="103"/>
      <c r="O709" s="103"/>
      <c r="P709" s="103"/>
      <c r="Q709" s="103"/>
      <c r="R709" s="103"/>
      <c r="S709" s="103"/>
      <c r="T709" s="103"/>
      <c r="U709" s="103"/>
      <c r="V709" s="103"/>
      <c r="W709" s="103"/>
      <c r="X709" s="103"/>
      <c r="Y709" s="103"/>
      <c r="Z709" s="103"/>
      <c r="AA709" s="103"/>
    </row>
    <row r="710" spans="1:27" ht="15.75" customHeight="1">
      <c r="A710" s="103"/>
      <c r="B710" s="103"/>
      <c r="C710" s="103"/>
      <c r="D710" s="103"/>
      <c r="E710" s="103"/>
      <c r="F710" s="124"/>
      <c r="G710" s="124"/>
      <c r="H710" s="103"/>
      <c r="I710" s="103"/>
      <c r="J710" s="103"/>
      <c r="K710" s="103"/>
      <c r="L710" s="103"/>
      <c r="M710" s="103"/>
      <c r="N710" s="103"/>
      <c r="O710" s="103"/>
      <c r="P710" s="103"/>
      <c r="Q710" s="103"/>
      <c r="R710" s="103"/>
      <c r="S710" s="103"/>
      <c r="T710" s="103"/>
      <c r="U710" s="103"/>
      <c r="V710" s="103"/>
      <c r="W710" s="103"/>
      <c r="X710" s="103"/>
      <c r="Y710" s="103"/>
      <c r="Z710" s="103"/>
      <c r="AA710" s="103"/>
    </row>
    <row r="711" spans="1:27" ht="15.75" customHeight="1">
      <c r="A711" s="103"/>
      <c r="B711" s="103"/>
      <c r="C711" s="103"/>
      <c r="D711" s="103"/>
      <c r="E711" s="103"/>
      <c r="F711" s="124"/>
      <c r="G711" s="124"/>
      <c r="H711" s="103"/>
      <c r="I711" s="103"/>
      <c r="J711" s="103"/>
      <c r="K711" s="103"/>
      <c r="L711" s="103"/>
      <c r="M711" s="103"/>
      <c r="N711" s="103"/>
      <c r="O711" s="103"/>
      <c r="P711" s="103"/>
      <c r="Q711" s="103"/>
      <c r="R711" s="103"/>
      <c r="S711" s="103"/>
      <c r="T711" s="103"/>
      <c r="U711" s="103"/>
      <c r="V711" s="103"/>
      <c r="W711" s="103"/>
      <c r="X711" s="103"/>
      <c r="Y711" s="103"/>
      <c r="Z711" s="103"/>
      <c r="AA711" s="103"/>
    </row>
    <row r="712" spans="1:27" ht="15.75" customHeight="1">
      <c r="A712" s="103"/>
      <c r="B712" s="103"/>
      <c r="C712" s="103"/>
      <c r="D712" s="103"/>
      <c r="E712" s="103"/>
      <c r="F712" s="124"/>
      <c r="G712" s="124"/>
      <c r="H712" s="103"/>
      <c r="I712" s="103"/>
      <c r="J712" s="103"/>
      <c r="K712" s="103"/>
      <c r="L712" s="103"/>
      <c r="M712" s="103"/>
      <c r="N712" s="103"/>
      <c r="O712" s="103"/>
      <c r="P712" s="103"/>
      <c r="Q712" s="103"/>
      <c r="R712" s="103"/>
      <c r="S712" s="103"/>
      <c r="T712" s="103"/>
      <c r="U712" s="103"/>
      <c r="V712" s="103"/>
      <c r="W712" s="103"/>
      <c r="X712" s="103"/>
      <c r="Y712" s="103"/>
      <c r="Z712" s="103"/>
      <c r="AA712" s="103"/>
    </row>
    <row r="713" spans="1:27" ht="15.75" customHeight="1">
      <c r="A713" s="103"/>
      <c r="B713" s="103"/>
      <c r="C713" s="103"/>
      <c r="D713" s="103"/>
      <c r="E713" s="103"/>
      <c r="F713" s="124"/>
      <c r="G713" s="124"/>
      <c r="H713" s="103"/>
      <c r="I713" s="103"/>
      <c r="J713" s="103"/>
      <c r="K713" s="103"/>
      <c r="L713" s="103"/>
      <c r="M713" s="103"/>
      <c r="N713" s="103"/>
      <c r="O713" s="103"/>
      <c r="P713" s="103"/>
      <c r="Q713" s="103"/>
      <c r="R713" s="103"/>
      <c r="S713" s="103"/>
      <c r="T713" s="103"/>
      <c r="U713" s="103"/>
      <c r="V713" s="103"/>
      <c r="W713" s="103"/>
      <c r="X713" s="103"/>
      <c r="Y713" s="103"/>
      <c r="Z713" s="103"/>
      <c r="AA713" s="103"/>
    </row>
    <row r="714" spans="1:27" ht="15.75" customHeight="1">
      <c r="A714" s="103"/>
      <c r="B714" s="103"/>
      <c r="C714" s="103"/>
      <c r="D714" s="103"/>
      <c r="E714" s="103"/>
      <c r="F714" s="124"/>
      <c r="G714" s="124"/>
      <c r="H714" s="103"/>
      <c r="I714" s="103"/>
      <c r="J714" s="103"/>
      <c r="K714" s="103"/>
      <c r="L714" s="103"/>
      <c r="M714" s="103"/>
      <c r="N714" s="103"/>
      <c r="O714" s="103"/>
      <c r="P714" s="103"/>
      <c r="Q714" s="103"/>
      <c r="R714" s="103"/>
      <c r="S714" s="103"/>
      <c r="T714" s="103"/>
      <c r="U714" s="103"/>
      <c r="V714" s="103"/>
      <c r="W714" s="103"/>
      <c r="X714" s="103"/>
      <c r="Y714" s="103"/>
      <c r="Z714" s="103"/>
      <c r="AA714" s="103"/>
    </row>
    <row r="715" spans="1:27" ht="15.75" customHeight="1">
      <c r="A715" s="103"/>
      <c r="B715" s="103"/>
      <c r="C715" s="103"/>
      <c r="D715" s="103"/>
      <c r="E715" s="103"/>
      <c r="F715" s="124"/>
      <c r="G715" s="124"/>
      <c r="H715" s="103"/>
      <c r="I715" s="103"/>
      <c r="J715" s="103"/>
      <c r="K715" s="103"/>
      <c r="L715" s="103"/>
      <c r="M715" s="103"/>
      <c r="N715" s="103"/>
      <c r="O715" s="103"/>
      <c r="P715" s="103"/>
      <c r="Q715" s="103"/>
      <c r="R715" s="103"/>
      <c r="S715" s="103"/>
      <c r="T715" s="103"/>
      <c r="U715" s="103"/>
      <c r="V715" s="103"/>
      <c r="W715" s="103"/>
      <c r="X715" s="103"/>
      <c r="Y715" s="103"/>
      <c r="Z715" s="103"/>
      <c r="AA715" s="103"/>
    </row>
    <row r="716" spans="1:27" ht="15.75" customHeight="1">
      <c r="A716" s="103"/>
      <c r="B716" s="103"/>
      <c r="C716" s="103"/>
      <c r="D716" s="103"/>
      <c r="E716" s="103"/>
      <c r="F716" s="124"/>
      <c r="G716" s="124"/>
      <c r="H716" s="103"/>
      <c r="I716" s="103"/>
      <c r="J716" s="103"/>
      <c r="K716" s="103"/>
      <c r="L716" s="103"/>
      <c r="M716" s="103"/>
      <c r="N716" s="103"/>
      <c r="O716" s="103"/>
      <c r="P716" s="103"/>
      <c r="Q716" s="103"/>
      <c r="R716" s="103"/>
      <c r="S716" s="103"/>
      <c r="T716" s="103"/>
      <c r="U716" s="103"/>
      <c r="V716" s="103"/>
      <c r="W716" s="103"/>
      <c r="X716" s="103"/>
      <c r="Y716" s="103"/>
      <c r="Z716" s="103"/>
      <c r="AA716" s="103"/>
    </row>
    <row r="717" spans="1:27" ht="15.75" customHeight="1">
      <c r="A717" s="103"/>
      <c r="B717" s="103"/>
      <c r="C717" s="103"/>
      <c r="D717" s="103"/>
      <c r="E717" s="103"/>
      <c r="F717" s="124"/>
      <c r="G717" s="124"/>
      <c r="H717" s="103"/>
      <c r="I717" s="103"/>
      <c r="J717" s="103"/>
      <c r="K717" s="103"/>
      <c r="L717" s="103"/>
      <c r="M717" s="103"/>
      <c r="N717" s="103"/>
      <c r="O717" s="103"/>
      <c r="P717" s="103"/>
      <c r="Q717" s="103"/>
      <c r="R717" s="103"/>
      <c r="S717" s="103"/>
      <c r="T717" s="103"/>
      <c r="U717" s="103"/>
      <c r="V717" s="103"/>
      <c r="W717" s="103"/>
      <c r="X717" s="103"/>
      <c r="Y717" s="103"/>
      <c r="Z717" s="103"/>
      <c r="AA717" s="103"/>
    </row>
    <row r="718" spans="1:27" ht="15.75" customHeight="1">
      <c r="A718" s="103"/>
      <c r="B718" s="103"/>
      <c r="C718" s="103"/>
      <c r="D718" s="103"/>
      <c r="E718" s="103"/>
      <c r="F718" s="124"/>
      <c r="G718" s="124"/>
      <c r="H718" s="103"/>
      <c r="I718" s="103"/>
      <c r="J718" s="103"/>
      <c r="K718" s="103"/>
      <c r="L718" s="103"/>
      <c r="M718" s="103"/>
      <c r="N718" s="103"/>
      <c r="O718" s="103"/>
      <c r="P718" s="103"/>
      <c r="Q718" s="103"/>
      <c r="R718" s="103"/>
      <c r="S718" s="103"/>
      <c r="T718" s="103"/>
      <c r="U718" s="103"/>
      <c r="V718" s="103"/>
      <c r="W718" s="103"/>
      <c r="X718" s="103"/>
      <c r="Y718" s="103"/>
      <c r="Z718" s="103"/>
      <c r="AA718" s="103"/>
    </row>
    <row r="719" spans="1:27" ht="15.75" customHeight="1">
      <c r="A719" s="103"/>
      <c r="B719" s="103"/>
      <c r="C719" s="103"/>
      <c r="D719" s="103"/>
      <c r="E719" s="103"/>
      <c r="F719" s="124"/>
      <c r="G719" s="124"/>
      <c r="H719" s="103"/>
      <c r="I719" s="103"/>
      <c r="J719" s="103"/>
      <c r="K719" s="103"/>
      <c r="L719" s="103"/>
      <c r="M719" s="103"/>
      <c r="N719" s="103"/>
      <c r="O719" s="103"/>
      <c r="P719" s="103"/>
      <c r="Q719" s="103"/>
      <c r="R719" s="103"/>
      <c r="S719" s="103"/>
      <c r="T719" s="103"/>
      <c r="U719" s="103"/>
      <c r="V719" s="103"/>
      <c r="W719" s="103"/>
      <c r="X719" s="103"/>
      <c r="Y719" s="103"/>
      <c r="Z719" s="103"/>
      <c r="AA719" s="103"/>
    </row>
    <row r="720" spans="1:27" ht="15.75" customHeight="1">
      <c r="A720" s="103"/>
      <c r="B720" s="103"/>
      <c r="C720" s="103"/>
      <c r="D720" s="103"/>
      <c r="E720" s="103"/>
      <c r="F720" s="124"/>
      <c r="G720" s="124"/>
      <c r="H720" s="103"/>
      <c r="I720" s="103"/>
      <c r="J720" s="103"/>
      <c r="K720" s="103"/>
      <c r="L720" s="103"/>
      <c r="M720" s="103"/>
      <c r="N720" s="103"/>
      <c r="O720" s="103"/>
      <c r="P720" s="103"/>
      <c r="Q720" s="103"/>
      <c r="R720" s="103"/>
      <c r="S720" s="103"/>
      <c r="T720" s="103"/>
      <c r="U720" s="103"/>
      <c r="V720" s="103"/>
      <c r="W720" s="103"/>
      <c r="X720" s="103"/>
      <c r="Y720" s="103"/>
      <c r="Z720" s="103"/>
      <c r="AA720" s="103"/>
    </row>
    <row r="721" spans="1:27" ht="15.75" customHeight="1">
      <c r="A721" s="103"/>
      <c r="B721" s="103"/>
      <c r="C721" s="103"/>
      <c r="D721" s="103"/>
      <c r="E721" s="103"/>
      <c r="F721" s="124"/>
      <c r="G721" s="124"/>
      <c r="H721" s="103"/>
      <c r="I721" s="103"/>
      <c r="J721" s="103"/>
      <c r="K721" s="103"/>
      <c r="L721" s="103"/>
      <c r="M721" s="103"/>
      <c r="N721" s="103"/>
      <c r="O721" s="103"/>
      <c r="P721" s="103"/>
      <c r="Q721" s="103"/>
      <c r="R721" s="103"/>
      <c r="S721" s="103"/>
      <c r="T721" s="103"/>
      <c r="U721" s="103"/>
      <c r="V721" s="103"/>
      <c r="W721" s="103"/>
      <c r="X721" s="103"/>
      <c r="Y721" s="103"/>
      <c r="Z721" s="103"/>
      <c r="AA721" s="103"/>
    </row>
    <row r="722" spans="1:27" ht="15.75" customHeight="1">
      <c r="A722" s="103"/>
      <c r="B722" s="103"/>
      <c r="C722" s="103"/>
      <c r="D722" s="103"/>
      <c r="E722" s="103"/>
      <c r="F722" s="124"/>
      <c r="G722" s="124"/>
      <c r="H722" s="103"/>
      <c r="I722" s="103"/>
      <c r="J722" s="103"/>
      <c r="K722" s="103"/>
      <c r="L722" s="103"/>
      <c r="M722" s="103"/>
      <c r="N722" s="103"/>
      <c r="O722" s="103"/>
      <c r="P722" s="103"/>
      <c r="Q722" s="103"/>
      <c r="R722" s="103"/>
      <c r="S722" s="103"/>
      <c r="T722" s="103"/>
      <c r="U722" s="103"/>
      <c r="V722" s="103"/>
      <c r="W722" s="103"/>
      <c r="X722" s="103"/>
      <c r="Y722" s="103"/>
      <c r="Z722" s="103"/>
      <c r="AA722" s="103"/>
    </row>
    <row r="723" spans="1:27" ht="15.75" customHeight="1">
      <c r="A723" s="103"/>
      <c r="B723" s="103"/>
      <c r="C723" s="103"/>
      <c r="D723" s="103"/>
      <c r="E723" s="103"/>
      <c r="F723" s="124"/>
      <c r="G723" s="124"/>
      <c r="H723" s="103"/>
      <c r="I723" s="103"/>
      <c r="J723" s="103"/>
      <c r="K723" s="103"/>
      <c r="L723" s="103"/>
      <c r="M723" s="103"/>
      <c r="N723" s="103"/>
      <c r="O723" s="103"/>
      <c r="P723" s="103"/>
      <c r="Q723" s="103"/>
      <c r="R723" s="103"/>
      <c r="S723" s="103"/>
      <c r="T723" s="103"/>
      <c r="U723" s="103"/>
      <c r="V723" s="103"/>
      <c r="W723" s="103"/>
      <c r="X723" s="103"/>
      <c r="Y723" s="103"/>
      <c r="Z723" s="103"/>
      <c r="AA723" s="103"/>
    </row>
    <row r="724" spans="1:27" ht="15.75" customHeight="1">
      <c r="A724" s="103"/>
      <c r="B724" s="103"/>
      <c r="C724" s="103"/>
      <c r="D724" s="103"/>
      <c r="E724" s="103"/>
      <c r="F724" s="124"/>
      <c r="G724" s="124"/>
      <c r="H724" s="103"/>
      <c r="I724" s="103"/>
      <c r="J724" s="103"/>
      <c r="K724" s="103"/>
      <c r="L724" s="103"/>
      <c r="M724" s="103"/>
      <c r="N724" s="103"/>
      <c r="O724" s="103"/>
      <c r="P724" s="103"/>
      <c r="Q724" s="103"/>
      <c r="R724" s="103"/>
      <c r="S724" s="103"/>
      <c r="T724" s="103"/>
      <c r="U724" s="103"/>
      <c r="V724" s="103"/>
      <c r="W724" s="103"/>
      <c r="X724" s="103"/>
      <c r="Y724" s="103"/>
      <c r="Z724" s="103"/>
      <c r="AA724" s="103"/>
    </row>
    <row r="725" spans="1:27" ht="15.75" customHeight="1">
      <c r="A725" s="103"/>
      <c r="B725" s="103"/>
      <c r="C725" s="103"/>
      <c r="D725" s="103"/>
      <c r="E725" s="103"/>
      <c r="F725" s="124"/>
      <c r="G725" s="124"/>
      <c r="H725" s="103"/>
      <c r="I725" s="103"/>
      <c r="J725" s="103"/>
      <c r="K725" s="103"/>
      <c r="L725" s="103"/>
      <c r="M725" s="103"/>
      <c r="N725" s="103"/>
      <c r="O725" s="103"/>
      <c r="P725" s="103"/>
      <c r="Q725" s="103"/>
      <c r="R725" s="103"/>
      <c r="S725" s="103"/>
      <c r="T725" s="103"/>
      <c r="U725" s="103"/>
      <c r="V725" s="103"/>
      <c r="W725" s="103"/>
      <c r="X725" s="103"/>
      <c r="Y725" s="103"/>
      <c r="Z725" s="103"/>
      <c r="AA725" s="103"/>
    </row>
    <row r="726" spans="1:27" ht="15.75" customHeight="1">
      <c r="A726" s="103"/>
      <c r="B726" s="103"/>
      <c r="C726" s="103"/>
      <c r="D726" s="103"/>
      <c r="E726" s="103"/>
      <c r="F726" s="124"/>
      <c r="G726" s="124"/>
      <c r="H726" s="103"/>
      <c r="I726" s="103"/>
      <c r="J726" s="103"/>
      <c r="K726" s="103"/>
      <c r="L726" s="103"/>
      <c r="M726" s="103"/>
      <c r="N726" s="103"/>
      <c r="O726" s="103"/>
      <c r="P726" s="103"/>
      <c r="Q726" s="103"/>
      <c r="R726" s="103"/>
      <c r="S726" s="103"/>
      <c r="T726" s="103"/>
      <c r="U726" s="103"/>
      <c r="V726" s="103"/>
      <c r="W726" s="103"/>
      <c r="X726" s="103"/>
      <c r="Y726" s="103"/>
      <c r="Z726" s="103"/>
      <c r="AA726" s="103"/>
    </row>
    <row r="727" spans="1:27" ht="15.75" customHeight="1">
      <c r="A727" s="103"/>
      <c r="B727" s="103"/>
      <c r="C727" s="103"/>
      <c r="D727" s="103"/>
      <c r="E727" s="103"/>
      <c r="F727" s="124"/>
      <c r="G727" s="124"/>
      <c r="H727" s="103"/>
      <c r="I727" s="103"/>
      <c r="J727" s="103"/>
      <c r="K727" s="103"/>
      <c r="L727" s="103"/>
      <c r="M727" s="103"/>
      <c r="N727" s="103"/>
      <c r="O727" s="103"/>
      <c r="P727" s="103"/>
      <c r="Q727" s="103"/>
      <c r="R727" s="103"/>
      <c r="S727" s="103"/>
      <c r="T727" s="103"/>
      <c r="U727" s="103"/>
      <c r="V727" s="103"/>
      <c r="W727" s="103"/>
      <c r="X727" s="103"/>
      <c r="Y727" s="103"/>
      <c r="Z727" s="103"/>
      <c r="AA727" s="103"/>
    </row>
    <row r="728" spans="1:27" ht="15.75" customHeight="1">
      <c r="A728" s="103"/>
      <c r="B728" s="103"/>
      <c r="C728" s="103"/>
      <c r="D728" s="103"/>
      <c r="E728" s="103"/>
      <c r="F728" s="124"/>
      <c r="G728" s="124"/>
      <c r="H728" s="103"/>
      <c r="I728" s="103"/>
      <c r="J728" s="103"/>
      <c r="K728" s="103"/>
      <c r="L728" s="103"/>
      <c r="M728" s="103"/>
      <c r="N728" s="103"/>
      <c r="O728" s="103"/>
      <c r="P728" s="103"/>
      <c r="Q728" s="103"/>
      <c r="R728" s="103"/>
      <c r="S728" s="103"/>
      <c r="T728" s="103"/>
      <c r="U728" s="103"/>
      <c r="V728" s="103"/>
      <c r="W728" s="103"/>
      <c r="X728" s="103"/>
      <c r="Y728" s="103"/>
      <c r="Z728" s="103"/>
      <c r="AA728" s="103"/>
    </row>
    <row r="729" spans="1:27" ht="15.75" customHeight="1">
      <c r="A729" s="103"/>
      <c r="B729" s="103"/>
      <c r="C729" s="103"/>
      <c r="D729" s="103"/>
      <c r="E729" s="103"/>
      <c r="F729" s="124"/>
      <c r="G729" s="124"/>
      <c r="H729" s="103"/>
      <c r="I729" s="103"/>
      <c r="J729" s="103"/>
      <c r="K729" s="103"/>
      <c r="L729" s="103"/>
      <c r="M729" s="103"/>
      <c r="N729" s="103"/>
      <c r="O729" s="103"/>
      <c r="P729" s="103"/>
      <c r="Q729" s="103"/>
      <c r="R729" s="103"/>
      <c r="S729" s="103"/>
      <c r="T729" s="103"/>
      <c r="U729" s="103"/>
      <c r="V729" s="103"/>
      <c r="W729" s="103"/>
      <c r="X729" s="103"/>
      <c r="Y729" s="103"/>
      <c r="Z729" s="103"/>
      <c r="AA729" s="103"/>
    </row>
    <row r="730" spans="1:27" ht="15.75" customHeight="1">
      <c r="A730" s="103"/>
      <c r="B730" s="103"/>
      <c r="C730" s="103"/>
      <c r="D730" s="103"/>
      <c r="E730" s="103"/>
      <c r="F730" s="124"/>
      <c r="G730" s="124"/>
      <c r="H730" s="103"/>
      <c r="I730" s="103"/>
      <c r="J730" s="103"/>
      <c r="K730" s="103"/>
      <c r="L730" s="103"/>
      <c r="M730" s="103"/>
      <c r="N730" s="103"/>
      <c r="O730" s="103"/>
      <c r="P730" s="103"/>
      <c r="Q730" s="103"/>
      <c r="R730" s="103"/>
      <c r="S730" s="103"/>
      <c r="T730" s="103"/>
      <c r="U730" s="103"/>
      <c r="V730" s="103"/>
      <c r="W730" s="103"/>
      <c r="X730" s="103"/>
      <c r="Y730" s="103"/>
      <c r="Z730" s="103"/>
      <c r="AA730" s="103"/>
    </row>
    <row r="731" spans="1:27" ht="15.75" customHeight="1">
      <c r="A731" s="103"/>
      <c r="B731" s="103"/>
      <c r="C731" s="103"/>
      <c r="D731" s="103"/>
      <c r="E731" s="103"/>
      <c r="F731" s="124"/>
      <c r="G731" s="124"/>
      <c r="H731" s="103"/>
      <c r="I731" s="103"/>
      <c r="J731" s="103"/>
      <c r="K731" s="103"/>
      <c r="L731" s="103"/>
      <c r="M731" s="103"/>
      <c r="N731" s="103"/>
      <c r="O731" s="103"/>
      <c r="P731" s="103"/>
      <c r="Q731" s="103"/>
      <c r="R731" s="103"/>
      <c r="S731" s="103"/>
      <c r="T731" s="103"/>
      <c r="U731" s="103"/>
      <c r="V731" s="103"/>
      <c r="W731" s="103"/>
      <c r="X731" s="103"/>
      <c r="Y731" s="103"/>
      <c r="Z731" s="103"/>
      <c r="AA731" s="103"/>
    </row>
    <row r="732" spans="1:27" ht="15.75" customHeight="1">
      <c r="A732" s="103"/>
      <c r="B732" s="103"/>
      <c r="C732" s="103"/>
      <c r="D732" s="103"/>
      <c r="E732" s="103"/>
      <c r="F732" s="124"/>
      <c r="G732" s="124"/>
      <c r="H732" s="103"/>
      <c r="I732" s="103"/>
      <c r="J732" s="103"/>
      <c r="K732" s="103"/>
      <c r="L732" s="103"/>
      <c r="M732" s="103"/>
      <c r="N732" s="103"/>
      <c r="O732" s="103"/>
      <c r="P732" s="103"/>
      <c r="Q732" s="103"/>
      <c r="R732" s="103"/>
      <c r="S732" s="103"/>
      <c r="T732" s="103"/>
      <c r="U732" s="103"/>
      <c r="V732" s="103"/>
      <c r="W732" s="103"/>
      <c r="X732" s="103"/>
      <c r="Y732" s="103"/>
      <c r="Z732" s="103"/>
      <c r="AA732" s="103"/>
    </row>
    <row r="733" spans="1:27" ht="15.75" customHeight="1">
      <c r="A733" s="103"/>
      <c r="B733" s="103"/>
      <c r="C733" s="103"/>
      <c r="D733" s="103"/>
      <c r="E733" s="103"/>
      <c r="F733" s="124"/>
      <c r="G733" s="124"/>
      <c r="H733" s="103"/>
      <c r="I733" s="103"/>
      <c r="J733" s="103"/>
      <c r="K733" s="103"/>
      <c r="L733" s="103"/>
      <c r="M733" s="103"/>
      <c r="N733" s="103"/>
      <c r="O733" s="103"/>
      <c r="P733" s="103"/>
      <c r="Q733" s="103"/>
      <c r="R733" s="103"/>
      <c r="S733" s="103"/>
      <c r="T733" s="103"/>
      <c r="U733" s="103"/>
      <c r="V733" s="103"/>
      <c r="W733" s="103"/>
      <c r="X733" s="103"/>
      <c r="Y733" s="103"/>
      <c r="Z733" s="103"/>
      <c r="AA733" s="103"/>
    </row>
    <row r="734" spans="1:27" ht="15.75" customHeight="1">
      <c r="A734" s="103"/>
      <c r="B734" s="103"/>
      <c r="C734" s="103"/>
      <c r="D734" s="103"/>
      <c r="E734" s="103"/>
      <c r="F734" s="124"/>
      <c r="G734" s="124"/>
      <c r="H734" s="103"/>
      <c r="I734" s="103"/>
      <c r="J734" s="103"/>
      <c r="K734" s="103"/>
      <c r="L734" s="103"/>
      <c r="M734" s="103"/>
      <c r="N734" s="103"/>
      <c r="O734" s="103"/>
      <c r="P734" s="103"/>
      <c r="Q734" s="103"/>
      <c r="R734" s="103"/>
      <c r="S734" s="103"/>
      <c r="T734" s="103"/>
      <c r="U734" s="103"/>
      <c r="V734" s="103"/>
      <c r="W734" s="103"/>
      <c r="X734" s="103"/>
      <c r="Y734" s="103"/>
      <c r="Z734" s="103"/>
      <c r="AA734" s="103"/>
    </row>
    <row r="735" spans="1:27" ht="15.75" customHeight="1">
      <c r="A735" s="103"/>
      <c r="B735" s="103"/>
      <c r="C735" s="103"/>
      <c r="D735" s="103"/>
      <c r="E735" s="103"/>
      <c r="F735" s="124"/>
      <c r="G735" s="124"/>
      <c r="H735" s="103"/>
      <c r="I735" s="103"/>
      <c r="J735" s="103"/>
      <c r="K735" s="103"/>
      <c r="L735" s="103"/>
      <c r="M735" s="103"/>
      <c r="N735" s="103"/>
      <c r="O735" s="103"/>
      <c r="P735" s="103"/>
      <c r="Q735" s="103"/>
      <c r="R735" s="103"/>
      <c r="S735" s="103"/>
      <c r="T735" s="103"/>
      <c r="U735" s="103"/>
      <c r="V735" s="103"/>
      <c r="W735" s="103"/>
      <c r="X735" s="103"/>
      <c r="Y735" s="103"/>
      <c r="Z735" s="103"/>
      <c r="AA735" s="103"/>
    </row>
    <row r="736" spans="1:27" ht="15.75" customHeight="1">
      <c r="A736" s="103"/>
      <c r="B736" s="103"/>
      <c r="C736" s="103"/>
      <c r="D736" s="103"/>
      <c r="E736" s="103"/>
      <c r="F736" s="124"/>
      <c r="G736" s="124"/>
      <c r="H736" s="103"/>
      <c r="I736" s="103"/>
      <c r="J736" s="103"/>
      <c r="K736" s="103"/>
      <c r="L736" s="103"/>
      <c r="M736" s="103"/>
      <c r="N736" s="103"/>
      <c r="O736" s="103"/>
      <c r="P736" s="103"/>
      <c r="Q736" s="103"/>
      <c r="R736" s="103"/>
      <c r="S736" s="103"/>
      <c r="T736" s="103"/>
      <c r="U736" s="103"/>
      <c r="V736" s="103"/>
      <c r="W736" s="103"/>
      <c r="X736" s="103"/>
      <c r="Y736" s="103"/>
      <c r="Z736" s="103"/>
      <c r="AA736" s="103"/>
    </row>
    <row r="737" spans="1:27" ht="15.75" customHeight="1">
      <c r="A737" s="103"/>
      <c r="B737" s="103"/>
      <c r="C737" s="103"/>
      <c r="D737" s="103"/>
      <c r="E737" s="103"/>
      <c r="F737" s="124"/>
      <c r="G737" s="124"/>
      <c r="H737" s="103"/>
      <c r="I737" s="103"/>
      <c r="J737" s="103"/>
      <c r="K737" s="103"/>
      <c r="L737" s="103"/>
      <c r="M737" s="103"/>
      <c r="N737" s="103"/>
      <c r="O737" s="103"/>
      <c r="P737" s="103"/>
      <c r="Q737" s="103"/>
      <c r="R737" s="103"/>
      <c r="S737" s="103"/>
      <c r="T737" s="103"/>
      <c r="U737" s="103"/>
      <c r="V737" s="103"/>
      <c r="W737" s="103"/>
      <c r="X737" s="103"/>
      <c r="Y737" s="103"/>
      <c r="Z737" s="103"/>
      <c r="AA737" s="103"/>
    </row>
    <row r="738" spans="1:27" ht="15.75" customHeight="1">
      <c r="A738" s="103"/>
      <c r="B738" s="103"/>
      <c r="C738" s="103"/>
      <c r="D738" s="103"/>
      <c r="E738" s="103"/>
      <c r="F738" s="124"/>
      <c r="G738" s="124"/>
      <c r="H738" s="103"/>
      <c r="I738" s="103"/>
      <c r="J738" s="103"/>
      <c r="K738" s="103"/>
      <c r="L738" s="103"/>
      <c r="M738" s="103"/>
      <c r="N738" s="103"/>
      <c r="O738" s="103"/>
      <c r="P738" s="103"/>
      <c r="Q738" s="103"/>
      <c r="R738" s="103"/>
      <c r="S738" s="103"/>
      <c r="T738" s="103"/>
      <c r="U738" s="103"/>
      <c r="V738" s="103"/>
      <c r="W738" s="103"/>
      <c r="X738" s="103"/>
      <c r="Y738" s="103"/>
      <c r="Z738" s="103"/>
      <c r="AA738" s="103"/>
    </row>
    <row r="739" spans="1:27" ht="15.75" customHeight="1">
      <c r="A739" s="103"/>
      <c r="B739" s="103"/>
      <c r="C739" s="103"/>
      <c r="D739" s="103"/>
      <c r="E739" s="103"/>
      <c r="F739" s="124"/>
      <c r="G739" s="124"/>
      <c r="H739" s="103"/>
      <c r="I739" s="103"/>
      <c r="J739" s="103"/>
      <c r="K739" s="103"/>
      <c r="L739" s="103"/>
      <c r="M739" s="103"/>
      <c r="N739" s="103"/>
      <c r="O739" s="103"/>
      <c r="P739" s="103"/>
      <c r="Q739" s="103"/>
      <c r="R739" s="103"/>
      <c r="S739" s="103"/>
      <c r="T739" s="103"/>
      <c r="U739" s="103"/>
      <c r="V739" s="103"/>
      <c r="W739" s="103"/>
      <c r="X739" s="103"/>
      <c r="Y739" s="103"/>
      <c r="Z739" s="103"/>
      <c r="AA739" s="103"/>
    </row>
    <row r="740" spans="1:27" ht="15.75" customHeight="1">
      <c r="A740" s="103"/>
      <c r="B740" s="103"/>
      <c r="C740" s="103"/>
      <c r="D740" s="103"/>
      <c r="E740" s="103"/>
      <c r="F740" s="124"/>
      <c r="G740" s="124"/>
      <c r="H740" s="103"/>
      <c r="I740" s="103"/>
      <c r="J740" s="103"/>
      <c r="K740" s="103"/>
      <c r="L740" s="103"/>
      <c r="M740" s="103"/>
      <c r="N740" s="103"/>
      <c r="O740" s="103"/>
      <c r="P740" s="103"/>
      <c r="Q740" s="103"/>
      <c r="R740" s="103"/>
      <c r="S740" s="103"/>
      <c r="T740" s="103"/>
      <c r="U740" s="103"/>
      <c r="V740" s="103"/>
      <c r="W740" s="103"/>
      <c r="X740" s="103"/>
      <c r="Y740" s="103"/>
      <c r="Z740" s="103"/>
      <c r="AA740" s="103"/>
    </row>
    <row r="741" spans="1:27" ht="15.75" customHeight="1">
      <c r="A741" s="103"/>
      <c r="B741" s="103"/>
      <c r="C741" s="103"/>
      <c r="D741" s="103"/>
      <c r="E741" s="103"/>
      <c r="F741" s="124"/>
      <c r="G741" s="124"/>
      <c r="H741" s="103"/>
      <c r="I741" s="103"/>
      <c r="J741" s="103"/>
      <c r="K741" s="103"/>
      <c r="L741" s="103"/>
      <c r="M741" s="103"/>
      <c r="N741" s="103"/>
      <c r="O741" s="103"/>
      <c r="P741" s="103"/>
      <c r="Q741" s="103"/>
      <c r="R741" s="103"/>
      <c r="S741" s="103"/>
      <c r="T741" s="103"/>
      <c r="U741" s="103"/>
      <c r="V741" s="103"/>
      <c r="W741" s="103"/>
      <c r="X741" s="103"/>
      <c r="Y741" s="103"/>
      <c r="Z741" s="103"/>
      <c r="AA741" s="103"/>
    </row>
    <row r="742" spans="1:27" ht="15.75" customHeight="1">
      <c r="A742" s="103"/>
      <c r="B742" s="103"/>
      <c r="C742" s="103"/>
      <c r="D742" s="103"/>
      <c r="E742" s="103"/>
      <c r="F742" s="124"/>
      <c r="G742" s="124"/>
      <c r="H742" s="103"/>
      <c r="I742" s="103"/>
      <c r="J742" s="103"/>
      <c r="K742" s="103"/>
      <c r="L742" s="103"/>
      <c r="M742" s="103"/>
      <c r="N742" s="103"/>
      <c r="O742" s="103"/>
      <c r="P742" s="103"/>
      <c r="Q742" s="103"/>
      <c r="R742" s="103"/>
      <c r="S742" s="103"/>
      <c r="T742" s="103"/>
      <c r="U742" s="103"/>
      <c r="V742" s="103"/>
      <c r="W742" s="103"/>
      <c r="X742" s="103"/>
      <c r="Y742" s="103"/>
      <c r="Z742" s="103"/>
      <c r="AA742" s="103"/>
    </row>
    <row r="743" spans="1:27" ht="15.75" customHeight="1">
      <c r="A743" s="103"/>
      <c r="B743" s="103"/>
      <c r="C743" s="103"/>
      <c r="D743" s="103"/>
      <c r="E743" s="103"/>
      <c r="F743" s="124"/>
      <c r="G743" s="124"/>
      <c r="H743" s="103"/>
      <c r="I743" s="103"/>
      <c r="J743" s="103"/>
      <c r="K743" s="103"/>
      <c r="L743" s="103"/>
      <c r="M743" s="103"/>
      <c r="N743" s="103"/>
      <c r="O743" s="103"/>
      <c r="P743" s="103"/>
      <c r="Q743" s="103"/>
      <c r="R743" s="103"/>
      <c r="S743" s="103"/>
      <c r="T743" s="103"/>
      <c r="U743" s="103"/>
      <c r="V743" s="103"/>
      <c r="W743" s="103"/>
      <c r="X743" s="103"/>
      <c r="Y743" s="103"/>
      <c r="Z743" s="103"/>
      <c r="AA743" s="103"/>
    </row>
    <row r="744" spans="1:27" ht="15.75" customHeight="1">
      <c r="A744" s="103"/>
      <c r="B744" s="103"/>
      <c r="C744" s="103"/>
      <c r="D744" s="103"/>
      <c r="E744" s="103"/>
      <c r="F744" s="124"/>
      <c r="G744" s="124"/>
      <c r="H744" s="103"/>
      <c r="I744" s="103"/>
      <c r="J744" s="103"/>
      <c r="K744" s="103"/>
      <c r="L744" s="103"/>
      <c r="M744" s="103"/>
      <c r="N744" s="103"/>
      <c r="O744" s="103"/>
      <c r="P744" s="103"/>
      <c r="Q744" s="103"/>
      <c r="R744" s="103"/>
      <c r="S744" s="103"/>
      <c r="T744" s="103"/>
      <c r="U744" s="103"/>
      <c r="V744" s="103"/>
      <c r="W744" s="103"/>
      <c r="X744" s="103"/>
      <c r="Y744" s="103"/>
      <c r="Z744" s="103"/>
      <c r="AA744" s="103"/>
    </row>
    <row r="745" spans="1:27" ht="15.75" customHeight="1">
      <c r="A745" s="103"/>
      <c r="B745" s="103"/>
      <c r="C745" s="103"/>
      <c r="D745" s="103"/>
      <c r="E745" s="103"/>
      <c r="F745" s="124"/>
      <c r="G745" s="124"/>
      <c r="H745" s="103"/>
      <c r="I745" s="103"/>
      <c r="J745" s="103"/>
      <c r="K745" s="103"/>
      <c r="L745" s="103"/>
      <c r="M745" s="103"/>
      <c r="N745" s="103"/>
      <c r="O745" s="103"/>
      <c r="P745" s="103"/>
      <c r="Q745" s="103"/>
      <c r="R745" s="103"/>
      <c r="S745" s="103"/>
      <c r="T745" s="103"/>
      <c r="U745" s="103"/>
      <c r="V745" s="103"/>
      <c r="W745" s="103"/>
      <c r="X745" s="103"/>
      <c r="Y745" s="103"/>
      <c r="Z745" s="103"/>
      <c r="AA745" s="103"/>
    </row>
    <row r="746" spans="1:27" ht="15.75" customHeight="1">
      <c r="A746" s="103"/>
      <c r="B746" s="103"/>
      <c r="C746" s="103"/>
      <c r="D746" s="103"/>
      <c r="E746" s="103"/>
      <c r="F746" s="124"/>
      <c r="G746" s="124"/>
      <c r="H746" s="103"/>
      <c r="I746" s="103"/>
      <c r="J746" s="103"/>
      <c r="K746" s="103"/>
      <c r="L746" s="103"/>
      <c r="M746" s="103"/>
      <c r="N746" s="103"/>
      <c r="O746" s="103"/>
      <c r="P746" s="103"/>
      <c r="Q746" s="103"/>
      <c r="R746" s="103"/>
      <c r="S746" s="103"/>
      <c r="T746" s="103"/>
      <c r="U746" s="103"/>
      <c r="V746" s="103"/>
      <c r="W746" s="103"/>
      <c r="X746" s="103"/>
      <c r="Y746" s="103"/>
      <c r="Z746" s="103"/>
      <c r="AA746" s="103"/>
    </row>
    <row r="747" spans="1:27" ht="15.75" customHeight="1">
      <c r="A747" s="103"/>
      <c r="B747" s="103"/>
      <c r="C747" s="103"/>
      <c r="D747" s="103"/>
      <c r="E747" s="103"/>
      <c r="F747" s="124"/>
      <c r="G747" s="124"/>
      <c r="H747" s="103"/>
      <c r="I747" s="103"/>
      <c r="J747" s="103"/>
      <c r="K747" s="103"/>
      <c r="L747" s="103"/>
      <c r="M747" s="103"/>
      <c r="N747" s="103"/>
      <c r="O747" s="103"/>
      <c r="P747" s="103"/>
      <c r="Q747" s="103"/>
      <c r="R747" s="103"/>
      <c r="S747" s="103"/>
      <c r="T747" s="103"/>
      <c r="U747" s="103"/>
      <c r="V747" s="103"/>
      <c r="W747" s="103"/>
      <c r="X747" s="103"/>
      <c r="Y747" s="103"/>
      <c r="Z747" s="103"/>
      <c r="AA747" s="103"/>
    </row>
    <row r="748" spans="1:27" ht="15.75" customHeight="1">
      <c r="A748" s="103"/>
      <c r="B748" s="103"/>
      <c r="C748" s="103"/>
      <c r="D748" s="103"/>
      <c r="E748" s="103"/>
      <c r="F748" s="124"/>
      <c r="G748" s="124"/>
      <c r="H748" s="103"/>
      <c r="I748" s="103"/>
      <c r="J748" s="103"/>
      <c r="K748" s="103"/>
      <c r="L748" s="103"/>
      <c r="M748" s="103"/>
      <c r="N748" s="103"/>
      <c r="O748" s="103"/>
      <c r="P748" s="103"/>
      <c r="Q748" s="103"/>
      <c r="R748" s="103"/>
      <c r="S748" s="103"/>
      <c r="T748" s="103"/>
      <c r="U748" s="103"/>
      <c r="V748" s="103"/>
      <c r="W748" s="103"/>
      <c r="X748" s="103"/>
      <c r="Y748" s="103"/>
      <c r="Z748" s="103"/>
      <c r="AA748" s="103"/>
    </row>
    <row r="749" spans="1:27" ht="15.75" customHeight="1">
      <c r="A749" s="103"/>
      <c r="B749" s="103"/>
      <c r="C749" s="103"/>
      <c r="D749" s="103"/>
      <c r="E749" s="103"/>
      <c r="F749" s="124"/>
      <c r="G749" s="124"/>
      <c r="H749" s="103"/>
      <c r="I749" s="103"/>
      <c r="J749" s="103"/>
      <c r="K749" s="103"/>
      <c r="L749" s="103"/>
      <c r="M749" s="103"/>
      <c r="N749" s="103"/>
      <c r="O749" s="103"/>
      <c r="P749" s="103"/>
      <c r="Q749" s="103"/>
      <c r="R749" s="103"/>
      <c r="S749" s="103"/>
      <c r="T749" s="103"/>
      <c r="U749" s="103"/>
      <c r="V749" s="103"/>
      <c r="W749" s="103"/>
      <c r="X749" s="103"/>
      <c r="Y749" s="103"/>
      <c r="Z749" s="103"/>
      <c r="AA749" s="103"/>
    </row>
    <row r="750" spans="1:27" ht="15.75" customHeight="1">
      <c r="A750" s="103"/>
      <c r="B750" s="103"/>
      <c r="C750" s="103"/>
      <c r="D750" s="103"/>
      <c r="E750" s="103"/>
      <c r="F750" s="124"/>
      <c r="G750" s="124"/>
      <c r="H750" s="103"/>
      <c r="I750" s="103"/>
      <c r="J750" s="103"/>
      <c r="K750" s="103"/>
      <c r="L750" s="103"/>
      <c r="M750" s="103"/>
      <c r="N750" s="103"/>
      <c r="O750" s="103"/>
      <c r="P750" s="103"/>
      <c r="Q750" s="103"/>
      <c r="R750" s="103"/>
      <c r="S750" s="103"/>
      <c r="T750" s="103"/>
      <c r="U750" s="103"/>
      <c r="V750" s="103"/>
      <c r="W750" s="103"/>
      <c r="X750" s="103"/>
      <c r="Y750" s="103"/>
      <c r="Z750" s="103"/>
      <c r="AA750" s="103"/>
    </row>
    <row r="751" spans="1:27" ht="15.75" customHeight="1">
      <c r="A751" s="103"/>
      <c r="B751" s="103"/>
      <c r="C751" s="103"/>
      <c r="D751" s="103"/>
      <c r="E751" s="103"/>
      <c r="F751" s="124"/>
      <c r="G751" s="124"/>
      <c r="H751" s="103"/>
      <c r="I751" s="103"/>
      <c r="J751" s="103"/>
      <c r="K751" s="103"/>
      <c r="L751" s="103"/>
      <c r="M751" s="103"/>
      <c r="N751" s="103"/>
      <c r="O751" s="103"/>
      <c r="P751" s="103"/>
      <c r="Q751" s="103"/>
      <c r="R751" s="103"/>
      <c r="S751" s="103"/>
      <c r="T751" s="103"/>
      <c r="U751" s="103"/>
      <c r="V751" s="103"/>
      <c r="W751" s="103"/>
      <c r="X751" s="103"/>
      <c r="Y751" s="103"/>
      <c r="Z751" s="103"/>
      <c r="AA751" s="103"/>
    </row>
    <row r="752" spans="1:27" ht="15.75" customHeight="1">
      <c r="A752" s="103"/>
      <c r="B752" s="103"/>
      <c r="C752" s="103"/>
      <c r="D752" s="103"/>
      <c r="E752" s="103"/>
      <c r="F752" s="124"/>
      <c r="G752" s="124"/>
      <c r="H752" s="103"/>
      <c r="I752" s="103"/>
      <c r="J752" s="103"/>
      <c r="K752" s="103"/>
      <c r="L752" s="103"/>
      <c r="M752" s="103"/>
      <c r="N752" s="103"/>
      <c r="O752" s="103"/>
      <c r="P752" s="103"/>
      <c r="Q752" s="103"/>
      <c r="R752" s="103"/>
      <c r="S752" s="103"/>
      <c r="T752" s="103"/>
      <c r="U752" s="103"/>
      <c r="V752" s="103"/>
      <c r="W752" s="103"/>
      <c r="X752" s="103"/>
      <c r="Y752" s="103"/>
      <c r="Z752" s="103"/>
      <c r="AA752" s="103"/>
    </row>
    <row r="753" spans="1:27" ht="15.75" customHeight="1">
      <c r="A753" s="103"/>
      <c r="B753" s="103"/>
      <c r="C753" s="103"/>
      <c r="D753" s="103"/>
      <c r="E753" s="103"/>
      <c r="F753" s="124"/>
      <c r="G753" s="124"/>
      <c r="H753" s="103"/>
      <c r="I753" s="103"/>
      <c r="J753" s="103"/>
      <c r="K753" s="103"/>
      <c r="L753" s="103"/>
      <c r="M753" s="103"/>
      <c r="N753" s="103"/>
      <c r="O753" s="103"/>
      <c r="P753" s="103"/>
      <c r="Q753" s="103"/>
      <c r="R753" s="103"/>
      <c r="S753" s="103"/>
      <c r="T753" s="103"/>
      <c r="U753" s="103"/>
      <c r="V753" s="103"/>
      <c r="W753" s="103"/>
      <c r="X753" s="103"/>
      <c r="Y753" s="103"/>
      <c r="Z753" s="103"/>
      <c r="AA753" s="103"/>
    </row>
    <row r="754" spans="1:27" ht="15.75" customHeight="1">
      <c r="A754" s="103"/>
      <c r="B754" s="103"/>
      <c r="C754" s="103"/>
      <c r="D754" s="103"/>
      <c r="E754" s="103"/>
      <c r="F754" s="124"/>
      <c r="G754" s="124"/>
      <c r="H754" s="103"/>
      <c r="I754" s="103"/>
      <c r="J754" s="103"/>
      <c r="K754" s="103"/>
      <c r="L754" s="103"/>
      <c r="M754" s="103"/>
      <c r="N754" s="103"/>
      <c r="O754" s="103"/>
      <c r="P754" s="103"/>
      <c r="Q754" s="103"/>
      <c r="R754" s="103"/>
      <c r="S754" s="103"/>
      <c r="T754" s="103"/>
      <c r="U754" s="103"/>
      <c r="V754" s="103"/>
      <c r="W754" s="103"/>
      <c r="X754" s="103"/>
      <c r="Y754" s="103"/>
      <c r="Z754" s="103"/>
      <c r="AA754" s="103"/>
    </row>
    <row r="755" spans="1:27" ht="15.75" customHeight="1">
      <c r="A755" s="103"/>
      <c r="B755" s="103"/>
      <c r="C755" s="103"/>
      <c r="D755" s="103"/>
      <c r="E755" s="103"/>
      <c r="F755" s="124"/>
      <c r="G755" s="124"/>
      <c r="H755" s="103"/>
      <c r="I755" s="103"/>
      <c r="J755" s="103"/>
      <c r="K755" s="103"/>
      <c r="L755" s="103"/>
      <c r="M755" s="103"/>
      <c r="N755" s="103"/>
      <c r="O755" s="103"/>
      <c r="P755" s="103"/>
      <c r="Q755" s="103"/>
      <c r="R755" s="103"/>
      <c r="S755" s="103"/>
      <c r="T755" s="103"/>
      <c r="U755" s="103"/>
      <c r="V755" s="103"/>
      <c r="W755" s="103"/>
      <c r="X755" s="103"/>
      <c r="Y755" s="103"/>
      <c r="Z755" s="103"/>
      <c r="AA755" s="103"/>
    </row>
    <row r="756" spans="1:27" ht="15.75" customHeight="1">
      <c r="A756" s="103"/>
      <c r="B756" s="103"/>
      <c r="C756" s="103"/>
      <c r="D756" s="103"/>
      <c r="E756" s="103"/>
      <c r="F756" s="124"/>
      <c r="G756" s="124"/>
      <c r="H756" s="103"/>
      <c r="I756" s="103"/>
      <c r="J756" s="103"/>
      <c r="K756" s="103"/>
      <c r="L756" s="103"/>
      <c r="M756" s="103"/>
      <c r="N756" s="103"/>
      <c r="O756" s="103"/>
      <c r="P756" s="103"/>
      <c r="Q756" s="103"/>
      <c r="R756" s="103"/>
      <c r="S756" s="103"/>
      <c r="T756" s="103"/>
      <c r="U756" s="103"/>
      <c r="V756" s="103"/>
      <c r="W756" s="103"/>
      <c r="X756" s="103"/>
      <c r="Y756" s="103"/>
      <c r="Z756" s="103"/>
      <c r="AA756" s="103"/>
    </row>
    <row r="757" spans="1:27" ht="15.75" customHeight="1">
      <c r="A757" s="103"/>
      <c r="B757" s="103"/>
      <c r="C757" s="103"/>
      <c r="D757" s="103"/>
      <c r="E757" s="103"/>
      <c r="F757" s="124"/>
      <c r="G757" s="124"/>
      <c r="H757" s="103"/>
      <c r="I757" s="103"/>
      <c r="J757" s="103"/>
      <c r="K757" s="103"/>
      <c r="L757" s="103"/>
      <c r="M757" s="103"/>
      <c r="N757" s="103"/>
      <c r="O757" s="103"/>
      <c r="P757" s="103"/>
      <c r="Q757" s="103"/>
      <c r="R757" s="103"/>
      <c r="S757" s="103"/>
      <c r="T757" s="103"/>
      <c r="U757" s="103"/>
      <c r="V757" s="103"/>
      <c r="W757" s="103"/>
      <c r="X757" s="103"/>
      <c r="Y757" s="103"/>
      <c r="Z757" s="103"/>
      <c r="AA757" s="103"/>
    </row>
    <row r="758" spans="1:27" ht="15.75" customHeight="1">
      <c r="A758" s="103"/>
      <c r="B758" s="103"/>
      <c r="C758" s="103"/>
      <c r="D758" s="103"/>
      <c r="E758" s="103"/>
      <c r="F758" s="124"/>
      <c r="G758" s="124"/>
      <c r="H758" s="103"/>
      <c r="I758" s="103"/>
      <c r="J758" s="103"/>
      <c r="K758" s="103"/>
      <c r="L758" s="103"/>
      <c r="M758" s="103"/>
      <c r="N758" s="103"/>
      <c r="O758" s="103"/>
      <c r="P758" s="103"/>
      <c r="Q758" s="103"/>
      <c r="R758" s="103"/>
      <c r="S758" s="103"/>
      <c r="T758" s="103"/>
      <c r="U758" s="103"/>
      <c r="V758" s="103"/>
      <c r="W758" s="103"/>
      <c r="X758" s="103"/>
      <c r="Y758" s="103"/>
      <c r="Z758" s="103"/>
      <c r="AA758" s="103"/>
    </row>
    <row r="759" spans="1:27" ht="15.75" customHeight="1">
      <c r="A759" s="103"/>
      <c r="B759" s="103"/>
      <c r="C759" s="103"/>
      <c r="D759" s="103"/>
      <c r="E759" s="103"/>
      <c r="F759" s="124"/>
      <c r="G759" s="124"/>
      <c r="H759" s="103"/>
      <c r="I759" s="103"/>
      <c r="J759" s="103"/>
      <c r="K759" s="103"/>
      <c r="L759" s="103"/>
      <c r="M759" s="103"/>
      <c r="N759" s="103"/>
      <c r="O759" s="103"/>
      <c r="P759" s="103"/>
      <c r="Q759" s="103"/>
      <c r="R759" s="103"/>
      <c r="S759" s="103"/>
      <c r="T759" s="103"/>
      <c r="U759" s="103"/>
      <c r="V759" s="103"/>
      <c r="W759" s="103"/>
      <c r="X759" s="103"/>
      <c r="Y759" s="103"/>
      <c r="Z759" s="103"/>
      <c r="AA759" s="103"/>
    </row>
    <row r="760" spans="1:27" ht="15.75" customHeight="1">
      <c r="A760" s="103"/>
      <c r="B760" s="103"/>
      <c r="C760" s="103"/>
      <c r="D760" s="103"/>
      <c r="E760" s="103"/>
      <c r="F760" s="124"/>
      <c r="G760" s="124"/>
      <c r="H760" s="103"/>
      <c r="I760" s="103"/>
      <c r="J760" s="103"/>
      <c r="K760" s="103"/>
      <c r="L760" s="103"/>
      <c r="M760" s="103"/>
      <c r="N760" s="103"/>
      <c r="O760" s="103"/>
      <c r="P760" s="103"/>
      <c r="Q760" s="103"/>
      <c r="R760" s="103"/>
      <c r="S760" s="103"/>
      <c r="T760" s="103"/>
      <c r="U760" s="103"/>
      <c r="V760" s="103"/>
      <c r="W760" s="103"/>
      <c r="X760" s="103"/>
      <c r="Y760" s="103"/>
      <c r="Z760" s="103"/>
      <c r="AA760" s="103"/>
    </row>
    <row r="761" spans="1:27" ht="15.75" customHeight="1">
      <c r="A761" s="103"/>
      <c r="B761" s="103"/>
      <c r="C761" s="103"/>
      <c r="D761" s="103"/>
      <c r="E761" s="103"/>
      <c r="F761" s="124"/>
      <c r="G761" s="124"/>
      <c r="H761" s="103"/>
      <c r="I761" s="103"/>
      <c r="J761" s="103"/>
      <c r="K761" s="103"/>
      <c r="L761" s="103"/>
      <c r="M761" s="103"/>
      <c r="N761" s="103"/>
      <c r="O761" s="103"/>
      <c r="P761" s="103"/>
      <c r="Q761" s="103"/>
      <c r="R761" s="103"/>
      <c r="S761" s="103"/>
      <c r="T761" s="103"/>
      <c r="U761" s="103"/>
      <c r="V761" s="103"/>
      <c r="W761" s="103"/>
      <c r="X761" s="103"/>
      <c r="Y761" s="103"/>
      <c r="Z761" s="103"/>
      <c r="AA761" s="103"/>
    </row>
    <row r="762" spans="1:27" ht="15.75" customHeight="1">
      <c r="A762" s="103"/>
      <c r="B762" s="103"/>
      <c r="C762" s="103"/>
      <c r="D762" s="103"/>
      <c r="E762" s="103"/>
      <c r="F762" s="124"/>
      <c r="G762" s="124"/>
      <c r="H762" s="103"/>
      <c r="I762" s="103"/>
      <c r="J762" s="103"/>
      <c r="K762" s="103"/>
      <c r="L762" s="103"/>
      <c r="M762" s="103"/>
      <c r="N762" s="103"/>
      <c r="O762" s="103"/>
      <c r="P762" s="103"/>
      <c r="Q762" s="103"/>
      <c r="R762" s="103"/>
      <c r="S762" s="103"/>
      <c r="T762" s="103"/>
      <c r="U762" s="103"/>
      <c r="V762" s="103"/>
      <c r="W762" s="103"/>
      <c r="X762" s="103"/>
      <c r="Y762" s="103"/>
      <c r="Z762" s="103"/>
      <c r="AA762" s="103"/>
    </row>
    <row r="763" spans="1:27" ht="15.75" customHeight="1">
      <c r="A763" s="103"/>
      <c r="B763" s="103"/>
      <c r="C763" s="103"/>
      <c r="D763" s="103"/>
      <c r="E763" s="103"/>
      <c r="F763" s="124"/>
      <c r="G763" s="124"/>
      <c r="H763" s="103"/>
      <c r="I763" s="103"/>
      <c r="J763" s="103"/>
      <c r="K763" s="103"/>
      <c r="L763" s="103"/>
      <c r="M763" s="103"/>
      <c r="N763" s="103"/>
      <c r="O763" s="103"/>
      <c r="P763" s="103"/>
      <c r="Q763" s="103"/>
      <c r="R763" s="103"/>
      <c r="S763" s="103"/>
      <c r="T763" s="103"/>
      <c r="U763" s="103"/>
      <c r="V763" s="103"/>
      <c r="W763" s="103"/>
      <c r="X763" s="103"/>
      <c r="Y763" s="103"/>
      <c r="Z763" s="103"/>
      <c r="AA763" s="103"/>
    </row>
    <row r="764" spans="1:27" ht="15.75" customHeight="1">
      <c r="A764" s="103"/>
      <c r="B764" s="103"/>
      <c r="C764" s="103"/>
      <c r="D764" s="103"/>
      <c r="E764" s="103"/>
      <c r="F764" s="124"/>
      <c r="G764" s="124"/>
      <c r="H764" s="103"/>
      <c r="I764" s="103"/>
      <c r="J764" s="103"/>
      <c r="K764" s="103"/>
      <c r="L764" s="103"/>
      <c r="M764" s="103"/>
      <c r="N764" s="103"/>
      <c r="O764" s="103"/>
      <c r="P764" s="103"/>
      <c r="Q764" s="103"/>
      <c r="R764" s="103"/>
      <c r="S764" s="103"/>
      <c r="T764" s="103"/>
      <c r="U764" s="103"/>
      <c r="V764" s="103"/>
      <c r="W764" s="103"/>
      <c r="X764" s="103"/>
      <c r="Y764" s="103"/>
      <c r="Z764" s="103"/>
      <c r="AA764" s="103"/>
    </row>
    <row r="765" spans="1:27" ht="15.75" customHeight="1">
      <c r="A765" s="103"/>
      <c r="B765" s="103"/>
      <c r="C765" s="103"/>
      <c r="D765" s="103"/>
      <c r="E765" s="103"/>
      <c r="F765" s="124"/>
      <c r="G765" s="124"/>
      <c r="H765" s="103"/>
      <c r="I765" s="103"/>
      <c r="J765" s="103"/>
      <c r="K765" s="103"/>
      <c r="L765" s="103"/>
      <c r="M765" s="103"/>
      <c r="N765" s="103"/>
      <c r="O765" s="103"/>
      <c r="P765" s="103"/>
      <c r="Q765" s="103"/>
      <c r="R765" s="103"/>
      <c r="S765" s="103"/>
      <c r="T765" s="103"/>
      <c r="U765" s="103"/>
      <c r="V765" s="103"/>
      <c r="W765" s="103"/>
      <c r="X765" s="103"/>
      <c r="Y765" s="103"/>
      <c r="Z765" s="103"/>
      <c r="AA765" s="103"/>
    </row>
    <row r="766" spans="1:27" ht="15.75" customHeight="1">
      <c r="A766" s="103"/>
      <c r="B766" s="103"/>
      <c r="C766" s="103"/>
      <c r="D766" s="103"/>
      <c r="E766" s="103"/>
      <c r="F766" s="124"/>
      <c r="G766" s="124"/>
      <c r="H766" s="103"/>
      <c r="I766" s="103"/>
      <c r="J766" s="103"/>
      <c r="K766" s="103"/>
      <c r="L766" s="103"/>
      <c r="M766" s="103"/>
      <c r="N766" s="103"/>
      <c r="O766" s="103"/>
      <c r="P766" s="103"/>
      <c r="Q766" s="103"/>
      <c r="R766" s="103"/>
      <c r="S766" s="103"/>
      <c r="T766" s="103"/>
      <c r="U766" s="103"/>
      <c r="V766" s="103"/>
      <c r="W766" s="103"/>
      <c r="X766" s="103"/>
      <c r="Y766" s="103"/>
      <c r="Z766" s="103"/>
      <c r="AA766" s="103"/>
    </row>
    <row r="767" spans="1:27" ht="15.75" customHeight="1">
      <c r="A767" s="103"/>
      <c r="B767" s="103"/>
      <c r="C767" s="103"/>
      <c r="D767" s="103"/>
      <c r="E767" s="103"/>
      <c r="F767" s="124"/>
      <c r="G767" s="124"/>
      <c r="H767" s="103"/>
      <c r="I767" s="103"/>
      <c r="J767" s="103"/>
      <c r="K767" s="103"/>
      <c r="L767" s="103"/>
      <c r="M767" s="103"/>
      <c r="N767" s="103"/>
      <c r="O767" s="103"/>
      <c r="P767" s="103"/>
      <c r="Q767" s="103"/>
      <c r="R767" s="103"/>
      <c r="S767" s="103"/>
      <c r="T767" s="103"/>
      <c r="U767" s="103"/>
      <c r="V767" s="103"/>
      <c r="W767" s="103"/>
      <c r="X767" s="103"/>
      <c r="Y767" s="103"/>
      <c r="Z767" s="103"/>
      <c r="AA767" s="103"/>
    </row>
    <row r="768" spans="1:27" ht="15.75" customHeight="1">
      <c r="A768" s="103"/>
      <c r="B768" s="103"/>
      <c r="C768" s="103"/>
      <c r="D768" s="103"/>
      <c r="E768" s="103"/>
      <c r="F768" s="124"/>
      <c r="G768" s="124"/>
      <c r="H768" s="103"/>
      <c r="I768" s="103"/>
      <c r="J768" s="103"/>
      <c r="K768" s="103"/>
      <c r="L768" s="103"/>
      <c r="M768" s="103"/>
      <c r="N768" s="103"/>
      <c r="O768" s="103"/>
      <c r="P768" s="103"/>
      <c r="Q768" s="103"/>
      <c r="R768" s="103"/>
      <c r="S768" s="103"/>
      <c r="T768" s="103"/>
      <c r="U768" s="103"/>
      <c r="V768" s="103"/>
      <c r="W768" s="103"/>
      <c r="X768" s="103"/>
      <c r="Y768" s="103"/>
      <c r="Z768" s="103"/>
      <c r="AA768" s="103"/>
    </row>
    <row r="769" spans="1:27" ht="15.75" customHeight="1">
      <c r="A769" s="103"/>
      <c r="B769" s="103"/>
      <c r="C769" s="103"/>
      <c r="D769" s="103"/>
      <c r="E769" s="103"/>
      <c r="F769" s="124"/>
      <c r="G769" s="124"/>
      <c r="H769" s="103"/>
      <c r="I769" s="103"/>
      <c r="J769" s="103"/>
      <c r="K769" s="103"/>
      <c r="L769" s="103"/>
      <c r="M769" s="103"/>
      <c r="N769" s="103"/>
      <c r="O769" s="103"/>
      <c r="P769" s="103"/>
      <c r="Q769" s="103"/>
      <c r="R769" s="103"/>
      <c r="S769" s="103"/>
      <c r="T769" s="103"/>
      <c r="U769" s="103"/>
      <c r="V769" s="103"/>
      <c r="W769" s="103"/>
      <c r="X769" s="103"/>
      <c r="Y769" s="103"/>
      <c r="Z769" s="103"/>
      <c r="AA769" s="103"/>
    </row>
    <row r="770" spans="1:27" ht="15.75" customHeight="1">
      <c r="A770" s="103"/>
      <c r="B770" s="103"/>
      <c r="C770" s="103"/>
      <c r="D770" s="103"/>
      <c r="E770" s="103"/>
      <c r="F770" s="124"/>
      <c r="G770" s="124"/>
      <c r="H770" s="103"/>
      <c r="I770" s="103"/>
      <c r="J770" s="103"/>
      <c r="K770" s="103"/>
      <c r="L770" s="103"/>
      <c r="M770" s="103"/>
      <c r="N770" s="103"/>
      <c r="O770" s="103"/>
      <c r="P770" s="103"/>
      <c r="Q770" s="103"/>
      <c r="R770" s="103"/>
      <c r="S770" s="103"/>
      <c r="T770" s="103"/>
      <c r="U770" s="103"/>
      <c r="V770" s="103"/>
      <c r="W770" s="103"/>
      <c r="X770" s="103"/>
      <c r="Y770" s="103"/>
      <c r="Z770" s="103"/>
      <c r="AA770" s="103"/>
    </row>
    <row r="771" spans="1:27" ht="15.75" customHeight="1">
      <c r="A771" s="103"/>
      <c r="B771" s="103"/>
      <c r="C771" s="103"/>
      <c r="D771" s="103"/>
      <c r="E771" s="103"/>
      <c r="F771" s="124"/>
      <c r="G771" s="124"/>
      <c r="H771" s="103"/>
      <c r="I771" s="103"/>
      <c r="J771" s="103"/>
      <c r="K771" s="103"/>
      <c r="L771" s="103"/>
      <c r="M771" s="103"/>
      <c r="N771" s="103"/>
      <c r="O771" s="103"/>
      <c r="P771" s="103"/>
      <c r="Q771" s="103"/>
      <c r="R771" s="103"/>
      <c r="S771" s="103"/>
      <c r="T771" s="103"/>
      <c r="U771" s="103"/>
      <c r="V771" s="103"/>
      <c r="W771" s="103"/>
      <c r="X771" s="103"/>
      <c r="Y771" s="103"/>
      <c r="Z771" s="103"/>
      <c r="AA771" s="103"/>
    </row>
    <row r="772" spans="1:27" ht="15.75" customHeight="1">
      <c r="A772" s="103"/>
      <c r="B772" s="103"/>
      <c r="C772" s="103"/>
      <c r="D772" s="103"/>
      <c r="E772" s="103"/>
      <c r="F772" s="124"/>
      <c r="G772" s="124"/>
      <c r="H772" s="103"/>
      <c r="I772" s="103"/>
      <c r="J772" s="103"/>
      <c r="K772" s="103"/>
      <c r="L772" s="103"/>
      <c r="M772" s="103"/>
      <c r="N772" s="103"/>
      <c r="O772" s="103"/>
      <c r="P772" s="103"/>
      <c r="Q772" s="103"/>
      <c r="R772" s="103"/>
      <c r="S772" s="103"/>
      <c r="T772" s="103"/>
      <c r="U772" s="103"/>
      <c r="V772" s="103"/>
      <c r="W772" s="103"/>
      <c r="X772" s="103"/>
      <c r="Y772" s="103"/>
      <c r="Z772" s="103"/>
      <c r="AA772" s="103"/>
    </row>
    <row r="773" spans="1:27" ht="15.75" customHeight="1">
      <c r="A773" s="103"/>
      <c r="B773" s="103"/>
      <c r="C773" s="103"/>
      <c r="D773" s="103"/>
      <c r="E773" s="103"/>
      <c r="F773" s="124"/>
      <c r="G773" s="124"/>
      <c r="H773" s="103"/>
      <c r="I773" s="103"/>
      <c r="J773" s="103"/>
      <c r="K773" s="103"/>
      <c r="L773" s="103"/>
      <c r="M773" s="103"/>
      <c r="N773" s="103"/>
      <c r="O773" s="103"/>
      <c r="P773" s="103"/>
      <c r="Q773" s="103"/>
      <c r="R773" s="103"/>
      <c r="S773" s="103"/>
      <c r="T773" s="103"/>
      <c r="U773" s="103"/>
      <c r="V773" s="103"/>
      <c r="W773" s="103"/>
      <c r="X773" s="103"/>
      <c r="Y773" s="103"/>
      <c r="Z773" s="103"/>
      <c r="AA773" s="103"/>
    </row>
    <row r="774" spans="1:27" ht="15.75" customHeight="1">
      <c r="A774" s="103"/>
      <c r="B774" s="103"/>
      <c r="C774" s="103"/>
      <c r="D774" s="103"/>
      <c r="E774" s="103"/>
      <c r="F774" s="124"/>
      <c r="G774" s="124"/>
      <c r="H774" s="103"/>
      <c r="I774" s="103"/>
      <c r="J774" s="103"/>
      <c r="K774" s="103"/>
      <c r="L774" s="103"/>
      <c r="M774" s="103"/>
      <c r="N774" s="103"/>
      <c r="O774" s="103"/>
      <c r="P774" s="103"/>
      <c r="Q774" s="103"/>
      <c r="R774" s="103"/>
      <c r="S774" s="103"/>
      <c r="T774" s="103"/>
      <c r="U774" s="103"/>
      <c r="V774" s="103"/>
      <c r="W774" s="103"/>
      <c r="X774" s="103"/>
      <c r="Y774" s="103"/>
      <c r="Z774" s="103"/>
      <c r="AA774" s="103"/>
    </row>
    <row r="775" spans="1:27" ht="15.75" customHeight="1">
      <c r="A775" s="103"/>
      <c r="B775" s="103"/>
      <c r="C775" s="103"/>
      <c r="D775" s="103"/>
      <c r="E775" s="103"/>
      <c r="F775" s="124"/>
      <c r="G775" s="124"/>
      <c r="H775" s="103"/>
      <c r="I775" s="103"/>
      <c r="J775" s="103"/>
      <c r="K775" s="103"/>
      <c r="L775" s="103"/>
      <c r="M775" s="103"/>
      <c r="N775" s="103"/>
      <c r="O775" s="103"/>
      <c r="P775" s="103"/>
      <c r="Q775" s="103"/>
      <c r="R775" s="103"/>
      <c r="S775" s="103"/>
      <c r="T775" s="103"/>
      <c r="U775" s="103"/>
      <c r="V775" s="103"/>
      <c r="W775" s="103"/>
      <c r="X775" s="103"/>
      <c r="Y775" s="103"/>
      <c r="Z775" s="103"/>
      <c r="AA775" s="103"/>
    </row>
    <row r="776" spans="1:27" ht="15.75" customHeight="1">
      <c r="A776" s="103"/>
      <c r="B776" s="103"/>
      <c r="C776" s="103"/>
      <c r="D776" s="103"/>
      <c r="E776" s="103"/>
      <c r="F776" s="124"/>
      <c r="G776" s="124"/>
      <c r="H776" s="103"/>
      <c r="I776" s="103"/>
      <c r="J776" s="103"/>
      <c r="K776" s="103"/>
      <c r="L776" s="103"/>
      <c r="M776" s="103"/>
      <c r="N776" s="103"/>
      <c r="O776" s="103"/>
      <c r="P776" s="103"/>
      <c r="Q776" s="103"/>
      <c r="R776" s="103"/>
      <c r="S776" s="103"/>
      <c r="T776" s="103"/>
      <c r="U776" s="103"/>
      <c r="V776" s="103"/>
      <c r="W776" s="103"/>
      <c r="X776" s="103"/>
      <c r="Y776" s="103"/>
      <c r="Z776" s="103"/>
      <c r="AA776" s="103"/>
    </row>
    <row r="777" spans="1:27" ht="15.75" customHeight="1">
      <c r="A777" s="103"/>
      <c r="B777" s="103"/>
      <c r="C777" s="103"/>
      <c r="D777" s="103"/>
      <c r="E777" s="103"/>
      <c r="F777" s="124"/>
      <c r="G777" s="124"/>
      <c r="H777" s="103"/>
      <c r="I777" s="103"/>
      <c r="J777" s="103"/>
      <c r="K777" s="103"/>
      <c r="L777" s="103"/>
      <c r="M777" s="103"/>
      <c r="N777" s="103"/>
      <c r="O777" s="103"/>
      <c r="P777" s="103"/>
      <c r="Q777" s="103"/>
      <c r="R777" s="103"/>
      <c r="S777" s="103"/>
      <c r="T777" s="103"/>
      <c r="U777" s="103"/>
      <c r="V777" s="103"/>
      <c r="W777" s="103"/>
      <c r="X777" s="103"/>
      <c r="Y777" s="103"/>
      <c r="Z777" s="103"/>
      <c r="AA777" s="103"/>
    </row>
    <row r="778" spans="1:27" ht="15.75" customHeight="1">
      <c r="A778" s="103"/>
      <c r="B778" s="103"/>
      <c r="C778" s="103"/>
      <c r="D778" s="103"/>
      <c r="E778" s="103"/>
      <c r="F778" s="124"/>
      <c r="G778" s="124"/>
      <c r="H778" s="103"/>
      <c r="I778" s="103"/>
      <c r="J778" s="103"/>
      <c r="K778" s="103"/>
      <c r="L778" s="103"/>
      <c r="M778" s="103"/>
      <c r="N778" s="103"/>
      <c r="O778" s="103"/>
      <c r="P778" s="103"/>
      <c r="Q778" s="103"/>
      <c r="R778" s="103"/>
      <c r="S778" s="103"/>
      <c r="T778" s="103"/>
      <c r="U778" s="103"/>
      <c r="V778" s="103"/>
      <c r="W778" s="103"/>
      <c r="X778" s="103"/>
      <c r="Y778" s="103"/>
      <c r="Z778" s="103"/>
      <c r="AA778" s="103"/>
    </row>
    <row r="779" spans="1:27" ht="15.75" customHeight="1">
      <c r="A779" s="103"/>
      <c r="B779" s="103"/>
      <c r="C779" s="103"/>
      <c r="D779" s="103"/>
      <c r="E779" s="103"/>
      <c r="F779" s="124"/>
      <c r="G779" s="124"/>
      <c r="H779" s="103"/>
      <c r="I779" s="103"/>
      <c r="J779" s="103"/>
      <c r="K779" s="103"/>
      <c r="L779" s="103"/>
      <c r="M779" s="103"/>
      <c r="N779" s="103"/>
      <c r="O779" s="103"/>
      <c r="P779" s="103"/>
      <c r="Q779" s="103"/>
      <c r="R779" s="103"/>
      <c r="S779" s="103"/>
      <c r="T779" s="103"/>
      <c r="U779" s="103"/>
      <c r="V779" s="103"/>
      <c r="W779" s="103"/>
      <c r="X779" s="103"/>
      <c r="Y779" s="103"/>
      <c r="Z779" s="103"/>
      <c r="AA779" s="103"/>
    </row>
    <row r="780" spans="1:27" ht="15.75" customHeight="1">
      <c r="A780" s="103"/>
      <c r="B780" s="103"/>
      <c r="C780" s="103"/>
      <c r="D780" s="103"/>
      <c r="E780" s="103"/>
      <c r="F780" s="124"/>
      <c r="G780" s="124"/>
      <c r="H780" s="103"/>
      <c r="I780" s="103"/>
      <c r="J780" s="103"/>
      <c r="K780" s="103"/>
      <c r="L780" s="103"/>
      <c r="M780" s="103"/>
      <c r="N780" s="103"/>
      <c r="O780" s="103"/>
      <c r="P780" s="103"/>
      <c r="Q780" s="103"/>
      <c r="R780" s="103"/>
      <c r="S780" s="103"/>
      <c r="T780" s="103"/>
      <c r="U780" s="103"/>
      <c r="V780" s="103"/>
      <c r="W780" s="103"/>
      <c r="X780" s="103"/>
      <c r="Y780" s="103"/>
      <c r="Z780" s="103"/>
      <c r="AA780" s="103"/>
    </row>
    <row r="781" spans="1:27" ht="15.75" customHeight="1">
      <c r="A781" s="103"/>
      <c r="B781" s="103"/>
      <c r="C781" s="103"/>
      <c r="D781" s="103"/>
      <c r="E781" s="103"/>
      <c r="F781" s="124"/>
      <c r="G781" s="124"/>
      <c r="H781" s="103"/>
      <c r="I781" s="103"/>
      <c r="J781" s="103"/>
      <c r="K781" s="103"/>
      <c r="L781" s="103"/>
      <c r="M781" s="103"/>
      <c r="N781" s="103"/>
      <c r="O781" s="103"/>
      <c r="P781" s="103"/>
      <c r="Q781" s="103"/>
      <c r="R781" s="103"/>
      <c r="S781" s="103"/>
      <c r="T781" s="103"/>
      <c r="U781" s="103"/>
      <c r="V781" s="103"/>
      <c r="W781" s="103"/>
      <c r="X781" s="103"/>
      <c r="Y781" s="103"/>
      <c r="Z781" s="103"/>
      <c r="AA781" s="103"/>
    </row>
    <row r="782" spans="1:27" ht="15.75" customHeight="1">
      <c r="A782" s="103"/>
      <c r="B782" s="103"/>
      <c r="C782" s="103"/>
      <c r="D782" s="103"/>
      <c r="E782" s="103"/>
      <c r="F782" s="124"/>
      <c r="G782" s="124"/>
      <c r="H782" s="103"/>
      <c r="I782" s="103"/>
      <c r="J782" s="103"/>
      <c r="K782" s="103"/>
      <c r="L782" s="103"/>
      <c r="M782" s="103"/>
      <c r="N782" s="103"/>
      <c r="O782" s="103"/>
      <c r="P782" s="103"/>
      <c r="Q782" s="103"/>
      <c r="R782" s="103"/>
      <c r="S782" s="103"/>
      <c r="T782" s="103"/>
      <c r="U782" s="103"/>
      <c r="V782" s="103"/>
      <c r="W782" s="103"/>
      <c r="X782" s="103"/>
      <c r="Y782" s="103"/>
      <c r="Z782" s="103"/>
      <c r="AA782" s="103"/>
    </row>
    <row r="783" spans="1:27" ht="15.75" customHeight="1">
      <c r="A783" s="103"/>
      <c r="B783" s="103"/>
      <c r="C783" s="103"/>
      <c r="D783" s="103"/>
      <c r="E783" s="103"/>
      <c r="F783" s="124"/>
      <c r="G783" s="124"/>
      <c r="H783" s="103"/>
      <c r="I783" s="103"/>
      <c r="J783" s="103"/>
      <c r="K783" s="103"/>
      <c r="L783" s="103"/>
      <c r="M783" s="103"/>
      <c r="N783" s="103"/>
      <c r="O783" s="103"/>
      <c r="P783" s="103"/>
      <c r="Q783" s="103"/>
      <c r="R783" s="103"/>
      <c r="S783" s="103"/>
      <c r="T783" s="103"/>
      <c r="U783" s="103"/>
      <c r="V783" s="103"/>
      <c r="W783" s="103"/>
      <c r="X783" s="103"/>
      <c r="Y783" s="103"/>
      <c r="Z783" s="103"/>
      <c r="AA783" s="103"/>
    </row>
    <row r="784" spans="1:27" ht="15.75" customHeight="1">
      <c r="A784" s="103"/>
      <c r="B784" s="103"/>
      <c r="C784" s="103"/>
      <c r="D784" s="103"/>
      <c r="E784" s="103"/>
      <c r="F784" s="124"/>
      <c r="G784" s="124"/>
      <c r="H784" s="103"/>
      <c r="I784" s="103"/>
      <c r="J784" s="103"/>
      <c r="K784" s="103"/>
      <c r="L784" s="103"/>
      <c r="M784" s="103"/>
      <c r="N784" s="103"/>
      <c r="O784" s="103"/>
      <c r="P784" s="103"/>
      <c r="Q784" s="103"/>
      <c r="R784" s="103"/>
      <c r="S784" s="103"/>
      <c r="T784" s="103"/>
      <c r="U784" s="103"/>
      <c r="V784" s="103"/>
      <c r="W784" s="103"/>
      <c r="X784" s="103"/>
      <c r="Y784" s="103"/>
      <c r="Z784" s="103"/>
      <c r="AA784" s="103"/>
    </row>
    <row r="785" spans="1:27" ht="15.75" customHeight="1">
      <c r="A785" s="103"/>
      <c r="B785" s="103"/>
      <c r="C785" s="103"/>
      <c r="D785" s="103"/>
      <c r="E785" s="103"/>
      <c r="F785" s="124"/>
      <c r="G785" s="124"/>
      <c r="H785" s="103"/>
      <c r="I785" s="103"/>
      <c r="J785" s="103"/>
      <c r="K785" s="103"/>
      <c r="L785" s="103"/>
      <c r="M785" s="103"/>
      <c r="N785" s="103"/>
      <c r="O785" s="103"/>
      <c r="P785" s="103"/>
      <c r="Q785" s="103"/>
      <c r="R785" s="103"/>
      <c r="S785" s="103"/>
      <c r="T785" s="103"/>
      <c r="U785" s="103"/>
      <c r="V785" s="103"/>
      <c r="W785" s="103"/>
      <c r="X785" s="103"/>
      <c r="Y785" s="103"/>
      <c r="Z785" s="103"/>
      <c r="AA785" s="103"/>
    </row>
    <row r="786" spans="1:27" ht="15.75" customHeight="1">
      <c r="A786" s="103"/>
      <c r="B786" s="103"/>
      <c r="C786" s="103"/>
      <c r="D786" s="103"/>
      <c r="E786" s="103"/>
      <c r="F786" s="124"/>
      <c r="G786" s="124"/>
      <c r="H786" s="103"/>
      <c r="I786" s="103"/>
      <c r="J786" s="103"/>
      <c r="K786" s="103"/>
      <c r="L786" s="103"/>
      <c r="M786" s="103"/>
      <c r="N786" s="103"/>
      <c r="O786" s="103"/>
      <c r="P786" s="103"/>
      <c r="Q786" s="103"/>
      <c r="R786" s="103"/>
      <c r="S786" s="103"/>
      <c r="T786" s="103"/>
      <c r="U786" s="103"/>
      <c r="V786" s="103"/>
      <c r="W786" s="103"/>
      <c r="X786" s="103"/>
      <c r="Y786" s="103"/>
      <c r="Z786" s="103"/>
      <c r="AA786" s="103"/>
    </row>
    <row r="787" spans="1:27" ht="15.75" customHeight="1">
      <c r="A787" s="103"/>
      <c r="B787" s="103"/>
      <c r="C787" s="103"/>
      <c r="D787" s="103"/>
      <c r="E787" s="103"/>
      <c r="F787" s="124"/>
      <c r="G787" s="124"/>
      <c r="H787" s="103"/>
      <c r="I787" s="103"/>
      <c r="J787" s="103"/>
      <c r="K787" s="103"/>
      <c r="L787" s="103"/>
      <c r="M787" s="103"/>
      <c r="N787" s="103"/>
      <c r="O787" s="103"/>
      <c r="P787" s="103"/>
      <c r="Q787" s="103"/>
      <c r="R787" s="103"/>
      <c r="S787" s="103"/>
      <c r="T787" s="103"/>
      <c r="U787" s="103"/>
      <c r="V787" s="103"/>
      <c r="W787" s="103"/>
      <c r="X787" s="103"/>
      <c r="Y787" s="103"/>
      <c r="Z787" s="103"/>
      <c r="AA787" s="103"/>
    </row>
    <row r="788" spans="1:27" ht="15.75" customHeight="1">
      <c r="A788" s="103"/>
      <c r="B788" s="103"/>
      <c r="C788" s="103"/>
      <c r="D788" s="103"/>
      <c r="E788" s="103"/>
      <c r="F788" s="124"/>
      <c r="G788" s="124"/>
      <c r="H788" s="103"/>
      <c r="I788" s="103"/>
      <c r="J788" s="103"/>
      <c r="K788" s="103"/>
      <c r="L788" s="103"/>
      <c r="M788" s="103"/>
      <c r="N788" s="103"/>
      <c r="O788" s="103"/>
      <c r="P788" s="103"/>
      <c r="Q788" s="103"/>
      <c r="R788" s="103"/>
      <c r="S788" s="103"/>
      <c r="T788" s="103"/>
      <c r="U788" s="103"/>
      <c r="V788" s="103"/>
      <c r="W788" s="103"/>
      <c r="X788" s="103"/>
      <c r="Y788" s="103"/>
      <c r="Z788" s="103"/>
      <c r="AA788" s="103"/>
    </row>
    <row r="789" spans="1:27" ht="15.75" customHeight="1">
      <c r="A789" s="103"/>
      <c r="B789" s="103"/>
      <c r="C789" s="103"/>
      <c r="D789" s="103"/>
      <c r="E789" s="103"/>
      <c r="F789" s="124"/>
      <c r="G789" s="124"/>
      <c r="H789" s="103"/>
      <c r="I789" s="103"/>
      <c r="J789" s="103"/>
      <c r="K789" s="103"/>
      <c r="L789" s="103"/>
      <c r="M789" s="103"/>
      <c r="N789" s="103"/>
      <c r="O789" s="103"/>
      <c r="P789" s="103"/>
      <c r="Q789" s="103"/>
      <c r="R789" s="103"/>
      <c r="S789" s="103"/>
      <c r="T789" s="103"/>
      <c r="U789" s="103"/>
      <c r="V789" s="103"/>
      <c r="W789" s="103"/>
      <c r="X789" s="103"/>
      <c r="Y789" s="103"/>
      <c r="Z789" s="103"/>
      <c r="AA789" s="103"/>
    </row>
    <row r="790" spans="1:27" ht="15.75" customHeight="1">
      <c r="A790" s="103"/>
      <c r="B790" s="103"/>
      <c r="C790" s="103"/>
      <c r="D790" s="103"/>
      <c r="E790" s="103"/>
      <c r="F790" s="124"/>
      <c r="G790" s="124"/>
      <c r="H790" s="103"/>
      <c r="I790" s="103"/>
      <c r="J790" s="103"/>
      <c r="K790" s="103"/>
      <c r="L790" s="103"/>
      <c r="M790" s="103"/>
      <c r="N790" s="103"/>
      <c r="O790" s="103"/>
      <c r="P790" s="103"/>
      <c r="Q790" s="103"/>
      <c r="R790" s="103"/>
      <c r="S790" s="103"/>
      <c r="T790" s="103"/>
      <c r="U790" s="103"/>
      <c r="V790" s="103"/>
      <c r="W790" s="103"/>
      <c r="X790" s="103"/>
      <c r="Y790" s="103"/>
      <c r="Z790" s="103"/>
      <c r="AA790" s="103"/>
    </row>
    <row r="791" spans="1:27" ht="15.75" customHeight="1">
      <c r="A791" s="103"/>
      <c r="B791" s="103"/>
      <c r="C791" s="103"/>
      <c r="D791" s="103"/>
      <c r="E791" s="103"/>
      <c r="F791" s="124"/>
      <c r="G791" s="124"/>
      <c r="H791" s="103"/>
      <c r="I791" s="103"/>
      <c r="J791" s="103"/>
      <c r="K791" s="103"/>
      <c r="L791" s="103"/>
      <c r="M791" s="103"/>
      <c r="N791" s="103"/>
      <c r="O791" s="103"/>
      <c r="P791" s="103"/>
      <c r="Q791" s="103"/>
      <c r="R791" s="103"/>
      <c r="S791" s="103"/>
      <c r="T791" s="103"/>
      <c r="U791" s="103"/>
      <c r="V791" s="103"/>
      <c r="W791" s="103"/>
      <c r="X791" s="103"/>
      <c r="Y791" s="103"/>
      <c r="Z791" s="103"/>
      <c r="AA791" s="103"/>
    </row>
    <row r="792" spans="1:27" ht="15.75" customHeight="1">
      <c r="A792" s="103"/>
      <c r="B792" s="103"/>
      <c r="C792" s="103"/>
      <c r="D792" s="103"/>
      <c r="E792" s="103"/>
      <c r="F792" s="124"/>
      <c r="G792" s="124"/>
      <c r="H792" s="103"/>
      <c r="I792" s="103"/>
      <c r="J792" s="103"/>
      <c r="K792" s="103"/>
      <c r="L792" s="103"/>
      <c r="M792" s="103"/>
      <c r="N792" s="103"/>
      <c r="O792" s="103"/>
      <c r="P792" s="103"/>
      <c r="Q792" s="103"/>
      <c r="R792" s="103"/>
      <c r="S792" s="103"/>
      <c r="T792" s="103"/>
      <c r="U792" s="103"/>
      <c r="V792" s="103"/>
      <c r="W792" s="103"/>
      <c r="X792" s="103"/>
      <c r="Y792" s="103"/>
      <c r="Z792" s="103"/>
      <c r="AA792" s="103"/>
    </row>
    <row r="793" spans="1:27" ht="15.75" customHeight="1">
      <c r="A793" s="103"/>
      <c r="B793" s="103"/>
      <c r="C793" s="103"/>
      <c r="D793" s="103"/>
      <c r="E793" s="103"/>
      <c r="F793" s="124"/>
      <c r="G793" s="124"/>
      <c r="H793" s="103"/>
      <c r="I793" s="103"/>
      <c r="J793" s="103"/>
      <c r="K793" s="103"/>
      <c r="L793" s="103"/>
      <c r="M793" s="103"/>
      <c r="N793" s="103"/>
      <c r="O793" s="103"/>
      <c r="P793" s="103"/>
      <c r="Q793" s="103"/>
      <c r="R793" s="103"/>
      <c r="S793" s="103"/>
      <c r="T793" s="103"/>
      <c r="U793" s="103"/>
      <c r="V793" s="103"/>
      <c r="W793" s="103"/>
      <c r="X793" s="103"/>
      <c r="Y793" s="103"/>
      <c r="Z793" s="103"/>
      <c r="AA793" s="103"/>
    </row>
    <row r="794" spans="1:27" ht="15.75" customHeight="1">
      <c r="A794" s="103"/>
      <c r="B794" s="103"/>
      <c r="C794" s="103"/>
      <c r="D794" s="103"/>
      <c r="E794" s="103"/>
      <c r="F794" s="124"/>
      <c r="G794" s="124"/>
      <c r="H794" s="103"/>
      <c r="I794" s="103"/>
      <c r="J794" s="103"/>
      <c r="K794" s="103"/>
      <c r="L794" s="103"/>
      <c r="M794" s="103"/>
      <c r="N794" s="103"/>
      <c r="O794" s="103"/>
      <c r="P794" s="103"/>
      <c r="Q794" s="103"/>
      <c r="R794" s="103"/>
      <c r="S794" s="103"/>
      <c r="T794" s="103"/>
      <c r="U794" s="103"/>
      <c r="V794" s="103"/>
      <c r="W794" s="103"/>
      <c r="X794" s="103"/>
      <c r="Y794" s="103"/>
      <c r="Z794" s="103"/>
      <c r="AA794" s="103"/>
    </row>
    <row r="795" spans="1:27" ht="15.75" customHeight="1">
      <c r="A795" s="103"/>
      <c r="B795" s="103"/>
      <c r="C795" s="103"/>
      <c r="D795" s="103"/>
      <c r="E795" s="103"/>
      <c r="F795" s="124"/>
      <c r="G795" s="124"/>
      <c r="H795" s="103"/>
      <c r="I795" s="103"/>
      <c r="J795" s="103"/>
      <c r="K795" s="103"/>
      <c r="L795" s="103"/>
      <c r="M795" s="103"/>
      <c r="N795" s="103"/>
      <c r="O795" s="103"/>
      <c r="P795" s="103"/>
      <c r="Q795" s="103"/>
      <c r="R795" s="103"/>
      <c r="S795" s="103"/>
      <c r="T795" s="103"/>
      <c r="U795" s="103"/>
      <c r="V795" s="103"/>
      <c r="W795" s="103"/>
      <c r="X795" s="103"/>
      <c r="Y795" s="103"/>
      <c r="Z795" s="103"/>
      <c r="AA795" s="103"/>
    </row>
    <row r="796" spans="1:27" ht="15.75" customHeight="1">
      <c r="A796" s="103"/>
      <c r="B796" s="103"/>
      <c r="C796" s="103"/>
      <c r="D796" s="103"/>
      <c r="E796" s="103"/>
      <c r="F796" s="124"/>
      <c r="G796" s="124"/>
      <c r="H796" s="103"/>
      <c r="I796" s="103"/>
      <c r="J796" s="103"/>
      <c r="K796" s="103"/>
      <c r="L796" s="103"/>
      <c r="M796" s="103"/>
      <c r="N796" s="103"/>
      <c r="O796" s="103"/>
      <c r="P796" s="103"/>
      <c r="Q796" s="103"/>
      <c r="R796" s="103"/>
      <c r="S796" s="103"/>
      <c r="T796" s="103"/>
      <c r="U796" s="103"/>
      <c r="V796" s="103"/>
      <c r="W796" s="103"/>
      <c r="X796" s="103"/>
      <c r="Y796" s="103"/>
      <c r="Z796" s="103"/>
      <c r="AA796" s="103"/>
    </row>
    <row r="797" spans="1:27" ht="15.75" customHeight="1">
      <c r="A797" s="103"/>
      <c r="B797" s="103"/>
      <c r="C797" s="103"/>
      <c r="D797" s="103"/>
      <c r="E797" s="103"/>
      <c r="F797" s="124"/>
      <c r="G797" s="124"/>
      <c r="H797" s="103"/>
      <c r="I797" s="103"/>
      <c r="J797" s="103"/>
      <c r="K797" s="103"/>
      <c r="L797" s="103"/>
      <c r="M797" s="103"/>
      <c r="N797" s="103"/>
      <c r="O797" s="103"/>
      <c r="P797" s="103"/>
      <c r="Q797" s="103"/>
      <c r="R797" s="103"/>
      <c r="S797" s="103"/>
      <c r="T797" s="103"/>
      <c r="U797" s="103"/>
      <c r="V797" s="103"/>
      <c r="W797" s="103"/>
      <c r="X797" s="103"/>
      <c r="Y797" s="103"/>
      <c r="Z797" s="103"/>
      <c r="AA797" s="103"/>
    </row>
    <row r="798" spans="1:27" ht="15.75" customHeight="1">
      <c r="A798" s="103"/>
      <c r="B798" s="103"/>
      <c r="C798" s="103"/>
      <c r="D798" s="103"/>
      <c r="E798" s="103"/>
      <c r="F798" s="124"/>
      <c r="G798" s="124"/>
      <c r="H798" s="103"/>
      <c r="I798" s="103"/>
      <c r="J798" s="103"/>
      <c r="K798" s="103"/>
      <c r="L798" s="103"/>
      <c r="M798" s="103"/>
      <c r="N798" s="103"/>
      <c r="O798" s="103"/>
      <c r="P798" s="103"/>
      <c r="Q798" s="103"/>
      <c r="R798" s="103"/>
      <c r="S798" s="103"/>
      <c r="T798" s="103"/>
      <c r="U798" s="103"/>
      <c r="V798" s="103"/>
      <c r="W798" s="103"/>
      <c r="X798" s="103"/>
      <c r="Y798" s="103"/>
      <c r="Z798" s="103"/>
      <c r="AA798" s="103"/>
    </row>
    <row r="799" spans="1:27" ht="15.75" customHeight="1">
      <c r="A799" s="103"/>
      <c r="B799" s="103"/>
      <c r="C799" s="103"/>
      <c r="D799" s="103"/>
      <c r="E799" s="103"/>
      <c r="F799" s="124"/>
      <c r="G799" s="124"/>
      <c r="H799" s="103"/>
      <c r="I799" s="103"/>
      <c r="J799" s="103"/>
      <c r="K799" s="103"/>
      <c r="L799" s="103"/>
      <c r="M799" s="103"/>
      <c r="N799" s="103"/>
      <c r="O799" s="103"/>
      <c r="P799" s="103"/>
      <c r="Q799" s="103"/>
      <c r="R799" s="103"/>
      <c r="S799" s="103"/>
      <c r="T799" s="103"/>
      <c r="U799" s="103"/>
      <c r="V799" s="103"/>
      <c r="W799" s="103"/>
      <c r="X799" s="103"/>
      <c r="Y799" s="103"/>
      <c r="Z799" s="103"/>
      <c r="AA799" s="103"/>
    </row>
    <row r="800" spans="1:27" ht="15.75" customHeight="1">
      <c r="A800" s="103"/>
      <c r="B800" s="103"/>
      <c r="C800" s="103"/>
      <c r="D800" s="103"/>
      <c r="E800" s="103"/>
      <c r="F800" s="124"/>
      <c r="G800" s="124"/>
      <c r="H800" s="103"/>
      <c r="I800" s="103"/>
      <c r="J800" s="103"/>
      <c r="K800" s="103"/>
      <c r="L800" s="103"/>
      <c r="M800" s="103"/>
      <c r="N800" s="103"/>
      <c r="O800" s="103"/>
      <c r="P800" s="103"/>
      <c r="Q800" s="103"/>
      <c r="R800" s="103"/>
      <c r="S800" s="103"/>
      <c r="T800" s="103"/>
      <c r="U800" s="103"/>
      <c r="V800" s="103"/>
      <c r="W800" s="103"/>
      <c r="X800" s="103"/>
      <c r="Y800" s="103"/>
      <c r="Z800" s="103"/>
      <c r="AA800" s="103"/>
    </row>
    <row r="801" spans="1:27" ht="15.75" customHeight="1">
      <c r="A801" s="103"/>
      <c r="B801" s="103"/>
      <c r="C801" s="103"/>
      <c r="D801" s="103"/>
      <c r="E801" s="103"/>
      <c r="F801" s="124"/>
      <c r="G801" s="124"/>
      <c r="H801" s="103"/>
      <c r="I801" s="103"/>
      <c r="J801" s="103"/>
      <c r="K801" s="103"/>
      <c r="L801" s="103"/>
      <c r="M801" s="103"/>
      <c r="N801" s="103"/>
      <c r="O801" s="103"/>
      <c r="P801" s="103"/>
      <c r="Q801" s="103"/>
      <c r="R801" s="103"/>
      <c r="S801" s="103"/>
      <c r="T801" s="103"/>
      <c r="U801" s="103"/>
      <c r="V801" s="103"/>
      <c r="W801" s="103"/>
      <c r="X801" s="103"/>
      <c r="Y801" s="103"/>
      <c r="Z801" s="103"/>
      <c r="AA801" s="103"/>
    </row>
    <row r="802" spans="1:27" ht="15.75" customHeight="1">
      <c r="A802" s="103"/>
      <c r="B802" s="103"/>
      <c r="C802" s="103"/>
      <c r="D802" s="103"/>
      <c r="E802" s="103"/>
      <c r="F802" s="124"/>
      <c r="G802" s="124"/>
      <c r="H802" s="103"/>
      <c r="I802" s="103"/>
      <c r="J802" s="103"/>
      <c r="K802" s="103"/>
      <c r="L802" s="103"/>
      <c r="M802" s="103"/>
      <c r="N802" s="103"/>
      <c r="O802" s="103"/>
      <c r="P802" s="103"/>
      <c r="Q802" s="103"/>
      <c r="R802" s="103"/>
      <c r="S802" s="103"/>
      <c r="T802" s="103"/>
      <c r="U802" s="103"/>
      <c r="V802" s="103"/>
      <c r="W802" s="103"/>
      <c r="X802" s="103"/>
      <c r="Y802" s="103"/>
      <c r="Z802" s="103"/>
      <c r="AA802" s="103"/>
    </row>
    <row r="803" spans="1:27" ht="15.75" customHeight="1">
      <c r="A803" s="103"/>
      <c r="B803" s="103"/>
      <c r="C803" s="103"/>
      <c r="D803" s="103"/>
      <c r="E803" s="103"/>
      <c r="F803" s="124"/>
      <c r="G803" s="124"/>
      <c r="H803" s="103"/>
      <c r="I803" s="103"/>
      <c r="J803" s="103"/>
      <c r="K803" s="103"/>
      <c r="L803" s="103"/>
      <c r="M803" s="103"/>
      <c r="N803" s="103"/>
      <c r="O803" s="103"/>
      <c r="P803" s="103"/>
      <c r="Q803" s="103"/>
      <c r="R803" s="103"/>
      <c r="S803" s="103"/>
      <c r="T803" s="103"/>
      <c r="U803" s="103"/>
      <c r="V803" s="103"/>
      <c r="W803" s="103"/>
      <c r="X803" s="103"/>
      <c r="Y803" s="103"/>
      <c r="Z803" s="103"/>
      <c r="AA803" s="103"/>
    </row>
    <row r="804" spans="1:27" ht="15.75" customHeight="1">
      <c r="A804" s="103"/>
      <c r="B804" s="103"/>
      <c r="C804" s="103"/>
      <c r="D804" s="103"/>
      <c r="E804" s="103"/>
      <c r="F804" s="124"/>
      <c r="G804" s="124"/>
      <c r="H804" s="103"/>
      <c r="I804" s="103"/>
      <c r="J804" s="103"/>
      <c r="K804" s="103"/>
      <c r="L804" s="103"/>
      <c r="M804" s="103"/>
      <c r="N804" s="103"/>
      <c r="O804" s="103"/>
      <c r="P804" s="103"/>
      <c r="Q804" s="103"/>
      <c r="R804" s="103"/>
      <c r="S804" s="103"/>
      <c r="T804" s="103"/>
      <c r="U804" s="103"/>
      <c r="V804" s="103"/>
      <c r="W804" s="103"/>
      <c r="X804" s="103"/>
      <c r="Y804" s="103"/>
      <c r="Z804" s="103"/>
      <c r="AA804" s="103"/>
    </row>
    <row r="805" spans="1:27" ht="15.75" customHeight="1">
      <c r="A805" s="103"/>
      <c r="B805" s="103"/>
      <c r="C805" s="103"/>
      <c r="D805" s="103"/>
      <c r="E805" s="103"/>
      <c r="F805" s="124"/>
      <c r="G805" s="124"/>
      <c r="H805" s="103"/>
      <c r="I805" s="103"/>
      <c r="J805" s="103"/>
      <c r="K805" s="103"/>
      <c r="L805" s="103"/>
      <c r="M805" s="103"/>
      <c r="N805" s="103"/>
      <c r="O805" s="103"/>
      <c r="P805" s="103"/>
      <c r="Q805" s="103"/>
      <c r="R805" s="103"/>
      <c r="S805" s="103"/>
      <c r="T805" s="103"/>
      <c r="U805" s="103"/>
      <c r="V805" s="103"/>
      <c r="W805" s="103"/>
      <c r="X805" s="103"/>
      <c r="Y805" s="103"/>
      <c r="Z805" s="103"/>
      <c r="AA805" s="103"/>
    </row>
    <row r="806" spans="1:27" ht="15.75" customHeight="1">
      <c r="A806" s="103"/>
      <c r="B806" s="103"/>
      <c r="C806" s="103"/>
      <c r="D806" s="103"/>
      <c r="E806" s="103"/>
      <c r="F806" s="124"/>
      <c r="G806" s="124"/>
      <c r="H806" s="103"/>
      <c r="I806" s="103"/>
      <c r="J806" s="103"/>
      <c r="K806" s="103"/>
      <c r="L806" s="103"/>
      <c r="M806" s="103"/>
      <c r="N806" s="103"/>
      <c r="O806" s="103"/>
      <c r="P806" s="103"/>
      <c r="Q806" s="103"/>
      <c r="R806" s="103"/>
      <c r="S806" s="103"/>
      <c r="T806" s="103"/>
      <c r="U806" s="103"/>
      <c r="V806" s="103"/>
      <c r="W806" s="103"/>
      <c r="X806" s="103"/>
      <c r="Y806" s="103"/>
      <c r="Z806" s="103"/>
      <c r="AA806" s="103"/>
    </row>
    <row r="807" spans="1:27" ht="15.75" customHeight="1">
      <c r="A807" s="103"/>
      <c r="B807" s="103"/>
      <c r="C807" s="103"/>
      <c r="D807" s="103"/>
      <c r="E807" s="103"/>
      <c r="F807" s="124"/>
      <c r="G807" s="124"/>
      <c r="H807" s="103"/>
      <c r="I807" s="103"/>
      <c r="J807" s="103"/>
      <c r="K807" s="103"/>
      <c r="L807" s="103"/>
      <c r="M807" s="103"/>
      <c r="N807" s="103"/>
      <c r="O807" s="103"/>
      <c r="P807" s="103"/>
      <c r="Q807" s="103"/>
      <c r="R807" s="103"/>
      <c r="S807" s="103"/>
      <c r="T807" s="103"/>
      <c r="U807" s="103"/>
      <c r="V807" s="103"/>
      <c r="W807" s="103"/>
      <c r="X807" s="103"/>
      <c r="Y807" s="103"/>
      <c r="Z807" s="103"/>
      <c r="AA807" s="103"/>
    </row>
    <row r="808" spans="1:27" ht="15.75" customHeight="1">
      <c r="A808" s="103"/>
      <c r="B808" s="103"/>
      <c r="C808" s="103"/>
      <c r="D808" s="103"/>
      <c r="E808" s="103"/>
      <c r="F808" s="124"/>
      <c r="G808" s="124"/>
      <c r="H808" s="103"/>
      <c r="I808" s="103"/>
      <c r="J808" s="103"/>
      <c r="K808" s="103"/>
      <c r="L808" s="103"/>
      <c r="M808" s="103"/>
      <c r="N808" s="103"/>
      <c r="O808" s="103"/>
      <c r="P808" s="103"/>
      <c r="Q808" s="103"/>
      <c r="R808" s="103"/>
      <c r="S808" s="103"/>
      <c r="T808" s="103"/>
      <c r="U808" s="103"/>
      <c r="V808" s="103"/>
      <c r="W808" s="103"/>
      <c r="X808" s="103"/>
      <c r="Y808" s="103"/>
      <c r="Z808" s="103"/>
      <c r="AA808" s="103"/>
    </row>
    <row r="809" spans="1:27" ht="15.75" customHeight="1">
      <c r="A809" s="103"/>
      <c r="B809" s="103"/>
      <c r="C809" s="103"/>
      <c r="D809" s="103"/>
      <c r="E809" s="103"/>
      <c r="F809" s="124"/>
      <c r="G809" s="124"/>
      <c r="H809" s="103"/>
      <c r="I809" s="103"/>
      <c r="J809" s="103"/>
      <c r="K809" s="103"/>
      <c r="L809" s="103"/>
      <c r="M809" s="103"/>
      <c r="N809" s="103"/>
      <c r="O809" s="103"/>
      <c r="P809" s="103"/>
      <c r="Q809" s="103"/>
      <c r="R809" s="103"/>
      <c r="S809" s="103"/>
      <c r="T809" s="103"/>
      <c r="U809" s="103"/>
      <c r="V809" s="103"/>
      <c r="W809" s="103"/>
      <c r="X809" s="103"/>
      <c r="Y809" s="103"/>
      <c r="Z809" s="103"/>
      <c r="AA809" s="103"/>
    </row>
    <row r="810" spans="1:27" ht="15.75" customHeight="1">
      <c r="A810" s="103"/>
      <c r="B810" s="103"/>
      <c r="C810" s="103"/>
      <c r="D810" s="103"/>
      <c r="E810" s="103"/>
      <c r="F810" s="124"/>
      <c r="G810" s="124"/>
      <c r="H810" s="103"/>
      <c r="I810" s="103"/>
      <c r="J810" s="103"/>
      <c r="K810" s="103"/>
      <c r="L810" s="103"/>
      <c r="M810" s="103"/>
      <c r="N810" s="103"/>
      <c r="O810" s="103"/>
      <c r="P810" s="103"/>
      <c r="Q810" s="103"/>
      <c r="R810" s="103"/>
      <c r="S810" s="103"/>
      <c r="T810" s="103"/>
      <c r="U810" s="103"/>
      <c r="V810" s="103"/>
      <c r="W810" s="103"/>
      <c r="X810" s="103"/>
      <c r="Y810" s="103"/>
      <c r="Z810" s="103"/>
      <c r="AA810" s="103"/>
    </row>
    <row r="811" spans="1:27" ht="15.75" customHeight="1">
      <c r="A811" s="103"/>
      <c r="B811" s="103"/>
      <c r="C811" s="103"/>
      <c r="D811" s="103"/>
      <c r="E811" s="103"/>
      <c r="F811" s="124"/>
      <c r="G811" s="124"/>
      <c r="H811" s="103"/>
      <c r="I811" s="103"/>
      <c r="J811" s="103"/>
      <c r="K811" s="103"/>
      <c r="L811" s="103"/>
      <c r="M811" s="103"/>
      <c r="N811" s="103"/>
      <c r="O811" s="103"/>
      <c r="P811" s="103"/>
      <c r="Q811" s="103"/>
      <c r="R811" s="103"/>
      <c r="S811" s="103"/>
      <c r="T811" s="103"/>
      <c r="U811" s="103"/>
      <c r="V811" s="103"/>
      <c r="W811" s="103"/>
      <c r="X811" s="103"/>
      <c r="Y811" s="103"/>
      <c r="Z811" s="103"/>
      <c r="AA811" s="103"/>
    </row>
    <row r="812" spans="1:27" ht="15.75" customHeight="1">
      <c r="A812" s="103"/>
      <c r="B812" s="103"/>
      <c r="C812" s="103"/>
      <c r="D812" s="103"/>
      <c r="E812" s="103"/>
      <c r="F812" s="124"/>
      <c r="G812" s="124"/>
      <c r="H812" s="103"/>
      <c r="I812" s="103"/>
      <c r="J812" s="103"/>
      <c r="K812" s="103"/>
      <c r="L812" s="103"/>
      <c r="M812" s="103"/>
      <c r="N812" s="103"/>
      <c r="O812" s="103"/>
      <c r="P812" s="103"/>
      <c r="Q812" s="103"/>
      <c r="R812" s="103"/>
      <c r="S812" s="103"/>
      <c r="T812" s="103"/>
      <c r="U812" s="103"/>
      <c r="V812" s="103"/>
      <c r="W812" s="103"/>
      <c r="X812" s="103"/>
      <c r="Y812" s="103"/>
      <c r="Z812" s="103"/>
      <c r="AA812" s="103"/>
    </row>
    <row r="813" spans="1:27" ht="15.75" customHeight="1">
      <c r="A813" s="103"/>
      <c r="B813" s="103"/>
      <c r="C813" s="103"/>
      <c r="D813" s="103"/>
      <c r="E813" s="103"/>
      <c r="F813" s="124"/>
      <c r="G813" s="124"/>
      <c r="H813" s="103"/>
      <c r="I813" s="103"/>
      <c r="J813" s="103"/>
      <c r="K813" s="103"/>
      <c r="L813" s="103"/>
      <c r="M813" s="103"/>
      <c r="N813" s="103"/>
      <c r="O813" s="103"/>
      <c r="P813" s="103"/>
      <c r="Q813" s="103"/>
      <c r="R813" s="103"/>
      <c r="S813" s="103"/>
      <c r="T813" s="103"/>
      <c r="U813" s="103"/>
      <c r="V813" s="103"/>
      <c r="W813" s="103"/>
      <c r="X813" s="103"/>
      <c r="Y813" s="103"/>
      <c r="Z813" s="103"/>
      <c r="AA813" s="103"/>
    </row>
    <row r="814" spans="1:27" ht="15.75" customHeight="1">
      <c r="A814" s="103"/>
      <c r="B814" s="103"/>
      <c r="C814" s="103"/>
      <c r="D814" s="103"/>
      <c r="E814" s="103"/>
      <c r="F814" s="124"/>
      <c r="G814" s="124"/>
      <c r="H814" s="103"/>
      <c r="I814" s="103"/>
      <c r="J814" s="103"/>
      <c r="K814" s="103"/>
      <c r="L814" s="103"/>
      <c r="M814" s="103"/>
      <c r="N814" s="103"/>
      <c r="O814" s="103"/>
      <c r="P814" s="103"/>
      <c r="Q814" s="103"/>
      <c r="R814" s="103"/>
      <c r="S814" s="103"/>
      <c r="T814" s="103"/>
      <c r="U814" s="103"/>
      <c r="V814" s="103"/>
      <c r="W814" s="103"/>
      <c r="X814" s="103"/>
      <c r="Y814" s="103"/>
      <c r="Z814" s="103"/>
      <c r="AA814" s="103"/>
    </row>
    <row r="815" spans="1:27" ht="15.75" customHeight="1">
      <c r="A815" s="103"/>
      <c r="B815" s="103"/>
      <c r="C815" s="103"/>
      <c r="D815" s="103"/>
      <c r="E815" s="103"/>
      <c r="F815" s="124"/>
      <c r="G815" s="124"/>
      <c r="H815" s="103"/>
      <c r="I815" s="103"/>
      <c r="J815" s="103"/>
      <c r="K815" s="103"/>
      <c r="L815" s="103"/>
      <c r="M815" s="103"/>
      <c r="N815" s="103"/>
      <c r="O815" s="103"/>
      <c r="P815" s="103"/>
      <c r="Q815" s="103"/>
      <c r="R815" s="103"/>
      <c r="S815" s="103"/>
      <c r="T815" s="103"/>
      <c r="U815" s="103"/>
      <c r="V815" s="103"/>
      <c r="W815" s="103"/>
      <c r="X815" s="103"/>
      <c r="Y815" s="103"/>
      <c r="Z815" s="103"/>
      <c r="AA815" s="103"/>
    </row>
    <row r="816" spans="1:27" ht="15.75" customHeight="1">
      <c r="A816" s="103"/>
      <c r="B816" s="103"/>
      <c r="C816" s="103"/>
      <c r="D816" s="103"/>
      <c r="E816" s="103"/>
      <c r="F816" s="124"/>
      <c r="G816" s="124"/>
      <c r="H816" s="103"/>
      <c r="I816" s="103"/>
      <c r="J816" s="103"/>
      <c r="K816" s="103"/>
      <c r="L816" s="103"/>
      <c r="M816" s="103"/>
      <c r="N816" s="103"/>
      <c r="O816" s="103"/>
      <c r="P816" s="103"/>
      <c r="Q816" s="103"/>
      <c r="R816" s="103"/>
      <c r="S816" s="103"/>
      <c r="T816" s="103"/>
      <c r="U816" s="103"/>
      <c r="V816" s="103"/>
      <c r="W816" s="103"/>
      <c r="X816" s="103"/>
      <c r="Y816" s="103"/>
      <c r="Z816" s="103"/>
      <c r="AA816" s="103"/>
    </row>
    <row r="817" spans="1:27" ht="15.75" customHeight="1">
      <c r="A817" s="103"/>
      <c r="B817" s="103"/>
      <c r="C817" s="103"/>
      <c r="D817" s="103"/>
      <c r="E817" s="103"/>
      <c r="F817" s="124"/>
      <c r="G817" s="124"/>
      <c r="H817" s="103"/>
      <c r="I817" s="103"/>
      <c r="J817" s="103"/>
      <c r="K817" s="103"/>
      <c r="L817" s="103"/>
      <c r="M817" s="103"/>
      <c r="N817" s="103"/>
      <c r="O817" s="103"/>
      <c r="P817" s="103"/>
      <c r="Q817" s="103"/>
      <c r="R817" s="103"/>
      <c r="S817" s="103"/>
      <c r="T817" s="103"/>
      <c r="U817" s="103"/>
      <c r="V817" s="103"/>
      <c r="W817" s="103"/>
      <c r="X817" s="103"/>
      <c r="Y817" s="103"/>
      <c r="Z817" s="103"/>
      <c r="AA817" s="103"/>
    </row>
    <row r="818" spans="1:27" ht="15.75" customHeight="1">
      <c r="A818" s="103"/>
      <c r="B818" s="103"/>
      <c r="C818" s="103"/>
      <c r="D818" s="103"/>
      <c r="E818" s="103"/>
      <c r="F818" s="124"/>
      <c r="G818" s="124"/>
      <c r="H818" s="103"/>
      <c r="I818" s="103"/>
      <c r="J818" s="103"/>
      <c r="K818" s="103"/>
      <c r="L818" s="103"/>
      <c r="M818" s="103"/>
      <c r="N818" s="103"/>
      <c r="O818" s="103"/>
      <c r="P818" s="103"/>
      <c r="Q818" s="103"/>
      <c r="R818" s="103"/>
      <c r="S818" s="103"/>
      <c r="T818" s="103"/>
      <c r="U818" s="103"/>
      <c r="V818" s="103"/>
      <c r="W818" s="103"/>
      <c r="X818" s="103"/>
      <c r="Y818" s="103"/>
      <c r="Z818" s="103"/>
      <c r="AA818" s="103"/>
    </row>
    <row r="819" spans="1:27" ht="15.75" customHeight="1">
      <c r="A819" s="103"/>
      <c r="B819" s="103"/>
      <c r="C819" s="103"/>
      <c r="D819" s="103"/>
      <c r="E819" s="103"/>
      <c r="F819" s="124"/>
      <c r="G819" s="124"/>
      <c r="H819" s="103"/>
      <c r="I819" s="103"/>
      <c r="J819" s="103"/>
      <c r="K819" s="103"/>
      <c r="L819" s="103"/>
      <c r="M819" s="103"/>
      <c r="N819" s="103"/>
      <c r="O819" s="103"/>
      <c r="P819" s="103"/>
      <c r="Q819" s="103"/>
      <c r="R819" s="103"/>
      <c r="S819" s="103"/>
      <c r="T819" s="103"/>
      <c r="U819" s="103"/>
      <c r="V819" s="103"/>
      <c r="W819" s="103"/>
      <c r="X819" s="103"/>
      <c r="Y819" s="103"/>
      <c r="Z819" s="103"/>
      <c r="AA819" s="103"/>
    </row>
    <row r="820" spans="1:27" ht="15.75" customHeight="1">
      <c r="A820" s="103"/>
      <c r="B820" s="103"/>
      <c r="C820" s="103"/>
      <c r="D820" s="103"/>
      <c r="E820" s="103"/>
      <c r="F820" s="124"/>
      <c r="G820" s="124"/>
      <c r="H820" s="103"/>
      <c r="I820" s="103"/>
      <c r="J820" s="103"/>
      <c r="K820" s="103"/>
      <c r="L820" s="103"/>
      <c r="M820" s="103"/>
      <c r="N820" s="103"/>
      <c r="O820" s="103"/>
      <c r="P820" s="103"/>
      <c r="Q820" s="103"/>
      <c r="R820" s="103"/>
      <c r="S820" s="103"/>
      <c r="T820" s="103"/>
      <c r="U820" s="103"/>
      <c r="V820" s="103"/>
      <c r="W820" s="103"/>
      <c r="X820" s="103"/>
      <c r="Y820" s="103"/>
      <c r="Z820" s="103"/>
      <c r="AA820" s="103"/>
    </row>
    <row r="821" spans="1:27" ht="15.75" customHeight="1">
      <c r="A821" s="103"/>
      <c r="B821" s="103"/>
      <c r="C821" s="103"/>
      <c r="D821" s="103"/>
      <c r="E821" s="103"/>
      <c r="F821" s="124"/>
      <c r="G821" s="124"/>
      <c r="H821" s="103"/>
      <c r="I821" s="103"/>
      <c r="J821" s="103"/>
      <c r="K821" s="103"/>
      <c r="L821" s="103"/>
      <c r="M821" s="103"/>
      <c r="N821" s="103"/>
      <c r="O821" s="103"/>
      <c r="P821" s="103"/>
      <c r="Q821" s="103"/>
      <c r="R821" s="103"/>
      <c r="S821" s="103"/>
      <c r="T821" s="103"/>
      <c r="U821" s="103"/>
      <c r="V821" s="103"/>
      <c r="W821" s="103"/>
      <c r="X821" s="103"/>
      <c r="Y821" s="103"/>
      <c r="Z821" s="103"/>
      <c r="AA821" s="103"/>
    </row>
    <row r="822" spans="1:27" ht="15.75" customHeight="1">
      <c r="A822" s="103"/>
      <c r="B822" s="103"/>
      <c r="C822" s="103"/>
      <c r="D822" s="103"/>
      <c r="E822" s="103"/>
      <c r="F822" s="124"/>
      <c r="G822" s="124"/>
      <c r="H822" s="103"/>
      <c r="I822" s="103"/>
      <c r="J822" s="103"/>
      <c r="K822" s="103"/>
      <c r="L822" s="103"/>
      <c r="M822" s="103"/>
      <c r="N822" s="103"/>
      <c r="O822" s="103"/>
      <c r="P822" s="103"/>
      <c r="Q822" s="103"/>
      <c r="R822" s="103"/>
      <c r="S822" s="103"/>
      <c r="T822" s="103"/>
      <c r="U822" s="103"/>
      <c r="V822" s="103"/>
      <c r="W822" s="103"/>
      <c r="X822" s="103"/>
      <c r="Y822" s="103"/>
      <c r="Z822" s="103"/>
      <c r="AA822" s="103"/>
    </row>
    <row r="823" spans="1:27" ht="15.75" customHeight="1">
      <c r="A823" s="103"/>
      <c r="B823" s="103"/>
      <c r="C823" s="103"/>
      <c r="D823" s="103"/>
      <c r="E823" s="103"/>
      <c r="F823" s="124"/>
      <c r="G823" s="124"/>
      <c r="H823" s="103"/>
      <c r="I823" s="103"/>
      <c r="J823" s="103"/>
      <c r="K823" s="103"/>
      <c r="L823" s="103"/>
      <c r="M823" s="103"/>
      <c r="N823" s="103"/>
      <c r="O823" s="103"/>
      <c r="P823" s="103"/>
      <c r="Q823" s="103"/>
      <c r="R823" s="103"/>
      <c r="S823" s="103"/>
      <c r="T823" s="103"/>
      <c r="U823" s="103"/>
      <c r="V823" s="103"/>
      <c r="W823" s="103"/>
      <c r="X823" s="103"/>
      <c r="Y823" s="103"/>
      <c r="Z823" s="103"/>
      <c r="AA823" s="103"/>
    </row>
    <row r="824" spans="1:27" ht="15.75" customHeight="1">
      <c r="A824" s="103"/>
      <c r="B824" s="103"/>
      <c r="C824" s="103"/>
      <c r="D824" s="103"/>
      <c r="E824" s="103"/>
      <c r="F824" s="124"/>
      <c r="G824" s="124"/>
      <c r="H824" s="103"/>
      <c r="I824" s="103"/>
      <c r="J824" s="103"/>
      <c r="K824" s="103"/>
      <c r="L824" s="103"/>
      <c r="M824" s="103"/>
      <c r="N824" s="103"/>
      <c r="O824" s="103"/>
      <c r="P824" s="103"/>
      <c r="Q824" s="103"/>
      <c r="R824" s="103"/>
      <c r="S824" s="103"/>
      <c r="T824" s="103"/>
      <c r="U824" s="103"/>
      <c r="V824" s="103"/>
      <c r="W824" s="103"/>
      <c r="X824" s="103"/>
      <c r="Y824" s="103"/>
      <c r="Z824" s="103"/>
      <c r="AA824" s="103"/>
    </row>
    <row r="825" spans="1:27" ht="15.75" customHeight="1">
      <c r="A825" s="103"/>
      <c r="B825" s="103"/>
      <c r="C825" s="103"/>
      <c r="D825" s="103"/>
      <c r="E825" s="103"/>
      <c r="F825" s="124"/>
      <c r="G825" s="124"/>
      <c r="H825" s="103"/>
      <c r="I825" s="103"/>
      <c r="J825" s="103"/>
      <c r="K825" s="103"/>
      <c r="L825" s="103"/>
      <c r="M825" s="103"/>
      <c r="N825" s="103"/>
      <c r="O825" s="103"/>
      <c r="P825" s="103"/>
      <c r="Q825" s="103"/>
      <c r="R825" s="103"/>
      <c r="S825" s="103"/>
      <c r="T825" s="103"/>
      <c r="U825" s="103"/>
      <c r="V825" s="103"/>
      <c r="W825" s="103"/>
      <c r="X825" s="103"/>
      <c r="Y825" s="103"/>
      <c r="Z825" s="103"/>
      <c r="AA825" s="103"/>
    </row>
    <row r="826" spans="1:27" ht="15.75" customHeight="1">
      <c r="A826" s="103"/>
      <c r="B826" s="103"/>
      <c r="C826" s="103"/>
      <c r="D826" s="103"/>
      <c r="E826" s="103"/>
      <c r="F826" s="124"/>
      <c r="G826" s="124"/>
      <c r="H826" s="103"/>
      <c r="I826" s="103"/>
      <c r="J826" s="103"/>
      <c r="K826" s="103"/>
      <c r="L826" s="103"/>
      <c r="M826" s="103"/>
      <c r="N826" s="103"/>
      <c r="O826" s="103"/>
      <c r="P826" s="103"/>
      <c r="Q826" s="103"/>
      <c r="R826" s="103"/>
      <c r="S826" s="103"/>
      <c r="T826" s="103"/>
      <c r="U826" s="103"/>
      <c r="V826" s="103"/>
      <c r="W826" s="103"/>
      <c r="X826" s="103"/>
      <c r="Y826" s="103"/>
      <c r="Z826" s="103"/>
      <c r="AA826" s="103"/>
    </row>
    <row r="827" spans="1:27" ht="15.75" customHeight="1">
      <c r="A827" s="103"/>
      <c r="B827" s="103"/>
      <c r="C827" s="103"/>
      <c r="D827" s="103"/>
      <c r="E827" s="103"/>
      <c r="F827" s="124"/>
      <c r="G827" s="124"/>
      <c r="H827" s="103"/>
      <c r="I827" s="103"/>
      <c r="J827" s="103"/>
      <c r="K827" s="103"/>
      <c r="L827" s="103"/>
      <c r="M827" s="103"/>
      <c r="N827" s="103"/>
      <c r="O827" s="103"/>
      <c r="P827" s="103"/>
      <c r="Q827" s="103"/>
      <c r="R827" s="103"/>
      <c r="S827" s="103"/>
      <c r="T827" s="103"/>
      <c r="U827" s="103"/>
      <c r="V827" s="103"/>
      <c r="W827" s="103"/>
      <c r="X827" s="103"/>
      <c r="Y827" s="103"/>
      <c r="Z827" s="103"/>
      <c r="AA827" s="103"/>
    </row>
    <row r="828" spans="1:27" ht="15.75" customHeight="1">
      <c r="A828" s="103"/>
      <c r="B828" s="103"/>
      <c r="C828" s="103"/>
      <c r="D828" s="103"/>
      <c r="E828" s="103"/>
      <c r="F828" s="124"/>
      <c r="G828" s="124"/>
      <c r="H828" s="103"/>
      <c r="I828" s="103"/>
      <c r="J828" s="103"/>
      <c r="K828" s="103"/>
      <c r="L828" s="103"/>
      <c r="M828" s="103"/>
      <c r="N828" s="103"/>
      <c r="O828" s="103"/>
      <c r="P828" s="103"/>
      <c r="Q828" s="103"/>
      <c r="R828" s="103"/>
      <c r="S828" s="103"/>
      <c r="T828" s="103"/>
      <c r="U828" s="103"/>
      <c r="V828" s="103"/>
      <c r="W828" s="103"/>
      <c r="X828" s="103"/>
      <c r="Y828" s="103"/>
      <c r="Z828" s="103"/>
      <c r="AA828" s="103"/>
    </row>
    <row r="829" spans="1:27" ht="15.75" customHeight="1">
      <c r="A829" s="103"/>
      <c r="B829" s="103"/>
      <c r="C829" s="103"/>
      <c r="D829" s="103"/>
      <c r="E829" s="103"/>
      <c r="F829" s="124"/>
      <c r="G829" s="124"/>
      <c r="H829" s="103"/>
      <c r="I829" s="103"/>
      <c r="J829" s="103"/>
      <c r="K829" s="103"/>
      <c r="L829" s="103"/>
      <c r="M829" s="103"/>
      <c r="N829" s="103"/>
      <c r="O829" s="103"/>
      <c r="P829" s="103"/>
      <c r="Q829" s="103"/>
      <c r="R829" s="103"/>
      <c r="S829" s="103"/>
      <c r="T829" s="103"/>
      <c r="U829" s="103"/>
      <c r="V829" s="103"/>
      <c r="W829" s="103"/>
      <c r="X829" s="103"/>
      <c r="Y829" s="103"/>
      <c r="Z829" s="103"/>
      <c r="AA829" s="103"/>
    </row>
    <row r="830" spans="1:27" ht="15.75" customHeight="1">
      <c r="A830" s="103"/>
      <c r="B830" s="103"/>
      <c r="C830" s="103"/>
      <c r="D830" s="103"/>
      <c r="E830" s="103"/>
      <c r="F830" s="124"/>
      <c r="G830" s="124"/>
      <c r="H830" s="103"/>
      <c r="I830" s="103"/>
      <c r="J830" s="103"/>
      <c r="K830" s="103"/>
      <c r="L830" s="103"/>
      <c r="M830" s="103"/>
      <c r="N830" s="103"/>
      <c r="O830" s="103"/>
      <c r="P830" s="103"/>
      <c r="Q830" s="103"/>
      <c r="R830" s="103"/>
      <c r="S830" s="103"/>
      <c r="T830" s="103"/>
      <c r="U830" s="103"/>
      <c r="V830" s="103"/>
      <c r="W830" s="103"/>
      <c r="X830" s="103"/>
      <c r="Y830" s="103"/>
      <c r="Z830" s="103"/>
      <c r="AA830" s="103"/>
    </row>
    <row r="831" spans="1:27" ht="15.75" customHeight="1">
      <c r="A831" s="103"/>
      <c r="B831" s="103"/>
      <c r="C831" s="103"/>
      <c r="D831" s="103"/>
      <c r="E831" s="103"/>
      <c r="F831" s="124"/>
      <c r="G831" s="124"/>
      <c r="H831" s="103"/>
      <c r="I831" s="103"/>
      <c r="J831" s="103"/>
      <c r="K831" s="103"/>
      <c r="L831" s="103"/>
      <c r="M831" s="103"/>
      <c r="N831" s="103"/>
      <c r="O831" s="103"/>
      <c r="P831" s="103"/>
      <c r="Q831" s="103"/>
      <c r="R831" s="103"/>
      <c r="S831" s="103"/>
      <c r="T831" s="103"/>
      <c r="U831" s="103"/>
      <c r="V831" s="103"/>
      <c r="W831" s="103"/>
      <c r="X831" s="103"/>
      <c r="Y831" s="103"/>
      <c r="Z831" s="103"/>
      <c r="AA831" s="103"/>
    </row>
    <row r="832" spans="1:27" ht="15.75" customHeight="1">
      <c r="A832" s="103"/>
      <c r="B832" s="103"/>
      <c r="C832" s="103"/>
      <c r="D832" s="103"/>
      <c r="E832" s="103"/>
      <c r="F832" s="124"/>
      <c r="G832" s="124"/>
      <c r="H832" s="103"/>
      <c r="I832" s="103"/>
      <c r="J832" s="103"/>
      <c r="K832" s="103"/>
      <c r="L832" s="103"/>
      <c r="M832" s="103"/>
      <c r="N832" s="103"/>
      <c r="O832" s="103"/>
      <c r="P832" s="103"/>
      <c r="Q832" s="103"/>
      <c r="R832" s="103"/>
      <c r="S832" s="103"/>
      <c r="T832" s="103"/>
      <c r="U832" s="103"/>
      <c r="V832" s="103"/>
      <c r="W832" s="103"/>
      <c r="X832" s="103"/>
      <c r="Y832" s="103"/>
      <c r="Z832" s="103"/>
      <c r="AA832" s="103"/>
    </row>
    <row r="833" spans="1:27" ht="15.75" customHeight="1">
      <c r="A833" s="103"/>
      <c r="B833" s="103"/>
      <c r="C833" s="103"/>
      <c r="D833" s="103"/>
      <c r="E833" s="103"/>
      <c r="F833" s="124"/>
      <c r="G833" s="124"/>
      <c r="H833" s="103"/>
      <c r="I833" s="103"/>
      <c r="J833" s="103"/>
      <c r="K833" s="103"/>
      <c r="L833" s="103"/>
      <c r="M833" s="103"/>
      <c r="N833" s="103"/>
      <c r="O833" s="103"/>
      <c r="P833" s="103"/>
      <c r="Q833" s="103"/>
      <c r="R833" s="103"/>
      <c r="S833" s="103"/>
      <c r="T833" s="103"/>
      <c r="U833" s="103"/>
      <c r="V833" s="103"/>
      <c r="W833" s="103"/>
      <c r="X833" s="103"/>
      <c r="Y833" s="103"/>
      <c r="Z833" s="103"/>
      <c r="AA833" s="103"/>
    </row>
    <row r="834" spans="1:27" ht="15.75" customHeight="1">
      <c r="A834" s="103"/>
      <c r="B834" s="103"/>
      <c r="C834" s="103"/>
      <c r="D834" s="103"/>
      <c r="E834" s="103"/>
      <c r="F834" s="124"/>
      <c r="G834" s="124"/>
      <c r="H834" s="103"/>
      <c r="I834" s="103"/>
      <c r="J834" s="103"/>
      <c r="K834" s="103"/>
      <c r="L834" s="103"/>
      <c r="M834" s="103"/>
      <c r="N834" s="103"/>
      <c r="O834" s="103"/>
      <c r="P834" s="103"/>
      <c r="Q834" s="103"/>
      <c r="R834" s="103"/>
      <c r="S834" s="103"/>
      <c r="T834" s="103"/>
      <c r="U834" s="103"/>
      <c r="V834" s="103"/>
      <c r="W834" s="103"/>
      <c r="X834" s="103"/>
      <c r="Y834" s="103"/>
      <c r="Z834" s="103"/>
      <c r="AA834" s="103"/>
    </row>
    <row r="835" spans="1:27" ht="15.75" customHeight="1">
      <c r="A835" s="103"/>
      <c r="B835" s="103"/>
      <c r="C835" s="103"/>
      <c r="D835" s="103"/>
      <c r="E835" s="103"/>
      <c r="F835" s="124"/>
      <c r="G835" s="124"/>
      <c r="H835" s="103"/>
      <c r="I835" s="103"/>
      <c r="J835" s="103"/>
      <c r="K835" s="103"/>
      <c r="L835" s="103"/>
      <c r="M835" s="103"/>
      <c r="N835" s="103"/>
      <c r="O835" s="103"/>
      <c r="P835" s="103"/>
      <c r="Q835" s="103"/>
      <c r="R835" s="103"/>
      <c r="S835" s="103"/>
      <c r="T835" s="103"/>
      <c r="U835" s="103"/>
      <c r="V835" s="103"/>
      <c r="W835" s="103"/>
      <c r="X835" s="103"/>
      <c r="Y835" s="103"/>
      <c r="Z835" s="103"/>
      <c r="AA835" s="103"/>
    </row>
    <row r="836" spans="1:27" ht="15.75" customHeight="1">
      <c r="A836" s="103"/>
      <c r="B836" s="103"/>
      <c r="C836" s="103"/>
      <c r="D836" s="103"/>
      <c r="E836" s="103"/>
      <c r="F836" s="124"/>
      <c r="G836" s="124"/>
      <c r="H836" s="103"/>
      <c r="I836" s="103"/>
      <c r="J836" s="103"/>
      <c r="K836" s="103"/>
      <c r="L836" s="103"/>
      <c r="M836" s="103"/>
      <c r="N836" s="103"/>
      <c r="O836" s="103"/>
      <c r="P836" s="103"/>
      <c r="Q836" s="103"/>
      <c r="R836" s="103"/>
      <c r="S836" s="103"/>
      <c r="T836" s="103"/>
      <c r="U836" s="103"/>
      <c r="V836" s="103"/>
      <c r="W836" s="103"/>
      <c r="X836" s="103"/>
      <c r="Y836" s="103"/>
      <c r="Z836" s="103"/>
      <c r="AA836" s="103"/>
    </row>
    <row r="837" spans="1:27" ht="15.75" customHeight="1">
      <c r="A837" s="103"/>
      <c r="B837" s="103"/>
      <c r="C837" s="103"/>
      <c r="D837" s="103"/>
      <c r="E837" s="103"/>
      <c r="F837" s="124"/>
      <c r="G837" s="124"/>
      <c r="H837" s="103"/>
      <c r="I837" s="103"/>
      <c r="J837" s="103"/>
      <c r="K837" s="103"/>
      <c r="L837" s="103"/>
      <c r="M837" s="103"/>
      <c r="N837" s="103"/>
      <c r="O837" s="103"/>
      <c r="P837" s="103"/>
      <c r="Q837" s="103"/>
      <c r="R837" s="103"/>
      <c r="S837" s="103"/>
      <c r="T837" s="103"/>
      <c r="U837" s="103"/>
      <c r="V837" s="103"/>
      <c r="W837" s="103"/>
      <c r="X837" s="103"/>
      <c r="Y837" s="103"/>
      <c r="Z837" s="103"/>
      <c r="AA837" s="103"/>
    </row>
    <row r="838" spans="1:27" ht="15.75" customHeight="1">
      <c r="A838" s="103"/>
      <c r="B838" s="103"/>
      <c r="C838" s="103"/>
      <c r="D838" s="103"/>
      <c r="E838" s="103"/>
      <c r="F838" s="124"/>
      <c r="G838" s="124"/>
      <c r="H838" s="103"/>
      <c r="I838" s="103"/>
      <c r="J838" s="103"/>
      <c r="K838" s="103"/>
      <c r="L838" s="103"/>
      <c r="M838" s="103"/>
      <c r="N838" s="103"/>
      <c r="O838" s="103"/>
      <c r="P838" s="103"/>
      <c r="Q838" s="103"/>
      <c r="R838" s="103"/>
      <c r="S838" s="103"/>
      <c r="T838" s="103"/>
      <c r="U838" s="103"/>
      <c r="V838" s="103"/>
      <c r="W838" s="103"/>
      <c r="X838" s="103"/>
      <c r="Y838" s="103"/>
      <c r="Z838" s="103"/>
      <c r="AA838" s="103"/>
    </row>
    <row r="839" spans="1:27" ht="15.75" customHeight="1">
      <c r="A839" s="103"/>
      <c r="B839" s="103"/>
      <c r="C839" s="103"/>
      <c r="D839" s="103"/>
      <c r="E839" s="103"/>
      <c r="F839" s="124"/>
      <c r="G839" s="124"/>
      <c r="H839" s="103"/>
      <c r="I839" s="103"/>
      <c r="J839" s="103"/>
      <c r="K839" s="103"/>
      <c r="L839" s="103"/>
      <c r="M839" s="103"/>
      <c r="N839" s="103"/>
      <c r="O839" s="103"/>
      <c r="P839" s="103"/>
      <c r="Q839" s="103"/>
      <c r="R839" s="103"/>
      <c r="S839" s="103"/>
      <c r="T839" s="103"/>
      <c r="U839" s="103"/>
      <c r="V839" s="103"/>
      <c r="W839" s="103"/>
      <c r="X839" s="103"/>
      <c r="Y839" s="103"/>
      <c r="Z839" s="103"/>
      <c r="AA839" s="103"/>
    </row>
    <row r="840" spans="1:27" ht="15.75" customHeight="1">
      <c r="A840" s="103"/>
      <c r="B840" s="103"/>
      <c r="C840" s="103"/>
      <c r="D840" s="103"/>
      <c r="E840" s="103"/>
      <c r="F840" s="124"/>
      <c r="G840" s="124"/>
      <c r="H840" s="103"/>
      <c r="I840" s="103"/>
      <c r="J840" s="103"/>
      <c r="K840" s="103"/>
      <c r="L840" s="103"/>
      <c r="M840" s="103"/>
      <c r="N840" s="103"/>
      <c r="O840" s="103"/>
      <c r="P840" s="103"/>
      <c r="Q840" s="103"/>
      <c r="R840" s="103"/>
      <c r="S840" s="103"/>
      <c r="T840" s="103"/>
      <c r="U840" s="103"/>
      <c r="V840" s="103"/>
      <c r="W840" s="103"/>
      <c r="X840" s="103"/>
      <c r="Y840" s="103"/>
      <c r="Z840" s="103"/>
      <c r="AA840" s="103"/>
    </row>
    <row r="841" spans="1:27" ht="15.75" customHeight="1">
      <c r="A841" s="103"/>
      <c r="B841" s="103"/>
      <c r="C841" s="103"/>
      <c r="D841" s="103"/>
      <c r="E841" s="103"/>
      <c r="F841" s="124"/>
      <c r="G841" s="124"/>
      <c r="H841" s="103"/>
      <c r="I841" s="103"/>
      <c r="J841" s="103"/>
      <c r="K841" s="103"/>
      <c r="L841" s="103"/>
      <c r="M841" s="103"/>
      <c r="N841" s="103"/>
      <c r="O841" s="103"/>
      <c r="P841" s="103"/>
      <c r="Q841" s="103"/>
      <c r="R841" s="103"/>
      <c r="S841" s="103"/>
      <c r="T841" s="103"/>
      <c r="U841" s="103"/>
      <c r="V841" s="103"/>
      <c r="W841" s="103"/>
      <c r="X841" s="103"/>
      <c r="Y841" s="103"/>
      <c r="Z841" s="103"/>
      <c r="AA841" s="103"/>
    </row>
    <row r="842" spans="1:27" ht="15.75" customHeight="1">
      <c r="A842" s="103"/>
      <c r="B842" s="103"/>
      <c r="C842" s="103"/>
      <c r="D842" s="103"/>
      <c r="E842" s="103"/>
      <c r="F842" s="124"/>
      <c r="G842" s="124"/>
      <c r="H842" s="103"/>
      <c r="I842" s="103"/>
      <c r="J842" s="103"/>
      <c r="K842" s="103"/>
      <c r="L842" s="103"/>
      <c r="M842" s="103"/>
      <c r="N842" s="103"/>
      <c r="O842" s="103"/>
      <c r="P842" s="103"/>
      <c r="Q842" s="103"/>
      <c r="R842" s="103"/>
      <c r="S842" s="103"/>
      <c r="T842" s="103"/>
      <c r="U842" s="103"/>
      <c r="V842" s="103"/>
      <c r="W842" s="103"/>
      <c r="X842" s="103"/>
      <c r="Y842" s="103"/>
      <c r="Z842" s="103"/>
      <c r="AA842" s="103"/>
    </row>
    <row r="843" spans="1:27" ht="15.75" customHeight="1">
      <c r="A843" s="103"/>
      <c r="B843" s="103"/>
      <c r="C843" s="103"/>
      <c r="D843" s="103"/>
      <c r="E843" s="103"/>
      <c r="F843" s="124"/>
      <c r="G843" s="124"/>
      <c r="H843" s="103"/>
      <c r="I843" s="103"/>
      <c r="J843" s="103"/>
      <c r="K843" s="103"/>
      <c r="L843" s="103"/>
      <c r="M843" s="103"/>
      <c r="N843" s="103"/>
      <c r="O843" s="103"/>
      <c r="P843" s="103"/>
      <c r="Q843" s="103"/>
      <c r="R843" s="103"/>
      <c r="S843" s="103"/>
      <c r="T843" s="103"/>
      <c r="U843" s="103"/>
      <c r="V843" s="103"/>
      <c r="W843" s="103"/>
      <c r="X843" s="103"/>
      <c r="Y843" s="103"/>
      <c r="Z843" s="103"/>
      <c r="AA843" s="103"/>
    </row>
    <row r="844" spans="1:27" ht="15.75" customHeight="1">
      <c r="A844" s="103"/>
      <c r="B844" s="103"/>
      <c r="C844" s="103"/>
      <c r="D844" s="103"/>
      <c r="E844" s="103"/>
      <c r="F844" s="124"/>
      <c r="G844" s="124"/>
      <c r="H844" s="103"/>
      <c r="I844" s="103"/>
      <c r="J844" s="103"/>
      <c r="K844" s="103"/>
      <c r="L844" s="103"/>
      <c r="M844" s="103"/>
      <c r="N844" s="103"/>
      <c r="O844" s="103"/>
      <c r="P844" s="103"/>
      <c r="Q844" s="103"/>
      <c r="R844" s="103"/>
      <c r="S844" s="103"/>
      <c r="T844" s="103"/>
      <c r="U844" s="103"/>
      <c r="V844" s="103"/>
      <c r="W844" s="103"/>
      <c r="X844" s="103"/>
      <c r="Y844" s="103"/>
      <c r="Z844" s="103"/>
      <c r="AA844" s="103"/>
    </row>
    <row r="845" spans="1:27" ht="15.75" customHeight="1">
      <c r="A845" s="103"/>
      <c r="B845" s="103"/>
      <c r="C845" s="103"/>
      <c r="D845" s="103"/>
      <c r="E845" s="103"/>
      <c r="F845" s="124"/>
      <c r="G845" s="124"/>
      <c r="H845" s="103"/>
      <c r="I845" s="103"/>
      <c r="J845" s="103"/>
      <c r="K845" s="103"/>
      <c r="L845" s="103"/>
      <c r="M845" s="103"/>
      <c r="N845" s="103"/>
      <c r="O845" s="103"/>
      <c r="P845" s="103"/>
      <c r="Q845" s="103"/>
      <c r="R845" s="103"/>
      <c r="S845" s="103"/>
      <c r="T845" s="103"/>
      <c r="U845" s="103"/>
      <c r="V845" s="103"/>
      <c r="W845" s="103"/>
      <c r="X845" s="103"/>
      <c r="Y845" s="103"/>
      <c r="Z845" s="103"/>
      <c r="AA845" s="103"/>
    </row>
    <row r="846" spans="1:27" ht="15.75" customHeight="1">
      <c r="A846" s="103"/>
      <c r="B846" s="103"/>
      <c r="C846" s="103"/>
      <c r="D846" s="103"/>
      <c r="E846" s="103"/>
      <c r="F846" s="124"/>
      <c r="G846" s="124"/>
      <c r="H846" s="103"/>
      <c r="I846" s="103"/>
      <c r="J846" s="103"/>
      <c r="K846" s="103"/>
      <c r="L846" s="103"/>
      <c r="M846" s="103"/>
      <c r="N846" s="103"/>
      <c r="O846" s="103"/>
      <c r="P846" s="103"/>
      <c r="Q846" s="103"/>
      <c r="R846" s="103"/>
      <c r="S846" s="103"/>
      <c r="T846" s="103"/>
      <c r="U846" s="103"/>
      <c r="V846" s="103"/>
      <c r="W846" s="103"/>
      <c r="X846" s="103"/>
      <c r="Y846" s="103"/>
      <c r="Z846" s="103"/>
      <c r="AA846" s="103"/>
    </row>
    <row r="847" spans="1:27" ht="15.75" customHeight="1">
      <c r="A847" s="103"/>
      <c r="B847" s="103"/>
      <c r="C847" s="103"/>
      <c r="D847" s="103"/>
      <c r="E847" s="103"/>
      <c r="F847" s="124"/>
      <c r="G847" s="124"/>
      <c r="H847" s="103"/>
      <c r="I847" s="103"/>
      <c r="J847" s="103"/>
      <c r="K847" s="103"/>
      <c r="L847" s="103"/>
      <c r="M847" s="103"/>
      <c r="N847" s="103"/>
      <c r="O847" s="103"/>
      <c r="P847" s="103"/>
      <c r="Q847" s="103"/>
      <c r="R847" s="103"/>
      <c r="S847" s="103"/>
      <c r="T847" s="103"/>
      <c r="U847" s="103"/>
      <c r="V847" s="103"/>
      <c r="W847" s="103"/>
      <c r="X847" s="103"/>
      <c r="Y847" s="103"/>
      <c r="Z847" s="103"/>
      <c r="AA847" s="103"/>
    </row>
    <row r="848" spans="1:27" ht="15.75" customHeight="1">
      <c r="A848" s="103"/>
      <c r="B848" s="103"/>
      <c r="C848" s="103"/>
      <c r="D848" s="103"/>
      <c r="E848" s="103"/>
      <c r="F848" s="124"/>
      <c r="G848" s="124"/>
      <c r="H848" s="103"/>
      <c r="I848" s="103"/>
      <c r="J848" s="103"/>
      <c r="K848" s="103"/>
      <c r="L848" s="103"/>
      <c r="M848" s="103"/>
      <c r="N848" s="103"/>
      <c r="O848" s="103"/>
      <c r="P848" s="103"/>
      <c r="Q848" s="103"/>
      <c r="R848" s="103"/>
      <c r="S848" s="103"/>
      <c r="T848" s="103"/>
      <c r="U848" s="103"/>
      <c r="V848" s="103"/>
      <c r="W848" s="103"/>
      <c r="X848" s="103"/>
      <c r="Y848" s="103"/>
      <c r="Z848" s="103"/>
      <c r="AA848" s="103"/>
    </row>
    <row r="849" spans="1:27" ht="15.75" customHeight="1">
      <c r="A849" s="103"/>
      <c r="B849" s="103"/>
      <c r="C849" s="103"/>
      <c r="D849" s="103"/>
      <c r="E849" s="103"/>
      <c r="F849" s="124"/>
      <c r="G849" s="124"/>
      <c r="H849" s="103"/>
      <c r="I849" s="103"/>
      <c r="J849" s="103"/>
      <c r="K849" s="103"/>
      <c r="L849" s="103"/>
      <c r="M849" s="103"/>
      <c r="N849" s="103"/>
      <c r="O849" s="103"/>
      <c r="P849" s="103"/>
      <c r="Q849" s="103"/>
      <c r="R849" s="103"/>
      <c r="S849" s="103"/>
      <c r="T849" s="103"/>
      <c r="U849" s="103"/>
      <c r="V849" s="103"/>
      <c r="W849" s="103"/>
      <c r="X849" s="103"/>
      <c r="Y849" s="103"/>
      <c r="Z849" s="103"/>
      <c r="AA849" s="103"/>
    </row>
    <row r="850" spans="1:27" ht="15.75" customHeight="1">
      <c r="A850" s="103"/>
      <c r="B850" s="103"/>
      <c r="C850" s="103"/>
      <c r="D850" s="103"/>
      <c r="E850" s="103"/>
      <c r="F850" s="124"/>
      <c r="G850" s="124"/>
      <c r="H850" s="103"/>
      <c r="I850" s="103"/>
      <c r="J850" s="103"/>
      <c r="K850" s="103"/>
      <c r="L850" s="103"/>
      <c r="M850" s="103"/>
      <c r="N850" s="103"/>
      <c r="O850" s="103"/>
      <c r="P850" s="103"/>
      <c r="Q850" s="103"/>
      <c r="R850" s="103"/>
      <c r="S850" s="103"/>
      <c r="T850" s="103"/>
      <c r="U850" s="103"/>
      <c r="V850" s="103"/>
      <c r="W850" s="103"/>
      <c r="X850" s="103"/>
      <c r="Y850" s="103"/>
      <c r="Z850" s="103"/>
      <c r="AA850" s="103"/>
    </row>
    <row r="851" spans="1:27" ht="15.75" customHeight="1">
      <c r="A851" s="103"/>
      <c r="B851" s="103"/>
      <c r="C851" s="103"/>
      <c r="D851" s="103"/>
      <c r="E851" s="103"/>
      <c r="F851" s="124"/>
      <c r="G851" s="124"/>
      <c r="H851" s="103"/>
      <c r="I851" s="103"/>
      <c r="J851" s="103"/>
      <c r="K851" s="103"/>
      <c r="L851" s="103"/>
      <c r="M851" s="103"/>
      <c r="N851" s="103"/>
      <c r="O851" s="103"/>
      <c r="P851" s="103"/>
      <c r="Q851" s="103"/>
      <c r="R851" s="103"/>
      <c r="S851" s="103"/>
      <c r="T851" s="103"/>
      <c r="U851" s="103"/>
      <c r="V851" s="103"/>
      <c r="W851" s="103"/>
      <c r="X851" s="103"/>
      <c r="Y851" s="103"/>
      <c r="Z851" s="103"/>
      <c r="AA851" s="103"/>
    </row>
    <row r="852" spans="1:27" ht="15.75" customHeight="1">
      <c r="A852" s="103"/>
      <c r="B852" s="103"/>
      <c r="C852" s="103"/>
      <c r="D852" s="103"/>
      <c r="E852" s="103"/>
      <c r="F852" s="124"/>
      <c r="G852" s="124"/>
      <c r="H852" s="103"/>
      <c r="I852" s="103"/>
      <c r="J852" s="103"/>
      <c r="K852" s="103"/>
      <c r="L852" s="103"/>
      <c r="M852" s="103"/>
      <c r="N852" s="103"/>
      <c r="O852" s="103"/>
      <c r="P852" s="103"/>
      <c r="Q852" s="103"/>
      <c r="R852" s="103"/>
      <c r="S852" s="103"/>
      <c r="T852" s="103"/>
      <c r="U852" s="103"/>
      <c r="V852" s="103"/>
      <c r="W852" s="103"/>
      <c r="X852" s="103"/>
      <c r="Y852" s="103"/>
      <c r="Z852" s="103"/>
      <c r="AA852" s="103"/>
    </row>
    <row r="853" spans="1:27" ht="15.75" customHeight="1">
      <c r="A853" s="103"/>
      <c r="B853" s="103"/>
      <c r="C853" s="103"/>
      <c r="D853" s="103"/>
      <c r="E853" s="103"/>
      <c r="F853" s="124"/>
      <c r="G853" s="124"/>
      <c r="H853" s="103"/>
      <c r="I853" s="103"/>
      <c r="J853" s="103"/>
      <c r="K853" s="103"/>
      <c r="L853" s="103"/>
      <c r="M853" s="103"/>
      <c r="N853" s="103"/>
      <c r="O853" s="103"/>
      <c r="P853" s="103"/>
      <c r="Q853" s="103"/>
      <c r="R853" s="103"/>
      <c r="S853" s="103"/>
      <c r="T853" s="103"/>
      <c r="U853" s="103"/>
      <c r="V853" s="103"/>
      <c r="W853" s="103"/>
      <c r="X853" s="103"/>
      <c r="Y853" s="103"/>
      <c r="Z853" s="103"/>
      <c r="AA853" s="103"/>
    </row>
    <row r="854" spans="1:27" ht="15.75" customHeight="1">
      <c r="A854" s="103"/>
      <c r="B854" s="103"/>
      <c r="C854" s="103"/>
      <c r="D854" s="103"/>
      <c r="E854" s="103"/>
      <c r="F854" s="124"/>
      <c r="G854" s="124"/>
      <c r="H854" s="103"/>
      <c r="I854" s="103"/>
      <c r="J854" s="103"/>
      <c r="K854" s="103"/>
      <c r="L854" s="103"/>
      <c r="M854" s="103"/>
      <c r="N854" s="103"/>
      <c r="O854" s="103"/>
      <c r="P854" s="103"/>
      <c r="Q854" s="103"/>
      <c r="R854" s="103"/>
      <c r="S854" s="103"/>
      <c r="T854" s="103"/>
      <c r="U854" s="103"/>
      <c r="V854" s="103"/>
      <c r="W854" s="103"/>
      <c r="X854" s="103"/>
      <c r="Y854" s="103"/>
      <c r="Z854" s="103"/>
      <c r="AA854" s="103"/>
    </row>
    <row r="855" spans="1:27" ht="15.75" customHeight="1">
      <c r="A855" s="103"/>
      <c r="B855" s="103"/>
      <c r="C855" s="103"/>
      <c r="D855" s="103"/>
      <c r="E855" s="103"/>
      <c r="F855" s="124"/>
      <c r="G855" s="124"/>
      <c r="H855" s="103"/>
      <c r="I855" s="103"/>
      <c r="J855" s="103"/>
      <c r="K855" s="103"/>
      <c r="L855" s="103"/>
      <c r="M855" s="103"/>
      <c r="N855" s="103"/>
      <c r="O855" s="103"/>
      <c r="P855" s="103"/>
      <c r="Q855" s="103"/>
      <c r="R855" s="103"/>
      <c r="S855" s="103"/>
      <c r="T855" s="103"/>
      <c r="U855" s="103"/>
      <c r="V855" s="103"/>
      <c r="W855" s="103"/>
      <c r="X855" s="103"/>
      <c r="Y855" s="103"/>
      <c r="Z855" s="103"/>
      <c r="AA855" s="103"/>
    </row>
    <row r="856" spans="1:27" ht="15.75" customHeight="1">
      <c r="A856" s="103"/>
      <c r="B856" s="103"/>
      <c r="C856" s="103"/>
      <c r="D856" s="103"/>
      <c r="E856" s="103"/>
      <c r="F856" s="124"/>
      <c r="G856" s="124"/>
      <c r="H856" s="103"/>
      <c r="I856" s="103"/>
      <c r="J856" s="103"/>
      <c r="K856" s="103"/>
      <c r="L856" s="103"/>
      <c r="M856" s="103"/>
      <c r="N856" s="103"/>
      <c r="O856" s="103"/>
      <c r="P856" s="103"/>
      <c r="Q856" s="103"/>
      <c r="R856" s="103"/>
      <c r="S856" s="103"/>
      <c r="T856" s="103"/>
      <c r="U856" s="103"/>
      <c r="V856" s="103"/>
      <c r="W856" s="103"/>
      <c r="X856" s="103"/>
      <c r="Y856" s="103"/>
      <c r="Z856" s="103"/>
      <c r="AA856" s="103"/>
    </row>
    <row r="857" spans="1:27" ht="15.75" customHeight="1">
      <c r="A857" s="103"/>
      <c r="B857" s="103"/>
      <c r="C857" s="103"/>
      <c r="D857" s="103"/>
      <c r="E857" s="103"/>
      <c r="F857" s="124"/>
      <c r="G857" s="124"/>
      <c r="H857" s="103"/>
      <c r="I857" s="103"/>
      <c r="J857" s="103"/>
      <c r="K857" s="103"/>
      <c r="L857" s="103"/>
      <c r="M857" s="103"/>
      <c r="N857" s="103"/>
      <c r="O857" s="103"/>
      <c r="P857" s="103"/>
      <c r="Q857" s="103"/>
      <c r="R857" s="103"/>
      <c r="S857" s="103"/>
      <c r="T857" s="103"/>
      <c r="U857" s="103"/>
      <c r="V857" s="103"/>
      <c r="W857" s="103"/>
      <c r="X857" s="103"/>
      <c r="Y857" s="103"/>
      <c r="Z857" s="103"/>
      <c r="AA857" s="103"/>
    </row>
    <row r="858" spans="1:27" ht="15.75" customHeight="1">
      <c r="A858" s="103"/>
      <c r="B858" s="103"/>
      <c r="C858" s="103"/>
      <c r="D858" s="103"/>
      <c r="E858" s="103"/>
      <c r="F858" s="124"/>
      <c r="G858" s="124"/>
      <c r="H858" s="103"/>
      <c r="I858" s="103"/>
      <c r="J858" s="103"/>
      <c r="K858" s="103"/>
      <c r="L858" s="103"/>
      <c r="M858" s="103"/>
      <c r="N858" s="103"/>
      <c r="O858" s="103"/>
      <c r="P858" s="103"/>
      <c r="Q858" s="103"/>
      <c r="R858" s="103"/>
      <c r="S858" s="103"/>
      <c r="T858" s="103"/>
      <c r="U858" s="103"/>
      <c r="V858" s="103"/>
      <c r="W858" s="103"/>
      <c r="X858" s="103"/>
      <c r="Y858" s="103"/>
      <c r="Z858" s="103"/>
      <c r="AA858" s="103"/>
    </row>
    <row r="859" spans="1:27" ht="15.75" customHeight="1">
      <c r="A859" s="103"/>
      <c r="B859" s="103"/>
      <c r="C859" s="103"/>
      <c r="D859" s="103"/>
      <c r="E859" s="103"/>
      <c r="F859" s="124"/>
      <c r="G859" s="124"/>
      <c r="H859" s="103"/>
      <c r="I859" s="103"/>
      <c r="J859" s="103"/>
      <c r="K859" s="103"/>
      <c r="L859" s="103"/>
      <c r="M859" s="103"/>
      <c r="N859" s="103"/>
      <c r="O859" s="103"/>
      <c r="P859" s="103"/>
      <c r="Q859" s="103"/>
      <c r="R859" s="103"/>
      <c r="S859" s="103"/>
      <c r="T859" s="103"/>
      <c r="U859" s="103"/>
      <c r="V859" s="103"/>
      <c r="W859" s="103"/>
      <c r="X859" s="103"/>
      <c r="Y859" s="103"/>
      <c r="Z859" s="103"/>
      <c r="AA859" s="103"/>
    </row>
    <row r="860" spans="1:27" ht="15.75" customHeight="1">
      <c r="A860" s="103"/>
      <c r="B860" s="103"/>
      <c r="C860" s="103"/>
      <c r="D860" s="103"/>
      <c r="E860" s="103"/>
      <c r="F860" s="124"/>
      <c r="G860" s="124"/>
      <c r="H860" s="103"/>
      <c r="I860" s="103"/>
      <c r="J860" s="103"/>
      <c r="K860" s="103"/>
      <c r="L860" s="103"/>
      <c r="M860" s="103"/>
      <c r="N860" s="103"/>
      <c r="O860" s="103"/>
      <c r="P860" s="103"/>
      <c r="Q860" s="103"/>
      <c r="R860" s="103"/>
      <c r="S860" s="103"/>
      <c r="T860" s="103"/>
      <c r="U860" s="103"/>
      <c r="V860" s="103"/>
      <c r="W860" s="103"/>
      <c r="X860" s="103"/>
      <c r="Y860" s="103"/>
      <c r="Z860" s="103"/>
      <c r="AA860" s="103"/>
    </row>
    <row r="861" spans="1:27" ht="15.75" customHeight="1">
      <c r="A861" s="103"/>
      <c r="B861" s="103"/>
      <c r="C861" s="103"/>
      <c r="D861" s="103"/>
      <c r="E861" s="103"/>
      <c r="F861" s="124"/>
      <c r="G861" s="124"/>
      <c r="H861" s="103"/>
      <c r="I861" s="103"/>
      <c r="J861" s="103"/>
      <c r="K861" s="103"/>
      <c r="L861" s="103"/>
      <c r="M861" s="103"/>
      <c r="N861" s="103"/>
      <c r="O861" s="103"/>
      <c r="P861" s="103"/>
      <c r="Q861" s="103"/>
      <c r="R861" s="103"/>
      <c r="S861" s="103"/>
      <c r="T861" s="103"/>
      <c r="U861" s="103"/>
      <c r="V861" s="103"/>
      <c r="W861" s="103"/>
      <c r="X861" s="103"/>
      <c r="Y861" s="103"/>
      <c r="Z861" s="103"/>
      <c r="AA861" s="103"/>
    </row>
    <row r="862" spans="1:27" ht="15.75" customHeight="1">
      <c r="A862" s="103"/>
      <c r="B862" s="103"/>
      <c r="C862" s="103"/>
      <c r="D862" s="103"/>
      <c r="E862" s="103"/>
      <c r="F862" s="124"/>
      <c r="G862" s="124"/>
      <c r="H862" s="103"/>
      <c r="I862" s="103"/>
      <c r="J862" s="103"/>
      <c r="K862" s="103"/>
      <c r="L862" s="103"/>
      <c r="M862" s="103"/>
      <c r="N862" s="103"/>
      <c r="O862" s="103"/>
      <c r="P862" s="103"/>
      <c r="Q862" s="103"/>
      <c r="R862" s="103"/>
      <c r="S862" s="103"/>
      <c r="T862" s="103"/>
      <c r="U862" s="103"/>
      <c r="V862" s="103"/>
      <c r="W862" s="103"/>
      <c r="X862" s="103"/>
      <c r="Y862" s="103"/>
      <c r="Z862" s="103"/>
      <c r="AA862" s="103"/>
    </row>
    <row r="863" spans="1:27" ht="15.75" customHeight="1">
      <c r="A863" s="103"/>
      <c r="B863" s="103"/>
      <c r="C863" s="103"/>
      <c r="D863" s="103"/>
      <c r="E863" s="103"/>
      <c r="F863" s="124"/>
      <c r="G863" s="124"/>
      <c r="H863" s="103"/>
      <c r="I863" s="103"/>
      <c r="J863" s="103"/>
      <c r="K863" s="103"/>
      <c r="L863" s="103"/>
      <c r="M863" s="103"/>
      <c r="N863" s="103"/>
      <c r="O863" s="103"/>
      <c r="P863" s="103"/>
      <c r="Q863" s="103"/>
      <c r="R863" s="103"/>
      <c r="S863" s="103"/>
      <c r="T863" s="103"/>
      <c r="U863" s="103"/>
      <c r="V863" s="103"/>
      <c r="W863" s="103"/>
      <c r="X863" s="103"/>
      <c r="Y863" s="103"/>
      <c r="Z863" s="103"/>
      <c r="AA863" s="103"/>
    </row>
    <row r="864" spans="1:27" ht="15.75" customHeight="1">
      <c r="A864" s="103"/>
      <c r="B864" s="103"/>
      <c r="C864" s="103"/>
      <c r="D864" s="103"/>
      <c r="E864" s="103"/>
      <c r="F864" s="124"/>
      <c r="G864" s="124"/>
      <c r="H864" s="103"/>
      <c r="I864" s="103"/>
      <c r="J864" s="103"/>
      <c r="K864" s="103"/>
      <c r="L864" s="103"/>
      <c r="M864" s="103"/>
      <c r="N864" s="103"/>
      <c r="O864" s="103"/>
      <c r="P864" s="103"/>
      <c r="Q864" s="103"/>
      <c r="R864" s="103"/>
      <c r="S864" s="103"/>
      <c r="T864" s="103"/>
      <c r="U864" s="103"/>
      <c r="V864" s="103"/>
      <c r="W864" s="103"/>
      <c r="X864" s="103"/>
      <c r="Y864" s="103"/>
      <c r="Z864" s="103"/>
      <c r="AA864" s="103"/>
    </row>
    <row r="865" spans="1:27" ht="15.75" customHeight="1">
      <c r="A865" s="103"/>
      <c r="B865" s="103"/>
      <c r="C865" s="103"/>
      <c r="D865" s="103"/>
      <c r="E865" s="103"/>
      <c r="F865" s="124"/>
      <c r="G865" s="124"/>
      <c r="H865" s="103"/>
      <c r="I865" s="103"/>
      <c r="J865" s="103"/>
      <c r="K865" s="103"/>
      <c r="L865" s="103"/>
      <c r="M865" s="103"/>
      <c r="N865" s="103"/>
      <c r="O865" s="103"/>
      <c r="P865" s="103"/>
      <c r="Q865" s="103"/>
      <c r="R865" s="103"/>
      <c r="S865" s="103"/>
      <c r="T865" s="103"/>
      <c r="U865" s="103"/>
      <c r="V865" s="103"/>
      <c r="W865" s="103"/>
      <c r="X865" s="103"/>
      <c r="Y865" s="103"/>
      <c r="Z865" s="103"/>
      <c r="AA865" s="103"/>
    </row>
    <row r="866" spans="1:27" ht="15.75" customHeight="1">
      <c r="A866" s="103"/>
      <c r="B866" s="103"/>
      <c r="C866" s="103"/>
      <c r="D866" s="103"/>
      <c r="E866" s="103"/>
      <c r="F866" s="124"/>
      <c r="G866" s="124"/>
      <c r="H866" s="103"/>
      <c r="I866" s="103"/>
      <c r="J866" s="103"/>
      <c r="K866" s="103"/>
      <c r="L866" s="103"/>
      <c r="M866" s="103"/>
      <c r="N866" s="103"/>
      <c r="O866" s="103"/>
      <c r="P866" s="103"/>
      <c r="Q866" s="103"/>
      <c r="R866" s="103"/>
      <c r="S866" s="103"/>
      <c r="T866" s="103"/>
      <c r="U866" s="103"/>
      <c r="V866" s="103"/>
      <c r="W866" s="103"/>
      <c r="X866" s="103"/>
      <c r="Y866" s="103"/>
      <c r="Z866" s="103"/>
      <c r="AA866" s="103"/>
    </row>
    <row r="867" spans="1:27" ht="15.75" customHeight="1">
      <c r="A867" s="103"/>
      <c r="B867" s="103"/>
      <c r="C867" s="103"/>
      <c r="D867" s="103"/>
      <c r="E867" s="103"/>
      <c r="F867" s="124"/>
      <c r="G867" s="124"/>
      <c r="H867" s="103"/>
      <c r="I867" s="103"/>
      <c r="J867" s="103"/>
      <c r="K867" s="103"/>
      <c r="L867" s="103"/>
      <c r="M867" s="103"/>
      <c r="N867" s="103"/>
      <c r="O867" s="103"/>
      <c r="P867" s="103"/>
      <c r="Q867" s="103"/>
      <c r="R867" s="103"/>
      <c r="S867" s="103"/>
      <c r="T867" s="103"/>
      <c r="U867" s="103"/>
      <c r="V867" s="103"/>
      <c r="W867" s="103"/>
      <c r="X867" s="103"/>
      <c r="Y867" s="103"/>
      <c r="Z867" s="103"/>
      <c r="AA867" s="103"/>
    </row>
    <row r="868" spans="1:27" ht="15.75" customHeight="1">
      <c r="A868" s="103"/>
      <c r="B868" s="103"/>
      <c r="C868" s="103"/>
      <c r="D868" s="103"/>
      <c r="E868" s="103"/>
      <c r="F868" s="124"/>
      <c r="G868" s="124"/>
      <c r="H868" s="103"/>
      <c r="I868" s="103"/>
      <c r="J868" s="103"/>
      <c r="K868" s="103"/>
      <c r="L868" s="103"/>
      <c r="M868" s="103"/>
      <c r="N868" s="103"/>
      <c r="O868" s="103"/>
      <c r="P868" s="103"/>
      <c r="Q868" s="103"/>
      <c r="R868" s="103"/>
      <c r="S868" s="103"/>
      <c r="T868" s="103"/>
      <c r="U868" s="103"/>
      <c r="V868" s="103"/>
      <c r="W868" s="103"/>
      <c r="X868" s="103"/>
      <c r="Y868" s="103"/>
      <c r="Z868" s="103"/>
      <c r="AA868" s="103"/>
    </row>
    <row r="869" spans="1:27" ht="15.75" customHeight="1">
      <c r="A869" s="103"/>
      <c r="B869" s="103"/>
      <c r="C869" s="103"/>
      <c r="D869" s="103"/>
      <c r="E869" s="103"/>
      <c r="F869" s="124"/>
      <c r="G869" s="124"/>
      <c r="H869" s="103"/>
      <c r="I869" s="103"/>
      <c r="J869" s="103"/>
      <c r="K869" s="103"/>
      <c r="L869" s="103"/>
      <c r="M869" s="103"/>
      <c r="N869" s="103"/>
      <c r="O869" s="103"/>
      <c r="P869" s="103"/>
      <c r="Q869" s="103"/>
      <c r="R869" s="103"/>
      <c r="S869" s="103"/>
      <c r="T869" s="103"/>
      <c r="U869" s="103"/>
      <c r="V869" s="103"/>
      <c r="W869" s="103"/>
      <c r="X869" s="103"/>
      <c r="Y869" s="103"/>
      <c r="Z869" s="103"/>
      <c r="AA869" s="103"/>
    </row>
    <row r="870" spans="1:27" ht="15.75" customHeight="1">
      <c r="A870" s="103"/>
      <c r="B870" s="103"/>
      <c r="C870" s="103"/>
      <c r="D870" s="103"/>
      <c r="E870" s="103"/>
      <c r="F870" s="124"/>
      <c r="G870" s="124"/>
      <c r="H870" s="103"/>
      <c r="I870" s="103"/>
      <c r="J870" s="103"/>
      <c r="K870" s="103"/>
      <c r="L870" s="103"/>
      <c r="M870" s="103"/>
      <c r="N870" s="103"/>
      <c r="O870" s="103"/>
      <c r="P870" s="103"/>
      <c r="Q870" s="103"/>
      <c r="R870" s="103"/>
      <c r="S870" s="103"/>
      <c r="T870" s="103"/>
      <c r="U870" s="103"/>
      <c r="V870" s="103"/>
      <c r="W870" s="103"/>
      <c r="X870" s="103"/>
      <c r="Y870" s="103"/>
      <c r="Z870" s="103"/>
      <c r="AA870" s="103"/>
    </row>
    <row r="871" spans="1:27" ht="15.75" customHeight="1">
      <c r="A871" s="103"/>
      <c r="B871" s="103"/>
      <c r="C871" s="103"/>
      <c r="D871" s="103"/>
      <c r="E871" s="103"/>
      <c r="F871" s="124"/>
      <c r="G871" s="124"/>
      <c r="H871" s="103"/>
      <c r="I871" s="103"/>
      <c r="J871" s="103"/>
      <c r="K871" s="103"/>
      <c r="L871" s="103"/>
      <c r="M871" s="103"/>
      <c r="N871" s="103"/>
      <c r="O871" s="103"/>
      <c r="P871" s="103"/>
      <c r="Q871" s="103"/>
      <c r="R871" s="103"/>
      <c r="S871" s="103"/>
      <c r="T871" s="103"/>
      <c r="U871" s="103"/>
      <c r="V871" s="103"/>
      <c r="W871" s="103"/>
      <c r="X871" s="103"/>
      <c r="Y871" s="103"/>
      <c r="Z871" s="103"/>
      <c r="AA871" s="103"/>
    </row>
    <row r="872" spans="1:27" ht="15.75" customHeight="1">
      <c r="A872" s="103"/>
      <c r="B872" s="103"/>
      <c r="C872" s="103"/>
      <c r="D872" s="103"/>
      <c r="E872" s="103"/>
      <c r="F872" s="124"/>
      <c r="G872" s="124"/>
      <c r="H872" s="103"/>
      <c r="I872" s="103"/>
      <c r="J872" s="103"/>
      <c r="K872" s="103"/>
      <c r="L872" s="103"/>
      <c r="M872" s="103"/>
      <c r="N872" s="103"/>
      <c r="O872" s="103"/>
      <c r="P872" s="103"/>
      <c r="Q872" s="103"/>
      <c r="R872" s="103"/>
      <c r="S872" s="103"/>
      <c r="T872" s="103"/>
      <c r="U872" s="103"/>
      <c r="V872" s="103"/>
      <c r="W872" s="103"/>
      <c r="X872" s="103"/>
      <c r="Y872" s="103"/>
      <c r="Z872" s="103"/>
      <c r="AA872" s="103"/>
    </row>
    <row r="873" spans="1:27" ht="15.75" customHeight="1">
      <c r="A873" s="103"/>
      <c r="B873" s="103"/>
      <c r="C873" s="103"/>
      <c r="D873" s="103"/>
      <c r="E873" s="103"/>
      <c r="F873" s="124"/>
      <c r="G873" s="124"/>
      <c r="H873" s="103"/>
      <c r="I873" s="103"/>
      <c r="J873" s="103"/>
      <c r="K873" s="103"/>
      <c r="L873" s="103"/>
      <c r="M873" s="103"/>
      <c r="N873" s="103"/>
      <c r="O873" s="103"/>
      <c r="P873" s="103"/>
      <c r="Q873" s="103"/>
      <c r="R873" s="103"/>
      <c r="S873" s="103"/>
      <c r="T873" s="103"/>
      <c r="U873" s="103"/>
      <c r="V873" s="103"/>
      <c r="W873" s="103"/>
      <c r="X873" s="103"/>
      <c r="Y873" s="103"/>
      <c r="Z873" s="103"/>
      <c r="AA873" s="103"/>
    </row>
    <row r="874" spans="1:27" ht="15.75" customHeight="1">
      <c r="A874" s="103"/>
      <c r="B874" s="103"/>
      <c r="C874" s="103"/>
      <c r="D874" s="103"/>
      <c r="E874" s="103"/>
      <c r="F874" s="124"/>
      <c r="G874" s="124"/>
      <c r="H874" s="103"/>
      <c r="I874" s="103"/>
      <c r="J874" s="103"/>
      <c r="K874" s="103"/>
      <c r="L874" s="103"/>
      <c r="M874" s="103"/>
      <c r="N874" s="103"/>
      <c r="O874" s="103"/>
      <c r="P874" s="103"/>
      <c r="Q874" s="103"/>
      <c r="R874" s="103"/>
      <c r="S874" s="103"/>
      <c r="T874" s="103"/>
      <c r="U874" s="103"/>
      <c r="V874" s="103"/>
      <c r="W874" s="103"/>
      <c r="X874" s="103"/>
      <c r="Y874" s="103"/>
      <c r="Z874" s="103"/>
      <c r="AA874" s="103"/>
    </row>
    <row r="875" spans="1:27" ht="15.75" customHeight="1">
      <c r="A875" s="103"/>
      <c r="B875" s="103"/>
      <c r="C875" s="103"/>
      <c r="D875" s="103"/>
      <c r="E875" s="103"/>
      <c r="F875" s="124"/>
      <c r="G875" s="124"/>
      <c r="H875" s="103"/>
      <c r="I875" s="103"/>
      <c r="J875" s="103"/>
      <c r="K875" s="103"/>
      <c r="L875" s="103"/>
      <c r="M875" s="103"/>
      <c r="N875" s="103"/>
      <c r="O875" s="103"/>
      <c r="P875" s="103"/>
      <c r="Q875" s="103"/>
      <c r="R875" s="103"/>
      <c r="S875" s="103"/>
      <c r="T875" s="103"/>
      <c r="U875" s="103"/>
      <c r="V875" s="103"/>
      <c r="W875" s="103"/>
      <c r="X875" s="103"/>
      <c r="Y875" s="103"/>
      <c r="Z875" s="103"/>
      <c r="AA875" s="103"/>
    </row>
    <row r="876" spans="1:27" ht="15.75" customHeight="1">
      <c r="A876" s="103"/>
      <c r="B876" s="103"/>
      <c r="C876" s="103"/>
      <c r="D876" s="103"/>
      <c r="E876" s="103"/>
      <c r="F876" s="124"/>
      <c r="G876" s="124"/>
      <c r="H876" s="103"/>
      <c r="I876" s="103"/>
      <c r="J876" s="103"/>
      <c r="K876" s="103"/>
      <c r="L876" s="103"/>
      <c r="M876" s="103"/>
      <c r="N876" s="103"/>
      <c r="O876" s="103"/>
      <c r="P876" s="103"/>
      <c r="Q876" s="103"/>
      <c r="R876" s="103"/>
      <c r="S876" s="103"/>
      <c r="T876" s="103"/>
      <c r="U876" s="103"/>
      <c r="V876" s="103"/>
      <c r="W876" s="103"/>
      <c r="X876" s="103"/>
      <c r="Y876" s="103"/>
      <c r="Z876" s="103"/>
      <c r="AA876" s="103"/>
    </row>
    <row r="877" spans="1:27" ht="15.75" customHeight="1">
      <c r="A877" s="103"/>
      <c r="B877" s="103"/>
      <c r="C877" s="103"/>
      <c r="D877" s="103"/>
      <c r="E877" s="103"/>
      <c r="F877" s="124"/>
      <c r="G877" s="124"/>
      <c r="H877" s="103"/>
      <c r="I877" s="103"/>
      <c r="J877" s="103"/>
      <c r="K877" s="103"/>
      <c r="L877" s="103"/>
      <c r="M877" s="103"/>
      <c r="N877" s="103"/>
      <c r="O877" s="103"/>
      <c r="P877" s="103"/>
      <c r="Q877" s="103"/>
      <c r="R877" s="103"/>
      <c r="S877" s="103"/>
      <c r="T877" s="103"/>
      <c r="U877" s="103"/>
      <c r="V877" s="103"/>
      <c r="W877" s="103"/>
      <c r="X877" s="103"/>
      <c r="Y877" s="103"/>
      <c r="Z877" s="103"/>
      <c r="AA877" s="103"/>
    </row>
    <row r="878" spans="1:27" ht="15.75" customHeight="1">
      <c r="A878" s="103"/>
      <c r="B878" s="103"/>
      <c r="C878" s="103"/>
      <c r="D878" s="103"/>
      <c r="E878" s="103"/>
      <c r="F878" s="124"/>
      <c r="G878" s="124"/>
      <c r="H878" s="103"/>
      <c r="I878" s="103"/>
      <c r="J878" s="103"/>
      <c r="K878" s="103"/>
      <c r="L878" s="103"/>
      <c r="M878" s="103"/>
      <c r="N878" s="103"/>
      <c r="O878" s="103"/>
      <c r="P878" s="103"/>
      <c r="Q878" s="103"/>
      <c r="R878" s="103"/>
      <c r="S878" s="103"/>
      <c r="T878" s="103"/>
      <c r="U878" s="103"/>
      <c r="V878" s="103"/>
      <c r="W878" s="103"/>
      <c r="X878" s="103"/>
      <c r="Y878" s="103"/>
      <c r="Z878" s="103"/>
      <c r="AA878" s="103"/>
    </row>
    <row r="879" spans="1:27" ht="15.75" customHeight="1">
      <c r="A879" s="103"/>
      <c r="B879" s="103"/>
      <c r="C879" s="103"/>
      <c r="D879" s="103"/>
      <c r="E879" s="103"/>
      <c r="F879" s="124"/>
      <c r="G879" s="124"/>
      <c r="H879" s="103"/>
      <c r="I879" s="103"/>
      <c r="J879" s="103"/>
      <c r="K879" s="103"/>
      <c r="L879" s="103"/>
      <c r="M879" s="103"/>
      <c r="N879" s="103"/>
      <c r="O879" s="103"/>
      <c r="P879" s="103"/>
      <c r="Q879" s="103"/>
      <c r="R879" s="103"/>
      <c r="S879" s="103"/>
      <c r="T879" s="103"/>
      <c r="U879" s="103"/>
      <c r="V879" s="103"/>
      <c r="W879" s="103"/>
      <c r="X879" s="103"/>
      <c r="Y879" s="103"/>
      <c r="Z879" s="103"/>
      <c r="AA879" s="103"/>
    </row>
    <row r="880" spans="1:27" ht="15.75" customHeight="1">
      <c r="A880" s="103"/>
      <c r="B880" s="103"/>
      <c r="C880" s="103"/>
      <c r="D880" s="103"/>
      <c r="E880" s="103"/>
      <c r="F880" s="124"/>
      <c r="G880" s="124"/>
      <c r="H880" s="103"/>
      <c r="I880" s="103"/>
      <c r="J880" s="103"/>
      <c r="K880" s="103"/>
      <c r="L880" s="103"/>
      <c r="M880" s="103"/>
      <c r="N880" s="103"/>
      <c r="O880" s="103"/>
      <c r="P880" s="103"/>
      <c r="Q880" s="103"/>
      <c r="R880" s="103"/>
      <c r="S880" s="103"/>
      <c r="T880" s="103"/>
      <c r="U880" s="103"/>
      <c r="V880" s="103"/>
      <c r="W880" s="103"/>
      <c r="X880" s="103"/>
      <c r="Y880" s="103"/>
      <c r="Z880" s="103"/>
      <c r="AA880" s="103"/>
    </row>
    <row r="881" spans="1:27" ht="15.75" customHeight="1">
      <c r="A881" s="103"/>
      <c r="B881" s="103"/>
      <c r="C881" s="103"/>
      <c r="D881" s="103"/>
      <c r="E881" s="103"/>
      <c r="F881" s="124"/>
      <c r="G881" s="124"/>
      <c r="H881" s="103"/>
      <c r="I881" s="103"/>
      <c r="J881" s="103"/>
      <c r="K881" s="103"/>
      <c r="L881" s="103"/>
      <c r="M881" s="103"/>
      <c r="N881" s="103"/>
      <c r="O881" s="103"/>
      <c r="P881" s="103"/>
      <c r="Q881" s="103"/>
      <c r="R881" s="103"/>
      <c r="S881" s="103"/>
      <c r="T881" s="103"/>
      <c r="U881" s="103"/>
      <c r="V881" s="103"/>
      <c r="W881" s="103"/>
      <c r="X881" s="103"/>
      <c r="Y881" s="103"/>
      <c r="Z881" s="103"/>
      <c r="AA881" s="103"/>
    </row>
    <row r="882" spans="1:27" ht="15.75" customHeight="1">
      <c r="A882" s="103"/>
      <c r="B882" s="103"/>
      <c r="C882" s="103"/>
      <c r="D882" s="103"/>
      <c r="E882" s="103"/>
      <c r="F882" s="124"/>
      <c r="G882" s="124"/>
      <c r="H882" s="103"/>
      <c r="I882" s="103"/>
      <c r="J882" s="103"/>
      <c r="K882" s="103"/>
      <c r="L882" s="103"/>
      <c r="M882" s="103"/>
      <c r="N882" s="103"/>
      <c r="O882" s="103"/>
      <c r="P882" s="103"/>
      <c r="Q882" s="103"/>
      <c r="R882" s="103"/>
      <c r="S882" s="103"/>
      <c r="T882" s="103"/>
      <c r="U882" s="103"/>
      <c r="V882" s="103"/>
      <c r="W882" s="103"/>
      <c r="X882" s="103"/>
      <c r="Y882" s="103"/>
      <c r="Z882" s="103"/>
      <c r="AA882" s="103"/>
    </row>
    <row r="883" spans="1:27" ht="15.75" customHeight="1">
      <c r="A883" s="103"/>
      <c r="B883" s="103"/>
      <c r="C883" s="103"/>
      <c r="D883" s="103"/>
      <c r="E883" s="103"/>
      <c r="F883" s="124"/>
      <c r="G883" s="124"/>
      <c r="H883" s="103"/>
      <c r="I883" s="103"/>
      <c r="J883" s="103"/>
      <c r="K883" s="103"/>
      <c r="L883" s="103"/>
      <c r="M883" s="103"/>
      <c r="N883" s="103"/>
      <c r="O883" s="103"/>
      <c r="P883" s="103"/>
      <c r="Q883" s="103"/>
      <c r="R883" s="103"/>
      <c r="S883" s="103"/>
      <c r="T883" s="103"/>
      <c r="U883" s="103"/>
      <c r="V883" s="103"/>
      <c r="W883" s="103"/>
      <c r="X883" s="103"/>
      <c r="Y883" s="103"/>
      <c r="Z883" s="103"/>
      <c r="AA883" s="103"/>
    </row>
    <row r="884" spans="1:27" ht="15.75" customHeight="1">
      <c r="A884" s="103"/>
      <c r="B884" s="103"/>
      <c r="C884" s="103"/>
      <c r="D884" s="103"/>
      <c r="E884" s="103"/>
      <c r="F884" s="124"/>
      <c r="G884" s="124"/>
      <c r="H884" s="103"/>
      <c r="I884" s="103"/>
      <c r="J884" s="103"/>
      <c r="K884" s="103"/>
      <c r="L884" s="103"/>
      <c r="M884" s="103"/>
      <c r="N884" s="103"/>
      <c r="O884" s="103"/>
      <c r="P884" s="103"/>
      <c r="Q884" s="103"/>
      <c r="R884" s="103"/>
      <c r="S884" s="103"/>
      <c r="T884" s="103"/>
      <c r="U884" s="103"/>
      <c r="V884" s="103"/>
      <c r="W884" s="103"/>
      <c r="X884" s="103"/>
      <c r="Y884" s="103"/>
      <c r="Z884" s="103"/>
      <c r="AA884" s="103"/>
    </row>
    <row r="885" spans="1:27" ht="15.75" customHeight="1">
      <c r="A885" s="103"/>
      <c r="B885" s="103"/>
      <c r="C885" s="103"/>
      <c r="D885" s="103"/>
      <c r="E885" s="103"/>
      <c r="F885" s="124"/>
      <c r="G885" s="124"/>
      <c r="H885" s="103"/>
      <c r="I885" s="103"/>
      <c r="J885" s="103"/>
      <c r="K885" s="103"/>
      <c r="L885" s="103"/>
      <c r="M885" s="103"/>
      <c r="N885" s="103"/>
      <c r="O885" s="103"/>
      <c r="P885" s="103"/>
      <c r="Q885" s="103"/>
      <c r="R885" s="103"/>
      <c r="S885" s="103"/>
      <c r="T885" s="103"/>
      <c r="U885" s="103"/>
      <c r="V885" s="103"/>
      <c r="W885" s="103"/>
      <c r="X885" s="103"/>
      <c r="Y885" s="103"/>
      <c r="Z885" s="103"/>
      <c r="AA885" s="103"/>
    </row>
    <row r="886" spans="1:27" ht="15.75" customHeight="1">
      <c r="A886" s="103"/>
      <c r="B886" s="103"/>
      <c r="C886" s="103"/>
      <c r="D886" s="103"/>
      <c r="E886" s="103"/>
      <c r="F886" s="124"/>
      <c r="G886" s="124"/>
      <c r="H886" s="103"/>
      <c r="I886" s="103"/>
      <c r="J886" s="103"/>
      <c r="K886" s="103"/>
      <c r="L886" s="103"/>
      <c r="M886" s="103"/>
      <c r="N886" s="103"/>
      <c r="O886" s="103"/>
      <c r="P886" s="103"/>
      <c r="Q886" s="103"/>
      <c r="R886" s="103"/>
      <c r="S886" s="103"/>
      <c r="T886" s="103"/>
      <c r="U886" s="103"/>
      <c r="V886" s="103"/>
      <c r="W886" s="103"/>
      <c r="X886" s="103"/>
      <c r="Y886" s="103"/>
      <c r="Z886" s="103"/>
      <c r="AA886" s="103"/>
    </row>
    <row r="887" spans="1:27" ht="15.75" customHeight="1">
      <c r="A887" s="103"/>
      <c r="B887" s="103"/>
      <c r="C887" s="103"/>
      <c r="D887" s="103"/>
      <c r="E887" s="103"/>
      <c r="F887" s="124"/>
      <c r="G887" s="124"/>
      <c r="H887" s="103"/>
      <c r="I887" s="103"/>
      <c r="J887" s="103"/>
      <c r="K887" s="103"/>
      <c r="L887" s="103"/>
      <c r="M887" s="103"/>
      <c r="N887" s="103"/>
      <c r="O887" s="103"/>
      <c r="P887" s="103"/>
      <c r="Q887" s="103"/>
      <c r="R887" s="103"/>
      <c r="S887" s="103"/>
      <c r="T887" s="103"/>
      <c r="U887" s="103"/>
      <c r="V887" s="103"/>
      <c r="W887" s="103"/>
      <c r="X887" s="103"/>
      <c r="Y887" s="103"/>
      <c r="Z887" s="103"/>
      <c r="AA887" s="103"/>
    </row>
    <row r="888" spans="1:27" ht="15.75" customHeight="1">
      <c r="A888" s="103"/>
      <c r="B888" s="103"/>
      <c r="C888" s="103"/>
      <c r="D888" s="103"/>
      <c r="E888" s="103"/>
      <c r="F888" s="124"/>
      <c r="G888" s="124"/>
      <c r="H888" s="103"/>
      <c r="I888" s="103"/>
      <c r="J888" s="103"/>
      <c r="K888" s="103"/>
      <c r="L888" s="103"/>
      <c r="M888" s="103"/>
      <c r="N888" s="103"/>
      <c r="O888" s="103"/>
      <c r="P888" s="103"/>
      <c r="Q888" s="103"/>
      <c r="R888" s="103"/>
      <c r="S888" s="103"/>
      <c r="T888" s="103"/>
      <c r="U888" s="103"/>
      <c r="V888" s="103"/>
      <c r="W888" s="103"/>
      <c r="X888" s="103"/>
      <c r="Y888" s="103"/>
      <c r="Z888" s="103"/>
      <c r="AA888" s="103"/>
    </row>
    <row r="889" spans="1:27" ht="15.75" customHeight="1">
      <c r="A889" s="103"/>
      <c r="B889" s="103"/>
      <c r="C889" s="103"/>
      <c r="D889" s="103"/>
      <c r="E889" s="103"/>
      <c r="F889" s="124"/>
      <c r="G889" s="124"/>
      <c r="H889" s="103"/>
      <c r="I889" s="103"/>
      <c r="J889" s="103"/>
      <c r="K889" s="103"/>
      <c r="L889" s="103"/>
      <c r="M889" s="103"/>
      <c r="N889" s="103"/>
      <c r="O889" s="103"/>
      <c r="P889" s="103"/>
      <c r="Q889" s="103"/>
      <c r="R889" s="103"/>
      <c r="S889" s="103"/>
      <c r="T889" s="103"/>
      <c r="U889" s="103"/>
      <c r="V889" s="103"/>
      <c r="W889" s="103"/>
      <c r="X889" s="103"/>
      <c r="Y889" s="103"/>
      <c r="Z889" s="103"/>
      <c r="AA889" s="103"/>
    </row>
    <row r="890" spans="1:27" ht="15.75" customHeight="1">
      <c r="A890" s="103"/>
      <c r="B890" s="103"/>
      <c r="C890" s="103"/>
      <c r="D890" s="103"/>
      <c r="E890" s="103"/>
      <c r="F890" s="124"/>
      <c r="G890" s="124"/>
      <c r="H890" s="103"/>
      <c r="I890" s="103"/>
      <c r="J890" s="103"/>
      <c r="K890" s="103"/>
      <c r="L890" s="103"/>
      <c r="M890" s="103"/>
      <c r="N890" s="103"/>
      <c r="O890" s="103"/>
      <c r="P890" s="103"/>
      <c r="Q890" s="103"/>
      <c r="R890" s="103"/>
      <c r="S890" s="103"/>
      <c r="T890" s="103"/>
      <c r="U890" s="103"/>
      <c r="V890" s="103"/>
      <c r="W890" s="103"/>
      <c r="X890" s="103"/>
      <c r="Y890" s="103"/>
      <c r="Z890" s="103"/>
      <c r="AA890" s="103"/>
    </row>
    <row r="891" spans="1:27" ht="15.75" customHeight="1">
      <c r="A891" s="103"/>
      <c r="B891" s="103"/>
      <c r="C891" s="103"/>
      <c r="D891" s="103"/>
      <c r="E891" s="103"/>
      <c r="F891" s="124"/>
      <c r="G891" s="124"/>
      <c r="H891" s="103"/>
      <c r="I891" s="103"/>
      <c r="J891" s="103"/>
      <c r="K891" s="103"/>
      <c r="L891" s="103"/>
      <c r="M891" s="103"/>
      <c r="N891" s="103"/>
      <c r="O891" s="103"/>
      <c r="P891" s="103"/>
      <c r="Q891" s="103"/>
      <c r="R891" s="103"/>
      <c r="S891" s="103"/>
      <c r="T891" s="103"/>
      <c r="U891" s="103"/>
      <c r="V891" s="103"/>
      <c r="W891" s="103"/>
      <c r="X891" s="103"/>
      <c r="Y891" s="103"/>
      <c r="Z891" s="103"/>
      <c r="AA891" s="103"/>
    </row>
    <row r="892" spans="1:27" ht="15.75" customHeight="1">
      <c r="A892" s="103"/>
      <c r="B892" s="103"/>
      <c r="C892" s="103"/>
      <c r="D892" s="103"/>
      <c r="E892" s="103"/>
      <c r="F892" s="124"/>
      <c r="G892" s="124"/>
      <c r="H892" s="103"/>
      <c r="I892" s="103"/>
      <c r="J892" s="103"/>
      <c r="K892" s="103"/>
      <c r="L892" s="103"/>
      <c r="M892" s="103"/>
      <c r="N892" s="103"/>
      <c r="O892" s="103"/>
      <c r="P892" s="103"/>
      <c r="Q892" s="103"/>
      <c r="R892" s="103"/>
      <c r="S892" s="103"/>
      <c r="T892" s="103"/>
      <c r="U892" s="103"/>
      <c r="V892" s="103"/>
      <c r="W892" s="103"/>
      <c r="X892" s="103"/>
      <c r="Y892" s="103"/>
      <c r="Z892" s="103"/>
      <c r="AA892" s="103"/>
    </row>
    <row r="893" spans="1:27" ht="15.75" customHeight="1">
      <c r="A893" s="103"/>
      <c r="B893" s="103"/>
      <c r="C893" s="103"/>
      <c r="D893" s="103"/>
      <c r="E893" s="103"/>
      <c r="F893" s="124"/>
      <c r="G893" s="124"/>
      <c r="H893" s="103"/>
      <c r="I893" s="103"/>
      <c r="J893" s="103"/>
      <c r="K893" s="103"/>
      <c r="L893" s="103"/>
      <c r="M893" s="103"/>
      <c r="N893" s="103"/>
      <c r="O893" s="103"/>
      <c r="P893" s="103"/>
      <c r="Q893" s="103"/>
      <c r="R893" s="103"/>
      <c r="S893" s="103"/>
      <c r="T893" s="103"/>
      <c r="U893" s="103"/>
      <c r="V893" s="103"/>
      <c r="W893" s="103"/>
      <c r="X893" s="103"/>
      <c r="Y893" s="103"/>
      <c r="Z893" s="103"/>
      <c r="AA893" s="103"/>
    </row>
    <row r="894" spans="1:27" ht="15.75" customHeight="1">
      <c r="A894" s="103"/>
      <c r="B894" s="103"/>
      <c r="C894" s="103"/>
      <c r="D894" s="103"/>
      <c r="E894" s="103"/>
      <c r="F894" s="124"/>
      <c r="G894" s="124"/>
      <c r="H894" s="103"/>
      <c r="I894" s="103"/>
      <c r="J894" s="103"/>
      <c r="K894" s="103"/>
      <c r="L894" s="103"/>
      <c r="M894" s="103"/>
      <c r="N894" s="103"/>
      <c r="O894" s="103"/>
      <c r="P894" s="103"/>
      <c r="Q894" s="103"/>
      <c r="R894" s="103"/>
      <c r="S894" s="103"/>
      <c r="T894" s="103"/>
      <c r="U894" s="103"/>
      <c r="V894" s="103"/>
      <c r="W894" s="103"/>
      <c r="X894" s="103"/>
      <c r="Y894" s="103"/>
      <c r="Z894" s="103"/>
      <c r="AA894" s="103"/>
    </row>
    <row r="895" spans="1:27" ht="15.75" customHeight="1">
      <c r="A895" s="103"/>
      <c r="B895" s="103"/>
      <c r="C895" s="103"/>
      <c r="D895" s="103"/>
      <c r="E895" s="103"/>
      <c r="F895" s="124"/>
      <c r="G895" s="124"/>
      <c r="H895" s="103"/>
      <c r="I895" s="103"/>
      <c r="J895" s="103"/>
      <c r="K895" s="103"/>
      <c r="L895" s="103"/>
      <c r="M895" s="103"/>
      <c r="N895" s="103"/>
      <c r="O895" s="103"/>
      <c r="P895" s="103"/>
      <c r="Q895" s="103"/>
      <c r="R895" s="103"/>
      <c r="S895" s="103"/>
      <c r="T895" s="103"/>
      <c r="U895" s="103"/>
      <c r="V895" s="103"/>
      <c r="W895" s="103"/>
      <c r="X895" s="103"/>
      <c r="Y895" s="103"/>
      <c r="Z895" s="103"/>
      <c r="AA895" s="103"/>
    </row>
    <row r="896" spans="1:27" ht="15.75" customHeight="1">
      <c r="A896" s="103"/>
      <c r="B896" s="103"/>
      <c r="C896" s="103"/>
      <c r="D896" s="103"/>
      <c r="E896" s="103"/>
      <c r="F896" s="124"/>
      <c r="G896" s="124"/>
      <c r="H896" s="103"/>
      <c r="I896" s="103"/>
      <c r="J896" s="103"/>
      <c r="K896" s="103"/>
      <c r="L896" s="103"/>
      <c r="M896" s="103"/>
      <c r="N896" s="103"/>
      <c r="O896" s="103"/>
      <c r="P896" s="103"/>
      <c r="Q896" s="103"/>
      <c r="R896" s="103"/>
      <c r="S896" s="103"/>
      <c r="T896" s="103"/>
      <c r="U896" s="103"/>
      <c r="V896" s="103"/>
      <c r="W896" s="103"/>
      <c r="X896" s="103"/>
      <c r="Y896" s="103"/>
      <c r="Z896" s="103"/>
      <c r="AA896" s="103"/>
    </row>
    <row r="897" spans="1:27" ht="15.75" customHeight="1">
      <c r="A897" s="103"/>
      <c r="B897" s="103"/>
      <c r="C897" s="103"/>
      <c r="D897" s="103"/>
      <c r="E897" s="103"/>
      <c r="F897" s="124"/>
      <c r="G897" s="124"/>
      <c r="H897" s="103"/>
      <c r="I897" s="103"/>
      <c r="J897" s="103"/>
      <c r="K897" s="103"/>
      <c r="L897" s="103"/>
      <c r="M897" s="103"/>
      <c r="N897" s="103"/>
      <c r="O897" s="103"/>
      <c r="P897" s="103"/>
      <c r="Q897" s="103"/>
      <c r="R897" s="103"/>
      <c r="S897" s="103"/>
      <c r="T897" s="103"/>
      <c r="U897" s="103"/>
      <c r="V897" s="103"/>
      <c r="W897" s="103"/>
      <c r="X897" s="103"/>
      <c r="Y897" s="103"/>
      <c r="Z897" s="103"/>
      <c r="AA897" s="103"/>
    </row>
    <row r="898" spans="1:27" ht="15.75" customHeight="1">
      <c r="A898" s="103"/>
      <c r="B898" s="103"/>
      <c r="C898" s="103"/>
      <c r="D898" s="103"/>
      <c r="E898" s="103"/>
      <c r="F898" s="124"/>
      <c r="G898" s="124"/>
      <c r="H898" s="103"/>
      <c r="I898" s="103"/>
      <c r="J898" s="103"/>
      <c r="K898" s="103"/>
      <c r="L898" s="103"/>
      <c r="M898" s="103"/>
      <c r="N898" s="103"/>
      <c r="O898" s="103"/>
      <c r="P898" s="103"/>
      <c r="Q898" s="103"/>
      <c r="R898" s="103"/>
      <c r="S898" s="103"/>
      <c r="T898" s="103"/>
      <c r="U898" s="103"/>
      <c r="V898" s="103"/>
      <c r="W898" s="103"/>
      <c r="X898" s="103"/>
      <c r="Y898" s="103"/>
      <c r="Z898" s="103"/>
      <c r="AA898" s="103"/>
    </row>
    <row r="899" spans="1:27" ht="15.75" customHeight="1">
      <c r="A899" s="103"/>
      <c r="B899" s="103"/>
      <c r="C899" s="103"/>
      <c r="D899" s="103"/>
      <c r="E899" s="103"/>
      <c r="F899" s="124"/>
      <c r="G899" s="124"/>
      <c r="H899" s="103"/>
      <c r="I899" s="103"/>
      <c r="J899" s="103"/>
      <c r="K899" s="103"/>
      <c r="L899" s="103"/>
      <c r="M899" s="103"/>
      <c r="N899" s="103"/>
      <c r="O899" s="103"/>
      <c r="P899" s="103"/>
      <c r="Q899" s="103"/>
      <c r="R899" s="103"/>
      <c r="S899" s="103"/>
      <c r="T899" s="103"/>
      <c r="U899" s="103"/>
      <c r="V899" s="103"/>
      <c r="W899" s="103"/>
      <c r="X899" s="103"/>
      <c r="Y899" s="103"/>
      <c r="Z899" s="103"/>
      <c r="AA899" s="103"/>
    </row>
    <row r="900" spans="1:27" ht="15.75" customHeight="1">
      <c r="A900" s="103"/>
      <c r="B900" s="103"/>
      <c r="C900" s="103"/>
      <c r="D900" s="103"/>
      <c r="E900" s="103"/>
      <c r="F900" s="124"/>
      <c r="G900" s="124"/>
      <c r="H900" s="103"/>
      <c r="I900" s="103"/>
      <c r="J900" s="103"/>
      <c r="K900" s="103"/>
      <c r="L900" s="103"/>
      <c r="M900" s="103"/>
      <c r="N900" s="103"/>
      <c r="O900" s="103"/>
      <c r="P900" s="103"/>
      <c r="Q900" s="103"/>
      <c r="R900" s="103"/>
      <c r="S900" s="103"/>
      <c r="T900" s="103"/>
      <c r="U900" s="103"/>
      <c r="V900" s="103"/>
      <c r="W900" s="103"/>
      <c r="X900" s="103"/>
      <c r="Y900" s="103"/>
      <c r="Z900" s="103"/>
      <c r="AA900" s="103"/>
    </row>
    <row r="901" spans="1:27" ht="15.75" customHeight="1">
      <c r="A901" s="103"/>
      <c r="B901" s="103"/>
      <c r="C901" s="103"/>
      <c r="D901" s="103"/>
      <c r="E901" s="103"/>
      <c r="F901" s="124"/>
      <c r="G901" s="124"/>
      <c r="H901" s="103"/>
      <c r="I901" s="103"/>
      <c r="J901" s="103"/>
      <c r="K901" s="103"/>
      <c r="L901" s="103"/>
      <c r="M901" s="103"/>
      <c r="N901" s="103"/>
      <c r="O901" s="103"/>
      <c r="P901" s="103"/>
      <c r="Q901" s="103"/>
      <c r="R901" s="103"/>
      <c r="S901" s="103"/>
      <c r="T901" s="103"/>
      <c r="U901" s="103"/>
      <c r="V901" s="103"/>
      <c r="W901" s="103"/>
      <c r="X901" s="103"/>
      <c r="Y901" s="103"/>
      <c r="Z901" s="103"/>
      <c r="AA901" s="103"/>
    </row>
    <row r="902" spans="1:27" ht="15.75" customHeight="1">
      <c r="A902" s="103"/>
      <c r="B902" s="103"/>
      <c r="C902" s="103"/>
      <c r="D902" s="103"/>
      <c r="E902" s="103"/>
      <c r="F902" s="124"/>
      <c r="G902" s="124"/>
      <c r="H902" s="103"/>
      <c r="I902" s="103"/>
      <c r="J902" s="103"/>
      <c r="K902" s="103"/>
      <c r="L902" s="103"/>
      <c r="M902" s="103"/>
      <c r="N902" s="103"/>
      <c r="O902" s="103"/>
      <c r="P902" s="103"/>
      <c r="Q902" s="103"/>
      <c r="R902" s="103"/>
      <c r="S902" s="103"/>
      <c r="T902" s="103"/>
      <c r="U902" s="103"/>
      <c r="V902" s="103"/>
      <c r="W902" s="103"/>
      <c r="X902" s="103"/>
      <c r="Y902" s="103"/>
      <c r="Z902" s="103"/>
      <c r="AA902" s="103"/>
    </row>
    <row r="903" spans="1:27" ht="15.75" customHeight="1">
      <c r="A903" s="103"/>
      <c r="B903" s="103"/>
      <c r="C903" s="103"/>
      <c r="D903" s="103"/>
      <c r="E903" s="103"/>
      <c r="F903" s="124"/>
      <c r="G903" s="124"/>
      <c r="H903" s="103"/>
      <c r="I903" s="103"/>
      <c r="J903" s="103"/>
      <c r="K903" s="103"/>
      <c r="L903" s="103"/>
      <c r="M903" s="103"/>
      <c r="N903" s="103"/>
      <c r="O903" s="103"/>
      <c r="P903" s="103"/>
      <c r="Q903" s="103"/>
      <c r="R903" s="103"/>
      <c r="S903" s="103"/>
      <c r="T903" s="103"/>
      <c r="U903" s="103"/>
      <c r="V903" s="103"/>
      <c r="W903" s="103"/>
      <c r="X903" s="103"/>
      <c r="Y903" s="103"/>
      <c r="Z903" s="103"/>
      <c r="AA903" s="103"/>
    </row>
    <row r="904" spans="1:27" ht="15.75" customHeight="1">
      <c r="A904" s="103"/>
      <c r="B904" s="103"/>
      <c r="C904" s="103"/>
      <c r="D904" s="103"/>
      <c r="E904" s="103"/>
      <c r="F904" s="124"/>
      <c r="G904" s="124"/>
      <c r="H904" s="103"/>
      <c r="I904" s="103"/>
      <c r="J904" s="103"/>
      <c r="K904" s="103"/>
      <c r="L904" s="103"/>
      <c r="M904" s="103"/>
      <c r="N904" s="103"/>
      <c r="O904" s="103"/>
      <c r="P904" s="103"/>
      <c r="Q904" s="103"/>
      <c r="R904" s="103"/>
      <c r="S904" s="103"/>
      <c r="T904" s="103"/>
      <c r="U904" s="103"/>
      <c r="V904" s="103"/>
      <c r="W904" s="103"/>
      <c r="X904" s="103"/>
      <c r="Y904" s="103"/>
      <c r="Z904" s="103"/>
      <c r="AA904" s="103"/>
    </row>
    <row r="905" spans="1:27" ht="15.75" customHeight="1">
      <c r="A905" s="103"/>
      <c r="B905" s="103"/>
      <c r="C905" s="103"/>
      <c r="D905" s="103"/>
      <c r="E905" s="103"/>
      <c r="F905" s="124"/>
      <c r="G905" s="124"/>
      <c r="H905" s="103"/>
      <c r="I905" s="103"/>
      <c r="J905" s="103"/>
      <c r="K905" s="103"/>
      <c r="L905" s="103"/>
      <c r="M905" s="103"/>
      <c r="N905" s="103"/>
      <c r="O905" s="103"/>
      <c r="P905" s="103"/>
      <c r="Q905" s="103"/>
      <c r="R905" s="103"/>
      <c r="S905" s="103"/>
      <c r="T905" s="103"/>
      <c r="U905" s="103"/>
      <c r="V905" s="103"/>
      <c r="W905" s="103"/>
      <c r="X905" s="103"/>
      <c r="Y905" s="103"/>
      <c r="Z905" s="103"/>
      <c r="AA905" s="103"/>
    </row>
    <row r="906" spans="1:27" ht="15.75" customHeight="1">
      <c r="A906" s="103"/>
      <c r="B906" s="103"/>
      <c r="C906" s="103"/>
      <c r="D906" s="103"/>
      <c r="E906" s="103"/>
      <c r="F906" s="124"/>
      <c r="G906" s="124"/>
      <c r="H906" s="103"/>
      <c r="I906" s="103"/>
      <c r="J906" s="103"/>
      <c r="K906" s="103"/>
      <c r="L906" s="103"/>
      <c r="M906" s="103"/>
      <c r="N906" s="103"/>
      <c r="O906" s="103"/>
      <c r="P906" s="103"/>
      <c r="Q906" s="103"/>
      <c r="R906" s="103"/>
      <c r="S906" s="103"/>
      <c r="T906" s="103"/>
      <c r="U906" s="103"/>
      <c r="V906" s="103"/>
      <c r="W906" s="103"/>
      <c r="X906" s="103"/>
      <c r="Y906" s="103"/>
      <c r="Z906" s="103"/>
      <c r="AA906" s="103"/>
    </row>
    <row r="907" spans="1:27" ht="15.75" customHeight="1">
      <c r="A907" s="103"/>
      <c r="B907" s="103"/>
      <c r="C907" s="103"/>
      <c r="D907" s="103"/>
      <c r="E907" s="103"/>
      <c r="F907" s="124"/>
      <c r="G907" s="124"/>
      <c r="H907" s="103"/>
      <c r="I907" s="103"/>
      <c r="J907" s="103"/>
      <c r="K907" s="103"/>
      <c r="L907" s="103"/>
      <c r="M907" s="103"/>
      <c r="N907" s="103"/>
      <c r="O907" s="103"/>
      <c r="P907" s="103"/>
      <c r="Q907" s="103"/>
      <c r="R907" s="103"/>
      <c r="S907" s="103"/>
      <c r="T907" s="103"/>
      <c r="U907" s="103"/>
      <c r="V907" s="103"/>
      <c r="W907" s="103"/>
      <c r="X907" s="103"/>
      <c r="Y907" s="103"/>
      <c r="Z907" s="103"/>
      <c r="AA907" s="103"/>
    </row>
    <row r="908" spans="1:27" ht="15.75" customHeight="1">
      <c r="A908" s="103"/>
      <c r="B908" s="103"/>
      <c r="C908" s="103"/>
      <c r="D908" s="103"/>
      <c r="E908" s="103"/>
      <c r="F908" s="124"/>
      <c r="G908" s="124"/>
      <c r="H908" s="103"/>
      <c r="I908" s="103"/>
      <c r="J908" s="103"/>
      <c r="K908" s="103"/>
      <c r="L908" s="103"/>
      <c r="M908" s="103"/>
      <c r="N908" s="103"/>
      <c r="O908" s="103"/>
      <c r="P908" s="103"/>
      <c r="Q908" s="103"/>
      <c r="R908" s="103"/>
      <c r="S908" s="103"/>
      <c r="T908" s="103"/>
      <c r="U908" s="103"/>
      <c r="V908" s="103"/>
      <c r="W908" s="103"/>
      <c r="X908" s="103"/>
      <c r="Y908" s="103"/>
      <c r="Z908" s="103"/>
      <c r="AA908" s="103"/>
    </row>
    <row r="909" spans="1:27" ht="15.75" customHeight="1">
      <c r="A909" s="103"/>
      <c r="B909" s="103"/>
      <c r="C909" s="103"/>
      <c r="D909" s="103"/>
      <c r="E909" s="103"/>
      <c r="F909" s="124"/>
      <c r="G909" s="124"/>
      <c r="H909" s="103"/>
      <c r="I909" s="103"/>
      <c r="J909" s="103"/>
      <c r="K909" s="103"/>
      <c r="L909" s="103"/>
      <c r="M909" s="103"/>
      <c r="N909" s="103"/>
      <c r="O909" s="103"/>
      <c r="P909" s="103"/>
      <c r="Q909" s="103"/>
      <c r="R909" s="103"/>
      <c r="S909" s="103"/>
      <c r="T909" s="103"/>
      <c r="U909" s="103"/>
      <c r="V909" s="103"/>
      <c r="W909" s="103"/>
      <c r="X909" s="103"/>
      <c r="Y909" s="103"/>
      <c r="Z909" s="103"/>
      <c r="AA909" s="103"/>
    </row>
    <row r="910" spans="1:27" ht="15.75" customHeight="1">
      <c r="A910" s="103"/>
      <c r="B910" s="103"/>
      <c r="C910" s="103"/>
      <c r="D910" s="103"/>
      <c r="E910" s="103"/>
      <c r="F910" s="124"/>
      <c r="G910" s="124"/>
      <c r="H910" s="103"/>
      <c r="I910" s="103"/>
      <c r="J910" s="103"/>
      <c r="K910" s="103"/>
      <c r="L910" s="103"/>
      <c r="M910" s="103"/>
      <c r="N910" s="103"/>
      <c r="O910" s="103"/>
      <c r="P910" s="103"/>
      <c r="Q910" s="103"/>
      <c r="R910" s="103"/>
      <c r="S910" s="103"/>
      <c r="T910" s="103"/>
      <c r="U910" s="103"/>
      <c r="V910" s="103"/>
      <c r="W910" s="103"/>
      <c r="X910" s="103"/>
      <c r="Y910" s="103"/>
      <c r="Z910" s="103"/>
      <c r="AA910" s="103"/>
    </row>
    <row r="911" spans="1:27" ht="15.75" customHeight="1">
      <c r="A911" s="103"/>
      <c r="B911" s="103"/>
      <c r="C911" s="103"/>
      <c r="D911" s="103"/>
      <c r="E911" s="103"/>
      <c r="F911" s="124"/>
      <c r="G911" s="124"/>
      <c r="H911" s="103"/>
      <c r="I911" s="103"/>
      <c r="J911" s="103"/>
      <c r="K911" s="103"/>
      <c r="L911" s="103"/>
      <c r="M911" s="103"/>
      <c r="N911" s="103"/>
      <c r="O911" s="103"/>
      <c r="P911" s="103"/>
      <c r="Q911" s="103"/>
      <c r="R911" s="103"/>
      <c r="S911" s="103"/>
      <c r="T911" s="103"/>
      <c r="U911" s="103"/>
      <c r="V911" s="103"/>
      <c r="W911" s="103"/>
      <c r="X911" s="103"/>
      <c r="Y911" s="103"/>
      <c r="Z911" s="103"/>
      <c r="AA911" s="103"/>
    </row>
    <row r="912" spans="1:27" ht="15.75" customHeight="1">
      <c r="A912" s="103"/>
      <c r="B912" s="103"/>
      <c r="C912" s="103"/>
      <c r="D912" s="103"/>
      <c r="E912" s="103"/>
      <c r="F912" s="124"/>
      <c r="G912" s="124"/>
      <c r="H912" s="103"/>
      <c r="I912" s="103"/>
      <c r="J912" s="103"/>
      <c r="K912" s="103"/>
      <c r="L912" s="103"/>
      <c r="M912" s="103"/>
      <c r="N912" s="103"/>
      <c r="O912" s="103"/>
      <c r="P912" s="103"/>
      <c r="Q912" s="103"/>
      <c r="R912" s="103"/>
      <c r="S912" s="103"/>
      <c r="T912" s="103"/>
      <c r="U912" s="103"/>
      <c r="V912" s="103"/>
      <c r="W912" s="103"/>
      <c r="X912" s="103"/>
      <c r="Y912" s="103"/>
      <c r="Z912" s="103"/>
      <c r="AA912" s="103"/>
    </row>
    <row r="913" spans="1:27" ht="15.75" customHeight="1">
      <c r="A913" s="103"/>
      <c r="B913" s="103"/>
      <c r="C913" s="103"/>
      <c r="D913" s="103"/>
      <c r="E913" s="103"/>
      <c r="F913" s="124"/>
      <c r="G913" s="124"/>
      <c r="H913" s="103"/>
      <c r="I913" s="103"/>
      <c r="J913" s="103"/>
      <c r="K913" s="103"/>
      <c r="L913" s="103"/>
      <c r="M913" s="103"/>
      <c r="N913" s="103"/>
      <c r="O913" s="103"/>
      <c r="P913" s="103"/>
      <c r="Q913" s="103"/>
      <c r="R913" s="103"/>
      <c r="S913" s="103"/>
      <c r="T913" s="103"/>
      <c r="U913" s="103"/>
      <c r="V913" s="103"/>
      <c r="W913" s="103"/>
      <c r="X913" s="103"/>
      <c r="Y913" s="103"/>
      <c r="Z913" s="103"/>
      <c r="AA913" s="103"/>
    </row>
    <row r="914" spans="1:27" ht="15.75" customHeight="1">
      <c r="A914" s="103"/>
      <c r="B914" s="103"/>
      <c r="C914" s="103"/>
      <c r="D914" s="103"/>
      <c r="E914" s="103"/>
      <c r="F914" s="124"/>
      <c r="G914" s="124"/>
      <c r="H914" s="103"/>
      <c r="I914" s="103"/>
      <c r="J914" s="103"/>
      <c r="K914" s="103"/>
      <c r="L914" s="103"/>
      <c r="M914" s="103"/>
      <c r="N914" s="103"/>
      <c r="O914" s="103"/>
      <c r="P914" s="103"/>
      <c r="Q914" s="103"/>
      <c r="R914" s="103"/>
      <c r="S914" s="103"/>
      <c r="T914" s="103"/>
      <c r="U914" s="103"/>
      <c r="V914" s="103"/>
      <c r="W914" s="103"/>
      <c r="X914" s="103"/>
      <c r="Y914" s="103"/>
      <c r="Z914" s="103"/>
      <c r="AA914" s="103"/>
    </row>
    <row r="915" spans="1:27" ht="15.75" customHeight="1">
      <c r="A915" s="103"/>
      <c r="B915" s="103"/>
      <c r="C915" s="103"/>
      <c r="D915" s="103"/>
      <c r="E915" s="103"/>
      <c r="F915" s="124"/>
      <c r="G915" s="124"/>
      <c r="H915" s="103"/>
      <c r="I915" s="103"/>
      <c r="J915" s="103"/>
      <c r="K915" s="103"/>
      <c r="L915" s="103"/>
      <c r="M915" s="103"/>
      <c r="N915" s="103"/>
      <c r="O915" s="103"/>
      <c r="P915" s="103"/>
      <c r="Q915" s="103"/>
      <c r="R915" s="103"/>
      <c r="S915" s="103"/>
      <c r="T915" s="103"/>
      <c r="U915" s="103"/>
      <c r="V915" s="103"/>
      <c r="W915" s="103"/>
      <c r="X915" s="103"/>
      <c r="Y915" s="103"/>
      <c r="Z915" s="103"/>
      <c r="AA915" s="103"/>
    </row>
    <row r="916" spans="1:27" ht="15.75" customHeight="1">
      <c r="A916" s="103"/>
      <c r="B916" s="103"/>
      <c r="C916" s="103"/>
      <c r="D916" s="103"/>
      <c r="E916" s="103"/>
      <c r="F916" s="124"/>
      <c r="G916" s="124"/>
      <c r="H916" s="103"/>
      <c r="I916" s="103"/>
      <c r="J916" s="103"/>
      <c r="K916" s="103"/>
      <c r="L916" s="103"/>
      <c r="M916" s="103"/>
      <c r="N916" s="103"/>
      <c r="O916" s="103"/>
      <c r="P916" s="103"/>
      <c r="Q916" s="103"/>
      <c r="R916" s="103"/>
      <c r="S916" s="103"/>
      <c r="T916" s="103"/>
      <c r="U916" s="103"/>
      <c r="V916" s="103"/>
      <c r="W916" s="103"/>
      <c r="X916" s="103"/>
      <c r="Y916" s="103"/>
      <c r="Z916" s="103"/>
      <c r="AA916" s="103"/>
    </row>
    <row r="917" spans="1:27" ht="15.75" customHeight="1">
      <c r="A917" s="103"/>
      <c r="B917" s="103"/>
      <c r="C917" s="103"/>
      <c r="D917" s="103"/>
      <c r="E917" s="103"/>
      <c r="F917" s="124"/>
      <c r="G917" s="124"/>
      <c r="H917" s="103"/>
      <c r="I917" s="103"/>
      <c r="J917" s="103"/>
      <c r="K917" s="103"/>
      <c r="L917" s="103"/>
      <c r="M917" s="103"/>
      <c r="N917" s="103"/>
      <c r="O917" s="103"/>
      <c r="P917" s="103"/>
      <c r="Q917" s="103"/>
      <c r="R917" s="103"/>
      <c r="S917" s="103"/>
      <c r="T917" s="103"/>
      <c r="U917" s="103"/>
      <c r="V917" s="103"/>
      <c r="W917" s="103"/>
      <c r="X917" s="103"/>
      <c r="Y917" s="103"/>
      <c r="Z917" s="103"/>
      <c r="AA917" s="103"/>
    </row>
    <row r="918" spans="1:27" ht="15.75" customHeight="1">
      <c r="A918" s="103"/>
      <c r="B918" s="103"/>
      <c r="C918" s="103"/>
      <c r="D918" s="103"/>
      <c r="E918" s="103"/>
      <c r="F918" s="124"/>
      <c r="G918" s="124"/>
      <c r="H918" s="103"/>
      <c r="I918" s="103"/>
      <c r="J918" s="103"/>
      <c r="K918" s="103"/>
      <c r="L918" s="103"/>
      <c r="M918" s="103"/>
      <c r="N918" s="103"/>
      <c r="O918" s="103"/>
      <c r="P918" s="103"/>
      <c r="Q918" s="103"/>
      <c r="R918" s="103"/>
      <c r="S918" s="103"/>
      <c r="T918" s="103"/>
      <c r="U918" s="103"/>
      <c r="V918" s="103"/>
      <c r="W918" s="103"/>
      <c r="X918" s="103"/>
      <c r="Y918" s="103"/>
      <c r="Z918" s="103"/>
      <c r="AA918" s="103"/>
    </row>
    <row r="919" spans="1:27" ht="15.75" customHeight="1">
      <c r="A919" s="103"/>
      <c r="B919" s="103"/>
      <c r="C919" s="103"/>
      <c r="D919" s="103"/>
      <c r="E919" s="103"/>
      <c r="F919" s="124"/>
      <c r="G919" s="124"/>
      <c r="H919" s="103"/>
      <c r="I919" s="103"/>
      <c r="J919" s="103"/>
      <c r="K919" s="103"/>
      <c r="L919" s="103"/>
      <c r="M919" s="103"/>
      <c r="N919" s="103"/>
      <c r="O919" s="103"/>
      <c r="P919" s="103"/>
      <c r="Q919" s="103"/>
      <c r="R919" s="103"/>
      <c r="S919" s="103"/>
      <c r="T919" s="103"/>
      <c r="U919" s="103"/>
      <c r="V919" s="103"/>
      <c r="W919" s="103"/>
      <c r="X919" s="103"/>
      <c r="Y919" s="103"/>
      <c r="Z919" s="103"/>
      <c r="AA919" s="103"/>
    </row>
    <row r="920" spans="1:27" ht="15.75" customHeight="1">
      <c r="A920" s="103"/>
      <c r="B920" s="103"/>
      <c r="C920" s="103"/>
      <c r="D920" s="103"/>
      <c r="E920" s="103"/>
      <c r="F920" s="124"/>
      <c r="G920" s="124"/>
      <c r="H920" s="103"/>
      <c r="I920" s="103"/>
      <c r="J920" s="103"/>
      <c r="K920" s="103"/>
      <c r="L920" s="103"/>
      <c r="M920" s="103"/>
      <c r="N920" s="103"/>
      <c r="O920" s="103"/>
      <c r="P920" s="103"/>
      <c r="Q920" s="103"/>
      <c r="R920" s="103"/>
      <c r="S920" s="103"/>
      <c r="T920" s="103"/>
      <c r="U920" s="103"/>
      <c r="V920" s="103"/>
      <c r="W920" s="103"/>
      <c r="X920" s="103"/>
      <c r="Y920" s="103"/>
      <c r="Z920" s="103"/>
      <c r="AA920" s="103"/>
    </row>
    <row r="921" spans="1:27" ht="15.75" customHeight="1">
      <c r="A921" s="103"/>
      <c r="B921" s="103"/>
      <c r="C921" s="103"/>
      <c r="D921" s="103"/>
      <c r="E921" s="103"/>
      <c r="F921" s="124"/>
      <c r="G921" s="124"/>
      <c r="H921" s="103"/>
      <c r="I921" s="103"/>
      <c r="J921" s="103"/>
      <c r="K921" s="103"/>
      <c r="L921" s="103"/>
      <c r="M921" s="103"/>
      <c r="N921" s="103"/>
      <c r="O921" s="103"/>
      <c r="P921" s="103"/>
      <c r="Q921" s="103"/>
      <c r="R921" s="103"/>
      <c r="S921" s="103"/>
      <c r="T921" s="103"/>
      <c r="U921" s="103"/>
      <c r="V921" s="103"/>
      <c r="W921" s="103"/>
      <c r="X921" s="103"/>
      <c r="Y921" s="103"/>
      <c r="Z921" s="103"/>
      <c r="AA921" s="103"/>
    </row>
    <row r="922" spans="1:27" ht="15.75" customHeight="1">
      <c r="A922" s="103"/>
      <c r="B922" s="103"/>
      <c r="C922" s="103"/>
      <c r="D922" s="103"/>
      <c r="E922" s="103"/>
      <c r="F922" s="124"/>
      <c r="G922" s="124"/>
      <c r="H922" s="103"/>
      <c r="I922" s="103"/>
      <c r="J922" s="103"/>
      <c r="K922" s="103"/>
      <c r="L922" s="103"/>
      <c r="M922" s="103"/>
      <c r="N922" s="103"/>
      <c r="O922" s="103"/>
      <c r="P922" s="103"/>
      <c r="Q922" s="103"/>
      <c r="R922" s="103"/>
      <c r="S922" s="103"/>
      <c r="T922" s="103"/>
      <c r="U922" s="103"/>
      <c r="V922" s="103"/>
      <c r="W922" s="103"/>
      <c r="X922" s="103"/>
      <c r="Y922" s="103"/>
      <c r="Z922" s="103"/>
      <c r="AA922" s="103"/>
    </row>
    <row r="923" spans="1:27" ht="15.75" customHeight="1">
      <c r="A923" s="103"/>
      <c r="B923" s="103"/>
      <c r="C923" s="103"/>
      <c r="D923" s="103"/>
      <c r="E923" s="103"/>
      <c r="F923" s="124"/>
      <c r="G923" s="124"/>
      <c r="H923" s="103"/>
      <c r="I923" s="103"/>
      <c r="J923" s="103"/>
      <c r="K923" s="103"/>
      <c r="L923" s="103"/>
      <c r="M923" s="103"/>
      <c r="N923" s="103"/>
      <c r="O923" s="103"/>
      <c r="P923" s="103"/>
      <c r="Q923" s="103"/>
      <c r="R923" s="103"/>
      <c r="S923" s="103"/>
      <c r="T923" s="103"/>
      <c r="U923" s="103"/>
      <c r="V923" s="103"/>
      <c r="W923" s="103"/>
      <c r="X923" s="103"/>
      <c r="Y923" s="103"/>
      <c r="Z923" s="103"/>
      <c r="AA923" s="103"/>
    </row>
    <row r="924" spans="1:27" ht="15.75" customHeight="1">
      <c r="A924" s="103"/>
      <c r="B924" s="103"/>
      <c r="C924" s="103"/>
      <c r="D924" s="103"/>
      <c r="E924" s="103"/>
      <c r="F924" s="124"/>
      <c r="G924" s="124"/>
      <c r="H924" s="103"/>
      <c r="I924" s="103"/>
      <c r="J924" s="103"/>
      <c r="K924" s="103"/>
      <c r="L924" s="103"/>
      <c r="M924" s="103"/>
      <c r="N924" s="103"/>
      <c r="O924" s="103"/>
      <c r="P924" s="103"/>
      <c r="Q924" s="103"/>
      <c r="R924" s="103"/>
      <c r="S924" s="103"/>
      <c r="T924" s="103"/>
      <c r="U924" s="103"/>
      <c r="V924" s="103"/>
      <c r="W924" s="103"/>
      <c r="X924" s="103"/>
      <c r="Y924" s="103"/>
      <c r="Z924" s="103"/>
      <c r="AA924" s="103"/>
    </row>
    <row r="925" spans="1:27" ht="15.75" customHeight="1">
      <c r="A925" s="103"/>
      <c r="B925" s="103"/>
      <c r="C925" s="103"/>
      <c r="D925" s="103"/>
      <c r="E925" s="103"/>
      <c r="F925" s="124"/>
      <c r="G925" s="124"/>
      <c r="H925" s="103"/>
      <c r="I925" s="103"/>
      <c r="J925" s="103"/>
      <c r="K925" s="103"/>
      <c r="L925" s="103"/>
      <c r="M925" s="103"/>
      <c r="N925" s="103"/>
      <c r="O925" s="103"/>
      <c r="P925" s="103"/>
      <c r="Q925" s="103"/>
      <c r="R925" s="103"/>
      <c r="S925" s="103"/>
      <c r="T925" s="103"/>
      <c r="U925" s="103"/>
      <c r="V925" s="103"/>
      <c r="W925" s="103"/>
      <c r="X925" s="103"/>
      <c r="Y925" s="103"/>
      <c r="Z925" s="103"/>
      <c r="AA925" s="103"/>
    </row>
    <row r="926" spans="1:27" ht="15.75" customHeight="1">
      <c r="A926" s="103"/>
      <c r="B926" s="103"/>
      <c r="C926" s="103"/>
      <c r="D926" s="103"/>
      <c r="E926" s="103"/>
      <c r="F926" s="124"/>
      <c r="G926" s="124"/>
      <c r="H926" s="103"/>
      <c r="I926" s="103"/>
      <c r="J926" s="103"/>
      <c r="K926" s="103"/>
      <c r="L926" s="103"/>
      <c r="M926" s="103"/>
      <c r="N926" s="103"/>
      <c r="O926" s="103"/>
      <c r="P926" s="103"/>
      <c r="Q926" s="103"/>
      <c r="R926" s="103"/>
      <c r="S926" s="103"/>
      <c r="T926" s="103"/>
      <c r="U926" s="103"/>
      <c r="V926" s="103"/>
      <c r="W926" s="103"/>
      <c r="X926" s="103"/>
      <c r="Y926" s="103"/>
      <c r="Z926" s="103"/>
      <c r="AA926" s="103"/>
    </row>
    <row r="927" spans="1:27" ht="15.75" customHeight="1">
      <c r="A927" s="103"/>
      <c r="B927" s="103"/>
      <c r="C927" s="103"/>
      <c r="D927" s="103"/>
      <c r="E927" s="103"/>
      <c r="F927" s="124"/>
      <c r="G927" s="124"/>
      <c r="H927" s="103"/>
      <c r="I927" s="103"/>
      <c r="J927" s="103"/>
      <c r="K927" s="103"/>
      <c r="L927" s="103"/>
      <c r="M927" s="103"/>
      <c r="N927" s="103"/>
      <c r="O927" s="103"/>
      <c r="P927" s="103"/>
      <c r="Q927" s="103"/>
      <c r="R927" s="103"/>
      <c r="S927" s="103"/>
      <c r="T927" s="103"/>
      <c r="U927" s="103"/>
      <c r="V927" s="103"/>
      <c r="W927" s="103"/>
      <c r="X927" s="103"/>
      <c r="Y927" s="103"/>
      <c r="Z927" s="103"/>
      <c r="AA927" s="103"/>
    </row>
    <row r="928" spans="1:27" ht="15.75" customHeight="1">
      <c r="A928" s="103"/>
      <c r="B928" s="103"/>
      <c r="C928" s="103"/>
      <c r="D928" s="103"/>
      <c r="E928" s="103"/>
      <c r="F928" s="124"/>
      <c r="G928" s="124"/>
      <c r="H928" s="103"/>
      <c r="I928" s="103"/>
      <c r="J928" s="103"/>
      <c r="K928" s="103"/>
      <c r="L928" s="103"/>
      <c r="M928" s="103"/>
      <c r="N928" s="103"/>
      <c r="O928" s="103"/>
      <c r="P928" s="103"/>
      <c r="Q928" s="103"/>
      <c r="R928" s="103"/>
      <c r="S928" s="103"/>
      <c r="T928" s="103"/>
      <c r="U928" s="103"/>
      <c r="V928" s="103"/>
      <c r="W928" s="103"/>
      <c r="X928" s="103"/>
      <c r="Y928" s="103"/>
      <c r="Z928" s="103"/>
      <c r="AA928" s="103"/>
    </row>
    <row r="929" spans="1:27" ht="15.75" customHeight="1">
      <c r="A929" s="103"/>
      <c r="B929" s="103"/>
      <c r="C929" s="103"/>
      <c r="D929" s="103"/>
      <c r="E929" s="103"/>
      <c r="F929" s="124"/>
      <c r="G929" s="124"/>
      <c r="H929" s="103"/>
      <c r="I929" s="103"/>
      <c r="J929" s="103"/>
      <c r="K929" s="103"/>
      <c r="L929" s="103"/>
      <c r="M929" s="103"/>
      <c r="N929" s="103"/>
      <c r="O929" s="103"/>
      <c r="P929" s="103"/>
      <c r="Q929" s="103"/>
      <c r="R929" s="103"/>
      <c r="S929" s="103"/>
      <c r="T929" s="103"/>
      <c r="U929" s="103"/>
      <c r="V929" s="103"/>
      <c r="W929" s="103"/>
      <c r="X929" s="103"/>
      <c r="Y929" s="103"/>
      <c r="Z929" s="103"/>
      <c r="AA929" s="103"/>
    </row>
    <row r="930" spans="1:27" ht="15.75" customHeight="1">
      <c r="A930" s="103"/>
      <c r="B930" s="103"/>
      <c r="C930" s="103"/>
      <c r="D930" s="103"/>
      <c r="E930" s="103"/>
      <c r="F930" s="124"/>
      <c r="G930" s="124"/>
      <c r="H930" s="103"/>
      <c r="I930" s="103"/>
      <c r="J930" s="103"/>
      <c r="K930" s="103"/>
      <c r="L930" s="103"/>
      <c r="M930" s="103"/>
      <c r="N930" s="103"/>
      <c r="O930" s="103"/>
      <c r="P930" s="103"/>
      <c r="Q930" s="103"/>
      <c r="R930" s="103"/>
      <c r="S930" s="103"/>
      <c r="T930" s="103"/>
      <c r="U930" s="103"/>
      <c r="V930" s="103"/>
      <c r="W930" s="103"/>
      <c r="X930" s="103"/>
      <c r="Y930" s="103"/>
      <c r="Z930" s="103"/>
      <c r="AA930" s="103"/>
    </row>
    <row r="931" spans="1:27" ht="15.75" customHeight="1">
      <c r="A931" s="103"/>
      <c r="B931" s="103"/>
      <c r="C931" s="103"/>
      <c r="D931" s="103"/>
      <c r="E931" s="103"/>
      <c r="F931" s="124"/>
      <c r="G931" s="124"/>
      <c r="H931" s="103"/>
      <c r="I931" s="103"/>
      <c r="J931" s="103"/>
      <c r="K931" s="103"/>
      <c r="L931" s="103"/>
      <c r="M931" s="103"/>
      <c r="N931" s="103"/>
      <c r="O931" s="103"/>
      <c r="P931" s="103"/>
      <c r="Q931" s="103"/>
      <c r="R931" s="103"/>
      <c r="S931" s="103"/>
      <c r="T931" s="103"/>
      <c r="U931" s="103"/>
      <c r="V931" s="103"/>
      <c r="W931" s="103"/>
      <c r="X931" s="103"/>
      <c r="Y931" s="103"/>
      <c r="Z931" s="103"/>
      <c r="AA931" s="103"/>
    </row>
    <row r="932" spans="1:27" ht="15.75" customHeight="1">
      <c r="A932" s="103"/>
      <c r="B932" s="103"/>
      <c r="C932" s="103"/>
      <c r="D932" s="103"/>
      <c r="E932" s="103"/>
      <c r="F932" s="124"/>
      <c r="G932" s="124"/>
      <c r="H932" s="103"/>
      <c r="I932" s="103"/>
      <c r="J932" s="103"/>
      <c r="K932" s="103"/>
      <c r="L932" s="103"/>
      <c r="M932" s="103"/>
      <c r="N932" s="103"/>
      <c r="O932" s="103"/>
      <c r="P932" s="103"/>
      <c r="Q932" s="103"/>
      <c r="R932" s="103"/>
      <c r="S932" s="103"/>
      <c r="T932" s="103"/>
      <c r="U932" s="103"/>
      <c r="V932" s="103"/>
      <c r="W932" s="103"/>
      <c r="X932" s="103"/>
      <c r="Y932" s="103"/>
      <c r="Z932" s="103"/>
      <c r="AA932" s="103"/>
    </row>
    <row r="933" spans="1:27" ht="15.75" customHeight="1">
      <c r="A933" s="103"/>
      <c r="B933" s="103"/>
      <c r="C933" s="103"/>
      <c r="D933" s="103"/>
      <c r="E933" s="103"/>
      <c r="F933" s="124"/>
      <c r="G933" s="124"/>
      <c r="H933" s="103"/>
      <c r="I933" s="103"/>
      <c r="J933" s="103"/>
      <c r="K933" s="103"/>
      <c r="L933" s="103"/>
      <c r="M933" s="103"/>
      <c r="N933" s="103"/>
      <c r="O933" s="103"/>
      <c r="P933" s="103"/>
      <c r="Q933" s="103"/>
      <c r="R933" s="103"/>
      <c r="S933" s="103"/>
      <c r="T933" s="103"/>
      <c r="U933" s="103"/>
      <c r="V933" s="103"/>
      <c r="W933" s="103"/>
      <c r="X933" s="103"/>
      <c r="Y933" s="103"/>
      <c r="Z933" s="103"/>
      <c r="AA933" s="103"/>
    </row>
    <row r="934" spans="1:27" ht="15.75" customHeight="1">
      <c r="A934" s="103"/>
      <c r="B934" s="103"/>
      <c r="C934" s="103"/>
      <c r="D934" s="103"/>
      <c r="E934" s="103"/>
      <c r="F934" s="124"/>
      <c r="G934" s="124"/>
      <c r="H934" s="103"/>
      <c r="I934" s="103"/>
      <c r="J934" s="103"/>
      <c r="K934" s="103"/>
      <c r="L934" s="103"/>
      <c r="M934" s="103"/>
      <c r="N934" s="103"/>
      <c r="O934" s="103"/>
      <c r="P934" s="103"/>
      <c r="Q934" s="103"/>
      <c r="R934" s="103"/>
      <c r="S934" s="103"/>
      <c r="T934" s="103"/>
      <c r="U934" s="103"/>
      <c r="V934" s="103"/>
      <c r="W934" s="103"/>
      <c r="X934" s="103"/>
      <c r="Y934" s="103"/>
      <c r="Z934" s="103"/>
      <c r="AA934" s="103"/>
    </row>
    <row r="935" spans="1:27" ht="15.75" customHeight="1">
      <c r="A935" s="103"/>
      <c r="B935" s="103"/>
      <c r="C935" s="103"/>
      <c r="D935" s="103"/>
      <c r="E935" s="103"/>
      <c r="F935" s="124"/>
      <c r="G935" s="124"/>
      <c r="H935" s="103"/>
      <c r="I935" s="103"/>
      <c r="J935" s="103"/>
      <c r="K935" s="103"/>
      <c r="L935" s="103"/>
      <c r="M935" s="103"/>
      <c r="N935" s="103"/>
      <c r="O935" s="103"/>
      <c r="P935" s="103"/>
      <c r="Q935" s="103"/>
      <c r="R935" s="103"/>
      <c r="S935" s="103"/>
      <c r="T935" s="103"/>
      <c r="U935" s="103"/>
      <c r="V935" s="103"/>
      <c r="W935" s="103"/>
      <c r="X935" s="103"/>
      <c r="Y935" s="103"/>
      <c r="Z935" s="103"/>
      <c r="AA935" s="103"/>
    </row>
    <row r="936" spans="1:27" ht="15.75" customHeight="1">
      <c r="A936" s="103"/>
      <c r="B936" s="103"/>
      <c r="C936" s="103"/>
      <c r="D936" s="103"/>
      <c r="E936" s="103"/>
      <c r="F936" s="124"/>
      <c r="G936" s="124"/>
      <c r="H936" s="103"/>
      <c r="I936" s="103"/>
      <c r="J936" s="103"/>
      <c r="K936" s="103"/>
      <c r="L936" s="103"/>
      <c r="M936" s="103"/>
      <c r="N936" s="103"/>
      <c r="O936" s="103"/>
      <c r="P936" s="103"/>
      <c r="Q936" s="103"/>
      <c r="R936" s="103"/>
      <c r="S936" s="103"/>
      <c r="T936" s="103"/>
      <c r="U936" s="103"/>
      <c r="V936" s="103"/>
      <c r="W936" s="103"/>
      <c r="X936" s="103"/>
      <c r="Y936" s="103"/>
      <c r="Z936" s="103"/>
      <c r="AA936" s="103"/>
    </row>
    <row r="937" spans="1:27" ht="15.75" customHeight="1">
      <c r="A937" s="103"/>
      <c r="B937" s="103"/>
      <c r="C937" s="103"/>
      <c r="D937" s="103"/>
      <c r="E937" s="103"/>
      <c r="F937" s="124"/>
      <c r="G937" s="124"/>
      <c r="H937" s="103"/>
      <c r="I937" s="103"/>
      <c r="J937" s="103"/>
      <c r="K937" s="103"/>
      <c r="L937" s="103"/>
      <c r="M937" s="103"/>
      <c r="N937" s="103"/>
      <c r="O937" s="103"/>
      <c r="P937" s="103"/>
      <c r="Q937" s="103"/>
      <c r="R937" s="103"/>
      <c r="S937" s="103"/>
      <c r="T937" s="103"/>
      <c r="U937" s="103"/>
      <c r="V937" s="103"/>
      <c r="W937" s="103"/>
      <c r="X937" s="103"/>
      <c r="Y937" s="103"/>
      <c r="Z937" s="103"/>
      <c r="AA937" s="103"/>
    </row>
    <row r="938" spans="1:27" ht="15.75" customHeight="1">
      <c r="A938" s="103"/>
      <c r="B938" s="103"/>
      <c r="C938" s="103"/>
      <c r="D938" s="103"/>
      <c r="E938" s="103"/>
      <c r="F938" s="124"/>
      <c r="G938" s="124"/>
      <c r="H938" s="103"/>
      <c r="I938" s="103"/>
      <c r="J938" s="103"/>
      <c r="K938" s="103"/>
      <c r="L938" s="103"/>
      <c r="M938" s="103"/>
      <c r="N938" s="103"/>
      <c r="O938" s="103"/>
      <c r="P938" s="103"/>
      <c r="Q938" s="103"/>
      <c r="R938" s="103"/>
      <c r="S938" s="103"/>
      <c r="T938" s="103"/>
      <c r="U938" s="103"/>
      <c r="V938" s="103"/>
      <c r="W938" s="103"/>
      <c r="X938" s="103"/>
      <c r="Y938" s="103"/>
      <c r="Z938" s="103"/>
      <c r="AA938" s="103"/>
    </row>
    <row r="939" spans="1:27" ht="15.75" customHeight="1">
      <c r="A939" s="103"/>
      <c r="B939" s="103"/>
      <c r="C939" s="103"/>
      <c r="D939" s="103"/>
      <c r="E939" s="103"/>
      <c r="F939" s="124"/>
      <c r="G939" s="124"/>
      <c r="H939" s="103"/>
      <c r="I939" s="103"/>
      <c r="J939" s="103"/>
      <c r="K939" s="103"/>
      <c r="L939" s="103"/>
      <c r="M939" s="103"/>
      <c r="N939" s="103"/>
      <c r="O939" s="103"/>
      <c r="P939" s="103"/>
      <c r="Q939" s="103"/>
      <c r="R939" s="103"/>
      <c r="S939" s="103"/>
      <c r="T939" s="103"/>
      <c r="U939" s="103"/>
      <c r="V939" s="103"/>
      <c r="W939" s="103"/>
      <c r="X939" s="103"/>
      <c r="Y939" s="103"/>
      <c r="Z939" s="103"/>
      <c r="AA939" s="103"/>
    </row>
    <row r="940" spans="1:27" ht="15.75" customHeight="1">
      <c r="A940" s="103"/>
      <c r="B940" s="103"/>
      <c r="C940" s="103"/>
      <c r="D940" s="103"/>
      <c r="E940" s="103"/>
      <c r="F940" s="124"/>
      <c r="G940" s="124"/>
      <c r="H940" s="103"/>
      <c r="I940" s="103"/>
      <c r="J940" s="103"/>
      <c r="K940" s="103"/>
      <c r="L940" s="103"/>
      <c r="M940" s="103"/>
      <c r="N940" s="103"/>
      <c r="O940" s="103"/>
      <c r="P940" s="103"/>
      <c r="Q940" s="103"/>
      <c r="R940" s="103"/>
      <c r="S940" s="103"/>
      <c r="T940" s="103"/>
      <c r="U940" s="103"/>
      <c r="V940" s="103"/>
      <c r="W940" s="103"/>
      <c r="X940" s="103"/>
      <c r="Y940" s="103"/>
      <c r="Z940" s="103"/>
      <c r="AA940" s="103"/>
    </row>
    <row r="941" spans="1:27" ht="15.75" customHeight="1">
      <c r="A941" s="103"/>
      <c r="B941" s="103"/>
      <c r="C941" s="103"/>
      <c r="D941" s="103"/>
      <c r="E941" s="103"/>
      <c r="F941" s="124"/>
      <c r="G941" s="124"/>
      <c r="H941" s="103"/>
      <c r="I941" s="103"/>
      <c r="J941" s="103"/>
      <c r="K941" s="103"/>
      <c r="L941" s="103"/>
      <c r="M941" s="103"/>
      <c r="N941" s="103"/>
      <c r="O941" s="103"/>
      <c r="P941" s="103"/>
      <c r="Q941" s="103"/>
      <c r="R941" s="103"/>
      <c r="S941" s="103"/>
      <c r="T941" s="103"/>
      <c r="U941" s="103"/>
      <c r="V941" s="103"/>
      <c r="W941" s="103"/>
      <c r="X941" s="103"/>
      <c r="Y941" s="103"/>
      <c r="Z941" s="103"/>
      <c r="AA941" s="103"/>
    </row>
    <row r="942" spans="1:27" ht="15.75" customHeight="1">
      <c r="A942" s="103"/>
      <c r="B942" s="103"/>
      <c r="C942" s="103"/>
      <c r="D942" s="103"/>
      <c r="E942" s="103"/>
      <c r="F942" s="124"/>
      <c r="G942" s="124"/>
      <c r="H942" s="103"/>
      <c r="I942" s="103"/>
      <c r="J942" s="103"/>
      <c r="K942" s="103"/>
      <c r="L942" s="103"/>
      <c r="M942" s="103"/>
      <c r="N942" s="103"/>
      <c r="O942" s="103"/>
      <c r="P942" s="103"/>
      <c r="Q942" s="103"/>
      <c r="R942" s="103"/>
      <c r="S942" s="103"/>
      <c r="T942" s="103"/>
      <c r="U942" s="103"/>
      <c r="V942" s="103"/>
      <c r="W942" s="103"/>
      <c r="X942" s="103"/>
      <c r="Y942" s="103"/>
      <c r="Z942" s="103"/>
      <c r="AA942" s="103"/>
    </row>
    <row r="943" spans="1:27" ht="15.75" customHeight="1">
      <c r="A943" s="103"/>
      <c r="B943" s="103"/>
      <c r="C943" s="103"/>
      <c r="D943" s="103"/>
      <c r="E943" s="103"/>
      <c r="F943" s="124"/>
      <c r="G943" s="124"/>
      <c r="H943" s="103"/>
      <c r="I943" s="103"/>
      <c r="J943" s="103"/>
      <c r="K943" s="103"/>
      <c r="L943" s="103"/>
      <c r="M943" s="103"/>
      <c r="N943" s="103"/>
      <c r="O943" s="103"/>
      <c r="P943" s="103"/>
      <c r="Q943" s="103"/>
      <c r="R943" s="103"/>
      <c r="S943" s="103"/>
      <c r="T943" s="103"/>
      <c r="U943" s="103"/>
      <c r="V943" s="103"/>
      <c r="W943" s="103"/>
      <c r="X943" s="103"/>
      <c r="Y943" s="103"/>
      <c r="Z943" s="103"/>
      <c r="AA943" s="103"/>
    </row>
    <row r="944" spans="1:27" ht="15.75" customHeight="1">
      <c r="A944" s="103"/>
      <c r="B944" s="103"/>
      <c r="C944" s="103"/>
      <c r="D944" s="103"/>
      <c r="E944" s="103"/>
      <c r="F944" s="124"/>
      <c r="G944" s="124"/>
      <c r="H944" s="103"/>
      <c r="I944" s="103"/>
      <c r="J944" s="103"/>
      <c r="K944" s="103"/>
      <c r="L944" s="103"/>
      <c r="M944" s="103"/>
      <c r="N944" s="103"/>
      <c r="O944" s="103"/>
      <c r="P944" s="103"/>
      <c r="Q944" s="103"/>
      <c r="R944" s="103"/>
      <c r="S944" s="103"/>
      <c r="T944" s="103"/>
      <c r="U944" s="103"/>
      <c r="V944" s="103"/>
      <c r="W944" s="103"/>
      <c r="X944" s="103"/>
      <c r="Y944" s="103"/>
      <c r="Z944" s="103"/>
      <c r="AA944" s="103"/>
    </row>
    <row r="945" spans="1:27" ht="15.75" customHeight="1">
      <c r="A945" s="103"/>
      <c r="B945" s="103"/>
      <c r="C945" s="103"/>
      <c r="D945" s="103"/>
      <c r="E945" s="103"/>
      <c r="F945" s="124"/>
      <c r="G945" s="124"/>
      <c r="H945" s="103"/>
      <c r="I945" s="103"/>
      <c r="J945" s="103"/>
      <c r="K945" s="103"/>
      <c r="L945" s="103"/>
      <c r="M945" s="103"/>
      <c r="N945" s="103"/>
      <c r="O945" s="103"/>
      <c r="P945" s="103"/>
      <c r="Q945" s="103"/>
      <c r="R945" s="103"/>
      <c r="S945" s="103"/>
      <c r="T945" s="103"/>
      <c r="U945" s="103"/>
      <c r="V945" s="103"/>
      <c r="W945" s="103"/>
      <c r="X945" s="103"/>
      <c r="Y945" s="103"/>
      <c r="Z945" s="103"/>
      <c r="AA945" s="103"/>
    </row>
    <row r="946" spans="1:27" ht="15.75" customHeight="1">
      <c r="A946" s="103"/>
      <c r="B946" s="103"/>
      <c r="C946" s="103"/>
      <c r="D946" s="103"/>
      <c r="E946" s="103"/>
      <c r="F946" s="124"/>
      <c r="G946" s="124"/>
      <c r="H946" s="103"/>
      <c r="I946" s="103"/>
      <c r="J946" s="103"/>
      <c r="K946" s="103"/>
      <c r="L946" s="103"/>
      <c r="M946" s="103"/>
      <c r="N946" s="103"/>
      <c r="O946" s="103"/>
      <c r="P946" s="103"/>
      <c r="Q946" s="103"/>
      <c r="R946" s="103"/>
      <c r="S946" s="103"/>
      <c r="T946" s="103"/>
      <c r="U946" s="103"/>
      <c r="V946" s="103"/>
      <c r="W946" s="103"/>
      <c r="X946" s="103"/>
      <c r="Y946" s="103"/>
      <c r="Z946" s="103"/>
      <c r="AA946" s="103"/>
    </row>
    <row r="947" spans="1:27" ht="15.75" customHeight="1">
      <c r="A947" s="103"/>
      <c r="B947" s="103"/>
      <c r="C947" s="103"/>
      <c r="D947" s="103"/>
      <c r="E947" s="103"/>
      <c r="F947" s="124"/>
      <c r="G947" s="124"/>
      <c r="H947" s="103"/>
      <c r="I947" s="103"/>
      <c r="J947" s="103"/>
      <c r="K947" s="103"/>
      <c r="L947" s="103"/>
      <c r="M947" s="103"/>
      <c r="N947" s="103"/>
      <c r="O947" s="103"/>
      <c r="P947" s="103"/>
      <c r="Q947" s="103"/>
      <c r="R947" s="103"/>
      <c r="S947" s="103"/>
      <c r="T947" s="103"/>
      <c r="U947" s="103"/>
      <c r="V947" s="103"/>
      <c r="W947" s="103"/>
      <c r="X947" s="103"/>
      <c r="Y947" s="103"/>
      <c r="Z947" s="103"/>
      <c r="AA947" s="103"/>
    </row>
    <row r="948" spans="1:27" ht="15.75" customHeight="1">
      <c r="A948" s="103"/>
      <c r="B948" s="103"/>
      <c r="C948" s="103"/>
      <c r="D948" s="103"/>
      <c r="E948" s="103"/>
      <c r="F948" s="124"/>
      <c r="G948" s="124"/>
      <c r="H948" s="103"/>
      <c r="I948" s="103"/>
      <c r="J948" s="103"/>
      <c r="K948" s="103"/>
      <c r="L948" s="103"/>
      <c r="M948" s="103"/>
      <c r="N948" s="103"/>
      <c r="O948" s="103"/>
      <c r="P948" s="103"/>
      <c r="Q948" s="103"/>
      <c r="R948" s="103"/>
      <c r="S948" s="103"/>
      <c r="T948" s="103"/>
      <c r="U948" s="103"/>
      <c r="V948" s="103"/>
      <c r="W948" s="103"/>
      <c r="X948" s="103"/>
      <c r="Y948" s="103"/>
      <c r="Z948" s="103"/>
      <c r="AA948" s="103"/>
    </row>
    <row r="949" spans="1:27" ht="15.75" customHeight="1">
      <c r="A949" s="103"/>
      <c r="B949" s="103"/>
      <c r="C949" s="103"/>
      <c r="D949" s="103"/>
      <c r="E949" s="103"/>
      <c r="F949" s="124"/>
      <c r="G949" s="124"/>
      <c r="H949" s="103"/>
      <c r="I949" s="103"/>
      <c r="J949" s="103"/>
      <c r="K949" s="103"/>
      <c r="L949" s="103"/>
      <c r="M949" s="103"/>
      <c r="N949" s="103"/>
      <c r="O949" s="103"/>
      <c r="P949" s="103"/>
      <c r="Q949" s="103"/>
      <c r="R949" s="103"/>
      <c r="S949" s="103"/>
      <c r="T949" s="103"/>
      <c r="U949" s="103"/>
      <c r="V949" s="103"/>
      <c r="W949" s="103"/>
      <c r="X949" s="103"/>
      <c r="Y949" s="103"/>
      <c r="Z949" s="103"/>
      <c r="AA949" s="103"/>
    </row>
    <row r="950" spans="1:27" ht="15.75" customHeight="1">
      <c r="A950" s="103"/>
      <c r="B950" s="103"/>
      <c r="C950" s="103"/>
      <c r="D950" s="103"/>
      <c r="E950" s="103"/>
      <c r="F950" s="124"/>
      <c r="G950" s="124"/>
      <c r="H950" s="103"/>
      <c r="I950" s="103"/>
      <c r="J950" s="103"/>
      <c r="K950" s="103"/>
      <c r="L950" s="103"/>
      <c r="M950" s="103"/>
      <c r="N950" s="103"/>
      <c r="O950" s="103"/>
      <c r="P950" s="103"/>
      <c r="Q950" s="103"/>
      <c r="R950" s="103"/>
      <c r="S950" s="103"/>
      <c r="T950" s="103"/>
      <c r="U950" s="103"/>
      <c r="V950" s="103"/>
      <c r="W950" s="103"/>
      <c r="X950" s="103"/>
      <c r="Y950" s="103"/>
      <c r="Z950" s="103"/>
      <c r="AA950" s="103"/>
    </row>
    <row r="951" spans="1:27" ht="15.75" customHeight="1">
      <c r="A951" s="103"/>
      <c r="B951" s="103"/>
      <c r="C951" s="103"/>
      <c r="D951" s="103"/>
      <c r="E951" s="103"/>
      <c r="F951" s="124"/>
      <c r="G951" s="124"/>
      <c r="H951" s="103"/>
      <c r="I951" s="103"/>
      <c r="J951" s="103"/>
      <c r="K951" s="103"/>
      <c r="L951" s="103"/>
      <c r="M951" s="103"/>
      <c r="N951" s="103"/>
      <c r="O951" s="103"/>
      <c r="P951" s="103"/>
      <c r="Q951" s="103"/>
      <c r="R951" s="103"/>
      <c r="S951" s="103"/>
      <c r="T951" s="103"/>
      <c r="U951" s="103"/>
      <c r="V951" s="103"/>
      <c r="W951" s="103"/>
      <c r="X951" s="103"/>
      <c r="Y951" s="103"/>
      <c r="Z951" s="103"/>
      <c r="AA951" s="103"/>
    </row>
    <row r="952" spans="1:27" ht="15.75" customHeight="1">
      <c r="A952" s="103"/>
      <c r="B952" s="103"/>
      <c r="C952" s="103"/>
      <c r="D952" s="103"/>
      <c r="E952" s="103"/>
      <c r="F952" s="124"/>
      <c r="G952" s="124"/>
      <c r="H952" s="103"/>
      <c r="I952" s="103"/>
      <c r="J952" s="103"/>
      <c r="K952" s="103"/>
      <c r="L952" s="103"/>
      <c r="M952" s="103"/>
      <c r="N952" s="103"/>
      <c r="O952" s="103"/>
      <c r="P952" s="103"/>
      <c r="Q952" s="103"/>
      <c r="R952" s="103"/>
      <c r="S952" s="103"/>
      <c r="T952" s="103"/>
      <c r="U952" s="103"/>
      <c r="V952" s="103"/>
      <c r="W952" s="103"/>
      <c r="X952" s="103"/>
      <c r="Y952" s="103"/>
      <c r="Z952" s="103"/>
      <c r="AA952" s="103"/>
    </row>
    <row r="953" spans="1:27" ht="15.75" customHeight="1">
      <c r="A953" s="103"/>
      <c r="B953" s="103"/>
      <c r="C953" s="103"/>
      <c r="D953" s="103"/>
      <c r="E953" s="103"/>
      <c r="F953" s="124"/>
      <c r="G953" s="124"/>
      <c r="H953" s="103"/>
      <c r="I953" s="103"/>
      <c r="J953" s="103"/>
      <c r="K953" s="103"/>
      <c r="L953" s="103"/>
      <c r="M953" s="103"/>
      <c r="N953" s="103"/>
      <c r="O953" s="103"/>
      <c r="P953" s="103"/>
      <c r="Q953" s="103"/>
      <c r="R953" s="103"/>
      <c r="S953" s="103"/>
      <c r="T953" s="103"/>
      <c r="U953" s="103"/>
      <c r="V953" s="103"/>
      <c r="W953" s="103"/>
      <c r="X953" s="103"/>
      <c r="Y953" s="103"/>
      <c r="Z953" s="103"/>
      <c r="AA953" s="103"/>
    </row>
    <row r="954" spans="1:27" ht="15.75" customHeight="1">
      <c r="A954" s="103"/>
      <c r="B954" s="103"/>
      <c r="C954" s="103"/>
      <c r="D954" s="103"/>
      <c r="E954" s="103"/>
      <c r="F954" s="124"/>
      <c r="G954" s="124"/>
      <c r="H954" s="103"/>
      <c r="I954" s="103"/>
      <c r="J954" s="103"/>
      <c r="K954" s="103"/>
      <c r="L954" s="103"/>
      <c r="M954" s="103"/>
      <c r="N954" s="103"/>
      <c r="O954" s="103"/>
      <c r="P954" s="103"/>
      <c r="Q954" s="103"/>
      <c r="R954" s="103"/>
      <c r="S954" s="103"/>
      <c r="T954" s="103"/>
      <c r="U954" s="103"/>
      <c r="V954" s="103"/>
      <c r="W954" s="103"/>
      <c r="X954" s="103"/>
      <c r="Y954" s="103"/>
      <c r="Z954" s="103"/>
      <c r="AA954" s="103"/>
    </row>
    <row r="955" spans="1:27" ht="15.75" customHeight="1">
      <c r="A955" s="103"/>
      <c r="B955" s="103"/>
      <c r="C955" s="103"/>
      <c r="D955" s="103"/>
      <c r="E955" s="103"/>
      <c r="F955" s="124"/>
      <c r="G955" s="124"/>
      <c r="H955" s="103"/>
      <c r="I955" s="103"/>
      <c r="J955" s="103"/>
      <c r="K955" s="103"/>
      <c r="L955" s="103"/>
      <c r="M955" s="103"/>
      <c r="N955" s="103"/>
      <c r="O955" s="103"/>
      <c r="P955" s="103"/>
      <c r="Q955" s="103"/>
      <c r="R955" s="103"/>
      <c r="S955" s="103"/>
      <c r="T955" s="103"/>
      <c r="U955" s="103"/>
      <c r="V955" s="103"/>
      <c r="W955" s="103"/>
      <c r="X955" s="103"/>
      <c r="Y955" s="103"/>
      <c r="Z955" s="103"/>
      <c r="AA955" s="103"/>
    </row>
    <row r="956" spans="1:27" ht="15.75" customHeight="1">
      <c r="A956" s="103"/>
      <c r="B956" s="103"/>
      <c r="C956" s="103"/>
      <c r="D956" s="103"/>
      <c r="E956" s="103"/>
      <c r="F956" s="124"/>
      <c r="G956" s="124"/>
      <c r="H956" s="103"/>
      <c r="I956" s="103"/>
      <c r="J956" s="103"/>
      <c r="K956" s="103"/>
      <c r="L956" s="103"/>
      <c r="M956" s="103"/>
      <c r="N956" s="103"/>
      <c r="O956" s="103"/>
      <c r="P956" s="103"/>
      <c r="Q956" s="103"/>
      <c r="R956" s="103"/>
      <c r="S956" s="103"/>
      <c r="T956" s="103"/>
      <c r="U956" s="103"/>
      <c r="V956" s="103"/>
      <c r="W956" s="103"/>
      <c r="X956" s="103"/>
      <c r="Y956" s="103"/>
      <c r="Z956" s="103"/>
      <c r="AA956" s="103"/>
    </row>
    <row r="957" spans="1:27" ht="15.75" customHeight="1">
      <c r="A957" s="103"/>
      <c r="B957" s="103"/>
      <c r="C957" s="103"/>
      <c r="D957" s="103"/>
      <c r="E957" s="103"/>
      <c r="F957" s="124"/>
      <c r="G957" s="124"/>
      <c r="H957" s="103"/>
      <c r="I957" s="103"/>
      <c r="J957" s="103"/>
      <c r="K957" s="103"/>
      <c r="L957" s="103"/>
      <c r="M957" s="103"/>
      <c r="N957" s="103"/>
      <c r="O957" s="103"/>
      <c r="P957" s="103"/>
      <c r="Q957" s="103"/>
      <c r="R957" s="103"/>
      <c r="S957" s="103"/>
      <c r="T957" s="103"/>
      <c r="U957" s="103"/>
      <c r="V957" s="103"/>
      <c r="W957" s="103"/>
      <c r="X957" s="103"/>
      <c r="Y957" s="103"/>
      <c r="Z957" s="103"/>
      <c r="AA957" s="103"/>
    </row>
    <row r="958" spans="1:27" ht="15.75" customHeight="1">
      <c r="A958" s="103"/>
      <c r="B958" s="103"/>
      <c r="C958" s="103"/>
      <c r="D958" s="103"/>
      <c r="E958" s="103"/>
      <c r="F958" s="124"/>
      <c r="G958" s="124"/>
      <c r="H958" s="103"/>
      <c r="I958" s="103"/>
      <c r="J958" s="103"/>
      <c r="K958" s="103"/>
      <c r="L958" s="103"/>
      <c r="M958" s="103"/>
      <c r="N958" s="103"/>
      <c r="O958" s="103"/>
      <c r="P958" s="103"/>
      <c r="Q958" s="103"/>
      <c r="R958" s="103"/>
      <c r="S958" s="103"/>
      <c r="T958" s="103"/>
      <c r="U958" s="103"/>
      <c r="V958" s="103"/>
      <c r="W958" s="103"/>
      <c r="X958" s="103"/>
      <c r="Y958" s="103"/>
      <c r="Z958" s="103"/>
      <c r="AA958" s="103"/>
    </row>
    <row r="959" spans="1:27" ht="15.75" customHeight="1">
      <c r="A959" s="103"/>
      <c r="B959" s="103"/>
      <c r="C959" s="103"/>
      <c r="D959" s="103"/>
      <c r="E959" s="103"/>
      <c r="F959" s="124"/>
      <c r="G959" s="124"/>
      <c r="H959" s="103"/>
      <c r="I959" s="103"/>
      <c r="J959" s="103"/>
      <c r="K959" s="103"/>
      <c r="L959" s="103"/>
      <c r="M959" s="103"/>
      <c r="N959" s="103"/>
      <c r="O959" s="103"/>
      <c r="P959" s="103"/>
      <c r="Q959" s="103"/>
      <c r="R959" s="103"/>
      <c r="S959" s="103"/>
      <c r="T959" s="103"/>
      <c r="U959" s="103"/>
      <c r="V959" s="103"/>
      <c r="W959" s="103"/>
      <c r="X959" s="103"/>
      <c r="Y959" s="103"/>
      <c r="Z959" s="103"/>
      <c r="AA959" s="103"/>
    </row>
    <row r="960" spans="1:27" ht="15.75" customHeight="1">
      <c r="A960" s="103"/>
      <c r="B960" s="103"/>
      <c r="C960" s="103"/>
      <c r="D960" s="103"/>
      <c r="E960" s="103"/>
      <c r="F960" s="124"/>
      <c r="G960" s="124"/>
      <c r="H960" s="103"/>
      <c r="I960" s="103"/>
      <c r="J960" s="103"/>
      <c r="K960" s="103"/>
      <c r="L960" s="103"/>
      <c r="M960" s="103"/>
      <c r="N960" s="103"/>
      <c r="O960" s="103"/>
      <c r="P960" s="103"/>
      <c r="Q960" s="103"/>
      <c r="R960" s="103"/>
      <c r="S960" s="103"/>
      <c r="T960" s="103"/>
      <c r="U960" s="103"/>
      <c r="V960" s="103"/>
      <c r="W960" s="103"/>
      <c r="X960" s="103"/>
      <c r="Y960" s="103"/>
      <c r="Z960" s="103"/>
      <c r="AA960" s="103"/>
    </row>
    <row r="961" spans="1:27" ht="15.75" customHeight="1">
      <c r="A961" s="103"/>
      <c r="B961" s="103"/>
      <c r="C961" s="103"/>
      <c r="D961" s="103"/>
      <c r="E961" s="103"/>
      <c r="F961" s="124"/>
      <c r="G961" s="124"/>
      <c r="H961" s="103"/>
      <c r="I961" s="103"/>
      <c r="J961" s="103"/>
      <c r="K961" s="103"/>
      <c r="L961" s="103"/>
      <c r="M961" s="103"/>
      <c r="N961" s="103"/>
      <c r="O961" s="103"/>
      <c r="P961" s="103"/>
      <c r="Q961" s="103"/>
      <c r="R961" s="103"/>
      <c r="S961" s="103"/>
      <c r="T961" s="103"/>
      <c r="U961" s="103"/>
      <c r="V961" s="103"/>
      <c r="W961" s="103"/>
      <c r="X961" s="103"/>
      <c r="Y961" s="103"/>
      <c r="Z961" s="103"/>
      <c r="AA961" s="103"/>
    </row>
    <row r="962" spans="1:27" ht="15.75" customHeight="1">
      <c r="A962" s="103"/>
      <c r="B962" s="103"/>
      <c r="C962" s="103"/>
      <c r="D962" s="103"/>
      <c r="E962" s="103"/>
      <c r="F962" s="124"/>
      <c r="G962" s="124"/>
      <c r="H962" s="103"/>
      <c r="I962" s="103"/>
      <c r="J962" s="103"/>
      <c r="K962" s="103"/>
      <c r="L962" s="103"/>
      <c r="M962" s="103"/>
      <c r="N962" s="103"/>
      <c r="O962" s="103"/>
      <c r="P962" s="103"/>
      <c r="Q962" s="103"/>
      <c r="R962" s="103"/>
      <c r="S962" s="103"/>
      <c r="T962" s="103"/>
      <c r="U962" s="103"/>
      <c r="V962" s="103"/>
      <c r="W962" s="103"/>
      <c r="X962" s="103"/>
      <c r="Y962" s="103"/>
      <c r="Z962" s="103"/>
      <c r="AA962" s="103"/>
    </row>
    <row r="963" spans="1:27" ht="15.75" customHeight="1">
      <c r="A963" s="103"/>
      <c r="B963" s="103"/>
      <c r="C963" s="103"/>
      <c r="D963" s="103"/>
      <c r="E963" s="103"/>
      <c r="F963" s="124"/>
      <c r="G963" s="124"/>
      <c r="H963" s="103"/>
      <c r="I963" s="103"/>
      <c r="J963" s="103"/>
      <c r="K963" s="103"/>
      <c r="L963" s="103"/>
      <c r="M963" s="103"/>
      <c r="N963" s="103"/>
      <c r="O963" s="103"/>
      <c r="P963" s="103"/>
      <c r="Q963" s="103"/>
      <c r="R963" s="103"/>
      <c r="S963" s="103"/>
      <c r="T963" s="103"/>
      <c r="U963" s="103"/>
      <c r="V963" s="103"/>
      <c r="W963" s="103"/>
      <c r="X963" s="103"/>
      <c r="Y963" s="103"/>
      <c r="Z963" s="103"/>
      <c r="AA963" s="103"/>
    </row>
    <row r="964" spans="1:27" ht="15.75" customHeight="1">
      <c r="A964" s="103"/>
      <c r="B964" s="103"/>
      <c r="C964" s="103"/>
      <c r="D964" s="103"/>
      <c r="E964" s="103"/>
      <c r="F964" s="124"/>
      <c r="G964" s="124"/>
      <c r="H964" s="103"/>
      <c r="I964" s="103"/>
      <c r="J964" s="103"/>
      <c r="K964" s="103"/>
      <c r="L964" s="103"/>
      <c r="M964" s="103"/>
      <c r="N964" s="103"/>
      <c r="O964" s="103"/>
      <c r="P964" s="103"/>
      <c r="Q964" s="103"/>
      <c r="R964" s="103"/>
      <c r="S964" s="103"/>
      <c r="T964" s="103"/>
      <c r="U964" s="103"/>
      <c r="V964" s="103"/>
      <c r="W964" s="103"/>
      <c r="X964" s="103"/>
      <c r="Y964" s="103"/>
      <c r="Z964" s="103"/>
      <c r="AA964" s="103"/>
    </row>
    <row r="965" spans="1:27" ht="15.75" customHeight="1">
      <c r="A965" s="103"/>
      <c r="B965" s="103"/>
      <c r="C965" s="103"/>
      <c r="D965" s="103"/>
      <c r="E965" s="103"/>
      <c r="F965" s="124"/>
      <c r="G965" s="124"/>
      <c r="H965" s="103"/>
      <c r="I965" s="103"/>
      <c r="J965" s="103"/>
      <c r="K965" s="103"/>
      <c r="L965" s="103"/>
      <c r="M965" s="103"/>
      <c r="N965" s="103"/>
      <c r="O965" s="103"/>
      <c r="P965" s="103"/>
      <c r="Q965" s="103"/>
      <c r="R965" s="103"/>
      <c r="S965" s="103"/>
      <c r="T965" s="103"/>
      <c r="U965" s="103"/>
      <c r="V965" s="103"/>
      <c r="W965" s="103"/>
      <c r="X965" s="103"/>
      <c r="Y965" s="103"/>
      <c r="Z965" s="103"/>
      <c r="AA965" s="103"/>
    </row>
    <row r="966" spans="1:27" ht="15.75" customHeight="1">
      <c r="A966" s="103"/>
      <c r="B966" s="103"/>
      <c r="C966" s="103"/>
      <c r="D966" s="103"/>
      <c r="E966" s="103"/>
      <c r="F966" s="124"/>
      <c r="G966" s="124"/>
      <c r="H966" s="103"/>
      <c r="I966" s="103"/>
      <c r="J966" s="103"/>
      <c r="K966" s="103"/>
      <c r="L966" s="103"/>
      <c r="M966" s="103"/>
      <c r="N966" s="103"/>
      <c r="O966" s="103"/>
      <c r="P966" s="103"/>
      <c r="Q966" s="103"/>
      <c r="R966" s="103"/>
      <c r="S966" s="103"/>
      <c r="T966" s="103"/>
      <c r="U966" s="103"/>
      <c r="V966" s="103"/>
      <c r="W966" s="103"/>
      <c r="X966" s="103"/>
      <c r="Y966" s="103"/>
      <c r="Z966" s="103"/>
      <c r="AA966" s="103"/>
    </row>
    <row r="967" spans="1:27" ht="15.75" customHeight="1">
      <c r="A967" s="103"/>
      <c r="B967" s="103"/>
      <c r="C967" s="103"/>
      <c r="D967" s="103"/>
      <c r="E967" s="103"/>
      <c r="F967" s="124"/>
      <c r="G967" s="124"/>
      <c r="H967" s="103"/>
      <c r="I967" s="103"/>
      <c r="J967" s="103"/>
      <c r="K967" s="103"/>
      <c r="L967" s="103"/>
      <c r="M967" s="103"/>
      <c r="N967" s="103"/>
      <c r="O967" s="103"/>
      <c r="P967" s="103"/>
      <c r="Q967" s="103"/>
      <c r="R967" s="103"/>
      <c r="S967" s="103"/>
      <c r="T967" s="103"/>
      <c r="U967" s="103"/>
      <c r="V967" s="103"/>
      <c r="W967" s="103"/>
      <c r="X967" s="103"/>
      <c r="Y967" s="103"/>
      <c r="Z967" s="103"/>
      <c r="AA967" s="103"/>
    </row>
    <row r="968" spans="1:27" ht="15.75" customHeight="1">
      <c r="A968" s="103"/>
      <c r="B968" s="103"/>
      <c r="C968" s="103"/>
      <c r="D968" s="103"/>
      <c r="E968" s="103"/>
      <c r="F968" s="124"/>
      <c r="G968" s="124"/>
      <c r="H968" s="103"/>
      <c r="I968" s="103"/>
      <c r="J968" s="103"/>
      <c r="K968" s="103"/>
      <c r="L968" s="103"/>
      <c r="M968" s="103"/>
      <c r="N968" s="103"/>
      <c r="O968" s="103"/>
      <c r="P968" s="103"/>
      <c r="Q968" s="103"/>
      <c r="R968" s="103"/>
      <c r="S968" s="103"/>
      <c r="T968" s="103"/>
      <c r="U968" s="103"/>
      <c r="V968" s="103"/>
      <c r="W968" s="103"/>
      <c r="X968" s="103"/>
      <c r="Y968" s="103"/>
      <c r="Z968" s="103"/>
      <c r="AA968" s="103"/>
    </row>
    <row r="969" spans="1:27" ht="15.75" customHeight="1">
      <c r="A969" s="103"/>
      <c r="B969" s="103"/>
      <c r="C969" s="103"/>
      <c r="D969" s="103"/>
      <c r="E969" s="103"/>
      <c r="F969" s="124"/>
      <c r="G969" s="124"/>
      <c r="H969" s="103"/>
      <c r="I969" s="103"/>
      <c r="J969" s="103"/>
      <c r="K969" s="103"/>
      <c r="L969" s="103"/>
      <c r="M969" s="103"/>
      <c r="N969" s="103"/>
      <c r="O969" s="103"/>
      <c r="P969" s="103"/>
      <c r="Q969" s="103"/>
      <c r="R969" s="103"/>
      <c r="S969" s="103"/>
      <c r="T969" s="103"/>
      <c r="U969" s="103"/>
      <c r="V969" s="103"/>
      <c r="W969" s="103"/>
      <c r="X969" s="103"/>
      <c r="Y969" s="103"/>
      <c r="Z969" s="103"/>
      <c r="AA969" s="103"/>
    </row>
    <row r="970" spans="1:27" ht="15.75" customHeight="1">
      <c r="A970" s="103"/>
      <c r="B970" s="103"/>
      <c r="C970" s="103"/>
      <c r="D970" s="103"/>
      <c r="E970" s="103"/>
      <c r="F970" s="124"/>
      <c r="G970" s="124"/>
      <c r="H970" s="103"/>
      <c r="I970" s="103"/>
      <c r="J970" s="103"/>
      <c r="K970" s="103"/>
      <c r="L970" s="103"/>
      <c r="M970" s="103"/>
      <c r="N970" s="103"/>
      <c r="O970" s="103"/>
      <c r="P970" s="103"/>
      <c r="Q970" s="103"/>
      <c r="R970" s="103"/>
      <c r="S970" s="103"/>
      <c r="T970" s="103"/>
      <c r="U970" s="103"/>
      <c r="V970" s="103"/>
      <c r="W970" s="103"/>
      <c r="X970" s="103"/>
      <c r="Y970" s="103"/>
      <c r="Z970" s="103"/>
      <c r="AA970" s="103"/>
    </row>
    <row r="971" spans="1:27" ht="15.75" customHeight="1">
      <c r="A971" s="103"/>
      <c r="B971" s="103"/>
      <c r="C971" s="103"/>
      <c r="D971" s="103"/>
      <c r="E971" s="103"/>
      <c r="F971" s="124"/>
      <c r="G971" s="124"/>
      <c r="H971" s="103"/>
      <c r="I971" s="103"/>
      <c r="J971" s="103"/>
      <c r="K971" s="103"/>
      <c r="L971" s="103"/>
      <c r="M971" s="103"/>
      <c r="N971" s="103"/>
      <c r="O971" s="103"/>
      <c r="P971" s="103"/>
      <c r="Q971" s="103"/>
      <c r="R971" s="103"/>
      <c r="S971" s="103"/>
      <c r="T971" s="103"/>
      <c r="U971" s="103"/>
      <c r="V971" s="103"/>
      <c r="W971" s="103"/>
      <c r="X971" s="103"/>
      <c r="Y971" s="103"/>
      <c r="Z971" s="103"/>
      <c r="AA971" s="103"/>
    </row>
    <row r="972" spans="1:27" ht="15.75" customHeight="1">
      <c r="A972" s="103"/>
      <c r="B972" s="103"/>
      <c r="C972" s="103"/>
      <c r="D972" s="103"/>
      <c r="E972" s="103"/>
      <c r="F972" s="124"/>
      <c r="G972" s="124"/>
      <c r="H972" s="103"/>
      <c r="I972" s="103"/>
      <c r="J972" s="103"/>
      <c r="K972" s="103"/>
      <c r="L972" s="103"/>
      <c r="M972" s="103"/>
      <c r="N972" s="103"/>
      <c r="O972" s="103"/>
      <c r="P972" s="103"/>
      <c r="Q972" s="103"/>
      <c r="R972" s="103"/>
      <c r="S972" s="103"/>
      <c r="T972" s="103"/>
      <c r="U972" s="103"/>
      <c r="V972" s="103"/>
      <c r="W972" s="103"/>
      <c r="X972" s="103"/>
      <c r="Y972" s="103"/>
      <c r="Z972" s="103"/>
      <c r="AA972" s="103"/>
    </row>
    <row r="973" spans="1:27" ht="15.75" customHeight="1">
      <c r="A973" s="103"/>
      <c r="B973" s="103"/>
      <c r="C973" s="103"/>
      <c r="D973" s="103"/>
      <c r="E973" s="103"/>
      <c r="F973" s="124"/>
      <c r="G973" s="124"/>
      <c r="H973" s="103"/>
      <c r="I973" s="103"/>
      <c r="J973" s="103"/>
      <c r="K973" s="103"/>
      <c r="L973" s="103"/>
      <c r="M973" s="103"/>
      <c r="N973" s="103"/>
      <c r="O973" s="103"/>
      <c r="P973" s="103"/>
      <c r="Q973" s="103"/>
      <c r="R973" s="103"/>
      <c r="S973" s="103"/>
      <c r="T973" s="103"/>
      <c r="U973" s="103"/>
      <c r="V973" s="103"/>
      <c r="W973" s="103"/>
      <c r="X973" s="103"/>
      <c r="Y973" s="103"/>
      <c r="Z973" s="103"/>
      <c r="AA973" s="103"/>
    </row>
    <row r="974" spans="1:27" ht="15.75" customHeight="1">
      <c r="A974" s="103"/>
      <c r="B974" s="103"/>
      <c r="C974" s="103"/>
      <c r="D974" s="103"/>
      <c r="E974" s="103"/>
      <c r="F974" s="124"/>
      <c r="G974" s="124"/>
      <c r="H974" s="103"/>
      <c r="I974" s="103"/>
      <c r="J974" s="103"/>
      <c r="K974" s="103"/>
      <c r="L974" s="103"/>
      <c r="M974" s="103"/>
      <c r="N974" s="103"/>
      <c r="O974" s="103"/>
      <c r="P974" s="103"/>
      <c r="Q974" s="103"/>
      <c r="R974" s="103"/>
      <c r="S974" s="103"/>
      <c r="T974" s="103"/>
      <c r="U974" s="103"/>
      <c r="V974" s="103"/>
      <c r="W974" s="103"/>
      <c r="X974" s="103"/>
      <c r="Y974" s="103"/>
      <c r="Z974" s="103"/>
      <c r="AA974" s="103"/>
    </row>
    <row r="975" spans="1:27" ht="15.75" customHeight="1">
      <c r="A975" s="103"/>
      <c r="B975" s="103"/>
      <c r="C975" s="103"/>
      <c r="D975" s="103"/>
      <c r="E975" s="103"/>
      <c r="F975" s="124"/>
      <c r="G975" s="124"/>
      <c r="H975" s="103"/>
      <c r="I975" s="103"/>
      <c r="J975" s="103"/>
      <c r="K975" s="103"/>
      <c r="L975" s="103"/>
      <c r="M975" s="103"/>
      <c r="N975" s="103"/>
      <c r="O975" s="103"/>
      <c r="P975" s="103"/>
      <c r="Q975" s="103"/>
      <c r="R975" s="103"/>
      <c r="S975" s="103"/>
      <c r="T975" s="103"/>
      <c r="U975" s="103"/>
      <c r="V975" s="103"/>
      <c r="W975" s="103"/>
      <c r="X975" s="103"/>
      <c r="Y975" s="103"/>
      <c r="Z975" s="103"/>
      <c r="AA975" s="103"/>
    </row>
    <row r="976" spans="1:27" ht="15.75" customHeight="1">
      <c r="A976" s="103"/>
      <c r="B976" s="103"/>
      <c r="C976" s="103"/>
      <c r="D976" s="103"/>
      <c r="E976" s="103"/>
      <c r="F976" s="124"/>
      <c r="G976" s="124"/>
      <c r="H976" s="103"/>
      <c r="I976" s="103"/>
      <c r="J976" s="103"/>
      <c r="K976" s="103"/>
      <c r="L976" s="103"/>
      <c r="M976" s="103"/>
      <c r="N976" s="103"/>
      <c r="O976" s="103"/>
      <c r="P976" s="103"/>
      <c r="Q976" s="103"/>
      <c r="R976" s="103"/>
      <c r="S976" s="103"/>
      <c r="T976" s="103"/>
      <c r="U976" s="103"/>
      <c r="V976" s="103"/>
      <c r="W976" s="103"/>
      <c r="X976" s="103"/>
      <c r="Y976" s="103"/>
      <c r="Z976" s="103"/>
      <c r="AA976" s="103"/>
    </row>
    <row r="977" spans="1:27" ht="15.75" customHeight="1">
      <c r="A977" s="103"/>
      <c r="B977" s="103"/>
      <c r="C977" s="103"/>
      <c r="D977" s="103"/>
      <c r="E977" s="103"/>
      <c r="F977" s="124"/>
      <c r="G977" s="124"/>
      <c r="H977" s="103"/>
      <c r="I977" s="103"/>
      <c r="J977" s="103"/>
      <c r="K977" s="103"/>
      <c r="L977" s="103"/>
      <c r="M977" s="103"/>
      <c r="N977" s="103"/>
      <c r="O977" s="103"/>
      <c r="P977" s="103"/>
      <c r="Q977" s="103"/>
      <c r="R977" s="103"/>
      <c r="S977" s="103"/>
      <c r="T977" s="103"/>
      <c r="U977" s="103"/>
      <c r="V977" s="103"/>
      <c r="W977" s="103"/>
      <c r="X977" s="103"/>
      <c r="Y977" s="103"/>
      <c r="Z977" s="103"/>
      <c r="AA977" s="103"/>
    </row>
    <row r="978" spans="1:27" ht="15.75" customHeight="1">
      <c r="A978" s="103"/>
      <c r="B978" s="103"/>
      <c r="C978" s="103"/>
      <c r="D978" s="103"/>
      <c r="E978" s="103"/>
      <c r="F978" s="124"/>
      <c r="G978" s="124"/>
      <c r="H978" s="103"/>
      <c r="I978" s="103"/>
      <c r="J978" s="103"/>
      <c r="K978" s="103"/>
      <c r="L978" s="103"/>
      <c r="M978" s="103"/>
      <c r="N978" s="103"/>
      <c r="O978" s="103"/>
      <c r="P978" s="103"/>
      <c r="Q978" s="103"/>
      <c r="R978" s="103"/>
      <c r="S978" s="103"/>
      <c r="T978" s="103"/>
      <c r="U978" s="103"/>
      <c r="V978" s="103"/>
      <c r="W978" s="103"/>
      <c r="X978" s="103"/>
      <c r="Y978" s="103"/>
      <c r="Z978" s="103"/>
      <c r="AA978" s="103"/>
    </row>
    <row r="979" spans="1:27" ht="15.75" customHeight="1">
      <c r="A979" s="103"/>
      <c r="B979" s="103"/>
      <c r="C979" s="103"/>
      <c r="D979" s="103"/>
      <c r="E979" s="103"/>
      <c r="F979" s="124"/>
      <c r="G979" s="124"/>
      <c r="H979" s="103"/>
      <c r="I979" s="103"/>
      <c r="J979" s="103"/>
      <c r="K979" s="103"/>
      <c r="L979" s="103"/>
      <c r="M979" s="103"/>
      <c r="N979" s="103"/>
      <c r="O979" s="103"/>
      <c r="P979" s="103"/>
      <c r="Q979" s="103"/>
      <c r="R979" s="103"/>
      <c r="S979" s="103"/>
      <c r="T979" s="103"/>
      <c r="U979" s="103"/>
      <c r="V979" s="103"/>
      <c r="W979" s="103"/>
      <c r="X979" s="103"/>
      <c r="Y979" s="103"/>
      <c r="Z979" s="103"/>
      <c r="AA979" s="103"/>
    </row>
    <row r="980" spans="1:27" ht="15.75" customHeight="1">
      <c r="A980" s="103"/>
      <c r="B980" s="103"/>
      <c r="C980" s="103"/>
      <c r="D980" s="103"/>
      <c r="E980" s="103"/>
      <c r="F980" s="124"/>
      <c r="G980" s="124"/>
      <c r="H980" s="103"/>
      <c r="I980" s="103"/>
      <c r="J980" s="103"/>
      <c r="K980" s="103"/>
      <c r="L980" s="103"/>
      <c r="M980" s="103"/>
      <c r="N980" s="103"/>
      <c r="O980" s="103"/>
      <c r="P980" s="103"/>
      <c r="Q980" s="103"/>
      <c r="R980" s="103"/>
      <c r="S980" s="103"/>
      <c r="T980" s="103"/>
      <c r="U980" s="103"/>
      <c r="V980" s="103"/>
      <c r="W980" s="103"/>
      <c r="X980" s="103"/>
      <c r="Y980" s="103"/>
      <c r="Z980" s="103"/>
      <c r="AA980" s="103"/>
    </row>
    <row r="981" spans="1:27" ht="15.75" customHeight="1">
      <c r="A981" s="103"/>
      <c r="B981" s="103"/>
      <c r="C981" s="103"/>
      <c r="D981" s="103"/>
      <c r="E981" s="103"/>
      <c r="F981" s="124"/>
      <c r="G981" s="124"/>
      <c r="H981" s="103"/>
      <c r="I981" s="103"/>
      <c r="J981" s="103"/>
      <c r="K981" s="103"/>
      <c r="L981" s="103"/>
      <c r="M981" s="103"/>
      <c r="N981" s="103"/>
      <c r="O981" s="103"/>
      <c r="P981" s="103"/>
      <c r="Q981" s="103"/>
      <c r="R981" s="103"/>
      <c r="S981" s="103"/>
      <c r="T981" s="103"/>
      <c r="U981" s="103"/>
      <c r="V981" s="103"/>
      <c r="W981" s="103"/>
      <c r="X981" s="103"/>
      <c r="Y981" s="103"/>
      <c r="Z981" s="103"/>
      <c r="AA981" s="103"/>
    </row>
    <row r="982" spans="1:27" ht="15.75" customHeight="1">
      <c r="A982" s="103"/>
      <c r="B982" s="103"/>
      <c r="C982" s="103"/>
      <c r="D982" s="103"/>
      <c r="E982" s="103"/>
      <c r="F982" s="124"/>
      <c r="G982" s="124"/>
      <c r="H982" s="103"/>
      <c r="I982" s="103"/>
      <c r="J982" s="103"/>
      <c r="K982" s="103"/>
      <c r="L982" s="103"/>
      <c r="M982" s="103"/>
      <c r="N982" s="103"/>
      <c r="O982" s="103"/>
      <c r="P982" s="103"/>
      <c r="Q982" s="103"/>
      <c r="R982" s="103"/>
      <c r="S982" s="103"/>
      <c r="T982" s="103"/>
      <c r="U982" s="103"/>
      <c r="V982" s="103"/>
      <c r="W982" s="103"/>
      <c r="X982" s="103"/>
      <c r="Y982" s="103"/>
      <c r="Z982" s="103"/>
      <c r="AA982" s="103"/>
    </row>
    <row r="983" spans="1:27" ht="15.75" customHeight="1">
      <c r="A983" s="103"/>
      <c r="B983" s="103"/>
      <c r="C983" s="103"/>
      <c r="D983" s="103"/>
      <c r="E983" s="103"/>
      <c r="F983" s="124"/>
      <c r="G983" s="124"/>
      <c r="H983" s="103"/>
      <c r="I983" s="103"/>
      <c r="J983" s="103"/>
      <c r="K983" s="103"/>
      <c r="L983" s="103"/>
      <c r="M983" s="103"/>
      <c r="N983" s="103"/>
      <c r="O983" s="103"/>
      <c r="P983" s="103"/>
      <c r="Q983" s="103"/>
      <c r="R983" s="103"/>
      <c r="S983" s="103"/>
      <c r="T983" s="103"/>
      <c r="U983" s="103"/>
      <c r="V983" s="103"/>
      <c r="W983" s="103"/>
      <c r="X983" s="103"/>
      <c r="Y983" s="103"/>
      <c r="Z983" s="103"/>
      <c r="AA983" s="103"/>
    </row>
    <row r="984" spans="1:27" ht="15.75" customHeight="1">
      <c r="A984" s="103"/>
      <c r="B984" s="103"/>
      <c r="C984" s="103"/>
      <c r="D984" s="103"/>
      <c r="E984" s="103"/>
      <c r="F984" s="124"/>
      <c r="G984" s="124"/>
      <c r="H984" s="103"/>
      <c r="I984" s="103"/>
      <c r="J984" s="103"/>
      <c r="K984" s="103"/>
      <c r="L984" s="103"/>
      <c r="M984" s="103"/>
      <c r="N984" s="103"/>
      <c r="O984" s="103"/>
      <c r="P984" s="103"/>
      <c r="Q984" s="103"/>
      <c r="R984" s="103"/>
      <c r="S984" s="103"/>
      <c r="T984" s="103"/>
      <c r="U984" s="103"/>
      <c r="V984" s="103"/>
      <c r="W984" s="103"/>
      <c r="X984" s="103"/>
      <c r="Y984" s="103"/>
      <c r="Z984" s="103"/>
      <c r="AA984" s="103"/>
    </row>
    <row r="985" spans="1:27" ht="15.75" customHeight="1">
      <c r="A985" s="103"/>
      <c r="B985" s="103"/>
      <c r="C985" s="103"/>
      <c r="D985" s="103"/>
      <c r="E985" s="103"/>
      <c r="F985" s="124"/>
      <c r="G985" s="124"/>
      <c r="H985" s="103"/>
      <c r="I985" s="103"/>
      <c r="J985" s="103"/>
      <c r="K985" s="103"/>
      <c r="L985" s="103"/>
      <c r="M985" s="103"/>
      <c r="N985" s="103"/>
      <c r="O985" s="103"/>
      <c r="P985" s="103"/>
      <c r="Q985" s="103"/>
      <c r="R985" s="103"/>
      <c r="S985" s="103"/>
      <c r="T985" s="103"/>
      <c r="U985" s="103"/>
      <c r="V985" s="103"/>
      <c r="W985" s="103"/>
      <c r="X985" s="103"/>
      <c r="Y985" s="103"/>
      <c r="Z985" s="103"/>
      <c r="AA985" s="103"/>
    </row>
    <row r="986" spans="1:27" ht="15.75" customHeight="1">
      <c r="A986" s="103"/>
      <c r="B986" s="103"/>
      <c r="C986" s="103"/>
      <c r="D986" s="103"/>
      <c r="E986" s="103"/>
      <c r="F986" s="124"/>
      <c r="G986" s="124"/>
      <c r="H986" s="103"/>
      <c r="I986" s="103"/>
      <c r="J986" s="103"/>
      <c r="K986" s="103"/>
      <c r="L986" s="103"/>
      <c r="M986" s="103"/>
      <c r="N986" s="103"/>
      <c r="O986" s="103"/>
      <c r="P986" s="103"/>
      <c r="Q986" s="103"/>
      <c r="R986" s="103"/>
      <c r="S986" s="103"/>
      <c r="T986" s="103"/>
      <c r="U986" s="103"/>
      <c r="V986" s="103"/>
      <c r="W986" s="103"/>
      <c r="X986" s="103"/>
      <c r="Y986" s="103"/>
      <c r="Z986" s="103"/>
      <c r="AA986" s="103"/>
    </row>
    <row r="987" spans="1:27" ht="15.75" customHeight="1">
      <c r="A987" s="103"/>
      <c r="B987" s="103"/>
      <c r="C987" s="103"/>
      <c r="D987" s="103"/>
      <c r="E987" s="103"/>
      <c r="F987" s="124"/>
      <c r="G987" s="124"/>
      <c r="H987" s="103"/>
      <c r="I987" s="103"/>
      <c r="J987" s="103"/>
      <c r="K987" s="103"/>
      <c r="L987" s="103"/>
      <c r="M987" s="103"/>
      <c r="N987" s="103"/>
      <c r="O987" s="103"/>
      <c r="P987" s="103"/>
      <c r="Q987" s="103"/>
      <c r="R987" s="103"/>
      <c r="S987" s="103"/>
      <c r="T987" s="103"/>
      <c r="U987" s="103"/>
      <c r="V987" s="103"/>
      <c r="W987" s="103"/>
      <c r="X987" s="103"/>
      <c r="Y987" s="103"/>
      <c r="Z987" s="103"/>
      <c r="AA987" s="103"/>
    </row>
    <row r="988" spans="1:27" ht="15.75" customHeight="1">
      <c r="A988" s="103"/>
      <c r="B988" s="103"/>
      <c r="C988" s="103"/>
      <c r="D988" s="103"/>
      <c r="E988" s="103"/>
      <c r="F988" s="124"/>
      <c r="G988" s="124"/>
      <c r="H988" s="103"/>
      <c r="I988" s="103"/>
      <c r="J988" s="103"/>
      <c r="K988" s="103"/>
      <c r="L988" s="103"/>
      <c r="M988" s="103"/>
      <c r="N988" s="103"/>
      <c r="O988" s="103"/>
      <c r="P988" s="103"/>
      <c r="Q988" s="103"/>
      <c r="R988" s="103"/>
      <c r="S988" s="103"/>
      <c r="T988" s="103"/>
      <c r="U988" s="103"/>
      <c r="V988" s="103"/>
      <c r="W988" s="103"/>
      <c r="X988" s="103"/>
      <c r="Y988" s="103"/>
      <c r="Z988" s="103"/>
      <c r="AA988" s="103"/>
    </row>
    <row r="989" spans="1:27" ht="15.75" customHeight="1">
      <c r="A989" s="103"/>
      <c r="B989" s="103"/>
      <c r="C989" s="103"/>
      <c r="D989" s="103"/>
      <c r="E989" s="103"/>
      <c r="F989" s="124"/>
      <c r="G989" s="124"/>
      <c r="H989" s="103"/>
      <c r="I989" s="103"/>
      <c r="J989" s="103"/>
      <c r="K989" s="103"/>
      <c r="L989" s="103"/>
      <c r="M989" s="103"/>
      <c r="N989" s="103"/>
      <c r="O989" s="103"/>
      <c r="P989" s="103"/>
      <c r="Q989" s="103"/>
      <c r="R989" s="103"/>
      <c r="S989" s="103"/>
      <c r="T989" s="103"/>
      <c r="U989" s="103"/>
      <c r="V989" s="103"/>
      <c r="W989" s="103"/>
      <c r="X989" s="103"/>
      <c r="Y989" s="103"/>
      <c r="Z989" s="103"/>
      <c r="AA989" s="103"/>
    </row>
    <row r="990" spans="1:27" ht="15.75" customHeight="1">
      <c r="A990" s="103"/>
      <c r="B990" s="103"/>
      <c r="C990" s="103"/>
      <c r="D990" s="103"/>
      <c r="E990" s="103"/>
      <c r="F990" s="124"/>
      <c r="G990" s="124"/>
      <c r="H990" s="103"/>
      <c r="I990" s="103"/>
      <c r="J990" s="103"/>
      <c r="K990" s="103"/>
      <c r="L990" s="103"/>
      <c r="M990" s="103"/>
      <c r="N990" s="103"/>
      <c r="O990" s="103"/>
      <c r="P990" s="103"/>
      <c r="Q990" s="103"/>
      <c r="R990" s="103"/>
      <c r="S990" s="103"/>
      <c r="T990" s="103"/>
      <c r="U990" s="103"/>
      <c r="V990" s="103"/>
      <c r="W990" s="103"/>
      <c r="X990" s="103"/>
      <c r="Y990" s="103"/>
      <c r="Z990" s="103"/>
      <c r="AA990" s="103"/>
    </row>
    <row r="991" spans="1:27" ht="15.75" customHeight="1">
      <c r="A991" s="103"/>
      <c r="B991" s="103"/>
      <c r="C991" s="103"/>
      <c r="D991" s="103"/>
      <c r="E991" s="103"/>
      <c r="F991" s="124"/>
      <c r="G991" s="124"/>
      <c r="H991" s="103"/>
      <c r="I991" s="103"/>
      <c r="J991" s="103"/>
      <c r="K991" s="103"/>
      <c r="L991" s="103"/>
      <c r="M991" s="103"/>
      <c r="N991" s="103"/>
      <c r="O991" s="103"/>
      <c r="P991" s="103"/>
      <c r="Q991" s="103"/>
      <c r="R991" s="103"/>
      <c r="S991" s="103"/>
      <c r="T991" s="103"/>
      <c r="U991" s="103"/>
      <c r="V991" s="103"/>
      <c r="W991" s="103"/>
      <c r="X991" s="103"/>
      <c r="Y991" s="103"/>
      <c r="Z991" s="103"/>
      <c r="AA991" s="103"/>
    </row>
    <row r="992" spans="1:27" ht="15.75" customHeight="1">
      <c r="A992" s="103"/>
      <c r="B992" s="103"/>
      <c r="C992" s="103"/>
      <c r="D992" s="103"/>
      <c r="E992" s="103"/>
      <c r="F992" s="124"/>
      <c r="G992" s="124"/>
      <c r="H992" s="103"/>
      <c r="I992" s="103"/>
      <c r="J992" s="103"/>
      <c r="K992" s="103"/>
      <c r="L992" s="103"/>
      <c r="M992" s="103"/>
      <c r="N992" s="103"/>
      <c r="O992" s="103"/>
      <c r="P992" s="103"/>
      <c r="Q992" s="103"/>
      <c r="R992" s="103"/>
      <c r="S992" s="103"/>
      <c r="T992" s="103"/>
      <c r="U992" s="103"/>
      <c r="V992" s="103"/>
      <c r="W992" s="103"/>
      <c r="X992" s="103"/>
      <c r="Y992" s="103"/>
      <c r="Z992" s="103"/>
      <c r="AA992" s="103"/>
    </row>
    <row r="993" spans="1:27" ht="15.75" customHeight="1">
      <c r="A993" s="103"/>
      <c r="B993" s="103"/>
      <c r="C993" s="103"/>
      <c r="D993" s="103"/>
      <c r="E993" s="103"/>
      <c r="F993" s="124"/>
      <c r="G993" s="124"/>
      <c r="H993" s="103"/>
      <c r="I993" s="103"/>
      <c r="J993" s="103"/>
      <c r="K993" s="103"/>
      <c r="L993" s="103"/>
      <c r="M993" s="103"/>
      <c r="N993" s="103"/>
      <c r="O993" s="103"/>
      <c r="P993" s="103"/>
      <c r="Q993" s="103"/>
      <c r="R993" s="103"/>
      <c r="S993" s="103"/>
      <c r="T993" s="103"/>
      <c r="U993" s="103"/>
      <c r="V993" s="103"/>
      <c r="W993" s="103"/>
      <c r="X993" s="103"/>
      <c r="Y993" s="103"/>
      <c r="Z993" s="103"/>
      <c r="AA993" s="103"/>
    </row>
    <row r="994" spans="1:27" ht="15.75" customHeight="1">
      <c r="A994" s="103"/>
      <c r="B994" s="103"/>
      <c r="C994" s="103"/>
      <c r="D994" s="103"/>
      <c r="E994" s="103"/>
      <c r="F994" s="124"/>
      <c r="G994" s="124"/>
      <c r="H994" s="103"/>
      <c r="I994" s="103"/>
      <c r="J994" s="103"/>
      <c r="K994" s="103"/>
      <c r="L994" s="103"/>
      <c r="M994" s="103"/>
      <c r="N994" s="103"/>
      <c r="O994" s="103"/>
      <c r="P994" s="103"/>
      <c r="Q994" s="103"/>
      <c r="R994" s="103"/>
      <c r="S994" s="103"/>
      <c r="T994" s="103"/>
      <c r="U994" s="103"/>
      <c r="V994" s="103"/>
      <c r="W994" s="103"/>
      <c r="X994" s="103"/>
      <c r="Y994" s="103"/>
      <c r="Z994" s="103"/>
      <c r="AA994" s="103"/>
    </row>
    <row r="995" spans="1:27" ht="15.75" customHeight="1">
      <c r="A995" s="103"/>
      <c r="B995" s="103"/>
      <c r="C995" s="103"/>
      <c r="D995" s="103"/>
      <c r="E995" s="103"/>
      <c r="F995" s="124"/>
      <c r="G995" s="124"/>
      <c r="H995" s="103"/>
      <c r="I995" s="103"/>
      <c r="J995" s="103"/>
      <c r="K995" s="103"/>
      <c r="L995" s="103"/>
      <c r="M995" s="103"/>
      <c r="N995" s="103"/>
      <c r="O995" s="103"/>
      <c r="P995" s="103"/>
      <c r="Q995" s="103"/>
      <c r="R995" s="103"/>
      <c r="S995" s="103"/>
      <c r="T995" s="103"/>
      <c r="U995" s="103"/>
      <c r="V995" s="103"/>
      <c r="W995" s="103"/>
      <c r="X995" s="103"/>
      <c r="Y995" s="103"/>
      <c r="Z995" s="103"/>
      <c r="AA995" s="103"/>
    </row>
    <row r="996" spans="1:27" ht="15.75" customHeight="1">
      <c r="A996" s="103"/>
      <c r="B996" s="103"/>
      <c r="C996" s="103"/>
      <c r="D996" s="103"/>
      <c r="E996" s="103"/>
      <c r="F996" s="124"/>
      <c r="G996" s="124"/>
      <c r="H996" s="103"/>
      <c r="I996" s="103"/>
      <c r="J996" s="103"/>
      <c r="K996" s="103"/>
      <c r="L996" s="103"/>
      <c r="M996" s="103"/>
      <c r="N996" s="103"/>
      <c r="O996" s="103"/>
      <c r="P996" s="103"/>
      <c r="Q996" s="103"/>
      <c r="R996" s="103"/>
      <c r="S996" s="103"/>
      <c r="T996" s="103"/>
      <c r="U996" s="103"/>
      <c r="V996" s="103"/>
      <c r="W996" s="103"/>
      <c r="X996" s="103"/>
      <c r="Y996" s="103"/>
      <c r="Z996" s="103"/>
      <c r="AA996" s="103"/>
    </row>
    <row r="997" spans="1:27" ht="15.75" customHeight="1">
      <c r="A997" s="103"/>
      <c r="B997" s="103"/>
      <c r="C997" s="103"/>
      <c r="D997" s="103"/>
      <c r="E997" s="103"/>
      <c r="F997" s="124"/>
      <c r="G997" s="124"/>
      <c r="H997" s="103"/>
      <c r="I997" s="103"/>
      <c r="J997" s="103"/>
      <c r="K997" s="103"/>
      <c r="L997" s="103"/>
      <c r="M997" s="103"/>
      <c r="N997" s="103"/>
      <c r="O997" s="103"/>
      <c r="P997" s="103"/>
      <c r="Q997" s="103"/>
      <c r="R997" s="103"/>
      <c r="S997" s="103"/>
      <c r="T997" s="103"/>
      <c r="U997" s="103"/>
      <c r="V997" s="103"/>
      <c r="W997" s="103"/>
      <c r="X997" s="103"/>
      <c r="Y997" s="103"/>
      <c r="Z997" s="103"/>
      <c r="AA997" s="103"/>
    </row>
    <row r="998" spans="1:27" ht="15.75" customHeight="1">
      <c r="A998" s="103"/>
      <c r="B998" s="103"/>
      <c r="C998" s="103"/>
      <c r="D998" s="103"/>
      <c r="E998" s="103"/>
      <c r="F998" s="124"/>
      <c r="G998" s="124"/>
      <c r="H998" s="103"/>
      <c r="I998" s="103"/>
      <c r="J998" s="103"/>
      <c r="K998" s="103"/>
      <c r="L998" s="103"/>
      <c r="M998" s="103"/>
      <c r="N998" s="103"/>
      <c r="O998" s="103"/>
      <c r="P998" s="103"/>
      <c r="Q998" s="103"/>
      <c r="R998" s="103"/>
      <c r="S998" s="103"/>
      <c r="T998" s="103"/>
      <c r="U998" s="103"/>
      <c r="V998" s="103"/>
      <c r="W998" s="103"/>
      <c r="X998" s="103"/>
      <c r="Y998" s="103"/>
      <c r="Z998" s="103"/>
      <c r="AA998" s="103"/>
    </row>
    <row r="999" spans="1:27" ht="15.75" customHeight="1">
      <c r="A999" s="103"/>
      <c r="B999" s="103"/>
      <c r="C999" s="103"/>
      <c r="D999" s="103"/>
      <c r="E999" s="103"/>
      <c r="F999" s="124"/>
      <c r="G999" s="124"/>
      <c r="H999" s="103"/>
      <c r="I999" s="103"/>
      <c r="J999" s="103"/>
      <c r="K999" s="103"/>
      <c r="L999" s="103"/>
      <c r="M999" s="103"/>
      <c r="N999" s="103"/>
      <c r="O999" s="103"/>
      <c r="P999" s="103"/>
      <c r="Q999" s="103"/>
      <c r="R999" s="103"/>
      <c r="S999" s="103"/>
      <c r="T999" s="103"/>
      <c r="U999" s="103"/>
      <c r="V999" s="103"/>
      <c r="W999" s="103"/>
      <c r="X999" s="103"/>
      <c r="Y999" s="103"/>
      <c r="Z999" s="103"/>
      <c r="AA999" s="103"/>
    </row>
    <row r="1000" spans="1:27" ht="15.75" customHeight="1">
      <c r="A1000" s="103"/>
      <c r="B1000" s="103"/>
      <c r="C1000" s="103"/>
      <c r="D1000" s="103"/>
      <c r="E1000" s="103"/>
      <c r="F1000" s="124"/>
      <c r="G1000" s="124"/>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row>
  </sheetData>
  <mergeCells count="65">
    <mergeCell ref="C50:E50"/>
    <mergeCell ref="C51:E51"/>
    <mergeCell ref="B52:E52"/>
    <mergeCell ref="C53:E53"/>
    <mergeCell ref="C54:E54"/>
    <mergeCell ref="C55:E55"/>
    <mergeCell ref="C56:E56"/>
    <mergeCell ref="E67:F68"/>
    <mergeCell ref="E69:F70"/>
    <mergeCell ref="A57:E57"/>
    <mergeCell ref="A58:E58"/>
    <mergeCell ref="A59:E59"/>
    <mergeCell ref="A60:E60"/>
    <mergeCell ref="A62:G64"/>
    <mergeCell ref="C67:C68"/>
    <mergeCell ref="C69:C70"/>
    <mergeCell ref="A1:G1"/>
    <mergeCell ref="A2:G2"/>
    <mergeCell ref="A3:G3"/>
    <mergeCell ref="A4:G4"/>
    <mergeCell ref="A5:E5"/>
    <mergeCell ref="A6:E6"/>
    <mergeCell ref="B7:E7"/>
    <mergeCell ref="C8:E8"/>
    <mergeCell ref="C9:E9"/>
    <mergeCell ref="C10:E10"/>
    <mergeCell ref="C11:E11"/>
    <mergeCell ref="C12:E12"/>
    <mergeCell ref="C13:E13"/>
    <mergeCell ref="C14:E14"/>
    <mergeCell ref="C15:E15"/>
    <mergeCell ref="C16:E16"/>
    <mergeCell ref="C17:E17"/>
    <mergeCell ref="B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A35:E35"/>
    <mergeCell ref="A36:E36"/>
    <mergeCell ref="B37:E37"/>
    <mergeCell ref="C38:E38"/>
    <mergeCell ref="C39:E39"/>
    <mergeCell ref="C40:E40"/>
    <mergeCell ref="A46:E46"/>
    <mergeCell ref="B47:E47"/>
    <mergeCell ref="C48:E48"/>
    <mergeCell ref="C49:E49"/>
    <mergeCell ref="B41:E41"/>
    <mergeCell ref="C42:E42"/>
    <mergeCell ref="C43:E43"/>
    <mergeCell ref="C44:E44"/>
    <mergeCell ref="A45:E45"/>
  </mergeCells>
  <conditionalFormatting sqref="H8:K8">
    <cfRule type="cellIs" dxfId="98" priority="1" operator="equal">
      <formula>0</formula>
    </cfRule>
  </conditionalFormatting>
  <conditionalFormatting sqref="H59">
    <cfRule type="cellIs" dxfId="97" priority="2" operator="equal">
      <formula>0</formula>
    </cfRule>
  </conditionalFormatting>
  <conditionalFormatting sqref="F8:G17">
    <cfRule type="cellIs" dxfId="96" priority="3" operator="equal">
      <formula>0</formula>
    </cfRule>
  </conditionalFormatting>
  <conditionalFormatting sqref="F9:G17">
    <cfRule type="cellIs" dxfId="95" priority="4" operator="equal">
      <formula>0</formula>
    </cfRule>
  </conditionalFormatting>
  <conditionalFormatting sqref="F19:G34">
    <cfRule type="cellIs" dxfId="94" priority="5" operator="equal">
      <formula>0</formula>
    </cfRule>
  </conditionalFormatting>
  <conditionalFormatting sqref="G59">
    <cfRule type="cellIs" dxfId="93" priority="6" operator="equal">
      <formula>0</formula>
    </cfRule>
  </conditionalFormatting>
  <conditionalFormatting sqref="F38:G38">
    <cfRule type="cellIs" dxfId="92" priority="7" operator="equal">
      <formula>0</formula>
    </cfRule>
  </conditionalFormatting>
  <conditionalFormatting sqref="F39:G39">
    <cfRule type="cellIs" dxfId="91" priority="8" operator="equal">
      <formula>0</formula>
    </cfRule>
  </conditionalFormatting>
  <conditionalFormatting sqref="F40:G40">
    <cfRule type="cellIs" dxfId="90" priority="9" operator="equal">
      <formula>0</formula>
    </cfRule>
  </conditionalFormatting>
  <conditionalFormatting sqref="F42:G42">
    <cfRule type="cellIs" dxfId="89" priority="10" operator="equal">
      <formula>0</formula>
    </cfRule>
  </conditionalFormatting>
  <conditionalFormatting sqref="F43:G43">
    <cfRule type="cellIs" dxfId="88" priority="11" operator="equal">
      <formula>0</formula>
    </cfRule>
  </conditionalFormatting>
  <conditionalFormatting sqref="F44:G44">
    <cfRule type="cellIs" dxfId="87" priority="12" operator="equal">
      <formula>0</formula>
    </cfRule>
  </conditionalFormatting>
  <conditionalFormatting sqref="F49:G49">
    <cfRule type="cellIs" dxfId="86" priority="13" operator="equal">
      <formula>0</formula>
    </cfRule>
  </conditionalFormatting>
  <conditionalFormatting sqref="F51:G51">
    <cfRule type="cellIs" dxfId="85" priority="14" operator="equal">
      <formula>0</formula>
    </cfRule>
  </conditionalFormatting>
  <conditionalFormatting sqref="F54:G54">
    <cfRule type="cellIs" dxfId="84" priority="15" operator="equal">
      <formula>0</formula>
    </cfRule>
  </conditionalFormatting>
  <conditionalFormatting sqref="F56:G56">
    <cfRule type="cellIs" dxfId="83" priority="16" operator="equal">
      <formula>0</formula>
    </cfRule>
  </conditionalFormatting>
  <dataValidations count="2">
    <dataValidation type="decimal" operator="greaterThanOrEqual" allowBlank="1" showErrorMessage="1" sqref="F8:K8 F9:G17 F19:G34 F38:G40 F42:G44 F49:G49 F51:G51 F54:G54 F56:G56 G59:H59">
      <formula1>0</formula1>
    </dataValidation>
    <dataValidation type="decimal" allowBlank="1" showErrorMessage="1" sqref="F48:G48 F50:G50 F53:G53 F55:G55">
      <formula1>-20000000000</formula1>
      <formula2>20000000000</formula2>
    </dataValidation>
  </dataValidations>
  <printOptions horizontalCentered="1"/>
  <pageMargins left="0.19685039370078741" right="0.19685039370078741" top="0.39370078740157483" bottom="0.39370078740157483" header="0" footer="0"/>
  <pageSetup orientation="portrait"/>
  <headerFooter>
    <oddFooter>&amp;REstado de fujo de efectivo Página &amp;P de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92D050"/>
  </sheetPr>
  <dimension ref="A1:AC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9" width="11.42578125" hidden="1" customWidth="1"/>
  </cols>
  <sheetData>
    <row r="1" spans="1:29" ht="48" customHeight="1">
      <c r="A1" s="745" t="str">
        <f>"Nombre del Ente Público: "&amp;Validacion!A2</f>
        <v>Nombre del Ente Público: Guadalajara</v>
      </c>
      <c r="B1" s="746"/>
      <c r="C1" s="746"/>
      <c r="D1" s="746"/>
      <c r="E1" s="746"/>
      <c r="F1" s="746"/>
      <c r="G1" s="746"/>
      <c r="H1" s="747"/>
      <c r="I1" s="126"/>
      <c r="J1" s="126"/>
      <c r="K1" s="126"/>
      <c r="L1" s="126"/>
      <c r="M1" s="126"/>
      <c r="N1" s="126"/>
      <c r="O1" s="126"/>
      <c r="P1" s="126"/>
      <c r="Q1" s="126"/>
      <c r="R1" s="126"/>
      <c r="S1" s="126"/>
      <c r="T1" s="126"/>
      <c r="U1" s="126"/>
      <c r="V1" s="126"/>
      <c r="W1" s="126"/>
      <c r="X1" s="126"/>
      <c r="Y1" s="126"/>
      <c r="Z1" s="126"/>
      <c r="AA1" s="126"/>
      <c r="AB1" s="126"/>
      <c r="AC1" s="126"/>
    </row>
    <row r="2" spans="1:29" ht="15.75" customHeight="1">
      <c r="A2" s="775" t="s">
        <v>4425</v>
      </c>
      <c r="B2" s="749"/>
      <c r="C2" s="749"/>
      <c r="D2" s="749"/>
      <c r="E2" s="749"/>
      <c r="F2" s="749"/>
      <c r="G2" s="749"/>
      <c r="H2" s="750"/>
      <c r="I2" s="126"/>
      <c r="J2" s="126"/>
      <c r="K2" s="126"/>
      <c r="L2" s="126"/>
      <c r="M2" s="126"/>
      <c r="N2" s="126"/>
      <c r="O2" s="126"/>
      <c r="P2" s="126"/>
      <c r="Q2" s="126"/>
      <c r="R2" s="126"/>
      <c r="S2" s="126"/>
      <c r="T2" s="126"/>
      <c r="U2" s="126"/>
      <c r="V2" s="126"/>
      <c r="W2" s="126"/>
      <c r="X2" s="126"/>
      <c r="Y2" s="126"/>
      <c r="Z2" s="126"/>
      <c r="AA2" s="126"/>
      <c r="AB2" s="126"/>
      <c r="AC2" s="126"/>
    </row>
    <row r="3" spans="1:29" ht="15.75" customHeight="1">
      <c r="A3" s="751" t="e">
        <f>'F6'!A3</f>
        <v>#REF!</v>
      </c>
      <c r="B3" s="749"/>
      <c r="C3" s="749"/>
      <c r="D3" s="749"/>
      <c r="E3" s="749"/>
      <c r="F3" s="749"/>
      <c r="G3" s="749"/>
      <c r="H3" s="750"/>
      <c r="I3" s="126"/>
      <c r="J3" s="126"/>
      <c r="K3" s="126"/>
      <c r="L3" s="126"/>
      <c r="M3" s="126"/>
      <c r="N3" s="126"/>
      <c r="O3" s="126"/>
      <c r="P3" s="126"/>
      <c r="Q3" s="126"/>
      <c r="R3" s="126"/>
      <c r="S3" s="126"/>
      <c r="T3" s="126"/>
      <c r="U3" s="126"/>
      <c r="V3" s="126"/>
      <c r="W3" s="126"/>
      <c r="X3" s="126"/>
      <c r="Y3" s="126"/>
      <c r="Z3" s="126"/>
      <c r="AA3" s="126"/>
      <c r="AB3" s="126"/>
      <c r="AC3" s="126"/>
    </row>
    <row r="4" spans="1:29" ht="15.75" customHeight="1">
      <c r="A4" s="776" t="s">
        <v>4426</v>
      </c>
      <c r="B4" s="753"/>
      <c r="C4" s="753"/>
      <c r="D4" s="753"/>
      <c r="E4" s="753"/>
      <c r="F4" s="753"/>
      <c r="G4" s="753"/>
      <c r="H4" s="754"/>
      <c r="I4" s="126"/>
      <c r="J4" s="126"/>
      <c r="K4" s="126"/>
      <c r="L4" s="126"/>
      <c r="M4" s="126"/>
      <c r="N4" s="126"/>
      <c r="O4" s="126"/>
      <c r="P4" s="126"/>
      <c r="Q4" s="126"/>
      <c r="R4" s="126"/>
      <c r="S4" s="126"/>
      <c r="T4" s="126"/>
      <c r="U4" s="126"/>
      <c r="V4" s="126"/>
      <c r="W4" s="126"/>
      <c r="X4" s="126"/>
      <c r="Y4" s="126"/>
      <c r="Z4" s="126"/>
      <c r="AA4" s="126"/>
      <c r="AB4" s="126"/>
      <c r="AC4" s="126"/>
    </row>
    <row r="5" spans="1:29" ht="15.75" customHeight="1">
      <c r="A5" s="777" t="s">
        <v>4427</v>
      </c>
      <c r="B5" s="778"/>
      <c r="C5" s="781" t="s">
        <v>4428</v>
      </c>
      <c r="D5" s="756"/>
      <c r="E5" s="756"/>
      <c r="F5" s="756"/>
      <c r="G5" s="733"/>
      <c r="H5" s="784" t="s">
        <v>4429</v>
      </c>
      <c r="I5" s="126"/>
      <c r="J5" s="126"/>
      <c r="K5" s="126"/>
      <c r="L5" s="126"/>
      <c r="M5" s="126"/>
      <c r="N5" s="126"/>
      <c r="O5" s="126"/>
      <c r="P5" s="126"/>
      <c r="Q5" s="126"/>
      <c r="R5" s="126"/>
      <c r="S5" s="126"/>
      <c r="T5" s="126"/>
      <c r="U5" s="126"/>
      <c r="V5" s="126"/>
      <c r="W5" s="126"/>
      <c r="X5" s="126"/>
      <c r="Y5" s="126"/>
      <c r="Z5" s="126"/>
      <c r="AA5" s="126"/>
      <c r="AB5" s="126"/>
      <c r="AC5" s="126"/>
    </row>
    <row r="6" spans="1:29" ht="15.75" customHeight="1">
      <c r="A6" s="779"/>
      <c r="B6" s="780"/>
      <c r="C6" s="127" t="s">
        <v>4430</v>
      </c>
      <c r="D6" s="127" t="s">
        <v>4431</v>
      </c>
      <c r="E6" s="127" t="s">
        <v>4432</v>
      </c>
      <c r="F6" s="127" t="s">
        <v>4433</v>
      </c>
      <c r="G6" s="127" t="s">
        <v>4434</v>
      </c>
      <c r="H6" s="730"/>
      <c r="I6" s="126"/>
      <c r="J6" s="126"/>
      <c r="K6" s="126"/>
      <c r="L6" s="126"/>
      <c r="M6" s="126"/>
      <c r="N6" s="126"/>
      <c r="O6" s="126"/>
      <c r="P6" s="126"/>
      <c r="Q6" s="126"/>
      <c r="R6" s="126"/>
      <c r="S6" s="126"/>
      <c r="T6" s="126"/>
      <c r="U6" s="126"/>
      <c r="V6" s="126"/>
      <c r="W6" s="126"/>
      <c r="X6" s="126"/>
      <c r="Y6" s="126"/>
      <c r="Z6" s="126"/>
      <c r="AA6" s="126"/>
      <c r="AB6" s="126"/>
      <c r="AC6" s="126"/>
    </row>
    <row r="7" spans="1:29" ht="17.25" customHeight="1">
      <c r="A7" s="128" t="s">
        <v>1992</v>
      </c>
      <c r="B7" s="129"/>
      <c r="C7" s="130">
        <f t="shared" ref="C7:D7" si="0">C23</f>
        <v>3098766955.1999998</v>
      </c>
      <c r="D7" s="130">
        <f t="shared" si="0"/>
        <v>0</v>
      </c>
      <c r="E7" s="130">
        <f t="shared" ref="E7:E16" si="1">C7+D7</f>
        <v>3098766955.1999998</v>
      </c>
      <c r="F7" s="130">
        <f t="shared" ref="F7:G7" si="2">F23</f>
        <v>2369059661.6899996</v>
      </c>
      <c r="G7" s="130">
        <f t="shared" si="2"/>
        <v>2369059661.6899996</v>
      </c>
      <c r="H7" s="130">
        <f t="shared" ref="H7:H16" si="3">G7-C7</f>
        <v>-729707293.51000023</v>
      </c>
      <c r="I7" s="131"/>
      <c r="J7" s="131"/>
      <c r="K7" s="131"/>
      <c r="L7" s="131"/>
      <c r="M7" s="131"/>
      <c r="N7" s="131"/>
      <c r="O7" s="131"/>
      <c r="P7" s="131"/>
      <c r="Q7" s="131"/>
      <c r="R7" s="131"/>
      <c r="S7" s="131"/>
      <c r="T7" s="131"/>
      <c r="U7" s="131"/>
      <c r="V7" s="131"/>
      <c r="W7" s="131"/>
      <c r="X7" s="131"/>
      <c r="Y7" s="131"/>
      <c r="Z7" s="131"/>
      <c r="AA7" s="131"/>
      <c r="AB7" s="131"/>
      <c r="AC7" s="131"/>
    </row>
    <row r="8" spans="1:29" ht="17.25" customHeight="1">
      <c r="A8" s="132" t="s">
        <v>4382</v>
      </c>
      <c r="B8" s="133"/>
      <c r="C8" s="134">
        <f t="shared" ref="C8:D8" si="4">C24+C32</f>
        <v>0</v>
      </c>
      <c r="D8" s="134">
        <f t="shared" si="4"/>
        <v>0</v>
      </c>
      <c r="E8" s="134">
        <f t="shared" si="1"/>
        <v>0</v>
      </c>
      <c r="F8" s="134">
        <f t="shared" ref="F8:G8" si="5">F24+F32</f>
        <v>0</v>
      </c>
      <c r="G8" s="134">
        <f t="shared" si="5"/>
        <v>0</v>
      </c>
      <c r="H8" s="134">
        <f t="shared" si="3"/>
        <v>0</v>
      </c>
      <c r="I8" s="131"/>
      <c r="J8" s="131"/>
      <c r="K8" s="131"/>
      <c r="L8" s="131"/>
      <c r="M8" s="131"/>
      <c r="N8" s="131"/>
      <c r="O8" s="131"/>
      <c r="P8" s="131"/>
      <c r="Q8" s="131"/>
      <c r="R8" s="131"/>
      <c r="S8" s="131"/>
      <c r="T8" s="131"/>
      <c r="U8" s="131"/>
      <c r="V8" s="131"/>
      <c r="W8" s="131"/>
      <c r="X8" s="131"/>
      <c r="Y8" s="131"/>
      <c r="Z8" s="131"/>
      <c r="AA8" s="131"/>
      <c r="AB8" s="131"/>
      <c r="AC8" s="131"/>
    </row>
    <row r="9" spans="1:29" ht="17.25" customHeight="1">
      <c r="A9" s="132" t="s">
        <v>4383</v>
      </c>
      <c r="B9" s="133"/>
      <c r="C9" s="134">
        <f t="shared" ref="C9:D9" si="6">C25</f>
        <v>0</v>
      </c>
      <c r="D9" s="134">
        <f t="shared" si="6"/>
        <v>0</v>
      </c>
      <c r="E9" s="134">
        <f t="shared" si="1"/>
        <v>0</v>
      </c>
      <c r="F9" s="134">
        <f t="shared" ref="F9:G9" si="7">F25</f>
        <v>0</v>
      </c>
      <c r="G9" s="134">
        <f t="shared" si="7"/>
        <v>0</v>
      </c>
      <c r="H9" s="134">
        <f t="shared" si="3"/>
        <v>0</v>
      </c>
      <c r="I9" s="131"/>
      <c r="J9" s="131"/>
      <c r="K9" s="131"/>
      <c r="L9" s="131"/>
      <c r="M9" s="131"/>
      <c r="N9" s="131"/>
      <c r="O9" s="131"/>
      <c r="P9" s="131"/>
      <c r="Q9" s="131"/>
      <c r="R9" s="131"/>
      <c r="S9" s="131"/>
      <c r="T9" s="131"/>
      <c r="U9" s="131"/>
      <c r="V9" s="131"/>
      <c r="W9" s="131"/>
      <c r="X9" s="131"/>
      <c r="Y9" s="131"/>
      <c r="Z9" s="131"/>
      <c r="AA9" s="131"/>
      <c r="AB9" s="131"/>
      <c r="AC9" s="131"/>
    </row>
    <row r="10" spans="1:29" ht="17.25" customHeight="1">
      <c r="A10" s="132" t="s">
        <v>2020</v>
      </c>
      <c r="B10" s="133"/>
      <c r="C10" s="134">
        <f t="shared" ref="C10:D10" si="8">C26</f>
        <v>1614044241.5100002</v>
      </c>
      <c r="D10" s="134">
        <f t="shared" si="8"/>
        <v>0</v>
      </c>
      <c r="E10" s="134">
        <f t="shared" si="1"/>
        <v>1614044241.5100002</v>
      </c>
      <c r="F10" s="134">
        <f t="shared" ref="F10:G10" si="9">F26</f>
        <v>677173940.41000009</v>
      </c>
      <c r="G10" s="134">
        <f t="shared" si="9"/>
        <v>677173940.41000009</v>
      </c>
      <c r="H10" s="134">
        <f t="shared" si="3"/>
        <v>-936870301.10000014</v>
      </c>
      <c r="I10" s="131"/>
      <c r="J10" s="131"/>
      <c r="K10" s="131"/>
      <c r="L10" s="131"/>
      <c r="M10" s="131"/>
      <c r="N10" s="131"/>
      <c r="O10" s="131"/>
      <c r="P10" s="131"/>
      <c r="Q10" s="131"/>
      <c r="R10" s="131"/>
      <c r="S10" s="131"/>
      <c r="T10" s="131"/>
      <c r="U10" s="131"/>
      <c r="V10" s="131"/>
      <c r="W10" s="131"/>
      <c r="X10" s="131"/>
      <c r="Y10" s="131"/>
      <c r="Z10" s="131"/>
      <c r="AA10" s="131"/>
      <c r="AB10" s="131"/>
      <c r="AC10" s="131"/>
    </row>
    <row r="11" spans="1:29" ht="17.25" customHeight="1">
      <c r="A11" s="132" t="s">
        <v>1016</v>
      </c>
      <c r="B11" s="133"/>
      <c r="C11" s="134">
        <f t="shared" ref="C11:D11" si="10">C27+C33</f>
        <v>178061060.72</v>
      </c>
      <c r="D11" s="134">
        <f t="shared" si="10"/>
        <v>0</v>
      </c>
      <c r="E11" s="134">
        <f t="shared" si="1"/>
        <v>178061060.72</v>
      </c>
      <c r="F11" s="134">
        <f t="shared" ref="F11:G11" si="11">F27+F33</f>
        <v>100037434.66</v>
      </c>
      <c r="G11" s="134">
        <f t="shared" si="11"/>
        <v>100037434.66</v>
      </c>
      <c r="H11" s="134">
        <f t="shared" si="3"/>
        <v>-78023626.060000002</v>
      </c>
      <c r="I11" s="131"/>
      <c r="J11" s="131"/>
      <c r="K11" s="131"/>
      <c r="L11" s="131"/>
      <c r="M11" s="131"/>
      <c r="N11" s="131"/>
      <c r="O11" s="131"/>
      <c r="P11" s="131"/>
      <c r="Q11" s="131"/>
      <c r="R11" s="131"/>
      <c r="S11" s="131"/>
      <c r="T11" s="131"/>
      <c r="U11" s="131"/>
      <c r="V11" s="131"/>
      <c r="W11" s="131"/>
      <c r="X11" s="131"/>
      <c r="Y11" s="131"/>
      <c r="Z11" s="131"/>
      <c r="AA11" s="131"/>
      <c r="AB11" s="131"/>
      <c r="AC11" s="131"/>
    </row>
    <row r="12" spans="1:29" ht="17.25" customHeight="1">
      <c r="A12" s="132" t="s">
        <v>2036</v>
      </c>
      <c r="B12" s="133"/>
      <c r="C12" s="134">
        <f t="shared" ref="C12:D12" si="12">C28</f>
        <v>112985915.93000001</v>
      </c>
      <c r="D12" s="134">
        <f t="shared" si="12"/>
        <v>0</v>
      </c>
      <c r="E12" s="134">
        <f t="shared" si="1"/>
        <v>112985915.93000001</v>
      </c>
      <c r="F12" s="134">
        <f t="shared" ref="F12:G12" si="13">F28</f>
        <v>87159634.730000004</v>
      </c>
      <c r="G12" s="134">
        <f t="shared" si="13"/>
        <v>87159634.730000004</v>
      </c>
      <c r="H12" s="134">
        <f t="shared" si="3"/>
        <v>-25826281.200000003</v>
      </c>
      <c r="I12" s="131"/>
      <c r="J12" s="131"/>
      <c r="K12" s="131"/>
      <c r="L12" s="131"/>
      <c r="M12" s="131"/>
      <c r="N12" s="131"/>
      <c r="O12" s="131"/>
      <c r="P12" s="131"/>
      <c r="Q12" s="131"/>
      <c r="R12" s="131"/>
      <c r="S12" s="131"/>
      <c r="T12" s="131"/>
      <c r="U12" s="131"/>
      <c r="V12" s="131"/>
      <c r="W12" s="131"/>
      <c r="X12" s="131"/>
      <c r="Y12" s="131"/>
      <c r="Z12" s="131"/>
      <c r="AA12" s="131"/>
      <c r="AB12" s="131"/>
      <c r="AC12" s="131"/>
    </row>
    <row r="13" spans="1:29" ht="17.25" customHeight="1">
      <c r="A13" s="132" t="s">
        <v>4435</v>
      </c>
      <c r="B13" s="133"/>
      <c r="C13" s="134">
        <f t="shared" ref="C13:D13" si="14">C34</f>
        <v>0</v>
      </c>
      <c r="D13" s="134">
        <f t="shared" si="14"/>
        <v>0</v>
      </c>
      <c r="E13" s="134">
        <f t="shared" si="1"/>
        <v>0</v>
      </c>
      <c r="F13" s="134">
        <f t="shared" ref="F13:G13" si="15">F34</f>
        <v>0</v>
      </c>
      <c r="G13" s="134">
        <f t="shared" si="15"/>
        <v>0</v>
      </c>
      <c r="H13" s="134">
        <f t="shared" si="3"/>
        <v>0</v>
      </c>
      <c r="I13" s="131"/>
      <c r="J13" s="131"/>
      <c r="K13" s="131"/>
      <c r="L13" s="131"/>
      <c r="M13" s="131"/>
      <c r="N13" s="131"/>
      <c r="O13" s="131"/>
      <c r="P13" s="131"/>
      <c r="Q13" s="131"/>
      <c r="R13" s="131"/>
      <c r="S13" s="131"/>
      <c r="T13" s="131"/>
      <c r="U13" s="131"/>
      <c r="V13" s="131"/>
      <c r="W13" s="131"/>
      <c r="X13" s="131"/>
      <c r="Y13" s="131"/>
      <c r="Z13" s="131"/>
      <c r="AA13" s="131"/>
      <c r="AB13" s="131"/>
      <c r="AC13" s="131"/>
    </row>
    <row r="14" spans="1:29" ht="33.75" customHeight="1">
      <c r="A14" s="782" t="s">
        <v>4385</v>
      </c>
      <c r="B14" s="783"/>
      <c r="C14" s="134">
        <f t="shared" ref="C14:D14" si="16">C29</f>
        <v>7487281730.079999</v>
      </c>
      <c r="D14" s="134">
        <f t="shared" si="16"/>
        <v>51584350.189999998</v>
      </c>
      <c r="E14" s="134">
        <f t="shared" si="1"/>
        <v>7538866080.2699986</v>
      </c>
      <c r="F14" s="134">
        <f t="shared" ref="F14:G14" si="17">F29</f>
        <v>3824329059.9200001</v>
      </c>
      <c r="G14" s="134">
        <f t="shared" si="17"/>
        <v>3824329059.9200001</v>
      </c>
      <c r="H14" s="134">
        <f t="shared" si="3"/>
        <v>-3662952670.1599989</v>
      </c>
      <c r="I14" s="131"/>
      <c r="J14" s="131"/>
      <c r="K14" s="131"/>
      <c r="L14" s="131"/>
      <c r="M14" s="131"/>
      <c r="N14" s="131"/>
      <c r="O14" s="131"/>
      <c r="P14" s="131"/>
      <c r="Q14" s="131"/>
      <c r="R14" s="131"/>
      <c r="S14" s="131"/>
      <c r="T14" s="131"/>
      <c r="U14" s="131"/>
      <c r="V14" s="131"/>
      <c r="W14" s="131"/>
      <c r="X14" s="131"/>
      <c r="Y14" s="131"/>
      <c r="Z14" s="131"/>
      <c r="AA14" s="131"/>
      <c r="AB14" s="131"/>
      <c r="AC14" s="131"/>
    </row>
    <row r="15" spans="1:29" ht="17.25" customHeight="1">
      <c r="A15" s="132" t="s">
        <v>4386</v>
      </c>
      <c r="B15" s="133"/>
      <c r="C15" s="134">
        <f t="shared" ref="C15:D15" si="18">C30+C35</f>
        <v>0</v>
      </c>
      <c r="D15" s="134">
        <f t="shared" si="18"/>
        <v>0</v>
      </c>
      <c r="E15" s="134">
        <f t="shared" si="1"/>
        <v>0</v>
      </c>
      <c r="F15" s="134">
        <f t="shared" ref="F15:G15" si="19">F30+F35</f>
        <v>0</v>
      </c>
      <c r="G15" s="134">
        <f t="shared" si="19"/>
        <v>0</v>
      </c>
      <c r="H15" s="134">
        <f t="shared" si="3"/>
        <v>0</v>
      </c>
      <c r="I15" s="131"/>
      <c r="J15" s="131"/>
      <c r="K15" s="131"/>
      <c r="L15" s="131"/>
      <c r="M15" s="131"/>
      <c r="N15" s="131"/>
      <c r="O15" s="131"/>
      <c r="P15" s="131"/>
      <c r="Q15" s="131"/>
      <c r="R15" s="131"/>
      <c r="S15" s="131"/>
      <c r="T15" s="131"/>
      <c r="U15" s="131"/>
      <c r="V15" s="131"/>
      <c r="W15" s="131"/>
      <c r="X15" s="131"/>
      <c r="Y15" s="131"/>
      <c r="Z15" s="131"/>
      <c r="AA15" s="131"/>
      <c r="AB15" s="131"/>
      <c r="AC15" s="131"/>
    </row>
    <row r="16" spans="1:29" ht="17.25" customHeight="1">
      <c r="A16" s="135" t="s">
        <v>4436</v>
      </c>
      <c r="B16" s="136"/>
      <c r="C16" s="137">
        <f t="shared" ref="C16:D16" si="20">C37</f>
        <v>0</v>
      </c>
      <c r="D16" s="137">
        <f t="shared" si="20"/>
        <v>0</v>
      </c>
      <c r="E16" s="137">
        <f t="shared" si="1"/>
        <v>0</v>
      </c>
      <c r="F16" s="137">
        <f t="shared" ref="F16:G16" si="21">F37</f>
        <v>0</v>
      </c>
      <c r="G16" s="137">
        <f t="shared" si="21"/>
        <v>0</v>
      </c>
      <c r="H16" s="137">
        <f t="shared" si="3"/>
        <v>0</v>
      </c>
      <c r="I16" s="131"/>
      <c r="J16" s="131"/>
      <c r="K16" s="131"/>
      <c r="L16" s="131"/>
      <c r="M16" s="131"/>
      <c r="N16" s="131"/>
      <c r="O16" s="131"/>
      <c r="P16" s="131"/>
      <c r="Q16" s="131"/>
      <c r="R16" s="131"/>
      <c r="S16" s="131"/>
      <c r="T16" s="131"/>
      <c r="U16" s="131"/>
      <c r="V16" s="131"/>
      <c r="W16" s="131"/>
      <c r="X16" s="131"/>
      <c r="Y16" s="131"/>
      <c r="Z16" s="131"/>
      <c r="AA16" s="131"/>
      <c r="AB16" s="131"/>
      <c r="AC16" s="131"/>
    </row>
    <row r="17" spans="1:29" ht="15" customHeight="1">
      <c r="A17" s="138"/>
      <c r="B17" s="139" t="s">
        <v>4437</v>
      </c>
      <c r="C17" s="140">
        <f t="shared" ref="C17:H17" si="22">SUM(C7:C16)</f>
        <v>12491139903.439999</v>
      </c>
      <c r="D17" s="140">
        <f t="shared" si="22"/>
        <v>51584350.189999998</v>
      </c>
      <c r="E17" s="140">
        <f t="shared" si="22"/>
        <v>12542724253.629999</v>
      </c>
      <c r="F17" s="140">
        <f t="shared" si="22"/>
        <v>7057759731.4099998</v>
      </c>
      <c r="G17" s="140">
        <f t="shared" si="22"/>
        <v>7057759731.4099998</v>
      </c>
      <c r="H17" s="788">
        <f t="shared" si="22"/>
        <v>-5433380172.0299988</v>
      </c>
      <c r="I17" s="131"/>
      <c r="J17" s="131"/>
      <c r="K17" s="131"/>
      <c r="L17" s="131"/>
      <c r="M17" s="131"/>
      <c r="N17" s="131"/>
      <c r="O17" s="131"/>
      <c r="P17" s="131"/>
      <c r="Q17" s="131"/>
      <c r="R17" s="131"/>
      <c r="S17" s="131"/>
      <c r="T17" s="131"/>
      <c r="U17" s="131"/>
      <c r="V17" s="131"/>
      <c r="W17" s="131"/>
      <c r="X17" s="131"/>
      <c r="Y17" s="131"/>
      <c r="Z17" s="131"/>
      <c r="AA17" s="131"/>
      <c r="AB17" s="131"/>
      <c r="AC17" s="131"/>
    </row>
    <row r="18" spans="1:29" ht="15.75" customHeight="1">
      <c r="A18" s="142"/>
      <c r="B18" s="142"/>
      <c r="C18" s="143"/>
      <c r="D18" s="143"/>
      <c r="E18" s="143"/>
      <c r="F18" s="789" t="s">
        <v>4438</v>
      </c>
      <c r="G18" s="733"/>
      <c r="H18" s="730"/>
      <c r="I18" s="131"/>
      <c r="J18" s="131"/>
      <c r="K18" s="131"/>
      <c r="L18" s="131"/>
      <c r="M18" s="131"/>
      <c r="N18" s="131"/>
      <c r="O18" s="131"/>
      <c r="P18" s="131"/>
      <c r="Q18" s="131"/>
      <c r="R18" s="131"/>
      <c r="S18" s="131"/>
      <c r="T18" s="131"/>
      <c r="U18" s="131"/>
      <c r="V18" s="131"/>
      <c r="W18" s="131"/>
      <c r="X18" s="131"/>
      <c r="Y18" s="131"/>
      <c r="Z18" s="131"/>
      <c r="AA18" s="131"/>
      <c r="AB18" s="131"/>
      <c r="AC18" s="131"/>
    </row>
    <row r="19" spans="1:29" ht="15.75" customHeight="1">
      <c r="A19" s="144"/>
      <c r="B19" s="142"/>
      <c r="C19" s="145"/>
      <c r="D19" s="145"/>
      <c r="E19" s="145"/>
      <c r="F19" s="145"/>
      <c r="G19" s="145"/>
      <c r="H19" s="146"/>
      <c r="I19" s="131"/>
      <c r="J19" s="131"/>
      <c r="K19" s="131"/>
      <c r="L19" s="131"/>
      <c r="M19" s="131"/>
      <c r="N19" s="131"/>
      <c r="O19" s="131"/>
      <c r="P19" s="131"/>
      <c r="Q19" s="131"/>
      <c r="R19" s="131"/>
      <c r="S19" s="131"/>
      <c r="T19" s="131"/>
      <c r="U19" s="131"/>
      <c r="V19" s="131"/>
      <c r="W19" s="131"/>
      <c r="X19" s="131"/>
      <c r="Y19" s="131"/>
      <c r="Z19" s="131"/>
      <c r="AA19" s="131"/>
      <c r="AB19" s="131"/>
      <c r="AC19" s="131"/>
    </row>
    <row r="20" spans="1:29" ht="15.75" customHeight="1">
      <c r="A20" s="777" t="s">
        <v>4427</v>
      </c>
      <c r="B20" s="778"/>
      <c r="C20" s="781" t="s">
        <v>4428</v>
      </c>
      <c r="D20" s="756"/>
      <c r="E20" s="756"/>
      <c r="F20" s="756"/>
      <c r="G20" s="733"/>
      <c r="H20" s="784" t="s">
        <v>4429</v>
      </c>
      <c r="I20" s="126"/>
      <c r="J20" s="126"/>
      <c r="K20" s="126"/>
      <c r="L20" s="126"/>
      <c r="M20" s="126"/>
      <c r="N20" s="126"/>
      <c r="O20" s="126"/>
      <c r="P20" s="126"/>
      <c r="Q20" s="126"/>
      <c r="R20" s="126"/>
      <c r="S20" s="126"/>
      <c r="T20" s="126"/>
      <c r="U20" s="126"/>
      <c r="V20" s="126"/>
      <c r="W20" s="126"/>
      <c r="X20" s="126"/>
      <c r="Y20" s="126"/>
      <c r="Z20" s="126"/>
      <c r="AA20" s="126"/>
      <c r="AB20" s="126"/>
      <c r="AC20" s="126"/>
    </row>
    <row r="21" spans="1:29" ht="15.75" customHeight="1">
      <c r="A21" s="779"/>
      <c r="B21" s="780"/>
      <c r="C21" s="127" t="s">
        <v>4430</v>
      </c>
      <c r="D21" s="127" t="s">
        <v>4431</v>
      </c>
      <c r="E21" s="127" t="s">
        <v>4432</v>
      </c>
      <c r="F21" s="127" t="s">
        <v>4433</v>
      </c>
      <c r="G21" s="127" t="s">
        <v>4434</v>
      </c>
      <c r="H21" s="730"/>
      <c r="I21" s="126"/>
      <c r="J21" s="126"/>
      <c r="K21" s="126"/>
      <c r="L21" s="126"/>
      <c r="M21" s="126"/>
      <c r="N21" s="126"/>
      <c r="O21" s="126"/>
      <c r="P21" s="126"/>
      <c r="Q21" s="126"/>
      <c r="R21" s="126"/>
      <c r="S21" s="126"/>
      <c r="T21" s="126"/>
      <c r="U21" s="126"/>
      <c r="V21" s="126"/>
      <c r="W21" s="126"/>
      <c r="X21" s="126"/>
      <c r="Y21" s="126"/>
      <c r="Z21" s="126"/>
      <c r="AA21" s="126"/>
      <c r="AB21" s="126"/>
      <c r="AC21" s="126"/>
    </row>
    <row r="22" spans="1:29" ht="15.75" customHeight="1">
      <c r="A22" s="147" t="s">
        <v>4439</v>
      </c>
      <c r="B22" s="148"/>
      <c r="C22" s="149">
        <f t="shared" ref="C22:H22" si="23">SUM(C23:C30)</f>
        <v>12491139903.439999</v>
      </c>
      <c r="D22" s="149">
        <f t="shared" si="23"/>
        <v>51584350.189999998</v>
      </c>
      <c r="E22" s="149">
        <f t="shared" si="23"/>
        <v>12542724253.629999</v>
      </c>
      <c r="F22" s="149">
        <f t="shared" si="23"/>
        <v>7057759731.4099998</v>
      </c>
      <c r="G22" s="149">
        <f t="shared" si="23"/>
        <v>7057759731.4099998</v>
      </c>
      <c r="H22" s="149">
        <f t="shared" si="23"/>
        <v>-5433380172.0299988</v>
      </c>
      <c r="I22" s="150">
        <f>H22-D22</f>
        <v>-5484964522.2199984</v>
      </c>
      <c r="J22" s="126"/>
      <c r="K22" s="126"/>
      <c r="L22" s="126"/>
      <c r="M22" s="126"/>
      <c r="N22" s="126"/>
      <c r="O22" s="126"/>
      <c r="P22" s="126"/>
      <c r="Q22" s="126"/>
      <c r="R22" s="126"/>
      <c r="S22" s="126"/>
      <c r="T22" s="126"/>
      <c r="U22" s="126"/>
      <c r="V22" s="126"/>
      <c r="W22" s="126"/>
      <c r="X22" s="126"/>
      <c r="Y22" s="126"/>
      <c r="Z22" s="126"/>
      <c r="AA22" s="126"/>
      <c r="AB22" s="126"/>
      <c r="AC22" s="126"/>
    </row>
    <row r="23" spans="1:29" ht="15.75" customHeight="1">
      <c r="A23" s="151"/>
      <c r="B23" s="152" t="s">
        <v>1992</v>
      </c>
      <c r="C23" s="153">
        <f>Balanza!G797</f>
        <v>3098766955.1999998</v>
      </c>
      <c r="D23" s="153">
        <f>Balanza!G985</f>
        <v>0</v>
      </c>
      <c r="E23" s="153">
        <f t="shared" ref="E23:E30" si="24">C23+D23</f>
        <v>3098766955.1999998</v>
      </c>
      <c r="F23" s="154">
        <f>Balanza!F1079</f>
        <v>2369059661.6899996</v>
      </c>
      <c r="G23" s="154">
        <f>Balanza!H1173</f>
        <v>2369059661.6899996</v>
      </c>
      <c r="H23" s="134">
        <f t="shared" ref="H23:I23" si="25">G23-C23</f>
        <v>-729707293.51000023</v>
      </c>
      <c r="I23" s="155">
        <f t="shared" si="25"/>
        <v>-729707293.51000023</v>
      </c>
      <c r="J23" s="126"/>
      <c r="K23" s="126"/>
      <c r="L23" s="126"/>
      <c r="M23" s="126"/>
      <c r="N23" s="126"/>
      <c r="O23" s="126"/>
      <c r="P23" s="126"/>
      <c r="Q23" s="126"/>
      <c r="R23" s="126"/>
      <c r="S23" s="126"/>
      <c r="T23" s="126"/>
      <c r="U23" s="126"/>
      <c r="V23" s="126"/>
      <c r="W23" s="126"/>
      <c r="X23" s="126"/>
      <c r="Y23" s="126"/>
      <c r="Z23" s="126"/>
      <c r="AA23" s="126"/>
      <c r="AB23" s="126"/>
      <c r="AC23" s="126"/>
    </row>
    <row r="24" spans="1:29" ht="15.75" customHeight="1">
      <c r="A24" s="156"/>
      <c r="B24" s="152" t="s">
        <v>4382</v>
      </c>
      <c r="C24" s="153"/>
      <c r="D24" s="153"/>
      <c r="E24" s="157">
        <f t="shared" si="24"/>
        <v>0</v>
      </c>
      <c r="F24" s="153"/>
      <c r="G24" s="153"/>
      <c r="H24" s="134">
        <f t="shared" ref="H24:I24" si="26">G24-C24</f>
        <v>0</v>
      </c>
      <c r="I24" s="155">
        <f t="shared" si="26"/>
        <v>0</v>
      </c>
      <c r="J24" s="126"/>
      <c r="K24" s="126"/>
      <c r="L24" s="126"/>
      <c r="M24" s="126"/>
      <c r="N24" s="126"/>
      <c r="O24" s="126"/>
      <c r="P24" s="126"/>
      <c r="Q24" s="126"/>
      <c r="R24" s="126"/>
      <c r="S24" s="126"/>
      <c r="T24" s="126"/>
      <c r="U24" s="126"/>
      <c r="V24" s="126"/>
      <c r="W24" s="126"/>
      <c r="X24" s="126"/>
      <c r="Y24" s="126"/>
      <c r="Z24" s="126"/>
      <c r="AA24" s="126"/>
      <c r="AB24" s="126"/>
      <c r="AC24" s="126"/>
    </row>
    <row r="25" spans="1:29" ht="15.75" customHeight="1">
      <c r="A25" s="156"/>
      <c r="B25" s="152" t="s">
        <v>4383</v>
      </c>
      <c r="C25" s="153">
        <f>Balanza!G813</f>
        <v>0</v>
      </c>
      <c r="D25" s="153">
        <f>Balanza!G1001</f>
        <v>0</v>
      </c>
      <c r="E25" s="153">
        <f t="shared" si="24"/>
        <v>0</v>
      </c>
      <c r="F25" s="134">
        <f>Balanza!F1095</f>
        <v>0</v>
      </c>
      <c r="G25" s="134">
        <f>Balanza!H1189</f>
        <v>0</v>
      </c>
      <c r="H25" s="134">
        <f t="shared" ref="H25:I25" si="27">G25-C25</f>
        <v>0</v>
      </c>
      <c r="I25" s="155">
        <f t="shared" si="27"/>
        <v>0</v>
      </c>
      <c r="J25" s="126"/>
      <c r="K25" s="126"/>
      <c r="L25" s="126"/>
      <c r="M25" s="126"/>
      <c r="N25" s="126"/>
      <c r="O25" s="126"/>
      <c r="P25" s="126"/>
      <c r="Q25" s="126"/>
      <c r="R25" s="126"/>
      <c r="S25" s="126"/>
      <c r="T25" s="126"/>
      <c r="U25" s="126"/>
      <c r="V25" s="126"/>
      <c r="W25" s="126"/>
      <c r="X25" s="126"/>
      <c r="Y25" s="126"/>
      <c r="Z25" s="126"/>
      <c r="AA25" s="126"/>
      <c r="AB25" s="126"/>
      <c r="AC25" s="126"/>
    </row>
    <row r="26" spans="1:29" ht="15.75" customHeight="1">
      <c r="A26" s="156"/>
      <c r="B26" s="152" t="s">
        <v>2020</v>
      </c>
      <c r="C26" s="153">
        <f>Balanza!G816</f>
        <v>1614044241.5100002</v>
      </c>
      <c r="D26" s="153">
        <f>Balanza!G1004</f>
        <v>0</v>
      </c>
      <c r="E26" s="153">
        <f t="shared" si="24"/>
        <v>1614044241.5100002</v>
      </c>
      <c r="F26" s="134">
        <f>Balanza!F1098</f>
        <v>677173940.41000009</v>
      </c>
      <c r="G26" s="134">
        <f>Balanza!H1192</f>
        <v>677173940.41000009</v>
      </c>
      <c r="H26" s="134">
        <f t="shared" ref="H26:I26" si="28">G26-C26</f>
        <v>-936870301.10000014</v>
      </c>
      <c r="I26" s="155">
        <f t="shared" si="28"/>
        <v>-936870301.10000014</v>
      </c>
      <c r="J26" s="126"/>
      <c r="K26" s="126"/>
      <c r="L26" s="126"/>
      <c r="M26" s="126"/>
      <c r="N26" s="126"/>
      <c r="O26" s="126"/>
      <c r="P26" s="126"/>
      <c r="Q26" s="126"/>
      <c r="R26" s="126"/>
      <c r="S26" s="126"/>
      <c r="T26" s="126"/>
      <c r="U26" s="126"/>
      <c r="V26" s="126"/>
      <c r="W26" s="126"/>
      <c r="X26" s="126"/>
      <c r="Y26" s="126"/>
      <c r="Z26" s="126"/>
      <c r="AA26" s="126"/>
      <c r="AB26" s="126"/>
      <c r="AC26" s="126"/>
    </row>
    <row r="27" spans="1:29" ht="15.75" customHeight="1">
      <c r="A27" s="156"/>
      <c r="B27" s="152" t="s">
        <v>1016</v>
      </c>
      <c r="C27" s="153">
        <v>178061060.72</v>
      </c>
      <c r="D27" s="153">
        <v>0</v>
      </c>
      <c r="E27" s="153">
        <f t="shared" si="24"/>
        <v>178061060.72</v>
      </c>
      <c r="F27" s="153">
        <v>100037434.66</v>
      </c>
      <c r="G27" s="153">
        <v>100037434.66</v>
      </c>
      <c r="H27" s="134">
        <f t="shared" ref="H27:I27" si="29">G27-C27</f>
        <v>-78023626.060000002</v>
      </c>
      <c r="I27" s="155">
        <f t="shared" si="29"/>
        <v>-78023626.060000002</v>
      </c>
      <c r="J27" s="126"/>
      <c r="K27" s="126"/>
      <c r="L27" s="126"/>
      <c r="M27" s="126"/>
      <c r="N27" s="126"/>
      <c r="O27" s="126"/>
      <c r="P27" s="126"/>
      <c r="Q27" s="126"/>
      <c r="R27" s="126"/>
      <c r="S27" s="126"/>
      <c r="T27" s="126"/>
      <c r="U27" s="126"/>
      <c r="V27" s="126"/>
      <c r="W27" s="126"/>
      <c r="X27" s="126"/>
      <c r="Y27" s="126"/>
      <c r="Z27" s="126"/>
      <c r="AA27" s="126"/>
      <c r="AB27" s="126"/>
      <c r="AC27" s="126"/>
    </row>
    <row r="28" spans="1:29" ht="15.75" customHeight="1">
      <c r="A28" s="156"/>
      <c r="B28" s="152" t="s">
        <v>2036</v>
      </c>
      <c r="C28" s="153">
        <f>Balanza!G827</f>
        <v>112985915.93000001</v>
      </c>
      <c r="D28" s="153">
        <f>Balanza!G1015</f>
        <v>0</v>
      </c>
      <c r="E28" s="153">
        <f t="shared" si="24"/>
        <v>112985915.93000001</v>
      </c>
      <c r="F28" s="134">
        <f>Balanza!F1109</f>
        <v>87159634.730000004</v>
      </c>
      <c r="G28" s="134">
        <f>Balanza!H1203</f>
        <v>87159634.730000004</v>
      </c>
      <c r="H28" s="134">
        <f t="shared" ref="H28:I28" si="30">G28-C28</f>
        <v>-25826281.200000003</v>
      </c>
      <c r="I28" s="155">
        <f t="shared" si="30"/>
        <v>-25826281.200000003</v>
      </c>
      <c r="J28" s="126"/>
      <c r="K28" s="126"/>
      <c r="L28" s="126"/>
      <c r="M28" s="126"/>
      <c r="N28" s="126"/>
      <c r="O28" s="126"/>
      <c r="P28" s="126"/>
      <c r="Q28" s="126"/>
      <c r="R28" s="126"/>
      <c r="S28" s="126"/>
      <c r="T28" s="126"/>
      <c r="U28" s="126"/>
      <c r="V28" s="126"/>
      <c r="W28" s="126"/>
      <c r="X28" s="126"/>
      <c r="Y28" s="126"/>
      <c r="Z28" s="126"/>
      <c r="AA28" s="126"/>
      <c r="AB28" s="126"/>
      <c r="AC28" s="126"/>
    </row>
    <row r="29" spans="1:29" ht="15.75" customHeight="1">
      <c r="A29" s="156"/>
      <c r="B29" s="158" t="s">
        <v>4385</v>
      </c>
      <c r="C29" s="153">
        <f>Balanza!G842</f>
        <v>7487281730.079999</v>
      </c>
      <c r="D29" s="134">
        <f>Balanza!G1030</f>
        <v>51584350.189999998</v>
      </c>
      <c r="E29" s="153">
        <f t="shared" si="24"/>
        <v>7538866080.2699986</v>
      </c>
      <c r="F29" s="134">
        <f>Balanza!F1124</f>
        <v>3824329059.9200001</v>
      </c>
      <c r="G29" s="134">
        <f>Balanza!H1218</f>
        <v>3824329059.9200001</v>
      </c>
      <c r="H29" s="134">
        <f t="shared" ref="H29:I29" si="31">G29-C29</f>
        <v>-3662952670.1599989</v>
      </c>
      <c r="I29" s="155">
        <f t="shared" si="31"/>
        <v>-3714537020.349999</v>
      </c>
      <c r="J29" s="126"/>
      <c r="K29" s="126"/>
      <c r="L29" s="126"/>
      <c r="M29" s="126"/>
      <c r="N29" s="126"/>
      <c r="O29" s="126"/>
      <c r="P29" s="126"/>
      <c r="Q29" s="126"/>
      <c r="R29" s="126"/>
      <c r="S29" s="126"/>
      <c r="T29" s="126"/>
      <c r="U29" s="126"/>
      <c r="V29" s="126"/>
      <c r="W29" s="126"/>
      <c r="X29" s="126"/>
      <c r="Y29" s="126"/>
      <c r="Z29" s="126"/>
      <c r="AA29" s="126"/>
      <c r="AB29" s="126"/>
      <c r="AC29" s="126"/>
    </row>
    <row r="30" spans="1:29" ht="15.75" customHeight="1">
      <c r="A30" s="156"/>
      <c r="B30" s="158" t="s">
        <v>4386</v>
      </c>
      <c r="C30" s="153"/>
      <c r="D30" s="153"/>
      <c r="E30" s="153">
        <f t="shared" si="24"/>
        <v>0</v>
      </c>
      <c r="F30" s="153"/>
      <c r="G30" s="153"/>
      <c r="H30" s="134">
        <f t="shared" ref="H30:I30" si="32">G30-C30</f>
        <v>0</v>
      </c>
      <c r="I30" s="155">
        <f t="shared" si="32"/>
        <v>0</v>
      </c>
      <c r="J30" s="126"/>
      <c r="K30" s="126"/>
      <c r="L30" s="126"/>
      <c r="M30" s="126"/>
      <c r="N30" s="126"/>
      <c r="O30" s="126"/>
      <c r="P30" s="126"/>
      <c r="Q30" s="126"/>
      <c r="R30" s="126"/>
      <c r="S30" s="126"/>
      <c r="T30" s="126"/>
      <c r="U30" s="126"/>
      <c r="V30" s="126"/>
      <c r="W30" s="126"/>
      <c r="X30" s="126"/>
      <c r="Y30" s="126"/>
      <c r="Z30" s="126"/>
      <c r="AA30" s="126"/>
      <c r="AB30" s="126"/>
      <c r="AC30" s="126"/>
    </row>
    <row r="31" spans="1:29" ht="33.75" customHeight="1">
      <c r="A31" s="785" t="s">
        <v>4440</v>
      </c>
      <c r="B31" s="783"/>
      <c r="C31" s="159">
        <f t="shared" ref="C31:H31" si="33">SUM(C32:C35)</f>
        <v>0</v>
      </c>
      <c r="D31" s="159">
        <f t="shared" si="33"/>
        <v>0</v>
      </c>
      <c r="E31" s="159">
        <f t="shared" si="33"/>
        <v>0</v>
      </c>
      <c r="F31" s="159">
        <f t="shared" si="33"/>
        <v>0</v>
      </c>
      <c r="G31" s="159">
        <f t="shared" si="33"/>
        <v>0</v>
      </c>
      <c r="H31" s="159">
        <f t="shared" si="33"/>
        <v>0</v>
      </c>
      <c r="I31" s="160">
        <f>H31-D31</f>
        <v>0</v>
      </c>
      <c r="J31" s="126"/>
      <c r="K31" s="126"/>
      <c r="L31" s="126"/>
      <c r="M31" s="126"/>
      <c r="N31" s="126"/>
      <c r="O31" s="126"/>
      <c r="P31" s="126"/>
      <c r="Q31" s="126"/>
      <c r="R31" s="126"/>
      <c r="S31" s="126"/>
      <c r="T31" s="126"/>
      <c r="U31" s="126"/>
      <c r="V31" s="126"/>
      <c r="W31" s="126"/>
      <c r="X31" s="126"/>
      <c r="Y31" s="126"/>
      <c r="Z31" s="126"/>
      <c r="AA31" s="126"/>
      <c r="AB31" s="126"/>
      <c r="AC31" s="126"/>
    </row>
    <row r="32" spans="1:29" ht="15.75" customHeight="1">
      <c r="A32" s="161"/>
      <c r="B32" s="152" t="s">
        <v>4382</v>
      </c>
      <c r="C32" s="153"/>
      <c r="D32" s="153"/>
      <c r="E32" s="157">
        <f t="shared" ref="E32:E35" si="34">C32+D32</f>
        <v>0</v>
      </c>
      <c r="F32" s="153"/>
      <c r="G32" s="153"/>
      <c r="H32" s="134">
        <f t="shared" ref="H32:I32" si="35">G32-C32</f>
        <v>0</v>
      </c>
      <c r="I32" s="155">
        <f t="shared" si="35"/>
        <v>0</v>
      </c>
      <c r="J32" s="126"/>
      <c r="K32" s="126"/>
      <c r="L32" s="126"/>
      <c r="M32" s="126"/>
      <c r="N32" s="126"/>
      <c r="O32" s="126"/>
      <c r="P32" s="126"/>
      <c r="Q32" s="126"/>
      <c r="R32" s="126"/>
      <c r="S32" s="126"/>
      <c r="T32" s="126"/>
      <c r="U32" s="126"/>
      <c r="V32" s="126"/>
      <c r="W32" s="126"/>
      <c r="X32" s="126"/>
      <c r="Y32" s="126"/>
      <c r="Z32" s="126"/>
      <c r="AA32" s="126"/>
      <c r="AB32" s="126"/>
      <c r="AC32" s="126"/>
    </row>
    <row r="33" spans="1:29" ht="15.75" customHeight="1">
      <c r="A33" s="162"/>
      <c r="B33" s="152" t="s">
        <v>1016</v>
      </c>
      <c r="C33" s="153"/>
      <c r="D33" s="153"/>
      <c r="E33" s="153">
        <f t="shared" si="34"/>
        <v>0</v>
      </c>
      <c r="F33" s="153"/>
      <c r="G33" s="153"/>
      <c r="H33" s="134">
        <f t="shared" ref="H33:I33" si="36">G33-C33</f>
        <v>0</v>
      </c>
      <c r="I33" s="155">
        <f t="shared" si="36"/>
        <v>0</v>
      </c>
      <c r="J33" s="126"/>
      <c r="K33" s="126"/>
      <c r="L33" s="126"/>
      <c r="M33" s="126"/>
      <c r="N33" s="126"/>
      <c r="O33" s="126"/>
      <c r="P33" s="126"/>
      <c r="Q33" s="126"/>
      <c r="R33" s="126"/>
      <c r="S33" s="126"/>
      <c r="T33" s="126"/>
      <c r="U33" s="126"/>
      <c r="V33" s="126"/>
      <c r="W33" s="126"/>
      <c r="X33" s="126"/>
      <c r="Y33" s="126"/>
      <c r="Z33" s="126"/>
      <c r="AA33" s="126"/>
      <c r="AB33" s="126"/>
      <c r="AC33" s="126"/>
    </row>
    <row r="34" spans="1:29" ht="15.75" customHeight="1">
      <c r="A34" s="156"/>
      <c r="B34" s="158" t="s">
        <v>4441</v>
      </c>
      <c r="C34" s="153">
        <f>Balanza!G832</f>
        <v>0</v>
      </c>
      <c r="D34" s="134">
        <f>Balanza!G1020</f>
        <v>0</v>
      </c>
      <c r="E34" s="153">
        <f t="shared" si="34"/>
        <v>0</v>
      </c>
      <c r="F34" s="134">
        <f>Balanza!F1114</f>
        <v>0</v>
      </c>
      <c r="G34" s="134">
        <f>Balanza!H1208</f>
        <v>0</v>
      </c>
      <c r="H34" s="134">
        <f t="shared" ref="H34:I34" si="37">G34-C34</f>
        <v>0</v>
      </c>
      <c r="I34" s="155">
        <f t="shared" si="37"/>
        <v>0</v>
      </c>
      <c r="J34" s="126"/>
      <c r="K34" s="126"/>
      <c r="L34" s="126"/>
      <c r="M34" s="126"/>
      <c r="N34" s="126"/>
      <c r="O34" s="126"/>
      <c r="P34" s="126"/>
      <c r="Q34" s="126"/>
      <c r="R34" s="126"/>
      <c r="S34" s="126"/>
      <c r="T34" s="126"/>
      <c r="U34" s="126"/>
      <c r="V34" s="126"/>
      <c r="W34" s="126"/>
      <c r="X34" s="126"/>
      <c r="Y34" s="126"/>
      <c r="Z34" s="126"/>
      <c r="AA34" s="126"/>
      <c r="AB34" s="126"/>
      <c r="AC34" s="126"/>
    </row>
    <row r="35" spans="1:29" ht="15.75" customHeight="1">
      <c r="A35" s="156"/>
      <c r="B35" s="158" t="s">
        <v>4386</v>
      </c>
      <c r="C35" s="153"/>
      <c r="D35" s="153"/>
      <c r="E35" s="153">
        <f t="shared" si="34"/>
        <v>0</v>
      </c>
      <c r="F35" s="153"/>
      <c r="G35" s="153"/>
      <c r="H35" s="134">
        <f t="shared" ref="H35:I35" si="38">G35-C35</f>
        <v>0</v>
      </c>
      <c r="I35" s="155">
        <f t="shared" si="38"/>
        <v>0</v>
      </c>
      <c r="J35" s="126"/>
      <c r="K35" s="126"/>
      <c r="L35" s="126"/>
      <c r="M35" s="126"/>
      <c r="N35" s="126"/>
      <c r="O35" s="126"/>
      <c r="P35" s="126"/>
      <c r="Q35" s="126"/>
      <c r="R35" s="126"/>
      <c r="S35" s="126"/>
      <c r="T35" s="126"/>
      <c r="U35" s="126"/>
      <c r="V35" s="126"/>
      <c r="W35" s="126"/>
      <c r="X35" s="126"/>
      <c r="Y35" s="126"/>
      <c r="Z35" s="126"/>
      <c r="AA35" s="126"/>
      <c r="AB35" s="126"/>
      <c r="AC35" s="126"/>
    </row>
    <row r="36" spans="1:29" ht="15.75" customHeight="1">
      <c r="A36" s="163" t="s">
        <v>4442</v>
      </c>
      <c r="B36" s="164"/>
      <c r="C36" s="165">
        <f t="shared" ref="C36:H36" si="39">C37</f>
        <v>0</v>
      </c>
      <c r="D36" s="165">
        <f t="shared" si="39"/>
        <v>0</v>
      </c>
      <c r="E36" s="165">
        <f t="shared" si="39"/>
        <v>0</v>
      </c>
      <c r="F36" s="165">
        <f t="shared" si="39"/>
        <v>0</v>
      </c>
      <c r="G36" s="165">
        <f t="shared" si="39"/>
        <v>0</v>
      </c>
      <c r="H36" s="165">
        <f t="shared" si="39"/>
        <v>0</v>
      </c>
      <c r="I36" s="166">
        <f>H36-D36</f>
        <v>0</v>
      </c>
      <c r="J36" s="126"/>
      <c r="K36" s="126"/>
      <c r="L36" s="126"/>
      <c r="M36" s="126"/>
      <c r="N36" s="126"/>
      <c r="O36" s="126"/>
      <c r="P36" s="126"/>
      <c r="Q36" s="126"/>
      <c r="R36" s="126"/>
      <c r="S36" s="126"/>
      <c r="T36" s="126"/>
      <c r="U36" s="126"/>
      <c r="V36" s="126"/>
      <c r="W36" s="126"/>
      <c r="X36" s="126"/>
      <c r="Y36" s="126"/>
      <c r="Z36" s="126"/>
      <c r="AA36" s="126"/>
      <c r="AB36" s="126"/>
      <c r="AC36" s="126"/>
    </row>
    <row r="37" spans="1:29" ht="15.75" customHeight="1">
      <c r="A37" s="167"/>
      <c r="B37" s="168" t="s">
        <v>4442</v>
      </c>
      <c r="C37" s="153">
        <f>Balanza!G884</f>
        <v>0</v>
      </c>
      <c r="D37" s="134">
        <f>Balanza!G1072</f>
        <v>0</v>
      </c>
      <c r="E37" s="169">
        <f>C37+D37</f>
        <v>0</v>
      </c>
      <c r="F37" s="134">
        <f>Balanza!F1166</f>
        <v>0</v>
      </c>
      <c r="G37" s="134">
        <f>Balanza!H1260</f>
        <v>0</v>
      </c>
      <c r="H37" s="169">
        <f t="shared" ref="H37:I37" si="40">G37-C37</f>
        <v>0</v>
      </c>
      <c r="I37" s="170">
        <f t="shared" si="40"/>
        <v>0</v>
      </c>
      <c r="J37" s="126"/>
      <c r="K37" s="126"/>
      <c r="L37" s="126"/>
      <c r="M37" s="126"/>
      <c r="N37" s="126"/>
      <c r="O37" s="126"/>
      <c r="P37" s="126"/>
      <c r="Q37" s="126"/>
      <c r="R37" s="126"/>
      <c r="S37" s="126"/>
      <c r="T37" s="126"/>
      <c r="U37" s="126"/>
      <c r="V37" s="126"/>
      <c r="W37" s="126"/>
      <c r="X37" s="126"/>
      <c r="Y37" s="126"/>
      <c r="Z37" s="126"/>
      <c r="AA37" s="126"/>
      <c r="AB37" s="126"/>
      <c r="AC37" s="126"/>
    </row>
    <row r="38" spans="1:29" ht="15.75" customHeight="1">
      <c r="A38" s="171"/>
      <c r="B38" s="172" t="s">
        <v>4437</v>
      </c>
      <c r="C38" s="173">
        <f t="shared" ref="C38:H38" si="41">C22+C31+C36</f>
        <v>12491139903.439999</v>
      </c>
      <c r="D38" s="173">
        <f t="shared" si="41"/>
        <v>51584350.189999998</v>
      </c>
      <c r="E38" s="173">
        <f t="shared" si="41"/>
        <v>12542724253.629999</v>
      </c>
      <c r="F38" s="173">
        <f t="shared" si="41"/>
        <v>7057759731.4099998</v>
      </c>
      <c r="G38" s="173">
        <f t="shared" si="41"/>
        <v>7057759731.4099998</v>
      </c>
      <c r="H38" s="790">
        <f t="shared" si="41"/>
        <v>-5433380172.0299988</v>
      </c>
      <c r="I38" s="791"/>
      <c r="J38" s="126"/>
      <c r="K38" s="126"/>
      <c r="L38" s="126"/>
      <c r="M38" s="126"/>
      <c r="N38" s="126"/>
      <c r="O38" s="126"/>
      <c r="P38" s="126"/>
      <c r="Q38" s="126"/>
      <c r="R38" s="126"/>
      <c r="S38" s="126"/>
      <c r="T38" s="126"/>
      <c r="U38" s="126"/>
      <c r="V38" s="126"/>
      <c r="W38" s="126"/>
      <c r="X38" s="126"/>
      <c r="Y38" s="126"/>
      <c r="Z38" s="126"/>
      <c r="AA38" s="126"/>
      <c r="AB38" s="126"/>
      <c r="AC38" s="126"/>
    </row>
    <row r="39" spans="1:29" ht="15.75" customHeight="1">
      <c r="A39" s="174"/>
      <c r="B39" s="174"/>
      <c r="C39" s="174"/>
      <c r="D39" s="175"/>
      <c r="E39" s="175"/>
      <c r="F39" s="792" t="s">
        <v>4438</v>
      </c>
      <c r="G39" s="793"/>
      <c r="H39" s="730"/>
      <c r="I39" s="725"/>
      <c r="J39" s="126"/>
      <c r="K39" s="126"/>
      <c r="L39" s="126"/>
      <c r="M39" s="126"/>
      <c r="N39" s="126"/>
      <c r="O39" s="126"/>
      <c r="P39" s="126"/>
      <c r="Q39" s="126"/>
      <c r="R39" s="126"/>
      <c r="S39" s="126"/>
      <c r="T39" s="126"/>
      <c r="U39" s="126"/>
      <c r="V39" s="126"/>
      <c r="W39" s="126"/>
      <c r="X39" s="126"/>
      <c r="Y39" s="126"/>
      <c r="Z39" s="126"/>
      <c r="AA39" s="126"/>
      <c r="AB39" s="126"/>
      <c r="AC39" s="126"/>
    </row>
    <row r="40" spans="1:29" ht="15.75" customHeight="1">
      <c r="A40" s="126"/>
      <c r="B40" s="126"/>
      <c r="C40" s="176"/>
      <c r="D40" s="176"/>
      <c r="E40" s="176"/>
      <c r="F40" s="176"/>
      <c r="G40" s="176"/>
      <c r="H40" s="177"/>
      <c r="I40" s="126"/>
      <c r="J40" s="126"/>
      <c r="K40" s="126"/>
      <c r="L40" s="126"/>
      <c r="M40" s="126"/>
      <c r="N40" s="126"/>
      <c r="O40" s="126"/>
      <c r="P40" s="126"/>
      <c r="Q40" s="126"/>
      <c r="R40" s="126"/>
      <c r="S40" s="126"/>
      <c r="T40" s="126"/>
      <c r="U40" s="126"/>
      <c r="V40" s="126"/>
      <c r="W40" s="126"/>
      <c r="X40" s="126"/>
      <c r="Y40" s="126"/>
      <c r="Z40" s="126"/>
      <c r="AA40" s="126"/>
      <c r="AB40" s="126"/>
      <c r="AC40" s="126"/>
    </row>
    <row r="41" spans="1:29" ht="15.75" customHeight="1">
      <c r="A41" s="126"/>
      <c r="B41" s="126" t="s">
        <v>4422</v>
      </c>
      <c r="C41" s="176"/>
      <c r="D41" s="176"/>
      <c r="E41" s="176"/>
      <c r="F41" s="176"/>
      <c r="G41" s="176"/>
      <c r="H41" s="176"/>
      <c r="I41" s="126"/>
      <c r="J41" s="126"/>
      <c r="K41" s="126"/>
      <c r="L41" s="126"/>
      <c r="M41" s="126"/>
      <c r="N41" s="126"/>
      <c r="O41" s="126"/>
      <c r="P41" s="126"/>
      <c r="Q41" s="126"/>
      <c r="R41" s="126"/>
      <c r="S41" s="126"/>
      <c r="T41" s="126"/>
      <c r="U41" s="126"/>
      <c r="V41" s="126"/>
      <c r="W41" s="126"/>
      <c r="X41" s="126"/>
      <c r="Y41" s="126"/>
      <c r="Z41" s="126"/>
      <c r="AA41" s="126"/>
      <c r="AB41" s="126"/>
      <c r="AC41" s="126"/>
    </row>
    <row r="42" spans="1:29" ht="15.75" customHeight="1">
      <c r="A42" s="126"/>
      <c r="B42" s="126"/>
      <c r="C42" s="176"/>
      <c r="D42" s="176"/>
      <c r="E42" s="176"/>
      <c r="F42" s="176"/>
      <c r="G42" s="176"/>
      <c r="H42" s="176"/>
      <c r="I42" s="126"/>
      <c r="J42" s="126"/>
      <c r="K42" s="126"/>
      <c r="L42" s="126"/>
      <c r="M42" s="126"/>
      <c r="N42" s="126"/>
      <c r="O42" s="126"/>
      <c r="P42" s="126"/>
      <c r="Q42" s="126"/>
      <c r="R42" s="126"/>
      <c r="S42" s="126"/>
      <c r="T42" s="126"/>
      <c r="U42" s="126"/>
      <c r="V42" s="126"/>
      <c r="W42" s="126"/>
      <c r="X42" s="126"/>
      <c r="Y42" s="126"/>
      <c r="Z42" s="126"/>
      <c r="AA42" s="126"/>
      <c r="AB42" s="126"/>
      <c r="AC42" s="126"/>
    </row>
    <row r="43" spans="1:29" ht="15.75" customHeight="1">
      <c r="A43" s="178"/>
      <c r="B43" s="126"/>
      <c r="C43" s="176"/>
      <c r="D43" s="176"/>
      <c r="E43" s="176"/>
      <c r="F43" s="176"/>
      <c r="G43" s="176"/>
      <c r="H43" s="176"/>
      <c r="I43" s="126"/>
      <c r="J43" s="126"/>
      <c r="K43" s="126"/>
      <c r="L43" s="126"/>
      <c r="M43" s="126"/>
      <c r="N43" s="126"/>
      <c r="O43" s="126"/>
      <c r="P43" s="126"/>
      <c r="Q43" s="126"/>
      <c r="R43" s="126"/>
      <c r="S43" s="126"/>
      <c r="T43" s="126"/>
      <c r="U43" s="126"/>
      <c r="V43" s="126"/>
      <c r="W43" s="126"/>
      <c r="X43" s="126"/>
      <c r="Y43" s="126"/>
      <c r="Z43" s="126"/>
      <c r="AA43" s="126"/>
      <c r="AB43" s="126"/>
      <c r="AC43" s="126"/>
    </row>
    <row r="44" spans="1:29" ht="15.75" customHeight="1">
      <c r="A44" s="126"/>
      <c r="B44" s="786" t="str">
        <f>Validacion!A7</f>
        <v>Vero</v>
      </c>
      <c r="C44" s="176"/>
      <c r="D44" s="786" t="str">
        <f>Validacion!A9</f>
        <v>Irlanda</v>
      </c>
      <c r="E44" s="787"/>
      <c r="F44" s="787"/>
      <c r="G44" s="787"/>
      <c r="H44" s="176"/>
      <c r="I44" s="126"/>
      <c r="J44" s="126"/>
      <c r="K44" s="126"/>
      <c r="L44" s="126"/>
      <c r="M44" s="126"/>
      <c r="N44" s="126"/>
      <c r="O44" s="126"/>
      <c r="P44" s="126"/>
      <c r="Q44" s="126"/>
      <c r="R44" s="126"/>
      <c r="S44" s="126"/>
      <c r="T44" s="126"/>
      <c r="U44" s="126"/>
      <c r="V44" s="126"/>
      <c r="W44" s="126"/>
      <c r="X44" s="126"/>
      <c r="Y44" s="126"/>
      <c r="Z44" s="126"/>
      <c r="AA44" s="126"/>
      <c r="AB44" s="126"/>
      <c r="AC44" s="126"/>
    </row>
    <row r="45" spans="1:29" ht="15.75" customHeight="1">
      <c r="A45" s="126"/>
      <c r="B45" s="725"/>
      <c r="C45" s="176"/>
      <c r="D45" s="725"/>
      <c r="E45" s="725"/>
      <c r="F45" s="725"/>
      <c r="G45" s="725"/>
      <c r="H45" s="179"/>
      <c r="I45" s="126"/>
      <c r="J45" s="126"/>
      <c r="K45" s="126"/>
      <c r="L45" s="126"/>
      <c r="M45" s="126"/>
      <c r="N45" s="126"/>
      <c r="O45" s="126"/>
      <c r="P45" s="126"/>
      <c r="Q45" s="126"/>
      <c r="R45" s="126"/>
      <c r="S45" s="126"/>
      <c r="T45" s="126"/>
      <c r="U45" s="126"/>
      <c r="V45" s="126"/>
      <c r="W45" s="126"/>
      <c r="X45" s="126"/>
      <c r="Y45" s="126"/>
      <c r="Z45" s="126"/>
      <c r="AA45" s="126"/>
      <c r="AB45" s="126"/>
      <c r="AC45" s="126"/>
    </row>
    <row r="46" spans="1:29" ht="15.75" customHeight="1">
      <c r="A46" s="126"/>
      <c r="B46" s="773" t="s">
        <v>4443</v>
      </c>
      <c r="C46" s="176"/>
      <c r="D46" s="774" t="s">
        <v>4444</v>
      </c>
      <c r="E46" s="725"/>
      <c r="F46" s="725"/>
      <c r="G46" s="725"/>
      <c r="H46" s="176"/>
      <c r="I46" s="126"/>
      <c r="J46" s="126"/>
      <c r="K46" s="126"/>
      <c r="L46" s="126"/>
      <c r="M46" s="126"/>
      <c r="N46" s="126"/>
      <c r="O46" s="126"/>
      <c r="P46" s="126"/>
      <c r="Q46" s="126"/>
      <c r="R46" s="126"/>
      <c r="S46" s="126"/>
      <c r="T46" s="126"/>
      <c r="U46" s="126"/>
      <c r="V46" s="126"/>
      <c r="W46" s="126"/>
      <c r="X46" s="126"/>
      <c r="Y46" s="126"/>
      <c r="Z46" s="126"/>
      <c r="AA46" s="126"/>
      <c r="AB46" s="126"/>
      <c r="AC46" s="126"/>
    </row>
    <row r="47" spans="1:29" ht="15" customHeight="1">
      <c r="A47" s="126"/>
      <c r="B47" s="725"/>
      <c r="C47" s="176"/>
      <c r="D47" s="725"/>
      <c r="E47" s="725"/>
      <c r="F47" s="725"/>
      <c r="G47" s="725"/>
      <c r="H47" s="181"/>
      <c r="I47" s="126"/>
      <c r="J47" s="126"/>
      <c r="K47" s="126"/>
      <c r="L47" s="126"/>
      <c r="M47" s="126"/>
      <c r="N47" s="126"/>
      <c r="O47" s="126"/>
      <c r="P47" s="126"/>
      <c r="Q47" s="126"/>
      <c r="R47" s="126"/>
      <c r="S47" s="126"/>
      <c r="T47" s="126"/>
      <c r="U47" s="126"/>
      <c r="V47" s="126"/>
      <c r="W47" s="126"/>
      <c r="X47" s="126"/>
      <c r="Y47" s="126"/>
      <c r="Z47" s="126"/>
      <c r="AA47" s="126"/>
      <c r="AB47" s="126"/>
      <c r="AC47" s="126"/>
    </row>
    <row r="48" spans="1:29" ht="15.75" customHeight="1">
      <c r="A48" s="126"/>
      <c r="B48" s="126"/>
      <c r="C48" s="176"/>
      <c r="D48" s="176"/>
      <c r="E48" s="176"/>
      <c r="F48" s="176"/>
      <c r="G48" s="176"/>
      <c r="H48" s="176"/>
      <c r="I48" s="126"/>
      <c r="J48" s="126"/>
      <c r="K48" s="126"/>
      <c r="L48" s="126"/>
      <c r="M48" s="126"/>
      <c r="N48" s="126"/>
      <c r="O48" s="126"/>
      <c r="P48" s="126"/>
      <c r="Q48" s="126"/>
      <c r="R48" s="126"/>
      <c r="S48" s="126"/>
      <c r="T48" s="126"/>
      <c r="U48" s="126"/>
      <c r="V48" s="126"/>
      <c r="W48" s="126"/>
      <c r="X48" s="126"/>
      <c r="Y48" s="126"/>
      <c r="Z48" s="126"/>
      <c r="AA48" s="126"/>
      <c r="AB48" s="126"/>
      <c r="AC48" s="126"/>
    </row>
    <row r="49" spans="1:29" ht="15.75" customHeight="1">
      <c r="A49" s="126"/>
      <c r="B49" s="126"/>
      <c r="C49" s="176"/>
      <c r="D49" s="176"/>
      <c r="E49" s="176"/>
      <c r="F49" s="176"/>
      <c r="G49" s="176"/>
      <c r="H49" s="176"/>
      <c r="I49" s="126"/>
      <c r="J49" s="126"/>
      <c r="K49" s="126"/>
      <c r="L49" s="126"/>
      <c r="M49" s="126"/>
      <c r="N49" s="126"/>
      <c r="O49" s="126"/>
      <c r="P49" s="126"/>
      <c r="Q49" s="126"/>
      <c r="R49" s="126"/>
      <c r="S49" s="126"/>
      <c r="T49" s="126"/>
      <c r="U49" s="126"/>
      <c r="V49" s="126"/>
      <c r="W49" s="126"/>
      <c r="X49" s="126"/>
      <c r="Y49" s="126"/>
      <c r="Z49" s="126"/>
      <c r="AA49" s="126"/>
      <c r="AB49" s="126"/>
      <c r="AC49" s="126"/>
    </row>
    <row r="50" spans="1:29" ht="15.75" customHeight="1">
      <c r="A50" s="126"/>
      <c r="B50" s="126"/>
      <c r="C50" s="176"/>
      <c r="D50" s="176"/>
      <c r="E50" s="176"/>
      <c r="F50" s="176"/>
      <c r="G50" s="176"/>
      <c r="H50" s="176"/>
      <c r="I50" s="126"/>
      <c r="J50" s="126"/>
      <c r="K50" s="126"/>
      <c r="L50" s="126"/>
      <c r="M50" s="126"/>
      <c r="N50" s="126"/>
      <c r="O50" s="126"/>
      <c r="P50" s="126"/>
      <c r="Q50" s="126"/>
      <c r="R50" s="126"/>
      <c r="S50" s="126"/>
      <c r="T50" s="126"/>
      <c r="U50" s="126"/>
      <c r="V50" s="126"/>
      <c r="W50" s="126"/>
      <c r="X50" s="126"/>
      <c r="Y50" s="126"/>
      <c r="Z50" s="126"/>
      <c r="AA50" s="126"/>
      <c r="AB50" s="126"/>
      <c r="AC50" s="126"/>
    </row>
    <row r="51" spans="1:29" ht="15.75" customHeight="1">
      <c r="A51" s="126"/>
      <c r="B51" s="126"/>
      <c r="C51" s="176"/>
      <c r="D51" s="176"/>
      <c r="E51" s="176"/>
      <c r="F51" s="176"/>
      <c r="G51" s="176"/>
      <c r="H51" s="176"/>
      <c r="I51" s="126"/>
      <c r="J51" s="126"/>
      <c r="K51" s="126"/>
      <c r="L51" s="126"/>
      <c r="M51" s="126"/>
      <c r="N51" s="126"/>
      <c r="O51" s="126"/>
      <c r="P51" s="126"/>
      <c r="Q51" s="126"/>
      <c r="R51" s="126"/>
      <c r="S51" s="126"/>
      <c r="T51" s="126"/>
      <c r="U51" s="126"/>
      <c r="V51" s="126"/>
      <c r="W51" s="126"/>
      <c r="X51" s="126"/>
      <c r="Y51" s="126"/>
      <c r="Z51" s="126"/>
      <c r="AA51" s="126"/>
      <c r="AB51" s="126"/>
      <c r="AC51" s="126"/>
    </row>
    <row r="52" spans="1:29" ht="15.75" customHeight="1">
      <c r="A52" s="126"/>
      <c r="B52" s="126"/>
      <c r="C52" s="176"/>
      <c r="D52" s="176"/>
      <c r="E52" s="176"/>
      <c r="F52" s="176"/>
      <c r="G52" s="176"/>
      <c r="H52" s="176"/>
      <c r="I52" s="126"/>
      <c r="J52" s="126"/>
      <c r="K52" s="126"/>
      <c r="L52" s="126"/>
      <c r="M52" s="126"/>
      <c r="N52" s="126"/>
      <c r="O52" s="126"/>
      <c r="P52" s="126"/>
      <c r="Q52" s="126"/>
      <c r="R52" s="126"/>
      <c r="S52" s="126"/>
      <c r="T52" s="126"/>
      <c r="U52" s="126"/>
      <c r="V52" s="126"/>
      <c r="W52" s="126"/>
      <c r="X52" s="126"/>
      <c r="Y52" s="126"/>
      <c r="Z52" s="126"/>
      <c r="AA52" s="126"/>
      <c r="AB52" s="126"/>
      <c r="AC52" s="126"/>
    </row>
    <row r="53" spans="1:29" ht="15.75" customHeight="1">
      <c r="A53" s="126"/>
      <c r="B53" s="126"/>
      <c r="C53" s="176"/>
      <c r="D53" s="176"/>
      <c r="E53" s="176"/>
      <c r="F53" s="176"/>
      <c r="G53" s="176"/>
      <c r="H53" s="176"/>
      <c r="I53" s="126"/>
      <c r="J53" s="126"/>
      <c r="K53" s="126"/>
      <c r="L53" s="126"/>
      <c r="M53" s="126"/>
      <c r="N53" s="126"/>
      <c r="O53" s="126"/>
      <c r="P53" s="126"/>
      <c r="Q53" s="126"/>
      <c r="R53" s="126"/>
      <c r="S53" s="126"/>
      <c r="T53" s="126"/>
      <c r="U53" s="126"/>
      <c r="V53" s="126"/>
      <c r="W53" s="126"/>
      <c r="X53" s="126"/>
      <c r="Y53" s="126"/>
      <c r="Z53" s="126"/>
      <c r="AA53" s="126"/>
      <c r="AB53" s="126"/>
      <c r="AC53" s="126"/>
    </row>
    <row r="54" spans="1:29" ht="15.75" hidden="1" customHeight="1">
      <c r="A54" s="126"/>
      <c r="B54" s="126"/>
      <c r="C54" s="176"/>
      <c r="D54" s="176"/>
      <c r="E54" s="176"/>
      <c r="F54" s="176"/>
      <c r="G54" s="176"/>
      <c r="H54" s="176"/>
      <c r="I54" s="126"/>
      <c r="J54" s="126"/>
      <c r="K54" s="126"/>
      <c r="L54" s="126"/>
      <c r="M54" s="126"/>
      <c r="N54" s="126"/>
      <c r="O54" s="126"/>
      <c r="P54" s="126"/>
      <c r="Q54" s="126"/>
      <c r="R54" s="126"/>
      <c r="S54" s="126"/>
      <c r="T54" s="126"/>
      <c r="U54" s="126"/>
      <c r="V54" s="126"/>
      <c r="W54" s="126"/>
      <c r="X54" s="126"/>
      <c r="Y54" s="126"/>
      <c r="Z54" s="126"/>
      <c r="AA54" s="126"/>
      <c r="AB54" s="126"/>
      <c r="AC54" s="126"/>
    </row>
    <row r="55" spans="1:29" ht="15.75" hidden="1" customHeight="1">
      <c r="A55" s="126"/>
      <c r="B55" s="126"/>
      <c r="C55" s="176"/>
      <c r="D55" s="176"/>
      <c r="E55" s="176"/>
      <c r="F55" s="176"/>
      <c r="G55" s="176"/>
      <c r="H55" s="176"/>
      <c r="I55" s="126"/>
      <c r="J55" s="126"/>
      <c r="K55" s="126"/>
      <c r="L55" s="126"/>
      <c r="M55" s="126"/>
      <c r="N55" s="126"/>
      <c r="O55" s="126"/>
      <c r="P55" s="126"/>
      <c r="Q55" s="126"/>
      <c r="R55" s="126"/>
      <c r="S55" s="126"/>
      <c r="T55" s="126"/>
      <c r="U55" s="126"/>
      <c r="V55" s="126"/>
      <c r="W55" s="126"/>
      <c r="X55" s="126"/>
      <c r="Y55" s="126"/>
      <c r="Z55" s="126"/>
      <c r="AA55" s="126"/>
      <c r="AB55" s="126"/>
      <c r="AC55" s="126"/>
    </row>
    <row r="56" spans="1:29" ht="15.75" hidden="1" customHeight="1">
      <c r="A56" s="126"/>
      <c r="B56" s="126"/>
      <c r="C56" s="176"/>
      <c r="D56" s="176"/>
      <c r="E56" s="176"/>
      <c r="F56" s="176"/>
      <c r="G56" s="176"/>
      <c r="H56" s="176"/>
      <c r="I56" s="126"/>
      <c r="J56" s="126"/>
      <c r="K56" s="126"/>
      <c r="L56" s="126"/>
      <c r="M56" s="126"/>
      <c r="N56" s="126"/>
      <c r="O56" s="126"/>
      <c r="P56" s="126"/>
      <c r="Q56" s="126"/>
      <c r="R56" s="126"/>
      <c r="S56" s="126"/>
      <c r="T56" s="126"/>
      <c r="U56" s="126"/>
      <c r="V56" s="126"/>
      <c r="W56" s="126"/>
      <c r="X56" s="126"/>
      <c r="Y56" s="126"/>
      <c r="Z56" s="126"/>
      <c r="AA56" s="126"/>
      <c r="AB56" s="126"/>
      <c r="AC56" s="126"/>
    </row>
    <row r="57" spans="1:29" ht="15.75" hidden="1" customHeight="1">
      <c r="A57" s="126"/>
      <c r="B57" s="126"/>
      <c r="C57" s="176"/>
      <c r="D57" s="176"/>
      <c r="E57" s="176"/>
      <c r="F57" s="176"/>
      <c r="G57" s="176"/>
      <c r="H57" s="176"/>
      <c r="I57" s="126"/>
      <c r="J57" s="126"/>
      <c r="K57" s="126"/>
      <c r="L57" s="126"/>
      <c r="M57" s="126"/>
      <c r="N57" s="126"/>
      <c r="O57" s="126"/>
      <c r="P57" s="126"/>
      <c r="Q57" s="126"/>
      <c r="R57" s="126"/>
      <c r="S57" s="126"/>
      <c r="T57" s="126"/>
      <c r="U57" s="126"/>
      <c r="V57" s="126"/>
      <c r="W57" s="126"/>
      <c r="X57" s="126"/>
      <c r="Y57" s="126"/>
      <c r="Z57" s="126"/>
      <c r="AA57" s="126"/>
      <c r="AB57" s="126"/>
      <c r="AC57" s="126"/>
    </row>
    <row r="58" spans="1:29" ht="15.75" hidden="1" customHeight="1">
      <c r="A58" s="126"/>
      <c r="B58" s="126"/>
      <c r="C58" s="176"/>
      <c r="D58" s="176"/>
      <c r="E58" s="176"/>
      <c r="F58" s="176"/>
      <c r="G58" s="176"/>
      <c r="H58" s="176"/>
      <c r="I58" s="126"/>
      <c r="J58" s="126"/>
      <c r="K58" s="126"/>
      <c r="L58" s="126"/>
      <c r="M58" s="126"/>
      <c r="N58" s="126"/>
      <c r="O58" s="126"/>
      <c r="P58" s="126"/>
      <c r="Q58" s="126"/>
      <c r="R58" s="126"/>
      <c r="S58" s="126"/>
      <c r="T58" s="126"/>
      <c r="U58" s="126"/>
      <c r="V58" s="126"/>
      <c r="W58" s="126"/>
      <c r="X58" s="126"/>
      <c r="Y58" s="126"/>
      <c r="Z58" s="126"/>
      <c r="AA58" s="126"/>
      <c r="AB58" s="126"/>
      <c r="AC58" s="126"/>
    </row>
    <row r="59" spans="1:29" ht="15.75" hidden="1" customHeight="1">
      <c r="A59" s="126"/>
      <c r="B59" s="126"/>
      <c r="C59" s="176"/>
      <c r="D59" s="176"/>
      <c r="E59" s="176"/>
      <c r="F59" s="176"/>
      <c r="G59" s="176"/>
      <c r="H59" s="176"/>
      <c r="I59" s="126"/>
      <c r="J59" s="126"/>
      <c r="K59" s="126"/>
      <c r="L59" s="126"/>
      <c r="M59" s="126"/>
      <c r="N59" s="126"/>
      <c r="O59" s="126"/>
      <c r="P59" s="126"/>
      <c r="Q59" s="126"/>
      <c r="R59" s="126"/>
      <c r="S59" s="126"/>
      <c r="T59" s="126"/>
      <c r="U59" s="126"/>
      <c r="V59" s="126"/>
      <c r="W59" s="126"/>
      <c r="X59" s="126"/>
      <c r="Y59" s="126"/>
      <c r="Z59" s="126"/>
      <c r="AA59" s="126"/>
      <c r="AB59" s="126"/>
      <c r="AC59" s="126"/>
    </row>
    <row r="60" spans="1:29" ht="15.75" hidden="1" customHeight="1">
      <c r="A60" s="126"/>
      <c r="B60" s="126"/>
      <c r="C60" s="176"/>
      <c r="D60" s="176"/>
      <c r="E60" s="176"/>
      <c r="F60" s="176"/>
      <c r="G60" s="176"/>
      <c r="H60" s="176"/>
      <c r="I60" s="126"/>
      <c r="J60" s="126"/>
      <c r="K60" s="126"/>
      <c r="L60" s="126"/>
      <c r="M60" s="126"/>
      <c r="N60" s="126"/>
      <c r="O60" s="126"/>
      <c r="P60" s="126"/>
      <c r="Q60" s="126"/>
      <c r="R60" s="126"/>
      <c r="S60" s="126"/>
      <c r="T60" s="126"/>
      <c r="U60" s="126"/>
      <c r="V60" s="126"/>
      <c r="W60" s="126"/>
      <c r="X60" s="126"/>
      <c r="Y60" s="126"/>
      <c r="Z60" s="126"/>
      <c r="AA60" s="126"/>
      <c r="AB60" s="126"/>
      <c r="AC60" s="126"/>
    </row>
    <row r="61" spans="1:29" ht="15.75" hidden="1" customHeight="1">
      <c r="A61" s="126"/>
      <c r="B61" s="126"/>
      <c r="C61" s="176"/>
      <c r="D61" s="176"/>
      <c r="E61" s="176"/>
      <c r="F61" s="176"/>
      <c r="G61" s="176"/>
      <c r="H61" s="176"/>
      <c r="I61" s="126"/>
      <c r="J61" s="126"/>
      <c r="K61" s="126"/>
      <c r="L61" s="126"/>
      <c r="M61" s="126"/>
      <c r="N61" s="126"/>
      <c r="O61" s="126"/>
      <c r="P61" s="126"/>
      <c r="Q61" s="126"/>
      <c r="R61" s="126"/>
      <c r="S61" s="126"/>
      <c r="T61" s="126"/>
      <c r="U61" s="126"/>
      <c r="V61" s="126"/>
      <c r="W61" s="126"/>
      <c r="X61" s="126"/>
      <c r="Y61" s="126"/>
      <c r="Z61" s="126"/>
      <c r="AA61" s="126"/>
      <c r="AB61" s="126"/>
      <c r="AC61" s="126"/>
    </row>
    <row r="62" spans="1:29" ht="15.75" hidden="1" customHeight="1">
      <c r="A62" s="126"/>
      <c r="B62" s="126"/>
      <c r="C62" s="176"/>
      <c r="D62" s="176"/>
      <c r="E62" s="176"/>
      <c r="F62" s="176"/>
      <c r="G62" s="176"/>
      <c r="H62" s="176"/>
      <c r="I62" s="126"/>
      <c r="J62" s="126"/>
      <c r="K62" s="126"/>
      <c r="L62" s="126"/>
      <c r="M62" s="126"/>
      <c r="N62" s="126"/>
      <c r="O62" s="126"/>
      <c r="P62" s="126"/>
      <c r="Q62" s="126"/>
      <c r="R62" s="126"/>
      <c r="S62" s="126"/>
      <c r="T62" s="126"/>
      <c r="U62" s="126"/>
      <c r="V62" s="126"/>
      <c r="W62" s="126"/>
      <c r="X62" s="126"/>
      <c r="Y62" s="126"/>
      <c r="Z62" s="126"/>
      <c r="AA62" s="126"/>
      <c r="AB62" s="126"/>
      <c r="AC62" s="126"/>
    </row>
    <row r="63" spans="1:29" ht="15.75" hidden="1" customHeight="1">
      <c r="A63" s="126"/>
      <c r="B63" s="126"/>
      <c r="C63" s="176"/>
      <c r="D63" s="176"/>
      <c r="E63" s="176"/>
      <c r="F63" s="176"/>
      <c r="G63" s="176"/>
      <c r="H63" s="176"/>
      <c r="I63" s="126"/>
      <c r="J63" s="126"/>
      <c r="K63" s="126"/>
      <c r="L63" s="126"/>
      <c r="M63" s="126"/>
      <c r="N63" s="126"/>
      <c r="O63" s="126"/>
      <c r="P63" s="126"/>
      <c r="Q63" s="126"/>
      <c r="R63" s="126"/>
      <c r="S63" s="126"/>
      <c r="T63" s="126"/>
      <c r="U63" s="126"/>
      <c r="V63" s="126"/>
      <c r="W63" s="126"/>
      <c r="X63" s="126"/>
      <c r="Y63" s="126"/>
      <c r="Z63" s="126"/>
      <c r="AA63" s="126"/>
      <c r="AB63" s="126"/>
      <c r="AC63" s="126"/>
    </row>
    <row r="64" spans="1:29" ht="15.75" hidden="1" customHeight="1">
      <c r="A64" s="126"/>
      <c r="B64" s="126"/>
      <c r="C64" s="176"/>
      <c r="D64" s="176"/>
      <c r="E64" s="176"/>
      <c r="F64" s="176"/>
      <c r="G64" s="176"/>
      <c r="H64" s="176"/>
      <c r="I64" s="126"/>
      <c r="J64" s="126"/>
      <c r="K64" s="126"/>
      <c r="L64" s="126"/>
      <c r="M64" s="126"/>
      <c r="N64" s="126"/>
      <c r="O64" s="126"/>
      <c r="P64" s="126"/>
      <c r="Q64" s="126"/>
      <c r="R64" s="126"/>
      <c r="S64" s="126"/>
      <c r="T64" s="126"/>
      <c r="U64" s="126"/>
      <c r="V64" s="126"/>
      <c r="W64" s="126"/>
      <c r="X64" s="126"/>
      <c r="Y64" s="126"/>
      <c r="Z64" s="126"/>
      <c r="AA64" s="126"/>
      <c r="AB64" s="126"/>
      <c r="AC64" s="126"/>
    </row>
    <row r="65" spans="1:29" ht="15.75" hidden="1" customHeight="1">
      <c r="A65" s="126"/>
      <c r="B65" s="126"/>
      <c r="C65" s="176"/>
      <c r="D65" s="176"/>
      <c r="E65" s="176"/>
      <c r="F65" s="176"/>
      <c r="G65" s="176"/>
      <c r="H65" s="176"/>
      <c r="I65" s="126"/>
      <c r="J65" s="126"/>
      <c r="K65" s="126"/>
      <c r="L65" s="126"/>
      <c r="M65" s="126"/>
      <c r="N65" s="126"/>
      <c r="O65" s="126"/>
      <c r="P65" s="126"/>
      <c r="Q65" s="126"/>
      <c r="R65" s="126"/>
      <c r="S65" s="126"/>
      <c r="T65" s="126"/>
      <c r="U65" s="126"/>
      <c r="V65" s="126"/>
      <c r="W65" s="126"/>
      <c r="X65" s="126"/>
      <c r="Y65" s="126"/>
      <c r="Z65" s="126"/>
      <c r="AA65" s="126"/>
      <c r="AB65" s="126"/>
      <c r="AC65" s="126"/>
    </row>
    <row r="66" spans="1:29" ht="15.75" hidden="1" customHeight="1">
      <c r="A66" s="126"/>
      <c r="B66" s="126"/>
      <c r="C66" s="176"/>
      <c r="D66" s="176"/>
      <c r="E66" s="176"/>
      <c r="F66" s="176"/>
      <c r="G66" s="176"/>
      <c r="H66" s="176"/>
      <c r="I66" s="126"/>
      <c r="J66" s="126"/>
      <c r="K66" s="126"/>
      <c r="L66" s="126"/>
      <c r="M66" s="126"/>
      <c r="N66" s="126"/>
      <c r="O66" s="126"/>
      <c r="P66" s="126"/>
      <c r="Q66" s="126"/>
      <c r="R66" s="126"/>
      <c r="S66" s="126"/>
      <c r="T66" s="126"/>
      <c r="U66" s="126"/>
      <c r="V66" s="126"/>
      <c r="W66" s="126"/>
      <c r="X66" s="126"/>
      <c r="Y66" s="126"/>
      <c r="Z66" s="126"/>
      <c r="AA66" s="126"/>
      <c r="AB66" s="126"/>
      <c r="AC66" s="126"/>
    </row>
    <row r="67" spans="1:29" ht="15.75" hidden="1" customHeight="1">
      <c r="A67" s="126"/>
      <c r="B67" s="126"/>
      <c r="C67" s="176"/>
      <c r="D67" s="176"/>
      <c r="E67" s="176"/>
      <c r="F67" s="176"/>
      <c r="G67" s="176"/>
      <c r="H67" s="176"/>
      <c r="I67" s="126"/>
      <c r="J67" s="126"/>
      <c r="K67" s="126"/>
      <c r="L67" s="126"/>
      <c r="M67" s="126"/>
      <c r="N67" s="126"/>
      <c r="O67" s="126"/>
      <c r="P67" s="126"/>
      <c r="Q67" s="126"/>
      <c r="R67" s="126"/>
      <c r="S67" s="126"/>
      <c r="T67" s="126"/>
      <c r="U67" s="126"/>
      <c r="V67" s="126"/>
      <c r="W67" s="126"/>
      <c r="X67" s="126"/>
      <c r="Y67" s="126"/>
      <c r="Z67" s="126"/>
      <c r="AA67" s="126"/>
      <c r="AB67" s="126"/>
      <c r="AC67" s="126"/>
    </row>
    <row r="68" spans="1:29" ht="15.75" hidden="1" customHeight="1">
      <c r="A68" s="126"/>
      <c r="B68" s="126"/>
      <c r="C68" s="176"/>
      <c r="D68" s="176"/>
      <c r="E68" s="176"/>
      <c r="F68" s="176"/>
      <c r="G68" s="176"/>
      <c r="H68" s="176"/>
      <c r="I68" s="126"/>
      <c r="J68" s="126"/>
      <c r="K68" s="126"/>
      <c r="L68" s="126"/>
      <c r="M68" s="126"/>
      <c r="N68" s="126"/>
      <c r="O68" s="126"/>
      <c r="P68" s="126"/>
      <c r="Q68" s="126"/>
      <c r="R68" s="126"/>
      <c r="S68" s="126"/>
      <c r="T68" s="126"/>
      <c r="U68" s="126"/>
      <c r="V68" s="126"/>
      <c r="W68" s="126"/>
      <c r="X68" s="126"/>
      <c r="Y68" s="126"/>
      <c r="Z68" s="126"/>
      <c r="AA68" s="126"/>
      <c r="AB68" s="126"/>
      <c r="AC68" s="126"/>
    </row>
    <row r="69" spans="1:29" ht="15.75" hidden="1" customHeight="1">
      <c r="A69" s="126"/>
      <c r="B69" s="126"/>
      <c r="C69" s="176"/>
      <c r="D69" s="176"/>
      <c r="E69" s="176"/>
      <c r="F69" s="176"/>
      <c r="G69" s="176"/>
      <c r="H69" s="176"/>
      <c r="I69" s="126"/>
      <c r="J69" s="126"/>
      <c r="K69" s="126"/>
      <c r="L69" s="126"/>
      <c r="M69" s="126"/>
      <c r="N69" s="126"/>
      <c r="O69" s="126"/>
      <c r="P69" s="126"/>
      <c r="Q69" s="126"/>
      <c r="R69" s="126"/>
      <c r="S69" s="126"/>
      <c r="T69" s="126"/>
      <c r="U69" s="126"/>
      <c r="V69" s="126"/>
      <c r="W69" s="126"/>
      <c r="X69" s="126"/>
      <c r="Y69" s="126"/>
      <c r="Z69" s="126"/>
      <c r="AA69" s="126"/>
      <c r="AB69" s="126"/>
      <c r="AC69" s="126"/>
    </row>
    <row r="70" spans="1:29" ht="15.75" hidden="1" customHeight="1">
      <c r="A70" s="126"/>
      <c r="B70" s="126"/>
      <c r="C70" s="176"/>
      <c r="D70" s="176"/>
      <c r="E70" s="176"/>
      <c r="F70" s="176"/>
      <c r="G70" s="176"/>
      <c r="H70" s="176"/>
      <c r="I70" s="126"/>
      <c r="J70" s="126"/>
      <c r="K70" s="126"/>
      <c r="L70" s="126"/>
      <c r="M70" s="126"/>
      <c r="N70" s="126"/>
      <c r="O70" s="126"/>
      <c r="P70" s="126"/>
      <c r="Q70" s="126"/>
      <c r="R70" s="126"/>
      <c r="S70" s="126"/>
      <c r="T70" s="126"/>
      <c r="U70" s="126"/>
      <c r="V70" s="126"/>
      <c r="W70" s="126"/>
      <c r="X70" s="126"/>
      <c r="Y70" s="126"/>
      <c r="Z70" s="126"/>
      <c r="AA70" s="126"/>
      <c r="AB70" s="126"/>
      <c r="AC70" s="126"/>
    </row>
    <row r="71" spans="1:29" ht="15.75" hidden="1" customHeight="1">
      <c r="A71" s="126"/>
      <c r="B71" s="126"/>
      <c r="C71" s="176"/>
      <c r="D71" s="176"/>
      <c r="E71" s="176"/>
      <c r="F71" s="176"/>
      <c r="G71" s="176"/>
      <c r="H71" s="176"/>
      <c r="I71" s="126"/>
      <c r="J71" s="126"/>
      <c r="K71" s="126"/>
      <c r="L71" s="126"/>
      <c r="M71" s="126"/>
      <c r="N71" s="126"/>
      <c r="O71" s="126"/>
      <c r="P71" s="126"/>
      <c r="Q71" s="126"/>
      <c r="R71" s="126"/>
      <c r="S71" s="126"/>
      <c r="T71" s="126"/>
      <c r="U71" s="126"/>
      <c r="V71" s="126"/>
      <c r="W71" s="126"/>
      <c r="X71" s="126"/>
      <c r="Y71" s="126"/>
      <c r="Z71" s="126"/>
      <c r="AA71" s="126"/>
      <c r="AB71" s="126"/>
      <c r="AC71" s="126"/>
    </row>
    <row r="72" spans="1:29" ht="15.75" hidden="1" customHeight="1">
      <c r="A72" s="126"/>
      <c r="B72" s="126"/>
      <c r="C72" s="176"/>
      <c r="D72" s="176"/>
      <c r="E72" s="176"/>
      <c r="F72" s="176"/>
      <c r="G72" s="176"/>
      <c r="H72" s="176"/>
      <c r="I72" s="126"/>
      <c r="J72" s="126"/>
      <c r="K72" s="126"/>
      <c r="L72" s="126"/>
      <c r="M72" s="126"/>
      <c r="N72" s="126"/>
      <c r="O72" s="126"/>
      <c r="P72" s="126"/>
      <c r="Q72" s="126"/>
      <c r="R72" s="126"/>
      <c r="S72" s="126"/>
      <c r="T72" s="126"/>
      <c r="U72" s="126"/>
      <c r="V72" s="126"/>
      <c r="W72" s="126"/>
      <c r="X72" s="126"/>
      <c r="Y72" s="126"/>
      <c r="Z72" s="126"/>
      <c r="AA72" s="126"/>
      <c r="AB72" s="126"/>
      <c r="AC72" s="126"/>
    </row>
    <row r="73" spans="1:29" ht="15.75" hidden="1" customHeight="1">
      <c r="A73" s="126"/>
      <c r="B73" s="126"/>
      <c r="C73" s="176"/>
      <c r="D73" s="176"/>
      <c r="E73" s="176"/>
      <c r="F73" s="176"/>
      <c r="G73" s="176"/>
      <c r="H73" s="176"/>
      <c r="I73" s="126"/>
      <c r="J73" s="126"/>
      <c r="K73" s="126"/>
      <c r="L73" s="126"/>
      <c r="M73" s="126"/>
      <c r="N73" s="126"/>
      <c r="O73" s="126"/>
      <c r="P73" s="126"/>
      <c r="Q73" s="126"/>
      <c r="R73" s="126"/>
      <c r="S73" s="126"/>
      <c r="T73" s="126"/>
      <c r="U73" s="126"/>
      <c r="V73" s="126"/>
      <c r="W73" s="126"/>
      <c r="X73" s="126"/>
      <c r="Y73" s="126"/>
      <c r="Z73" s="126"/>
      <c r="AA73" s="126"/>
      <c r="AB73" s="126"/>
      <c r="AC73" s="126"/>
    </row>
    <row r="74" spans="1:29" ht="15.75" hidden="1" customHeight="1">
      <c r="A74" s="126"/>
      <c r="B74" s="126"/>
      <c r="C74" s="176"/>
      <c r="D74" s="176"/>
      <c r="E74" s="176"/>
      <c r="F74" s="176"/>
      <c r="G74" s="176"/>
      <c r="H74" s="176"/>
      <c r="I74" s="126"/>
      <c r="J74" s="126"/>
      <c r="K74" s="126"/>
      <c r="L74" s="126"/>
      <c r="M74" s="126"/>
      <c r="N74" s="126"/>
      <c r="O74" s="126"/>
      <c r="P74" s="126"/>
      <c r="Q74" s="126"/>
      <c r="R74" s="126"/>
      <c r="S74" s="126"/>
      <c r="T74" s="126"/>
      <c r="U74" s="126"/>
      <c r="V74" s="126"/>
      <c r="W74" s="126"/>
      <c r="X74" s="126"/>
      <c r="Y74" s="126"/>
      <c r="Z74" s="126"/>
      <c r="AA74" s="126"/>
      <c r="AB74" s="126"/>
      <c r="AC74" s="126"/>
    </row>
    <row r="75" spans="1:29" ht="15.75" hidden="1" customHeight="1">
      <c r="A75" s="126"/>
      <c r="B75" s="126"/>
      <c r="C75" s="176"/>
      <c r="D75" s="176"/>
      <c r="E75" s="176"/>
      <c r="F75" s="176"/>
      <c r="G75" s="176"/>
      <c r="H75" s="176"/>
      <c r="I75" s="126"/>
      <c r="J75" s="126"/>
      <c r="K75" s="126"/>
      <c r="L75" s="126"/>
      <c r="M75" s="126"/>
      <c r="N75" s="126"/>
      <c r="O75" s="126"/>
      <c r="P75" s="126"/>
      <c r="Q75" s="126"/>
      <c r="R75" s="126"/>
      <c r="S75" s="126"/>
      <c r="T75" s="126"/>
      <c r="U75" s="126"/>
      <c r="V75" s="126"/>
      <c r="W75" s="126"/>
      <c r="X75" s="126"/>
      <c r="Y75" s="126"/>
      <c r="Z75" s="126"/>
      <c r="AA75" s="126"/>
      <c r="AB75" s="126"/>
      <c r="AC75" s="126"/>
    </row>
    <row r="76" spans="1:29" ht="15.75" hidden="1" customHeight="1">
      <c r="A76" s="126"/>
      <c r="B76" s="126"/>
      <c r="C76" s="176"/>
      <c r="D76" s="176"/>
      <c r="E76" s="176"/>
      <c r="F76" s="176"/>
      <c r="G76" s="176"/>
      <c r="H76" s="176"/>
      <c r="I76" s="126"/>
      <c r="J76" s="126"/>
      <c r="K76" s="126"/>
      <c r="L76" s="126"/>
      <c r="M76" s="126"/>
      <c r="N76" s="126"/>
      <c r="O76" s="126"/>
      <c r="P76" s="126"/>
      <c r="Q76" s="126"/>
      <c r="R76" s="126"/>
      <c r="S76" s="126"/>
      <c r="T76" s="126"/>
      <c r="U76" s="126"/>
      <c r="V76" s="126"/>
      <c r="W76" s="126"/>
      <c r="X76" s="126"/>
      <c r="Y76" s="126"/>
      <c r="Z76" s="126"/>
      <c r="AA76" s="126"/>
      <c r="AB76" s="126"/>
      <c r="AC76" s="126"/>
    </row>
    <row r="77" spans="1:29" ht="15.75" hidden="1" customHeight="1">
      <c r="A77" s="126"/>
      <c r="B77" s="126"/>
      <c r="C77" s="176"/>
      <c r="D77" s="176"/>
      <c r="E77" s="176"/>
      <c r="F77" s="176"/>
      <c r="G77" s="176"/>
      <c r="H77" s="176"/>
      <c r="I77" s="126"/>
      <c r="J77" s="126"/>
      <c r="K77" s="126"/>
      <c r="L77" s="126"/>
      <c r="M77" s="126"/>
      <c r="N77" s="126"/>
      <c r="O77" s="126"/>
      <c r="P77" s="126"/>
      <c r="Q77" s="126"/>
      <c r="R77" s="126"/>
      <c r="S77" s="126"/>
      <c r="T77" s="126"/>
      <c r="U77" s="126"/>
      <c r="V77" s="126"/>
      <c r="W77" s="126"/>
      <c r="X77" s="126"/>
      <c r="Y77" s="126"/>
      <c r="Z77" s="126"/>
      <c r="AA77" s="126"/>
      <c r="AB77" s="126"/>
      <c r="AC77" s="126"/>
    </row>
    <row r="78" spans="1:29" ht="15.75" hidden="1" customHeight="1">
      <c r="A78" s="126"/>
      <c r="B78" s="126"/>
      <c r="C78" s="176"/>
      <c r="D78" s="176"/>
      <c r="E78" s="176"/>
      <c r="F78" s="176"/>
      <c r="G78" s="176"/>
      <c r="H78" s="176"/>
      <c r="I78" s="126"/>
      <c r="J78" s="126"/>
      <c r="K78" s="126"/>
      <c r="L78" s="126"/>
      <c r="M78" s="126"/>
      <c r="N78" s="126"/>
      <c r="O78" s="126"/>
      <c r="P78" s="126"/>
      <c r="Q78" s="126"/>
      <c r="R78" s="126"/>
      <c r="S78" s="126"/>
      <c r="T78" s="126"/>
      <c r="U78" s="126"/>
      <c r="V78" s="126"/>
      <c r="W78" s="126"/>
      <c r="X78" s="126"/>
      <c r="Y78" s="126"/>
      <c r="Z78" s="126"/>
      <c r="AA78" s="126"/>
      <c r="AB78" s="126"/>
      <c r="AC78" s="126"/>
    </row>
    <row r="79" spans="1:29" ht="15.75" hidden="1" customHeight="1">
      <c r="A79" s="126"/>
      <c r="B79" s="126"/>
      <c r="C79" s="176"/>
      <c r="D79" s="176"/>
      <c r="E79" s="176"/>
      <c r="F79" s="176"/>
      <c r="G79" s="176"/>
      <c r="H79" s="176"/>
      <c r="I79" s="126"/>
      <c r="J79" s="126"/>
      <c r="K79" s="126"/>
      <c r="L79" s="126"/>
      <c r="M79" s="126"/>
      <c r="N79" s="126"/>
      <c r="O79" s="126"/>
      <c r="P79" s="126"/>
      <c r="Q79" s="126"/>
      <c r="R79" s="126"/>
      <c r="S79" s="126"/>
      <c r="T79" s="126"/>
      <c r="U79" s="126"/>
      <c r="V79" s="126"/>
      <c r="W79" s="126"/>
      <c r="X79" s="126"/>
      <c r="Y79" s="126"/>
      <c r="Z79" s="126"/>
      <c r="AA79" s="126"/>
      <c r="AB79" s="126"/>
      <c r="AC79" s="126"/>
    </row>
    <row r="80" spans="1:29" ht="15.75" hidden="1" customHeight="1">
      <c r="A80" s="126"/>
      <c r="B80" s="126"/>
      <c r="C80" s="176"/>
      <c r="D80" s="176"/>
      <c r="E80" s="176"/>
      <c r="F80" s="176"/>
      <c r="G80" s="176"/>
      <c r="H80" s="176"/>
      <c r="I80" s="126"/>
      <c r="J80" s="126"/>
      <c r="K80" s="126"/>
      <c r="L80" s="126"/>
      <c r="M80" s="126"/>
      <c r="N80" s="126"/>
      <c r="O80" s="126"/>
      <c r="P80" s="126"/>
      <c r="Q80" s="126"/>
      <c r="R80" s="126"/>
      <c r="S80" s="126"/>
      <c r="T80" s="126"/>
      <c r="U80" s="126"/>
      <c r="V80" s="126"/>
      <c r="W80" s="126"/>
      <c r="X80" s="126"/>
      <c r="Y80" s="126"/>
      <c r="Z80" s="126"/>
      <c r="AA80" s="126"/>
      <c r="AB80" s="126"/>
      <c r="AC80" s="126"/>
    </row>
    <row r="81" spans="1:29" ht="15.75" hidden="1" customHeight="1">
      <c r="A81" s="126"/>
      <c r="B81" s="126"/>
      <c r="C81" s="176"/>
      <c r="D81" s="176"/>
      <c r="E81" s="176"/>
      <c r="F81" s="176"/>
      <c r="G81" s="176"/>
      <c r="H81" s="176"/>
      <c r="I81" s="126"/>
      <c r="J81" s="126"/>
      <c r="K81" s="126"/>
      <c r="L81" s="126"/>
      <c r="M81" s="126"/>
      <c r="N81" s="126"/>
      <c r="O81" s="126"/>
      <c r="P81" s="126"/>
      <c r="Q81" s="126"/>
      <c r="R81" s="126"/>
      <c r="S81" s="126"/>
      <c r="T81" s="126"/>
      <c r="U81" s="126"/>
      <c r="V81" s="126"/>
      <c r="W81" s="126"/>
      <c r="X81" s="126"/>
      <c r="Y81" s="126"/>
      <c r="Z81" s="126"/>
      <c r="AA81" s="126"/>
      <c r="AB81" s="126"/>
      <c r="AC81" s="126"/>
    </row>
    <row r="82" spans="1:29" ht="15.75" hidden="1" customHeight="1">
      <c r="A82" s="126"/>
      <c r="B82" s="126"/>
      <c r="C82" s="176"/>
      <c r="D82" s="176"/>
      <c r="E82" s="176"/>
      <c r="F82" s="176"/>
      <c r="G82" s="176"/>
      <c r="H82" s="176"/>
      <c r="I82" s="126"/>
      <c r="J82" s="126"/>
      <c r="K82" s="126"/>
      <c r="L82" s="126"/>
      <c r="M82" s="126"/>
      <c r="N82" s="126"/>
      <c r="O82" s="126"/>
      <c r="P82" s="126"/>
      <c r="Q82" s="126"/>
      <c r="R82" s="126"/>
      <c r="S82" s="126"/>
      <c r="T82" s="126"/>
      <c r="U82" s="126"/>
      <c r="V82" s="126"/>
      <c r="W82" s="126"/>
      <c r="X82" s="126"/>
      <c r="Y82" s="126"/>
      <c r="Z82" s="126"/>
      <c r="AA82" s="126"/>
      <c r="AB82" s="126"/>
      <c r="AC82" s="126"/>
    </row>
    <row r="83" spans="1:29" ht="15.75" hidden="1" customHeight="1">
      <c r="A83" s="126"/>
      <c r="B83" s="126"/>
      <c r="C83" s="176"/>
      <c r="D83" s="176"/>
      <c r="E83" s="176"/>
      <c r="F83" s="176"/>
      <c r="G83" s="176"/>
      <c r="H83" s="176"/>
      <c r="I83" s="126"/>
      <c r="J83" s="126"/>
      <c r="K83" s="126"/>
      <c r="L83" s="126"/>
      <c r="M83" s="126"/>
      <c r="N83" s="126"/>
      <c r="O83" s="126"/>
      <c r="P83" s="126"/>
      <c r="Q83" s="126"/>
      <c r="R83" s="126"/>
      <c r="S83" s="126"/>
      <c r="T83" s="126"/>
      <c r="U83" s="126"/>
      <c r="V83" s="126"/>
      <c r="W83" s="126"/>
      <c r="X83" s="126"/>
      <c r="Y83" s="126"/>
      <c r="Z83" s="126"/>
      <c r="AA83" s="126"/>
      <c r="AB83" s="126"/>
      <c r="AC83" s="126"/>
    </row>
    <row r="84" spans="1:29" ht="15.75" hidden="1" customHeight="1">
      <c r="A84" s="126"/>
      <c r="B84" s="126"/>
      <c r="C84" s="176"/>
      <c r="D84" s="176"/>
      <c r="E84" s="176"/>
      <c r="F84" s="176"/>
      <c r="G84" s="176"/>
      <c r="H84" s="176"/>
      <c r="I84" s="126"/>
      <c r="J84" s="126"/>
      <c r="K84" s="126"/>
      <c r="L84" s="126"/>
      <c r="M84" s="126"/>
      <c r="N84" s="126"/>
      <c r="O84" s="126"/>
      <c r="P84" s="126"/>
      <c r="Q84" s="126"/>
      <c r="R84" s="126"/>
      <c r="S84" s="126"/>
      <c r="T84" s="126"/>
      <c r="U84" s="126"/>
      <c r="V84" s="126"/>
      <c r="W84" s="126"/>
      <c r="X84" s="126"/>
      <c r="Y84" s="126"/>
      <c r="Z84" s="126"/>
      <c r="AA84" s="126"/>
      <c r="AB84" s="126"/>
      <c r="AC84" s="126"/>
    </row>
    <row r="85" spans="1:29" ht="15.75" hidden="1" customHeight="1">
      <c r="A85" s="126"/>
      <c r="B85" s="126"/>
      <c r="C85" s="176"/>
      <c r="D85" s="176"/>
      <c r="E85" s="176"/>
      <c r="F85" s="176"/>
      <c r="G85" s="176"/>
      <c r="H85" s="176"/>
      <c r="I85" s="126"/>
      <c r="J85" s="126"/>
      <c r="K85" s="126"/>
      <c r="L85" s="126"/>
      <c r="M85" s="126"/>
      <c r="N85" s="126"/>
      <c r="O85" s="126"/>
      <c r="P85" s="126"/>
      <c r="Q85" s="126"/>
      <c r="R85" s="126"/>
      <c r="S85" s="126"/>
      <c r="T85" s="126"/>
      <c r="U85" s="126"/>
      <c r="V85" s="126"/>
      <c r="W85" s="126"/>
      <c r="X85" s="126"/>
      <c r="Y85" s="126"/>
      <c r="Z85" s="126"/>
      <c r="AA85" s="126"/>
      <c r="AB85" s="126"/>
      <c r="AC85" s="126"/>
    </row>
    <row r="86" spans="1:29" ht="15.75" hidden="1" customHeight="1">
      <c r="A86" s="126"/>
      <c r="B86" s="126"/>
      <c r="C86" s="176"/>
      <c r="D86" s="176"/>
      <c r="E86" s="176"/>
      <c r="F86" s="176"/>
      <c r="G86" s="176"/>
      <c r="H86" s="176"/>
      <c r="I86" s="126"/>
      <c r="J86" s="126"/>
      <c r="K86" s="126"/>
      <c r="L86" s="126"/>
      <c r="M86" s="126"/>
      <c r="N86" s="126"/>
      <c r="O86" s="126"/>
      <c r="P86" s="126"/>
      <c r="Q86" s="126"/>
      <c r="R86" s="126"/>
      <c r="S86" s="126"/>
      <c r="T86" s="126"/>
      <c r="U86" s="126"/>
      <c r="V86" s="126"/>
      <c r="W86" s="126"/>
      <c r="X86" s="126"/>
      <c r="Y86" s="126"/>
      <c r="Z86" s="126"/>
      <c r="AA86" s="126"/>
      <c r="AB86" s="126"/>
      <c r="AC86" s="126"/>
    </row>
    <row r="87" spans="1:29" ht="15.75" hidden="1" customHeight="1">
      <c r="A87" s="126"/>
      <c r="B87" s="126"/>
      <c r="C87" s="176"/>
      <c r="D87" s="176"/>
      <c r="E87" s="176"/>
      <c r="F87" s="176"/>
      <c r="G87" s="176"/>
      <c r="H87" s="176"/>
      <c r="I87" s="126"/>
      <c r="J87" s="126"/>
      <c r="K87" s="126"/>
      <c r="L87" s="126"/>
      <c r="M87" s="126"/>
      <c r="N87" s="126"/>
      <c r="O87" s="126"/>
      <c r="P87" s="126"/>
      <c r="Q87" s="126"/>
      <c r="R87" s="126"/>
      <c r="S87" s="126"/>
      <c r="T87" s="126"/>
      <c r="U87" s="126"/>
      <c r="V87" s="126"/>
      <c r="W87" s="126"/>
      <c r="X87" s="126"/>
      <c r="Y87" s="126"/>
      <c r="Z87" s="126"/>
      <c r="AA87" s="126"/>
      <c r="AB87" s="126"/>
      <c r="AC87" s="126"/>
    </row>
    <row r="88" spans="1:29" ht="15.75" hidden="1" customHeight="1">
      <c r="A88" s="126"/>
      <c r="B88" s="126"/>
      <c r="C88" s="176"/>
      <c r="D88" s="176"/>
      <c r="E88" s="176"/>
      <c r="F88" s="176"/>
      <c r="G88" s="176"/>
      <c r="H88" s="176"/>
      <c r="I88" s="126"/>
      <c r="J88" s="126"/>
      <c r="K88" s="126"/>
      <c r="L88" s="126"/>
      <c r="M88" s="126"/>
      <c r="N88" s="126"/>
      <c r="O88" s="126"/>
      <c r="P88" s="126"/>
      <c r="Q88" s="126"/>
      <c r="R88" s="126"/>
      <c r="S88" s="126"/>
      <c r="T88" s="126"/>
      <c r="U88" s="126"/>
      <c r="V88" s="126"/>
      <c r="W88" s="126"/>
      <c r="X88" s="126"/>
      <c r="Y88" s="126"/>
      <c r="Z88" s="126"/>
      <c r="AA88" s="126"/>
      <c r="AB88" s="126"/>
      <c r="AC88" s="126"/>
    </row>
    <row r="89" spans="1:29" ht="15.75" hidden="1" customHeight="1">
      <c r="A89" s="126"/>
      <c r="B89" s="126"/>
      <c r="C89" s="176"/>
      <c r="D89" s="176"/>
      <c r="E89" s="176"/>
      <c r="F89" s="176"/>
      <c r="G89" s="176"/>
      <c r="H89" s="176"/>
      <c r="I89" s="126"/>
      <c r="J89" s="126"/>
      <c r="K89" s="126"/>
      <c r="L89" s="126"/>
      <c r="M89" s="126"/>
      <c r="N89" s="126"/>
      <c r="O89" s="126"/>
      <c r="P89" s="126"/>
      <c r="Q89" s="126"/>
      <c r="R89" s="126"/>
      <c r="S89" s="126"/>
      <c r="T89" s="126"/>
      <c r="U89" s="126"/>
      <c r="V89" s="126"/>
      <c r="W89" s="126"/>
      <c r="X89" s="126"/>
      <c r="Y89" s="126"/>
      <c r="Z89" s="126"/>
      <c r="AA89" s="126"/>
      <c r="AB89" s="126"/>
      <c r="AC89" s="126"/>
    </row>
    <row r="90" spans="1:29" ht="15.75" hidden="1" customHeight="1">
      <c r="A90" s="126"/>
      <c r="B90" s="126"/>
      <c r="C90" s="176"/>
      <c r="D90" s="176"/>
      <c r="E90" s="176"/>
      <c r="F90" s="176"/>
      <c r="G90" s="176"/>
      <c r="H90" s="176"/>
      <c r="I90" s="126"/>
      <c r="J90" s="126"/>
      <c r="K90" s="126"/>
      <c r="L90" s="126"/>
      <c r="M90" s="126"/>
      <c r="N90" s="126"/>
      <c r="O90" s="126"/>
      <c r="P90" s="126"/>
      <c r="Q90" s="126"/>
      <c r="R90" s="126"/>
      <c r="S90" s="126"/>
      <c r="T90" s="126"/>
      <c r="U90" s="126"/>
      <c r="V90" s="126"/>
      <c r="W90" s="126"/>
      <c r="X90" s="126"/>
      <c r="Y90" s="126"/>
      <c r="Z90" s="126"/>
      <c r="AA90" s="126"/>
      <c r="AB90" s="126"/>
      <c r="AC90" s="126"/>
    </row>
    <row r="91" spans="1:29" ht="15.75" hidden="1" customHeight="1">
      <c r="A91" s="126"/>
      <c r="B91" s="126"/>
      <c r="C91" s="176"/>
      <c r="D91" s="176"/>
      <c r="E91" s="176"/>
      <c r="F91" s="176"/>
      <c r="G91" s="176"/>
      <c r="H91" s="176"/>
      <c r="I91" s="126"/>
      <c r="J91" s="126"/>
      <c r="K91" s="126"/>
      <c r="L91" s="126"/>
      <c r="M91" s="126"/>
      <c r="N91" s="126"/>
      <c r="O91" s="126"/>
      <c r="P91" s="126"/>
      <c r="Q91" s="126"/>
      <c r="R91" s="126"/>
      <c r="S91" s="126"/>
      <c r="T91" s="126"/>
      <c r="U91" s="126"/>
      <c r="V91" s="126"/>
      <c r="W91" s="126"/>
      <c r="X91" s="126"/>
      <c r="Y91" s="126"/>
      <c r="Z91" s="126"/>
      <c r="AA91" s="126"/>
      <c r="AB91" s="126"/>
      <c r="AC91" s="126"/>
    </row>
    <row r="92" spans="1:29" ht="15.75" hidden="1" customHeight="1">
      <c r="A92" s="126"/>
      <c r="B92" s="126"/>
      <c r="C92" s="176"/>
      <c r="D92" s="176"/>
      <c r="E92" s="176"/>
      <c r="F92" s="176"/>
      <c r="G92" s="176"/>
      <c r="H92" s="176"/>
      <c r="I92" s="126"/>
      <c r="J92" s="126"/>
      <c r="K92" s="126"/>
      <c r="L92" s="126"/>
      <c r="M92" s="126"/>
      <c r="N92" s="126"/>
      <c r="O92" s="126"/>
      <c r="P92" s="126"/>
      <c r="Q92" s="126"/>
      <c r="R92" s="126"/>
      <c r="S92" s="126"/>
      <c r="T92" s="126"/>
      <c r="U92" s="126"/>
      <c r="V92" s="126"/>
      <c r="W92" s="126"/>
      <c r="X92" s="126"/>
      <c r="Y92" s="126"/>
      <c r="Z92" s="126"/>
      <c r="AA92" s="126"/>
      <c r="AB92" s="126"/>
      <c r="AC92" s="126"/>
    </row>
    <row r="93" spans="1:29" ht="15.75" hidden="1" customHeight="1">
      <c r="A93" s="126"/>
      <c r="B93" s="126"/>
      <c r="C93" s="176"/>
      <c r="D93" s="176"/>
      <c r="E93" s="176"/>
      <c r="F93" s="176"/>
      <c r="G93" s="176"/>
      <c r="H93" s="176"/>
      <c r="I93" s="126"/>
      <c r="J93" s="126"/>
      <c r="K93" s="126"/>
      <c r="L93" s="126"/>
      <c r="M93" s="126"/>
      <c r="N93" s="126"/>
      <c r="O93" s="126"/>
      <c r="P93" s="126"/>
      <c r="Q93" s="126"/>
      <c r="R93" s="126"/>
      <c r="S93" s="126"/>
      <c r="T93" s="126"/>
      <c r="U93" s="126"/>
      <c r="V93" s="126"/>
      <c r="W93" s="126"/>
      <c r="X93" s="126"/>
      <c r="Y93" s="126"/>
      <c r="Z93" s="126"/>
      <c r="AA93" s="126"/>
      <c r="AB93" s="126"/>
      <c r="AC93" s="126"/>
    </row>
    <row r="94" spans="1:29" ht="15.75" hidden="1" customHeight="1">
      <c r="A94" s="126"/>
      <c r="B94" s="126"/>
      <c r="C94" s="176"/>
      <c r="D94" s="176"/>
      <c r="E94" s="176"/>
      <c r="F94" s="176"/>
      <c r="G94" s="176"/>
      <c r="H94" s="176"/>
      <c r="I94" s="126"/>
      <c r="J94" s="126"/>
      <c r="K94" s="126"/>
      <c r="L94" s="126"/>
      <c r="M94" s="126"/>
      <c r="N94" s="126"/>
      <c r="O94" s="126"/>
      <c r="P94" s="126"/>
      <c r="Q94" s="126"/>
      <c r="R94" s="126"/>
      <c r="S94" s="126"/>
      <c r="T94" s="126"/>
      <c r="U94" s="126"/>
      <c r="V94" s="126"/>
      <c r="W94" s="126"/>
      <c r="X94" s="126"/>
      <c r="Y94" s="126"/>
      <c r="Z94" s="126"/>
      <c r="AA94" s="126"/>
      <c r="AB94" s="126"/>
      <c r="AC94" s="126"/>
    </row>
    <row r="95" spans="1:29" ht="15.75" hidden="1" customHeight="1">
      <c r="A95" s="126"/>
      <c r="B95" s="126"/>
      <c r="C95" s="176"/>
      <c r="D95" s="176"/>
      <c r="E95" s="176"/>
      <c r="F95" s="176"/>
      <c r="G95" s="176"/>
      <c r="H95" s="176"/>
      <c r="I95" s="126"/>
      <c r="J95" s="126"/>
      <c r="K95" s="126"/>
      <c r="L95" s="126"/>
      <c r="M95" s="126"/>
      <c r="N95" s="126"/>
      <c r="O95" s="126"/>
      <c r="P95" s="126"/>
      <c r="Q95" s="126"/>
      <c r="R95" s="126"/>
      <c r="S95" s="126"/>
      <c r="T95" s="126"/>
      <c r="U95" s="126"/>
      <c r="V95" s="126"/>
      <c r="W95" s="126"/>
      <c r="X95" s="126"/>
      <c r="Y95" s="126"/>
      <c r="Z95" s="126"/>
      <c r="AA95" s="126"/>
      <c r="AB95" s="126"/>
      <c r="AC95" s="126"/>
    </row>
    <row r="96" spans="1:29" ht="15.75" hidden="1" customHeight="1">
      <c r="A96" s="126"/>
      <c r="B96" s="126"/>
      <c r="C96" s="176"/>
      <c r="D96" s="176"/>
      <c r="E96" s="176"/>
      <c r="F96" s="176"/>
      <c r="G96" s="176"/>
      <c r="H96" s="176"/>
      <c r="I96" s="126"/>
      <c r="J96" s="126"/>
      <c r="K96" s="126"/>
      <c r="L96" s="126"/>
      <c r="M96" s="126"/>
      <c r="N96" s="126"/>
      <c r="O96" s="126"/>
      <c r="P96" s="126"/>
      <c r="Q96" s="126"/>
      <c r="R96" s="126"/>
      <c r="S96" s="126"/>
      <c r="T96" s="126"/>
      <c r="U96" s="126"/>
      <c r="V96" s="126"/>
      <c r="W96" s="126"/>
      <c r="X96" s="126"/>
      <c r="Y96" s="126"/>
      <c r="Z96" s="126"/>
      <c r="AA96" s="126"/>
      <c r="AB96" s="126"/>
      <c r="AC96" s="126"/>
    </row>
    <row r="97" spans="1:29" ht="15.75" hidden="1" customHeight="1">
      <c r="A97" s="126"/>
      <c r="B97" s="126"/>
      <c r="C97" s="176"/>
      <c r="D97" s="176"/>
      <c r="E97" s="176"/>
      <c r="F97" s="176"/>
      <c r="G97" s="176"/>
      <c r="H97" s="176"/>
      <c r="I97" s="126"/>
      <c r="J97" s="126"/>
      <c r="K97" s="126"/>
      <c r="L97" s="126"/>
      <c r="M97" s="126"/>
      <c r="N97" s="126"/>
      <c r="O97" s="126"/>
      <c r="P97" s="126"/>
      <c r="Q97" s="126"/>
      <c r="R97" s="126"/>
      <c r="S97" s="126"/>
      <c r="T97" s="126"/>
      <c r="U97" s="126"/>
      <c r="V97" s="126"/>
      <c r="W97" s="126"/>
      <c r="X97" s="126"/>
      <c r="Y97" s="126"/>
      <c r="Z97" s="126"/>
      <c r="AA97" s="126"/>
      <c r="AB97" s="126"/>
      <c r="AC97" s="126"/>
    </row>
    <row r="98" spans="1:29" ht="15.75" hidden="1" customHeight="1">
      <c r="A98" s="126"/>
      <c r="B98" s="126"/>
      <c r="C98" s="176"/>
      <c r="D98" s="176"/>
      <c r="E98" s="176"/>
      <c r="F98" s="176"/>
      <c r="G98" s="176"/>
      <c r="H98" s="176"/>
      <c r="I98" s="126"/>
      <c r="J98" s="126"/>
      <c r="K98" s="126"/>
      <c r="L98" s="126"/>
      <c r="M98" s="126"/>
      <c r="N98" s="126"/>
      <c r="O98" s="126"/>
      <c r="P98" s="126"/>
      <c r="Q98" s="126"/>
      <c r="R98" s="126"/>
      <c r="S98" s="126"/>
      <c r="T98" s="126"/>
      <c r="U98" s="126"/>
      <c r="V98" s="126"/>
      <c r="W98" s="126"/>
      <c r="X98" s="126"/>
      <c r="Y98" s="126"/>
      <c r="Z98" s="126"/>
      <c r="AA98" s="126"/>
      <c r="AB98" s="126"/>
      <c r="AC98" s="126"/>
    </row>
    <row r="99" spans="1:29" ht="15.75" hidden="1" customHeight="1">
      <c r="A99" s="126"/>
      <c r="B99" s="126"/>
      <c r="C99" s="176"/>
      <c r="D99" s="176"/>
      <c r="E99" s="176"/>
      <c r="F99" s="176"/>
      <c r="G99" s="176"/>
      <c r="H99" s="176"/>
      <c r="I99" s="126"/>
      <c r="J99" s="126"/>
      <c r="K99" s="126"/>
      <c r="L99" s="126"/>
      <c r="M99" s="126"/>
      <c r="N99" s="126"/>
      <c r="O99" s="126"/>
      <c r="P99" s="126"/>
      <c r="Q99" s="126"/>
      <c r="R99" s="126"/>
      <c r="S99" s="126"/>
      <c r="T99" s="126"/>
      <c r="U99" s="126"/>
      <c r="V99" s="126"/>
      <c r="W99" s="126"/>
      <c r="X99" s="126"/>
      <c r="Y99" s="126"/>
      <c r="Z99" s="126"/>
      <c r="AA99" s="126"/>
      <c r="AB99" s="126"/>
      <c r="AC99" s="126"/>
    </row>
    <row r="100" spans="1:29" ht="15.75" hidden="1" customHeight="1">
      <c r="A100" s="126"/>
      <c r="B100" s="126"/>
      <c r="C100" s="176"/>
      <c r="D100" s="176"/>
      <c r="E100" s="176"/>
      <c r="F100" s="176"/>
      <c r="G100" s="176"/>
      <c r="H100" s="176"/>
      <c r="I100" s="126"/>
      <c r="J100" s="126"/>
      <c r="K100" s="126"/>
      <c r="L100" s="126"/>
      <c r="M100" s="126"/>
      <c r="N100" s="126"/>
      <c r="O100" s="126"/>
      <c r="P100" s="126"/>
      <c r="Q100" s="126"/>
      <c r="R100" s="126"/>
      <c r="S100" s="126"/>
      <c r="T100" s="126"/>
      <c r="U100" s="126"/>
      <c r="V100" s="126"/>
      <c r="W100" s="126"/>
      <c r="X100" s="126"/>
      <c r="Y100" s="126"/>
      <c r="Z100" s="126"/>
      <c r="AA100" s="126"/>
      <c r="AB100" s="126"/>
      <c r="AC100" s="126"/>
    </row>
    <row r="101" spans="1:29" ht="15.75" hidden="1" customHeight="1">
      <c r="A101" s="126"/>
      <c r="B101" s="126"/>
      <c r="C101" s="176"/>
      <c r="D101" s="176"/>
      <c r="E101" s="176"/>
      <c r="F101" s="176"/>
      <c r="G101" s="176"/>
      <c r="H101" s="176"/>
      <c r="I101" s="126"/>
      <c r="J101" s="126"/>
      <c r="K101" s="126"/>
      <c r="L101" s="126"/>
      <c r="M101" s="126"/>
      <c r="N101" s="126"/>
      <c r="O101" s="126"/>
      <c r="P101" s="126"/>
      <c r="Q101" s="126"/>
      <c r="R101" s="126"/>
      <c r="S101" s="126"/>
      <c r="T101" s="126"/>
      <c r="U101" s="126"/>
      <c r="V101" s="126"/>
      <c r="W101" s="126"/>
      <c r="X101" s="126"/>
      <c r="Y101" s="126"/>
      <c r="Z101" s="126"/>
      <c r="AA101" s="126"/>
      <c r="AB101" s="126"/>
      <c r="AC101" s="126"/>
    </row>
    <row r="102" spans="1:29" ht="15.75" hidden="1" customHeight="1">
      <c r="A102" s="126"/>
      <c r="B102" s="126"/>
      <c r="C102" s="176"/>
      <c r="D102" s="176"/>
      <c r="E102" s="176"/>
      <c r="F102" s="176"/>
      <c r="G102" s="176"/>
      <c r="H102" s="176"/>
      <c r="I102" s="126"/>
      <c r="J102" s="126"/>
      <c r="K102" s="126"/>
      <c r="L102" s="126"/>
      <c r="M102" s="126"/>
      <c r="N102" s="126"/>
      <c r="O102" s="126"/>
      <c r="P102" s="126"/>
      <c r="Q102" s="126"/>
      <c r="R102" s="126"/>
      <c r="S102" s="126"/>
      <c r="T102" s="126"/>
      <c r="U102" s="126"/>
      <c r="V102" s="126"/>
      <c r="W102" s="126"/>
      <c r="X102" s="126"/>
      <c r="Y102" s="126"/>
      <c r="Z102" s="126"/>
      <c r="AA102" s="126"/>
      <c r="AB102" s="126"/>
      <c r="AC102" s="126"/>
    </row>
    <row r="103" spans="1:29" ht="15.75" hidden="1" customHeight="1">
      <c r="A103" s="126"/>
      <c r="B103" s="126"/>
      <c r="C103" s="176"/>
      <c r="D103" s="176"/>
      <c r="E103" s="176"/>
      <c r="F103" s="176"/>
      <c r="G103" s="176"/>
      <c r="H103" s="176"/>
      <c r="I103" s="126"/>
      <c r="J103" s="126"/>
      <c r="K103" s="126"/>
      <c r="L103" s="126"/>
      <c r="M103" s="126"/>
      <c r="N103" s="126"/>
      <c r="O103" s="126"/>
      <c r="P103" s="126"/>
      <c r="Q103" s="126"/>
      <c r="R103" s="126"/>
      <c r="S103" s="126"/>
      <c r="T103" s="126"/>
      <c r="U103" s="126"/>
      <c r="V103" s="126"/>
      <c r="W103" s="126"/>
      <c r="X103" s="126"/>
      <c r="Y103" s="126"/>
      <c r="Z103" s="126"/>
      <c r="AA103" s="126"/>
      <c r="AB103" s="126"/>
      <c r="AC103" s="126"/>
    </row>
    <row r="104" spans="1:29" ht="15.75" hidden="1" customHeight="1">
      <c r="A104" s="126"/>
      <c r="B104" s="126"/>
      <c r="C104" s="176"/>
      <c r="D104" s="176"/>
      <c r="E104" s="176"/>
      <c r="F104" s="176"/>
      <c r="G104" s="176"/>
      <c r="H104" s="176"/>
      <c r="I104" s="126"/>
      <c r="J104" s="126"/>
      <c r="K104" s="126"/>
      <c r="L104" s="126"/>
      <c r="M104" s="126"/>
      <c r="N104" s="126"/>
      <c r="O104" s="126"/>
      <c r="P104" s="126"/>
      <c r="Q104" s="126"/>
      <c r="R104" s="126"/>
      <c r="S104" s="126"/>
      <c r="T104" s="126"/>
      <c r="U104" s="126"/>
      <c r="V104" s="126"/>
      <c r="W104" s="126"/>
      <c r="X104" s="126"/>
      <c r="Y104" s="126"/>
      <c r="Z104" s="126"/>
      <c r="AA104" s="126"/>
      <c r="AB104" s="126"/>
      <c r="AC104" s="126"/>
    </row>
    <row r="105" spans="1:29" ht="15.75" hidden="1" customHeight="1">
      <c r="A105" s="126"/>
      <c r="B105" s="126"/>
      <c r="C105" s="176"/>
      <c r="D105" s="176"/>
      <c r="E105" s="176"/>
      <c r="F105" s="176"/>
      <c r="G105" s="176"/>
      <c r="H105" s="176"/>
      <c r="I105" s="126"/>
      <c r="J105" s="126"/>
      <c r="K105" s="126"/>
      <c r="L105" s="126"/>
      <c r="M105" s="126"/>
      <c r="N105" s="126"/>
      <c r="O105" s="126"/>
      <c r="P105" s="126"/>
      <c r="Q105" s="126"/>
      <c r="R105" s="126"/>
      <c r="S105" s="126"/>
      <c r="T105" s="126"/>
      <c r="U105" s="126"/>
      <c r="V105" s="126"/>
      <c r="W105" s="126"/>
      <c r="X105" s="126"/>
      <c r="Y105" s="126"/>
      <c r="Z105" s="126"/>
      <c r="AA105" s="126"/>
      <c r="AB105" s="126"/>
      <c r="AC105" s="126"/>
    </row>
    <row r="106" spans="1:29" ht="15.75" hidden="1" customHeight="1">
      <c r="A106" s="126"/>
      <c r="B106" s="126"/>
      <c r="C106" s="176"/>
      <c r="D106" s="176"/>
      <c r="E106" s="176"/>
      <c r="F106" s="176"/>
      <c r="G106" s="176"/>
      <c r="H106" s="176"/>
      <c r="I106" s="126"/>
      <c r="J106" s="126"/>
      <c r="K106" s="126"/>
      <c r="L106" s="126"/>
      <c r="M106" s="126"/>
      <c r="N106" s="126"/>
      <c r="O106" s="126"/>
      <c r="P106" s="126"/>
      <c r="Q106" s="126"/>
      <c r="R106" s="126"/>
      <c r="S106" s="126"/>
      <c r="T106" s="126"/>
      <c r="U106" s="126"/>
      <c r="V106" s="126"/>
      <c r="W106" s="126"/>
      <c r="X106" s="126"/>
      <c r="Y106" s="126"/>
      <c r="Z106" s="126"/>
      <c r="AA106" s="126"/>
      <c r="AB106" s="126"/>
      <c r="AC106" s="126"/>
    </row>
    <row r="107" spans="1:29" ht="15.75" hidden="1" customHeight="1">
      <c r="A107" s="126"/>
      <c r="B107" s="126"/>
      <c r="C107" s="176"/>
      <c r="D107" s="176"/>
      <c r="E107" s="176"/>
      <c r="F107" s="176"/>
      <c r="G107" s="176"/>
      <c r="H107" s="176"/>
      <c r="I107" s="126"/>
      <c r="J107" s="126"/>
      <c r="K107" s="126"/>
      <c r="L107" s="126"/>
      <c r="M107" s="126"/>
      <c r="N107" s="126"/>
      <c r="O107" s="126"/>
      <c r="P107" s="126"/>
      <c r="Q107" s="126"/>
      <c r="R107" s="126"/>
      <c r="S107" s="126"/>
      <c r="T107" s="126"/>
      <c r="U107" s="126"/>
      <c r="V107" s="126"/>
      <c r="W107" s="126"/>
      <c r="X107" s="126"/>
      <c r="Y107" s="126"/>
      <c r="Z107" s="126"/>
      <c r="AA107" s="126"/>
      <c r="AB107" s="126"/>
      <c r="AC107" s="126"/>
    </row>
    <row r="108" spans="1:29" ht="15.75" hidden="1" customHeight="1">
      <c r="A108" s="126"/>
      <c r="B108" s="126"/>
      <c r="C108" s="176"/>
      <c r="D108" s="176"/>
      <c r="E108" s="176"/>
      <c r="F108" s="176"/>
      <c r="G108" s="176"/>
      <c r="H108" s="176"/>
      <c r="I108" s="126"/>
      <c r="J108" s="126"/>
      <c r="K108" s="126"/>
      <c r="L108" s="126"/>
      <c r="M108" s="126"/>
      <c r="N108" s="126"/>
      <c r="O108" s="126"/>
      <c r="P108" s="126"/>
      <c r="Q108" s="126"/>
      <c r="R108" s="126"/>
      <c r="S108" s="126"/>
      <c r="T108" s="126"/>
      <c r="U108" s="126"/>
      <c r="V108" s="126"/>
      <c r="W108" s="126"/>
      <c r="X108" s="126"/>
      <c r="Y108" s="126"/>
      <c r="Z108" s="126"/>
      <c r="AA108" s="126"/>
      <c r="AB108" s="126"/>
      <c r="AC108" s="126"/>
    </row>
    <row r="109" spans="1:29" ht="15.75" hidden="1" customHeight="1">
      <c r="A109" s="126"/>
      <c r="B109" s="126"/>
      <c r="C109" s="176"/>
      <c r="D109" s="176"/>
      <c r="E109" s="176"/>
      <c r="F109" s="176"/>
      <c r="G109" s="176"/>
      <c r="H109" s="176"/>
      <c r="I109" s="126"/>
      <c r="J109" s="126"/>
      <c r="K109" s="126"/>
      <c r="L109" s="126"/>
      <c r="M109" s="126"/>
      <c r="N109" s="126"/>
      <c r="O109" s="126"/>
      <c r="P109" s="126"/>
      <c r="Q109" s="126"/>
      <c r="R109" s="126"/>
      <c r="S109" s="126"/>
      <c r="T109" s="126"/>
      <c r="U109" s="126"/>
      <c r="V109" s="126"/>
      <c r="W109" s="126"/>
      <c r="X109" s="126"/>
      <c r="Y109" s="126"/>
      <c r="Z109" s="126"/>
      <c r="AA109" s="126"/>
      <c r="AB109" s="126"/>
      <c r="AC109" s="126"/>
    </row>
    <row r="110" spans="1:29" ht="15.75" hidden="1" customHeight="1">
      <c r="A110" s="126"/>
      <c r="B110" s="126"/>
      <c r="C110" s="176"/>
      <c r="D110" s="176"/>
      <c r="E110" s="176"/>
      <c r="F110" s="176"/>
      <c r="G110" s="176"/>
      <c r="H110" s="176"/>
      <c r="I110" s="126"/>
      <c r="J110" s="126"/>
      <c r="K110" s="126"/>
      <c r="L110" s="126"/>
      <c r="M110" s="126"/>
      <c r="N110" s="126"/>
      <c r="O110" s="126"/>
      <c r="P110" s="126"/>
      <c r="Q110" s="126"/>
      <c r="R110" s="126"/>
      <c r="S110" s="126"/>
      <c r="T110" s="126"/>
      <c r="U110" s="126"/>
      <c r="V110" s="126"/>
      <c r="W110" s="126"/>
      <c r="X110" s="126"/>
      <c r="Y110" s="126"/>
      <c r="Z110" s="126"/>
      <c r="AA110" s="126"/>
      <c r="AB110" s="126"/>
      <c r="AC110" s="126"/>
    </row>
    <row r="111" spans="1:29" ht="15.75" hidden="1" customHeight="1">
      <c r="A111" s="126"/>
      <c r="B111" s="126"/>
      <c r="C111" s="176"/>
      <c r="D111" s="176"/>
      <c r="E111" s="176"/>
      <c r="F111" s="176"/>
      <c r="G111" s="176"/>
      <c r="H111" s="176"/>
      <c r="I111" s="126"/>
      <c r="J111" s="126"/>
      <c r="K111" s="126"/>
      <c r="L111" s="126"/>
      <c r="M111" s="126"/>
      <c r="N111" s="126"/>
      <c r="O111" s="126"/>
      <c r="P111" s="126"/>
      <c r="Q111" s="126"/>
      <c r="R111" s="126"/>
      <c r="S111" s="126"/>
      <c r="T111" s="126"/>
      <c r="U111" s="126"/>
      <c r="V111" s="126"/>
      <c r="W111" s="126"/>
      <c r="X111" s="126"/>
      <c r="Y111" s="126"/>
      <c r="Z111" s="126"/>
      <c r="AA111" s="126"/>
      <c r="AB111" s="126"/>
      <c r="AC111" s="126"/>
    </row>
    <row r="112" spans="1:29" ht="15.75" hidden="1" customHeight="1">
      <c r="A112" s="126"/>
      <c r="B112" s="126"/>
      <c r="C112" s="176"/>
      <c r="D112" s="176"/>
      <c r="E112" s="176"/>
      <c r="F112" s="176"/>
      <c r="G112" s="176"/>
      <c r="H112" s="176"/>
      <c r="I112" s="126"/>
      <c r="J112" s="126"/>
      <c r="K112" s="126"/>
      <c r="L112" s="126"/>
      <c r="M112" s="126"/>
      <c r="N112" s="126"/>
      <c r="O112" s="126"/>
      <c r="P112" s="126"/>
      <c r="Q112" s="126"/>
      <c r="R112" s="126"/>
      <c r="S112" s="126"/>
      <c r="T112" s="126"/>
      <c r="U112" s="126"/>
      <c r="V112" s="126"/>
      <c r="W112" s="126"/>
      <c r="X112" s="126"/>
      <c r="Y112" s="126"/>
      <c r="Z112" s="126"/>
      <c r="AA112" s="126"/>
      <c r="AB112" s="126"/>
      <c r="AC112" s="126"/>
    </row>
    <row r="113" spans="1:29" ht="15.75" hidden="1" customHeight="1">
      <c r="A113" s="126"/>
      <c r="B113" s="126"/>
      <c r="C113" s="176"/>
      <c r="D113" s="176"/>
      <c r="E113" s="176"/>
      <c r="F113" s="176"/>
      <c r="G113" s="176"/>
      <c r="H113" s="176"/>
      <c r="I113" s="126"/>
      <c r="J113" s="126"/>
      <c r="K113" s="126"/>
      <c r="L113" s="126"/>
      <c r="M113" s="126"/>
      <c r="N113" s="126"/>
      <c r="O113" s="126"/>
      <c r="P113" s="126"/>
      <c r="Q113" s="126"/>
      <c r="R113" s="126"/>
      <c r="S113" s="126"/>
      <c r="T113" s="126"/>
      <c r="U113" s="126"/>
      <c r="V113" s="126"/>
      <c r="W113" s="126"/>
      <c r="X113" s="126"/>
      <c r="Y113" s="126"/>
      <c r="Z113" s="126"/>
      <c r="AA113" s="126"/>
      <c r="AB113" s="126"/>
      <c r="AC113" s="126"/>
    </row>
    <row r="114" spans="1:29" ht="15.75" hidden="1" customHeight="1">
      <c r="A114" s="126"/>
      <c r="B114" s="126"/>
      <c r="C114" s="176"/>
      <c r="D114" s="176"/>
      <c r="E114" s="176"/>
      <c r="F114" s="176"/>
      <c r="G114" s="176"/>
      <c r="H114" s="176"/>
      <c r="I114" s="126"/>
      <c r="J114" s="126"/>
      <c r="K114" s="126"/>
      <c r="L114" s="126"/>
      <c r="M114" s="126"/>
      <c r="N114" s="126"/>
      <c r="O114" s="126"/>
      <c r="P114" s="126"/>
      <c r="Q114" s="126"/>
      <c r="R114" s="126"/>
      <c r="S114" s="126"/>
      <c r="T114" s="126"/>
      <c r="U114" s="126"/>
      <c r="V114" s="126"/>
      <c r="W114" s="126"/>
      <c r="X114" s="126"/>
      <c r="Y114" s="126"/>
      <c r="Z114" s="126"/>
      <c r="AA114" s="126"/>
      <c r="AB114" s="126"/>
      <c r="AC114" s="126"/>
    </row>
    <row r="115" spans="1:29" ht="15.75" hidden="1" customHeight="1">
      <c r="A115" s="126"/>
      <c r="B115" s="126"/>
      <c r="C115" s="176"/>
      <c r="D115" s="176"/>
      <c r="E115" s="176"/>
      <c r="F115" s="176"/>
      <c r="G115" s="176"/>
      <c r="H115" s="176"/>
      <c r="I115" s="126"/>
      <c r="J115" s="126"/>
      <c r="K115" s="126"/>
      <c r="L115" s="126"/>
      <c r="M115" s="126"/>
      <c r="N115" s="126"/>
      <c r="O115" s="126"/>
      <c r="P115" s="126"/>
      <c r="Q115" s="126"/>
      <c r="R115" s="126"/>
      <c r="S115" s="126"/>
      <c r="T115" s="126"/>
      <c r="U115" s="126"/>
      <c r="V115" s="126"/>
      <c r="W115" s="126"/>
      <c r="X115" s="126"/>
      <c r="Y115" s="126"/>
      <c r="Z115" s="126"/>
      <c r="AA115" s="126"/>
      <c r="AB115" s="126"/>
      <c r="AC115" s="126"/>
    </row>
    <row r="116" spans="1:29" ht="15.75" hidden="1" customHeight="1">
      <c r="A116" s="126"/>
      <c r="B116" s="126"/>
      <c r="C116" s="176"/>
      <c r="D116" s="176"/>
      <c r="E116" s="176"/>
      <c r="F116" s="176"/>
      <c r="G116" s="176"/>
      <c r="H116" s="176"/>
      <c r="I116" s="126"/>
      <c r="J116" s="126"/>
      <c r="K116" s="126"/>
      <c r="L116" s="126"/>
      <c r="M116" s="126"/>
      <c r="N116" s="126"/>
      <c r="O116" s="126"/>
      <c r="P116" s="126"/>
      <c r="Q116" s="126"/>
      <c r="R116" s="126"/>
      <c r="S116" s="126"/>
      <c r="T116" s="126"/>
      <c r="U116" s="126"/>
      <c r="V116" s="126"/>
      <c r="W116" s="126"/>
      <c r="X116" s="126"/>
      <c r="Y116" s="126"/>
      <c r="Z116" s="126"/>
      <c r="AA116" s="126"/>
      <c r="AB116" s="126"/>
      <c r="AC116" s="126"/>
    </row>
    <row r="117" spans="1:29" ht="15.75" hidden="1" customHeight="1">
      <c r="A117" s="126"/>
      <c r="B117" s="126"/>
      <c r="C117" s="176"/>
      <c r="D117" s="176"/>
      <c r="E117" s="176"/>
      <c r="F117" s="176"/>
      <c r="G117" s="176"/>
      <c r="H117" s="176"/>
      <c r="I117" s="126"/>
      <c r="J117" s="126"/>
      <c r="K117" s="126"/>
      <c r="L117" s="126"/>
      <c r="M117" s="126"/>
      <c r="N117" s="126"/>
      <c r="O117" s="126"/>
      <c r="P117" s="126"/>
      <c r="Q117" s="126"/>
      <c r="R117" s="126"/>
      <c r="S117" s="126"/>
      <c r="T117" s="126"/>
      <c r="U117" s="126"/>
      <c r="V117" s="126"/>
      <c r="W117" s="126"/>
      <c r="X117" s="126"/>
      <c r="Y117" s="126"/>
      <c r="Z117" s="126"/>
      <c r="AA117" s="126"/>
      <c r="AB117" s="126"/>
      <c r="AC117" s="126"/>
    </row>
    <row r="118" spans="1:29" ht="15.75" hidden="1" customHeight="1">
      <c r="A118" s="126"/>
      <c r="B118" s="126"/>
      <c r="C118" s="176"/>
      <c r="D118" s="176"/>
      <c r="E118" s="176"/>
      <c r="F118" s="176"/>
      <c r="G118" s="176"/>
      <c r="H118" s="176"/>
      <c r="I118" s="126"/>
      <c r="J118" s="126"/>
      <c r="K118" s="126"/>
      <c r="L118" s="126"/>
      <c r="M118" s="126"/>
      <c r="N118" s="126"/>
      <c r="O118" s="126"/>
      <c r="P118" s="126"/>
      <c r="Q118" s="126"/>
      <c r="R118" s="126"/>
      <c r="S118" s="126"/>
      <c r="T118" s="126"/>
      <c r="U118" s="126"/>
      <c r="V118" s="126"/>
      <c r="W118" s="126"/>
      <c r="X118" s="126"/>
      <c r="Y118" s="126"/>
      <c r="Z118" s="126"/>
      <c r="AA118" s="126"/>
      <c r="AB118" s="126"/>
      <c r="AC118" s="126"/>
    </row>
    <row r="119" spans="1:29" ht="15.75" hidden="1" customHeight="1">
      <c r="A119" s="126"/>
      <c r="B119" s="126"/>
      <c r="C119" s="176"/>
      <c r="D119" s="176"/>
      <c r="E119" s="176"/>
      <c r="F119" s="176"/>
      <c r="G119" s="176"/>
      <c r="H119" s="176"/>
      <c r="I119" s="126"/>
      <c r="J119" s="126"/>
      <c r="K119" s="126"/>
      <c r="L119" s="126"/>
      <c r="M119" s="126"/>
      <c r="N119" s="126"/>
      <c r="O119" s="126"/>
      <c r="P119" s="126"/>
      <c r="Q119" s="126"/>
      <c r="R119" s="126"/>
      <c r="S119" s="126"/>
      <c r="T119" s="126"/>
      <c r="U119" s="126"/>
      <c r="V119" s="126"/>
      <c r="W119" s="126"/>
      <c r="X119" s="126"/>
      <c r="Y119" s="126"/>
      <c r="Z119" s="126"/>
      <c r="AA119" s="126"/>
      <c r="AB119" s="126"/>
      <c r="AC119" s="126"/>
    </row>
    <row r="120" spans="1:29" ht="15.75" hidden="1" customHeight="1">
      <c r="A120" s="126"/>
      <c r="B120" s="126"/>
      <c r="C120" s="176"/>
      <c r="D120" s="176"/>
      <c r="E120" s="176"/>
      <c r="F120" s="176"/>
      <c r="G120" s="176"/>
      <c r="H120" s="176"/>
      <c r="I120" s="126"/>
      <c r="J120" s="126"/>
      <c r="K120" s="126"/>
      <c r="L120" s="126"/>
      <c r="M120" s="126"/>
      <c r="N120" s="126"/>
      <c r="O120" s="126"/>
      <c r="P120" s="126"/>
      <c r="Q120" s="126"/>
      <c r="R120" s="126"/>
      <c r="S120" s="126"/>
      <c r="T120" s="126"/>
      <c r="U120" s="126"/>
      <c r="V120" s="126"/>
      <c r="W120" s="126"/>
      <c r="X120" s="126"/>
      <c r="Y120" s="126"/>
      <c r="Z120" s="126"/>
      <c r="AA120" s="126"/>
      <c r="AB120" s="126"/>
      <c r="AC120" s="126"/>
    </row>
    <row r="121" spans="1:29" ht="15.75" hidden="1" customHeight="1">
      <c r="A121" s="126"/>
      <c r="B121" s="126"/>
      <c r="C121" s="176"/>
      <c r="D121" s="176"/>
      <c r="E121" s="176"/>
      <c r="F121" s="176"/>
      <c r="G121" s="176"/>
      <c r="H121" s="176"/>
      <c r="I121" s="126"/>
      <c r="J121" s="126"/>
      <c r="K121" s="126"/>
      <c r="L121" s="126"/>
      <c r="M121" s="126"/>
      <c r="N121" s="126"/>
      <c r="O121" s="126"/>
      <c r="P121" s="126"/>
      <c r="Q121" s="126"/>
      <c r="R121" s="126"/>
      <c r="S121" s="126"/>
      <c r="T121" s="126"/>
      <c r="U121" s="126"/>
      <c r="V121" s="126"/>
      <c r="W121" s="126"/>
      <c r="X121" s="126"/>
      <c r="Y121" s="126"/>
      <c r="Z121" s="126"/>
      <c r="AA121" s="126"/>
      <c r="AB121" s="126"/>
      <c r="AC121" s="126"/>
    </row>
    <row r="122" spans="1:29" ht="15.75" hidden="1" customHeight="1">
      <c r="A122" s="126"/>
      <c r="B122" s="126"/>
      <c r="C122" s="176"/>
      <c r="D122" s="176"/>
      <c r="E122" s="176"/>
      <c r="F122" s="176"/>
      <c r="G122" s="176"/>
      <c r="H122" s="176"/>
      <c r="I122" s="126"/>
      <c r="J122" s="126"/>
      <c r="K122" s="126"/>
      <c r="L122" s="126"/>
      <c r="M122" s="126"/>
      <c r="N122" s="126"/>
      <c r="O122" s="126"/>
      <c r="P122" s="126"/>
      <c r="Q122" s="126"/>
      <c r="R122" s="126"/>
      <c r="S122" s="126"/>
      <c r="T122" s="126"/>
      <c r="U122" s="126"/>
      <c r="V122" s="126"/>
      <c r="W122" s="126"/>
      <c r="X122" s="126"/>
      <c r="Y122" s="126"/>
      <c r="Z122" s="126"/>
      <c r="AA122" s="126"/>
      <c r="AB122" s="126"/>
      <c r="AC122" s="126"/>
    </row>
    <row r="123" spans="1:29" ht="15.75" hidden="1" customHeight="1">
      <c r="A123" s="126"/>
      <c r="B123" s="126"/>
      <c r="C123" s="176"/>
      <c r="D123" s="176"/>
      <c r="E123" s="176"/>
      <c r="F123" s="176"/>
      <c r="G123" s="176"/>
      <c r="H123" s="176"/>
      <c r="I123" s="126"/>
      <c r="J123" s="126"/>
      <c r="K123" s="126"/>
      <c r="L123" s="126"/>
      <c r="M123" s="126"/>
      <c r="N123" s="126"/>
      <c r="O123" s="126"/>
      <c r="P123" s="126"/>
      <c r="Q123" s="126"/>
      <c r="R123" s="126"/>
      <c r="S123" s="126"/>
      <c r="T123" s="126"/>
      <c r="U123" s="126"/>
      <c r="V123" s="126"/>
      <c r="W123" s="126"/>
      <c r="X123" s="126"/>
      <c r="Y123" s="126"/>
      <c r="Z123" s="126"/>
      <c r="AA123" s="126"/>
      <c r="AB123" s="126"/>
      <c r="AC123" s="126"/>
    </row>
    <row r="124" spans="1:29" ht="15.75" customHeight="1">
      <c r="A124" s="126"/>
      <c r="B124" s="126"/>
      <c r="C124" s="176"/>
      <c r="D124" s="176"/>
      <c r="E124" s="176"/>
      <c r="F124" s="176"/>
      <c r="G124" s="176"/>
      <c r="H124" s="176"/>
      <c r="I124" s="126"/>
      <c r="J124" s="126"/>
      <c r="K124" s="126"/>
      <c r="L124" s="126"/>
      <c r="M124" s="126"/>
      <c r="N124" s="126"/>
      <c r="O124" s="126"/>
      <c r="P124" s="126"/>
      <c r="Q124" s="126"/>
      <c r="R124" s="126"/>
      <c r="S124" s="126"/>
      <c r="T124" s="126"/>
      <c r="U124" s="126"/>
      <c r="V124" s="126"/>
      <c r="W124" s="126"/>
      <c r="X124" s="126"/>
      <c r="Y124" s="126"/>
      <c r="Z124" s="126"/>
      <c r="AA124" s="126"/>
      <c r="AB124" s="126"/>
      <c r="AC124" s="126"/>
    </row>
    <row r="125" spans="1:29" ht="15.75" customHeight="1">
      <c r="A125" s="126"/>
      <c r="B125" s="126"/>
      <c r="C125" s="176"/>
      <c r="D125" s="176"/>
      <c r="E125" s="176"/>
      <c r="F125" s="176"/>
      <c r="G125" s="176"/>
      <c r="H125" s="176"/>
      <c r="I125" s="126"/>
      <c r="J125" s="126"/>
      <c r="K125" s="126"/>
      <c r="L125" s="126"/>
      <c r="M125" s="126"/>
      <c r="N125" s="126"/>
      <c r="O125" s="126"/>
      <c r="P125" s="126"/>
      <c r="Q125" s="126"/>
      <c r="R125" s="126"/>
      <c r="S125" s="126"/>
      <c r="T125" s="126"/>
      <c r="U125" s="126"/>
      <c r="V125" s="126"/>
      <c r="W125" s="126"/>
      <c r="X125" s="126"/>
      <c r="Y125" s="126"/>
      <c r="Z125" s="126"/>
      <c r="AA125" s="126"/>
      <c r="AB125" s="126"/>
      <c r="AC125" s="126"/>
    </row>
    <row r="126" spans="1:29" ht="15.75" customHeight="1">
      <c r="A126" s="126"/>
      <c r="B126" s="126"/>
      <c r="C126" s="176"/>
      <c r="D126" s="176"/>
      <c r="E126" s="176"/>
      <c r="F126" s="176"/>
      <c r="G126" s="176"/>
      <c r="H126" s="176"/>
      <c r="I126" s="126"/>
      <c r="J126" s="126"/>
      <c r="K126" s="126"/>
      <c r="L126" s="126"/>
      <c r="M126" s="126"/>
      <c r="N126" s="126"/>
      <c r="O126" s="126"/>
      <c r="P126" s="126"/>
      <c r="Q126" s="126"/>
      <c r="R126" s="126"/>
      <c r="S126" s="126"/>
      <c r="T126" s="126"/>
      <c r="U126" s="126"/>
      <c r="V126" s="126"/>
      <c r="W126" s="126"/>
      <c r="X126" s="126"/>
      <c r="Y126" s="126"/>
      <c r="Z126" s="126"/>
      <c r="AA126" s="126"/>
      <c r="AB126" s="126"/>
      <c r="AC126" s="126"/>
    </row>
    <row r="127" spans="1:29" ht="15.75" customHeight="1">
      <c r="A127" s="126"/>
      <c r="B127" s="126"/>
      <c r="C127" s="176"/>
      <c r="D127" s="176"/>
      <c r="E127" s="176"/>
      <c r="F127" s="176"/>
      <c r="G127" s="176"/>
      <c r="H127" s="176"/>
      <c r="I127" s="126"/>
      <c r="J127" s="126"/>
      <c r="K127" s="126"/>
      <c r="L127" s="126"/>
      <c r="M127" s="126"/>
      <c r="N127" s="126"/>
      <c r="O127" s="126"/>
      <c r="P127" s="126"/>
      <c r="Q127" s="126"/>
      <c r="R127" s="126"/>
      <c r="S127" s="126"/>
      <c r="T127" s="126"/>
      <c r="U127" s="126"/>
      <c r="V127" s="126"/>
      <c r="W127" s="126"/>
      <c r="X127" s="126"/>
      <c r="Y127" s="126"/>
      <c r="Z127" s="126"/>
      <c r="AA127" s="126"/>
      <c r="AB127" s="126"/>
      <c r="AC127" s="126"/>
    </row>
    <row r="128" spans="1:29" ht="15.75" customHeight="1">
      <c r="A128" s="126"/>
      <c r="B128" s="126"/>
      <c r="C128" s="176"/>
      <c r="D128" s="176"/>
      <c r="E128" s="176"/>
      <c r="F128" s="176"/>
      <c r="G128" s="176"/>
      <c r="H128" s="176"/>
      <c r="I128" s="126"/>
      <c r="J128" s="126"/>
      <c r="K128" s="126"/>
      <c r="L128" s="126"/>
      <c r="M128" s="126"/>
      <c r="N128" s="126"/>
      <c r="O128" s="126"/>
      <c r="P128" s="126"/>
      <c r="Q128" s="126"/>
      <c r="R128" s="126"/>
      <c r="S128" s="126"/>
      <c r="T128" s="126"/>
      <c r="U128" s="126"/>
      <c r="V128" s="126"/>
      <c r="W128" s="126"/>
      <c r="X128" s="126"/>
      <c r="Y128" s="126"/>
      <c r="Z128" s="126"/>
      <c r="AA128" s="126"/>
      <c r="AB128" s="126"/>
      <c r="AC128" s="126"/>
    </row>
    <row r="129" spans="1:29" ht="15.75" customHeight="1">
      <c r="A129" s="126"/>
      <c r="B129" s="126"/>
      <c r="C129" s="176"/>
      <c r="D129" s="176"/>
      <c r="E129" s="176"/>
      <c r="F129" s="176"/>
      <c r="G129" s="176"/>
      <c r="H129" s="176"/>
      <c r="I129" s="126"/>
      <c r="J129" s="126"/>
      <c r="K129" s="126"/>
      <c r="L129" s="126"/>
      <c r="M129" s="126"/>
      <c r="N129" s="126"/>
      <c r="O129" s="126"/>
      <c r="P129" s="126"/>
      <c r="Q129" s="126"/>
      <c r="R129" s="126"/>
      <c r="S129" s="126"/>
      <c r="T129" s="126"/>
      <c r="U129" s="126"/>
      <c r="V129" s="126"/>
      <c r="W129" s="126"/>
      <c r="X129" s="126"/>
      <c r="Y129" s="126"/>
      <c r="Z129" s="126"/>
      <c r="AA129" s="126"/>
      <c r="AB129" s="126"/>
      <c r="AC129" s="126"/>
    </row>
    <row r="130" spans="1:29" ht="15.75" customHeight="1">
      <c r="A130" s="126"/>
      <c r="B130" s="126"/>
      <c r="C130" s="176"/>
      <c r="D130" s="176"/>
      <c r="E130" s="176"/>
      <c r="F130" s="176"/>
      <c r="G130" s="176"/>
      <c r="H130" s="176"/>
      <c r="I130" s="126"/>
      <c r="J130" s="126"/>
      <c r="K130" s="126"/>
      <c r="L130" s="126"/>
      <c r="M130" s="126"/>
      <c r="N130" s="126"/>
      <c r="O130" s="126"/>
      <c r="P130" s="126"/>
      <c r="Q130" s="126"/>
      <c r="R130" s="126"/>
      <c r="S130" s="126"/>
      <c r="T130" s="126"/>
      <c r="U130" s="126"/>
      <c r="V130" s="126"/>
      <c r="W130" s="126"/>
      <c r="X130" s="126"/>
      <c r="Y130" s="126"/>
      <c r="Z130" s="126"/>
      <c r="AA130" s="126"/>
      <c r="AB130" s="126"/>
      <c r="AC130" s="126"/>
    </row>
    <row r="131" spans="1:29" ht="15.75" customHeight="1">
      <c r="A131" s="126"/>
      <c r="B131" s="126"/>
      <c r="C131" s="176"/>
      <c r="D131" s="176"/>
      <c r="E131" s="176"/>
      <c r="F131" s="176"/>
      <c r="G131" s="176"/>
      <c r="H131" s="176"/>
      <c r="I131" s="126"/>
      <c r="J131" s="126"/>
      <c r="K131" s="126"/>
      <c r="L131" s="126"/>
      <c r="M131" s="126"/>
      <c r="N131" s="126"/>
      <c r="O131" s="126"/>
      <c r="P131" s="126"/>
      <c r="Q131" s="126"/>
      <c r="R131" s="126"/>
      <c r="S131" s="126"/>
      <c r="T131" s="126"/>
      <c r="U131" s="126"/>
      <c r="V131" s="126"/>
      <c r="W131" s="126"/>
      <c r="X131" s="126"/>
      <c r="Y131" s="126"/>
      <c r="Z131" s="126"/>
      <c r="AA131" s="126"/>
      <c r="AB131" s="126"/>
      <c r="AC131" s="126"/>
    </row>
    <row r="132" spans="1:29" ht="15.75" customHeight="1">
      <c r="A132" s="126"/>
      <c r="B132" s="126"/>
      <c r="C132" s="176"/>
      <c r="D132" s="176"/>
      <c r="E132" s="176"/>
      <c r="F132" s="176"/>
      <c r="G132" s="176"/>
      <c r="H132" s="176"/>
      <c r="I132" s="126"/>
      <c r="J132" s="126"/>
      <c r="K132" s="126"/>
      <c r="L132" s="126"/>
      <c r="M132" s="126"/>
      <c r="N132" s="126"/>
      <c r="O132" s="126"/>
      <c r="P132" s="126"/>
      <c r="Q132" s="126"/>
      <c r="R132" s="126"/>
      <c r="S132" s="126"/>
      <c r="T132" s="126"/>
      <c r="U132" s="126"/>
      <c r="V132" s="126"/>
      <c r="W132" s="126"/>
      <c r="X132" s="126"/>
      <c r="Y132" s="126"/>
      <c r="Z132" s="126"/>
      <c r="AA132" s="126"/>
      <c r="AB132" s="126"/>
      <c r="AC132" s="126"/>
    </row>
    <row r="133" spans="1:29" ht="15.75" customHeight="1">
      <c r="A133" s="126"/>
      <c r="B133" s="126"/>
      <c r="C133" s="176"/>
      <c r="D133" s="176"/>
      <c r="E133" s="176"/>
      <c r="F133" s="176"/>
      <c r="G133" s="176"/>
      <c r="H133" s="176"/>
      <c r="I133" s="126"/>
      <c r="J133" s="126"/>
      <c r="K133" s="126"/>
      <c r="L133" s="126"/>
      <c r="M133" s="126"/>
      <c r="N133" s="126"/>
      <c r="O133" s="126"/>
      <c r="P133" s="126"/>
      <c r="Q133" s="126"/>
      <c r="R133" s="126"/>
      <c r="S133" s="126"/>
      <c r="T133" s="126"/>
      <c r="U133" s="126"/>
      <c r="V133" s="126"/>
      <c r="W133" s="126"/>
      <c r="X133" s="126"/>
      <c r="Y133" s="126"/>
      <c r="Z133" s="126"/>
      <c r="AA133" s="126"/>
      <c r="AB133" s="126"/>
      <c r="AC133" s="126"/>
    </row>
    <row r="134" spans="1:29" ht="15.75" customHeight="1">
      <c r="A134" s="126"/>
      <c r="B134" s="126"/>
      <c r="C134" s="176"/>
      <c r="D134" s="176"/>
      <c r="E134" s="176"/>
      <c r="F134" s="176"/>
      <c r="G134" s="176"/>
      <c r="H134" s="176"/>
      <c r="I134" s="126"/>
      <c r="J134" s="126"/>
      <c r="K134" s="126"/>
      <c r="L134" s="126"/>
      <c r="M134" s="126"/>
      <c r="N134" s="126"/>
      <c r="O134" s="126"/>
      <c r="P134" s="126"/>
      <c r="Q134" s="126"/>
      <c r="R134" s="126"/>
      <c r="S134" s="126"/>
      <c r="T134" s="126"/>
      <c r="U134" s="126"/>
      <c r="V134" s="126"/>
      <c r="W134" s="126"/>
      <c r="X134" s="126"/>
      <c r="Y134" s="126"/>
      <c r="Z134" s="126"/>
      <c r="AA134" s="126"/>
      <c r="AB134" s="126"/>
      <c r="AC134" s="126"/>
    </row>
    <row r="135" spans="1:29" ht="15.75" customHeight="1">
      <c r="A135" s="126"/>
      <c r="B135" s="126"/>
      <c r="C135" s="176"/>
      <c r="D135" s="176"/>
      <c r="E135" s="176"/>
      <c r="F135" s="176"/>
      <c r="G135" s="176"/>
      <c r="H135" s="176"/>
      <c r="I135" s="126"/>
      <c r="J135" s="126"/>
      <c r="K135" s="126"/>
      <c r="L135" s="126"/>
      <c r="M135" s="126"/>
      <c r="N135" s="126"/>
      <c r="O135" s="126"/>
      <c r="P135" s="126"/>
      <c r="Q135" s="126"/>
      <c r="R135" s="126"/>
      <c r="S135" s="126"/>
      <c r="T135" s="126"/>
      <c r="U135" s="126"/>
      <c r="V135" s="126"/>
      <c r="W135" s="126"/>
      <c r="X135" s="126"/>
      <c r="Y135" s="126"/>
      <c r="Z135" s="126"/>
      <c r="AA135" s="126"/>
      <c r="AB135" s="126"/>
      <c r="AC135" s="126"/>
    </row>
    <row r="136" spans="1:29" ht="15.75" customHeight="1">
      <c r="A136" s="126"/>
      <c r="B136" s="126"/>
      <c r="C136" s="176"/>
      <c r="D136" s="176"/>
      <c r="E136" s="176"/>
      <c r="F136" s="176"/>
      <c r="G136" s="176"/>
      <c r="H136" s="176"/>
      <c r="I136" s="126"/>
      <c r="J136" s="126"/>
      <c r="K136" s="126"/>
      <c r="L136" s="126"/>
      <c r="M136" s="126"/>
      <c r="N136" s="126"/>
      <c r="O136" s="126"/>
      <c r="P136" s="126"/>
      <c r="Q136" s="126"/>
      <c r="R136" s="126"/>
      <c r="S136" s="126"/>
      <c r="T136" s="126"/>
      <c r="U136" s="126"/>
      <c r="V136" s="126"/>
      <c r="W136" s="126"/>
      <c r="X136" s="126"/>
      <c r="Y136" s="126"/>
      <c r="Z136" s="126"/>
      <c r="AA136" s="126"/>
      <c r="AB136" s="126"/>
      <c r="AC136" s="126"/>
    </row>
    <row r="137" spans="1:29" ht="15.75" customHeight="1">
      <c r="A137" s="126"/>
      <c r="B137" s="126"/>
      <c r="C137" s="176"/>
      <c r="D137" s="176"/>
      <c r="E137" s="176"/>
      <c r="F137" s="176"/>
      <c r="G137" s="176"/>
      <c r="H137" s="176"/>
      <c r="I137" s="126"/>
      <c r="J137" s="126"/>
      <c r="K137" s="126"/>
      <c r="L137" s="126"/>
      <c r="M137" s="126"/>
      <c r="N137" s="126"/>
      <c r="O137" s="126"/>
      <c r="P137" s="126"/>
      <c r="Q137" s="126"/>
      <c r="R137" s="126"/>
      <c r="S137" s="126"/>
      <c r="T137" s="126"/>
      <c r="U137" s="126"/>
      <c r="V137" s="126"/>
      <c r="W137" s="126"/>
      <c r="X137" s="126"/>
      <c r="Y137" s="126"/>
      <c r="Z137" s="126"/>
      <c r="AA137" s="126"/>
      <c r="AB137" s="126"/>
      <c r="AC137" s="126"/>
    </row>
    <row r="138" spans="1:29" ht="15.75" customHeight="1">
      <c r="A138" s="126"/>
      <c r="B138" s="126"/>
      <c r="C138" s="176"/>
      <c r="D138" s="176"/>
      <c r="E138" s="176"/>
      <c r="F138" s="176"/>
      <c r="G138" s="176"/>
      <c r="H138" s="176"/>
      <c r="I138" s="126"/>
      <c r="J138" s="126"/>
      <c r="K138" s="126"/>
      <c r="L138" s="126"/>
      <c r="M138" s="126"/>
      <c r="N138" s="126"/>
      <c r="O138" s="126"/>
      <c r="P138" s="126"/>
      <c r="Q138" s="126"/>
      <c r="R138" s="126"/>
      <c r="S138" s="126"/>
      <c r="T138" s="126"/>
      <c r="U138" s="126"/>
      <c r="V138" s="126"/>
      <c r="W138" s="126"/>
      <c r="X138" s="126"/>
      <c r="Y138" s="126"/>
      <c r="Z138" s="126"/>
      <c r="AA138" s="126"/>
      <c r="AB138" s="126"/>
      <c r="AC138" s="126"/>
    </row>
    <row r="139" spans="1:29" ht="15.75" customHeight="1">
      <c r="A139" s="126"/>
      <c r="B139" s="126"/>
      <c r="C139" s="176"/>
      <c r="D139" s="176"/>
      <c r="E139" s="176"/>
      <c r="F139" s="176"/>
      <c r="G139" s="176"/>
      <c r="H139" s="176"/>
      <c r="I139" s="126"/>
      <c r="J139" s="126"/>
      <c r="K139" s="126"/>
      <c r="L139" s="126"/>
      <c r="M139" s="126"/>
      <c r="N139" s="126"/>
      <c r="O139" s="126"/>
      <c r="P139" s="126"/>
      <c r="Q139" s="126"/>
      <c r="R139" s="126"/>
      <c r="S139" s="126"/>
      <c r="T139" s="126"/>
      <c r="U139" s="126"/>
      <c r="V139" s="126"/>
      <c r="W139" s="126"/>
      <c r="X139" s="126"/>
      <c r="Y139" s="126"/>
      <c r="Z139" s="126"/>
      <c r="AA139" s="126"/>
      <c r="AB139" s="126"/>
      <c r="AC139" s="126"/>
    </row>
    <row r="140" spans="1:29" ht="15.75" customHeight="1">
      <c r="A140" s="126"/>
      <c r="B140" s="126"/>
      <c r="C140" s="176"/>
      <c r="D140" s="176"/>
      <c r="E140" s="176"/>
      <c r="F140" s="176"/>
      <c r="G140" s="176"/>
      <c r="H140" s="176"/>
      <c r="I140" s="126"/>
      <c r="J140" s="126"/>
      <c r="K140" s="126"/>
      <c r="L140" s="126"/>
      <c r="M140" s="126"/>
      <c r="N140" s="126"/>
      <c r="O140" s="126"/>
      <c r="P140" s="126"/>
      <c r="Q140" s="126"/>
      <c r="R140" s="126"/>
      <c r="S140" s="126"/>
      <c r="T140" s="126"/>
      <c r="U140" s="126"/>
      <c r="V140" s="126"/>
      <c r="W140" s="126"/>
      <c r="X140" s="126"/>
      <c r="Y140" s="126"/>
      <c r="Z140" s="126"/>
      <c r="AA140" s="126"/>
      <c r="AB140" s="126"/>
      <c r="AC140" s="126"/>
    </row>
    <row r="141" spans="1:29" ht="15.75" customHeight="1">
      <c r="A141" s="126"/>
      <c r="B141" s="126"/>
      <c r="C141" s="176"/>
      <c r="D141" s="176"/>
      <c r="E141" s="176"/>
      <c r="F141" s="176"/>
      <c r="G141" s="176"/>
      <c r="H141" s="176"/>
      <c r="I141" s="126"/>
      <c r="J141" s="126"/>
      <c r="K141" s="126"/>
      <c r="L141" s="126"/>
      <c r="M141" s="126"/>
      <c r="N141" s="126"/>
      <c r="O141" s="126"/>
      <c r="P141" s="126"/>
      <c r="Q141" s="126"/>
      <c r="R141" s="126"/>
      <c r="S141" s="126"/>
      <c r="T141" s="126"/>
      <c r="U141" s="126"/>
      <c r="V141" s="126"/>
      <c r="W141" s="126"/>
      <c r="X141" s="126"/>
      <c r="Y141" s="126"/>
      <c r="Z141" s="126"/>
      <c r="AA141" s="126"/>
      <c r="AB141" s="126"/>
      <c r="AC141" s="126"/>
    </row>
    <row r="142" spans="1:29" ht="15.75" customHeight="1">
      <c r="A142" s="126"/>
      <c r="B142" s="126"/>
      <c r="C142" s="176"/>
      <c r="D142" s="176"/>
      <c r="E142" s="176"/>
      <c r="F142" s="176"/>
      <c r="G142" s="176"/>
      <c r="H142" s="176"/>
      <c r="I142" s="126"/>
      <c r="J142" s="126"/>
      <c r="K142" s="126"/>
      <c r="L142" s="126"/>
      <c r="M142" s="126"/>
      <c r="N142" s="126"/>
      <c r="O142" s="126"/>
      <c r="P142" s="126"/>
      <c r="Q142" s="126"/>
      <c r="R142" s="126"/>
      <c r="S142" s="126"/>
      <c r="T142" s="126"/>
      <c r="U142" s="126"/>
      <c r="V142" s="126"/>
      <c r="W142" s="126"/>
      <c r="X142" s="126"/>
      <c r="Y142" s="126"/>
      <c r="Z142" s="126"/>
      <c r="AA142" s="126"/>
      <c r="AB142" s="126"/>
      <c r="AC142" s="126"/>
    </row>
    <row r="143" spans="1:29" ht="15.75" customHeight="1">
      <c r="A143" s="126"/>
      <c r="B143" s="126"/>
      <c r="C143" s="176"/>
      <c r="D143" s="176"/>
      <c r="E143" s="176"/>
      <c r="F143" s="176"/>
      <c r="G143" s="176"/>
      <c r="H143" s="176"/>
      <c r="I143" s="126"/>
      <c r="J143" s="126"/>
      <c r="K143" s="126"/>
      <c r="L143" s="126"/>
      <c r="M143" s="126"/>
      <c r="N143" s="126"/>
      <c r="O143" s="126"/>
      <c r="P143" s="126"/>
      <c r="Q143" s="126"/>
      <c r="R143" s="126"/>
      <c r="S143" s="126"/>
      <c r="T143" s="126"/>
      <c r="U143" s="126"/>
      <c r="V143" s="126"/>
      <c r="W143" s="126"/>
      <c r="X143" s="126"/>
      <c r="Y143" s="126"/>
      <c r="Z143" s="126"/>
      <c r="AA143" s="126"/>
      <c r="AB143" s="126"/>
      <c r="AC143" s="126"/>
    </row>
    <row r="144" spans="1:29" ht="15.75" customHeight="1">
      <c r="A144" s="126"/>
      <c r="B144" s="126"/>
      <c r="C144" s="176"/>
      <c r="D144" s="176"/>
      <c r="E144" s="176"/>
      <c r="F144" s="176"/>
      <c r="G144" s="176"/>
      <c r="H144" s="176"/>
      <c r="I144" s="126"/>
      <c r="J144" s="126"/>
      <c r="K144" s="126"/>
      <c r="L144" s="126"/>
      <c r="M144" s="126"/>
      <c r="N144" s="126"/>
      <c r="O144" s="126"/>
      <c r="P144" s="126"/>
      <c r="Q144" s="126"/>
      <c r="R144" s="126"/>
      <c r="S144" s="126"/>
      <c r="T144" s="126"/>
      <c r="U144" s="126"/>
      <c r="V144" s="126"/>
      <c r="W144" s="126"/>
      <c r="X144" s="126"/>
      <c r="Y144" s="126"/>
      <c r="Z144" s="126"/>
      <c r="AA144" s="126"/>
      <c r="AB144" s="126"/>
      <c r="AC144" s="126"/>
    </row>
    <row r="145" spans="1:29" ht="15.75" customHeight="1">
      <c r="A145" s="126"/>
      <c r="B145" s="126"/>
      <c r="C145" s="176"/>
      <c r="D145" s="176"/>
      <c r="E145" s="176"/>
      <c r="F145" s="176"/>
      <c r="G145" s="176"/>
      <c r="H145" s="176"/>
      <c r="I145" s="126"/>
      <c r="J145" s="126"/>
      <c r="K145" s="126"/>
      <c r="L145" s="126"/>
      <c r="M145" s="126"/>
      <c r="N145" s="126"/>
      <c r="O145" s="126"/>
      <c r="P145" s="126"/>
      <c r="Q145" s="126"/>
      <c r="R145" s="126"/>
      <c r="S145" s="126"/>
      <c r="T145" s="126"/>
      <c r="U145" s="126"/>
      <c r="V145" s="126"/>
      <c r="W145" s="126"/>
      <c r="X145" s="126"/>
      <c r="Y145" s="126"/>
      <c r="Z145" s="126"/>
      <c r="AA145" s="126"/>
      <c r="AB145" s="126"/>
      <c r="AC145" s="126"/>
    </row>
    <row r="146" spans="1:29" ht="15.75" customHeight="1">
      <c r="A146" s="126"/>
      <c r="B146" s="126"/>
      <c r="C146" s="176"/>
      <c r="D146" s="176"/>
      <c r="E146" s="176"/>
      <c r="F146" s="176"/>
      <c r="G146" s="176"/>
      <c r="H146" s="176"/>
      <c r="I146" s="126"/>
      <c r="J146" s="126"/>
      <c r="K146" s="126"/>
      <c r="L146" s="126"/>
      <c r="M146" s="126"/>
      <c r="N146" s="126"/>
      <c r="O146" s="126"/>
      <c r="P146" s="126"/>
      <c r="Q146" s="126"/>
      <c r="R146" s="126"/>
      <c r="S146" s="126"/>
      <c r="T146" s="126"/>
      <c r="U146" s="126"/>
      <c r="V146" s="126"/>
      <c r="W146" s="126"/>
      <c r="X146" s="126"/>
      <c r="Y146" s="126"/>
      <c r="Z146" s="126"/>
      <c r="AA146" s="126"/>
      <c r="AB146" s="126"/>
      <c r="AC146" s="126"/>
    </row>
    <row r="147" spans="1:29" ht="15.75" customHeight="1">
      <c r="A147" s="126"/>
      <c r="B147" s="126"/>
      <c r="C147" s="176"/>
      <c r="D147" s="176"/>
      <c r="E147" s="176"/>
      <c r="F147" s="176"/>
      <c r="G147" s="176"/>
      <c r="H147" s="176"/>
      <c r="I147" s="126"/>
      <c r="J147" s="126"/>
      <c r="K147" s="126"/>
      <c r="L147" s="126"/>
      <c r="M147" s="126"/>
      <c r="N147" s="126"/>
      <c r="O147" s="126"/>
      <c r="P147" s="126"/>
      <c r="Q147" s="126"/>
      <c r="R147" s="126"/>
      <c r="S147" s="126"/>
      <c r="T147" s="126"/>
      <c r="U147" s="126"/>
      <c r="V147" s="126"/>
      <c r="W147" s="126"/>
      <c r="X147" s="126"/>
      <c r="Y147" s="126"/>
      <c r="Z147" s="126"/>
      <c r="AA147" s="126"/>
      <c r="AB147" s="126"/>
      <c r="AC147" s="126"/>
    </row>
    <row r="148" spans="1:29" ht="15.75" customHeight="1">
      <c r="A148" s="126"/>
      <c r="B148" s="126"/>
      <c r="C148" s="176"/>
      <c r="D148" s="176"/>
      <c r="E148" s="176"/>
      <c r="F148" s="176"/>
      <c r="G148" s="176"/>
      <c r="H148" s="176"/>
      <c r="I148" s="126"/>
      <c r="J148" s="126"/>
      <c r="K148" s="126"/>
      <c r="L148" s="126"/>
      <c r="M148" s="126"/>
      <c r="N148" s="126"/>
      <c r="O148" s="126"/>
      <c r="P148" s="126"/>
      <c r="Q148" s="126"/>
      <c r="R148" s="126"/>
      <c r="S148" s="126"/>
      <c r="T148" s="126"/>
      <c r="U148" s="126"/>
      <c r="V148" s="126"/>
      <c r="W148" s="126"/>
      <c r="X148" s="126"/>
      <c r="Y148" s="126"/>
      <c r="Z148" s="126"/>
      <c r="AA148" s="126"/>
      <c r="AB148" s="126"/>
      <c r="AC148" s="126"/>
    </row>
    <row r="149" spans="1:29" ht="15.75" customHeight="1">
      <c r="A149" s="126"/>
      <c r="B149" s="126"/>
      <c r="C149" s="176"/>
      <c r="D149" s="176"/>
      <c r="E149" s="176"/>
      <c r="F149" s="176"/>
      <c r="G149" s="176"/>
      <c r="H149" s="176"/>
      <c r="I149" s="126"/>
      <c r="J149" s="126"/>
      <c r="K149" s="126"/>
      <c r="L149" s="126"/>
      <c r="M149" s="126"/>
      <c r="N149" s="126"/>
      <c r="O149" s="126"/>
      <c r="P149" s="126"/>
      <c r="Q149" s="126"/>
      <c r="R149" s="126"/>
      <c r="S149" s="126"/>
      <c r="T149" s="126"/>
      <c r="U149" s="126"/>
      <c r="V149" s="126"/>
      <c r="W149" s="126"/>
      <c r="X149" s="126"/>
      <c r="Y149" s="126"/>
      <c r="Z149" s="126"/>
      <c r="AA149" s="126"/>
      <c r="AB149" s="126"/>
      <c r="AC149" s="126"/>
    </row>
    <row r="150" spans="1:29" ht="15.75" customHeight="1">
      <c r="A150" s="126"/>
      <c r="B150" s="126"/>
      <c r="C150" s="176"/>
      <c r="D150" s="176"/>
      <c r="E150" s="176"/>
      <c r="F150" s="176"/>
      <c r="G150" s="176"/>
      <c r="H150" s="176"/>
      <c r="I150" s="126"/>
      <c r="J150" s="126"/>
      <c r="K150" s="126"/>
      <c r="L150" s="126"/>
      <c r="M150" s="126"/>
      <c r="N150" s="126"/>
      <c r="O150" s="126"/>
      <c r="P150" s="126"/>
      <c r="Q150" s="126"/>
      <c r="R150" s="126"/>
      <c r="S150" s="126"/>
      <c r="T150" s="126"/>
      <c r="U150" s="126"/>
      <c r="V150" s="126"/>
      <c r="W150" s="126"/>
      <c r="X150" s="126"/>
      <c r="Y150" s="126"/>
      <c r="Z150" s="126"/>
      <c r="AA150" s="126"/>
      <c r="AB150" s="126"/>
      <c r="AC150" s="126"/>
    </row>
    <row r="151" spans="1:29" ht="15.75" customHeight="1">
      <c r="A151" s="126"/>
      <c r="B151" s="126"/>
      <c r="C151" s="176"/>
      <c r="D151" s="176"/>
      <c r="E151" s="176"/>
      <c r="F151" s="176"/>
      <c r="G151" s="176"/>
      <c r="H151" s="176"/>
      <c r="I151" s="126"/>
      <c r="J151" s="126"/>
      <c r="K151" s="126"/>
      <c r="L151" s="126"/>
      <c r="M151" s="126"/>
      <c r="N151" s="126"/>
      <c r="O151" s="126"/>
      <c r="P151" s="126"/>
      <c r="Q151" s="126"/>
      <c r="R151" s="126"/>
      <c r="S151" s="126"/>
      <c r="T151" s="126"/>
      <c r="U151" s="126"/>
      <c r="V151" s="126"/>
      <c r="W151" s="126"/>
      <c r="X151" s="126"/>
      <c r="Y151" s="126"/>
      <c r="Z151" s="126"/>
      <c r="AA151" s="126"/>
      <c r="AB151" s="126"/>
      <c r="AC151" s="126"/>
    </row>
    <row r="152" spans="1:29" ht="15.75" customHeight="1">
      <c r="A152" s="126"/>
      <c r="B152" s="126"/>
      <c r="C152" s="176"/>
      <c r="D152" s="176"/>
      <c r="E152" s="176"/>
      <c r="F152" s="176"/>
      <c r="G152" s="176"/>
      <c r="H152" s="176"/>
      <c r="I152" s="126"/>
      <c r="J152" s="126"/>
      <c r="K152" s="126"/>
      <c r="L152" s="126"/>
      <c r="M152" s="126"/>
      <c r="N152" s="126"/>
      <c r="O152" s="126"/>
      <c r="P152" s="126"/>
      <c r="Q152" s="126"/>
      <c r="R152" s="126"/>
      <c r="S152" s="126"/>
      <c r="T152" s="126"/>
      <c r="U152" s="126"/>
      <c r="V152" s="126"/>
      <c r="W152" s="126"/>
      <c r="X152" s="126"/>
      <c r="Y152" s="126"/>
      <c r="Z152" s="126"/>
      <c r="AA152" s="126"/>
      <c r="AB152" s="126"/>
      <c r="AC152" s="126"/>
    </row>
    <row r="153" spans="1:29" ht="15.75" customHeight="1">
      <c r="A153" s="126"/>
      <c r="B153" s="126"/>
      <c r="C153" s="176"/>
      <c r="D153" s="176"/>
      <c r="E153" s="176"/>
      <c r="F153" s="176"/>
      <c r="G153" s="176"/>
      <c r="H153" s="176"/>
      <c r="I153" s="126"/>
      <c r="J153" s="126"/>
      <c r="K153" s="126"/>
      <c r="L153" s="126"/>
      <c r="M153" s="126"/>
      <c r="N153" s="126"/>
      <c r="O153" s="126"/>
      <c r="P153" s="126"/>
      <c r="Q153" s="126"/>
      <c r="R153" s="126"/>
      <c r="S153" s="126"/>
      <c r="T153" s="126"/>
      <c r="U153" s="126"/>
      <c r="V153" s="126"/>
      <c r="W153" s="126"/>
      <c r="X153" s="126"/>
      <c r="Y153" s="126"/>
      <c r="Z153" s="126"/>
      <c r="AA153" s="126"/>
      <c r="AB153" s="126"/>
      <c r="AC153" s="126"/>
    </row>
    <row r="154" spans="1:29" ht="15.75" customHeight="1">
      <c r="A154" s="126"/>
      <c r="B154" s="126"/>
      <c r="C154" s="176"/>
      <c r="D154" s="176"/>
      <c r="E154" s="176"/>
      <c r="F154" s="176"/>
      <c r="G154" s="176"/>
      <c r="H154" s="176"/>
      <c r="I154" s="126"/>
      <c r="J154" s="126"/>
      <c r="K154" s="126"/>
      <c r="L154" s="126"/>
      <c r="M154" s="126"/>
      <c r="N154" s="126"/>
      <c r="O154" s="126"/>
      <c r="P154" s="126"/>
      <c r="Q154" s="126"/>
      <c r="R154" s="126"/>
      <c r="S154" s="126"/>
      <c r="T154" s="126"/>
      <c r="U154" s="126"/>
      <c r="V154" s="126"/>
      <c r="W154" s="126"/>
      <c r="X154" s="126"/>
      <c r="Y154" s="126"/>
      <c r="Z154" s="126"/>
      <c r="AA154" s="126"/>
      <c r="AB154" s="126"/>
      <c r="AC154" s="126"/>
    </row>
    <row r="155" spans="1:29" ht="15.75" customHeight="1">
      <c r="A155" s="126"/>
      <c r="B155" s="126"/>
      <c r="C155" s="176"/>
      <c r="D155" s="176"/>
      <c r="E155" s="176"/>
      <c r="F155" s="176"/>
      <c r="G155" s="176"/>
      <c r="H155" s="176"/>
      <c r="I155" s="126"/>
      <c r="J155" s="126"/>
      <c r="K155" s="126"/>
      <c r="L155" s="126"/>
      <c r="M155" s="126"/>
      <c r="N155" s="126"/>
      <c r="O155" s="126"/>
      <c r="P155" s="126"/>
      <c r="Q155" s="126"/>
      <c r="R155" s="126"/>
      <c r="S155" s="126"/>
      <c r="T155" s="126"/>
      <c r="U155" s="126"/>
      <c r="V155" s="126"/>
      <c r="W155" s="126"/>
      <c r="X155" s="126"/>
      <c r="Y155" s="126"/>
      <c r="Z155" s="126"/>
      <c r="AA155" s="126"/>
      <c r="AB155" s="126"/>
      <c r="AC155" s="126"/>
    </row>
    <row r="156" spans="1:29" ht="15.75" customHeight="1">
      <c r="A156" s="126"/>
      <c r="B156" s="126"/>
      <c r="C156" s="176"/>
      <c r="D156" s="176"/>
      <c r="E156" s="176"/>
      <c r="F156" s="176"/>
      <c r="G156" s="176"/>
      <c r="H156" s="176"/>
      <c r="I156" s="126"/>
      <c r="J156" s="126"/>
      <c r="K156" s="126"/>
      <c r="L156" s="126"/>
      <c r="M156" s="126"/>
      <c r="N156" s="126"/>
      <c r="O156" s="126"/>
      <c r="P156" s="126"/>
      <c r="Q156" s="126"/>
      <c r="R156" s="126"/>
      <c r="S156" s="126"/>
      <c r="T156" s="126"/>
      <c r="U156" s="126"/>
      <c r="V156" s="126"/>
      <c r="W156" s="126"/>
      <c r="X156" s="126"/>
      <c r="Y156" s="126"/>
      <c r="Z156" s="126"/>
      <c r="AA156" s="126"/>
      <c r="AB156" s="126"/>
      <c r="AC156" s="126"/>
    </row>
    <row r="157" spans="1:29" ht="15.75" customHeight="1">
      <c r="A157" s="126"/>
      <c r="B157" s="126"/>
      <c r="C157" s="176"/>
      <c r="D157" s="176"/>
      <c r="E157" s="176"/>
      <c r="F157" s="176"/>
      <c r="G157" s="176"/>
      <c r="H157" s="176"/>
      <c r="I157" s="126"/>
      <c r="J157" s="126"/>
      <c r="K157" s="126"/>
      <c r="L157" s="126"/>
      <c r="M157" s="126"/>
      <c r="N157" s="126"/>
      <c r="O157" s="126"/>
      <c r="P157" s="126"/>
      <c r="Q157" s="126"/>
      <c r="R157" s="126"/>
      <c r="S157" s="126"/>
      <c r="T157" s="126"/>
      <c r="U157" s="126"/>
      <c r="V157" s="126"/>
      <c r="W157" s="126"/>
      <c r="X157" s="126"/>
      <c r="Y157" s="126"/>
      <c r="Z157" s="126"/>
      <c r="AA157" s="126"/>
      <c r="AB157" s="126"/>
      <c r="AC157" s="126"/>
    </row>
    <row r="158" spans="1:29" ht="15.75" customHeight="1">
      <c r="A158" s="126"/>
      <c r="B158" s="126"/>
      <c r="C158" s="176"/>
      <c r="D158" s="176"/>
      <c r="E158" s="176"/>
      <c r="F158" s="176"/>
      <c r="G158" s="176"/>
      <c r="H158" s="176"/>
      <c r="I158" s="126"/>
      <c r="J158" s="126"/>
      <c r="K158" s="126"/>
      <c r="L158" s="126"/>
      <c r="M158" s="126"/>
      <c r="N158" s="126"/>
      <c r="O158" s="126"/>
      <c r="P158" s="126"/>
      <c r="Q158" s="126"/>
      <c r="R158" s="126"/>
      <c r="S158" s="126"/>
      <c r="T158" s="126"/>
      <c r="U158" s="126"/>
      <c r="V158" s="126"/>
      <c r="W158" s="126"/>
      <c r="X158" s="126"/>
      <c r="Y158" s="126"/>
      <c r="Z158" s="126"/>
      <c r="AA158" s="126"/>
      <c r="AB158" s="126"/>
      <c r="AC158" s="126"/>
    </row>
    <row r="159" spans="1:29" ht="15.75" customHeight="1">
      <c r="A159" s="126"/>
      <c r="B159" s="126"/>
      <c r="C159" s="176"/>
      <c r="D159" s="176"/>
      <c r="E159" s="176"/>
      <c r="F159" s="176"/>
      <c r="G159" s="176"/>
      <c r="H159" s="176"/>
      <c r="I159" s="126"/>
      <c r="J159" s="126"/>
      <c r="K159" s="126"/>
      <c r="L159" s="126"/>
      <c r="M159" s="126"/>
      <c r="N159" s="126"/>
      <c r="O159" s="126"/>
      <c r="P159" s="126"/>
      <c r="Q159" s="126"/>
      <c r="R159" s="126"/>
      <c r="S159" s="126"/>
      <c r="T159" s="126"/>
      <c r="U159" s="126"/>
      <c r="V159" s="126"/>
      <c r="W159" s="126"/>
      <c r="X159" s="126"/>
      <c r="Y159" s="126"/>
      <c r="Z159" s="126"/>
      <c r="AA159" s="126"/>
      <c r="AB159" s="126"/>
      <c r="AC159" s="126"/>
    </row>
    <row r="160" spans="1:29" ht="15.75" customHeight="1">
      <c r="A160" s="126"/>
      <c r="B160" s="126"/>
      <c r="C160" s="176"/>
      <c r="D160" s="176"/>
      <c r="E160" s="176"/>
      <c r="F160" s="176"/>
      <c r="G160" s="176"/>
      <c r="H160" s="176"/>
      <c r="I160" s="126"/>
      <c r="J160" s="126"/>
      <c r="K160" s="126"/>
      <c r="L160" s="126"/>
      <c r="M160" s="126"/>
      <c r="N160" s="126"/>
      <c r="O160" s="126"/>
      <c r="P160" s="126"/>
      <c r="Q160" s="126"/>
      <c r="R160" s="126"/>
      <c r="S160" s="126"/>
      <c r="T160" s="126"/>
      <c r="U160" s="126"/>
      <c r="V160" s="126"/>
      <c r="W160" s="126"/>
      <c r="X160" s="126"/>
      <c r="Y160" s="126"/>
      <c r="Z160" s="126"/>
      <c r="AA160" s="126"/>
      <c r="AB160" s="126"/>
      <c r="AC160" s="126"/>
    </row>
    <row r="161" spans="1:29" ht="15.75" customHeight="1">
      <c r="A161" s="126"/>
      <c r="B161" s="126"/>
      <c r="C161" s="176"/>
      <c r="D161" s="176"/>
      <c r="E161" s="176"/>
      <c r="F161" s="176"/>
      <c r="G161" s="176"/>
      <c r="H161" s="176"/>
      <c r="I161" s="126"/>
      <c r="J161" s="126"/>
      <c r="K161" s="126"/>
      <c r="L161" s="126"/>
      <c r="M161" s="126"/>
      <c r="N161" s="126"/>
      <c r="O161" s="126"/>
      <c r="P161" s="126"/>
      <c r="Q161" s="126"/>
      <c r="R161" s="126"/>
      <c r="S161" s="126"/>
      <c r="T161" s="126"/>
      <c r="U161" s="126"/>
      <c r="V161" s="126"/>
      <c r="W161" s="126"/>
      <c r="X161" s="126"/>
      <c r="Y161" s="126"/>
      <c r="Z161" s="126"/>
      <c r="AA161" s="126"/>
      <c r="AB161" s="126"/>
      <c r="AC161" s="126"/>
    </row>
    <row r="162" spans="1:29" ht="15.75" customHeight="1">
      <c r="A162" s="126"/>
      <c r="B162" s="126"/>
      <c r="C162" s="176"/>
      <c r="D162" s="176"/>
      <c r="E162" s="176"/>
      <c r="F162" s="176"/>
      <c r="G162" s="176"/>
      <c r="H162" s="176"/>
      <c r="I162" s="126"/>
      <c r="J162" s="126"/>
      <c r="K162" s="126"/>
      <c r="L162" s="126"/>
      <c r="M162" s="126"/>
      <c r="N162" s="126"/>
      <c r="O162" s="126"/>
      <c r="P162" s="126"/>
      <c r="Q162" s="126"/>
      <c r="R162" s="126"/>
      <c r="S162" s="126"/>
      <c r="T162" s="126"/>
      <c r="U162" s="126"/>
      <c r="V162" s="126"/>
      <c r="W162" s="126"/>
      <c r="X162" s="126"/>
      <c r="Y162" s="126"/>
      <c r="Z162" s="126"/>
      <c r="AA162" s="126"/>
      <c r="AB162" s="126"/>
      <c r="AC162" s="126"/>
    </row>
    <row r="163" spans="1:29" ht="15.75" customHeight="1">
      <c r="A163" s="126"/>
      <c r="B163" s="126"/>
      <c r="C163" s="176"/>
      <c r="D163" s="176"/>
      <c r="E163" s="176"/>
      <c r="F163" s="176"/>
      <c r="G163" s="176"/>
      <c r="H163" s="176"/>
      <c r="I163" s="126"/>
      <c r="J163" s="126"/>
      <c r="K163" s="126"/>
      <c r="L163" s="126"/>
      <c r="M163" s="126"/>
      <c r="N163" s="126"/>
      <c r="O163" s="126"/>
      <c r="P163" s="126"/>
      <c r="Q163" s="126"/>
      <c r="R163" s="126"/>
      <c r="S163" s="126"/>
      <c r="T163" s="126"/>
      <c r="U163" s="126"/>
      <c r="V163" s="126"/>
      <c r="W163" s="126"/>
      <c r="X163" s="126"/>
      <c r="Y163" s="126"/>
      <c r="Z163" s="126"/>
      <c r="AA163" s="126"/>
      <c r="AB163" s="126"/>
      <c r="AC163" s="126"/>
    </row>
    <row r="164" spans="1:29" ht="15.75" customHeight="1">
      <c r="A164" s="126"/>
      <c r="B164" s="126"/>
      <c r="C164" s="176"/>
      <c r="D164" s="176"/>
      <c r="E164" s="176"/>
      <c r="F164" s="176"/>
      <c r="G164" s="176"/>
      <c r="H164" s="176"/>
      <c r="I164" s="126"/>
      <c r="J164" s="126"/>
      <c r="K164" s="126"/>
      <c r="L164" s="126"/>
      <c r="M164" s="126"/>
      <c r="N164" s="126"/>
      <c r="O164" s="126"/>
      <c r="P164" s="126"/>
      <c r="Q164" s="126"/>
      <c r="R164" s="126"/>
      <c r="S164" s="126"/>
      <c r="T164" s="126"/>
      <c r="U164" s="126"/>
      <c r="V164" s="126"/>
      <c r="W164" s="126"/>
      <c r="X164" s="126"/>
      <c r="Y164" s="126"/>
      <c r="Z164" s="126"/>
      <c r="AA164" s="126"/>
      <c r="AB164" s="126"/>
      <c r="AC164" s="126"/>
    </row>
    <row r="165" spans="1:29" ht="15.75" customHeight="1">
      <c r="A165" s="126"/>
      <c r="B165" s="126"/>
      <c r="C165" s="176"/>
      <c r="D165" s="176"/>
      <c r="E165" s="176"/>
      <c r="F165" s="176"/>
      <c r="G165" s="176"/>
      <c r="H165" s="176"/>
      <c r="I165" s="126"/>
      <c r="J165" s="126"/>
      <c r="K165" s="126"/>
      <c r="L165" s="126"/>
      <c r="M165" s="126"/>
      <c r="N165" s="126"/>
      <c r="O165" s="126"/>
      <c r="P165" s="126"/>
      <c r="Q165" s="126"/>
      <c r="R165" s="126"/>
      <c r="S165" s="126"/>
      <c r="T165" s="126"/>
      <c r="U165" s="126"/>
      <c r="V165" s="126"/>
      <c r="W165" s="126"/>
      <c r="X165" s="126"/>
      <c r="Y165" s="126"/>
      <c r="Z165" s="126"/>
      <c r="AA165" s="126"/>
      <c r="AB165" s="126"/>
      <c r="AC165" s="126"/>
    </row>
    <row r="166" spans="1:29" ht="15.75" customHeight="1">
      <c r="A166" s="126"/>
      <c r="B166" s="126"/>
      <c r="C166" s="176"/>
      <c r="D166" s="176"/>
      <c r="E166" s="176"/>
      <c r="F166" s="176"/>
      <c r="G166" s="176"/>
      <c r="H166" s="176"/>
      <c r="I166" s="126"/>
      <c r="J166" s="126"/>
      <c r="K166" s="126"/>
      <c r="L166" s="126"/>
      <c r="M166" s="126"/>
      <c r="N166" s="126"/>
      <c r="O166" s="126"/>
      <c r="P166" s="126"/>
      <c r="Q166" s="126"/>
      <c r="R166" s="126"/>
      <c r="S166" s="126"/>
      <c r="T166" s="126"/>
      <c r="U166" s="126"/>
      <c r="V166" s="126"/>
      <c r="W166" s="126"/>
      <c r="X166" s="126"/>
      <c r="Y166" s="126"/>
      <c r="Z166" s="126"/>
      <c r="AA166" s="126"/>
      <c r="AB166" s="126"/>
      <c r="AC166" s="126"/>
    </row>
    <row r="167" spans="1:29" ht="15.75" customHeight="1">
      <c r="A167" s="126"/>
      <c r="B167" s="126"/>
      <c r="C167" s="176"/>
      <c r="D167" s="176"/>
      <c r="E167" s="176"/>
      <c r="F167" s="176"/>
      <c r="G167" s="176"/>
      <c r="H167" s="176"/>
      <c r="I167" s="126"/>
      <c r="J167" s="126"/>
      <c r="K167" s="126"/>
      <c r="L167" s="126"/>
      <c r="M167" s="126"/>
      <c r="N167" s="126"/>
      <c r="O167" s="126"/>
      <c r="P167" s="126"/>
      <c r="Q167" s="126"/>
      <c r="R167" s="126"/>
      <c r="S167" s="126"/>
      <c r="T167" s="126"/>
      <c r="U167" s="126"/>
      <c r="V167" s="126"/>
      <c r="W167" s="126"/>
      <c r="X167" s="126"/>
      <c r="Y167" s="126"/>
      <c r="Z167" s="126"/>
      <c r="AA167" s="126"/>
      <c r="AB167" s="126"/>
      <c r="AC167" s="126"/>
    </row>
    <row r="168" spans="1:29" ht="15.75" customHeight="1">
      <c r="A168" s="126"/>
      <c r="B168" s="126"/>
      <c r="C168" s="176"/>
      <c r="D168" s="176"/>
      <c r="E168" s="176"/>
      <c r="F168" s="176"/>
      <c r="G168" s="176"/>
      <c r="H168" s="176"/>
      <c r="I168" s="126"/>
      <c r="J168" s="126"/>
      <c r="K168" s="126"/>
      <c r="L168" s="126"/>
      <c r="M168" s="126"/>
      <c r="N168" s="126"/>
      <c r="O168" s="126"/>
      <c r="P168" s="126"/>
      <c r="Q168" s="126"/>
      <c r="R168" s="126"/>
      <c r="S168" s="126"/>
      <c r="T168" s="126"/>
      <c r="U168" s="126"/>
      <c r="V168" s="126"/>
      <c r="W168" s="126"/>
      <c r="X168" s="126"/>
      <c r="Y168" s="126"/>
      <c r="Z168" s="126"/>
      <c r="AA168" s="126"/>
      <c r="AB168" s="126"/>
      <c r="AC168" s="126"/>
    </row>
    <row r="169" spans="1:29" ht="15.75" customHeight="1">
      <c r="A169" s="126"/>
      <c r="B169" s="126"/>
      <c r="C169" s="176"/>
      <c r="D169" s="176"/>
      <c r="E169" s="176"/>
      <c r="F169" s="176"/>
      <c r="G169" s="176"/>
      <c r="H169" s="176"/>
      <c r="I169" s="126"/>
      <c r="J169" s="126"/>
      <c r="K169" s="126"/>
      <c r="L169" s="126"/>
      <c r="M169" s="126"/>
      <c r="N169" s="126"/>
      <c r="O169" s="126"/>
      <c r="P169" s="126"/>
      <c r="Q169" s="126"/>
      <c r="R169" s="126"/>
      <c r="S169" s="126"/>
      <c r="T169" s="126"/>
      <c r="U169" s="126"/>
      <c r="V169" s="126"/>
      <c r="W169" s="126"/>
      <c r="X169" s="126"/>
      <c r="Y169" s="126"/>
      <c r="Z169" s="126"/>
      <c r="AA169" s="126"/>
      <c r="AB169" s="126"/>
      <c r="AC169" s="126"/>
    </row>
    <row r="170" spans="1:29" ht="15.75" customHeight="1">
      <c r="A170" s="126"/>
      <c r="B170" s="126"/>
      <c r="C170" s="176"/>
      <c r="D170" s="176"/>
      <c r="E170" s="176"/>
      <c r="F170" s="176"/>
      <c r="G170" s="176"/>
      <c r="H170" s="176"/>
      <c r="I170" s="126"/>
      <c r="J170" s="126"/>
      <c r="K170" s="126"/>
      <c r="L170" s="126"/>
      <c r="M170" s="126"/>
      <c r="N170" s="126"/>
      <c r="O170" s="126"/>
      <c r="P170" s="126"/>
      <c r="Q170" s="126"/>
      <c r="R170" s="126"/>
      <c r="S170" s="126"/>
      <c r="T170" s="126"/>
      <c r="U170" s="126"/>
      <c r="V170" s="126"/>
      <c r="W170" s="126"/>
      <c r="X170" s="126"/>
      <c r="Y170" s="126"/>
      <c r="Z170" s="126"/>
      <c r="AA170" s="126"/>
      <c r="AB170" s="126"/>
      <c r="AC170" s="126"/>
    </row>
    <row r="171" spans="1:29" ht="15.75" customHeight="1">
      <c r="A171" s="126"/>
      <c r="B171" s="126"/>
      <c r="C171" s="176"/>
      <c r="D171" s="176"/>
      <c r="E171" s="176"/>
      <c r="F171" s="176"/>
      <c r="G171" s="176"/>
      <c r="H171" s="176"/>
      <c r="I171" s="126"/>
      <c r="J171" s="126"/>
      <c r="K171" s="126"/>
      <c r="L171" s="126"/>
      <c r="M171" s="126"/>
      <c r="N171" s="126"/>
      <c r="O171" s="126"/>
      <c r="P171" s="126"/>
      <c r="Q171" s="126"/>
      <c r="R171" s="126"/>
      <c r="S171" s="126"/>
      <c r="T171" s="126"/>
      <c r="U171" s="126"/>
      <c r="V171" s="126"/>
      <c r="W171" s="126"/>
      <c r="X171" s="126"/>
      <c r="Y171" s="126"/>
      <c r="Z171" s="126"/>
      <c r="AA171" s="126"/>
      <c r="AB171" s="126"/>
      <c r="AC171" s="126"/>
    </row>
    <row r="172" spans="1:29" ht="15.75" customHeight="1">
      <c r="A172" s="126"/>
      <c r="B172" s="126"/>
      <c r="C172" s="176"/>
      <c r="D172" s="176"/>
      <c r="E172" s="176"/>
      <c r="F172" s="176"/>
      <c r="G172" s="176"/>
      <c r="H172" s="176"/>
      <c r="I172" s="126"/>
      <c r="J172" s="126"/>
      <c r="K172" s="126"/>
      <c r="L172" s="126"/>
      <c r="M172" s="126"/>
      <c r="N172" s="126"/>
      <c r="O172" s="126"/>
      <c r="P172" s="126"/>
      <c r="Q172" s="126"/>
      <c r="R172" s="126"/>
      <c r="S172" s="126"/>
      <c r="T172" s="126"/>
      <c r="U172" s="126"/>
      <c r="V172" s="126"/>
      <c r="W172" s="126"/>
      <c r="X172" s="126"/>
      <c r="Y172" s="126"/>
      <c r="Z172" s="126"/>
      <c r="AA172" s="126"/>
      <c r="AB172" s="126"/>
      <c r="AC172" s="126"/>
    </row>
    <row r="173" spans="1:29" ht="15.75" customHeight="1">
      <c r="A173" s="126"/>
      <c r="B173" s="126"/>
      <c r="C173" s="176"/>
      <c r="D173" s="176"/>
      <c r="E173" s="176"/>
      <c r="F173" s="176"/>
      <c r="G173" s="176"/>
      <c r="H173" s="176"/>
      <c r="I173" s="126"/>
      <c r="J173" s="126"/>
      <c r="K173" s="126"/>
      <c r="L173" s="126"/>
      <c r="M173" s="126"/>
      <c r="N173" s="126"/>
      <c r="O173" s="126"/>
      <c r="P173" s="126"/>
      <c r="Q173" s="126"/>
      <c r="R173" s="126"/>
      <c r="S173" s="126"/>
      <c r="T173" s="126"/>
      <c r="U173" s="126"/>
      <c r="V173" s="126"/>
      <c r="W173" s="126"/>
      <c r="X173" s="126"/>
      <c r="Y173" s="126"/>
      <c r="Z173" s="126"/>
      <c r="AA173" s="126"/>
      <c r="AB173" s="126"/>
      <c r="AC173" s="126"/>
    </row>
    <row r="174" spans="1:29" ht="15.75" customHeight="1">
      <c r="A174" s="126"/>
      <c r="B174" s="126"/>
      <c r="C174" s="176"/>
      <c r="D174" s="176"/>
      <c r="E174" s="176"/>
      <c r="F174" s="176"/>
      <c r="G174" s="176"/>
      <c r="H174" s="176"/>
      <c r="I174" s="126"/>
      <c r="J174" s="126"/>
      <c r="K174" s="126"/>
      <c r="L174" s="126"/>
      <c r="M174" s="126"/>
      <c r="N174" s="126"/>
      <c r="O174" s="126"/>
      <c r="P174" s="126"/>
      <c r="Q174" s="126"/>
      <c r="R174" s="126"/>
      <c r="S174" s="126"/>
      <c r="T174" s="126"/>
      <c r="U174" s="126"/>
      <c r="V174" s="126"/>
      <c r="W174" s="126"/>
      <c r="X174" s="126"/>
      <c r="Y174" s="126"/>
      <c r="Z174" s="126"/>
      <c r="AA174" s="126"/>
      <c r="AB174" s="126"/>
      <c r="AC174" s="126"/>
    </row>
    <row r="175" spans="1:29" ht="15.75" customHeight="1">
      <c r="A175" s="126"/>
      <c r="B175" s="126"/>
      <c r="C175" s="176"/>
      <c r="D175" s="176"/>
      <c r="E175" s="176"/>
      <c r="F175" s="176"/>
      <c r="G175" s="176"/>
      <c r="H175" s="176"/>
      <c r="I175" s="126"/>
      <c r="J175" s="126"/>
      <c r="K175" s="126"/>
      <c r="L175" s="126"/>
      <c r="M175" s="126"/>
      <c r="N175" s="126"/>
      <c r="O175" s="126"/>
      <c r="P175" s="126"/>
      <c r="Q175" s="126"/>
      <c r="R175" s="126"/>
      <c r="S175" s="126"/>
      <c r="T175" s="126"/>
      <c r="U175" s="126"/>
      <c r="V175" s="126"/>
      <c r="W175" s="126"/>
      <c r="X175" s="126"/>
      <c r="Y175" s="126"/>
      <c r="Z175" s="126"/>
      <c r="AA175" s="126"/>
      <c r="AB175" s="126"/>
      <c r="AC175" s="126"/>
    </row>
    <row r="176" spans="1:29" ht="15.75" customHeight="1">
      <c r="A176" s="126"/>
      <c r="B176" s="126"/>
      <c r="C176" s="176"/>
      <c r="D176" s="176"/>
      <c r="E176" s="176"/>
      <c r="F176" s="176"/>
      <c r="G176" s="176"/>
      <c r="H176" s="176"/>
      <c r="I176" s="126"/>
      <c r="J176" s="126"/>
      <c r="K176" s="126"/>
      <c r="L176" s="126"/>
      <c r="M176" s="126"/>
      <c r="N176" s="126"/>
      <c r="O176" s="126"/>
      <c r="P176" s="126"/>
      <c r="Q176" s="126"/>
      <c r="R176" s="126"/>
      <c r="S176" s="126"/>
      <c r="T176" s="126"/>
      <c r="U176" s="126"/>
      <c r="V176" s="126"/>
      <c r="W176" s="126"/>
      <c r="X176" s="126"/>
      <c r="Y176" s="126"/>
      <c r="Z176" s="126"/>
      <c r="AA176" s="126"/>
      <c r="AB176" s="126"/>
      <c r="AC176" s="126"/>
    </row>
    <row r="177" spans="1:29" ht="15.75" customHeight="1">
      <c r="A177" s="126"/>
      <c r="B177" s="126"/>
      <c r="C177" s="176"/>
      <c r="D177" s="176"/>
      <c r="E177" s="176"/>
      <c r="F177" s="176"/>
      <c r="G177" s="176"/>
      <c r="H177" s="176"/>
      <c r="I177" s="126"/>
      <c r="J177" s="126"/>
      <c r="K177" s="126"/>
      <c r="L177" s="126"/>
      <c r="M177" s="126"/>
      <c r="N177" s="126"/>
      <c r="O177" s="126"/>
      <c r="P177" s="126"/>
      <c r="Q177" s="126"/>
      <c r="R177" s="126"/>
      <c r="S177" s="126"/>
      <c r="T177" s="126"/>
      <c r="U177" s="126"/>
      <c r="V177" s="126"/>
      <c r="W177" s="126"/>
      <c r="X177" s="126"/>
      <c r="Y177" s="126"/>
      <c r="Z177" s="126"/>
      <c r="AA177" s="126"/>
      <c r="AB177" s="126"/>
      <c r="AC177" s="126"/>
    </row>
    <row r="178" spans="1:29" ht="15.75" customHeight="1">
      <c r="A178" s="126"/>
      <c r="B178" s="126"/>
      <c r="C178" s="176"/>
      <c r="D178" s="176"/>
      <c r="E178" s="176"/>
      <c r="F178" s="176"/>
      <c r="G178" s="176"/>
      <c r="H178" s="176"/>
      <c r="I178" s="126"/>
      <c r="J178" s="126"/>
      <c r="K178" s="126"/>
      <c r="L178" s="126"/>
      <c r="M178" s="126"/>
      <c r="N178" s="126"/>
      <c r="O178" s="126"/>
      <c r="P178" s="126"/>
      <c r="Q178" s="126"/>
      <c r="R178" s="126"/>
      <c r="S178" s="126"/>
      <c r="T178" s="126"/>
      <c r="U178" s="126"/>
      <c r="V178" s="126"/>
      <c r="W178" s="126"/>
      <c r="X178" s="126"/>
      <c r="Y178" s="126"/>
      <c r="Z178" s="126"/>
      <c r="AA178" s="126"/>
      <c r="AB178" s="126"/>
      <c r="AC178" s="126"/>
    </row>
    <row r="179" spans="1:29" ht="15.75" customHeight="1">
      <c r="A179" s="126"/>
      <c r="B179" s="126"/>
      <c r="C179" s="176"/>
      <c r="D179" s="176"/>
      <c r="E179" s="176"/>
      <c r="F179" s="176"/>
      <c r="G179" s="176"/>
      <c r="H179" s="176"/>
      <c r="I179" s="126"/>
      <c r="J179" s="126"/>
      <c r="K179" s="126"/>
      <c r="L179" s="126"/>
      <c r="M179" s="126"/>
      <c r="N179" s="126"/>
      <c r="O179" s="126"/>
      <c r="P179" s="126"/>
      <c r="Q179" s="126"/>
      <c r="R179" s="126"/>
      <c r="S179" s="126"/>
      <c r="T179" s="126"/>
      <c r="U179" s="126"/>
      <c r="V179" s="126"/>
      <c r="W179" s="126"/>
      <c r="X179" s="126"/>
      <c r="Y179" s="126"/>
      <c r="Z179" s="126"/>
      <c r="AA179" s="126"/>
      <c r="AB179" s="126"/>
      <c r="AC179" s="126"/>
    </row>
    <row r="180" spans="1:29" ht="15.75" customHeight="1">
      <c r="A180" s="126"/>
      <c r="B180" s="126"/>
      <c r="C180" s="176"/>
      <c r="D180" s="176"/>
      <c r="E180" s="176"/>
      <c r="F180" s="176"/>
      <c r="G180" s="176"/>
      <c r="H180" s="176"/>
      <c r="I180" s="126"/>
      <c r="J180" s="126"/>
      <c r="K180" s="126"/>
      <c r="L180" s="126"/>
      <c r="M180" s="126"/>
      <c r="N180" s="126"/>
      <c r="O180" s="126"/>
      <c r="P180" s="126"/>
      <c r="Q180" s="126"/>
      <c r="R180" s="126"/>
      <c r="S180" s="126"/>
      <c r="T180" s="126"/>
      <c r="U180" s="126"/>
      <c r="V180" s="126"/>
      <c r="W180" s="126"/>
      <c r="X180" s="126"/>
      <c r="Y180" s="126"/>
      <c r="Z180" s="126"/>
      <c r="AA180" s="126"/>
      <c r="AB180" s="126"/>
      <c r="AC180" s="126"/>
    </row>
    <row r="181" spans="1:29" ht="15.75" customHeight="1">
      <c r="A181" s="126"/>
      <c r="B181" s="126"/>
      <c r="C181" s="176"/>
      <c r="D181" s="176"/>
      <c r="E181" s="176"/>
      <c r="F181" s="176"/>
      <c r="G181" s="176"/>
      <c r="H181" s="176"/>
      <c r="I181" s="126"/>
      <c r="J181" s="126"/>
      <c r="K181" s="126"/>
      <c r="L181" s="126"/>
      <c r="M181" s="126"/>
      <c r="N181" s="126"/>
      <c r="O181" s="126"/>
      <c r="P181" s="126"/>
      <c r="Q181" s="126"/>
      <c r="R181" s="126"/>
      <c r="S181" s="126"/>
      <c r="T181" s="126"/>
      <c r="U181" s="126"/>
      <c r="V181" s="126"/>
      <c r="W181" s="126"/>
      <c r="X181" s="126"/>
      <c r="Y181" s="126"/>
      <c r="Z181" s="126"/>
      <c r="AA181" s="126"/>
      <c r="AB181" s="126"/>
      <c r="AC181" s="126"/>
    </row>
    <row r="182" spans="1:29" ht="15.75" customHeight="1">
      <c r="A182" s="126"/>
      <c r="B182" s="126"/>
      <c r="C182" s="176"/>
      <c r="D182" s="176"/>
      <c r="E182" s="176"/>
      <c r="F182" s="176"/>
      <c r="G182" s="176"/>
      <c r="H182" s="176"/>
      <c r="I182" s="126"/>
      <c r="J182" s="126"/>
      <c r="K182" s="126"/>
      <c r="L182" s="126"/>
      <c r="M182" s="126"/>
      <c r="N182" s="126"/>
      <c r="O182" s="126"/>
      <c r="P182" s="126"/>
      <c r="Q182" s="126"/>
      <c r="R182" s="126"/>
      <c r="S182" s="126"/>
      <c r="T182" s="126"/>
      <c r="U182" s="126"/>
      <c r="V182" s="126"/>
      <c r="W182" s="126"/>
      <c r="X182" s="126"/>
      <c r="Y182" s="126"/>
      <c r="Z182" s="126"/>
      <c r="AA182" s="126"/>
      <c r="AB182" s="126"/>
      <c r="AC182" s="126"/>
    </row>
    <row r="183" spans="1:29" ht="15.75" customHeight="1">
      <c r="A183" s="126"/>
      <c r="B183" s="126"/>
      <c r="C183" s="176"/>
      <c r="D183" s="176"/>
      <c r="E183" s="176"/>
      <c r="F183" s="176"/>
      <c r="G183" s="176"/>
      <c r="H183" s="176"/>
      <c r="I183" s="126"/>
      <c r="J183" s="126"/>
      <c r="K183" s="126"/>
      <c r="L183" s="126"/>
      <c r="M183" s="126"/>
      <c r="N183" s="126"/>
      <c r="O183" s="126"/>
      <c r="P183" s="126"/>
      <c r="Q183" s="126"/>
      <c r="R183" s="126"/>
      <c r="S183" s="126"/>
      <c r="T183" s="126"/>
      <c r="U183" s="126"/>
      <c r="V183" s="126"/>
      <c r="W183" s="126"/>
      <c r="X183" s="126"/>
      <c r="Y183" s="126"/>
      <c r="Z183" s="126"/>
      <c r="AA183" s="126"/>
      <c r="AB183" s="126"/>
      <c r="AC183" s="126"/>
    </row>
    <row r="184" spans="1:29" ht="15.75" customHeight="1">
      <c r="A184" s="126"/>
      <c r="B184" s="126"/>
      <c r="C184" s="176"/>
      <c r="D184" s="176"/>
      <c r="E184" s="176"/>
      <c r="F184" s="176"/>
      <c r="G184" s="176"/>
      <c r="H184" s="176"/>
      <c r="I184" s="126"/>
      <c r="J184" s="126"/>
      <c r="K184" s="126"/>
      <c r="L184" s="126"/>
      <c r="M184" s="126"/>
      <c r="N184" s="126"/>
      <c r="O184" s="126"/>
      <c r="P184" s="126"/>
      <c r="Q184" s="126"/>
      <c r="R184" s="126"/>
      <c r="S184" s="126"/>
      <c r="T184" s="126"/>
      <c r="U184" s="126"/>
      <c r="V184" s="126"/>
      <c r="W184" s="126"/>
      <c r="X184" s="126"/>
      <c r="Y184" s="126"/>
      <c r="Z184" s="126"/>
      <c r="AA184" s="126"/>
      <c r="AB184" s="126"/>
      <c r="AC184" s="126"/>
    </row>
    <row r="185" spans="1:29" ht="15.75" customHeight="1">
      <c r="A185" s="126"/>
      <c r="B185" s="126"/>
      <c r="C185" s="176"/>
      <c r="D185" s="176"/>
      <c r="E185" s="176"/>
      <c r="F185" s="176"/>
      <c r="G185" s="176"/>
      <c r="H185" s="176"/>
      <c r="I185" s="126"/>
      <c r="J185" s="126"/>
      <c r="K185" s="126"/>
      <c r="L185" s="126"/>
      <c r="M185" s="126"/>
      <c r="N185" s="126"/>
      <c r="O185" s="126"/>
      <c r="P185" s="126"/>
      <c r="Q185" s="126"/>
      <c r="R185" s="126"/>
      <c r="S185" s="126"/>
      <c r="T185" s="126"/>
      <c r="U185" s="126"/>
      <c r="V185" s="126"/>
      <c r="W185" s="126"/>
      <c r="X185" s="126"/>
      <c r="Y185" s="126"/>
      <c r="Z185" s="126"/>
      <c r="AA185" s="126"/>
      <c r="AB185" s="126"/>
      <c r="AC185" s="126"/>
    </row>
    <row r="186" spans="1:29" ht="15.75" customHeight="1">
      <c r="A186" s="126"/>
      <c r="B186" s="126"/>
      <c r="C186" s="176"/>
      <c r="D186" s="176"/>
      <c r="E186" s="176"/>
      <c r="F186" s="176"/>
      <c r="G186" s="176"/>
      <c r="H186" s="176"/>
      <c r="I186" s="126"/>
      <c r="J186" s="126"/>
      <c r="K186" s="126"/>
      <c r="L186" s="126"/>
      <c r="M186" s="126"/>
      <c r="N186" s="126"/>
      <c r="O186" s="126"/>
      <c r="P186" s="126"/>
      <c r="Q186" s="126"/>
      <c r="R186" s="126"/>
      <c r="S186" s="126"/>
      <c r="T186" s="126"/>
      <c r="U186" s="126"/>
      <c r="V186" s="126"/>
      <c r="W186" s="126"/>
      <c r="X186" s="126"/>
      <c r="Y186" s="126"/>
      <c r="Z186" s="126"/>
      <c r="AA186" s="126"/>
      <c r="AB186" s="126"/>
      <c r="AC186" s="126"/>
    </row>
    <row r="187" spans="1:29" ht="15.75" customHeight="1">
      <c r="A187" s="126"/>
      <c r="B187" s="126"/>
      <c r="C187" s="176"/>
      <c r="D187" s="176"/>
      <c r="E187" s="176"/>
      <c r="F187" s="176"/>
      <c r="G187" s="176"/>
      <c r="H187" s="176"/>
      <c r="I187" s="126"/>
      <c r="J187" s="126"/>
      <c r="K187" s="126"/>
      <c r="L187" s="126"/>
      <c r="M187" s="126"/>
      <c r="N187" s="126"/>
      <c r="O187" s="126"/>
      <c r="P187" s="126"/>
      <c r="Q187" s="126"/>
      <c r="R187" s="126"/>
      <c r="S187" s="126"/>
      <c r="T187" s="126"/>
      <c r="U187" s="126"/>
      <c r="V187" s="126"/>
      <c r="W187" s="126"/>
      <c r="X187" s="126"/>
      <c r="Y187" s="126"/>
      <c r="Z187" s="126"/>
      <c r="AA187" s="126"/>
      <c r="AB187" s="126"/>
      <c r="AC187" s="126"/>
    </row>
    <row r="188" spans="1:29" ht="15.75" customHeight="1">
      <c r="A188" s="126"/>
      <c r="B188" s="126"/>
      <c r="C188" s="176"/>
      <c r="D188" s="176"/>
      <c r="E188" s="176"/>
      <c r="F188" s="176"/>
      <c r="G188" s="176"/>
      <c r="H188" s="176"/>
      <c r="I188" s="126"/>
      <c r="J188" s="126"/>
      <c r="K188" s="126"/>
      <c r="L188" s="126"/>
      <c r="M188" s="126"/>
      <c r="N188" s="126"/>
      <c r="O188" s="126"/>
      <c r="P188" s="126"/>
      <c r="Q188" s="126"/>
      <c r="R188" s="126"/>
      <c r="S188" s="126"/>
      <c r="T188" s="126"/>
      <c r="U188" s="126"/>
      <c r="V188" s="126"/>
      <c r="W188" s="126"/>
      <c r="X188" s="126"/>
      <c r="Y188" s="126"/>
      <c r="Z188" s="126"/>
      <c r="AA188" s="126"/>
      <c r="AB188" s="126"/>
      <c r="AC188" s="126"/>
    </row>
    <row r="189" spans="1:29" ht="15.75" customHeight="1">
      <c r="A189" s="126"/>
      <c r="B189" s="126"/>
      <c r="C189" s="176"/>
      <c r="D189" s="176"/>
      <c r="E189" s="176"/>
      <c r="F189" s="176"/>
      <c r="G189" s="176"/>
      <c r="H189" s="176"/>
      <c r="I189" s="126"/>
      <c r="J189" s="126"/>
      <c r="K189" s="126"/>
      <c r="L189" s="126"/>
      <c r="M189" s="126"/>
      <c r="N189" s="126"/>
      <c r="O189" s="126"/>
      <c r="P189" s="126"/>
      <c r="Q189" s="126"/>
      <c r="R189" s="126"/>
      <c r="S189" s="126"/>
      <c r="T189" s="126"/>
      <c r="U189" s="126"/>
      <c r="V189" s="126"/>
      <c r="W189" s="126"/>
      <c r="X189" s="126"/>
      <c r="Y189" s="126"/>
      <c r="Z189" s="126"/>
      <c r="AA189" s="126"/>
      <c r="AB189" s="126"/>
      <c r="AC189" s="126"/>
    </row>
    <row r="190" spans="1:29" ht="15.75" customHeight="1">
      <c r="A190" s="126"/>
      <c r="B190" s="126"/>
      <c r="C190" s="176"/>
      <c r="D190" s="176"/>
      <c r="E190" s="176"/>
      <c r="F190" s="176"/>
      <c r="G190" s="176"/>
      <c r="H190" s="176"/>
      <c r="I190" s="126"/>
      <c r="J190" s="126"/>
      <c r="K190" s="126"/>
      <c r="L190" s="126"/>
      <c r="M190" s="126"/>
      <c r="N190" s="126"/>
      <c r="O190" s="126"/>
      <c r="P190" s="126"/>
      <c r="Q190" s="126"/>
      <c r="R190" s="126"/>
      <c r="S190" s="126"/>
      <c r="T190" s="126"/>
      <c r="U190" s="126"/>
      <c r="V190" s="126"/>
      <c r="W190" s="126"/>
      <c r="X190" s="126"/>
      <c r="Y190" s="126"/>
      <c r="Z190" s="126"/>
      <c r="AA190" s="126"/>
      <c r="AB190" s="126"/>
      <c r="AC190" s="126"/>
    </row>
    <row r="191" spans="1:29" ht="15.75" customHeight="1">
      <c r="A191" s="126"/>
      <c r="B191" s="126"/>
      <c r="C191" s="176"/>
      <c r="D191" s="176"/>
      <c r="E191" s="176"/>
      <c r="F191" s="176"/>
      <c r="G191" s="176"/>
      <c r="H191" s="176"/>
      <c r="I191" s="126"/>
      <c r="J191" s="126"/>
      <c r="K191" s="126"/>
      <c r="L191" s="126"/>
      <c r="M191" s="126"/>
      <c r="N191" s="126"/>
      <c r="O191" s="126"/>
      <c r="P191" s="126"/>
      <c r="Q191" s="126"/>
      <c r="R191" s="126"/>
      <c r="S191" s="126"/>
      <c r="T191" s="126"/>
      <c r="U191" s="126"/>
      <c r="V191" s="126"/>
      <c r="W191" s="126"/>
      <c r="X191" s="126"/>
      <c r="Y191" s="126"/>
      <c r="Z191" s="126"/>
      <c r="AA191" s="126"/>
      <c r="AB191" s="126"/>
      <c r="AC191" s="126"/>
    </row>
    <row r="192" spans="1:29" ht="15.75" customHeight="1">
      <c r="A192" s="126"/>
      <c r="B192" s="126"/>
      <c r="C192" s="176"/>
      <c r="D192" s="176"/>
      <c r="E192" s="176"/>
      <c r="F192" s="176"/>
      <c r="G192" s="176"/>
      <c r="H192" s="176"/>
      <c r="I192" s="126"/>
      <c r="J192" s="126"/>
      <c r="K192" s="126"/>
      <c r="L192" s="126"/>
      <c r="M192" s="126"/>
      <c r="N192" s="126"/>
      <c r="O192" s="126"/>
      <c r="P192" s="126"/>
      <c r="Q192" s="126"/>
      <c r="R192" s="126"/>
      <c r="S192" s="126"/>
      <c r="T192" s="126"/>
      <c r="U192" s="126"/>
      <c r="V192" s="126"/>
      <c r="W192" s="126"/>
      <c r="X192" s="126"/>
      <c r="Y192" s="126"/>
      <c r="Z192" s="126"/>
      <c r="AA192" s="126"/>
      <c r="AB192" s="126"/>
      <c r="AC192" s="126"/>
    </row>
    <row r="193" spans="1:29" ht="15.75" customHeight="1">
      <c r="A193" s="126"/>
      <c r="B193" s="126"/>
      <c r="C193" s="176"/>
      <c r="D193" s="176"/>
      <c r="E193" s="176"/>
      <c r="F193" s="176"/>
      <c r="G193" s="176"/>
      <c r="H193" s="176"/>
      <c r="I193" s="126"/>
      <c r="J193" s="126"/>
      <c r="K193" s="126"/>
      <c r="L193" s="126"/>
      <c r="M193" s="126"/>
      <c r="N193" s="126"/>
      <c r="O193" s="126"/>
      <c r="P193" s="126"/>
      <c r="Q193" s="126"/>
      <c r="R193" s="126"/>
      <c r="S193" s="126"/>
      <c r="T193" s="126"/>
      <c r="U193" s="126"/>
      <c r="V193" s="126"/>
      <c r="W193" s="126"/>
      <c r="X193" s="126"/>
      <c r="Y193" s="126"/>
      <c r="Z193" s="126"/>
      <c r="AA193" s="126"/>
      <c r="AB193" s="126"/>
      <c r="AC193" s="126"/>
    </row>
    <row r="194" spans="1:29" ht="15.75" customHeight="1">
      <c r="A194" s="126"/>
      <c r="B194" s="126"/>
      <c r="C194" s="176"/>
      <c r="D194" s="176"/>
      <c r="E194" s="176"/>
      <c r="F194" s="176"/>
      <c r="G194" s="176"/>
      <c r="H194" s="176"/>
      <c r="I194" s="126"/>
      <c r="J194" s="126"/>
      <c r="K194" s="126"/>
      <c r="L194" s="126"/>
      <c r="M194" s="126"/>
      <c r="N194" s="126"/>
      <c r="O194" s="126"/>
      <c r="P194" s="126"/>
      <c r="Q194" s="126"/>
      <c r="R194" s="126"/>
      <c r="S194" s="126"/>
      <c r="T194" s="126"/>
      <c r="U194" s="126"/>
      <c r="V194" s="126"/>
      <c r="W194" s="126"/>
      <c r="X194" s="126"/>
      <c r="Y194" s="126"/>
      <c r="Z194" s="126"/>
      <c r="AA194" s="126"/>
      <c r="AB194" s="126"/>
      <c r="AC194" s="126"/>
    </row>
    <row r="195" spans="1:29" ht="15.75" customHeight="1">
      <c r="A195" s="126"/>
      <c r="B195" s="126"/>
      <c r="C195" s="176"/>
      <c r="D195" s="176"/>
      <c r="E195" s="176"/>
      <c r="F195" s="176"/>
      <c r="G195" s="176"/>
      <c r="H195" s="176"/>
      <c r="I195" s="126"/>
      <c r="J195" s="126"/>
      <c r="K195" s="126"/>
      <c r="L195" s="126"/>
      <c r="M195" s="126"/>
      <c r="N195" s="126"/>
      <c r="O195" s="126"/>
      <c r="P195" s="126"/>
      <c r="Q195" s="126"/>
      <c r="R195" s="126"/>
      <c r="S195" s="126"/>
      <c r="T195" s="126"/>
      <c r="U195" s="126"/>
      <c r="V195" s="126"/>
      <c r="W195" s="126"/>
      <c r="X195" s="126"/>
      <c r="Y195" s="126"/>
      <c r="Z195" s="126"/>
      <c r="AA195" s="126"/>
      <c r="AB195" s="126"/>
      <c r="AC195" s="126"/>
    </row>
    <row r="196" spans="1:29" ht="15.75" customHeight="1">
      <c r="A196" s="126"/>
      <c r="B196" s="126"/>
      <c r="C196" s="176"/>
      <c r="D196" s="176"/>
      <c r="E196" s="176"/>
      <c r="F196" s="176"/>
      <c r="G196" s="176"/>
      <c r="H196" s="176"/>
      <c r="I196" s="126"/>
      <c r="J196" s="126"/>
      <c r="K196" s="126"/>
      <c r="L196" s="126"/>
      <c r="M196" s="126"/>
      <c r="N196" s="126"/>
      <c r="O196" s="126"/>
      <c r="P196" s="126"/>
      <c r="Q196" s="126"/>
      <c r="R196" s="126"/>
      <c r="S196" s="126"/>
      <c r="T196" s="126"/>
      <c r="U196" s="126"/>
      <c r="V196" s="126"/>
      <c r="W196" s="126"/>
      <c r="X196" s="126"/>
      <c r="Y196" s="126"/>
      <c r="Z196" s="126"/>
      <c r="AA196" s="126"/>
      <c r="AB196" s="126"/>
      <c r="AC196" s="126"/>
    </row>
    <row r="197" spans="1:29" ht="15.75" customHeight="1">
      <c r="A197" s="126"/>
      <c r="B197" s="126"/>
      <c r="C197" s="176"/>
      <c r="D197" s="176"/>
      <c r="E197" s="176"/>
      <c r="F197" s="176"/>
      <c r="G197" s="176"/>
      <c r="H197" s="176"/>
      <c r="I197" s="126"/>
      <c r="J197" s="126"/>
      <c r="K197" s="126"/>
      <c r="L197" s="126"/>
      <c r="M197" s="126"/>
      <c r="N197" s="126"/>
      <c r="O197" s="126"/>
      <c r="P197" s="126"/>
      <c r="Q197" s="126"/>
      <c r="R197" s="126"/>
      <c r="S197" s="126"/>
      <c r="T197" s="126"/>
      <c r="U197" s="126"/>
      <c r="V197" s="126"/>
      <c r="W197" s="126"/>
      <c r="X197" s="126"/>
      <c r="Y197" s="126"/>
      <c r="Z197" s="126"/>
      <c r="AA197" s="126"/>
      <c r="AB197" s="126"/>
      <c r="AC197" s="126"/>
    </row>
    <row r="198" spans="1:29" ht="15.75" customHeight="1">
      <c r="A198" s="126"/>
      <c r="B198" s="126"/>
      <c r="C198" s="176"/>
      <c r="D198" s="176"/>
      <c r="E198" s="176"/>
      <c r="F198" s="176"/>
      <c r="G198" s="176"/>
      <c r="H198" s="176"/>
      <c r="I198" s="126"/>
      <c r="J198" s="126"/>
      <c r="K198" s="126"/>
      <c r="L198" s="126"/>
      <c r="M198" s="126"/>
      <c r="N198" s="126"/>
      <c r="O198" s="126"/>
      <c r="P198" s="126"/>
      <c r="Q198" s="126"/>
      <c r="R198" s="126"/>
      <c r="S198" s="126"/>
      <c r="T198" s="126"/>
      <c r="U198" s="126"/>
      <c r="V198" s="126"/>
      <c r="W198" s="126"/>
      <c r="X198" s="126"/>
      <c r="Y198" s="126"/>
      <c r="Z198" s="126"/>
      <c r="AA198" s="126"/>
      <c r="AB198" s="126"/>
      <c r="AC198" s="126"/>
    </row>
    <row r="199" spans="1:29" ht="15.75" customHeight="1">
      <c r="A199" s="126"/>
      <c r="B199" s="126"/>
      <c r="C199" s="176"/>
      <c r="D199" s="176"/>
      <c r="E199" s="176"/>
      <c r="F199" s="176"/>
      <c r="G199" s="176"/>
      <c r="H199" s="176"/>
      <c r="I199" s="126"/>
      <c r="J199" s="126"/>
      <c r="K199" s="126"/>
      <c r="L199" s="126"/>
      <c r="M199" s="126"/>
      <c r="N199" s="126"/>
      <c r="O199" s="126"/>
      <c r="P199" s="126"/>
      <c r="Q199" s="126"/>
      <c r="R199" s="126"/>
      <c r="S199" s="126"/>
      <c r="T199" s="126"/>
      <c r="U199" s="126"/>
      <c r="V199" s="126"/>
      <c r="W199" s="126"/>
      <c r="X199" s="126"/>
      <c r="Y199" s="126"/>
      <c r="Z199" s="126"/>
      <c r="AA199" s="126"/>
      <c r="AB199" s="126"/>
      <c r="AC199" s="126"/>
    </row>
    <row r="200" spans="1:29" ht="15.75" customHeight="1">
      <c r="A200" s="126"/>
      <c r="B200" s="126"/>
      <c r="C200" s="176"/>
      <c r="D200" s="176"/>
      <c r="E200" s="176"/>
      <c r="F200" s="176"/>
      <c r="G200" s="176"/>
      <c r="H200" s="176"/>
      <c r="I200" s="126"/>
      <c r="J200" s="126"/>
      <c r="K200" s="126"/>
      <c r="L200" s="126"/>
      <c r="M200" s="126"/>
      <c r="N200" s="126"/>
      <c r="O200" s="126"/>
      <c r="P200" s="126"/>
      <c r="Q200" s="126"/>
      <c r="R200" s="126"/>
      <c r="S200" s="126"/>
      <c r="T200" s="126"/>
      <c r="U200" s="126"/>
      <c r="V200" s="126"/>
      <c r="W200" s="126"/>
      <c r="X200" s="126"/>
      <c r="Y200" s="126"/>
      <c r="Z200" s="126"/>
      <c r="AA200" s="126"/>
      <c r="AB200" s="126"/>
      <c r="AC200" s="126"/>
    </row>
    <row r="201" spans="1:29" ht="15.75" customHeight="1">
      <c r="A201" s="126"/>
      <c r="B201" s="126"/>
      <c r="C201" s="176"/>
      <c r="D201" s="176"/>
      <c r="E201" s="176"/>
      <c r="F201" s="176"/>
      <c r="G201" s="176"/>
      <c r="H201" s="176"/>
      <c r="I201" s="126"/>
      <c r="J201" s="126"/>
      <c r="K201" s="126"/>
      <c r="L201" s="126"/>
      <c r="M201" s="126"/>
      <c r="N201" s="126"/>
      <c r="O201" s="126"/>
      <c r="P201" s="126"/>
      <c r="Q201" s="126"/>
      <c r="R201" s="126"/>
      <c r="S201" s="126"/>
      <c r="T201" s="126"/>
      <c r="U201" s="126"/>
      <c r="V201" s="126"/>
      <c r="W201" s="126"/>
      <c r="X201" s="126"/>
      <c r="Y201" s="126"/>
      <c r="Z201" s="126"/>
      <c r="AA201" s="126"/>
      <c r="AB201" s="126"/>
      <c r="AC201" s="126"/>
    </row>
    <row r="202" spans="1:29" ht="15.75" customHeight="1">
      <c r="A202" s="126"/>
      <c r="B202" s="126"/>
      <c r="C202" s="176"/>
      <c r="D202" s="176"/>
      <c r="E202" s="176"/>
      <c r="F202" s="176"/>
      <c r="G202" s="176"/>
      <c r="H202" s="176"/>
      <c r="I202" s="126"/>
      <c r="J202" s="126"/>
      <c r="K202" s="126"/>
      <c r="L202" s="126"/>
      <c r="M202" s="126"/>
      <c r="N202" s="126"/>
      <c r="O202" s="126"/>
      <c r="P202" s="126"/>
      <c r="Q202" s="126"/>
      <c r="R202" s="126"/>
      <c r="S202" s="126"/>
      <c r="T202" s="126"/>
      <c r="U202" s="126"/>
      <c r="V202" s="126"/>
      <c r="W202" s="126"/>
      <c r="X202" s="126"/>
      <c r="Y202" s="126"/>
      <c r="Z202" s="126"/>
      <c r="AA202" s="126"/>
      <c r="AB202" s="126"/>
      <c r="AC202" s="126"/>
    </row>
    <row r="203" spans="1:29" ht="15.75" customHeight="1">
      <c r="A203" s="126"/>
      <c r="B203" s="126"/>
      <c r="C203" s="176"/>
      <c r="D203" s="176"/>
      <c r="E203" s="176"/>
      <c r="F203" s="176"/>
      <c r="G203" s="176"/>
      <c r="H203" s="176"/>
      <c r="I203" s="126"/>
      <c r="J203" s="126"/>
      <c r="K203" s="126"/>
      <c r="L203" s="126"/>
      <c r="M203" s="126"/>
      <c r="N203" s="126"/>
      <c r="O203" s="126"/>
      <c r="P203" s="126"/>
      <c r="Q203" s="126"/>
      <c r="R203" s="126"/>
      <c r="S203" s="126"/>
      <c r="T203" s="126"/>
      <c r="U203" s="126"/>
      <c r="V203" s="126"/>
      <c r="W203" s="126"/>
      <c r="X203" s="126"/>
      <c r="Y203" s="126"/>
      <c r="Z203" s="126"/>
      <c r="AA203" s="126"/>
      <c r="AB203" s="126"/>
      <c r="AC203" s="126"/>
    </row>
    <row r="204" spans="1:29" ht="15.75" customHeight="1">
      <c r="A204" s="126"/>
      <c r="B204" s="126"/>
      <c r="C204" s="176"/>
      <c r="D204" s="176"/>
      <c r="E204" s="176"/>
      <c r="F204" s="176"/>
      <c r="G204" s="176"/>
      <c r="H204" s="176"/>
      <c r="I204" s="126"/>
      <c r="J204" s="126"/>
      <c r="K204" s="126"/>
      <c r="L204" s="126"/>
      <c r="M204" s="126"/>
      <c r="N204" s="126"/>
      <c r="O204" s="126"/>
      <c r="P204" s="126"/>
      <c r="Q204" s="126"/>
      <c r="R204" s="126"/>
      <c r="S204" s="126"/>
      <c r="T204" s="126"/>
      <c r="U204" s="126"/>
      <c r="V204" s="126"/>
      <c r="W204" s="126"/>
      <c r="X204" s="126"/>
      <c r="Y204" s="126"/>
      <c r="Z204" s="126"/>
      <c r="AA204" s="126"/>
      <c r="AB204" s="126"/>
      <c r="AC204" s="126"/>
    </row>
    <row r="205" spans="1:29" ht="15.75" customHeight="1">
      <c r="A205" s="126"/>
      <c r="B205" s="126"/>
      <c r="C205" s="176"/>
      <c r="D205" s="176"/>
      <c r="E205" s="176"/>
      <c r="F205" s="176"/>
      <c r="G205" s="176"/>
      <c r="H205" s="176"/>
      <c r="I205" s="126"/>
      <c r="J205" s="126"/>
      <c r="K205" s="126"/>
      <c r="L205" s="126"/>
      <c r="M205" s="126"/>
      <c r="N205" s="126"/>
      <c r="O205" s="126"/>
      <c r="P205" s="126"/>
      <c r="Q205" s="126"/>
      <c r="R205" s="126"/>
      <c r="S205" s="126"/>
      <c r="T205" s="126"/>
      <c r="U205" s="126"/>
      <c r="V205" s="126"/>
      <c r="W205" s="126"/>
      <c r="X205" s="126"/>
      <c r="Y205" s="126"/>
      <c r="Z205" s="126"/>
      <c r="AA205" s="126"/>
      <c r="AB205" s="126"/>
      <c r="AC205" s="126"/>
    </row>
    <row r="206" spans="1:29" ht="15.75" customHeight="1">
      <c r="A206" s="126"/>
      <c r="B206" s="126"/>
      <c r="C206" s="176"/>
      <c r="D206" s="176"/>
      <c r="E206" s="176"/>
      <c r="F206" s="176"/>
      <c r="G206" s="176"/>
      <c r="H206" s="176"/>
      <c r="I206" s="126"/>
      <c r="J206" s="126"/>
      <c r="K206" s="126"/>
      <c r="L206" s="126"/>
      <c r="M206" s="126"/>
      <c r="N206" s="126"/>
      <c r="O206" s="126"/>
      <c r="P206" s="126"/>
      <c r="Q206" s="126"/>
      <c r="R206" s="126"/>
      <c r="S206" s="126"/>
      <c r="T206" s="126"/>
      <c r="U206" s="126"/>
      <c r="V206" s="126"/>
      <c r="W206" s="126"/>
      <c r="X206" s="126"/>
      <c r="Y206" s="126"/>
      <c r="Z206" s="126"/>
      <c r="AA206" s="126"/>
      <c r="AB206" s="126"/>
      <c r="AC206" s="126"/>
    </row>
    <row r="207" spans="1:29" ht="15.75" customHeight="1">
      <c r="A207" s="126"/>
      <c r="B207" s="126"/>
      <c r="C207" s="176"/>
      <c r="D207" s="176"/>
      <c r="E207" s="176"/>
      <c r="F207" s="176"/>
      <c r="G207" s="176"/>
      <c r="H207" s="176"/>
      <c r="I207" s="126"/>
      <c r="J207" s="126"/>
      <c r="K207" s="126"/>
      <c r="L207" s="126"/>
      <c r="M207" s="126"/>
      <c r="N207" s="126"/>
      <c r="O207" s="126"/>
      <c r="P207" s="126"/>
      <c r="Q207" s="126"/>
      <c r="R207" s="126"/>
      <c r="S207" s="126"/>
      <c r="T207" s="126"/>
      <c r="U207" s="126"/>
      <c r="V207" s="126"/>
      <c r="W207" s="126"/>
      <c r="X207" s="126"/>
      <c r="Y207" s="126"/>
      <c r="Z207" s="126"/>
      <c r="AA207" s="126"/>
      <c r="AB207" s="126"/>
      <c r="AC207" s="126"/>
    </row>
    <row r="208" spans="1:29" ht="15.75" customHeight="1">
      <c r="A208" s="126"/>
      <c r="B208" s="126"/>
      <c r="C208" s="176"/>
      <c r="D208" s="176"/>
      <c r="E208" s="176"/>
      <c r="F208" s="176"/>
      <c r="G208" s="176"/>
      <c r="H208" s="176"/>
      <c r="I208" s="126"/>
      <c r="J208" s="126"/>
      <c r="K208" s="126"/>
      <c r="L208" s="126"/>
      <c r="M208" s="126"/>
      <c r="N208" s="126"/>
      <c r="O208" s="126"/>
      <c r="P208" s="126"/>
      <c r="Q208" s="126"/>
      <c r="R208" s="126"/>
      <c r="S208" s="126"/>
      <c r="T208" s="126"/>
      <c r="U208" s="126"/>
      <c r="V208" s="126"/>
      <c r="W208" s="126"/>
      <c r="X208" s="126"/>
      <c r="Y208" s="126"/>
      <c r="Z208" s="126"/>
      <c r="AA208" s="126"/>
      <c r="AB208" s="126"/>
      <c r="AC208" s="126"/>
    </row>
    <row r="209" spans="1:29" ht="15.75" customHeight="1">
      <c r="A209" s="126"/>
      <c r="B209" s="126"/>
      <c r="C209" s="176"/>
      <c r="D209" s="176"/>
      <c r="E209" s="176"/>
      <c r="F209" s="176"/>
      <c r="G209" s="176"/>
      <c r="H209" s="176"/>
      <c r="I209" s="126"/>
      <c r="J209" s="126"/>
      <c r="K209" s="126"/>
      <c r="L209" s="126"/>
      <c r="M209" s="126"/>
      <c r="N209" s="126"/>
      <c r="O209" s="126"/>
      <c r="P209" s="126"/>
      <c r="Q209" s="126"/>
      <c r="R209" s="126"/>
      <c r="S209" s="126"/>
      <c r="T209" s="126"/>
      <c r="U209" s="126"/>
      <c r="V209" s="126"/>
      <c r="W209" s="126"/>
      <c r="X209" s="126"/>
      <c r="Y209" s="126"/>
      <c r="Z209" s="126"/>
      <c r="AA209" s="126"/>
      <c r="AB209" s="126"/>
      <c r="AC209" s="126"/>
    </row>
    <row r="210" spans="1:29" ht="15.75" customHeight="1">
      <c r="A210" s="126"/>
      <c r="B210" s="126"/>
      <c r="C210" s="176"/>
      <c r="D210" s="176"/>
      <c r="E210" s="176"/>
      <c r="F210" s="176"/>
      <c r="G210" s="176"/>
      <c r="H210" s="176"/>
      <c r="I210" s="126"/>
      <c r="J210" s="126"/>
      <c r="K210" s="126"/>
      <c r="L210" s="126"/>
      <c r="M210" s="126"/>
      <c r="N210" s="126"/>
      <c r="O210" s="126"/>
      <c r="P210" s="126"/>
      <c r="Q210" s="126"/>
      <c r="R210" s="126"/>
      <c r="S210" s="126"/>
      <c r="T210" s="126"/>
      <c r="U210" s="126"/>
      <c r="V210" s="126"/>
      <c r="W210" s="126"/>
      <c r="X210" s="126"/>
      <c r="Y210" s="126"/>
      <c r="Z210" s="126"/>
      <c r="AA210" s="126"/>
      <c r="AB210" s="126"/>
      <c r="AC210" s="126"/>
    </row>
    <row r="211" spans="1:29" ht="15.75" customHeight="1">
      <c r="A211" s="126"/>
      <c r="B211" s="126"/>
      <c r="C211" s="176"/>
      <c r="D211" s="176"/>
      <c r="E211" s="176"/>
      <c r="F211" s="176"/>
      <c r="G211" s="176"/>
      <c r="H211" s="176"/>
      <c r="I211" s="126"/>
      <c r="J211" s="126"/>
      <c r="K211" s="126"/>
      <c r="L211" s="126"/>
      <c r="M211" s="126"/>
      <c r="N211" s="126"/>
      <c r="O211" s="126"/>
      <c r="P211" s="126"/>
      <c r="Q211" s="126"/>
      <c r="R211" s="126"/>
      <c r="S211" s="126"/>
      <c r="T211" s="126"/>
      <c r="U211" s="126"/>
      <c r="V211" s="126"/>
      <c r="W211" s="126"/>
      <c r="X211" s="126"/>
      <c r="Y211" s="126"/>
      <c r="Z211" s="126"/>
      <c r="AA211" s="126"/>
      <c r="AB211" s="126"/>
      <c r="AC211" s="126"/>
    </row>
    <row r="212" spans="1:29" ht="15.75" customHeight="1">
      <c r="A212" s="126"/>
      <c r="B212" s="126"/>
      <c r="C212" s="176"/>
      <c r="D212" s="176"/>
      <c r="E212" s="176"/>
      <c r="F212" s="176"/>
      <c r="G212" s="176"/>
      <c r="H212" s="176"/>
      <c r="I212" s="126"/>
      <c r="J212" s="126"/>
      <c r="K212" s="126"/>
      <c r="L212" s="126"/>
      <c r="M212" s="126"/>
      <c r="N212" s="126"/>
      <c r="O212" s="126"/>
      <c r="P212" s="126"/>
      <c r="Q212" s="126"/>
      <c r="R212" s="126"/>
      <c r="S212" s="126"/>
      <c r="T212" s="126"/>
      <c r="U212" s="126"/>
      <c r="V212" s="126"/>
      <c r="W212" s="126"/>
      <c r="X212" s="126"/>
      <c r="Y212" s="126"/>
      <c r="Z212" s="126"/>
      <c r="AA212" s="126"/>
      <c r="AB212" s="126"/>
      <c r="AC212" s="126"/>
    </row>
    <row r="213" spans="1:29" ht="15.75" customHeight="1">
      <c r="A213" s="126"/>
      <c r="B213" s="126"/>
      <c r="C213" s="176"/>
      <c r="D213" s="176"/>
      <c r="E213" s="176"/>
      <c r="F213" s="176"/>
      <c r="G213" s="176"/>
      <c r="H213" s="176"/>
      <c r="I213" s="126"/>
      <c r="J213" s="126"/>
      <c r="K213" s="126"/>
      <c r="L213" s="126"/>
      <c r="M213" s="126"/>
      <c r="N213" s="126"/>
      <c r="O213" s="126"/>
      <c r="P213" s="126"/>
      <c r="Q213" s="126"/>
      <c r="R213" s="126"/>
      <c r="S213" s="126"/>
      <c r="T213" s="126"/>
      <c r="U213" s="126"/>
      <c r="V213" s="126"/>
      <c r="W213" s="126"/>
      <c r="X213" s="126"/>
      <c r="Y213" s="126"/>
      <c r="Z213" s="126"/>
      <c r="AA213" s="126"/>
      <c r="AB213" s="126"/>
      <c r="AC213" s="126"/>
    </row>
    <row r="214" spans="1:29" ht="15.75" customHeight="1">
      <c r="A214" s="126"/>
      <c r="B214" s="126"/>
      <c r="C214" s="176"/>
      <c r="D214" s="176"/>
      <c r="E214" s="176"/>
      <c r="F214" s="176"/>
      <c r="G214" s="176"/>
      <c r="H214" s="176"/>
      <c r="I214" s="126"/>
      <c r="J214" s="126"/>
      <c r="K214" s="126"/>
      <c r="L214" s="126"/>
      <c r="M214" s="126"/>
      <c r="N214" s="126"/>
      <c r="O214" s="126"/>
      <c r="P214" s="126"/>
      <c r="Q214" s="126"/>
      <c r="R214" s="126"/>
      <c r="S214" s="126"/>
      <c r="T214" s="126"/>
      <c r="U214" s="126"/>
      <c r="V214" s="126"/>
      <c r="W214" s="126"/>
      <c r="X214" s="126"/>
      <c r="Y214" s="126"/>
      <c r="Z214" s="126"/>
      <c r="AA214" s="126"/>
      <c r="AB214" s="126"/>
      <c r="AC214" s="126"/>
    </row>
    <row r="215" spans="1:29" ht="15.75" customHeight="1">
      <c r="A215" s="126"/>
      <c r="B215" s="126"/>
      <c r="C215" s="176"/>
      <c r="D215" s="176"/>
      <c r="E215" s="176"/>
      <c r="F215" s="176"/>
      <c r="G215" s="176"/>
      <c r="H215" s="176"/>
      <c r="I215" s="126"/>
      <c r="J215" s="126"/>
      <c r="K215" s="126"/>
      <c r="L215" s="126"/>
      <c r="M215" s="126"/>
      <c r="N215" s="126"/>
      <c r="O215" s="126"/>
      <c r="P215" s="126"/>
      <c r="Q215" s="126"/>
      <c r="R215" s="126"/>
      <c r="S215" s="126"/>
      <c r="T215" s="126"/>
      <c r="U215" s="126"/>
      <c r="V215" s="126"/>
      <c r="W215" s="126"/>
      <c r="X215" s="126"/>
      <c r="Y215" s="126"/>
      <c r="Z215" s="126"/>
      <c r="AA215" s="126"/>
      <c r="AB215" s="126"/>
      <c r="AC215" s="126"/>
    </row>
    <row r="216" spans="1:29" ht="15.75" customHeight="1">
      <c r="A216" s="126"/>
      <c r="B216" s="126"/>
      <c r="C216" s="176"/>
      <c r="D216" s="176"/>
      <c r="E216" s="176"/>
      <c r="F216" s="176"/>
      <c r="G216" s="176"/>
      <c r="H216" s="176"/>
      <c r="I216" s="126"/>
      <c r="J216" s="126"/>
      <c r="K216" s="126"/>
      <c r="L216" s="126"/>
      <c r="M216" s="126"/>
      <c r="N216" s="126"/>
      <c r="O216" s="126"/>
      <c r="P216" s="126"/>
      <c r="Q216" s="126"/>
      <c r="R216" s="126"/>
      <c r="S216" s="126"/>
      <c r="T216" s="126"/>
      <c r="U216" s="126"/>
      <c r="V216" s="126"/>
      <c r="W216" s="126"/>
      <c r="X216" s="126"/>
      <c r="Y216" s="126"/>
      <c r="Z216" s="126"/>
      <c r="AA216" s="126"/>
      <c r="AB216" s="126"/>
      <c r="AC216" s="126"/>
    </row>
    <row r="217" spans="1:29" ht="15.75" customHeight="1">
      <c r="A217" s="126"/>
      <c r="B217" s="126"/>
      <c r="C217" s="176"/>
      <c r="D217" s="176"/>
      <c r="E217" s="176"/>
      <c r="F217" s="176"/>
      <c r="G217" s="176"/>
      <c r="H217" s="176"/>
      <c r="I217" s="126"/>
      <c r="J217" s="126"/>
      <c r="K217" s="126"/>
      <c r="L217" s="126"/>
      <c r="M217" s="126"/>
      <c r="N217" s="126"/>
      <c r="O217" s="126"/>
      <c r="P217" s="126"/>
      <c r="Q217" s="126"/>
      <c r="R217" s="126"/>
      <c r="S217" s="126"/>
      <c r="T217" s="126"/>
      <c r="U217" s="126"/>
      <c r="V217" s="126"/>
      <c r="W217" s="126"/>
      <c r="X217" s="126"/>
      <c r="Y217" s="126"/>
      <c r="Z217" s="126"/>
      <c r="AA217" s="126"/>
      <c r="AB217" s="126"/>
      <c r="AC217" s="126"/>
    </row>
    <row r="218" spans="1:29" ht="15.75" customHeight="1">
      <c r="A218" s="126"/>
      <c r="B218" s="126"/>
      <c r="C218" s="176"/>
      <c r="D218" s="176"/>
      <c r="E218" s="176"/>
      <c r="F218" s="176"/>
      <c r="G218" s="176"/>
      <c r="H218" s="176"/>
      <c r="I218" s="126"/>
      <c r="J218" s="126"/>
      <c r="K218" s="126"/>
      <c r="L218" s="126"/>
      <c r="M218" s="126"/>
      <c r="N218" s="126"/>
      <c r="O218" s="126"/>
      <c r="P218" s="126"/>
      <c r="Q218" s="126"/>
      <c r="R218" s="126"/>
      <c r="S218" s="126"/>
      <c r="T218" s="126"/>
      <c r="U218" s="126"/>
      <c r="V218" s="126"/>
      <c r="W218" s="126"/>
      <c r="X218" s="126"/>
      <c r="Y218" s="126"/>
      <c r="Z218" s="126"/>
      <c r="AA218" s="126"/>
      <c r="AB218" s="126"/>
      <c r="AC218" s="126"/>
    </row>
    <row r="219" spans="1:29" ht="15.75" customHeight="1">
      <c r="A219" s="126"/>
      <c r="B219" s="126"/>
      <c r="C219" s="176"/>
      <c r="D219" s="176"/>
      <c r="E219" s="176"/>
      <c r="F219" s="176"/>
      <c r="G219" s="176"/>
      <c r="H219" s="176"/>
      <c r="I219" s="126"/>
      <c r="J219" s="126"/>
      <c r="K219" s="126"/>
      <c r="L219" s="126"/>
      <c r="M219" s="126"/>
      <c r="N219" s="126"/>
      <c r="O219" s="126"/>
      <c r="P219" s="126"/>
      <c r="Q219" s="126"/>
      <c r="R219" s="126"/>
      <c r="S219" s="126"/>
      <c r="T219" s="126"/>
      <c r="U219" s="126"/>
      <c r="V219" s="126"/>
      <c r="W219" s="126"/>
      <c r="X219" s="126"/>
      <c r="Y219" s="126"/>
      <c r="Z219" s="126"/>
      <c r="AA219" s="126"/>
      <c r="AB219" s="126"/>
      <c r="AC219" s="126"/>
    </row>
    <row r="220" spans="1:29" ht="15.75" customHeight="1">
      <c r="A220" s="126"/>
      <c r="B220" s="126"/>
      <c r="C220" s="176"/>
      <c r="D220" s="176"/>
      <c r="E220" s="176"/>
      <c r="F220" s="176"/>
      <c r="G220" s="176"/>
      <c r="H220" s="176"/>
      <c r="I220" s="126"/>
      <c r="J220" s="126"/>
      <c r="K220" s="126"/>
      <c r="L220" s="126"/>
      <c r="M220" s="126"/>
      <c r="N220" s="126"/>
      <c r="O220" s="126"/>
      <c r="P220" s="126"/>
      <c r="Q220" s="126"/>
      <c r="R220" s="126"/>
      <c r="S220" s="126"/>
      <c r="T220" s="126"/>
      <c r="U220" s="126"/>
      <c r="V220" s="126"/>
      <c r="W220" s="126"/>
      <c r="X220" s="126"/>
      <c r="Y220" s="126"/>
      <c r="Z220" s="126"/>
      <c r="AA220" s="126"/>
      <c r="AB220" s="126"/>
      <c r="AC220" s="126"/>
    </row>
    <row r="221" spans="1:29" ht="15.75" customHeight="1">
      <c r="A221" s="126"/>
      <c r="B221" s="126"/>
      <c r="C221" s="176"/>
      <c r="D221" s="176"/>
      <c r="E221" s="176"/>
      <c r="F221" s="176"/>
      <c r="G221" s="176"/>
      <c r="H221" s="176"/>
      <c r="I221" s="126"/>
      <c r="J221" s="126"/>
      <c r="K221" s="126"/>
      <c r="L221" s="126"/>
      <c r="M221" s="126"/>
      <c r="N221" s="126"/>
      <c r="O221" s="126"/>
      <c r="P221" s="126"/>
      <c r="Q221" s="126"/>
      <c r="R221" s="126"/>
      <c r="S221" s="126"/>
      <c r="T221" s="126"/>
      <c r="U221" s="126"/>
      <c r="V221" s="126"/>
      <c r="W221" s="126"/>
      <c r="X221" s="126"/>
      <c r="Y221" s="126"/>
      <c r="Z221" s="126"/>
      <c r="AA221" s="126"/>
      <c r="AB221" s="126"/>
      <c r="AC221" s="126"/>
    </row>
    <row r="222" spans="1:29" ht="15.75" customHeight="1">
      <c r="A222" s="126"/>
      <c r="B222" s="126"/>
      <c r="C222" s="176"/>
      <c r="D222" s="176"/>
      <c r="E222" s="176"/>
      <c r="F222" s="176"/>
      <c r="G222" s="176"/>
      <c r="H222" s="176"/>
      <c r="I222" s="126"/>
      <c r="J222" s="126"/>
      <c r="K222" s="126"/>
      <c r="L222" s="126"/>
      <c r="M222" s="126"/>
      <c r="N222" s="126"/>
      <c r="O222" s="126"/>
      <c r="P222" s="126"/>
      <c r="Q222" s="126"/>
      <c r="R222" s="126"/>
      <c r="S222" s="126"/>
      <c r="T222" s="126"/>
      <c r="U222" s="126"/>
      <c r="V222" s="126"/>
      <c r="W222" s="126"/>
      <c r="X222" s="126"/>
      <c r="Y222" s="126"/>
      <c r="Z222" s="126"/>
      <c r="AA222" s="126"/>
      <c r="AB222" s="126"/>
      <c r="AC222" s="126"/>
    </row>
    <row r="223" spans="1:29" ht="15.75" customHeight="1">
      <c r="A223" s="126"/>
      <c r="B223" s="126"/>
      <c r="C223" s="176"/>
      <c r="D223" s="176"/>
      <c r="E223" s="176"/>
      <c r="F223" s="176"/>
      <c r="G223" s="176"/>
      <c r="H223" s="176"/>
      <c r="I223" s="126"/>
      <c r="J223" s="126"/>
      <c r="K223" s="126"/>
      <c r="L223" s="126"/>
      <c r="M223" s="126"/>
      <c r="N223" s="126"/>
      <c r="O223" s="126"/>
      <c r="P223" s="126"/>
      <c r="Q223" s="126"/>
      <c r="R223" s="126"/>
      <c r="S223" s="126"/>
      <c r="T223" s="126"/>
      <c r="U223" s="126"/>
      <c r="V223" s="126"/>
      <c r="W223" s="126"/>
      <c r="X223" s="126"/>
      <c r="Y223" s="126"/>
      <c r="Z223" s="126"/>
      <c r="AA223" s="126"/>
      <c r="AB223" s="126"/>
      <c r="AC223" s="126"/>
    </row>
    <row r="224" spans="1:29" ht="15.75" customHeight="1">
      <c r="A224" s="126"/>
      <c r="B224" s="126"/>
      <c r="C224" s="176"/>
      <c r="D224" s="176"/>
      <c r="E224" s="176"/>
      <c r="F224" s="176"/>
      <c r="G224" s="176"/>
      <c r="H224" s="176"/>
      <c r="I224" s="126"/>
      <c r="J224" s="126"/>
      <c r="K224" s="126"/>
      <c r="L224" s="126"/>
      <c r="M224" s="126"/>
      <c r="N224" s="126"/>
      <c r="O224" s="126"/>
      <c r="P224" s="126"/>
      <c r="Q224" s="126"/>
      <c r="R224" s="126"/>
      <c r="S224" s="126"/>
      <c r="T224" s="126"/>
      <c r="U224" s="126"/>
      <c r="V224" s="126"/>
      <c r="W224" s="126"/>
      <c r="X224" s="126"/>
      <c r="Y224" s="126"/>
      <c r="Z224" s="126"/>
      <c r="AA224" s="126"/>
      <c r="AB224" s="126"/>
      <c r="AC224" s="126"/>
    </row>
    <row r="225" spans="1:29" ht="15.75" customHeight="1">
      <c r="A225" s="126"/>
      <c r="B225" s="126"/>
      <c r="C225" s="176"/>
      <c r="D225" s="176"/>
      <c r="E225" s="176"/>
      <c r="F225" s="176"/>
      <c r="G225" s="176"/>
      <c r="H225" s="176"/>
      <c r="I225" s="126"/>
      <c r="J225" s="126"/>
      <c r="K225" s="126"/>
      <c r="L225" s="126"/>
      <c r="M225" s="126"/>
      <c r="N225" s="126"/>
      <c r="O225" s="126"/>
      <c r="P225" s="126"/>
      <c r="Q225" s="126"/>
      <c r="R225" s="126"/>
      <c r="S225" s="126"/>
      <c r="T225" s="126"/>
      <c r="U225" s="126"/>
      <c r="V225" s="126"/>
      <c r="W225" s="126"/>
      <c r="X225" s="126"/>
      <c r="Y225" s="126"/>
      <c r="Z225" s="126"/>
      <c r="AA225" s="126"/>
      <c r="AB225" s="126"/>
      <c r="AC225" s="126"/>
    </row>
    <row r="226" spans="1:29" ht="15.75" customHeight="1">
      <c r="A226" s="126"/>
      <c r="B226" s="126"/>
      <c r="C226" s="176"/>
      <c r="D226" s="176"/>
      <c r="E226" s="176"/>
      <c r="F226" s="176"/>
      <c r="G226" s="176"/>
      <c r="H226" s="176"/>
      <c r="I226" s="126"/>
      <c r="J226" s="126"/>
      <c r="K226" s="126"/>
      <c r="L226" s="126"/>
      <c r="M226" s="126"/>
      <c r="N226" s="126"/>
      <c r="O226" s="126"/>
      <c r="P226" s="126"/>
      <c r="Q226" s="126"/>
      <c r="R226" s="126"/>
      <c r="S226" s="126"/>
      <c r="T226" s="126"/>
      <c r="U226" s="126"/>
      <c r="V226" s="126"/>
      <c r="W226" s="126"/>
      <c r="X226" s="126"/>
      <c r="Y226" s="126"/>
      <c r="Z226" s="126"/>
      <c r="AA226" s="126"/>
      <c r="AB226" s="126"/>
      <c r="AC226" s="126"/>
    </row>
    <row r="227" spans="1:29" ht="15.75" customHeight="1">
      <c r="A227" s="126"/>
      <c r="B227" s="126"/>
      <c r="C227" s="176"/>
      <c r="D227" s="176"/>
      <c r="E227" s="176"/>
      <c r="F227" s="176"/>
      <c r="G227" s="176"/>
      <c r="H227" s="176"/>
      <c r="I227" s="126"/>
      <c r="J227" s="126"/>
      <c r="K227" s="126"/>
      <c r="L227" s="126"/>
      <c r="M227" s="126"/>
      <c r="N227" s="126"/>
      <c r="O227" s="126"/>
      <c r="P227" s="126"/>
      <c r="Q227" s="126"/>
      <c r="R227" s="126"/>
      <c r="S227" s="126"/>
      <c r="T227" s="126"/>
      <c r="U227" s="126"/>
      <c r="V227" s="126"/>
      <c r="W227" s="126"/>
      <c r="X227" s="126"/>
      <c r="Y227" s="126"/>
      <c r="Z227" s="126"/>
      <c r="AA227" s="126"/>
      <c r="AB227" s="126"/>
      <c r="AC227" s="126"/>
    </row>
    <row r="228" spans="1:29" ht="15.75" customHeight="1">
      <c r="A228" s="126"/>
      <c r="B228" s="126"/>
      <c r="C228" s="176"/>
      <c r="D228" s="176"/>
      <c r="E228" s="176"/>
      <c r="F228" s="176"/>
      <c r="G228" s="176"/>
      <c r="H228" s="176"/>
      <c r="I228" s="126"/>
      <c r="J228" s="126"/>
      <c r="K228" s="126"/>
      <c r="L228" s="126"/>
      <c r="M228" s="126"/>
      <c r="N228" s="126"/>
      <c r="O228" s="126"/>
      <c r="P228" s="126"/>
      <c r="Q228" s="126"/>
      <c r="R228" s="126"/>
      <c r="S228" s="126"/>
      <c r="T228" s="126"/>
      <c r="U228" s="126"/>
      <c r="V228" s="126"/>
      <c r="W228" s="126"/>
      <c r="X228" s="126"/>
      <c r="Y228" s="126"/>
      <c r="Z228" s="126"/>
      <c r="AA228" s="126"/>
      <c r="AB228" s="126"/>
      <c r="AC228" s="126"/>
    </row>
    <row r="229" spans="1:29" ht="15.75" customHeight="1">
      <c r="A229" s="126"/>
      <c r="B229" s="126"/>
      <c r="C229" s="176"/>
      <c r="D229" s="176"/>
      <c r="E229" s="176"/>
      <c r="F229" s="176"/>
      <c r="G229" s="176"/>
      <c r="H229" s="176"/>
      <c r="I229" s="126"/>
      <c r="J229" s="126"/>
      <c r="K229" s="126"/>
      <c r="L229" s="126"/>
      <c r="M229" s="126"/>
      <c r="N229" s="126"/>
      <c r="O229" s="126"/>
      <c r="P229" s="126"/>
      <c r="Q229" s="126"/>
      <c r="R229" s="126"/>
      <c r="S229" s="126"/>
      <c r="T229" s="126"/>
      <c r="U229" s="126"/>
      <c r="V229" s="126"/>
      <c r="W229" s="126"/>
      <c r="X229" s="126"/>
      <c r="Y229" s="126"/>
      <c r="Z229" s="126"/>
      <c r="AA229" s="126"/>
      <c r="AB229" s="126"/>
      <c r="AC229" s="126"/>
    </row>
    <row r="230" spans="1:29" ht="15.75" customHeight="1">
      <c r="A230" s="126"/>
      <c r="B230" s="126"/>
      <c r="C230" s="176"/>
      <c r="D230" s="176"/>
      <c r="E230" s="176"/>
      <c r="F230" s="176"/>
      <c r="G230" s="176"/>
      <c r="H230" s="176"/>
      <c r="I230" s="126"/>
      <c r="J230" s="126"/>
      <c r="K230" s="126"/>
      <c r="L230" s="126"/>
      <c r="M230" s="126"/>
      <c r="N230" s="126"/>
      <c r="O230" s="126"/>
      <c r="P230" s="126"/>
      <c r="Q230" s="126"/>
      <c r="R230" s="126"/>
      <c r="S230" s="126"/>
      <c r="T230" s="126"/>
      <c r="U230" s="126"/>
      <c r="V230" s="126"/>
      <c r="W230" s="126"/>
      <c r="X230" s="126"/>
      <c r="Y230" s="126"/>
      <c r="Z230" s="126"/>
      <c r="AA230" s="126"/>
      <c r="AB230" s="126"/>
      <c r="AC230" s="126"/>
    </row>
    <row r="231" spans="1:29" ht="15.75" customHeight="1">
      <c r="A231" s="126"/>
      <c r="B231" s="126"/>
      <c r="C231" s="176"/>
      <c r="D231" s="176"/>
      <c r="E231" s="176"/>
      <c r="F231" s="176"/>
      <c r="G231" s="176"/>
      <c r="H231" s="176"/>
      <c r="I231" s="126"/>
      <c r="J231" s="126"/>
      <c r="K231" s="126"/>
      <c r="L231" s="126"/>
      <c r="M231" s="126"/>
      <c r="N231" s="126"/>
      <c r="O231" s="126"/>
      <c r="P231" s="126"/>
      <c r="Q231" s="126"/>
      <c r="R231" s="126"/>
      <c r="S231" s="126"/>
      <c r="T231" s="126"/>
      <c r="U231" s="126"/>
      <c r="V231" s="126"/>
      <c r="W231" s="126"/>
      <c r="X231" s="126"/>
      <c r="Y231" s="126"/>
      <c r="Z231" s="126"/>
      <c r="AA231" s="126"/>
      <c r="AB231" s="126"/>
      <c r="AC231" s="126"/>
    </row>
    <row r="232" spans="1:29" ht="15.75" customHeight="1">
      <c r="A232" s="126"/>
      <c r="B232" s="126"/>
      <c r="C232" s="176"/>
      <c r="D232" s="176"/>
      <c r="E232" s="176"/>
      <c r="F232" s="176"/>
      <c r="G232" s="176"/>
      <c r="H232" s="176"/>
      <c r="I232" s="126"/>
      <c r="J232" s="126"/>
      <c r="K232" s="126"/>
      <c r="L232" s="126"/>
      <c r="M232" s="126"/>
      <c r="N232" s="126"/>
      <c r="O232" s="126"/>
      <c r="P232" s="126"/>
      <c r="Q232" s="126"/>
      <c r="R232" s="126"/>
      <c r="S232" s="126"/>
      <c r="T232" s="126"/>
      <c r="U232" s="126"/>
      <c r="V232" s="126"/>
      <c r="W232" s="126"/>
      <c r="X232" s="126"/>
      <c r="Y232" s="126"/>
      <c r="Z232" s="126"/>
      <c r="AA232" s="126"/>
      <c r="AB232" s="126"/>
      <c r="AC232" s="126"/>
    </row>
    <row r="233" spans="1:29" ht="15.75" customHeight="1">
      <c r="A233" s="126"/>
      <c r="B233" s="126"/>
      <c r="C233" s="176"/>
      <c r="D233" s="176"/>
      <c r="E233" s="176"/>
      <c r="F233" s="176"/>
      <c r="G233" s="176"/>
      <c r="H233" s="176"/>
      <c r="I233" s="126"/>
      <c r="J233" s="126"/>
      <c r="K233" s="126"/>
      <c r="L233" s="126"/>
      <c r="M233" s="126"/>
      <c r="N233" s="126"/>
      <c r="O233" s="126"/>
      <c r="P233" s="126"/>
      <c r="Q233" s="126"/>
      <c r="R233" s="126"/>
      <c r="S233" s="126"/>
      <c r="T233" s="126"/>
      <c r="U233" s="126"/>
      <c r="V233" s="126"/>
      <c r="W233" s="126"/>
      <c r="X233" s="126"/>
      <c r="Y233" s="126"/>
      <c r="Z233" s="126"/>
      <c r="AA233" s="126"/>
      <c r="AB233" s="126"/>
      <c r="AC233" s="126"/>
    </row>
    <row r="234" spans="1:29" ht="15.75" customHeight="1">
      <c r="A234" s="126"/>
      <c r="B234" s="126"/>
      <c r="C234" s="176"/>
      <c r="D234" s="176"/>
      <c r="E234" s="176"/>
      <c r="F234" s="176"/>
      <c r="G234" s="176"/>
      <c r="H234" s="176"/>
      <c r="I234" s="126"/>
      <c r="J234" s="126"/>
      <c r="K234" s="126"/>
      <c r="L234" s="126"/>
      <c r="M234" s="126"/>
      <c r="N234" s="126"/>
      <c r="O234" s="126"/>
      <c r="P234" s="126"/>
      <c r="Q234" s="126"/>
      <c r="R234" s="126"/>
      <c r="S234" s="126"/>
      <c r="T234" s="126"/>
      <c r="U234" s="126"/>
      <c r="V234" s="126"/>
      <c r="W234" s="126"/>
      <c r="X234" s="126"/>
      <c r="Y234" s="126"/>
      <c r="Z234" s="126"/>
      <c r="AA234" s="126"/>
      <c r="AB234" s="126"/>
      <c r="AC234" s="126"/>
    </row>
    <row r="235" spans="1:29" ht="15.75" customHeight="1">
      <c r="A235" s="126"/>
      <c r="B235" s="126"/>
      <c r="C235" s="176"/>
      <c r="D235" s="176"/>
      <c r="E235" s="176"/>
      <c r="F235" s="176"/>
      <c r="G235" s="176"/>
      <c r="H235" s="176"/>
      <c r="I235" s="126"/>
      <c r="J235" s="126"/>
      <c r="K235" s="126"/>
      <c r="L235" s="126"/>
      <c r="M235" s="126"/>
      <c r="N235" s="126"/>
      <c r="O235" s="126"/>
      <c r="P235" s="126"/>
      <c r="Q235" s="126"/>
      <c r="R235" s="126"/>
      <c r="S235" s="126"/>
      <c r="T235" s="126"/>
      <c r="U235" s="126"/>
      <c r="V235" s="126"/>
      <c r="W235" s="126"/>
      <c r="X235" s="126"/>
      <c r="Y235" s="126"/>
      <c r="Z235" s="126"/>
      <c r="AA235" s="126"/>
      <c r="AB235" s="126"/>
      <c r="AC235" s="126"/>
    </row>
    <row r="236" spans="1:29" ht="15.75" customHeight="1">
      <c r="A236" s="126"/>
      <c r="B236" s="126"/>
      <c r="C236" s="176"/>
      <c r="D236" s="176"/>
      <c r="E236" s="176"/>
      <c r="F236" s="176"/>
      <c r="G236" s="176"/>
      <c r="H236" s="176"/>
      <c r="I236" s="126"/>
      <c r="J236" s="126"/>
      <c r="K236" s="126"/>
      <c r="L236" s="126"/>
      <c r="M236" s="126"/>
      <c r="N236" s="126"/>
      <c r="O236" s="126"/>
      <c r="P236" s="126"/>
      <c r="Q236" s="126"/>
      <c r="R236" s="126"/>
      <c r="S236" s="126"/>
      <c r="T236" s="126"/>
      <c r="U236" s="126"/>
      <c r="V236" s="126"/>
      <c r="W236" s="126"/>
      <c r="X236" s="126"/>
      <c r="Y236" s="126"/>
      <c r="Z236" s="126"/>
      <c r="AA236" s="126"/>
      <c r="AB236" s="126"/>
      <c r="AC236" s="126"/>
    </row>
    <row r="237" spans="1:29" ht="15.75" customHeight="1">
      <c r="A237" s="126"/>
      <c r="B237" s="126"/>
      <c r="C237" s="176"/>
      <c r="D237" s="176"/>
      <c r="E237" s="176"/>
      <c r="F237" s="176"/>
      <c r="G237" s="176"/>
      <c r="H237" s="176"/>
      <c r="I237" s="126"/>
      <c r="J237" s="126"/>
      <c r="K237" s="126"/>
      <c r="L237" s="126"/>
      <c r="M237" s="126"/>
      <c r="N237" s="126"/>
      <c r="O237" s="126"/>
      <c r="P237" s="126"/>
      <c r="Q237" s="126"/>
      <c r="R237" s="126"/>
      <c r="S237" s="126"/>
      <c r="T237" s="126"/>
      <c r="U237" s="126"/>
      <c r="V237" s="126"/>
      <c r="W237" s="126"/>
      <c r="X237" s="126"/>
      <c r="Y237" s="126"/>
      <c r="Z237" s="126"/>
      <c r="AA237" s="126"/>
      <c r="AB237" s="126"/>
      <c r="AC237" s="126"/>
    </row>
    <row r="238" spans="1:29" ht="15.75" customHeight="1">
      <c r="A238" s="126"/>
      <c r="B238" s="126"/>
      <c r="C238" s="176"/>
      <c r="D238" s="176"/>
      <c r="E238" s="176"/>
      <c r="F238" s="176"/>
      <c r="G238" s="176"/>
      <c r="H238" s="176"/>
      <c r="I238" s="126"/>
      <c r="J238" s="126"/>
      <c r="K238" s="126"/>
      <c r="L238" s="126"/>
      <c r="M238" s="126"/>
      <c r="N238" s="126"/>
      <c r="O238" s="126"/>
      <c r="P238" s="126"/>
      <c r="Q238" s="126"/>
      <c r="R238" s="126"/>
      <c r="S238" s="126"/>
      <c r="T238" s="126"/>
      <c r="U238" s="126"/>
      <c r="V238" s="126"/>
      <c r="W238" s="126"/>
      <c r="X238" s="126"/>
      <c r="Y238" s="126"/>
      <c r="Z238" s="126"/>
      <c r="AA238" s="126"/>
      <c r="AB238" s="126"/>
      <c r="AC238" s="126"/>
    </row>
    <row r="239" spans="1:29" ht="15.75" customHeight="1">
      <c r="A239" s="126"/>
      <c r="B239" s="126"/>
      <c r="C239" s="176"/>
      <c r="D239" s="176"/>
      <c r="E239" s="176"/>
      <c r="F239" s="176"/>
      <c r="G239" s="176"/>
      <c r="H239" s="176"/>
      <c r="I239" s="126"/>
      <c r="J239" s="126"/>
      <c r="K239" s="126"/>
      <c r="L239" s="126"/>
      <c r="M239" s="126"/>
      <c r="N239" s="126"/>
      <c r="O239" s="126"/>
      <c r="P239" s="126"/>
      <c r="Q239" s="126"/>
      <c r="R239" s="126"/>
      <c r="S239" s="126"/>
      <c r="T239" s="126"/>
      <c r="U239" s="126"/>
      <c r="V239" s="126"/>
      <c r="W239" s="126"/>
      <c r="X239" s="126"/>
      <c r="Y239" s="126"/>
      <c r="Z239" s="126"/>
      <c r="AA239" s="126"/>
      <c r="AB239" s="126"/>
      <c r="AC239" s="126"/>
    </row>
    <row r="240" spans="1:29" ht="15.75" customHeight="1">
      <c r="A240" s="126"/>
      <c r="B240" s="126"/>
      <c r="C240" s="176"/>
      <c r="D240" s="176"/>
      <c r="E240" s="176"/>
      <c r="F240" s="176"/>
      <c r="G240" s="176"/>
      <c r="H240" s="176"/>
      <c r="I240" s="126"/>
      <c r="J240" s="126"/>
      <c r="K240" s="126"/>
      <c r="L240" s="126"/>
      <c r="M240" s="126"/>
      <c r="N240" s="126"/>
      <c r="O240" s="126"/>
      <c r="P240" s="126"/>
      <c r="Q240" s="126"/>
      <c r="R240" s="126"/>
      <c r="S240" s="126"/>
      <c r="T240" s="126"/>
      <c r="U240" s="126"/>
      <c r="V240" s="126"/>
      <c r="W240" s="126"/>
      <c r="X240" s="126"/>
      <c r="Y240" s="126"/>
      <c r="Z240" s="126"/>
      <c r="AA240" s="126"/>
      <c r="AB240" s="126"/>
      <c r="AC240" s="126"/>
    </row>
    <row r="241" spans="1:29" ht="15.75" customHeight="1">
      <c r="A241" s="126"/>
      <c r="B241" s="126"/>
      <c r="C241" s="176"/>
      <c r="D241" s="176"/>
      <c r="E241" s="176"/>
      <c r="F241" s="176"/>
      <c r="G241" s="176"/>
      <c r="H241" s="176"/>
      <c r="I241" s="126"/>
      <c r="J241" s="126"/>
      <c r="K241" s="126"/>
      <c r="L241" s="126"/>
      <c r="M241" s="126"/>
      <c r="N241" s="126"/>
      <c r="O241" s="126"/>
      <c r="P241" s="126"/>
      <c r="Q241" s="126"/>
      <c r="R241" s="126"/>
      <c r="S241" s="126"/>
      <c r="T241" s="126"/>
      <c r="U241" s="126"/>
      <c r="V241" s="126"/>
      <c r="W241" s="126"/>
      <c r="X241" s="126"/>
      <c r="Y241" s="126"/>
      <c r="Z241" s="126"/>
      <c r="AA241" s="126"/>
      <c r="AB241" s="126"/>
      <c r="AC241" s="126"/>
    </row>
    <row r="242" spans="1:29" ht="15.75" customHeight="1">
      <c r="A242" s="126"/>
      <c r="B242" s="126"/>
      <c r="C242" s="176"/>
      <c r="D242" s="176"/>
      <c r="E242" s="176"/>
      <c r="F242" s="176"/>
      <c r="G242" s="176"/>
      <c r="H242" s="176"/>
      <c r="I242" s="126"/>
      <c r="J242" s="126"/>
      <c r="K242" s="126"/>
      <c r="L242" s="126"/>
      <c r="M242" s="126"/>
      <c r="N242" s="126"/>
      <c r="O242" s="126"/>
      <c r="P242" s="126"/>
      <c r="Q242" s="126"/>
      <c r="R242" s="126"/>
      <c r="S242" s="126"/>
      <c r="T242" s="126"/>
      <c r="U242" s="126"/>
      <c r="V242" s="126"/>
      <c r="W242" s="126"/>
      <c r="X242" s="126"/>
      <c r="Y242" s="126"/>
      <c r="Z242" s="126"/>
      <c r="AA242" s="126"/>
      <c r="AB242" s="126"/>
      <c r="AC242" s="126"/>
    </row>
    <row r="243" spans="1:29" ht="15.75" customHeight="1">
      <c r="A243" s="126"/>
      <c r="B243" s="126"/>
      <c r="C243" s="176"/>
      <c r="D243" s="176"/>
      <c r="E243" s="176"/>
      <c r="F243" s="176"/>
      <c r="G243" s="176"/>
      <c r="H243" s="176"/>
      <c r="I243" s="126"/>
      <c r="J243" s="126"/>
      <c r="K243" s="126"/>
      <c r="L243" s="126"/>
      <c r="M243" s="126"/>
      <c r="N243" s="126"/>
      <c r="O243" s="126"/>
      <c r="P243" s="126"/>
      <c r="Q243" s="126"/>
      <c r="R243" s="126"/>
      <c r="S243" s="126"/>
      <c r="T243" s="126"/>
      <c r="U243" s="126"/>
      <c r="V243" s="126"/>
      <c r="W243" s="126"/>
      <c r="X243" s="126"/>
      <c r="Y243" s="126"/>
      <c r="Z243" s="126"/>
      <c r="AA243" s="126"/>
      <c r="AB243" s="126"/>
      <c r="AC243" s="126"/>
    </row>
    <row r="244" spans="1:29" ht="15.75" customHeight="1">
      <c r="A244" s="126"/>
      <c r="B244" s="126"/>
      <c r="C244" s="176"/>
      <c r="D244" s="176"/>
      <c r="E244" s="176"/>
      <c r="F244" s="176"/>
      <c r="G244" s="176"/>
      <c r="H244" s="176"/>
      <c r="I244" s="126"/>
      <c r="J244" s="126"/>
      <c r="K244" s="126"/>
      <c r="L244" s="126"/>
      <c r="M244" s="126"/>
      <c r="N244" s="126"/>
      <c r="O244" s="126"/>
      <c r="P244" s="126"/>
      <c r="Q244" s="126"/>
      <c r="R244" s="126"/>
      <c r="S244" s="126"/>
      <c r="T244" s="126"/>
      <c r="U244" s="126"/>
      <c r="V244" s="126"/>
      <c r="W244" s="126"/>
      <c r="X244" s="126"/>
      <c r="Y244" s="126"/>
      <c r="Z244" s="126"/>
      <c r="AA244" s="126"/>
      <c r="AB244" s="126"/>
      <c r="AC244" s="126"/>
    </row>
    <row r="245" spans="1:29" ht="15.75" customHeight="1">
      <c r="A245" s="126"/>
      <c r="B245" s="126"/>
      <c r="C245" s="176"/>
      <c r="D245" s="176"/>
      <c r="E245" s="176"/>
      <c r="F245" s="176"/>
      <c r="G245" s="176"/>
      <c r="H245" s="176"/>
      <c r="I245" s="126"/>
      <c r="J245" s="126"/>
      <c r="K245" s="126"/>
      <c r="L245" s="126"/>
      <c r="M245" s="126"/>
      <c r="N245" s="126"/>
      <c r="O245" s="126"/>
      <c r="P245" s="126"/>
      <c r="Q245" s="126"/>
      <c r="R245" s="126"/>
      <c r="S245" s="126"/>
      <c r="T245" s="126"/>
      <c r="U245" s="126"/>
      <c r="V245" s="126"/>
      <c r="W245" s="126"/>
      <c r="X245" s="126"/>
      <c r="Y245" s="126"/>
      <c r="Z245" s="126"/>
      <c r="AA245" s="126"/>
      <c r="AB245" s="126"/>
      <c r="AC245" s="126"/>
    </row>
    <row r="246" spans="1:29" ht="15.75" customHeight="1">
      <c r="A246" s="126"/>
      <c r="B246" s="126"/>
      <c r="C246" s="176"/>
      <c r="D246" s="176"/>
      <c r="E246" s="176"/>
      <c r="F246" s="176"/>
      <c r="G246" s="176"/>
      <c r="H246" s="176"/>
      <c r="I246" s="126"/>
      <c r="J246" s="126"/>
      <c r="K246" s="126"/>
      <c r="L246" s="126"/>
      <c r="M246" s="126"/>
      <c r="N246" s="126"/>
      <c r="O246" s="126"/>
      <c r="P246" s="126"/>
      <c r="Q246" s="126"/>
      <c r="R246" s="126"/>
      <c r="S246" s="126"/>
      <c r="T246" s="126"/>
      <c r="U246" s="126"/>
      <c r="V246" s="126"/>
      <c r="W246" s="126"/>
      <c r="X246" s="126"/>
      <c r="Y246" s="126"/>
      <c r="Z246" s="126"/>
      <c r="AA246" s="126"/>
      <c r="AB246" s="126"/>
      <c r="AC246" s="126"/>
    </row>
    <row r="247" spans="1:29" ht="15.75" customHeight="1">
      <c r="A247" s="126"/>
      <c r="B247" s="126"/>
      <c r="C247" s="176"/>
      <c r="D247" s="176"/>
      <c r="E247" s="176"/>
      <c r="F247" s="176"/>
      <c r="G247" s="176"/>
      <c r="H247" s="176"/>
      <c r="I247" s="126"/>
      <c r="J247" s="126"/>
      <c r="K247" s="126"/>
      <c r="L247" s="126"/>
      <c r="M247" s="126"/>
      <c r="N247" s="126"/>
      <c r="O247" s="126"/>
      <c r="P247" s="126"/>
      <c r="Q247" s="126"/>
      <c r="R247" s="126"/>
      <c r="S247" s="126"/>
      <c r="T247" s="126"/>
      <c r="U247" s="126"/>
      <c r="V247" s="126"/>
      <c r="W247" s="126"/>
      <c r="X247" s="126"/>
      <c r="Y247" s="126"/>
      <c r="Z247" s="126"/>
      <c r="AA247" s="126"/>
      <c r="AB247" s="126"/>
      <c r="AC247" s="126"/>
    </row>
    <row r="248" spans="1:29" ht="15.75" customHeight="1">
      <c r="A248" s="126"/>
      <c r="B248" s="126"/>
      <c r="C248" s="176"/>
      <c r="D248" s="176"/>
      <c r="E248" s="176"/>
      <c r="F248" s="176"/>
      <c r="G248" s="176"/>
      <c r="H248" s="176"/>
      <c r="I248" s="126"/>
      <c r="J248" s="126"/>
      <c r="K248" s="126"/>
      <c r="L248" s="126"/>
      <c r="M248" s="126"/>
      <c r="N248" s="126"/>
      <c r="O248" s="126"/>
      <c r="P248" s="126"/>
      <c r="Q248" s="126"/>
      <c r="R248" s="126"/>
      <c r="S248" s="126"/>
      <c r="T248" s="126"/>
      <c r="U248" s="126"/>
      <c r="V248" s="126"/>
      <c r="W248" s="126"/>
      <c r="X248" s="126"/>
      <c r="Y248" s="126"/>
      <c r="Z248" s="126"/>
      <c r="AA248" s="126"/>
      <c r="AB248" s="126"/>
      <c r="AC248" s="126"/>
    </row>
    <row r="249" spans="1:29" ht="15.75" customHeight="1">
      <c r="A249" s="126"/>
      <c r="B249" s="126"/>
      <c r="C249" s="176"/>
      <c r="D249" s="176"/>
      <c r="E249" s="176"/>
      <c r="F249" s="176"/>
      <c r="G249" s="176"/>
      <c r="H249" s="176"/>
      <c r="I249" s="126"/>
      <c r="J249" s="126"/>
      <c r="K249" s="126"/>
      <c r="L249" s="126"/>
      <c r="M249" s="126"/>
      <c r="N249" s="126"/>
      <c r="O249" s="126"/>
      <c r="P249" s="126"/>
      <c r="Q249" s="126"/>
      <c r="R249" s="126"/>
      <c r="S249" s="126"/>
      <c r="T249" s="126"/>
      <c r="U249" s="126"/>
      <c r="V249" s="126"/>
      <c r="W249" s="126"/>
      <c r="X249" s="126"/>
      <c r="Y249" s="126"/>
      <c r="Z249" s="126"/>
      <c r="AA249" s="126"/>
      <c r="AB249" s="126"/>
      <c r="AC249" s="126"/>
    </row>
    <row r="250" spans="1:29" ht="15.75" customHeight="1">
      <c r="A250" s="126"/>
      <c r="B250" s="126"/>
      <c r="C250" s="176"/>
      <c r="D250" s="176"/>
      <c r="E250" s="176"/>
      <c r="F250" s="176"/>
      <c r="G250" s="176"/>
      <c r="H250" s="176"/>
      <c r="I250" s="126"/>
      <c r="J250" s="126"/>
      <c r="K250" s="126"/>
      <c r="L250" s="126"/>
      <c r="M250" s="126"/>
      <c r="N250" s="126"/>
      <c r="O250" s="126"/>
      <c r="P250" s="126"/>
      <c r="Q250" s="126"/>
      <c r="R250" s="126"/>
      <c r="S250" s="126"/>
      <c r="T250" s="126"/>
      <c r="U250" s="126"/>
      <c r="V250" s="126"/>
      <c r="W250" s="126"/>
      <c r="X250" s="126"/>
      <c r="Y250" s="126"/>
      <c r="Z250" s="126"/>
      <c r="AA250" s="126"/>
      <c r="AB250" s="126"/>
      <c r="AC250" s="126"/>
    </row>
    <row r="251" spans="1:29" ht="15.75" customHeight="1">
      <c r="A251" s="126"/>
      <c r="B251" s="126"/>
      <c r="C251" s="176"/>
      <c r="D251" s="176"/>
      <c r="E251" s="176"/>
      <c r="F251" s="176"/>
      <c r="G251" s="176"/>
      <c r="H251" s="176"/>
      <c r="I251" s="126"/>
      <c r="J251" s="126"/>
      <c r="K251" s="126"/>
      <c r="L251" s="126"/>
      <c r="M251" s="126"/>
      <c r="N251" s="126"/>
      <c r="O251" s="126"/>
      <c r="P251" s="126"/>
      <c r="Q251" s="126"/>
      <c r="R251" s="126"/>
      <c r="S251" s="126"/>
      <c r="T251" s="126"/>
      <c r="U251" s="126"/>
      <c r="V251" s="126"/>
      <c r="W251" s="126"/>
      <c r="X251" s="126"/>
      <c r="Y251" s="126"/>
      <c r="Z251" s="126"/>
      <c r="AA251" s="126"/>
      <c r="AB251" s="126"/>
      <c r="AC251" s="126"/>
    </row>
    <row r="252" spans="1:29" ht="15.75" customHeight="1">
      <c r="A252" s="126"/>
      <c r="B252" s="126"/>
      <c r="C252" s="176"/>
      <c r="D252" s="176"/>
      <c r="E252" s="176"/>
      <c r="F252" s="176"/>
      <c r="G252" s="176"/>
      <c r="H252" s="176"/>
      <c r="I252" s="126"/>
      <c r="J252" s="126"/>
      <c r="K252" s="126"/>
      <c r="L252" s="126"/>
      <c r="M252" s="126"/>
      <c r="N252" s="126"/>
      <c r="O252" s="126"/>
      <c r="P252" s="126"/>
      <c r="Q252" s="126"/>
      <c r="R252" s="126"/>
      <c r="S252" s="126"/>
      <c r="T252" s="126"/>
      <c r="U252" s="126"/>
      <c r="V252" s="126"/>
      <c r="W252" s="126"/>
      <c r="X252" s="126"/>
      <c r="Y252" s="126"/>
      <c r="Z252" s="126"/>
      <c r="AA252" s="126"/>
      <c r="AB252" s="126"/>
      <c r="AC252" s="126"/>
    </row>
    <row r="253" spans="1:29" ht="15.75" customHeight="1">
      <c r="A253" s="126"/>
      <c r="B253" s="126"/>
      <c r="C253" s="176"/>
      <c r="D253" s="176"/>
      <c r="E253" s="176"/>
      <c r="F253" s="176"/>
      <c r="G253" s="176"/>
      <c r="H253" s="176"/>
      <c r="I253" s="126"/>
      <c r="J253" s="126"/>
      <c r="K253" s="126"/>
      <c r="L253" s="126"/>
      <c r="M253" s="126"/>
      <c r="N253" s="126"/>
      <c r="O253" s="126"/>
      <c r="P253" s="126"/>
      <c r="Q253" s="126"/>
      <c r="R253" s="126"/>
      <c r="S253" s="126"/>
      <c r="T253" s="126"/>
      <c r="U253" s="126"/>
      <c r="V253" s="126"/>
      <c r="W253" s="126"/>
      <c r="X253" s="126"/>
      <c r="Y253" s="126"/>
      <c r="Z253" s="126"/>
      <c r="AA253" s="126"/>
      <c r="AB253" s="126"/>
      <c r="AC253" s="126"/>
    </row>
    <row r="254" spans="1:29" ht="15.75" customHeight="1">
      <c r="A254" s="126"/>
      <c r="B254" s="126"/>
      <c r="C254" s="176"/>
      <c r="D254" s="176"/>
      <c r="E254" s="176"/>
      <c r="F254" s="176"/>
      <c r="G254" s="176"/>
      <c r="H254" s="176"/>
      <c r="I254" s="126"/>
      <c r="J254" s="126"/>
      <c r="K254" s="126"/>
      <c r="L254" s="126"/>
      <c r="M254" s="126"/>
      <c r="N254" s="126"/>
      <c r="O254" s="126"/>
      <c r="P254" s="126"/>
      <c r="Q254" s="126"/>
      <c r="R254" s="126"/>
      <c r="S254" s="126"/>
      <c r="T254" s="126"/>
      <c r="U254" s="126"/>
      <c r="V254" s="126"/>
      <c r="W254" s="126"/>
      <c r="X254" s="126"/>
      <c r="Y254" s="126"/>
      <c r="Z254" s="126"/>
      <c r="AA254" s="126"/>
      <c r="AB254" s="126"/>
      <c r="AC254" s="126"/>
    </row>
    <row r="255" spans="1:29" ht="15.75" customHeight="1">
      <c r="A255" s="126"/>
      <c r="B255" s="126"/>
      <c r="C255" s="176"/>
      <c r="D255" s="176"/>
      <c r="E255" s="176"/>
      <c r="F255" s="176"/>
      <c r="G255" s="176"/>
      <c r="H255" s="176"/>
      <c r="I255" s="126"/>
      <c r="J255" s="126"/>
      <c r="K255" s="126"/>
      <c r="L255" s="126"/>
      <c r="M255" s="126"/>
      <c r="N255" s="126"/>
      <c r="O255" s="126"/>
      <c r="P255" s="126"/>
      <c r="Q255" s="126"/>
      <c r="R255" s="126"/>
      <c r="S255" s="126"/>
      <c r="T255" s="126"/>
      <c r="U255" s="126"/>
      <c r="V255" s="126"/>
      <c r="W255" s="126"/>
      <c r="X255" s="126"/>
      <c r="Y255" s="126"/>
      <c r="Z255" s="126"/>
      <c r="AA255" s="126"/>
      <c r="AB255" s="126"/>
      <c r="AC255" s="126"/>
    </row>
    <row r="256" spans="1:29" ht="15.75" customHeight="1">
      <c r="A256" s="126"/>
      <c r="B256" s="126"/>
      <c r="C256" s="176"/>
      <c r="D256" s="176"/>
      <c r="E256" s="176"/>
      <c r="F256" s="176"/>
      <c r="G256" s="176"/>
      <c r="H256" s="176"/>
      <c r="I256" s="126"/>
      <c r="J256" s="126"/>
      <c r="K256" s="126"/>
      <c r="L256" s="126"/>
      <c r="M256" s="126"/>
      <c r="N256" s="126"/>
      <c r="O256" s="126"/>
      <c r="P256" s="126"/>
      <c r="Q256" s="126"/>
      <c r="R256" s="126"/>
      <c r="S256" s="126"/>
      <c r="T256" s="126"/>
      <c r="U256" s="126"/>
      <c r="V256" s="126"/>
      <c r="W256" s="126"/>
      <c r="X256" s="126"/>
      <c r="Y256" s="126"/>
      <c r="Z256" s="126"/>
      <c r="AA256" s="126"/>
      <c r="AB256" s="126"/>
      <c r="AC256" s="126"/>
    </row>
    <row r="257" spans="1:29" ht="15.75" customHeight="1">
      <c r="A257" s="126"/>
      <c r="B257" s="126"/>
      <c r="C257" s="176"/>
      <c r="D257" s="176"/>
      <c r="E257" s="176"/>
      <c r="F257" s="176"/>
      <c r="G257" s="176"/>
      <c r="H257" s="176"/>
      <c r="I257" s="126"/>
      <c r="J257" s="126"/>
      <c r="K257" s="126"/>
      <c r="L257" s="126"/>
      <c r="M257" s="126"/>
      <c r="N257" s="126"/>
      <c r="O257" s="126"/>
      <c r="P257" s="126"/>
      <c r="Q257" s="126"/>
      <c r="R257" s="126"/>
      <c r="S257" s="126"/>
      <c r="T257" s="126"/>
      <c r="U257" s="126"/>
      <c r="V257" s="126"/>
      <c r="W257" s="126"/>
      <c r="X257" s="126"/>
      <c r="Y257" s="126"/>
      <c r="Z257" s="126"/>
      <c r="AA257" s="126"/>
      <c r="AB257" s="126"/>
      <c r="AC257" s="126"/>
    </row>
    <row r="258" spans="1:29" ht="15.75" customHeight="1">
      <c r="A258" s="126"/>
      <c r="B258" s="126"/>
      <c r="C258" s="176"/>
      <c r="D258" s="176"/>
      <c r="E258" s="176"/>
      <c r="F258" s="176"/>
      <c r="G258" s="176"/>
      <c r="H258" s="176"/>
      <c r="I258" s="126"/>
      <c r="J258" s="126"/>
      <c r="K258" s="126"/>
      <c r="L258" s="126"/>
      <c r="M258" s="126"/>
      <c r="N258" s="126"/>
      <c r="O258" s="126"/>
      <c r="P258" s="126"/>
      <c r="Q258" s="126"/>
      <c r="R258" s="126"/>
      <c r="S258" s="126"/>
      <c r="T258" s="126"/>
      <c r="U258" s="126"/>
      <c r="V258" s="126"/>
      <c r="W258" s="126"/>
      <c r="X258" s="126"/>
      <c r="Y258" s="126"/>
      <c r="Z258" s="126"/>
      <c r="AA258" s="126"/>
      <c r="AB258" s="126"/>
      <c r="AC258" s="126"/>
    </row>
    <row r="259" spans="1:29" ht="15.75" customHeight="1">
      <c r="A259" s="126"/>
      <c r="B259" s="126"/>
      <c r="C259" s="176"/>
      <c r="D259" s="176"/>
      <c r="E259" s="176"/>
      <c r="F259" s="176"/>
      <c r="G259" s="176"/>
      <c r="H259" s="176"/>
      <c r="I259" s="126"/>
      <c r="J259" s="126"/>
      <c r="K259" s="126"/>
      <c r="L259" s="126"/>
      <c r="M259" s="126"/>
      <c r="N259" s="126"/>
      <c r="O259" s="126"/>
      <c r="P259" s="126"/>
      <c r="Q259" s="126"/>
      <c r="R259" s="126"/>
      <c r="S259" s="126"/>
      <c r="T259" s="126"/>
      <c r="U259" s="126"/>
      <c r="V259" s="126"/>
      <c r="W259" s="126"/>
      <c r="X259" s="126"/>
      <c r="Y259" s="126"/>
      <c r="Z259" s="126"/>
      <c r="AA259" s="126"/>
      <c r="AB259" s="126"/>
      <c r="AC259" s="126"/>
    </row>
    <row r="260" spans="1:29" ht="15.75" customHeight="1">
      <c r="A260" s="126"/>
      <c r="B260" s="126"/>
      <c r="C260" s="176"/>
      <c r="D260" s="176"/>
      <c r="E260" s="176"/>
      <c r="F260" s="176"/>
      <c r="G260" s="176"/>
      <c r="H260" s="176"/>
      <c r="I260" s="126"/>
      <c r="J260" s="126"/>
      <c r="K260" s="126"/>
      <c r="L260" s="126"/>
      <c r="M260" s="126"/>
      <c r="N260" s="126"/>
      <c r="O260" s="126"/>
      <c r="P260" s="126"/>
      <c r="Q260" s="126"/>
      <c r="R260" s="126"/>
      <c r="S260" s="126"/>
      <c r="T260" s="126"/>
      <c r="U260" s="126"/>
      <c r="V260" s="126"/>
      <c r="W260" s="126"/>
      <c r="X260" s="126"/>
      <c r="Y260" s="126"/>
      <c r="Z260" s="126"/>
      <c r="AA260" s="126"/>
      <c r="AB260" s="126"/>
      <c r="AC260" s="126"/>
    </row>
    <row r="261" spans="1:29" ht="15.75" customHeight="1">
      <c r="A261" s="126"/>
      <c r="B261" s="126"/>
      <c r="C261" s="176"/>
      <c r="D261" s="176"/>
      <c r="E261" s="176"/>
      <c r="F261" s="176"/>
      <c r="G261" s="176"/>
      <c r="H261" s="176"/>
      <c r="I261" s="126"/>
      <c r="J261" s="126"/>
      <c r="K261" s="126"/>
      <c r="L261" s="126"/>
      <c r="M261" s="126"/>
      <c r="N261" s="126"/>
      <c r="O261" s="126"/>
      <c r="P261" s="126"/>
      <c r="Q261" s="126"/>
      <c r="R261" s="126"/>
      <c r="S261" s="126"/>
      <c r="T261" s="126"/>
      <c r="U261" s="126"/>
      <c r="V261" s="126"/>
      <c r="W261" s="126"/>
      <c r="X261" s="126"/>
      <c r="Y261" s="126"/>
      <c r="Z261" s="126"/>
      <c r="AA261" s="126"/>
      <c r="AB261" s="126"/>
      <c r="AC261" s="126"/>
    </row>
    <row r="262" spans="1:29" ht="15.75" customHeight="1">
      <c r="A262" s="126"/>
      <c r="B262" s="126"/>
      <c r="C262" s="176"/>
      <c r="D262" s="176"/>
      <c r="E262" s="176"/>
      <c r="F262" s="176"/>
      <c r="G262" s="176"/>
      <c r="H262" s="176"/>
      <c r="I262" s="126"/>
      <c r="J262" s="126"/>
      <c r="K262" s="126"/>
      <c r="L262" s="126"/>
      <c r="M262" s="126"/>
      <c r="N262" s="126"/>
      <c r="O262" s="126"/>
      <c r="P262" s="126"/>
      <c r="Q262" s="126"/>
      <c r="R262" s="126"/>
      <c r="S262" s="126"/>
      <c r="T262" s="126"/>
      <c r="U262" s="126"/>
      <c r="V262" s="126"/>
      <c r="W262" s="126"/>
      <c r="X262" s="126"/>
      <c r="Y262" s="126"/>
      <c r="Z262" s="126"/>
      <c r="AA262" s="126"/>
      <c r="AB262" s="126"/>
      <c r="AC262" s="126"/>
    </row>
    <row r="263" spans="1:29" ht="15.75" customHeight="1">
      <c r="A263" s="126"/>
      <c r="B263" s="126"/>
      <c r="C263" s="176"/>
      <c r="D263" s="176"/>
      <c r="E263" s="176"/>
      <c r="F263" s="176"/>
      <c r="G263" s="176"/>
      <c r="H263" s="176"/>
      <c r="I263" s="126"/>
      <c r="J263" s="126"/>
      <c r="K263" s="126"/>
      <c r="L263" s="126"/>
      <c r="M263" s="126"/>
      <c r="N263" s="126"/>
      <c r="O263" s="126"/>
      <c r="P263" s="126"/>
      <c r="Q263" s="126"/>
      <c r="R263" s="126"/>
      <c r="S263" s="126"/>
      <c r="T263" s="126"/>
      <c r="U263" s="126"/>
      <c r="V263" s="126"/>
      <c r="W263" s="126"/>
      <c r="X263" s="126"/>
      <c r="Y263" s="126"/>
      <c r="Z263" s="126"/>
      <c r="AA263" s="126"/>
      <c r="AB263" s="126"/>
      <c r="AC263" s="126"/>
    </row>
    <row r="264" spans="1:29" ht="15.75" customHeight="1">
      <c r="A264" s="126"/>
      <c r="B264" s="126"/>
      <c r="C264" s="176"/>
      <c r="D264" s="176"/>
      <c r="E264" s="176"/>
      <c r="F264" s="176"/>
      <c r="G264" s="176"/>
      <c r="H264" s="176"/>
      <c r="I264" s="126"/>
      <c r="J264" s="126"/>
      <c r="K264" s="126"/>
      <c r="L264" s="126"/>
      <c r="M264" s="126"/>
      <c r="N264" s="126"/>
      <c r="O264" s="126"/>
      <c r="P264" s="126"/>
      <c r="Q264" s="126"/>
      <c r="R264" s="126"/>
      <c r="S264" s="126"/>
      <c r="T264" s="126"/>
      <c r="U264" s="126"/>
      <c r="V264" s="126"/>
      <c r="W264" s="126"/>
      <c r="X264" s="126"/>
      <c r="Y264" s="126"/>
      <c r="Z264" s="126"/>
      <c r="AA264" s="126"/>
      <c r="AB264" s="126"/>
      <c r="AC264" s="126"/>
    </row>
    <row r="265" spans="1:29" ht="15.75" customHeight="1">
      <c r="A265" s="126"/>
      <c r="B265" s="126"/>
      <c r="C265" s="176"/>
      <c r="D265" s="176"/>
      <c r="E265" s="176"/>
      <c r="F265" s="176"/>
      <c r="G265" s="176"/>
      <c r="H265" s="176"/>
      <c r="I265" s="126"/>
      <c r="J265" s="126"/>
      <c r="K265" s="126"/>
      <c r="L265" s="126"/>
      <c r="M265" s="126"/>
      <c r="N265" s="126"/>
      <c r="O265" s="126"/>
      <c r="P265" s="126"/>
      <c r="Q265" s="126"/>
      <c r="R265" s="126"/>
      <c r="S265" s="126"/>
      <c r="T265" s="126"/>
      <c r="U265" s="126"/>
      <c r="V265" s="126"/>
      <c r="W265" s="126"/>
      <c r="X265" s="126"/>
      <c r="Y265" s="126"/>
      <c r="Z265" s="126"/>
      <c r="AA265" s="126"/>
      <c r="AB265" s="126"/>
      <c r="AC265" s="126"/>
    </row>
    <row r="266" spans="1:29" ht="15.75" customHeight="1">
      <c r="A266" s="126"/>
      <c r="B266" s="126"/>
      <c r="C266" s="176"/>
      <c r="D266" s="176"/>
      <c r="E266" s="176"/>
      <c r="F266" s="176"/>
      <c r="G266" s="176"/>
      <c r="H266" s="176"/>
      <c r="I266" s="126"/>
      <c r="J266" s="126"/>
      <c r="K266" s="126"/>
      <c r="L266" s="126"/>
      <c r="M266" s="126"/>
      <c r="N266" s="126"/>
      <c r="O266" s="126"/>
      <c r="P266" s="126"/>
      <c r="Q266" s="126"/>
      <c r="R266" s="126"/>
      <c r="S266" s="126"/>
      <c r="T266" s="126"/>
      <c r="U266" s="126"/>
      <c r="V266" s="126"/>
      <c r="W266" s="126"/>
      <c r="X266" s="126"/>
      <c r="Y266" s="126"/>
      <c r="Z266" s="126"/>
      <c r="AA266" s="126"/>
      <c r="AB266" s="126"/>
      <c r="AC266" s="126"/>
    </row>
    <row r="267" spans="1:29" ht="15.75" customHeight="1">
      <c r="A267" s="126"/>
      <c r="B267" s="126"/>
      <c r="C267" s="176"/>
      <c r="D267" s="176"/>
      <c r="E267" s="176"/>
      <c r="F267" s="176"/>
      <c r="G267" s="176"/>
      <c r="H267" s="176"/>
      <c r="I267" s="126"/>
      <c r="J267" s="126"/>
      <c r="K267" s="126"/>
      <c r="L267" s="126"/>
      <c r="M267" s="126"/>
      <c r="N267" s="126"/>
      <c r="O267" s="126"/>
      <c r="P267" s="126"/>
      <c r="Q267" s="126"/>
      <c r="R267" s="126"/>
      <c r="S267" s="126"/>
      <c r="T267" s="126"/>
      <c r="U267" s="126"/>
      <c r="V267" s="126"/>
      <c r="W267" s="126"/>
      <c r="X267" s="126"/>
      <c r="Y267" s="126"/>
      <c r="Z267" s="126"/>
      <c r="AA267" s="126"/>
      <c r="AB267" s="126"/>
      <c r="AC267" s="126"/>
    </row>
    <row r="268" spans="1:29" ht="15.75" customHeight="1">
      <c r="A268" s="126"/>
      <c r="B268" s="126"/>
      <c r="C268" s="176"/>
      <c r="D268" s="176"/>
      <c r="E268" s="176"/>
      <c r="F268" s="176"/>
      <c r="G268" s="176"/>
      <c r="H268" s="176"/>
      <c r="I268" s="126"/>
      <c r="J268" s="126"/>
      <c r="K268" s="126"/>
      <c r="L268" s="126"/>
      <c r="M268" s="126"/>
      <c r="N268" s="126"/>
      <c r="O268" s="126"/>
      <c r="P268" s="126"/>
      <c r="Q268" s="126"/>
      <c r="R268" s="126"/>
      <c r="S268" s="126"/>
      <c r="T268" s="126"/>
      <c r="U268" s="126"/>
      <c r="V268" s="126"/>
      <c r="W268" s="126"/>
      <c r="X268" s="126"/>
      <c r="Y268" s="126"/>
      <c r="Z268" s="126"/>
      <c r="AA268" s="126"/>
      <c r="AB268" s="126"/>
      <c r="AC268" s="126"/>
    </row>
    <row r="269" spans="1:29" ht="15.75" customHeight="1">
      <c r="A269" s="126"/>
      <c r="B269" s="126"/>
      <c r="C269" s="176"/>
      <c r="D269" s="176"/>
      <c r="E269" s="176"/>
      <c r="F269" s="176"/>
      <c r="G269" s="176"/>
      <c r="H269" s="176"/>
      <c r="I269" s="126"/>
      <c r="J269" s="126"/>
      <c r="K269" s="126"/>
      <c r="L269" s="126"/>
      <c r="M269" s="126"/>
      <c r="N269" s="126"/>
      <c r="O269" s="126"/>
      <c r="P269" s="126"/>
      <c r="Q269" s="126"/>
      <c r="R269" s="126"/>
      <c r="S269" s="126"/>
      <c r="T269" s="126"/>
      <c r="U269" s="126"/>
      <c r="V269" s="126"/>
      <c r="W269" s="126"/>
      <c r="X269" s="126"/>
      <c r="Y269" s="126"/>
      <c r="Z269" s="126"/>
      <c r="AA269" s="126"/>
      <c r="AB269" s="126"/>
      <c r="AC269" s="126"/>
    </row>
    <row r="270" spans="1:29" ht="15.75" customHeight="1">
      <c r="A270" s="126"/>
      <c r="B270" s="126"/>
      <c r="C270" s="176"/>
      <c r="D270" s="176"/>
      <c r="E270" s="176"/>
      <c r="F270" s="176"/>
      <c r="G270" s="176"/>
      <c r="H270" s="176"/>
      <c r="I270" s="126"/>
      <c r="J270" s="126"/>
      <c r="K270" s="126"/>
      <c r="L270" s="126"/>
      <c r="M270" s="126"/>
      <c r="N270" s="126"/>
      <c r="O270" s="126"/>
      <c r="P270" s="126"/>
      <c r="Q270" s="126"/>
      <c r="R270" s="126"/>
      <c r="S270" s="126"/>
      <c r="T270" s="126"/>
      <c r="U270" s="126"/>
      <c r="V270" s="126"/>
      <c r="W270" s="126"/>
      <c r="X270" s="126"/>
      <c r="Y270" s="126"/>
      <c r="Z270" s="126"/>
      <c r="AA270" s="126"/>
      <c r="AB270" s="126"/>
      <c r="AC270" s="126"/>
    </row>
    <row r="271" spans="1:29" ht="15.75" customHeight="1">
      <c r="A271" s="126"/>
      <c r="B271" s="126"/>
      <c r="C271" s="176"/>
      <c r="D271" s="176"/>
      <c r="E271" s="176"/>
      <c r="F271" s="176"/>
      <c r="G271" s="176"/>
      <c r="H271" s="176"/>
      <c r="I271" s="126"/>
      <c r="J271" s="126"/>
      <c r="K271" s="126"/>
      <c r="L271" s="126"/>
      <c r="M271" s="126"/>
      <c r="N271" s="126"/>
      <c r="O271" s="126"/>
      <c r="P271" s="126"/>
      <c r="Q271" s="126"/>
      <c r="R271" s="126"/>
      <c r="S271" s="126"/>
      <c r="T271" s="126"/>
      <c r="U271" s="126"/>
      <c r="V271" s="126"/>
      <c r="W271" s="126"/>
      <c r="X271" s="126"/>
      <c r="Y271" s="126"/>
      <c r="Z271" s="126"/>
      <c r="AA271" s="126"/>
      <c r="AB271" s="126"/>
      <c r="AC271" s="126"/>
    </row>
    <row r="272" spans="1:29" ht="15.75" customHeight="1">
      <c r="A272" s="126"/>
      <c r="B272" s="126"/>
      <c r="C272" s="176"/>
      <c r="D272" s="176"/>
      <c r="E272" s="176"/>
      <c r="F272" s="176"/>
      <c r="G272" s="176"/>
      <c r="H272" s="176"/>
      <c r="I272" s="126"/>
      <c r="J272" s="126"/>
      <c r="K272" s="126"/>
      <c r="L272" s="126"/>
      <c r="M272" s="126"/>
      <c r="N272" s="126"/>
      <c r="O272" s="126"/>
      <c r="P272" s="126"/>
      <c r="Q272" s="126"/>
      <c r="R272" s="126"/>
      <c r="S272" s="126"/>
      <c r="T272" s="126"/>
      <c r="U272" s="126"/>
      <c r="V272" s="126"/>
      <c r="W272" s="126"/>
      <c r="X272" s="126"/>
      <c r="Y272" s="126"/>
      <c r="Z272" s="126"/>
      <c r="AA272" s="126"/>
      <c r="AB272" s="126"/>
      <c r="AC272" s="126"/>
    </row>
    <row r="273" spans="1:29" ht="15.75" customHeight="1">
      <c r="A273" s="126"/>
      <c r="B273" s="126"/>
      <c r="C273" s="176"/>
      <c r="D273" s="176"/>
      <c r="E273" s="176"/>
      <c r="F273" s="176"/>
      <c r="G273" s="176"/>
      <c r="H273" s="176"/>
      <c r="I273" s="126"/>
      <c r="J273" s="126"/>
      <c r="K273" s="126"/>
      <c r="L273" s="126"/>
      <c r="M273" s="126"/>
      <c r="N273" s="126"/>
      <c r="O273" s="126"/>
      <c r="P273" s="126"/>
      <c r="Q273" s="126"/>
      <c r="R273" s="126"/>
      <c r="S273" s="126"/>
      <c r="T273" s="126"/>
      <c r="U273" s="126"/>
      <c r="V273" s="126"/>
      <c r="W273" s="126"/>
      <c r="X273" s="126"/>
      <c r="Y273" s="126"/>
      <c r="Z273" s="126"/>
      <c r="AA273" s="126"/>
      <c r="AB273" s="126"/>
      <c r="AC273" s="126"/>
    </row>
    <row r="274" spans="1:29" ht="15.75" customHeight="1">
      <c r="A274" s="126"/>
      <c r="B274" s="126"/>
      <c r="C274" s="176"/>
      <c r="D274" s="176"/>
      <c r="E274" s="176"/>
      <c r="F274" s="176"/>
      <c r="G274" s="176"/>
      <c r="H274" s="176"/>
      <c r="I274" s="126"/>
      <c r="J274" s="126"/>
      <c r="K274" s="126"/>
      <c r="L274" s="126"/>
      <c r="M274" s="126"/>
      <c r="N274" s="126"/>
      <c r="O274" s="126"/>
      <c r="P274" s="126"/>
      <c r="Q274" s="126"/>
      <c r="R274" s="126"/>
      <c r="S274" s="126"/>
      <c r="T274" s="126"/>
      <c r="U274" s="126"/>
      <c r="V274" s="126"/>
      <c r="W274" s="126"/>
      <c r="X274" s="126"/>
      <c r="Y274" s="126"/>
      <c r="Z274" s="126"/>
      <c r="AA274" s="126"/>
      <c r="AB274" s="126"/>
      <c r="AC274" s="126"/>
    </row>
    <row r="275" spans="1:29" ht="15.75" customHeight="1">
      <c r="A275" s="126"/>
      <c r="B275" s="126"/>
      <c r="C275" s="176"/>
      <c r="D275" s="176"/>
      <c r="E275" s="176"/>
      <c r="F275" s="176"/>
      <c r="G275" s="176"/>
      <c r="H275" s="176"/>
      <c r="I275" s="126"/>
      <c r="J275" s="126"/>
      <c r="K275" s="126"/>
      <c r="L275" s="126"/>
      <c r="M275" s="126"/>
      <c r="N275" s="126"/>
      <c r="O275" s="126"/>
      <c r="P275" s="126"/>
      <c r="Q275" s="126"/>
      <c r="R275" s="126"/>
      <c r="S275" s="126"/>
      <c r="T275" s="126"/>
      <c r="U275" s="126"/>
      <c r="V275" s="126"/>
      <c r="W275" s="126"/>
      <c r="X275" s="126"/>
      <c r="Y275" s="126"/>
      <c r="Z275" s="126"/>
      <c r="AA275" s="126"/>
      <c r="AB275" s="126"/>
      <c r="AC275" s="126"/>
    </row>
    <row r="276" spans="1:29" ht="15.75" customHeight="1">
      <c r="A276" s="126"/>
      <c r="B276" s="126"/>
      <c r="C276" s="176"/>
      <c r="D276" s="176"/>
      <c r="E276" s="176"/>
      <c r="F276" s="176"/>
      <c r="G276" s="176"/>
      <c r="H276" s="176"/>
      <c r="I276" s="126"/>
      <c r="J276" s="126"/>
      <c r="K276" s="126"/>
      <c r="L276" s="126"/>
      <c r="M276" s="126"/>
      <c r="N276" s="126"/>
      <c r="O276" s="126"/>
      <c r="P276" s="126"/>
      <c r="Q276" s="126"/>
      <c r="R276" s="126"/>
      <c r="S276" s="126"/>
      <c r="T276" s="126"/>
      <c r="U276" s="126"/>
      <c r="V276" s="126"/>
      <c r="W276" s="126"/>
      <c r="X276" s="126"/>
      <c r="Y276" s="126"/>
      <c r="Z276" s="126"/>
      <c r="AA276" s="126"/>
      <c r="AB276" s="126"/>
      <c r="AC276" s="126"/>
    </row>
    <row r="277" spans="1:29" ht="15.75" customHeight="1">
      <c r="A277" s="126"/>
      <c r="B277" s="126"/>
      <c r="C277" s="176"/>
      <c r="D277" s="176"/>
      <c r="E277" s="176"/>
      <c r="F277" s="176"/>
      <c r="G277" s="176"/>
      <c r="H277" s="176"/>
      <c r="I277" s="126"/>
      <c r="J277" s="126"/>
      <c r="K277" s="126"/>
      <c r="L277" s="126"/>
      <c r="M277" s="126"/>
      <c r="N277" s="126"/>
      <c r="O277" s="126"/>
      <c r="P277" s="126"/>
      <c r="Q277" s="126"/>
      <c r="R277" s="126"/>
      <c r="S277" s="126"/>
      <c r="T277" s="126"/>
      <c r="U277" s="126"/>
      <c r="V277" s="126"/>
      <c r="W277" s="126"/>
      <c r="X277" s="126"/>
      <c r="Y277" s="126"/>
      <c r="Z277" s="126"/>
      <c r="AA277" s="126"/>
      <c r="AB277" s="126"/>
      <c r="AC277" s="126"/>
    </row>
    <row r="278" spans="1:29" ht="15.75" customHeight="1">
      <c r="A278" s="126"/>
      <c r="B278" s="126"/>
      <c r="C278" s="176"/>
      <c r="D278" s="176"/>
      <c r="E278" s="176"/>
      <c r="F278" s="176"/>
      <c r="G278" s="176"/>
      <c r="H278" s="176"/>
      <c r="I278" s="126"/>
      <c r="J278" s="126"/>
      <c r="K278" s="126"/>
      <c r="L278" s="126"/>
      <c r="M278" s="126"/>
      <c r="N278" s="126"/>
      <c r="O278" s="126"/>
      <c r="P278" s="126"/>
      <c r="Q278" s="126"/>
      <c r="R278" s="126"/>
      <c r="S278" s="126"/>
      <c r="T278" s="126"/>
      <c r="U278" s="126"/>
      <c r="V278" s="126"/>
      <c r="W278" s="126"/>
      <c r="X278" s="126"/>
      <c r="Y278" s="126"/>
      <c r="Z278" s="126"/>
      <c r="AA278" s="126"/>
      <c r="AB278" s="126"/>
      <c r="AC278" s="126"/>
    </row>
    <row r="279" spans="1:29" ht="15.75" customHeight="1">
      <c r="A279" s="126"/>
      <c r="B279" s="126"/>
      <c r="C279" s="176"/>
      <c r="D279" s="176"/>
      <c r="E279" s="176"/>
      <c r="F279" s="176"/>
      <c r="G279" s="176"/>
      <c r="H279" s="176"/>
      <c r="I279" s="126"/>
      <c r="J279" s="126"/>
      <c r="K279" s="126"/>
      <c r="L279" s="126"/>
      <c r="M279" s="126"/>
      <c r="N279" s="126"/>
      <c r="O279" s="126"/>
      <c r="P279" s="126"/>
      <c r="Q279" s="126"/>
      <c r="R279" s="126"/>
      <c r="S279" s="126"/>
      <c r="T279" s="126"/>
      <c r="U279" s="126"/>
      <c r="V279" s="126"/>
      <c r="W279" s="126"/>
      <c r="X279" s="126"/>
      <c r="Y279" s="126"/>
      <c r="Z279" s="126"/>
      <c r="AA279" s="126"/>
      <c r="AB279" s="126"/>
      <c r="AC279" s="126"/>
    </row>
    <row r="280" spans="1:29" ht="15.75" customHeight="1">
      <c r="A280" s="126"/>
      <c r="B280" s="126"/>
      <c r="C280" s="176"/>
      <c r="D280" s="176"/>
      <c r="E280" s="176"/>
      <c r="F280" s="176"/>
      <c r="G280" s="176"/>
      <c r="H280" s="176"/>
      <c r="I280" s="126"/>
      <c r="J280" s="126"/>
      <c r="K280" s="126"/>
      <c r="L280" s="126"/>
      <c r="M280" s="126"/>
      <c r="N280" s="126"/>
      <c r="O280" s="126"/>
      <c r="P280" s="126"/>
      <c r="Q280" s="126"/>
      <c r="R280" s="126"/>
      <c r="S280" s="126"/>
      <c r="T280" s="126"/>
      <c r="U280" s="126"/>
      <c r="V280" s="126"/>
      <c r="W280" s="126"/>
      <c r="X280" s="126"/>
      <c r="Y280" s="126"/>
      <c r="Z280" s="126"/>
      <c r="AA280" s="126"/>
      <c r="AB280" s="126"/>
      <c r="AC280" s="126"/>
    </row>
    <row r="281" spans="1:29" ht="15.75" customHeight="1">
      <c r="A281" s="126"/>
      <c r="B281" s="126"/>
      <c r="C281" s="176"/>
      <c r="D281" s="176"/>
      <c r="E281" s="176"/>
      <c r="F281" s="176"/>
      <c r="G281" s="176"/>
      <c r="H281" s="176"/>
      <c r="I281" s="126"/>
      <c r="J281" s="126"/>
      <c r="K281" s="126"/>
      <c r="L281" s="126"/>
      <c r="M281" s="126"/>
      <c r="N281" s="126"/>
      <c r="O281" s="126"/>
      <c r="P281" s="126"/>
      <c r="Q281" s="126"/>
      <c r="R281" s="126"/>
      <c r="S281" s="126"/>
      <c r="T281" s="126"/>
      <c r="U281" s="126"/>
      <c r="V281" s="126"/>
      <c r="W281" s="126"/>
      <c r="X281" s="126"/>
      <c r="Y281" s="126"/>
      <c r="Z281" s="126"/>
      <c r="AA281" s="126"/>
      <c r="AB281" s="126"/>
      <c r="AC281" s="126"/>
    </row>
    <row r="282" spans="1:29" ht="15.75" customHeight="1">
      <c r="A282" s="126"/>
      <c r="B282" s="126"/>
      <c r="C282" s="176"/>
      <c r="D282" s="176"/>
      <c r="E282" s="176"/>
      <c r="F282" s="176"/>
      <c r="G282" s="176"/>
      <c r="H282" s="176"/>
      <c r="I282" s="126"/>
      <c r="J282" s="126"/>
      <c r="K282" s="126"/>
      <c r="L282" s="126"/>
      <c r="M282" s="126"/>
      <c r="N282" s="126"/>
      <c r="O282" s="126"/>
      <c r="P282" s="126"/>
      <c r="Q282" s="126"/>
      <c r="R282" s="126"/>
      <c r="S282" s="126"/>
      <c r="T282" s="126"/>
      <c r="U282" s="126"/>
      <c r="V282" s="126"/>
      <c r="W282" s="126"/>
      <c r="X282" s="126"/>
      <c r="Y282" s="126"/>
      <c r="Z282" s="126"/>
      <c r="AA282" s="126"/>
      <c r="AB282" s="126"/>
      <c r="AC282" s="126"/>
    </row>
    <row r="283" spans="1:29" ht="15.75" customHeight="1">
      <c r="A283" s="126"/>
      <c r="B283" s="126"/>
      <c r="C283" s="176"/>
      <c r="D283" s="176"/>
      <c r="E283" s="176"/>
      <c r="F283" s="176"/>
      <c r="G283" s="176"/>
      <c r="H283" s="176"/>
      <c r="I283" s="126"/>
      <c r="J283" s="126"/>
      <c r="K283" s="126"/>
      <c r="L283" s="126"/>
      <c r="M283" s="126"/>
      <c r="N283" s="126"/>
      <c r="O283" s="126"/>
      <c r="P283" s="126"/>
      <c r="Q283" s="126"/>
      <c r="R283" s="126"/>
      <c r="S283" s="126"/>
      <c r="T283" s="126"/>
      <c r="U283" s="126"/>
      <c r="V283" s="126"/>
      <c r="W283" s="126"/>
      <c r="X283" s="126"/>
      <c r="Y283" s="126"/>
      <c r="Z283" s="126"/>
      <c r="AA283" s="126"/>
      <c r="AB283" s="126"/>
      <c r="AC283" s="126"/>
    </row>
    <row r="284" spans="1:29" ht="15.75" customHeight="1">
      <c r="A284" s="126"/>
      <c r="B284" s="126"/>
      <c r="C284" s="176"/>
      <c r="D284" s="176"/>
      <c r="E284" s="176"/>
      <c r="F284" s="176"/>
      <c r="G284" s="176"/>
      <c r="H284" s="176"/>
      <c r="I284" s="126"/>
      <c r="J284" s="126"/>
      <c r="K284" s="126"/>
      <c r="L284" s="126"/>
      <c r="M284" s="126"/>
      <c r="N284" s="126"/>
      <c r="O284" s="126"/>
      <c r="P284" s="126"/>
      <c r="Q284" s="126"/>
      <c r="R284" s="126"/>
      <c r="S284" s="126"/>
      <c r="T284" s="126"/>
      <c r="U284" s="126"/>
      <c r="V284" s="126"/>
      <c r="W284" s="126"/>
      <c r="X284" s="126"/>
      <c r="Y284" s="126"/>
      <c r="Z284" s="126"/>
      <c r="AA284" s="126"/>
      <c r="AB284" s="126"/>
      <c r="AC284" s="126"/>
    </row>
    <row r="285" spans="1:29" ht="15.75" customHeight="1">
      <c r="A285" s="126"/>
      <c r="B285" s="126"/>
      <c r="C285" s="176"/>
      <c r="D285" s="176"/>
      <c r="E285" s="176"/>
      <c r="F285" s="176"/>
      <c r="G285" s="176"/>
      <c r="H285" s="176"/>
      <c r="I285" s="126"/>
      <c r="J285" s="126"/>
      <c r="K285" s="126"/>
      <c r="L285" s="126"/>
      <c r="M285" s="126"/>
      <c r="N285" s="126"/>
      <c r="O285" s="126"/>
      <c r="P285" s="126"/>
      <c r="Q285" s="126"/>
      <c r="R285" s="126"/>
      <c r="S285" s="126"/>
      <c r="T285" s="126"/>
      <c r="U285" s="126"/>
      <c r="V285" s="126"/>
      <c r="W285" s="126"/>
      <c r="X285" s="126"/>
      <c r="Y285" s="126"/>
      <c r="Z285" s="126"/>
      <c r="AA285" s="126"/>
      <c r="AB285" s="126"/>
      <c r="AC285" s="126"/>
    </row>
    <row r="286" spans="1:29" ht="15.75" customHeight="1">
      <c r="A286" s="126"/>
      <c r="B286" s="126"/>
      <c r="C286" s="176"/>
      <c r="D286" s="176"/>
      <c r="E286" s="176"/>
      <c r="F286" s="176"/>
      <c r="G286" s="176"/>
      <c r="H286" s="176"/>
      <c r="I286" s="126"/>
      <c r="J286" s="126"/>
      <c r="K286" s="126"/>
      <c r="L286" s="126"/>
      <c r="M286" s="126"/>
      <c r="N286" s="126"/>
      <c r="O286" s="126"/>
      <c r="P286" s="126"/>
      <c r="Q286" s="126"/>
      <c r="R286" s="126"/>
      <c r="S286" s="126"/>
      <c r="T286" s="126"/>
      <c r="U286" s="126"/>
      <c r="V286" s="126"/>
      <c r="W286" s="126"/>
      <c r="X286" s="126"/>
      <c r="Y286" s="126"/>
      <c r="Z286" s="126"/>
      <c r="AA286" s="126"/>
      <c r="AB286" s="126"/>
      <c r="AC286" s="126"/>
    </row>
    <row r="287" spans="1:29" ht="15.75" customHeight="1">
      <c r="A287" s="126"/>
      <c r="B287" s="126"/>
      <c r="C287" s="176"/>
      <c r="D287" s="176"/>
      <c r="E287" s="176"/>
      <c r="F287" s="176"/>
      <c r="G287" s="176"/>
      <c r="H287" s="176"/>
      <c r="I287" s="126"/>
      <c r="J287" s="126"/>
      <c r="K287" s="126"/>
      <c r="L287" s="126"/>
      <c r="M287" s="126"/>
      <c r="N287" s="126"/>
      <c r="O287" s="126"/>
      <c r="P287" s="126"/>
      <c r="Q287" s="126"/>
      <c r="R287" s="126"/>
      <c r="S287" s="126"/>
      <c r="T287" s="126"/>
      <c r="U287" s="126"/>
      <c r="V287" s="126"/>
      <c r="W287" s="126"/>
      <c r="X287" s="126"/>
      <c r="Y287" s="126"/>
      <c r="Z287" s="126"/>
      <c r="AA287" s="126"/>
      <c r="AB287" s="126"/>
      <c r="AC287" s="126"/>
    </row>
    <row r="288" spans="1:29" ht="15.75" customHeight="1">
      <c r="A288" s="126"/>
      <c r="B288" s="126"/>
      <c r="C288" s="176"/>
      <c r="D288" s="176"/>
      <c r="E288" s="176"/>
      <c r="F288" s="176"/>
      <c r="G288" s="176"/>
      <c r="H288" s="176"/>
      <c r="I288" s="126"/>
      <c r="J288" s="126"/>
      <c r="K288" s="126"/>
      <c r="L288" s="126"/>
      <c r="M288" s="126"/>
      <c r="N288" s="126"/>
      <c r="O288" s="126"/>
      <c r="P288" s="126"/>
      <c r="Q288" s="126"/>
      <c r="R288" s="126"/>
      <c r="S288" s="126"/>
      <c r="T288" s="126"/>
      <c r="U288" s="126"/>
      <c r="V288" s="126"/>
      <c r="W288" s="126"/>
      <c r="X288" s="126"/>
      <c r="Y288" s="126"/>
      <c r="Z288" s="126"/>
      <c r="AA288" s="126"/>
      <c r="AB288" s="126"/>
      <c r="AC288" s="126"/>
    </row>
    <row r="289" spans="1:29" ht="15.75" customHeight="1">
      <c r="A289" s="126"/>
      <c r="B289" s="126"/>
      <c r="C289" s="176"/>
      <c r="D289" s="176"/>
      <c r="E289" s="176"/>
      <c r="F289" s="176"/>
      <c r="G289" s="176"/>
      <c r="H289" s="176"/>
      <c r="I289" s="126"/>
      <c r="J289" s="126"/>
      <c r="K289" s="126"/>
      <c r="L289" s="126"/>
      <c r="M289" s="126"/>
      <c r="N289" s="126"/>
      <c r="O289" s="126"/>
      <c r="P289" s="126"/>
      <c r="Q289" s="126"/>
      <c r="R289" s="126"/>
      <c r="S289" s="126"/>
      <c r="T289" s="126"/>
      <c r="U289" s="126"/>
      <c r="V289" s="126"/>
      <c r="W289" s="126"/>
      <c r="X289" s="126"/>
      <c r="Y289" s="126"/>
      <c r="Z289" s="126"/>
      <c r="AA289" s="126"/>
      <c r="AB289" s="126"/>
      <c r="AC289" s="126"/>
    </row>
    <row r="290" spans="1:29" ht="15.75" customHeight="1">
      <c r="A290" s="126"/>
      <c r="B290" s="126"/>
      <c r="C290" s="176"/>
      <c r="D290" s="176"/>
      <c r="E290" s="176"/>
      <c r="F290" s="176"/>
      <c r="G290" s="176"/>
      <c r="H290" s="176"/>
      <c r="I290" s="126"/>
      <c r="J290" s="126"/>
      <c r="K290" s="126"/>
      <c r="L290" s="126"/>
      <c r="M290" s="126"/>
      <c r="N290" s="126"/>
      <c r="O290" s="126"/>
      <c r="P290" s="126"/>
      <c r="Q290" s="126"/>
      <c r="R290" s="126"/>
      <c r="S290" s="126"/>
      <c r="T290" s="126"/>
      <c r="U290" s="126"/>
      <c r="V290" s="126"/>
      <c r="W290" s="126"/>
      <c r="X290" s="126"/>
      <c r="Y290" s="126"/>
      <c r="Z290" s="126"/>
      <c r="AA290" s="126"/>
      <c r="AB290" s="126"/>
      <c r="AC290" s="126"/>
    </row>
    <row r="291" spans="1:29" ht="15.75" customHeight="1">
      <c r="A291" s="126"/>
      <c r="B291" s="126"/>
      <c r="C291" s="176"/>
      <c r="D291" s="176"/>
      <c r="E291" s="176"/>
      <c r="F291" s="176"/>
      <c r="G291" s="176"/>
      <c r="H291" s="176"/>
      <c r="I291" s="126"/>
      <c r="J291" s="126"/>
      <c r="K291" s="126"/>
      <c r="L291" s="126"/>
      <c r="M291" s="126"/>
      <c r="N291" s="126"/>
      <c r="O291" s="126"/>
      <c r="P291" s="126"/>
      <c r="Q291" s="126"/>
      <c r="R291" s="126"/>
      <c r="S291" s="126"/>
      <c r="T291" s="126"/>
      <c r="U291" s="126"/>
      <c r="V291" s="126"/>
      <c r="W291" s="126"/>
      <c r="X291" s="126"/>
      <c r="Y291" s="126"/>
      <c r="Z291" s="126"/>
      <c r="AA291" s="126"/>
      <c r="AB291" s="126"/>
      <c r="AC291" s="126"/>
    </row>
    <row r="292" spans="1:29" ht="15.75" customHeight="1">
      <c r="A292" s="126"/>
      <c r="B292" s="126"/>
      <c r="C292" s="176"/>
      <c r="D292" s="176"/>
      <c r="E292" s="176"/>
      <c r="F292" s="176"/>
      <c r="G292" s="176"/>
      <c r="H292" s="176"/>
      <c r="I292" s="126"/>
      <c r="J292" s="126"/>
      <c r="K292" s="126"/>
      <c r="L292" s="126"/>
      <c r="M292" s="126"/>
      <c r="N292" s="126"/>
      <c r="O292" s="126"/>
      <c r="P292" s="126"/>
      <c r="Q292" s="126"/>
      <c r="R292" s="126"/>
      <c r="S292" s="126"/>
      <c r="T292" s="126"/>
      <c r="U292" s="126"/>
      <c r="V292" s="126"/>
      <c r="W292" s="126"/>
      <c r="X292" s="126"/>
      <c r="Y292" s="126"/>
      <c r="Z292" s="126"/>
      <c r="AA292" s="126"/>
      <c r="AB292" s="126"/>
      <c r="AC292" s="126"/>
    </row>
    <row r="293" spans="1:29" ht="15.75" customHeight="1">
      <c r="A293" s="126"/>
      <c r="B293" s="126"/>
      <c r="C293" s="176"/>
      <c r="D293" s="176"/>
      <c r="E293" s="176"/>
      <c r="F293" s="176"/>
      <c r="G293" s="176"/>
      <c r="H293" s="176"/>
      <c r="I293" s="126"/>
      <c r="J293" s="126"/>
      <c r="K293" s="126"/>
      <c r="L293" s="126"/>
      <c r="M293" s="126"/>
      <c r="N293" s="126"/>
      <c r="O293" s="126"/>
      <c r="P293" s="126"/>
      <c r="Q293" s="126"/>
      <c r="R293" s="126"/>
      <c r="S293" s="126"/>
      <c r="T293" s="126"/>
      <c r="U293" s="126"/>
      <c r="V293" s="126"/>
      <c r="W293" s="126"/>
      <c r="X293" s="126"/>
      <c r="Y293" s="126"/>
      <c r="Z293" s="126"/>
      <c r="AA293" s="126"/>
      <c r="AB293" s="126"/>
      <c r="AC293" s="126"/>
    </row>
    <row r="294" spans="1:29" ht="15.75" customHeight="1">
      <c r="A294" s="126"/>
      <c r="B294" s="126"/>
      <c r="C294" s="176"/>
      <c r="D294" s="176"/>
      <c r="E294" s="176"/>
      <c r="F294" s="176"/>
      <c r="G294" s="176"/>
      <c r="H294" s="176"/>
      <c r="I294" s="126"/>
      <c r="J294" s="126"/>
      <c r="K294" s="126"/>
      <c r="L294" s="126"/>
      <c r="M294" s="126"/>
      <c r="N294" s="126"/>
      <c r="O294" s="126"/>
      <c r="P294" s="126"/>
      <c r="Q294" s="126"/>
      <c r="R294" s="126"/>
      <c r="S294" s="126"/>
      <c r="T294" s="126"/>
      <c r="U294" s="126"/>
      <c r="V294" s="126"/>
      <c r="W294" s="126"/>
      <c r="X294" s="126"/>
      <c r="Y294" s="126"/>
      <c r="Z294" s="126"/>
      <c r="AA294" s="126"/>
      <c r="AB294" s="126"/>
      <c r="AC294" s="126"/>
    </row>
    <row r="295" spans="1:29" ht="15.75" customHeight="1">
      <c r="A295" s="126"/>
      <c r="B295" s="126"/>
      <c r="C295" s="176"/>
      <c r="D295" s="176"/>
      <c r="E295" s="176"/>
      <c r="F295" s="176"/>
      <c r="G295" s="176"/>
      <c r="H295" s="176"/>
      <c r="I295" s="126"/>
      <c r="J295" s="126"/>
      <c r="K295" s="126"/>
      <c r="L295" s="126"/>
      <c r="M295" s="126"/>
      <c r="N295" s="126"/>
      <c r="O295" s="126"/>
      <c r="P295" s="126"/>
      <c r="Q295" s="126"/>
      <c r="R295" s="126"/>
      <c r="S295" s="126"/>
      <c r="T295" s="126"/>
      <c r="U295" s="126"/>
      <c r="V295" s="126"/>
      <c r="W295" s="126"/>
      <c r="X295" s="126"/>
      <c r="Y295" s="126"/>
      <c r="Z295" s="126"/>
      <c r="AA295" s="126"/>
      <c r="AB295" s="126"/>
      <c r="AC295" s="126"/>
    </row>
    <row r="296" spans="1:29" ht="15.75" customHeight="1">
      <c r="A296" s="126"/>
      <c r="B296" s="126"/>
      <c r="C296" s="176"/>
      <c r="D296" s="176"/>
      <c r="E296" s="176"/>
      <c r="F296" s="176"/>
      <c r="G296" s="176"/>
      <c r="H296" s="176"/>
      <c r="I296" s="126"/>
      <c r="J296" s="126"/>
      <c r="K296" s="126"/>
      <c r="L296" s="126"/>
      <c r="M296" s="126"/>
      <c r="N296" s="126"/>
      <c r="O296" s="126"/>
      <c r="P296" s="126"/>
      <c r="Q296" s="126"/>
      <c r="R296" s="126"/>
      <c r="S296" s="126"/>
      <c r="T296" s="126"/>
      <c r="U296" s="126"/>
      <c r="V296" s="126"/>
      <c r="W296" s="126"/>
      <c r="X296" s="126"/>
      <c r="Y296" s="126"/>
      <c r="Z296" s="126"/>
      <c r="AA296" s="126"/>
      <c r="AB296" s="126"/>
      <c r="AC296" s="126"/>
    </row>
    <row r="297" spans="1:29" ht="15.75" customHeight="1">
      <c r="A297" s="126"/>
      <c r="B297" s="126"/>
      <c r="C297" s="176"/>
      <c r="D297" s="176"/>
      <c r="E297" s="176"/>
      <c r="F297" s="176"/>
      <c r="G297" s="176"/>
      <c r="H297" s="176"/>
      <c r="I297" s="126"/>
      <c r="J297" s="126"/>
      <c r="K297" s="126"/>
      <c r="L297" s="126"/>
      <c r="M297" s="126"/>
      <c r="N297" s="126"/>
      <c r="O297" s="126"/>
      <c r="P297" s="126"/>
      <c r="Q297" s="126"/>
      <c r="R297" s="126"/>
      <c r="S297" s="126"/>
      <c r="T297" s="126"/>
      <c r="U297" s="126"/>
      <c r="V297" s="126"/>
      <c r="W297" s="126"/>
      <c r="X297" s="126"/>
      <c r="Y297" s="126"/>
      <c r="Z297" s="126"/>
      <c r="AA297" s="126"/>
      <c r="AB297" s="126"/>
      <c r="AC297" s="126"/>
    </row>
    <row r="298" spans="1:29" ht="15.75" customHeight="1">
      <c r="A298" s="126"/>
      <c r="B298" s="126"/>
      <c r="C298" s="176"/>
      <c r="D298" s="176"/>
      <c r="E298" s="176"/>
      <c r="F298" s="176"/>
      <c r="G298" s="176"/>
      <c r="H298" s="176"/>
      <c r="I298" s="126"/>
      <c r="J298" s="126"/>
      <c r="K298" s="126"/>
      <c r="L298" s="126"/>
      <c r="M298" s="126"/>
      <c r="N298" s="126"/>
      <c r="O298" s="126"/>
      <c r="P298" s="126"/>
      <c r="Q298" s="126"/>
      <c r="R298" s="126"/>
      <c r="S298" s="126"/>
      <c r="T298" s="126"/>
      <c r="U298" s="126"/>
      <c r="V298" s="126"/>
      <c r="W298" s="126"/>
      <c r="X298" s="126"/>
      <c r="Y298" s="126"/>
      <c r="Z298" s="126"/>
      <c r="AA298" s="126"/>
      <c r="AB298" s="126"/>
      <c r="AC298" s="126"/>
    </row>
    <row r="299" spans="1:29" ht="15.75" customHeight="1">
      <c r="A299" s="126"/>
      <c r="B299" s="126"/>
      <c r="C299" s="176"/>
      <c r="D299" s="176"/>
      <c r="E299" s="176"/>
      <c r="F299" s="176"/>
      <c r="G299" s="176"/>
      <c r="H299" s="176"/>
      <c r="I299" s="126"/>
      <c r="J299" s="126"/>
      <c r="K299" s="126"/>
      <c r="L299" s="126"/>
      <c r="M299" s="126"/>
      <c r="N299" s="126"/>
      <c r="O299" s="126"/>
      <c r="P299" s="126"/>
      <c r="Q299" s="126"/>
      <c r="R299" s="126"/>
      <c r="S299" s="126"/>
      <c r="T299" s="126"/>
      <c r="U299" s="126"/>
      <c r="V299" s="126"/>
      <c r="W299" s="126"/>
      <c r="X299" s="126"/>
      <c r="Y299" s="126"/>
      <c r="Z299" s="126"/>
      <c r="AA299" s="126"/>
      <c r="AB299" s="126"/>
      <c r="AC299" s="126"/>
    </row>
    <row r="300" spans="1:29" ht="15.75" customHeight="1">
      <c r="A300" s="126"/>
      <c r="B300" s="126"/>
      <c r="C300" s="176"/>
      <c r="D300" s="176"/>
      <c r="E300" s="176"/>
      <c r="F300" s="176"/>
      <c r="G300" s="176"/>
      <c r="H300" s="176"/>
      <c r="I300" s="126"/>
      <c r="J300" s="126"/>
      <c r="K300" s="126"/>
      <c r="L300" s="126"/>
      <c r="M300" s="126"/>
      <c r="N300" s="126"/>
      <c r="O300" s="126"/>
      <c r="P300" s="126"/>
      <c r="Q300" s="126"/>
      <c r="R300" s="126"/>
      <c r="S300" s="126"/>
      <c r="T300" s="126"/>
      <c r="U300" s="126"/>
      <c r="V300" s="126"/>
      <c r="W300" s="126"/>
      <c r="X300" s="126"/>
      <c r="Y300" s="126"/>
      <c r="Z300" s="126"/>
      <c r="AA300" s="126"/>
      <c r="AB300" s="126"/>
      <c r="AC300" s="126"/>
    </row>
    <row r="301" spans="1:29" ht="15.75" customHeight="1">
      <c r="A301" s="126"/>
      <c r="B301" s="126"/>
      <c r="C301" s="176"/>
      <c r="D301" s="176"/>
      <c r="E301" s="176"/>
      <c r="F301" s="176"/>
      <c r="G301" s="176"/>
      <c r="H301" s="176"/>
      <c r="I301" s="126"/>
      <c r="J301" s="126"/>
      <c r="K301" s="126"/>
      <c r="L301" s="126"/>
      <c r="M301" s="126"/>
      <c r="N301" s="126"/>
      <c r="O301" s="126"/>
      <c r="P301" s="126"/>
      <c r="Q301" s="126"/>
      <c r="R301" s="126"/>
      <c r="S301" s="126"/>
      <c r="T301" s="126"/>
      <c r="U301" s="126"/>
      <c r="V301" s="126"/>
      <c r="W301" s="126"/>
      <c r="X301" s="126"/>
      <c r="Y301" s="126"/>
      <c r="Z301" s="126"/>
      <c r="AA301" s="126"/>
      <c r="AB301" s="126"/>
      <c r="AC301" s="126"/>
    </row>
    <row r="302" spans="1:29" ht="15.75" customHeight="1">
      <c r="A302" s="126"/>
      <c r="B302" s="126"/>
      <c r="C302" s="176"/>
      <c r="D302" s="176"/>
      <c r="E302" s="176"/>
      <c r="F302" s="176"/>
      <c r="G302" s="176"/>
      <c r="H302" s="176"/>
      <c r="I302" s="126"/>
      <c r="J302" s="126"/>
      <c r="K302" s="126"/>
      <c r="L302" s="126"/>
      <c r="M302" s="126"/>
      <c r="N302" s="126"/>
      <c r="O302" s="126"/>
      <c r="P302" s="126"/>
      <c r="Q302" s="126"/>
      <c r="R302" s="126"/>
      <c r="S302" s="126"/>
      <c r="T302" s="126"/>
      <c r="U302" s="126"/>
      <c r="V302" s="126"/>
      <c r="W302" s="126"/>
      <c r="X302" s="126"/>
      <c r="Y302" s="126"/>
      <c r="Z302" s="126"/>
      <c r="AA302" s="126"/>
      <c r="AB302" s="126"/>
      <c r="AC302" s="126"/>
    </row>
    <row r="303" spans="1:29" ht="15.75" customHeight="1">
      <c r="A303" s="126"/>
      <c r="B303" s="126"/>
      <c r="C303" s="176"/>
      <c r="D303" s="176"/>
      <c r="E303" s="176"/>
      <c r="F303" s="176"/>
      <c r="G303" s="176"/>
      <c r="H303" s="176"/>
      <c r="I303" s="126"/>
      <c r="J303" s="126"/>
      <c r="K303" s="126"/>
      <c r="L303" s="126"/>
      <c r="M303" s="126"/>
      <c r="N303" s="126"/>
      <c r="O303" s="126"/>
      <c r="P303" s="126"/>
      <c r="Q303" s="126"/>
      <c r="R303" s="126"/>
      <c r="S303" s="126"/>
      <c r="T303" s="126"/>
      <c r="U303" s="126"/>
      <c r="V303" s="126"/>
      <c r="W303" s="126"/>
      <c r="X303" s="126"/>
      <c r="Y303" s="126"/>
      <c r="Z303" s="126"/>
      <c r="AA303" s="126"/>
      <c r="AB303" s="126"/>
      <c r="AC303" s="126"/>
    </row>
    <row r="304" spans="1:29" ht="15.75" customHeight="1">
      <c r="A304" s="126"/>
      <c r="B304" s="126"/>
      <c r="C304" s="176"/>
      <c r="D304" s="176"/>
      <c r="E304" s="176"/>
      <c r="F304" s="176"/>
      <c r="G304" s="176"/>
      <c r="H304" s="176"/>
      <c r="I304" s="126"/>
      <c r="J304" s="126"/>
      <c r="K304" s="126"/>
      <c r="L304" s="126"/>
      <c r="M304" s="126"/>
      <c r="N304" s="126"/>
      <c r="O304" s="126"/>
      <c r="P304" s="126"/>
      <c r="Q304" s="126"/>
      <c r="R304" s="126"/>
      <c r="S304" s="126"/>
      <c r="T304" s="126"/>
      <c r="U304" s="126"/>
      <c r="V304" s="126"/>
      <c r="W304" s="126"/>
      <c r="X304" s="126"/>
      <c r="Y304" s="126"/>
      <c r="Z304" s="126"/>
      <c r="AA304" s="126"/>
      <c r="AB304" s="126"/>
      <c r="AC304" s="126"/>
    </row>
    <row r="305" spans="1:29" ht="15.75" customHeight="1">
      <c r="A305" s="126"/>
      <c r="B305" s="126"/>
      <c r="C305" s="176"/>
      <c r="D305" s="176"/>
      <c r="E305" s="176"/>
      <c r="F305" s="176"/>
      <c r="G305" s="176"/>
      <c r="H305" s="176"/>
      <c r="I305" s="126"/>
      <c r="J305" s="126"/>
      <c r="K305" s="126"/>
      <c r="L305" s="126"/>
      <c r="M305" s="126"/>
      <c r="N305" s="126"/>
      <c r="O305" s="126"/>
      <c r="P305" s="126"/>
      <c r="Q305" s="126"/>
      <c r="R305" s="126"/>
      <c r="S305" s="126"/>
      <c r="T305" s="126"/>
      <c r="U305" s="126"/>
      <c r="V305" s="126"/>
      <c r="W305" s="126"/>
      <c r="X305" s="126"/>
      <c r="Y305" s="126"/>
      <c r="Z305" s="126"/>
      <c r="AA305" s="126"/>
      <c r="AB305" s="126"/>
      <c r="AC305" s="126"/>
    </row>
    <row r="306" spans="1:29" ht="15.75" customHeight="1">
      <c r="A306" s="126"/>
      <c r="B306" s="126"/>
      <c r="C306" s="176"/>
      <c r="D306" s="176"/>
      <c r="E306" s="176"/>
      <c r="F306" s="176"/>
      <c r="G306" s="176"/>
      <c r="H306" s="176"/>
      <c r="I306" s="126"/>
      <c r="J306" s="126"/>
      <c r="K306" s="126"/>
      <c r="L306" s="126"/>
      <c r="M306" s="126"/>
      <c r="N306" s="126"/>
      <c r="O306" s="126"/>
      <c r="P306" s="126"/>
      <c r="Q306" s="126"/>
      <c r="R306" s="126"/>
      <c r="S306" s="126"/>
      <c r="T306" s="126"/>
      <c r="U306" s="126"/>
      <c r="V306" s="126"/>
      <c r="W306" s="126"/>
      <c r="X306" s="126"/>
      <c r="Y306" s="126"/>
      <c r="Z306" s="126"/>
      <c r="AA306" s="126"/>
      <c r="AB306" s="126"/>
      <c r="AC306" s="126"/>
    </row>
    <row r="307" spans="1:29" ht="15.75" customHeight="1">
      <c r="A307" s="126"/>
      <c r="B307" s="126"/>
      <c r="C307" s="176"/>
      <c r="D307" s="176"/>
      <c r="E307" s="176"/>
      <c r="F307" s="176"/>
      <c r="G307" s="176"/>
      <c r="H307" s="176"/>
      <c r="I307" s="126"/>
      <c r="J307" s="126"/>
      <c r="K307" s="126"/>
      <c r="L307" s="126"/>
      <c r="M307" s="126"/>
      <c r="N307" s="126"/>
      <c r="O307" s="126"/>
      <c r="P307" s="126"/>
      <c r="Q307" s="126"/>
      <c r="R307" s="126"/>
      <c r="S307" s="126"/>
      <c r="T307" s="126"/>
      <c r="U307" s="126"/>
      <c r="V307" s="126"/>
      <c r="W307" s="126"/>
      <c r="X307" s="126"/>
      <c r="Y307" s="126"/>
      <c r="Z307" s="126"/>
      <c r="AA307" s="126"/>
      <c r="AB307" s="126"/>
      <c r="AC307" s="126"/>
    </row>
    <row r="308" spans="1:29" ht="15.75" customHeight="1">
      <c r="A308" s="126"/>
      <c r="B308" s="126"/>
      <c r="C308" s="176"/>
      <c r="D308" s="176"/>
      <c r="E308" s="176"/>
      <c r="F308" s="176"/>
      <c r="G308" s="176"/>
      <c r="H308" s="176"/>
      <c r="I308" s="126"/>
      <c r="J308" s="126"/>
      <c r="K308" s="126"/>
      <c r="L308" s="126"/>
      <c r="M308" s="126"/>
      <c r="N308" s="126"/>
      <c r="O308" s="126"/>
      <c r="P308" s="126"/>
      <c r="Q308" s="126"/>
      <c r="R308" s="126"/>
      <c r="S308" s="126"/>
      <c r="T308" s="126"/>
      <c r="U308" s="126"/>
      <c r="V308" s="126"/>
      <c r="W308" s="126"/>
      <c r="X308" s="126"/>
      <c r="Y308" s="126"/>
      <c r="Z308" s="126"/>
      <c r="AA308" s="126"/>
      <c r="AB308" s="126"/>
      <c r="AC308" s="126"/>
    </row>
    <row r="309" spans="1:29" ht="15.75" customHeight="1">
      <c r="A309" s="126"/>
      <c r="B309" s="126"/>
      <c r="C309" s="176"/>
      <c r="D309" s="176"/>
      <c r="E309" s="176"/>
      <c r="F309" s="176"/>
      <c r="G309" s="176"/>
      <c r="H309" s="176"/>
      <c r="I309" s="126"/>
      <c r="J309" s="126"/>
      <c r="K309" s="126"/>
      <c r="L309" s="126"/>
      <c r="M309" s="126"/>
      <c r="N309" s="126"/>
      <c r="O309" s="126"/>
      <c r="P309" s="126"/>
      <c r="Q309" s="126"/>
      <c r="R309" s="126"/>
      <c r="S309" s="126"/>
      <c r="T309" s="126"/>
      <c r="U309" s="126"/>
      <c r="V309" s="126"/>
      <c r="W309" s="126"/>
      <c r="X309" s="126"/>
      <c r="Y309" s="126"/>
      <c r="Z309" s="126"/>
      <c r="AA309" s="126"/>
      <c r="AB309" s="126"/>
      <c r="AC309" s="126"/>
    </row>
    <row r="310" spans="1:29" ht="15.75" customHeight="1">
      <c r="A310" s="126"/>
      <c r="B310" s="126"/>
      <c r="C310" s="176"/>
      <c r="D310" s="176"/>
      <c r="E310" s="176"/>
      <c r="F310" s="176"/>
      <c r="G310" s="176"/>
      <c r="H310" s="176"/>
      <c r="I310" s="126"/>
      <c r="J310" s="126"/>
      <c r="K310" s="126"/>
      <c r="L310" s="126"/>
      <c r="M310" s="126"/>
      <c r="N310" s="126"/>
      <c r="O310" s="126"/>
      <c r="P310" s="126"/>
      <c r="Q310" s="126"/>
      <c r="R310" s="126"/>
      <c r="S310" s="126"/>
      <c r="T310" s="126"/>
      <c r="U310" s="126"/>
      <c r="V310" s="126"/>
      <c r="W310" s="126"/>
      <c r="X310" s="126"/>
      <c r="Y310" s="126"/>
      <c r="Z310" s="126"/>
      <c r="AA310" s="126"/>
      <c r="AB310" s="126"/>
      <c r="AC310" s="126"/>
    </row>
    <row r="311" spans="1:29" ht="15.75" customHeight="1">
      <c r="A311" s="126"/>
      <c r="B311" s="126"/>
      <c r="C311" s="176"/>
      <c r="D311" s="176"/>
      <c r="E311" s="176"/>
      <c r="F311" s="176"/>
      <c r="G311" s="176"/>
      <c r="H311" s="176"/>
      <c r="I311" s="126"/>
      <c r="J311" s="126"/>
      <c r="K311" s="126"/>
      <c r="L311" s="126"/>
      <c r="M311" s="126"/>
      <c r="N311" s="126"/>
      <c r="O311" s="126"/>
      <c r="P311" s="126"/>
      <c r="Q311" s="126"/>
      <c r="R311" s="126"/>
      <c r="S311" s="126"/>
      <c r="T311" s="126"/>
      <c r="U311" s="126"/>
      <c r="V311" s="126"/>
      <c r="W311" s="126"/>
      <c r="X311" s="126"/>
      <c r="Y311" s="126"/>
      <c r="Z311" s="126"/>
      <c r="AA311" s="126"/>
      <c r="AB311" s="126"/>
      <c r="AC311" s="126"/>
    </row>
    <row r="312" spans="1:29" ht="15.75" customHeight="1">
      <c r="A312" s="126"/>
      <c r="B312" s="126"/>
      <c r="C312" s="176"/>
      <c r="D312" s="176"/>
      <c r="E312" s="176"/>
      <c r="F312" s="176"/>
      <c r="G312" s="176"/>
      <c r="H312" s="176"/>
      <c r="I312" s="126"/>
      <c r="J312" s="126"/>
      <c r="K312" s="126"/>
      <c r="L312" s="126"/>
      <c r="M312" s="126"/>
      <c r="N312" s="126"/>
      <c r="O312" s="126"/>
      <c r="P312" s="126"/>
      <c r="Q312" s="126"/>
      <c r="R312" s="126"/>
      <c r="S312" s="126"/>
      <c r="T312" s="126"/>
      <c r="U312" s="126"/>
      <c r="V312" s="126"/>
      <c r="W312" s="126"/>
      <c r="X312" s="126"/>
      <c r="Y312" s="126"/>
      <c r="Z312" s="126"/>
      <c r="AA312" s="126"/>
      <c r="AB312" s="126"/>
      <c r="AC312" s="126"/>
    </row>
    <row r="313" spans="1:29" ht="15.75" customHeight="1">
      <c r="A313" s="126"/>
      <c r="B313" s="126"/>
      <c r="C313" s="176"/>
      <c r="D313" s="176"/>
      <c r="E313" s="176"/>
      <c r="F313" s="176"/>
      <c r="G313" s="176"/>
      <c r="H313" s="176"/>
      <c r="I313" s="126"/>
      <c r="J313" s="126"/>
      <c r="K313" s="126"/>
      <c r="L313" s="126"/>
      <c r="M313" s="126"/>
      <c r="N313" s="126"/>
      <c r="O313" s="126"/>
      <c r="P313" s="126"/>
      <c r="Q313" s="126"/>
      <c r="R313" s="126"/>
      <c r="S313" s="126"/>
      <c r="T313" s="126"/>
      <c r="U313" s="126"/>
      <c r="V313" s="126"/>
      <c r="W313" s="126"/>
      <c r="X313" s="126"/>
      <c r="Y313" s="126"/>
      <c r="Z313" s="126"/>
      <c r="AA313" s="126"/>
      <c r="AB313" s="126"/>
      <c r="AC313" s="126"/>
    </row>
    <row r="314" spans="1:29" ht="15.75" customHeight="1">
      <c r="A314" s="126"/>
      <c r="B314" s="126"/>
      <c r="C314" s="176"/>
      <c r="D314" s="176"/>
      <c r="E314" s="176"/>
      <c r="F314" s="176"/>
      <c r="G314" s="176"/>
      <c r="H314" s="176"/>
      <c r="I314" s="126"/>
      <c r="J314" s="126"/>
      <c r="K314" s="126"/>
      <c r="L314" s="126"/>
      <c r="M314" s="126"/>
      <c r="N314" s="126"/>
      <c r="O314" s="126"/>
      <c r="P314" s="126"/>
      <c r="Q314" s="126"/>
      <c r="R314" s="126"/>
      <c r="S314" s="126"/>
      <c r="T314" s="126"/>
      <c r="U314" s="126"/>
      <c r="V314" s="126"/>
      <c r="W314" s="126"/>
      <c r="X314" s="126"/>
      <c r="Y314" s="126"/>
      <c r="Z314" s="126"/>
      <c r="AA314" s="126"/>
      <c r="AB314" s="126"/>
      <c r="AC314" s="126"/>
    </row>
    <row r="315" spans="1:29" ht="15.75" customHeight="1">
      <c r="A315" s="126"/>
      <c r="B315" s="126"/>
      <c r="C315" s="176"/>
      <c r="D315" s="176"/>
      <c r="E315" s="176"/>
      <c r="F315" s="176"/>
      <c r="G315" s="176"/>
      <c r="H315" s="176"/>
      <c r="I315" s="126"/>
      <c r="J315" s="126"/>
      <c r="K315" s="126"/>
      <c r="L315" s="126"/>
      <c r="M315" s="126"/>
      <c r="N315" s="126"/>
      <c r="O315" s="126"/>
      <c r="P315" s="126"/>
      <c r="Q315" s="126"/>
      <c r="R315" s="126"/>
      <c r="S315" s="126"/>
      <c r="T315" s="126"/>
      <c r="U315" s="126"/>
      <c r="V315" s="126"/>
      <c r="W315" s="126"/>
      <c r="X315" s="126"/>
      <c r="Y315" s="126"/>
      <c r="Z315" s="126"/>
      <c r="AA315" s="126"/>
      <c r="AB315" s="126"/>
      <c r="AC315" s="126"/>
    </row>
    <row r="316" spans="1:29" ht="15.75" customHeight="1">
      <c r="A316" s="126"/>
      <c r="B316" s="126"/>
      <c r="C316" s="176"/>
      <c r="D316" s="176"/>
      <c r="E316" s="176"/>
      <c r="F316" s="176"/>
      <c r="G316" s="176"/>
      <c r="H316" s="176"/>
      <c r="I316" s="126"/>
      <c r="J316" s="126"/>
      <c r="K316" s="126"/>
      <c r="L316" s="126"/>
      <c r="M316" s="126"/>
      <c r="N316" s="126"/>
      <c r="O316" s="126"/>
      <c r="P316" s="126"/>
      <c r="Q316" s="126"/>
      <c r="R316" s="126"/>
      <c r="S316" s="126"/>
      <c r="T316" s="126"/>
      <c r="U316" s="126"/>
      <c r="V316" s="126"/>
      <c r="W316" s="126"/>
      <c r="X316" s="126"/>
      <c r="Y316" s="126"/>
      <c r="Z316" s="126"/>
      <c r="AA316" s="126"/>
      <c r="AB316" s="126"/>
      <c r="AC316" s="126"/>
    </row>
    <row r="317" spans="1:29" ht="15.75" customHeight="1">
      <c r="A317" s="126"/>
      <c r="B317" s="126"/>
      <c r="C317" s="176"/>
      <c r="D317" s="176"/>
      <c r="E317" s="176"/>
      <c r="F317" s="176"/>
      <c r="G317" s="176"/>
      <c r="H317" s="176"/>
      <c r="I317" s="126"/>
      <c r="J317" s="126"/>
      <c r="K317" s="126"/>
      <c r="L317" s="126"/>
      <c r="M317" s="126"/>
      <c r="N317" s="126"/>
      <c r="O317" s="126"/>
      <c r="P317" s="126"/>
      <c r="Q317" s="126"/>
      <c r="R317" s="126"/>
      <c r="S317" s="126"/>
      <c r="T317" s="126"/>
      <c r="U317" s="126"/>
      <c r="V317" s="126"/>
      <c r="W317" s="126"/>
      <c r="X317" s="126"/>
      <c r="Y317" s="126"/>
      <c r="Z317" s="126"/>
      <c r="AA317" s="126"/>
      <c r="AB317" s="126"/>
      <c r="AC317" s="126"/>
    </row>
    <row r="318" spans="1:29" ht="15.75" customHeight="1">
      <c r="A318" s="126"/>
      <c r="B318" s="126"/>
      <c r="C318" s="176"/>
      <c r="D318" s="176"/>
      <c r="E318" s="176"/>
      <c r="F318" s="176"/>
      <c r="G318" s="176"/>
      <c r="H318" s="176"/>
      <c r="I318" s="126"/>
      <c r="J318" s="126"/>
      <c r="K318" s="126"/>
      <c r="L318" s="126"/>
      <c r="M318" s="126"/>
      <c r="N318" s="126"/>
      <c r="O318" s="126"/>
      <c r="P318" s="126"/>
      <c r="Q318" s="126"/>
      <c r="R318" s="126"/>
      <c r="S318" s="126"/>
      <c r="T318" s="126"/>
      <c r="U318" s="126"/>
      <c r="V318" s="126"/>
      <c r="W318" s="126"/>
      <c r="X318" s="126"/>
      <c r="Y318" s="126"/>
      <c r="Z318" s="126"/>
      <c r="AA318" s="126"/>
      <c r="AB318" s="126"/>
      <c r="AC318" s="126"/>
    </row>
    <row r="319" spans="1:29" ht="15.75" customHeight="1">
      <c r="A319" s="126"/>
      <c r="B319" s="126"/>
      <c r="C319" s="176"/>
      <c r="D319" s="176"/>
      <c r="E319" s="176"/>
      <c r="F319" s="176"/>
      <c r="G319" s="176"/>
      <c r="H319" s="176"/>
      <c r="I319" s="126"/>
      <c r="J319" s="126"/>
      <c r="K319" s="126"/>
      <c r="L319" s="126"/>
      <c r="M319" s="126"/>
      <c r="N319" s="126"/>
      <c r="O319" s="126"/>
      <c r="P319" s="126"/>
      <c r="Q319" s="126"/>
      <c r="R319" s="126"/>
      <c r="S319" s="126"/>
      <c r="T319" s="126"/>
      <c r="U319" s="126"/>
      <c r="V319" s="126"/>
      <c r="W319" s="126"/>
      <c r="X319" s="126"/>
      <c r="Y319" s="126"/>
      <c r="Z319" s="126"/>
      <c r="AA319" s="126"/>
      <c r="AB319" s="126"/>
      <c r="AC319" s="126"/>
    </row>
    <row r="320" spans="1:29" ht="15.75" customHeight="1">
      <c r="A320" s="126"/>
      <c r="B320" s="126"/>
      <c r="C320" s="176"/>
      <c r="D320" s="176"/>
      <c r="E320" s="176"/>
      <c r="F320" s="176"/>
      <c r="G320" s="176"/>
      <c r="H320" s="176"/>
      <c r="I320" s="126"/>
      <c r="J320" s="126"/>
      <c r="K320" s="126"/>
      <c r="L320" s="126"/>
      <c r="M320" s="126"/>
      <c r="N320" s="126"/>
      <c r="O320" s="126"/>
      <c r="P320" s="126"/>
      <c r="Q320" s="126"/>
      <c r="R320" s="126"/>
      <c r="S320" s="126"/>
      <c r="T320" s="126"/>
      <c r="U320" s="126"/>
      <c r="V320" s="126"/>
      <c r="W320" s="126"/>
      <c r="X320" s="126"/>
      <c r="Y320" s="126"/>
      <c r="Z320" s="126"/>
      <c r="AA320" s="126"/>
      <c r="AB320" s="126"/>
      <c r="AC320" s="126"/>
    </row>
    <row r="321" spans="1:29" ht="15.75" customHeight="1">
      <c r="A321" s="126"/>
      <c r="B321" s="126"/>
      <c r="C321" s="176"/>
      <c r="D321" s="176"/>
      <c r="E321" s="176"/>
      <c r="F321" s="176"/>
      <c r="G321" s="176"/>
      <c r="H321" s="176"/>
      <c r="I321" s="126"/>
      <c r="J321" s="126"/>
      <c r="K321" s="126"/>
      <c r="L321" s="126"/>
      <c r="M321" s="126"/>
      <c r="N321" s="126"/>
      <c r="O321" s="126"/>
      <c r="P321" s="126"/>
      <c r="Q321" s="126"/>
      <c r="R321" s="126"/>
      <c r="S321" s="126"/>
      <c r="T321" s="126"/>
      <c r="U321" s="126"/>
      <c r="V321" s="126"/>
      <c r="W321" s="126"/>
      <c r="X321" s="126"/>
      <c r="Y321" s="126"/>
      <c r="Z321" s="126"/>
      <c r="AA321" s="126"/>
      <c r="AB321" s="126"/>
      <c r="AC321" s="126"/>
    </row>
    <row r="322" spans="1:29" ht="15.75" customHeight="1">
      <c r="A322" s="126"/>
      <c r="B322" s="126"/>
      <c r="C322" s="176"/>
      <c r="D322" s="176"/>
      <c r="E322" s="176"/>
      <c r="F322" s="176"/>
      <c r="G322" s="176"/>
      <c r="H322" s="176"/>
      <c r="I322" s="126"/>
      <c r="J322" s="126"/>
      <c r="K322" s="126"/>
      <c r="L322" s="126"/>
      <c r="M322" s="126"/>
      <c r="N322" s="126"/>
      <c r="O322" s="126"/>
      <c r="P322" s="126"/>
      <c r="Q322" s="126"/>
      <c r="R322" s="126"/>
      <c r="S322" s="126"/>
      <c r="T322" s="126"/>
      <c r="U322" s="126"/>
      <c r="V322" s="126"/>
      <c r="W322" s="126"/>
      <c r="X322" s="126"/>
      <c r="Y322" s="126"/>
      <c r="Z322" s="126"/>
      <c r="AA322" s="126"/>
      <c r="AB322" s="126"/>
      <c r="AC322" s="126"/>
    </row>
    <row r="323" spans="1:29" ht="15.75" customHeight="1">
      <c r="A323" s="126"/>
      <c r="B323" s="126"/>
      <c r="C323" s="176"/>
      <c r="D323" s="176"/>
      <c r="E323" s="176"/>
      <c r="F323" s="176"/>
      <c r="G323" s="176"/>
      <c r="H323" s="176"/>
      <c r="I323" s="126"/>
      <c r="J323" s="126"/>
      <c r="K323" s="126"/>
      <c r="L323" s="126"/>
      <c r="M323" s="126"/>
      <c r="N323" s="126"/>
      <c r="O323" s="126"/>
      <c r="P323" s="126"/>
      <c r="Q323" s="126"/>
      <c r="R323" s="126"/>
      <c r="S323" s="126"/>
      <c r="T323" s="126"/>
      <c r="U323" s="126"/>
      <c r="V323" s="126"/>
      <c r="W323" s="126"/>
      <c r="X323" s="126"/>
      <c r="Y323" s="126"/>
      <c r="Z323" s="126"/>
      <c r="AA323" s="126"/>
      <c r="AB323" s="126"/>
      <c r="AC323" s="126"/>
    </row>
    <row r="324" spans="1:29" ht="15.75" customHeight="1">
      <c r="A324" s="126"/>
      <c r="B324" s="126"/>
      <c r="C324" s="176"/>
      <c r="D324" s="176"/>
      <c r="E324" s="176"/>
      <c r="F324" s="176"/>
      <c r="G324" s="176"/>
      <c r="H324" s="176"/>
      <c r="I324" s="126"/>
      <c r="J324" s="126"/>
      <c r="K324" s="126"/>
      <c r="L324" s="126"/>
      <c r="M324" s="126"/>
      <c r="N324" s="126"/>
      <c r="O324" s="126"/>
      <c r="P324" s="126"/>
      <c r="Q324" s="126"/>
      <c r="R324" s="126"/>
      <c r="S324" s="126"/>
      <c r="T324" s="126"/>
      <c r="U324" s="126"/>
      <c r="V324" s="126"/>
      <c r="W324" s="126"/>
      <c r="X324" s="126"/>
      <c r="Y324" s="126"/>
      <c r="Z324" s="126"/>
      <c r="AA324" s="126"/>
      <c r="AB324" s="126"/>
      <c r="AC324" s="126"/>
    </row>
    <row r="325" spans="1:29" ht="15.75" customHeight="1">
      <c r="A325" s="126"/>
      <c r="B325" s="126"/>
      <c r="C325" s="176"/>
      <c r="D325" s="176"/>
      <c r="E325" s="176"/>
      <c r="F325" s="176"/>
      <c r="G325" s="176"/>
      <c r="H325" s="176"/>
      <c r="I325" s="126"/>
      <c r="J325" s="126"/>
      <c r="K325" s="126"/>
      <c r="L325" s="126"/>
      <c r="M325" s="126"/>
      <c r="N325" s="126"/>
      <c r="O325" s="126"/>
      <c r="P325" s="126"/>
      <c r="Q325" s="126"/>
      <c r="R325" s="126"/>
      <c r="S325" s="126"/>
      <c r="T325" s="126"/>
      <c r="U325" s="126"/>
      <c r="V325" s="126"/>
      <c r="W325" s="126"/>
      <c r="X325" s="126"/>
      <c r="Y325" s="126"/>
      <c r="Z325" s="126"/>
      <c r="AA325" s="126"/>
      <c r="AB325" s="126"/>
      <c r="AC325" s="126"/>
    </row>
    <row r="326" spans="1:29" ht="15.75" customHeight="1">
      <c r="A326" s="126"/>
      <c r="B326" s="126"/>
      <c r="C326" s="176"/>
      <c r="D326" s="176"/>
      <c r="E326" s="176"/>
      <c r="F326" s="176"/>
      <c r="G326" s="176"/>
      <c r="H326" s="176"/>
      <c r="I326" s="126"/>
      <c r="J326" s="126"/>
      <c r="K326" s="126"/>
      <c r="L326" s="126"/>
      <c r="M326" s="126"/>
      <c r="N326" s="126"/>
      <c r="O326" s="126"/>
      <c r="P326" s="126"/>
      <c r="Q326" s="126"/>
      <c r="R326" s="126"/>
      <c r="S326" s="126"/>
      <c r="T326" s="126"/>
      <c r="U326" s="126"/>
      <c r="V326" s="126"/>
      <c r="W326" s="126"/>
      <c r="X326" s="126"/>
      <c r="Y326" s="126"/>
      <c r="Z326" s="126"/>
      <c r="AA326" s="126"/>
      <c r="AB326" s="126"/>
      <c r="AC326" s="126"/>
    </row>
    <row r="327" spans="1:29" ht="15.75" customHeight="1">
      <c r="A327" s="126"/>
      <c r="B327" s="126"/>
      <c r="C327" s="176"/>
      <c r="D327" s="176"/>
      <c r="E327" s="176"/>
      <c r="F327" s="176"/>
      <c r="G327" s="176"/>
      <c r="H327" s="176"/>
      <c r="I327" s="126"/>
      <c r="J327" s="126"/>
      <c r="K327" s="126"/>
      <c r="L327" s="126"/>
      <c r="M327" s="126"/>
      <c r="N327" s="126"/>
      <c r="O327" s="126"/>
      <c r="P327" s="126"/>
      <c r="Q327" s="126"/>
      <c r="R327" s="126"/>
      <c r="S327" s="126"/>
      <c r="T327" s="126"/>
      <c r="U327" s="126"/>
      <c r="V327" s="126"/>
      <c r="W327" s="126"/>
      <c r="X327" s="126"/>
      <c r="Y327" s="126"/>
      <c r="Z327" s="126"/>
      <c r="AA327" s="126"/>
      <c r="AB327" s="126"/>
      <c r="AC327" s="126"/>
    </row>
    <row r="328" spans="1:29" ht="15.75" customHeight="1">
      <c r="A328" s="126"/>
      <c r="B328" s="126"/>
      <c r="C328" s="176"/>
      <c r="D328" s="176"/>
      <c r="E328" s="176"/>
      <c r="F328" s="176"/>
      <c r="G328" s="176"/>
      <c r="H328" s="176"/>
      <c r="I328" s="126"/>
      <c r="J328" s="126"/>
      <c r="K328" s="126"/>
      <c r="L328" s="126"/>
      <c r="M328" s="126"/>
      <c r="N328" s="126"/>
      <c r="O328" s="126"/>
      <c r="P328" s="126"/>
      <c r="Q328" s="126"/>
      <c r="R328" s="126"/>
      <c r="S328" s="126"/>
      <c r="T328" s="126"/>
      <c r="U328" s="126"/>
      <c r="V328" s="126"/>
      <c r="W328" s="126"/>
      <c r="X328" s="126"/>
      <c r="Y328" s="126"/>
      <c r="Z328" s="126"/>
      <c r="AA328" s="126"/>
      <c r="AB328" s="126"/>
      <c r="AC328" s="126"/>
    </row>
    <row r="329" spans="1:29" ht="15.75" customHeight="1">
      <c r="A329" s="126"/>
      <c r="B329" s="126"/>
      <c r="C329" s="176"/>
      <c r="D329" s="176"/>
      <c r="E329" s="176"/>
      <c r="F329" s="176"/>
      <c r="G329" s="176"/>
      <c r="H329" s="176"/>
      <c r="I329" s="126"/>
      <c r="J329" s="126"/>
      <c r="K329" s="126"/>
      <c r="L329" s="126"/>
      <c r="M329" s="126"/>
      <c r="N329" s="126"/>
      <c r="O329" s="126"/>
      <c r="P329" s="126"/>
      <c r="Q329" s="126"/>
      <c r="R329" s="126"/>
      <c r="S329" s="126"/>
      <c r="T329" s="126"/>
      <c r="U329" s="126"/>
      <c r="V329" s="126"/>
      <c r="W329" s="126"/>
      <c r="X329" s="126"/>
      <c r="Y329" s="126"/>
      <c r="Z329" s="126"/>
      <c r="AA329" s="126"/>
      <c r="AB329" s="126"/>
      <c r="AC329" s="126"/>
    </row>
    <row r="330" spans="1:29" ht="15.75" customHeight="1">
      <c r="A330" s="126"/>
      <c r="B330" s="126"/>
      <c r="C330" s="176"/>
      <c r="D330" s="176"/>
      <c r="E330" s="176"/>
      <c r="F330" s="176"/>
      <c r="G330" s="176"/>
      <c r="H330" s="176"/>
      <c r="I330" s="126"/>
      <c r="J330" s="126"/>
      <c r="K330" s="126"/>
      <c r="L330" s="126"/>
      <c r="M330" s="126"/>
      <c r="N330" s="126"/>
      <c r="O330" s="126"/>
      <c r="P330" s="126"/>
      <c r="Q330" s="126"/>
      <c r="R330" s="126"/>
      <c r="S330" s="126"/>
      <c r="T330" s="126"/>
      <c r="U330" s="126"/>
      <c r="V330" s="126"/>
      <c r="W330" s="126"/>
      <c r="X330" s="126"/>
      <c r="Y330" s="126"/>
      <c r="Z330" s="126"/>
      <c r="AA330" s="126"/>
      <c r="AB330" s="126"/>
      <c r="AC330" s="126"/>
    </row>
    <row r="331" spans="1:29" ht="15.75" customHeight="1">
      <c r="A331" s="126"/>
      <c r="B331" s="126"/>
      <c r="C331" s="176"/>
      <c r="D331" s="176"/>
      <c r="E331" s="176"/>
      <c r="F331" s="176"/>
      <c r="G331" s="176"/>
      <c r="H331" s="176"/>
      <c r="I331" s="126"/>
      <c r="J331" s="126"/>
      <c r="K331" s="126"/>
      <c r="L331" s="126"/>
      <c r="M331" s="126"/>
      <c r="N331" s="126"/>
      <c r="O331" s="126"/>
      <c r="P331" s="126"/>
      <c r="Q331" s="126"/>
      <c r="R331" s="126"/>
      <c r="S331" s="126"/>
      <c r="T331" s="126"/>
      <c r="U331" s="126"/>
      <c r="V331" s="126"/>
      <c r="W331" s="126"/>
      <c r="X331" s="126"/>
      <c r="Y331" s="126"/>
      <c r="Z331" s="126"/>
      <c r="AA331" s="126"/>
      <c r="AB331" s="126"/>
      <c r="AC331" s="126"/>
    </row>
    <row r="332" spans="1:29" ht="15.75" customHeight="1">
      <c r="A332" s="126"/>
      <c r="B332" s="126"/>
      <c r="C332" s="176"/>
      <c r="D332" s="176"/>
      <c r="E332" s="176"/>
      <c r="F332" s="176"/>
      <c r="G332" s="176"/>
      <c r="H332" s="176"/>
      <c r="I332" s="126"/>
      <c r="J332" s="126"/>
      <c r="K332" s="126"/>
      <c r="L332" s="126"/>
      <c r="M332" s="126"/>
      <c r="N332" s="126"/>
      <c r="O332" s="126"/>
      <c r="P332" s="126"/>
      <c r="Q332" s="126"/>
      <c r="R332" s="126"/>
      <c r="S332" s="126"/>
      <c r="T332" s="126"/>
      <c r="U332" s="126"/>
      <c r="V332" s="126"/>
      <c r="W332" s="126"/>
      <c r="X332" s="126"/>
      <c r="Y332" s="126"/>
      <c r="Z332" s="126"/>
      <c r="AA332" s="126"/>
      <c r="AB332" s="126"/>
      <c r="AC332" s="126"/>
    </row>
    <row r="333" spans="1:29" ht="15.75" customHeight="1">
      <c r="A333" s="126"/>
      <c r="B333" s="126"/>
      <c r="C333" s="176"/>
      <c r="D333" s="176"/>
      <c r="E333" s="176"/>
      <c r="F333" s="176"/>
      <c r="G333" s="176"/>
      <c r="H333" s="176"/>
      <c r="I333" s="126"/>
      <c r="J333" s="126"/>
      <c r="K333" s="126"/>
      <c r="L333" s="126"/>
      <c r="M333" s="126"/>
      <c r="N333" s="126"/>
      <c r="O333" s="126"/>
      <c r="P333" s="126"/>
      <c r="Q333" s="126"/>
      <c r="R333" s="126"/>
      <c r="S333" s="126"/>
      <c r="T333" s="126"/>
      <c r="U333" s="126"/>
      <c r="V333" s="126"/>
      <c r="W333" s="126"/>
      <c r="X333" s="126"/>
      <c r="Y333" s="126"/>
      <c r="Z333" s="126"/>
      <c r="AA333" s="126"/>
      <c r="AB333" s="126"/>
      <c r="AC333" s="126"/>
    </row>
    <row r="334" spans="1:29" ht="15.75" customHeight="1">
      <c r="A334" s="126"/>
      <c r="B334" s="126"/>
      <c r="C334" s="176"/>
      <c r="D334" s="176"/>
      <c r="E334" s="176"/>
      <c r="F334" s="176"/>
      <c r="G334" s="176"/>
      <c r="H334" s="176"/>
      <c r="I334" s="126"/>
      <c r="J334" s="126"/>
      <c r="K334" s="126"/>
      <c r="L334" s="126"/>
      <c r="M334" s="126"/>
      <c r="N334" s="126"/>
      <c r="O334" s="126"/>
      <c r="P334" s="126"/>
      <c r="Q334" s="126"/>
      <c r="R334" s="126"/>
      <c r="S334" s="126"/>
      <c r="T334" s="126"/>
      <c r="U334" s="126"/>
      <c r="V334" s="126"/>
      <c r="W334" s="126"/>
      <c r="X334" s="126"/>
      <c r="Y334" s="126"/>
      <c r="Z334" s="126"/>
      <c r="AA334" s="126"/>
      <c r="AB334" s="126"/>
      <c r="AC334" s="126"/>
    </row>
    <row r="335" spans="1:29" ht="15.75" customHeight="1">
      <c r="A335" s="126"/>
      <c r="B335" s="126"/>
      <c r="C335" s="176"/>
      <c r="D335" s="176"/>
      <c r="E335" s="176"/>
      <c r="F335" s="176"/>
      <c r="G335" s="176"/>
      <c r="H335" s="176"/>
      <c r="I335" s="126"/>
      <c r="J335" s="126"/>
      <c r="K335" s="126"/>
      <c r="L335" s="126"/>
      <c r="M335" s="126"/>
      <c r="N335" s="126"/>
      <c r="O335" s="126"/>
      <c r="P335" s="126"/>
      <c r="Q335" s="126"/>
      <c r="R335" s="126"/>
      <c r="S335" s="126"/>
      <c r="T335" s="126"/>
      <c r="U335" s="126"/>
      <c r="V335" s="126"/>
      <c r="W335" s="126"/>
      <c r="X335" s="126"/>
      <c r="Y335" s="126"/>
      <c r="Z335" s="126"/>
      <c r="AA335" s="126"/>
      <c r="AB335" s="126"/>
      <c r="AC335" s="126"/>
    </row>
    <row r="336" spans="1:29" ht="15.75" customHeight="1">
      <c r="A336" s="126"/>
      <c r="B336" s="126"/>
      <c r="C336" s="176"/>
      <c r="D336" s="176"/>
      <c r="E336" s="176"/>
      <c r="F336" s="176"/>
      <c r="G336" s="176"/>
      <c r="H336" s="176"/>
      <c r="I336" s="126"/>
      <c r="J336" s="126"/>
      <c r="K336" s="126"/>
      <c r="L336" s="126"/>
      <c r="M336" s="126"/>
      <c r="N336" s="126"/>
      <c r="O336" s="126"/>
      <c r="P336" s="126"/>
      <c r="Q336" s="126"/>
      <c r="R336" s="126"/>
      <c r="S336" s="126"/>
      <c r="T336" s="126"/>
      <c r="U336" s="126"/>
      <c r="V336" s="126"/>
      <c r="W336" s="126"/>
      <c r="X336" s="126"/>
      <c r="Y336" s="126"/>
      <c r="Z336" s="126"/>
      <c r="AA336" s="126"/>
      <c r="AB336" s="126"/>
      <c r="AC336" s="126"/>
    </row>
    <row r="337" spans="1:29" ht="15.75" customHeight="1">
      <c r="A337" s="126"/>
      <c r="B337" s="126"/>
      <c r="C337" s="176"/>
      <c r="D337" s="176"/>
      <c r="E337" s="176"/>
      <c r="F337" s="176"/>
      <c r="G337" s="176"/>
      <c r="H337" s="176"/>
      <c r="I337" s="126"/>
      <c r="J337" s="126"/>
      <c r="K337" s="126"/>
      <c r="L337" s="126"/>
      <c r="M337" s="126"/>
      <c r="N337" s="126"/>
      <c r="O337" s="126"/>
      <c r="P337" s="126"/>
      <c r="Q337" s="126"/>
      <c r="R337" s="126"/>
      <c r="S337" s="126"/>
      <c r="T337" s="126"/>
      <c r="U337" s="126"/>
      <c r="V337" s="126"/>
      <c r="W337" s="126"/>
      <c r="X337" s="126"/>
      <c r="Y337" s="126"/>
      <c r="Z337" s="126"/>
      <c r="AA337" s="126"/>
      <c r="AB337" s="126"/>
      <c r="AC337" s="126"/>
    </row>
    <row r="338" spans="1:29" ht="15.75" customHeight="1">
      <c r="A338" s="126"/>
      <c r="B338" s="126"/>
      <c r="C338" s="176"/>
      <c r="D338" s="176"/>
      <c r="E338" s="176"/>
      <c r="F338" s="176"/>
      <c r="G338" s="176"/>
      <c r="H338" s="176"/>
      <c r="I338" s="126"/>
      <c r="J338" s="126"/>
      <c r="K338" s="126"/>
      <c r="L338" s="126"/>
      <c r="M338" s="126"/>
      <c r="N338" s="126"/>
      <c r="O338" s="126"/>
      <c r="P338" s="126"/>
      <c r="Q338" s="126"/>
      <c r="R338" s="126"/>
      <c r="S338" s="126"/>
      <c r="T338" s="126"/>
      <c r="U338" s="126"/>
      <c r="V338" s="126"/>
      <c r="W338" s="126"/>
      <c r="X338" s="126"/>
      <c r="Y338" s="126"/>
      <c r="Z338" s="126"/>
      <c r="AA338" s="126"/>
      <c r="AB338" s="126"/>
      <c r="AC338" s="126"/>
    </row>
    <row r="339" spans="1:29" ht="15.75" customHeight="1">
      <c r="A339" s="126"/>
      <c r="B339" s="126"/>
      <c r="C339" s="176"/>
      <c r="D339" s="176"/>
      <c r="E339" s="176"/>
      <c r="F339" s="176"/>
      <c r="G339" s="176"/>
      <c r="H339" s="176"/>
      <c r="I339" s="126"/>
      <c r="J339" s="126"/>
      <c r="K339" s="126"/>
      <c r="L339" s="126"/>
      <c r="M339" s="126"/>
      <c r="N339" s="126"/>
      <c r="O339" s="126"/>
      <c r="P339" s="126"/>
      <c r="Q339" s="126"/>
      <c r="R339" s="126"/>
      <c r="S339" s="126"/>
      <c r="T339" s="126"/>
      <c r="U339" s="126"/>
      <c r="V339" s="126"/>
      <c r="W339" s="126"/>
      <c r="X339" s="126"/>
      <c r="Y339" s="126"/>
      <c r="Z339" s="126"/>
      <c r="AA339" s="126"/>
      <c r="AB339" s="126"/>
      <c r="AC339" s="126"/>
    </row>
    <row r="340" spans="1:29" ht="15.75" customHeight="1">
      <c r="A340" s="126"/>
      <c r="B340" s="126"/>
      <c r="C340" s="176"/>
      <c r="D340" s="176"/>
      <c r="E340" s="176"/>
      <c r="F340" s="176"/>
      <c r="G340" s="176"/>
      <c r="H340" s="176"/>
      <c r="I340" s="126"/>
      <c r="J340" s="126"/>
      <c r="K340" s="126"/>
      <c r="L340" s="126"/>
      <c r="M340" s="126"/>
      <c r="N340" s="126"/>
      <c r="O340" s="126"/>
      <c r="P340" s="126"/>
      <c r="Q340" s="126"/>
      <c r="R340" s="126"/>
      <c r="S340" s="126"/>
      <c r="T340" s="126"/>
      <c r="U340" s="126"/>
      <c r="V340" s="126"/>
      <c r="W340" s="126"/>
      <c r="X340" s="126"/>
      <c r="Y340" s="126"/>
      <c r="Z340" s="126"/>
      <c r="AA340" s="126"/>
      <c r="AB340" s="126"/>
      <c r="AC340" s="126"/>
    </row>
    <row r="341" spans="1:29" ht="15.75" customHeight="1">
      <c r="A341" s="126"/>
      <c r="B341" s="126"/>
      <c r="C341" s="176"/>
      <c r="D341" s="176"/>
      <c r="E341" s="176"/>
      <c r="F341" s="176"/>
      <c r="G341" s="176"/>
      <c r="H341" s="176"/>
      <c r="I341" s="126"/>
      <c r="J341" s="126"/>
      <c r="K341" s="126"/>
      <c r="L341" s="126"/>
      <c r="M341" s="126"/>
      <c r="N341" s="126"/>
      <c r="O341" s="126"/>
      <c r="P341" s="126"/>
      <c r="Q341" s="126"/>
      <c r="R341" s="126"/>
      <c r="S341" s="126"/>
      <c r="T341" s="126"/>
      <c r="U341" s="126"/>
      <c r="V341" s="126"/>
      <c r="W341" s="126"/>
      <c r="X341" s="126"/>
      <c r="Y341" s="126"/>
      <c r="Z341" s="126"/>
      <c r="AA341" s="126"/>
      <c r="AB341" s="126"/>
      <c r="AC341" s="126"/>
    </row>
    <row r="342" spans="1:29" ht="15.75" customHeight="1">
      <c r="A342" s="126"/>
      <c r="B342" s="126"/>
      <c r="C342" s="176"/>
      <c r="D342" s="176"/>
      <c r="E342" s="176"/>
      <c r="F342" s="176"/>
      <c r="G342" s="176"/>
      <c r="H342" s="176"/>
      <c r="I342" s="126"/>
      <c r="J342" s="126"/>
      <c r="K342" s="126"/>
      <c r="L342" s="126"/>
      <c r="M342" s="126"/>
      <c r="N342" s="126"/>
      <c r="O342" s="126"/>
      <c r="P342" s="126"/>
      <c r="Q342" s="126"/>
      <c r="R342" s="126"/>
      <c r="S342" s="126"/>
      <c r="T342" s="126"/>
      <c r="U342" s="126"/>
      <c r="V342" s="126"/>
      <c r="W342" s="126"/>
      <c r="X342" s="126"/>
      <c r="Y342" s="126"/>
      <c r="Z342" s="126"/>
      <c r="AA342" s="126"/>
      <c r="AB342" s="126"/>
      <c r="AC342" s="126"/>
    </row>
    <row r="343" spans="1:29" ht="15.75" customHeight="1">
      <c r="A343" s="126"/>
      <c r="B343" s="126"/>
      <c r="C343" s="176"/>
      <c r="D343" s="176"/>
      <c r="E343" s="176"/>
      <c r="F343" s="176"/>
      <c r="G343" s="176"/>
      <c r="H343" s="176"/>
      <c r="I343" s="126"/>
      <c r="J343" s="126"/>
      <c r="K343" s="126"/>
      <c r="L343" s="126"/>
      <c r="M343" s="126"/>
      <c r="N343" s="126"/>
      <c r="O343" s="126"/>
      <c r="P343" s="126"/>
      <c r="Q343" s="126"/>
      <c r="R343" s="126"/>
      <c r="S343" s="126"/>
      <c r="T343" s="126"/>
      <c r="U343" s="126"/>
      <c r="V343" s="126"/>
      <c r="W343" s="126"/>
      <c r="X343" s="126"/>
      <c r="Y343" s="126"/>
      <c r="Z343" s="126"/>
      <c r="AA343" s="126"/>
      <c r="AB343" s="126"/>
      <c r="AC343" s="126"/>
    </row>
    <row r="344" spans="1:29" ht="15.75" customHeight="1">
      <c r="A344" s="126"/>
      <c r="B344" s="126"/>
      <c r="C344" s="176"/>
      <c r="D344" s="176"/>
      <c r="E344" s="176"/>
      <c r="F344" s="176"/>
      <c r="G344" s="176"/>
      <c r="H344" s="176"/>
      <c r="I344" s="126"/>
      <c r="J344" s="126"/>
      <c r="K344" s="126"/>
      <c r="L344" s="126"/>
      <c r="M344" s="126"/>
      <c r="N344" s="126"/>
      <c r="O344" s="126"/>
      <c r="P344" s="126"/>
      <c r="Q344" s="126"/>
      <c r="R344" s="126"/>
      <c r="S344" s="126"/>
      <c r="T344" s="126"/>
      <c r="U344" s="126"/>
      <c r="V344" s="126"/>
      <c r="W344" s="126"/>
      <c r="X344" s="126"/>
      <c r="Y344" s="126"/>
      <c r="Z344" s="126"/>
      <c r="AA344" s="126"/>
      <c r="AB344" s="126"/>
      <c r="AC344" s="126"/>
    </row>
    <row r="345" spans="1:29" ht="15.75" customHeight="1">
      <c r="A345" s="126"/>
      <c r="B345" s="126"/>
      <c r="C345" s="176"/>
      <c r="D345" s="176"/>
      <c r="E345" s="176"/>
      <c r="F345" s="176"/>
      <c r="G345" s="176"/>
      <c r="H345" s="176"/>
      <c r="I345" s="126"/>
      <c r="J345" s="126"/>
      <c r="K345" s="126"/>
      <c r="L345" s="126"/>
      <c r="M345" s="126"/>
      <c r="N345" s="126"/>
      <c r="O345" s="126"/>
      <c r="P345" s="126"/>
      <c r="Q345" s="126"/>
      <c r="R345" s="126"/>
      <c r="S345" s="126"/>
      <c r="T345" s="126"/>
      <c r="U345" s="126"/>
      <c r="V345" s="126"/>
      <c r="W345" s="126"/>
      <c r="X345" s="126"/>
      <c r="Y345" s="126"/>
      <c r="Z345" s="126"/>
      <c r="AA345" s="126"/>
      <c r="AB345" s="126"/>
      <c r="AC345" s="126"/>
    </row>
    <row r="346" spans="1:29" ht="15.75" customHeight="1">
      <c r="A346" s="126"/>
      <c r="B346" s="126"/>
      <c r="C346" s="176"/>
      <c r="D346" s="176"/>
      <c r="E346" s="176"/>
      <c r="F346" s="176"/>
      <c r="G346" s="176"/>
      <c r="H346" s="176"/>
      <c r="I346" s="126"/>
      <c r="J346" s="126"/>
      <c r="K346" s="126"/>
      <c r="L346" s="126"/>
      <c r="M346" s="126"/>
      <c r="N346" s="126"/>
      <c r="O346" s="126"/>
      <c r="P346" s="126"/>
      <c r="Q346" s="126"/>
      <c r="R346" s="126"/>
      <c r="S346" s="126"/>
      <c r="T346" s="126"/>
      <c r="U346" s="126"/>
      <c r="V346" s="126"/>
      <c r="W346" s="126"/>
      <c r="X346" s="126"/>
      <c r="Y346" s="126"/>
      <c r="Z346" s="126"/>
      <c r="AA346" s="126"/>
      <c r="AB346" s="126"/>
      <c r="AC346" s="126"/>
    </row>
    <row r="347" spans="1:29" ht="15.75" customHeight="1">
      <c r="A347" s="126"/>
      <c r="B347" s="126"/>
      <c r="C347" s="176"/>
      <c r="D347" s="176"/>
      <c r="E347" s="176"/>
      <c r="F347" s="176"/>
      <c r="G347" s="176"/>
      <c r="H347" s="176"/>
      <c r="I347" s="126"/>
      <c r="J347" s="126"/>
      <c r="K347" s="126"/>
      <c r="L347" s="126"/>
      <c r="M347" s="126"/>
      <c r="N347" s="126"/>
      <c r="O347" s="126"/>
      <c r="P347" s="126"/>
      <c r="Q347" s="126"/>
      <c r="R347" s="126"/>
      <c r="S347" s="126"/>
      <c r="T347" s="126"/>
      <c r="U347" s="126"/>
      <c r="V347" s="126"/>
      <c r="W347" s="126"/>
      <c r="X347" s="126"/>
      <c r="Y347" s="126"/>
      <c r="Z347" s="126"/>
      <c r="AA347" s="126"/>
      <c r="AB347" s="126"/>
      <c r="AC347" s="126"/>
    </row>
    <row r="348" spans="1:29" ht="15.75" customHeight="1">
      <c r="A348" s="126"/>
      <c r="B348" s="126"/>
      <c r="C348" s="176"/>
      <c r="D348" s="176"/>
      <c r="E348" s="176"/>
      <c r="F348" s="176"/>
      <c r="G348" s="176"/>
      <c r="H348" s="176"/>
      <c r="I348" s="126"/>
      <c r="J348" s="126"/>
      <c r="K348" s="126"/>
      <c r="L348" s="126"/>
      <c r="M348" s="126"/>
      <c r="N348" s="126"/>
      <c r="O348" s="126"/>
      <c r="P348" s="126"/>
      <c r="Q348" s="126"/>
      <c r="R348" s="126"/>
      <c r="S348" s="126"/>
      <c r="T348" s="126"/>
      <c r="U348" s="126"/>
      <c r="V348" s="126"/>
      <c r="W348" s="126"/>
      <c r="X348" s="126"/>
      <c r="Y348" s="126"/>
      <c r="Z348" s="126"/>
      <c r="AA348" s="126"/>
      <c r="AB348" s="126"/>
      <c r="AC348" s="126"/>
    </row>
    <row r="349" spans="1:29" ht="15.75" customHeight="1">
      <c r="A349" s="126"/>
      <c r="B349" s="126"/>
      <c r="C349" s="176"/>
      <c r="D349" s="176"/>
      <c r="E349" s="176"/>
      <c r="F349" s="176"/>
      <c r="G349" s="176"/>
      <c r="H349" s="176"/>
      <c r="I349" s="126"/>
      <c r="J349" s="126"/>
      <c r="K349" s="126"/>
      <c r="L349" s="126"/>
      <c r="M349" s="126"/>
      <c r="N349" s="126"/>
      <c r="O349" s="126"/>
      <c r="P349" s="126"/>
      <c r="Q349" s="126"/>
      <c r="R349" s="126"/>
      <c r="S349" s="126"/>
      <c r="T349" s="126"/>
      <c r="U349" s="126"/>
      <c r="V349" s="126"/>
      <c r="W349" s="126"/>
      <c r="X349" s="126"/>
      <c r="Y349" s="126"/>
      <c r="Z349" s="126"/>
      <c r="AA349" s="126"/>
      <c r="AB349" s="126"/>
      <c r="AC349" s="126"/>
    </row>
    <row r="350" spans="1:29" ht="15.75" customHeight="1">
      <c r="A350" s="126"/>
      <c r="B350" s="126"/>
      <c r="C350" s="176"/>
      <c r="D350" s="176"/>
      <c r="E350" s="176"/>
      <c r="F350" s="176"/>
      <c r="G350" s="176"/>
      <c r="H350" s="176"/>
      <c r="I350" s="126"/>
      <c r="J350" s="126"/>
      <c r="K350" s="126"/>
      <c r="L350" s="126"/>
      <c r="M350" s="126"/>
      <c r="N350" s="126"/>
      <c r="O350" s="126"/>
      <c r="P350" s="126"/>
      <c r="Q350" s="126"/>
      <c r="R350" s="126"/>
      <c r="S350" s="126"/>
      <c r="T350" s="126"/>
      <c r="U350" s="126"/>
      <c r="V350" s="126"/>
      <c r="W350" s="126"/>
      <c r="X350" s="126"/>
      <c r="Y350" s="126"/>
      <c r="Z350" s="126"/>
      <c r="AA350" s="126"/>
      <c r="AB350" s="126"/>
      <c r="AC350" s="126"/>
    </row>
    <row r="351" spans="1:29" ht="15.75" customHeight="1">
      <c r="A351" s="126"/>
      <c r="B351" s="126"/>
      <c r="C351" s="176"/>
      <c r="D351" s="176"/>
      <c r="E351" s="176"/>
      <c r="F351" s="176"/>
      <c r="G351" s="176"/>
      <c r="H351" s="176"/>
      <c r="I351" s="126"/>
      <c r="J351" s="126"/>
      <c r="K351" s="126"/>
      <c r="L351" s="126"/>
      <c r="M351" s="126"/>
      <c r="N351" s="126"/>
      <c r="O351" s="126"/>
      <c r="P351" s="126"/>
      <c r="Q351" s="126"/>
      <c r="R351" s="126"/>
      <c r="S351" s="126"/>
      <c r="T351" s="126"/>
      <c r="U351" s="126"/>
      <c r="V351" s="126"/>
      <c r="W351" s="126"/>
      <c r="X351" s="126"/>
      <c r="Y351" s="126"/>
      <c r="Z351" s="126"/>
      <c r="AA351" s="126"/>
      <c r="AB351" s="126"/>
      <c r="AC351" s="126"/>
    </row>
    <row r="352" spans="1:29" ht="15.75" customHeight="1">
      <c r="A352" s="126"/>
      <c r="B352" s="126"/>
      <c r="C352" s="176"/>
      <c r="D352" s="176"/>
      <c r="E352" s="176"/>
      <c r="F352" s="176"/>
      <c r="G352" s="176"/>
      <c r="H352" s="176"/>
      <c r="I352" s="126"/>
      <c r="J352" s="126"/>
      <c r="K352" s="126"/>
      <c r="L352" s="126"/>
      <c r="M352" s="126"/>
      <c r="N352" s="126"/>
      <c r="O352" s="126"/>
      <c r="P352" s="126"/>
      <c r="Q352" s="126"/>
      <c r="R352" s="126"/>
      <c r="S352" s="126"/>
      <c r="T352" s="126"/>
      <c r="U352" s="126"/>
      <c r="V352" s="126"/>
      <c r="W352" s="126"/>
      <c r="X352" s="126"/>
      <c r="Y352" s="126"/>
      <c r="Z352" s="126"/>
      <c r="AA352" s="126"/>
      <c r="AB352" s="126"/>
      <c r="AC352" s="126"/>
    </row>
    <row r="353" spans="1:29" ht="15.75" customHeight="1">
      <c r="A353" s="126"/>
      <c r="B353" s="126"/>
      <c r="C353" s="176"/>
      <c r="D353" s="176"/>
      <c r="E353" s="176"/>
      <c r="F353" s="176"/>
      <c r="G353" s="176"/>
      <c r="H353" s="176"/>
      <c r="I353" s="126"/>
      <c r="J353" s="126"/>
      <c r="K353" s="126"/>
      <c r="L353" s="126"/>
      <c r="M353" s="126"/>
      <c r="N353" s="126"/>
      <c r="O353" s="126"/>
      <c r="P353" s="126"/>
      <c r="Q353" s="126"/>
      <c r="R353" s="126"/>
      <c r="S353" s="126"/>
      <c r="T353" s="126"/>
      <c r="U353" s="126"/>
      <c r="V353" s="126"/>
      <c r="W353" s="126"/>
      <c r="X353" s="126"/>
      <c r="Y353" s="126"/>
      <c r="Z353" s="126"/>
      <c r="AA353" s="126"/>
      <c r="AB353" s="126"/>
      <c r="AC353" s="126"/>
    </row>
    <row r="354" spans="1:29" ht="15.75" customHeight="1">
      <c r="A354" s="126"/>
      <c r="B354" s="126"/>
      <c r="C354" s="176"/>
      <c r="D354" s="176"/>
      <c r="E354" s="176"/>
      <c r="F354" s="176"/>
      <c r="G354" s="176"/>
      <c r="H354" s="176"/>
      <c r="I354" s="126"/>
      <c r="J354" s="126"/>
      <c r="K354" s="126"/>
      <c r="L354" s="126"/>
      <c r="M354" s="126"/>
      <c r="N354" s="126"/>
      <c r="O354" s="126"/>
      <c r="P354" s="126"/>
      <c r="Q354" s="126"/>
      <c r="R354" s="126"/>
      <c r="S354" s="126"/>
      <c r="T354" s="126"/>
      <c r="U354" s="126"/>
      <c r="V354" s="126"/>
      <c r="W354" s="126"/>
      <c r="X354" s="126"/>
      <c r="Y354" s="126"/>
      <c r="Z354" s="126"/>
      <c r="AA354" s="126"/>
      <c r="AB354" s="126"/>
      <c r="AC354" s="126"/>
    </row>
    <row r="355" spans="1:29" ht="15.75" customHeight="1">
      <c r="A355" s="126"/>
      <c r="B355" s="126"/>
      <c r="C355" s="176"/>
      <c r="D355" s="176"/>
      <c r="E355" s="176"/>
      <c r="F355" s="176"/>
      <c r="G355" s="176"/>
      <c r="H355" s="176"/>
      <c r="I355" s="126"/>
      <c r="J355" s="126"/>
      <c r="K355" s="126"/>
      <c r="L355" s="126"/>
      <c r="M355" s="126"/>
      <c r="N355" s="126"/>
      <c r="O355" s="126"/>
      <c r="P355" s="126"/>
      <c r="Q355" s="126"/>
      <c r="R355" s="126"/>
      <c r="S355" s="126"/>
      <c r="T355" s="126"/>
      <c r="U355" s="126"/>
      <c r="V355" s="126"/>
      <c r="W355" s="126"/>
      <c r="X355" s="126"/>
      <c r="Y355" s="126"/>
      <c r="Z355" s="126"/>
      <c r="AA355" s="126"/>
      <c r="AB355" s="126"/>
      <c r="AC355" s="126"/>
    </row>
    <row r="356" spans="1:29" ht="15.75" customHeight="1">
      <c r="A356" s="126"/>
      <c r="B356" s="126"/>
      <c r="C356" s="176"/>
      <c r="D356" s="176"/>
      <c r="E356" s="176"/>
      <c r="F356" s="176"/>
      <c r="G356" s="176"/>
      <c r="H356" s="176"/>
      <c r="I356" s="126"/>
      <c r="J356" s="126"/>
      <c r="K356" s="126"/>
      <c r="L356" s="126"/>
      <c r="M356" s="126"/>
      <c r="N356" s="126"/>
      <c r="O356" s="126"/>
      <c r="P356" s="126"/>
      <c r="Q356" s="126"/>
      <c r="R356" s="126"/>
      <c r="S356" s="126"/>
      <c r="T356" s="126"/>
      <c r="U356" s="126"/>
      <c r="V356" s="126"/>
      <c r="W356" s="126"/>
      <c r="X356" s="126"/>
      <c r="Y356" s="126"/>
      <c r="Z356" s="126"/>
      <c r="AA356" s="126"/>
      <c r="AB356" s="126"/>
      <c r="AC356" s="126"/>
    </row>
    <row r="357" spans="1:29" ht="15.75" customHeight="1">
      <c r="A357" s="126"/>
      <c r="B357" s="126"/>
      <c r="C357" s="176"/>
      <c r="D357" s="176"/>
      <c r="E357" s="176"/>
      <c r="F357" s="176"/>
      <c r="G357" s="176"/>
      <c r="H357" s="176"/>
      <c r="I357" s="126"/>
      <c r="J357" s="126"/>
      <c r="K357" s="126"/>
      <c r="L357" s="126"/>
      <c r="M357" s="126"/>
      <c r="N357" s="126"/>
      <c r="O357" s="126"/>
      <c r="P357" s="126"/>
      <c r="Q357" s="126"/>
      <c r="R357" s="126"/>
      <c r="S357" s="126"/>
      <c r="T357" s="126"/>
      <c r="U357" s="126"/>
      <c r="V357" s="126"/>
      <c r="W357" s="126"/>
      <c r="X357" s="126"/>
      <c r="Y357" s="126"/>
      <c r="Z357" s="126"/>
      <c r="AA357" s="126"/>
      <c r="AB357" s="126"/>
      <c r="AC357" s="126"/>
    </row>
    <row r="358" spans="1:29" ht="15.75" customHeight="1">
      <c r="A358" s="126"/>
      <c r="B358" s="126"/>
      <c r="C358" s="176"/>
      <c r="D358" s="176"/>
      <c r="E358" s="176"/>
      <c r="F358" s="176"/>
      <c r="G358" s="176"/>
      <c r="H358" s="176"/>
      <c r="I358" s="126"/>
      <c r="J358" s="126"/>
      <c r="K358" s="126"/>
      <c r="L358" s="126"/>
      <c r="M358" s="126"/>
      <c r="N358" s="126"/>
      <c r="O358" s="126"/>
      <c r="P358" s="126"/>
      <c r="Q358" s="126"/>
      <c r="R358" s="126"/>
      <c r="S358" s="126"/>
      <c r="T358" s="126"/>
      <c r="U358" s="126"/>
      <c r="V358" s="126"/>
      <c r="W358" s="126"/>
      <c r="X358" s="126"/>
      <c r="Y358" s="126"/>
      <c r="Z358" s="126"/>
      <c r="AA358" s="126"/>
      <c r="AB358" s="126"/>
      <c r="AC358" s="126"/>
    </row>
    <row r="359" spans="1:29" ht="15.75" customHeight="1">
      <c r="A359" s="126"/>
      <c r="B359" s="126"/>
      <c r="C359" s="176"/>
      <c r="D359" s="176"/>
      <c r="E359" s="176"/>
      <c r="F359" s="176"/>
      <c r="G359" s="176"/>
      <c r="H359" s="176"/>
      <c r="I359" s="126"/>
      <c r="J359" s="126"/>
      <c r="K359" s="126"/>
      <c r="L359" s="126"/>
      <c r="M359" s="126"/>
      <c r="N359" s="126"/>
      <c r="O359" s="126"/>
      <c r="P359" s="126"/>
      <c r="Q359" s="126"/>
      <c r="R359" s="126"/>
      <c r="S359" s="126"/>
      <c r="T359" s="126"/>
      <c r="U359" s="126"/>
      <c r="V359" s="126"/>
      <c r="W359" s="126"/>
      <c r="X359" s="126"/>
      <c r="Y359" s="126"/>
      <c r="Z359" s="126"/>
      <c r="AA359" s="126"/>
      <c r="AB359" s="126"/>
      <c r="AC359" s="126"/>
    </row>
    <row r="360" spans="1:29" ht="15.75" customHeight="1">
      <c r="A360" s="126"/>
      <c r="B360" s="126"/>
      <c r="C360" s="176"/>
      <c r="D360" s="176"/>
      <c r="E360" s="176"/>
      <c r="F360" s="176"/>
      <c r="G360" s="176"/>
      <c r="H360" s="176"/>
      <c r="I360" s="126"/>
      <c r="J360" s="126"/>
      <c r="K360" s="126"/>
      <c r="L360" s="126"/>
      <c r="M360" s="126"/>
      <c r="N360" s="126"/>
      <c r="O360" s="126"/>
      <c r="P360" s="126"/>
      <c r="Q360" s="126"/>
      <c r="R360" s="126"/>
      <c r="S360" s="126"/>
      <c r="T360" s="126"/>
      <c r="U360" s="126"/>
      <c r="V360" s="126"/>
      <c r="W360" s="126"/>
      <c r="X360" s="126"/>
      <c r="Y360" s="126"/>
      <c r="Z360" s="126"/>
      <c r="AA360" s="126"/>
      <c r="AB360" s="126"/>
      <c r="AC360" s="126"/>
    </row>
    <row r="361" spans="1:29" ht="15.75" customHeight="1">
      <c r="A361" s="126"/>
      <c r="B361" s="126"/>
      <c r="C361" s="176"/>
      <c r="D361" s="176"/>
      <c r="E361" s="176"/>
      <c r="F361" s="176"/>
      <c r="G361" s="176"/>
      <c r="H361" s="176"/>
      <c r="I361" s="126"/>
      <c r="J361" s="126"/>
      <c r="K361" s="126"/>
      <c r="L361" s="126"/>
      <c r="M361" s="126"/>
      <c r="N361" s="126"/>
      <c r="O361" s="126"/>
      <c r="P361" s="126"/>
      <c r="Q361" s="126"/>
      <c r="R361" s="126"/>
      <c r="S361" s="126"/>
      <c r="T361" s="126"/>
      <c r="U361" s="126"/>
      <c r="V361" s="126"/>
      <c r="W361" s="126"/>
      <c r="X361" s="126"/>
      <c r="Y361" s="126"/>
      <c r="Z361" s="126"/>
      <c r="AA361" s="126"/>
      <c r="AB361" s="126"/>
      <c r="AC361" s="126"/>
    </row>
    <row r="362" spans="1:29" ht="15.75" customHeight="1">
      <c r="A362" s="126"/>
      <c r="B362" s="126"/>
      <c r="C362" s="176"/>
      <c r="D362" s="176"/>
      <c r="E362" s="176"/>
      <c r="F362" s="176"/>
      <c r="G362" s="176"/>
      <c r="H362" s="176"/>
      <c r="I362" s="126"/>
      <c r="J362" s="126"/>
      <c r="K362" s="126"/>
      <c r="L362" s="126"/>
      <c r="M362" s="126"/>
      <c r="N362" s="126"/>
      <c r="O362" s="126"/>
      <c r="P362" s="126"/>
      <c r="Q362" s="126"/>
      <c r="R362" s="126"/>
      <c r="S362" s="126"/>
      <c r="T362" s="126"/>
      <c r="U362" s="126"/>
      <c r="V362" s="126"/>
      <c r="W362" s="126"/>
      <c r="X362" s="126"/>
      <c r="Y362" s="126"/>
      <c r="Z362" s="126"/>
      <c r="AA362" s="126"/>
      <c r="AB362" s="126"/>
      <c r="AC362" s="126"/>
    </row>
    <row r="363" spans="1:29" ht="15.75" customHeight="1">
      <c r="A363" s="126"/>
      <c r="B363" s="126"/>
      <c r="C363" s="176"/>
      <c r="D363" s="176"/>
      <c r="E363" s="176"/>
      <c r="F363" s="176"/>
      <c r="G363" s="176"/>
      <c r="H363" s="176"/>
      <c r="I363" s="126"/>
      <c r="J363" s="126"/>
      <c r="K363" s="126"/>
      <c r="L363" s="126"/>
      <c r="M363" s="126"/>
      <c r="N363" s="126"/>
      <c r="O363" s="126"/>
      <c r="P363" s="126"/>
      <c r="Q363" s="126"/>
      <c r="R363" s="126"/>
      <c r="S363" s="126"/>
      <c r="T363" s="126"/>
      <c r="U363" s="126"/>
      <c r="V363" s="126"/>
      <c r="W363" s="126"/>
      <c r="X363" s="126"/>
      <c r="Y363" s="126"/>
      <c r="Z363" s="126"/>
      <c r="AA363" s="126"/>
      <c r="AB363" s="126"/>
      <c r="AC363" s="126"/>
    </row>
    <row r="364" spans="1:29" ht="15.75" customHeight="1">
      <c r="A364" s="126"/>
      <c r="B364" s="126"/>
      <c r="C364" s="176"/>
      <c r="D364" s="176"/>
      <c r="E364" s="176"/>
      <c r="F364" s="176"/>
      <c r="G364" s="176"/>
      <c r="H364" s="176"/>
      <c r="I364" s="126"/>
      <c r="J364" s="126"/>
      <c r="K364" s="126"/>
      <c r="L364" s="126"/>
      <c r="M364" s="126"/>
      <c r="N364" s="126"/>
      <c r="O364" s="126"/>
      <c r="P364" s="126"/>
      <c r="Q364" s="126"/>
      <c r="R364" s="126"/>
      <c r="S364" s="126"/>
      <c r="T364" s="126"/>
      <c r="U364" s="126"/>
      <c r="V364" s="126"/>
      <c r="W364" s="126"/>
      <c r="X364" s="126"/>
      <c r="Y364" s="126"/>
      <c r="Z364" s="126"/>
      <c r="AA364" s="126"/>
      <c r="AB364" s="126"/>
      <c r="AC364" s="126"/>
    </row>
    <row r="365" spans="1:29" ht="15.75" customHeight="1">
      <c r="A365" s="126"/>
      <c r="B365" s="126"/>
      <c r="C365" s="176"/>
      <c r="D365" s="176"/>
      <c r="E365" s="176"/>
      <c r="F365" s="176"/>
      <c r="G365" s="176"/>
      <c r="H365" s="176"/>
      <c r="I365" s="126"/>
      <c r="J365" s="126"/>
      <c r="K365" s="126"/>
      <c r="L365" s="126"/>
      <c r="M365" s="126"/>
      <c r="N365" s="126"/>
      <c r="O365" s="126"/>
      <c r="P365" s="126"/>
      <c r="Q365" s="126"/>
      <c r="R365" s="126"/>
      <c r="S365" s="126"/>
      <c r="T365" s="126"/>
      <c r="U365" s="126"/>
      <c r="V365" s="126"/>
      <c r="W365" s="126"/>
      <c r="X365" s="126"/>
      <c r="Y365" s="126"/>
      <c r="Z365" s="126"/>
      <c r="AA365" s="126"/>
      <c r="AB365" s="126"/>
      <c r="AC365" s="126"/>
    </row>
    <row r="366" spans="1:29" ht="15.75" customHeight="1">
      <c r="A366" s="126"/>
      <c r="B366" s="126"/>
      <c r="C366" s="176"/>
      <c r="D366" s="176"/>
      <c r="E366" s="176"/>
      <c r="F366" s="176"/>
      <c r="G366" s="176"/>
      <c r="H366" s="176"/>
      <c r="I366" s="126"/>
      <c r="J366" s="126"/>
      <c r="K366" s="126"/>
      <c r="L366" s="126"/>
      <c r="M366" s="126"/>
      <c r="N366" s="126"/>
      <c r="O366" s="126"/>
      <c r="P366" s="126"/>
      <c r="Q366" s="126"/>
      <c r="R366" s="126"/>
      <c r="S366" s="126"/>
      <c r="T366" s="126"/>
      <c r="U366" s="126"/>
      <c r="V366" s="126"/>
      <c r="W366" s="126"/>
      <c r="X366" s="126"/>
      <c r="Y366" s="126"/>
      <c r="Z366" s="126"/>
      <c r="AA366" s="126"/>
      <c r="AB366" s="126"/>
      <c r="AC366" s="126"/>
    </row>
    <row r="367" spans="1:29" ht="15.75" customHeight="1">
      <c r="A367" s="126"/>
      <c r="B367" s="126"/>
      <c r="C367" s="176"/>
      <c r="D367" s="176"/>
      <c r="E367" s="176"/>
      <c r="F367" s="176"/>
      <c r="G367" s="176"/>
      <c r="H367" s="176"/>
      <c r="I367" s="126"/>
      <c r="J367" s="126"/>
      <c r="K367" s="126"/>
      <c r="L367" s="126"/>
      <c r="M367" s="126"/>
      <c r="N367" s="126"/>
      <c r="O367" s="126"/>
      <c r="P367" s="126"/>
      <c r="Q367" s="126"/>
      <c r="R367" s="126"/>
      <c r="S367" s="126"/>
      <c r="T367" s="126"/>
      <c r="U367" s="126"/>
      <c r="V367" s="126"/>
      <c r="W367" s="126"/>
      <c r="X367" s="126"/>
      <c r="Y367" s="126"/>
      <c r="Z367" s="126"/>
      <c r="AA367" s="126"/>
      <c r="AB367" s="126"/>
      <c r="AC367" s="126"/>
    </row>
    <row r="368" spans="1:29" ht="15.75" customHeight="1">
      <c r="A368" s="126"/>
      <c r="B368" s="126"/>
      <c r="C368" s="176"/>
      <c r="D368" s="176"/>
      <c r="E368" s="176"/>
      <c r="F368" s="176"/>
      <c r="G368" s="176"/>
      <c r="H368" s="176"/>
      <c r="I368" s="126"/>
      <c r="J368" s="126"/>
      <c r="K368" s="126"/>
      <c r="L368" s="126"/>
      <c r="M368" s="126"/>
      <c r="N368" s="126"/>
      <c r="O368" s="126"/>
      <c r="P368" s="126"/>
      <c r="Q368" s="126"/>
      <c r="R368" s="126"/>
      <c r="S368" s="126"/>
      <c r="T368" s="126"/>
      <c r="U368" s="126"/>
      <c r="V368" s="126"/>
      <c r="W368" s="126"/>
      <c r="X368" s="126"/>
      <c r="Y368" s="126"/>
      <c r="Z368" s="126"/>
      <c r="AA368" s="126"/>
      <c r="AB368" s="126"/>
      <c r="AC368" s="126"/>
    </row>
    <row r="369" spans="1:29" ht="15.75" customHeight="1">
      <c r="A369" s="126"/>
      <c r="B369" s="126"/>
      <c r="C369" s="176"/>
      <c r="D369" s="176"/>
      <c r="E369" s="176"/>
      <c r="F369" s="176"/>
      <c r="G369" s="176"/>
      <c r="H369" s="176"/>
      <c r="I369" s="126"/>
      <c r="J369" s="126"/>
      <c r="K369" s="126"/>
      <c r="L369" s="126"/>
      <c r="M369" s="126"/>
      <c r="N369" s="126"/>
      <c r="O369" s="126"/>
      <c r="P369" s="126"/>
      <c r="Q369" s="126"/>
      <c r="R369" s="126"/>
      <c r="S369" s="126"/>
      <c r="T369" s="126"/>
      <c r="U369" s="126"/>
      <c r="V369" s="126"/>
      <c r="W369" s="126"/>
      <c r="X369" s="126"/>
      <c r="Y369" s="126"/>
      <c r="Z369" s="126"/>
      <c r="AA369" s="126"/>
      <c r="AB369" s="126"/>
      <c r="AC369" s="126"/>
    </row>
    <row r="370" spans="1:29" ht="15.75" customHeight="1">
      <c r="A370" s="126"/>
      <c r="B370" s="126"/>
      <c r="C370" s="176"/>
      <c r="D370" s="176"/>
      <c r="E370" s="176"/>
      <c r="F370" s="176"/>
      <c r="G370" s="176"/>
      <c r="H370" s="176"/>
      <c r="I370" s="126"/>
      <c r="J370" s="126"/>
      <c r="K370" s="126"/>
      <c r="L370" s="126"/>
      <c r="M370" s="126"/>
      <c r="N370" s="126"/>
      <c r="O370" s="126"/>
      <c r="P370" s="126"/>
      <c r="Q370" s="126"/>
      <c r="R370" s="126"/>
      <c r="S370" s="126"/>
      <c r="T370" s="126"/>
      <c r="U370" s="126"/>
      <c r="V370" s="126"/>
      <c r="W370" s="126"/>
      <c r="X370" s="126"/>
      <c r="Y370" s="126"/>
      <c r="Z370" s="126"/>
      <c r="AA370" s="126"/>
      <c r="AB370" s="126"/>
      <c r="AC370" s="126"/>
    </row>
    <row r="371" spans="1:29" ht="15.75" customHeight="1">
      <c r="A371" s="126"/>
      <c r="B371" s="126"/>
      <c r="C371" s="176"/>
      <c r="D371" s="176"/>
      <c r="E371" s="176"/>
      <c r="F371" s="176"/>
      <c r="G371" s="176"/>
      <c r="H371" s="176"/>
      <c r="I371" s="126"/>
      <c r="J371" s="126"/>
      <c r="K371" s="126"/>
      <c r="L371" s="126"/>
      <c r="M371" s="126"/>
      <c r="N371" s="126"/>
      <c r="O371" s="126"/>
      <c r="P371" s="126"/>
      <c r="Q371" s="126"/>
      <c r="R371" s="126"/>
      <c r="S371" s="126"/>
      <c r="T371" s="126"/>
      <c r="U371" s="126"/>
      <c r="V371" s="126"/>
      <c r="W371" s="126"/>
      <c r="X371" s="126"/>
      <c r="Y371" s="126"/>
      <c r="Z371" s="126"/>
      <c r="AA371" s="126"/>
      <c r="AB371" s="126"/>
      <c r="AC371" s="126"/>
    </row>
    <row r="372" spans="1:29" ht="15.75" customHeight="1">
      <c r="A372" s="126"/>
      <c r="B372" s="126"/>
      <c r="C372" s="176"/>
      <c r="D372" s="176"/>
      <c r="E372" s="176"/>
      <c r="F372" s="176"/>
      <c r="G372" s="176"/>
      <c r="H372" s="176"/>
      <c r="I372" s="126"/>
      <c r="J372" s="126"/>
      <c r="K372" s="126"/>
      <c r="L372" s="126"/>
      <c r="M372" s="126"/>
      <c r="N372" s="126"/>
      <c r="O372" s="126"/>
      <c r="P372" s="126"/>
      <c r="Q372" s="126"/>
      <c r="R372" s="126"/>
      <c r="S372" s="126"/>
      <c r="T372" s="126"/>
      <c r="U372" s="126"/>
      <c r="V372" s="126"/>
      <c r="W372" s="126"/>
      <c r="X372" s="126"/>
      <c r="Y372" s="126"/>
      <c r="Z372" s="126"/>
      <c r="AA372" s="126"/>
      <c r="AB372" s="126"/>
      <c r="AC372" s="126"/>
    </row>
    <row r="373" spans="1:29" ht="15.75" customHeight="1">
      <c r="A373" s="126"/>
      <c r="B373" s="126"/>
      <c r="C373" s="176"/>
      <c r="D373" s="176"/>
      <c r="E373" s="176"/>
      <c r="F373" s="176"/>
      <c r="G373" s="176"/>
      <c r="H373" s="176"/>
      <c r="I373" s="126"/>
      <c r="J373" s="126"/>
      <c r="K373" s="126"/>
      <c r="L373" s="126"/>
      <c r="M373" s="126"/>
      <c r="N373" s="126"/>
      <c r="O373" s="126"/>
      <c r="P373" s="126"/>
      <c r="Q373" s="126"/>
      <c r="R373" s="126"/>
      <c r="S373" s="126"/>
      <c r="T373" s="126"/>
      <c r="U373" s="126"/>
      <c r="V373" s="126"/>
      <c r="W373" s="126"/>
      <c r="X373" s="126"/>
      <c r="Y373" s="126"/>
      <c r="Z373" s="126"/>
      <c r="AA373" s="126"/>
      <c r="AB373" s="126"/>
      <c r="AC373" s="126"/>
    </row>
    <row r="374" spans="1:29" ht="15.75" customHeight="1">
      <c r="A374" s="126"/>
      <c r="B374" s="126"/>
      <c r="C374" s="176"/>
      <c r="D374" s="176"/>
      <c r="E374" s="176"/>
      <c r="F374" s="176"/>
      <c r="G374" s="176"/>
      <c r="H374" s="176"/>
      <c r="I374" s="126"/>
      <c r="J374" s="126"/>
      <c r="K374" s="126"/>
      <c r="L374" s="126"/>
      <c r="M374" s="126"/>
      <c r="N374" s="126"/>
      <c r="O374" s="126"/>
      <c r="P374" s="126"/>
      <c r="Q374" s="126"/>
      <c r="R374" s="126"/>
      <c r="S374" s="126"/>
      <c r="T374" s="126"/>
      <c r="U374" s="126"/>
      <c r="V374" s="126"/>
      <c r="W374" s="126"/>
      <c r="X374" s="126"/>
      <c r="Y374" s="126"/>
      <c r="Z374" s="126"/>
      <c r="AA374" s="126"/>
      <c r="AB374" s="126"/>
      <c r="AC374" s="126"/>
    </row>
    <row r="375" spans="1:29" ht="15.75" customHeight="1">
      <c r="A375" s="126"/>
      <c r="B375" s="126"/>
      <c r="C375" s="176"/>
      <c r="D375" s="176"/>
      <c r="E375" s="176"/>
      <c r="F375" s="176"/>
      <c r="G375" s="176"/>
      <c r="H375" s="176"/>
      <c r="I375" s="126"/>
      <c r="J375" s="126"/>
      <c r="K375" s="126"/>
      <c r="L375" s="126"/>
      <c r="M375" s="126"/>
      <c r="N375" s="126"/>
      <c r="O375" s="126"/>
      <c r="P375" s="126"/>
      <c r="Q375" s="126"/>
      <c r="R375" s="126"/>
      <c r="S375" s="126"/>
      <c r="T375" s="126"/>
      <c r="U375" s="126"/>
      <c r="V375" s="126"/>
      <c r="W375" s="126"/>
      <c r="X375" s="126"/>
      <c r="Y375" s="126"/>
      <c r="Z375" s="126"/>
      <c r="AA375" s="126"/>
      <c r="AB375" s="126"/>
      <c r="AC375" s="126"/>
    </row>
    <row r="376" spans="1:29" ht="15.75" customHeight="1">
      <c r="A376" s="126"/>
      <c r="B376" s="126"/>
      <c r="C376" s="176"/>
      <c r="D376" s="176"/>
      <c r="E376" s="176"/>
      <c r="F376" s="176"/>
      <c r="G376" s="176"/>
      <c r="H376" s="176"/>
      <c r="I376" s="126"/>
      <c r="J376" s="126"/>
      <c r="K376" s="126"/>
      <c r="L376" s="126"/>
      <c r="M376" s="126"/>
      <c r="N376" s="126"/>
      <c r="O376" s="126"/>
      <c r="P376" s="126"/>
      <c r="Q376" s="126"/>
      <c r="R376" s="126"/>
      <c r="S376" s="126"/>
      <c r="T376" s="126"/>
      <c r="U376" s="126"/>
      <c r="V376" s="126"/>
      <c r="W376" s="126"/>
      <c r="X376" s="126"/>
      <c r="Y376" s="126"/>
      <c r="Z376" s="126"/>
      <c r="AA376" s="126"/>
      <c r="AB376" s="126"/>
      <c r="AC376" s="126"/>
    </row>
    <row r="377" spans="1:29" ht="15.75" customHeight="1">
      <c r="A377" s="126"/>
      <c r="B377" s="126"/>
      <c r="C377" s="176"/>
      <c r="D377" s="176"/>
      <c r="E377" s="176"/>
      <c r="F377" s="176"/>
      <c r="G377" s="176"/>
      <c r="H377" s="176"/>
      <c r="I377" s="126"/>
      <c r="J377" s="126"/>
      <c r="K377" s="126"/>
      <c r="L377" s="126"/>
      <c r="M377" s="126"/>
      <c r="N377" s="126"/>
      <c r="O377" s="126"/>
      <c r="P377" s="126"/>
      <c r="Q377" s="126"/>
      <c r="R377" s="126"/>
      <c r="S377" s="126"/>
      <c r="T377" s="126"/>
      <c r="U377" s="126"/>
      <c r="V377" s="126"/>
      <c r="W377" s="126"/>
      <c r="X377" s="126"/>
      <c r="Y377" s="126"/>
      <c r="Z377" s="126"/>
      <c r="AA377" s="126"/>
      <c r="AB377" s="126"/>
      <c r="AC377" s="126"/>
    </row>
    <row r="378" spans="1:29" ht="15.75" customHeight="1">
      <c r="A378" s="126"/>
      <c r="B378" s="126"/>
      <c r="C378" s="176"/>
      <c r="D378" s="176"/>
      <c r="E378" s="176"/>
      <c r="F378" s="176"/>
      <c r="G378" s="176"/>
      <c r="H378" s="176"/>
      <c r="I378" s="126"/>
      <c r="J378" s="126"/>
      <c r="K378" s="126"/>
      <c r="L378" s="126"/>
      <c r="M378" s="126"/>
      <c r="N378" s="126"/>
      <c r="O378" s="126"/>
      <c r="P378" s="126"/>
      <c r="Q378" s="126"/>
      <c r="R378" s="126"/>
      <c r="S378" s="126"/>
      <c r="T378" s="126"/>
      <c r="U378" s="126"/>
      <c r="V378" s="126"/>
      <c r="W378" s="126"/>
      <c r="X378" s="126"/>
      <c r="Y378" s="126"/>
      <c r="Z378" s="126"/>
      <c r="AA378" s="126"/>
      <c r="AB378" s="126"/>
      <c r="AC378" s="126"/>
    </row>
    <row r="379" spans="1:29" ht="15.75" customHeight="1">
      <c r="A379" s="126"/>
      <c r="B379" s="126"/>
      <c r="C379" s="176"/>
      <c r="D379" s="176"/>
      <c r="E379" s="176"/>
      <c r="F379" s="176"/>
      <c r="G379" s="176"/>
      <c r="H379" s="176"/>
      <c r="I379" s="126"/>
      <c r="J379" s="126"/>
      <c r="K379" s="126"/>
      <c r="L379" s="126"/>
      <c r="M379" s="126"/>
      <c r="N379" s="126"/>
      <c r="O379" s="126"/>
      <c r="P379" s="126"/>
      <c r="Q379" s="126"/>
      <c r="R379" s="126"/>
      <c r="S379" s="126"/>
      <c r="T379" s="126"/>
      <c r="U379" s="126"/>
      <c r="V379" s="126"/>
      <c r="W379" s="126"/>
      <c r="X379" s="126"/>
      <c r="Y379" s="126"/>
      <c r="Z379" s="126"/>
      <c r="AA379" s="126"/>
      <c r="AB379" s="126"/>
      <c r="AC379" s="126"/>
    </row>
    <row r="380" spans="1:29" ht="15.75" customHeight="1">
      <c r="A380" s="126"/>
      <c r="B380" s="126"/>
      <c r="C380" s="176"/>
      <c r="D380" s="176"/>
      <c r="E380" s="176"/>
      <c r="F380" s="176"/>
      <c r="G380" s="176"/>
      <c r="H380" s="176"/>
      <c r="I380" s="126"/>
      <c r="J380" s="126"/>
      <c r="K380" s="126"/>
      <c r="L380" s="126"/>
      <c r="M380" s="126"/>
      <c r="N380" s="126"/>
      <c r="O380" s="126"/>
      <c r="P380" s="126"/>
      <c r="Q380" s="126"/>
      <c r="R380" s="126"/>
      <c r="S380" s="126"/>
      <c r="T380" s="126"/>
      <c r="U380" s="126"/>
      <c r="V380" s="126"/>
      <c r="W380" s="126"/>
      <c r="X380" s="126"/>
      <c r="Y380" s="126"/>
      <c r="Z380" s="126"/>
      <c r="AA380" s="126"/>
      <c r="AB380" s="126"/>
      <c r="AC380" s="126"/>
    </row>
    <row r="381" spans="1:29" ht="15.75" customHeight="1">
      <c r="A381" s="126"/>
      <c r="B381" s="126"/>
      <c r="C381" s="176"/>
      <c r="D381" s="176"/>
      <c r="E381" s="176"/>
      <c r="F381" s="176"/>
      <c r="G381" s="176"/>
      <c r="H381" s="176"/>
      <c r="I381" s="126"/>
      <c r="J381" s="126"/>
      <c r="K381" s="126"/>
      <c r="L381" s="126"/>
      <c r="M381" s="126"/>
      <c r="N381" s="126"/>
      <c r="O381" s="126"/>
      <c r="P381" s="126"/>
      <c r="Q381" s="126"/>
      <c r="R381" s="126"/>
      <c r="S381" s="126"/>
      <c r="T381" s="126"/>
      <c r="U381" s="126"/>
      <c r="V381" s="126"/>
      <c r="W381" s="126"/>
      <c r="X381" s="126"/>
      <c r="Y381" s="126"/>
      <c r="Z381" s="126"/>
      <c r="AA381" s="126"/>
      <c r="AB381" s="126"/>
      <c r="AC381" s="126"/>
    </row>
    <row r="382" spans="1:29" ht="15.75" customHeight="1">
      <c r="A382" s="126"/>
      <c r="B382" s="126"/>
      <c r="C382" s="176"/>
      <c r="D382" s="176"/>
      <c r="E382" s="176"/>
      <c r="F382" s="176"/>
      <c r="G382" s="176"/>
      <c r="H382" s="176"/>
      <c r="I382" s="126"/>
      <c r="J382" s="126"/>
      <c r="K382" s="126"/>
      <c r="L382" s="126"/>
      <c r="M382" s="126"/>
      <c r="N382" s="126"/>
      <c r="O382" s="126"/>
      <c r="P382" s="126"/>
      <c r="Q382" s="126"/>
      <c r="R382" s="126"/>
      <c r="S382" s="126"/>
      <c r="T382" s="126"/>
      <c r="U382" s="126"/>
      <c r="V382" s="126"/>
      <c r="W382" s="126"/>
      <c r="X382" s="126"/>
      <c r="Y382" s="126"/>
      <c r="Z382" s="126"/>
      <c r="AA382" s="126"/>
      <c r="AB382" s="126"/>
      <c r="AC382" s="126"/>
    </row>
    <row r="383" spans="1:29" ht="15.75" customHeight="1">
      <c r="A383" s="126"/>
      <c r="B383" s="126"/>
      <c r="C383" s="176"/>
      <c r="D383" s="176"/>
      <c r="E383" s="176"/>
      <c r="F383" s="176"/>
      <c r="G383" s="176"/>
      <c r="H383" s="176"/>
      <c r="I383" s="126"/>
      <c r="J383" s="126"/>
      <c r="K383" s="126"/>
      <c r="L383" s="126"/>
      <c r="M383" s="126"/>
      <c r="N383" s="126"/>
      <c r="O383" s="126"/>
      <c r="P383" s="126"/>
      <c r="Q383" s="126"/>
      <c r="R383" s="126"/>
      <c r="S383" s="126"/>
      <c r="T383" s="126"/>
      <c r="U383" s="126"/>
      <c r="V383" s="126"/>
      <c r="W383" s="126"/>
      <c r="X383" s="126"/>
      <c r="Y383" s="126"/>
      <c r="Z383" s="126"/>
      <c r="AA383" s="126"/>
      <c r="AB383" s="126"/>
      <c r="AC383" s="126"/>
    </row>
    <row r="384" spans="1:29" ht="15.75" customHeight="1">
      <c r="A384" s="126"/>
      <c r="B384" s="126"/>
      <c r="C384" s="176"/>
      <c r="D384" s="176"/>
      <c r="E384" s="176"/>
      <c r="F384" s="176"/>
      <c r="G384" s="176"/>
      <c r="H384" s="176"/>
      <c r="I384" s="126"/>
      <c r="J384" s="126"/>
      <c r="K384" s="126"/>
      <c r="L384" s="126"/>
      <c r="M384" s="126"/>
      <c r="N384" s="126"/>
      <c r="O384" s="126"/>
      <c r="P384" s="126"/>
      <c r="Q384" s="126"/>
      <c r="R384" s="126"/>
      <c r="S384" s="126"/>
      <c r="T384" s="126"/>
      <c r="U384" s="126"/>
      <c r="V384" s="126"/>
      <c r="W384" s="126"/>
      <c r="X384" s="126"/>
      <c r="Y384" s="126"/>
      <c r="Z384" s="126"/>
      <c r="AA384" s="126"/>
      <c r="AB384" s="126"/>
      <c r="AC384" s="126"/>
    </row>
    <row r="385" spans="1:29" ht="15.75" customHeight="1">
      <c r="A385" s="126"/>
      <c r="B385" s="126"/>
      <c r="C385" s="176"/>
      <c r="D385" s="176"/>
      <c r="E385" s="176"/>
      <c r="F385" s="176"/>
      <c r="G385" s="176"/>
      <c r="H385" s="176"/>
      <c r="I385" s="126"/>
      <c r="J385" s="126"/>
      <c r="K385" s="126"/>
      <c r="L385" s="126"/>
      <c r="M385" s="126"/>
      <c r="N385" s="126"/>
      <c r="O385" s="126"/>
      <c r="P385" s="126"/>
      <c r="Q385" s="126"/>
      <c r="R385" s="126"/>
      <c r="S385" s="126"/>
      <c r="T385" s="126"/>
      <c r="U385" s="126"/>
      <c r="V385" s="126"/>
      <c r="W385" s="126"/>
      <c r="X385" s="126"/>
      <c r="Y385" s="126"/>
      <c r="Z385" s="126"/>
      <c r="AA385" s="126"/>
      <c r="AB385" s="126"/>
      <c r="AC385" s="126"/>
    </row>
    <row r="386" spans="1:29" ht="15.75" customHeight="1">
      <c r="A386" s="126"/>
      <c r="B386" s="126"/>
      <c r="C386" s="176"/>
      <c r="D386" s="176"/>
      <c r="E386" s="176"/>
      <c r="F386" s="176"/>
      <c r="G386" s="176"/>
      <c r="H386" s="176"/>
      <c r="I386" s="126"/>
      <c r="J386" s="126"/>
      <c r="K386" s="126"/>
      <c r="L386" s="126"/>
      <c r="M386" s="126"/>
      <c r="N386" s="126"/>
      <c r="O386" s="126"/>
      <c r="P386" s="126"/>
      <c r="Q386" s="126"/>
      <c r="R386" s="126"/>
      <c r="S386" s="126"/>
      <c r="T386" s="126"/>
      <c r="U386" s="126"/>
      <c r="V386" s="126"/>
      <c r="W386" s="126"/>
      <c r="X386" s="126"/>
      <c r="Y386" s="126"/>
      <c r="Z386" s="126"/>
      <c r="AA386" s="126"/>
      <c r="AB386" s="126"/>
      <c r="AC386" s="126"/>
    </row>
    <row r="387" spans="1:29" ht="15.75" customHeight="1">
      <c r="A387" s="126"/>
      <c r="B387" s="126"/>
      <c r="C387" s="176"/>
      <c r="D387" s="176"/>
      <c r="E387" s="176"/>
      <c r="F387" s="176"/>
      <c r="G387" s="176"/>
      <c r="H387" s="176"/>
      <c r="I387" s="126"/>
      <c r="J387" s="126"/>
      <c r="K387" s="126"/>
      <c r="L387" s="126"/>
      <c r="M387" s="126"/>
      <c r="N387" s="126"/>
      <c r="O387" s="126"/>
      <c r="P387" s="126"/>
      <c r="Q387" s="126"/>
      <c r="R387" s="126"/>
      <c r="S387" s="126"/>
      <c r="T387" s="126"/>
      <c r="U387" s="126"/>
      <c r="V387" s="126"/>
      <c r="W387" s="126"/>
      <c r="X387" s="126"/>
      <c r="Y387" s="126"/>
      <c r="Z387" s="126"/>
      <c r="AA387" s="126"/>
      <c r="AB387" s="126"/>
      <c r="AC387" s="126"/>
    </row>
    <row r="388" spans="1:29" ht="15.75" customHeight="1">
      <c r="A388" s="126"/>
      <c r="B388" s="126"/>
      <c r="C388" s="176"/>
      <c r="D388" s="176"/>
      <c r="E388" s="176"/>
      <c r="F388" s="176"/>
      <c r="G388" s="176"/>
      <c r="H388" s="176"/>
      <c r="I388" s="126"/>
      <c r="J388" s="126"/>
      <c r="K388" s="126"/>
      <c r="L388" s="126"/>
      <c r="M388" s="126"/>
      <c r="N388" s="126"/>
      <c r="O388" s="126"/>
      <c r="P388" s="126"/>
      <c r="Q388" s="126"/>
      <c r="R388" s="126"/>
      <c r="S388" s="126"/>
      <c r="T388" s="126"/>
      <c r="U388" s="126"/>
      <c r="V388" s="126"/>
      <c r="W388" s="126"/>
      <c r="X388" s="126"/>
      <c r="Y388" s="126"/>
      <c r="Z388" s="126"/>
      <c r="AA388" s="126"/>
      <c r="AB388" s="126"/>
      <c r="AC388" s="126"/>
    </row>
    <row r="389" spans="1:29" ht="15.75" customHeight="1">
      <c r="A389" s="126"/>
      <c r="B389" s="126"/>
      <c r="C389" s="176"/>
      <c r="D389" s="176"/>
      <c r="E389" s="176"/>
      <c r="F389" s="176"/>
      <c r="G389" s="176"/>
      <c r="H389" s="176"/>
      <c r="I389" s="126"/>
      <c r="J389" s="126"/>
      <c r="K389" s="126"/>
      <c r="L389" s="126"/>
      <c r="M389" s="126"/>
      <c r="N389" s="126"/>
      <c r="O389" s="126"/>
      <c r="P389" s="126"/>
      <c r="Q389" s="126"/>
      <c r="R389" s="126"/>
      <c r="S389" s="126"/>
      <c r="T389" s="126"/>
      <c r="U389" s="126"/>
      <c r="V389" s="126"/>
      <c r="W389" s="126"/>
      <c r="X389" s="126"/>
      <c r="Y389" s="126"/>
      <c r="Z389" s="126"/>
      <c r="AA389" s="126"/>
      <c r="AB389" s="126"/>
      <c r="AC389" s="126"/>
    </row>
    <row r="390" spans="1:29" ht="15.75" customHeight="1">
      <c r="A390" s="126"/>
      <c r="B390" s="126"/>
      <c r="C390" s="176"/>
      <c r="D390" s="176"/>
      <c r="E390" s="176"/>
      <c r="F390" s="176"/>
      <c r="G390" s="176"/>
      <c r="H390" s="176"/>
      <c r="I390" s="126"/>
      <c r="J390" s="126"/>
      <c r="K390" s="126"/>
      <c r="L390" s="126"/>
      <c r="M390" s="126"/>
      <c r="N390" s="126"/>
      <c r="O390" s="126"/>
      <c r="P390" s="126"/>
      <c r="Q390" s="126"/>
      <c r="R390" s="126"/>
      <c r="S390" s="126"/>
      <c r="T390" s="126"/>
      <c r="U390" s="126"/>
      <c r="V390" s="126"/>
      <c r="W390" s="126"/>
      <c r="X390" s="126"/>
      <c r="Y390" s="126"/>
      <c r="Z390" s="126"/>
      <c r="AA390" s="126"/>
      <c r="AB390" s="126"/>
      <c r="AC390" s="126"/>
    </row>
    <row r="391" spans="1:29" ht="15.75" customHeight="1">
      <c r="A391" s="126"/>
      <c r="B391" s="126"/>
      <c r="C391" s="176"/>
      <c r="D391" s="176"/>
      <c r="E391" s="176"/>
      <c r="F391" s="176"/>
      <c r="G391" s="176"/>
      <c r="H391" s="176"/>
      <c r="I391" s="126"/>
      <c r="J391" s="126"/>
      <c r="K391" s="126"/>
      <c r="L391" s="126"/>
      <c r="M391" s="126"/>
      <c r="N391" s="126"/>
      <c r="O391" s="126"/>
      <c r="P391" s="126"/>
      <c r="Q391" s="126"/>
      <c r="R391" s="126"/>
      <c r="S391" s="126"/>
      <c r="T391" s="126"/>
      <c r="U391" s="126"/>
      <c r="V391" s="126"/>
      <c r="W391" s="126"/>
      <c r="X391" s="126"/>
      <c r="Y391" s="126"/>
      <c r="Z391" s="126"/>
      <c r="AA391" s="126"/>
      <c r="AB391" s="126"/>
      <c r="AC391" s="126"/>
    </row>
    <row r="392" spans="1:29" ht="15.75" customHeight="1">
      <c r="A392" s="126"/>
      <c r="B392" s="126"/>
      <c r="C392" s="176"/>
      <c r="D392" s="176"/>
      <c r="E392" s="176"/>
      <c r="F392" s="176"/>
      <c r="G392" s="176"/>
      <c r="H392" s="176"/>
      <c r="I392" s="126"/>
      <c r="J392" s="126"/>
      <c r="K392" s="126"/>
      <c r="L392" s="126"/>
      <c r="M392" s="126"/>
      <c r="N392" s="126"/>
      <c r="O392" s="126"/>
      <c r="P392" s="126"/>
      <c r="Q392" s="126"/>
      <c r="R392" s="126"/>
      <c r="S392" s="126"/>
      <c r="T392" s="126"/>
      <c r="U392" s="126"/>
      <c r="V392" s="126"/>
      <c r="W392" s="126"/>
      <c r="X392" s="126"/>
      <c r="Y392" s="126"/>
      <c r="Z392" s="126"/>
      <c r="AA392" s="126"/>
      <c r="AB392" s="126"/>
      <c r="AC392" s="126"/>
    </row>
    <row r="393" spans="1:29" ht="15.75" customHeight="1">
      <c r="A393" s="126"/>
      <c r="B393" s="126"/>
      <c r="C393" s="176"/>
      <c r="D393" s="176"/>
      <c r="E393" s="176"/>
      <c r="F393" s="176"/>
      <c r="G393" s="176"/>
      <c r="H393" s="176"/>
      <c r="I393" s="126"/>
      <c r="J393" s="126"/>
      <c r="K393" s="126"/>
      <c r="L393" s="126"/>
      <c r="M393" s="126"/>
      <c r="N393" s="126"/>
      <c r="O393" s="126"/>
      <c r="P393" s="126"/>
      <c r="Q393" s="126"/>
      <c r="R393" s="126"/>
      <c r="S393" s="126"/>
      <c r="T393" s="126"/>
      <c r="U393" s="126"/>
      <c r="V393" s="126"/>
      <c r="W393" s="126"/>
      <c r="X393" s="126"/>
      <c r="Y393" s="126"/>
      <c r="Z393" s="126"/>
      <c r="AA393" s="126"/>
      <c r="AB393" s="126"/>
      <c r="AC393" s="126"/>
    </row>
    <row r="394" spans="1:29" ht="15.75" customHeight="1">
      <c r="A394" s="126"/>
      <c r="B394" s="126"/>
      <c r="C394" s="176"/>
      <c r="D394" s="176"/>
      <c r="E394" s="176"/>
      <c r="F394" s="176"/>
      <c r="G394" s="176"/>
      <c r="H394" s="176"/>
      <c r="I394" s="126"/>
      <c r="J394" s="126"/>
      <c r="K394" s="126"/>
      <c r="L394" s="126"/>
      <c r="M394" s="126"/>
      <c r="N394" s="126"/>
      <c r="O394" s="126"/>
      <c r="P394" s="126"/>
      <c r="Q394" s="126"/>
      <c r="R394" s="126"/>
      <c r="S394" s="126"/>
      <c r="T394" s="126"/>
      <c r="U394" s="126"/>
      <c r="V394" s="126"/>
      <c r="W394" s="126"/>
      <c r="X394" s="126"/>
      <c r="Y394" s="126"/>
      <c r="Z394" s="126"/>
      <c r="AA394" s="126"/>
      <c r="AB394" s="126"/>
      <c r="AC394" s="126"/>
    </row>
    <row r="395" spans="1:29" ht="15.75" customHeight="1">
      <c r="A395" s="126"/>
      <c r="B395" s="126"/>
      <c r="C395" s="176"/>
      <c r="D395" s="176"/>
      <c r="E395" s="176"/>
      <c r="F395" s="176"/>
      <c r="G395" s="176"/>
      <c r="H395" s="176"/>
      <c r="I395" s="126"/>
      <c r="J395" s="126"/>
      <c r="K395" s="126"/>
      <c r="L395" s="126"/>
      <c r="M395" s="126"/>
      <c r="N395" s="126"/>
      <c r="O395" s="126"/>
      <c r="P395" s="126"/>
      <c r="Q395" s="126"/>
      <c r="R395" s="126"/>
      <c r="S395" s="126"/>
      <c r="T395" s="126"/>
      <c r="U395" s="126"/>
      <c r="V395" s="126"/>
      <c r="W395" s="126"/>
      <c r="X395" s="126"/>
      <c r="Y395" s="126"/>
      <c r="Z395" s="126"/>
      <c r="AA395" s="126"/>
      <c r="AB395" s="126"/>
      <c r="AC395" s="126"/>
    </row>
    <row r="396" spans="1:29" ht="15.75" customHeight="1">
      <c r="A396" s="126"/>
      <c r="B396" s="126"/>
      <c r="C396" s="176"/>
      <c r="D396" s="176"/>
      <c r="E396" s="176"/>
      <c r="F396" s="176"/>
      <c r="G396" s="176"/>
      <c r="H396" s="176"/>
      <c r="I396" s="126"/>
      <c r="J396" s="126"/>
      <c r="K396" s="126"/>
      <c r="L396" s="126"/>
      <c r="M396" s="126"/>
      <c r="N396" s="126"/>
      <c r="O396" s="126"/>
      <c r="P396" s="126"/>
      <c r="Q396" s="126"/>
      <c r="R396" s="126"/>
      <c r="S396" s="126"/>
      <c r="T396" s="126"/>
      <c r="U396" s="126"/>
      <c r="V396" s="126"/>
      <c r="W396" s="126"/>
      <c r="X396" s="126"/>
      <c r="Y396" s="126"/>
      <c r="Z396" s="126"/>
      <c r="AA396" s="126"/>
      <c r="AB396" s="126"/>
      <c r="AC396" s="126"/>
    </row>
    <row r="397" spans="1:29" ht="15.75" customHeight="1">
      <c r="A397" s="126"/>
      <c r="B397" s="126"/>
      <c r="C397" s="176"/>
      <c r="D397" s="176"/>
      <c r="E397" s="176"/>
      <c r="F397" s="176"/>
      <c r="G397" s="176"/>
      <c r="H397" s="176"/>
      <c r="I397" s="126"/>
      <c r="J397" s="126"/>
      <c r="K397" s="126"/>
      <c r="L397" s="126"/>
      <c r="M397" s="126"/>
      <c r="N397" s="126"/>
      <c r="O397" s="126"/>
      <c r="P397" s="126"/>
      <c r="Q397" s="126"/>
      <c r="R397" s="126"/>
      <c r="S397" s="126"/>
      <c r="T397" s="126"/>
      <c r="U397" s="126"/>
      <c r="V397" s="126"/>
      <c r="W397" s="126"/>
      <c r="X397" s="126"/>
      <c r="Y397" s="126"/>
      <c r="Z397" s="126"/>
      <c r="AA397" s="126"/>
      <c r="AB397" s="126"/>
      <c r="AC397" s="126"/>
    </row>
    <row r="398" spans="1:29" ht="15.75" customHeight="1">
      <c r="A398" s="126"/>
      <c r="B398" s="126"/>
      <c r="C398" s="176"/>
      <c r="D398" s="176"/>
      <c r="E398" s="176"/>
      <c r="F398" s="176"/>
      <c r="G398" s="176"/>
      <c r="H398" s="176"/>
      <c r="I398" s="126"/>
      <c r="J398" s="126"/>
      <c r="K398" s="126"/>
      <c r="L398" s="126"/>
      <c r="M398" s="126"/>
      <c r="N398" s="126"/>
      <c r="O398" s="126"/>
      <c r="P398" s="126"/>
      <c r="Q398" s="126"/>
      <c r="R398" s="126"/>
      <c r="S398" s="126"/>
      <c r="T398" s="126"/>
      <c r="U398" s="126"/>
      <c r="V398" s="126"/>
      <c r="W398" s="126"/>
      <c r="X398" s="126"/>
      <c r="Y398" s="126"/>
      <c r="Z398" s="126"/>
      <c r="AA398" s="126"/>
      <c r="AB398" s="126"/>
      <c r="AC398" s="126"/>
    </row>
    <row r="399" spans="1:29" ht="15.75" customHeight="1">
      <c r="A399" s="126"/>
      <c r="B399" s="126"/>
      <c r="C399" s="176"/>
      <c r="D399" s="176"/>
      <c r="E399" s="176"/>
      <c r="F399" s="176"/>
      <c r="G399" s="176"/>
      <c r="H399" s="176"/>
      <c r="I399" s="126"/>
      <c r="J399" s="126"/>
      <c r="K399" s="126"/>
      <c r="L399" s="126"/>
      <c r="M399" s="126"/>
      <c r="N399" s="126"/>
      <c r="O399" s="126"/>
      <c r="P399" s="126"/>
      <c r="Q399" s="126"/>
      <c r="R399" s="126"/>
      <c r="S399" s="126"/>
      <c r="T399" s="126"/>
      <c r="U399" s="126"/>
      <c r="V399" s="126"/>
      <c r="W399" s="126"/>
      <c r="X399" s="126"/>
      <c r="Y399" s="126"/>
      <c r="Z399" s="126"/>
      <c r="AA399" s="126"/>
      <c r="AB399" s="126"/>
      <c r="AC399" s="126"/>
    </row>
    <row r="400" spans="1:29" ht="15.75" customHeight="1">
      <c r="A400" s="126"/>
      <c r="B400" s="126"/>
      <c r="C400" s="176"/>
      <c r="D400" s="176"/>
      <c r="E400" s="176"/>
      <c r="F400" s="176"/>
      <c r="G400" s="176"/>
      <c r="H400" s="176"/>
      <c r="I400" s="126"/>
      <c r="J400" s="126"/>
      <c r="K400" s="126"/>
      <c r="L400" s="126"/>
      <c r="M400" s="126"/>
      <c r="N400" s="126"/>
      <c r="O400" s="126"/>
      <c r="P400" s="126"/>
      <c r="Q400" s="126"/>
      <c r="R400" s="126"/>
      <c r="S400" s="126"/>
      <c r="T400" s="126"/>
      <c r="U400" s="126"/>
      <c r="V400" s="126"/>
      <c r="W400" s="126"/>
      <c r="X400" s="126"/>
      <c r="Y400" s="126"/>
      <c r="Z400" s="126"/>
      <c r="AA400" s="126"/>
      <c r="AB400" s="126"/>
      <c r="AC400" s="126"/>
    </row>
    <row r="401" spans="1:29" ht="15.75" customHeight="1">
      <c r="A401" s="126"/>
      <c r="B401" s="126"/>
      <c r="C401" s="176"/>
      <c r="D401" s="176"/>
      <c r="E401" s="176"/>
      <c r="F401" s="176"/>
      <c r="G401" s="176"/>
      <c r="H401" s="176"/>
      <c r="I401" s="126"/>
      <c r="J401" s="126"/>
      <c r="K401" s="126"/>
      <c r="L401" s="126"/>
      <c r="M401" s="126"/>
      <c r="N401" s="126"/>
      <c r="O401" s="126"/>
      <c r="P401" s="126"/>
      <c r="Q401" s="126"/>
      <c r="R401" s="126"/>
      <c r="S401" s="126"/>
      <c r="T401" s="126"/>
      <c r="U401" s="126"/>
      <c r="V401" s="126"/>
      <c r="W401" s="126"/>
      <c r="X401" s="126"/>
      <c r="Y401" s="126"/>
      <c r="Z401" s="126"/>
      <c r="AA401" s="126"/>
      <c r="AB401" s="126"/>
      <c r="AC401" s="126"/>
    </row>
    <row r="402" spans="1:29" ht="15.75" customHeight="1">
      <c r="A402" s="126"/>
      <c r="B402" s="126"/>
      <c r="C402" s="176"/>
      <c r="D402" s="176"/>
      <c r="E402" s="176"/>
      <c r="F402" s="176"/>
      <c r="G402" s="176"/>
      <c r="H402" s="176"/>
      <c r="I402" s="126"/>
      <c r="J402" s="126"/>
      <c r="K402" s="126"/>
      <c r="L402" s="126"/>
      <c r="M402" s="126"/>
      <c r="N402" s="126"/>
      <c r="O402" s="126"/>
      <c r="P402" s="126"/>
      <c r="Q402" s="126"/>
      <c r="R402" s="126"/>
      <c r="S402" s="126"/>
      <c r="T402" s="126"/>
      <c r="U402" s="126"/>
      <c r="V402" s="126"/>
      <c r="W402" s="126"/>
      <c r="X402" s="126"/>
      <c r="Y402" s="126"/>
      <c r="Z402" s="126"/>
      <c r="AA402" s="126"/>
      <c r="AB402" s="126"/>
      <c r="AC402" s="126"/>
    </row>
    <row r="403" spans="1:29" ht="15.75" customHeight="1">
      <c r="A403" s="126"/>
      <c r="B403" s="126"/>
      <c r="C403" s="176"/>
      <c r="D403" s="176"/>
      <c r="E403" s="176"/>
      <c r="F403" s="176"/>
      <c r="G403" s="176"/>
      <c r="H403" s="176"/>
      <c r="I403" s="126"/>
      <c r="J403" s="126"/>
      <c r="K403" s="126"/>
      <c r="L403" s="126"/>
      <c r="M403" s="126"/>
      <c r="N403" s="126"/>
      <c r="O403" s="126"/>
      <c r="P403" s="126"/>
      <c r="Q403" s="126"/>
      <c r="R403" s="126"/>
      <c r="S403" s="126"/>
      <c r="T403" s="126"/>
      <c r="U403" s="126"/>
      <c r="V403" s="126"/>
      <c r="W403" s="126"/>
      <c r="X403" s="126"/>
      <c r="Y403" s="126"/>
      <c r="Z403" s="126"/>
      <c r="AA403" s="126"/>
      <c r="AB403" s="126"/>
      <c r="AC403" s="126"/>
    </row>
    <row r="404" spans="1:29" ht="15.75" customHeight="1">
      <c r="A404" s="126"/>
      <c r="B404" s="126"/>
      <c r="C404" s="176"/>
      <c r="D404" s="176"/>
      <c r="E404" s="176"/>
      <c r="F404" s="176"/>
      <c r="G404" s="176"/>
      <c r="H404" s="176"/>
      <c r="I404" s="126"/>
      <c r="J404" s="126"/>
      <c r="K404" s="126"/>
      <c r="L404" s="126"/>
      <c r="M404" s="126"/>
      <c r="N404" s="126"/>
      <c r="O404" s="126"/>
      <c r="P404" s="126"/>
      <c r="Q404" s="126"/>
      <c r="R404" s="126"/>
      <c r="S404" s="126"/>
      <c r="T404" s="126"/>
      <c r="U404" s="126"/>
      <c r="V404" s="126"/>
      <c r="W404" s="126"/>
      <c r="X404" s="126"/>
      <c r="Y404" s="126"/>
      <c r="Z404" s="126"/>
      <c r="AA404" s="126"/>
      <c r="AB404" s="126"/>
      <c r="AC404" s="126"/>
    </row>
    <row r="405" spans="1:29" ht="15.75" customHeight="1">
      <c r="A405" s="126"/>
      <c r="B405" s="126"/>
      <c r="C405" s="176"/>
      <c r="D405" s="176"/>
      <c r="E405" s="176"/>
      <c r="F405" s="176"/>
      <c r="G405" s="176"/>
      <c r="H405" s="176"/>
      <c r="I405" s="126"/>
      <c r="J405" s="126"/>
      <c r="K405" s="126"/>
      <c r="L405" s="126"/>
      <c r="M405" s="126"/>
      <c r="N405" s="126"/>
      <c r="O405" s="126"/>
      <c r="P405" s="126"/>
      <c r="Q405" s="126"/>
      <c r="R405" s="126"/>
      <c r="S405" s="126"/>
      <c r="T405" s="126"/>
      <c r="U405" s="126"/>
      <c r="V405" s="126"/>
      <c r="W405" s="126"/>
      <c r="X405" s="126"/>
      <c r="Y405" s="126"/>
      <c r="Z405" s="126"/>
      <c r="AA405" s="126"/>
      <c r="AB405" s="126"/>
      <c r="AC405" s="126"/>
    </row>
    <row r="406" spans="1:29" ht="15.75" customHeight="1">
      <c r="A406" s="126"/>
      <c r="B406" s="126"/>
      <c r="C406" s="176"/>
      <c r="D406" s="176"/>
      <c r="E406" s="176"/>
      <c r="F406" s="176"/>
      <c r="G406" s="176"/>
      <c r="H406" s="176"/>
      <c r="I406" s="126"/>
      <c r="J406" s="126"/>
      <c r="K406" s="126"/>
      <c r="L406" s="126"/>
      <c r="M406" s="126"/>
      <c r="N406" s="126"/>
      <c r="O406" s="126"/>
      <c r="P406" s="126"/>
      <c r="Q406" s="126"/>
      <c r="R406" s="126"/>
      <c r="S406" s="126"/>
      <c r="T406" s="126"/>
      <c r="U406" s="126"/>
      <c r="V406" s="126"/>
      <c r="W406" s="126"/>
      <c r="X406" s="126"/>
      <c r="Y406" s="126"/>
      <c r="Z406" s="126"/>
      <c r="AA406" s="126"/>
      <c r="AB406" s="126"/>
      <c r="AC406" s="126"/>
    </row>
    <row r="407" spans="1:29" ht="15.75" customHeight="1">
      <c r="A407" s="126"/>
      <c r="B407" s="126"/>
      <c r="C407" s="176"/>
      <c r="D407" s="176"/>
      <c r="E407" s="176"/>
      <c r="F407" s="176"/>
      <c r="G407" s="176"/>
      <c r="H407" s="176"/>
      <c r="I407" s="126"/>
      <c r="J407" s="126"/>
      <c r="K407" s="126"/>
      <c r="L407" s="126"/>
      <c r="M407" s="126"/>
      <c r="N407" s="126"/>
      <c r="O407" s="126"/>
      <c r="P407" s="126"/>
      <c r="Q407" s="126"/>
      <c r="R407" s="126"/>
      <c r="S407" s="126"/>
      <c r="T407" s="126"/>
      <c r="U407" s="126"/>
      <c r="V407" s="126"/>
      <c r="W407" s="126"/>
      <c r="X407" s="126"/>
      <c r="Y407" s="126"/>
      <c r="Z407" s="126"/>
      <c r="AA407" s="126"/>
      <c r="AB407" s="126"/>
      <c r="AC407" s="126"/>
    </row>
    <row r="408" spans="1:29" ht="15.75" customHeight="1">
      <c r="A408" s="126"/>
      <c r="B408" s="126"/>
      <c r="C408" s="176"/>
      <c r="D408" s="176"/>
      <c r="E408" s="176"/>
      <c r="F408" s="176"/>
      <c r="G408" s="176"/>
      <c r="H408" s="176"/>
      <c r="I408" s="126"/>
      <c r="J408" s="126"/>
      <c r="K408" s="126"/>
      <c r="L408" s="126"/>
      <c r="M408" s="126"/>
      <c r="N408" s="126"/>
      <c r="O408" s="126"/>
      <c r="P408" s="126"/>
      <c r="Q408" s="126"/>
      <c r="R408" s="126"/>
      <c r="S408" s="126"/>
      <c r="T408" s="126"/>
      <c r="U408" s="126"/>
      <c r="V408" s="126"/>
      <c r="W408" s="126"/>
      <c r="X408" s="126"/>
      <c r="Y408" s="126"/>
      <c r="Z408" s="126"/>
      <c r="AA408" s="126"/>
      <c r="AB408" s="126"/>
      <c r="AC408" s="126"/>
    </row>
    <row r="409" spans="1:29" ht="15.75" customHeight="1">
      <c r="A409" s="126"/>
      <c r="B409" s="126"/>
      <c r="C409" s="176"/>
      <c r="D409" s="176"/>
      <c r="E409" s="176"/>
      <c r="F409" s="176"/>
      <c r="G409" s="176"/>
      <c r="H409" s="176"/>
      <c r="I409" s="126"/>
      <c r="J409" s="126"/>
      <c r="K409" s="126"/>
      <c r="L409" s="126"/>
      <c r="M409" s="126"/>
      <c r="N409" s="126"/>
      <c r="O409" s="126"/>
      <c r="P409" s="126"/>
      <c r="Q409" s="126"/>
      <c r="R409" s="126"/>
      <c r="S409" s="126"/>
      <c r="T409" s="126"/>
      <c r="U409" s="126"/>
      <c r="V409" s="126"/>
      <c r="W409" s="126"/>
      <c r="X409" s="126"/>
      <c r="Y409" s="126"/>
      <c r="Z409" s="126"/>
      <c r="AA409" s="126"/>
      <c r="AB409" s="126"/>
      <c r="AC409" s="126"/>
    </row>
    <row r="410" spans="1:29" ht="15.75" customHeight="1">
      <c r="A410" s="126"/>
      <c r="B410" s="126"/>
      <c r="C410" s="176"/>
      <c r="D410" s="176"/>
      <c r="E410" s="176"/>
      <c r="F410" s="176"/>
      <c r="G410" s="176"/>
      <c r="H410" s="176"/>
      <c r="I410" s="126"/>
      <c r="J410" s="126"/>
      <c r="K410" s="126"/>
      <c r="L410" s="126"/>
      <c r="M410" s="126"/>
      <c r="N410" s="126"/>
      <c r="O410" s="126"/>
      <c r="P410" s="126"/>
      <c r="Q410" s="126"/>
      <c r="R410" s="126"/>
      <c r="S410" s="126"/>
      <c r="T410" s="126"/>
      <c r="U410" s="126"/>
      <c r="V410" s="126"/>
      <c r="W410" s="126"/>
      <c r="X410" s="126"/>
      <c r="Y410" s="126"/>
      <c r="Z410" s="126"/>
      <c r="AA410" s="126"/>
      <c r="AB410" s="126"/>
      <c r="AC410" s="126"/>
    </row>
    <row r="411" spans="1:29" ht="15.75" customHeight="1">
      <c r="A411" s="126"/>
      <c r="B411" s="126"/>
      <c r="C411" s="176"/>
      <c r="D411" s="176"/>
      <c r="E411" s="176"/>
      <c r="F411" s="176"/>
      <c r="G411" s="176"/>
      <c r="H411" s="176"/>
      <c r="I411" s="126"/>
      <c r="J411" s="126"/>
      <c r="K411" s="126"/>
      <c r="L411" s="126"/>
      <c r="M411" s="126"/>
      <c r="N411" s="126"/>
      <c r="O411" s="126"/>
      <c r="P411" s="126"/>
      <c r="Q411" s="126"/>
      <c r="R411" s="126"/>
      <c r="S411" s="126"/>
      <c r="T411" s="126"/>
      <c r="U411" s="126"/>
      <c r="V411" s="126"/>
      <c r="W411" s="126"/>
      <c r="X411" s="126"/>
      <c r="Y411" s="126"/>
      <c r="Z411" s="126"/>
      <c r="AA411" s="126"/>
      <c r="AB411" s="126"/>
      <c r="AC411" s="126"/>
    </row>
    <row r="412" spans="1:29" ht="15.75" customHeight="1">
      <c r="A412" s="126"/>
      <c r="B412" s="126"/>
      <c r="C412" s="176"/>
      <c r="D412" s="176"/>
      <c r="E412" s="176"/>
      <c r="F412" s="176"/>
      <c r="G412" s="176"/>
      <c r="H412" s="176"/>
      <c r="I412" s="126"/>
      <c r="J412" s="126"/>
      <c r="K412" s="126"/>
      <c r="L412" s="126"/>
      <c r="M412" s="126"/>
      <c r="N412" s="126"/>
      <c r="O412" s="126"/>
      <c r="P412" s="126"/>
      <c r="Q412" s="126"/>
      <c r="R412" s="126"/>
      <c r="S412" s="126"/>
      <c r="T412" s="126"/>
      <c r="U412" s="126"/>
      <c r="V412" s="126"/>
      <c r="W412" s="126"/>
      <c r="X412" s="126"/>
      <c r="Y412" s="126"/>
      <c r="Z412" s="126"/>
      <c r="AA412" s="126"/>
      <c r="AB412" s="126"/>
      <c r="AC412" s="126"/>
    </row>
    <row r="413" spans="1:29" ht="15.75" customHeight="1">
      <c r="A413" s="126"/>
      <c r="B413" s="126"/>
      <c r="C413" s="176"/>
      <c r="D413" s="176"/>
      <c r="E413" s="176"/>
      <c r="F413" s="176"/>
      <c r="G413" s="176"/>
      <c r="H413" s="176"/>
      <c r="I413" s="126"/>
      <c r="J413" s="126"/>
      <c r="K413" s="126"/>
      <c r="L413" s="126"/>
      <c r="M413" s="126"/>
      <c r="N413" s="126"/>
      <c r="O413" s="126"/>
      <c r="P413" s="126"/>
      <c r="Q413" s="126"/>
      <c r="R413" s="126"/>
      <c r="S413" s="126"/>
      <c r="T413" s="126"/>
      <c r="U413" s="126"/>
      <c r="V413" s="126"/>
      <c r="W413" s="126"/>
      <c r="X413" s="126"/>
      <c r="Y413" s="126"/>
      <c r="Z413" s="126"/>
      <c r="AA413" s="126"/>
      <c r="AB413" s="126"/>
      <c r="AC413" s="126"/>
    </row>
    <row r="414" spans="1:29" ht="15.75" customHeight="1">
      <c r="A414" s="126"/>
      <c r="B414" s="126"/>
      <c r="C414" s="176"/>
      <c r="D414" s="176"/>
      <c r="E414" s="176"/>
      <c r="F414" s="176"/>
      <c r="G414" s="176"/>
      <c r="H414" s="176"/>
      <c r="I414" s="126"/>
      <c r="J414" s="126"/>
      <c r="K414" s="126"/>
      <c r="L414" s="126"/>
      <c r="M414" s="126"/>
      <c r="N414" s="126"/>
      <c r="O414" s="126"/>
      <c r="P414" s="126"/>
      <c r="Q414" s="126"/>
      <c r="R414" s="126"/>
      <c r="S414" s="126"/>
      <c r="T414" s="126"/>
      <c r="U414" s="126"/>
      <c r="V414" s="126"/>
      <c r="W414" s="126"/>
      <c r="X414" s="126"/>
      <c r="Y414" s="126"/>
      <c r="Z414" s="126"/>
      <c r="AA414" s="126"/>
      <c r="AB414" s="126"/>
      <c r="AC414" s="126"/>
    </row>
    <row r="415" spans="1:29" ht="15.75" customHeight="1">
      <c r="A415" s="126"/>
      <c r="B415" s="126"/>
      <c r="C415" s="176"/>
      <c r="D415" s="176"/>
      <c r="E415" s="176"/>
      <c r="F415" s="176"/>
      <c r="G415" s="176"/>
      <c r="H415" s="176"/>
      <c r="I415" s="126"/>
      <c r="J415" s="126"/>
      <c r="K415" s="126"/>
      <c r="L415" s="126"/>
      <c r="M415" s="126"/>
      <c r="N415" s="126"/>
      <c r="O415" s="126"/>
      <c r="P415" s="126"/>
      <c r="Q415" s="126"/>
      <c r="R415" s="126"/>
      <c r="S415" s="126"/>
      <c r="T415" s="126"/>
      <c r="U415" s="126"/>
      <c r="V415" s="126"/>
      <c r="W415" s="126"/>
      <c r="X415" s="126"/>
      <c r="Y415" s="126"/>
      <c r="Z415" s="126"/>
      <c r="AA415" s="126"/>
      <c r="AB415" s="126"/>
      <c r="AC415" s="126"/>
    </row>
    <row r="416" spans="1:29" ht="15.75" customHeight="1">
      <c r="A416" s="126"/>
      <c r="B416" s="126"/>
      <c r="C416" s="176"/>
      <c r="D416" s="176"/>
      <c r="E416" s="176"/>
      <c r="F416" s="176"/>
      <c r="G416" s="176"/>
      <c r="H416" s="176"/>
      <c r="I416" s="126"/>
      <c r="J416" s="126"/>
      <c r="K416" s="126"/>
      <c r="L416" s="126"/>
      <c r="M416" s="126"/>
      <c r="N416" s="126"/>
      <c r="O416" s="126"/>
      <c r="P416" s="126"/>
      <c r="Q416" s="126"/>
      <c r="R416" s="126"/>
      <c r="S416" s="126"/>
      <c r="T416" s="126"/>
      <c r="U416" s="126"/>
      <c r="V416" s="126"/>
      <c r="W416" s="126"/>
      <c r="X416" s="126"/>
      <c r="Y416" s="126"/>
      <c r="Z416" s="126"/>
      <c r="AA416" s="126"/>
      <c r="AB416" s="126"/>
      <c r="AC416" s="126"/>
    </row>
    <row r="417" spans="1:29" ht="15.75" customHeight="1">
      <c r="A417" s="126"/>
      <c r="B417" s="126"/>
      <c r="C417" s="176"/>
      <c r="D417" s="176"/>
      <c r="E417" s="176"/>
      <c r="F417" s="176"/>
      <c r="G417" s="176"/>
      <c r="H417" s="176"/>
      <c r="I417" s="126"/>
      <c r="J417" s="126"/>
      <c r="K417" s="126"/>
      <c r="L417" s="126"/>
      <c r="M417" s="126"/>
      <c r="N417" s="126"/>
      <c r="O417" s="126"/>
      <c r="P417" s="126"/>
      <c r="Q417" s="126"/>
      <c r="R417" s="126"/>
      <c r="S417" s="126"/>
      <c r="T417" s="126"/>
      <c r="U417" s="126"/>
      <c r="V417" s="126"/>
      <c r="W417" s="126"/>
      <c r="X417" s="126"/>
      <c r="Y417" s="126"/>
      <c r="Z417" s="126"/>
      <c r="AA417" s="126"/>
      <c r="AB417" s="126"/>
      <c r="AC417" s="126"/>
    </row>
    <row r="418" spans="1:29" ht="15.75" customHeight="1">
      <c r="A418" s="126"/>
      <c r="B418" s="126"/>
      <c r="C418" s="176"/>
      <c r="D418" s="176"/>
      <c r="E418" s="176"/>
      <c r="F418" s="176"/>
      <c r="G418" s="176"/>
      <c r="H418" s="176"/>
      <c r="I418" s="126"/>
      <c r="J418" s="126"/>
      <c r="K418" s="126"/>
      <c r="L418" s="126"/>
      <c r="M418" s="126"/>
      <c r="N418" s="126"/>
      <c r="O418" s="126"/>
      <c r="P418" s="126"/>
      <c r="Q418" s="126"/>
      <c r="R418" s="126"/>
      <c r="S418" s="126"/>
      <c r="T418" s="126"/>
      <c r="U418" s="126"/>
      <c r="V418" s="126"/>
      <c r="W418" s="126"/>
      <c r="X418" s="126"/>
      <c r="Y418" s="126"/>
      <c r="Z418" s="126"/>
      <c r="AA418" s="126"/>
      <c r="AB418" s="126"/>
      <c r="AC418" s="126"/>
    </row>
    <row r="419" spans="1:29" ht="15.75" customHeight="1">
      <c r="A419" s="126"/>
      <c r="B419" s="126"/>
      <c r="C419" s="176"/>
      <c r="D419" s="176"/>
      <c r="E419" s="176"/>
      <c r="F419" s="176"/>
      <c r="G419" s="176"/>
      <c r="H419" s="176"/>
      <c r="I419" s="126"/>
      <c r="J419" s="126"/>
      <c r="K419" s="126"/>
      <c r="L419" s="126"/>
      <c r="M419" s="126"/>
      <c r="N419" s="126"/>
      <c r="O419" s="126"/>
      <c r="P419" s="126"/>
      <c r="Q419" s="126"/>
      <c r="R419" s="126"/>
      <c r="S419" s="126"/>
      <c r="T419" s="126"/>
      <c r="U419" s="126"/>
      <c r="V419" s="126"/>
      <c r="W419" s="126"/>
      <c r="X419" s="126"/>
      <c r="Y419" s="126"/>
      <c r="Z419" s="126"/>
      <c r="AA419" s="126"/>
      <c r="AB419" s="126"/>
      <c r="AC419" s="126"/>
    </row>
    <row r="420" spans="1:29" ht="15.75" customHeight="1">
      <c r="A420" s="126"/>
      <c r="B420" s="126"/>
      <c r="C420" s="176"/>
      <c r="D420" s="176"/>
      <c r="E420" s="176"/>
      <c r="F420" s="176"/>
      <c r="G420" s="176"/>
      <c r="H420" s="176"/>
      <c r="I420" s="126"/>
      <c r="J420" s="126"/>
      <c r="K420" s="126"/>
      <c r="L420" s="126"/>
      <c r="M420" s="126"/>
      <c r="N420" s="126"/>
      <c r="O420" s="126"/>
      <c r="P420" s="126"/>
      <c r="Q420" s="126"/>
      <c r="R420" s="126"/>
      <c r="S420" s="126"/>
      <c r="T420" s="126"/>
      <c r="U420" s="126"/>
      <c r="V420" s="126"/>
      <c r="W420" s="126"/>
      <c r="X420" s="126"/>
      <c r="Y420" s="126"/>
      <c r="Z420" s="126"/>
      <c r="AA420" s="126"/>
      <c r="AB420" s="126"/>
      <c r="AC420" s="126"/>
    </row>
    <row r="421" spans="1:29" ht="15.75" customHeight="1">
      <c r="A421" s="126"/>
      <c r="B421" s="126"/>
      <c r="C421" s="176"/>
      <c r="D421" s="176"/>
      <c r="E421" s="176"/>
      <c r="F421" s="176"/>
      <c r="G421" s="176"/>
      <c r="H421" s="176"/>
      <c r="I421" s="126"/>
      <c r="J421" s="126"/>
      <c r="K421" s="126"/>
      <c r="L421" s="126"/>
      <c r="M421" s="126"/>
      <c r="N421" s="126"/>
      <c r="O421" s="126"/>
      <c r="P421" s="126"/>
      <c r="Q421" s="126"/>
      <c r="R421" s="126"/>
      <c r="S421" s="126"/>
      <c r="T421" s="126"/>
      <c r="U421" s="126"/>
      <c r="V421" s="126"/>
      <c r="W421" s="126"/>
      <c r="X421" s="126"/>
      <c r="Y421" s="126"/>
      <c r="Z421" s="126"/>
      <c r="AA421" s="126"/>
      <c r="AB421" s="126"/>
      <c r="AC421" s="126"/>
    </row>
    <row r="422" spans="1:29" ht="15.75" customHeight="1">
      <c r="A422" s="126"/>
      <c r="B422" s="126"/>
      <c r="C422" s="176"/>
      <c r="D422" s="176"/>
      <c r="E422" s="176"/>
      <c r="F422" s="176"/>
      <c r="G422" s="176"/>
      <c r="H422" s="176"/>
      <c r="I422" s="126"/>
      <c r="J422" s="126"/>
      <c r="K422" s="126"/>
      <c r="L422" s="126"/>
      <c r="M422" s="126"/>
      <c r="N422" s="126"/>
      <c r="O422" s="126"/>
      <c r="P422" s="126"/>
      <c r="Q422" s="126"/>
      <c r="R422" s="126"/>
      <c r="S422" s="126"/>
      <c r="T422" s="126"/>
      <c r="U422" s="126"/>
      <c r="V422" s="126"/>
      <c r="W422" s="126"/>
      <c r="X422" s="126"/>
      <c r="Y422" s="126"/>
      <c r="Z422" s="126"/>
      <c r="AA422" s="126"/>
      <c r="AB422" s="126"/>
      <c r="AC422" s="126"/>
    </row>
    <row r="423" spans="1:29" ht="15.75" customHeight="1">
      <c r="A423" s="126"/>
      <c r="B423" s="126"/>
      <c r="C423" s="176"/>
      <c r="D423" s="176"/>
      <c r="E423" s="176"/>
      <c r="F423" s="176"/>
      <c r="G423" s="176"/>
      <c r="H423" s="176"/>
      <c r="I423" s="126"/>
      <c r="J423" s="126"/>
      <c r="K423" s="126"/>
      <c r="L423" s="126"/>
      <c r="M423" s="126"/>
      <c r="N423" s="126"/>
      <c r="O423" s="126"/>
      <c r="P423" s="126"/>
      <c r="Q423" s="126"/>
      <c r="R423" s="126"/>
      <c r="S423" s="126"/>
      <c r="T423" s="126"/>
      <c r="U423" s="126"/>
      <c r="V423" s="126"/>
      <c r="W423" s="126"/>
      <c r="X423" s="126"/>
      <c r="Y423" s="126"/>
      <c r="Z423" s="126"/>
      <c r="AA423" s="126"/>
      <c r="AB423" s="126"/>
      <c r="AC423" s="126"/>
    </row>
    <row r="424" spans="1:29" ht="15.75" customHeight="1">
      <c r="A424" s="126"/>
      <c r="B424" s="126"/>
      <c r="C424" s="176"/>
      <c r="D424" s="176"/>
      <c r="E424" s="176"/>
      <c r="F424" s="176"/>
      <c r="G424" s="176"/>
      <c r="H424" s="176"/>
      <c r="I424" s="126"/>
      <c r="J424" s="126"/>
      <c r="K424" s="126"/>
      <c r="L424" s="126"/>
      <c r="M424" s="126"/>
      <c r="N424" s="126"/>
      <c r="O424" s="126"/>
      <c r="P424" s="126"/>
      <c r="Q424" s="126"/>
      <c r="R424" s="126"/>
      <c r="S424" s="126"/>
      <c r="T424" s="126"/>
      <c r="U424" s="126"/>
      <c r="V424" s="126"/>
      <c r="W424" s="126"/>
      <c r="X424" s="126"/>
      <c r="Y424" s="126"/>
      <c r="Z424" s="126"/>
      <c r="AA424" s="126"/>
      <c r="AB424" s="126"/>
      <c r="AC424" s="126"/>
    </row>
    <row r="425" spans="1:29" ht="15.75" customHeight="1">
      <c r="A425" s="126"/>
      <c r="B425" s="126"/>
      <c r="C425" s="176"/>
      <c r="D425" s="176"/>
      <c r="E425" s="176"/>
      <c r="F425" s="176"/>
      <c r="G425" s="176"/>
      <c r="H425" s="176"/>
      <c r="I425" s="126"/>
      <c r="J425" s="126"/>
      <c r="K425" s="126"/>
      <c r="L425" s="126"/>
      <c r="M425" s="126"/>
      <c r="N425" s="126"/>
      <c r="O425" s="126"/>
      <c r="P425" s="126"/>
      <c r="Q425" s="126"/>
      <c r="R425" s="126"/>
      <c r="S425" s="126"/>
      <c r="T425" s="126"/>
      <c r="U425" s="126"/>
      <c r="V425" s="126"/>
      <c r="W425" s="126"/>
      <c r="X425" s="126"/>
      <c r="Y425" s="126"/>
      <c r="Z425" s="126"/>
      <c r="AA425" s="126"/>
      <c r="AB425" s="126"/>
      <c r="AC425" s="126"/>
    </row>
    <row r="426" spans="1:29" ht="15.75" customHeight="1">
      <c r="A426" s="126"/>
      <c r="B426" s="126"/>
      <c r="C426" s="176"/>
      <c r="D426" s="176"/>
      <c r="E426" s="176"/>
      <c r="F426" s="176"/>
      <c r="G426" s="176"/>
      <c r="H426" s="176"/>
      <c r="I426" s="126"/>
      <c r="J426" s="126"/>
      <c r="K426" s="126"/>
      <c r="L426" s="126"/>
      <c r="M426" s="126"/>
      <c r="N426" s="126"/>
      <c r="O426" s="126"/>
      <c r="P426" s="126"/>
      <c r="Q426" s="126"/>
      <c r="R426" s="126"/>
      <c r="S426" s="126"/>
      <c r="T426" s="126"/>
      <c r="U426" s="126"/>
      <c r="V426" s="126"/>
      <c r="W426" s="126"/>
      <c r="X426" s="126"/>
      <c r="Y426" s="126"/>
      <c r="Z426" s="126"/>
      <c r="AA426" s="126"/>
      <c r="AB426" s="126"/>
      <c r="AC426" s="126"/>
    </row>
    <row r="427" spans="1:29" ht="15.75" customHeight="1">
      <c r="A427" s="126"/>
      <c r="B427" s="126"/>
      <c r="C427" s="176"/>
      <c r="D427" s="176"/>
      <c r="E427" s="176"/>
      <c r="F427" s="176"/>
      <c r="G427" s="176"/>
      <c r="H427" s="176"/>
      <c r="I427" s="126"/>
      <c r="J427" s="126"/>
      <c r="K427" s="126"/>
      <c r="L427" s="126"/>
      <c r="M427" s="126"/>
      <c r="N427" s="126"/>
      <c r="O427" s="126"/>
      <c r="P427" s="126"/>
      <c r="Q427" s="126"/>
      <c r="R427" s="126"/>
      <c r="S427" s="126"/>
      <c r="T427" s="126"/>
      <c r="U427" s="126"/>
      <c r="V427" s="126"/>
      <c r="W427" s="126"/>
      <c r="X427" s="126"/>
      <c r="Y427" s="126"/>
      <c r="Z427" s="126"/>
      <c r="AA427" s="126"/>
      <c r="AB427" s="126"/>
      <c r="AC427" s="126"/>
    </row>
    <row r="428" spans="1:29" ht="15.75" customHeight="1">
      <c r="A428" s="126"/>
      <c r="B428" s="126"/>
      <c r="C428" s="176"/>
      <c r="D428" s="176"/>
      <c r="E428" s="176"/>
      <c r="F428" s="176"/>
      <c r="G428" s="176"/>
      <c r="H428" s="176"/>
      <c r="I428" s="126"/>
      <c r="J428" s="126"/>
      <c r="K428" s="126"/>
      <c r="L428" s="126"/>
      <c r="M428" s="126"/>
      <c r="N428" s="126"/>
      <c r="O428" s="126"/>
      <c r="P428" s="126"/>
      <c r="Q428" s="126"/>
      <c r="R428" s="126"/>
      <c r="S428" s="126"/>
      <c r="T428" s="126"/>
      <c r="U428" s="126"/>
      <c r="V428" s="126"/>
      <c r="W428" s="126"/>
      <c r="X428" s="126"/>
      <c r="Y428" s="126"/>
      <c r="Z428" s="126"/>
      <c r="AA428" s="126"/>
      <c r="AB428" s="126"/>
      <c r="AC428" s="126"/>
    </row>
    <row r="429" spans="1:29" ht="15.75" customHeight="1">
      <c r="A429" s="126"/>
      <c r="B429" s="126"/>
      <c r="C429" s="176"/>
      <c r="D429" s="176"/>
      <c r="E429" s="176"/>
      <c r="F429" s="176"/>
      <c r="G429" s="176"/>
      <c r="H429" s="176"/>
      <c r="I429" s="126"/>
      <c r="J429" s="126"/>
      <c r="K429" s="126"/>
      <c r="L429" s="126"/>
      <c r="M429" s="126"/>
      <c r="N429" s="126"/>
      <c r="O429" s="126"/>
      <c r="P429" s="126"/>
      <c r="Q429" s="126"/>
      <c r="R429" s="126"/>
      <c r="S429" s="126"/>
      <c r="T429" s="126"/>
      <c r="U429" s="126"/>
      <c r="V429" s="126"/>
      <c r="W429" s="126"/>
      <c r="X429" s="126"/>
      <c r="Y429" s="126"/>
      <c r="Z429" s="126"/>
      <c r="AA429" s="126"/>
      <c r="AB429" s="126"/>
      <c r="AC429" s="126"/>
    </row>
    <row r="430" spans="1:29" ht="15.75" customHeight="1">
      <c r="A430" s="126"/>
      <c r="B430" s="126"/>
      <c r="C430" s="176"/>
      <c r="D430" s="176"/>
      <c r="E430" s="176"/>
      <c r="F430" s="176"/>
      <c r="G430" s="176"/>
      <c r="H430" s="176"/>
      <c r="I430" s="126"/>
      <c r="J430" s="126"/>
      <c r="K430" s="126"/>
      <c r="L430" s="126"/>
      <c r="M430" s="126"/>
      <c r="N430" s="126"/>
      <c r="O430" s="126"/>
      <c r="P430" s="126"/>
      <c r="Q430" s="126"/>
      <c r="R430" s="126"/>
      <c r="S430" s="126"/>
      <c r="T430" s="126"/>
      <c r="U430" s="126"/>
      <c r="V430" s="126"/>
      <c r="W430" s="126"/>
      <c r="X430" s="126"/>
      <c r="Y430" s="126"/>
      <c r="Z430" s="126"/>
      <c r="AA430" s="126"/>
      <c r="AB430" s="126"/>
      <c r="AC430" s="126"/>
    </row>
    <row r="431" spans="1:29" ht="15.75" customHeight="1">
      <c r="A431" s="126"/>
      <c r="B431" s="126"/>
      <c r="C431" s="176"/>
      <c r="D431" s="176"/>
      <c r="E431" s="176"/>
      <c r="F431" s="176"/>
      <c r="G431" s="176"/>
      <c r="H431" s="176"/>
      <c r="I431" s="126"/>
      <c r="J431" s="126"/>
      <c r="K431" s="126"/>
      <c r="L431" s="126"/>
      <c r="M431" s="126"/>
      <c r="N431" s="126"/>
      <c r="O431" s="126"/>
      <c r="P431" s="126"/>
      <c r="Q431" s="126"/>
      <c r="R431" s="126"/>
      <c r="S431" s="126"/>
      <c r="T431" s="126"/>
      <c r="U431" s="126"/>
      <c r="V431" s="126"/>
      <c r="W431" s="126"/>
      <c r="X431" s="126"/>
      <c r="Y431" s="126"/>
      <c r="Z431" s="126"/>
      <c r="AA431" s="126"/>
      <c r="AB431" s="126"/>
      <c r="AC431" s="126"/>
    </row>
    <row r="432" spans="1:29" ht="15.75" customHeight="1">
      <c r="A432" s="126"/>
      <c r="B432" s="126"/>
      <c r="C432" s="176"/>
      <c r="D432" s="176"/>
      <c r="E432" s="176"/>
      <c r="F432" s="176"/>
      <c r="G432" s="176"/>
      <c r="H432" s="176"/>
      <c r="I432" s="126"/>
      <c r="J432" s="126"/>
      <c r="K432" s="126"/>
      <c r="L432" s="126"/>
      <c r="M432" s="126"/>
      <c r="N432" s="126"/>
      <c r="O432" s="126"/>
      <c r="P432" s="126"/>
      <c r="Q432" s="126"/>
      <c r="R432" s="126"/>
      <c r="S432" s="126"/>
      <c r="T432" s="126"/>
      <c r="U432" s="126"/>
      <c r="V432" s="126"/>
      <c r="W432" s="126"/>
      <c r="X432" s="126"/>
      <c r="Y432" s="126"/>
      <c r="Z432" s="126"/>
      <c r="AA432" s="126"/>
      <c r="AB432" s="126"/>
      <c r="AC432" s="126"/>
    </row>
    <row r="433" spans="1:29" ht="15.75" customHeight="1">
      <c r="A433" s="126"/>
      <c r="B433" s="126"/>
      <c r="C433" s="176"/>
      <c r="D433" s="176"/>
      <c r="E433" s="176"/>
      <c r="F433" s="176"/>
      <c r="G433" s="176"/>
      <c r="H433" s="176"/>
      <c r="I433" s="126"/>
      <c r="J433" s="126"/>
      <c r="K433" s="126"/>
      <c r="L433" s="126"/>
      <c r="M433" s="126"/>
      <c r="N433" s="126"/>
      <c r="O433" s="126"/>
      <c r="P433" s="126"/>
      <c r="Q433" s="126"/>
      <c r="R433" s="126"/>
      <c r="S433" s="126"/>
      <c r="T433" s="126"/>
      <c r="U433" s="126"/>
      <c r="V433" s="126"/>
      <c r="W433" s="126"/>
      <c r="X433" s="126"/>
      <c r="Y433" s="126"/>
      <c r="Z433" s="126"/>
      <c r="AA433" s="126"/>
      <c r="AB433" s="126"/>
      <c r="AC433" s="126"/>
    </row>
    <row r="434" spans="1:29" ht="15.75" customHeight="1">
      <c r="A434" s="126"/>
      <c r="B434" s="126"/>
      <c r="C434" s="176"/>
      <c r="D434" s="176"/>
      <c r="E434" s="176"/>
      <c r="F434" s="176"/>
      <c r="G434" s="176"/>
      <c r="H434" s="176"/>
      <c r="I434" s="126"/>
      <c r="J434" s="126"/>
      <c r="K434" s="126"/>
      <c r="L434" s="126"/>
      <c r="M434" s="126"/>
      <c r="N434" s="126"/>
      <c r="O434" s="126"/>
      <c r="P434" s="126"/>
      <c r="Q434" s="126"/>
      <c r="R434" s="126"/>
      <c r="S434" s="126"/>
      <c r="T434" s="126"/>
      <c r="U434" s="126"/>
      <c r="V434" s="126"/>
      <c r="W434" s="126"/>
      <c r="X434" s="126"/>
      <c r="Y434" s="126"/>
      <c r="Z434" s="126"/>
      <c r="AA434" s="126"/>
      <c r="AB434" s="126"/>
      <c r="AC434" s="126"/>
    </row>
    <row r="435" spans="1:29" ht="15.75" customHeight="1">
      <c r="A435" s="126"/>
      <c r="B435" s="126"/>
      <c r="C435" s="176"/>
      <c r="D435" s="176"/>
      <c r="E435" s="176"/>
      <c r="F435" s="176"/>
      <c r="G435" s="176"/>
      <c r="H435" s="176"/>
      <c r="I435" s="126"/>
      <c r="J435" s="126"/>
      <c r="K435" s="126"/>
      <c r="L435" s="126"/>
      <c r="M435" s="126"/>
      <c r="N435" s="126"/>
      <c r="O435" s="126"/>
      <c r="P435" s="126"/>
      <c r="Q435" s="126"/>
      <c r="R435" s="126"/>
      <c r="S435" s="126"/>
      <c r="T435" s="126"/>
      <c r="U435" s="126"/>
      <c r="V435" s="126"/>
      <c r="W435" s="126"/>
      <c r="X435" s="126"/>
      <c r="Y435" s="126"/>
      <c r="Z435" s="126"/>
      <c r="AA435" s="126"/>
      <c r="AB435" s="126"/>
      <c r="AC435" s="126"/>
    </row>
    <row r="436" spans="1:29" ht="15.75" customHeight="1">
      <c r="A436" s="126"/>
      <c r="B436" s="126"/>
      <c r="C436" s="176"/>
      <c r="D436" s="176"/>
      <c r="E436" s="176"/>
      <c r="F436" s="176"/>
      <c r="G436" s="176"/>
      <c r="H436" s="176"/>
      <c r="I436" s="126"/>
      <c r="J436" s="126"/>
      <c r="K436" s="126"/>
      <c r="L436" s="126"/>
      <c r="M436" s="126"/>
      <c r="N436" s="126"/>
      <c r="O436" s="126"/>
      <c r="P436" s="126"/>
      <c r="Q436" s="126"/>
      <c r="R436" s="126"/>
      <c r="S436" s="126"/>
      <c r="T436" s="126"/>
      <c r="U436" s="126"/>
      <c r="V436" s="126"/>
      <c r="W436" s="126"/>
      <c r="X436" s="126"/>
      <c r="Y436" s="126"/>
      <c r="Z436" s="126"/>
      <c r="AA436" s="126"/>
      <c r="AB436" s="126"/>
      <c r="AC436" s="126"/>
    </row>
    <row r="437" spans="1:29" ht="15.75" customHeight="1">
      <c r="A437" s="126"/>
      <c r="B437" s="126"/>
      <c r="C437" s="176"/>
      <c r="D437" s="176"/>
      <c r="E437" s="176"/>
      <c r="F437" s="176"/>
      <c r="G437" s="176"/>
      <c r="H437" s="176"/>
      <c r="I437" s="126"/>
      <c r="J437" s="126"/>
      <c r="K437" s="126"/>
      <c r="L437" s="126"/>
      <c r="M437" s="126"/>
      <c r="N437" s="126"/>
      <c r="O437" s="126"/>
      <c r="P437" s="126"/>
      <c r="Q437" s="126"/>
      <c r="R437" s="126"/>
      <c r="S437" s="126"/>
      <c r="T437" s="126"/>
      <c r="U437" s="126"/>
      <c r="V437" s="126"/>
      <c r="W437" s="126"/>
      <c r="X437" s="126"/>
      <c r="Y437" s="126"/>
      <c r="Z437" s="126"/>
      <c r="AA437" s="126"/>
      <c r="AB437" s="126"/>
      <c r="AC437" s="126"/>
    </row>
    <row r="438" spans="1:29" ht="15.75" customHeight="1">
      <c r="A438" s="126"/>
      <c r="B438" s="126"/>
      <c r="C438" s="176"/>
      <c r="D438" s="176"/>
      <c r="E438" s="176"/>
      <c r="F438" s="176"/>
      <c r="G438" s="176"/>
      <c r="H438" s="176"/>
      <c r="I438" s="126"/>
      <c r="J438" s="126"/>
      <c r="K438" s="126"/>
      <c r="L438" s="126"/>
      <c r="M438" s="126"/>
      <c r="N438" s="126"/>
      <c r="O438" s="126"/>
      <c r="P438" s="126"/>
      <c r="Q438" s="126"/>
      <c r="R438" s="126"/>
      <c r="S438" s="126"/>
      <c r="T438" s="126"/>
      <c r="U438" s="126"/>
      <c r="V438" s="126"/>
      <c r="W438" s="126"/>
      <c r="X438" s="126"/>
      <c r="Y438" s="126"/>
      <c r="Z438" s="126"/>
      <c r="AA438" s="126"/>
      <c r="AB438" s="126"/>
      <c r="AC438" s="126"/>
    </row>
    <row r="439" spans="1:29" ht="15.75" customHeight="1">
      <c r="A439" s="126"/>
      <c r="B439" s="126"/>
      <c r="C439" s="176"/>
      <c r="D439" s="176"/>
      <c r="E439" s="176"/>
      <c r="F439" s="176"/>
      <c r="G439" s="176"/>
      <c r="H439" s="176"/>
      <c r="I439" s="126"/>
      <c r="J439" s="126"/>
      <c r="K439" s="126"/>
      <c r="L439" s="126"/>
      <c r="M439" s="126"/>
      <c r="N439" s="126"/>
      <c r="O439" s="126"/>
      <c r="P439" s="126"/>
      <c r="Q439" s="126"/>
      <c r="R439" s="126"/>
      <c r="S439" s="126"/>
      <c r="T439" s="126"/>
      <c r="U439" s="126"/>
      <c r="V439" s="126"/>
      <c r="W439" s="126"/>
      <c r="X439" s="126"/>
      <c r="Y439" s="126"/>
      <c r="Z439" s="126"/>
      <c r="AA439" s="126"/>
      <c r="AB439" s="126"/>
      <c r="AC439" s="126"/>
    </row>
    <row r="440" spans="1:29" ht="15.75" customHeight="1">
      <c r="A440" s="126"/>
      <c r="B440" s="126"/>
      <c r="C440" s="176"/>
      <c r="D440" s="176"/>
      <c r="E440" s="176"/>
      <c r="F440" s="176"/>
      <c r="G440" s="176"/>
      <c r="H440" s="176"/>
      <c r="I440" s="126"/>
      <c r="J440" s="126"/>
      <c r="K440" s="126"/>
      <c r="L440" s="126"/>
      <c r="M440" s="126"/>
      <c r="N440" s="126"/>
      <c r="O440" s="126"/>
      <c r="P440" s="126"/>
      <c r="Q440" s="126"/>
      <c r="R440" s="126"/>
      <c r="S440" s="126"/>
      <c r="T440" s="126"/>
      <c r="U440" s="126"/>
      <c r="V440" s="126"/>
      <c r="W440" s="126"/>
      <c r="X440" s="126"/>
      <c r="Y440" s="126"/>
      <c r="Z440" s="126"/>
      <c r="AA440" s="126"/>
      <c r="AB440" s="126"/>
      <c r="AC440" s="126"/>
    </row>
    <row r="441" spans="1:29" ht="15.75" customHeight="1">
      <c r="A441" s="126"/>
      <c r="B441" s="126"/>
      <c r="C441" s="176"/>
      <c r="D441" s="176"/>
      <c r="E441" s="176"/>
      <c r="F441" s="176"/>
      <c r="G441" s="176"/>
      <c r="H441" s="176"/>
      <c r="I441" s="126"/>
      <c r="J441" s="126"/>
      <c r="K441" s="126"/>
      <c r="L441" s="126"/>
      <c r="M441" s="126"/>
      <c r="N441" s="126"/>
      <c r="O441" s="126"/>
      <c r="P441" s="126"/>
      <c r="Q441" s="126"/>
      <c r="R441" s="126"/>
      <c r="S441" s="126"/>
      <c r="T441" s="126"/>
      <c r="U441" s="126"/>
      <c r="V441" s="126"/>
      <c r="W441" s="126"/>
      <c r="X441" s="126"/>
      <c r="Y441" s="126"/>
      <c r="Z441" s="126"/>
      <c r="AA441" s="126"/>
      <c r="AB441" s="126"/>
      <c r="AC441" s="126"/>
    </row>
    <row r="442" spans="1:29" ht="15.75" customHeight="1">
      <c r="A442" s="126"/>
      <c r="B442" s="126"/>
      <c r="C442" s="176"/>
      <c r="D442" s="176"/>
      <c r="E442" s="176"/>
      <c r="F442" s="176"/>
      <c r="G442" s="176"/>
      <c r="H442" s="176"/>
      <c r="I442" s="126"/>
      <c r="J442" s="126"/>
      <c r="K442" s="126"/>
      <c r="L442" s="126"/>
      <c r="M442" s="126"/>
      <c r="N442" s="126"/>
      <c r="O442" s="126"/>
      <c r="P442" s="126"/>
      <c r="Q442" s="126"/>
      <c r="R442" s="126"/>
      <c r="S442" s="126"/>
      <c r="T442" s="126"/>
      <c r="U442" s="126"/>
      <c r="V442" s="126"/>
      <c r="W442" s="126"/>
      <c r="X442" s="126"/>
      <c r="Y442" s="126"/>
      <c r="Z442" s="126"/>
      <c r="AA442" s="126"/>
      <c r="AB442" s="126"/>
      <c r="AC442" s="126"/>
    </row>
    <row r="443" spans="1:29" ht="15.75" customHeight="1">
      <c r="A443" s="126"/>
      <c r="B443" s="126"/>
      <c r="C443" s="176"/>
      <c r="D443" s="176"/>
      <c r="E443" s="176"/>
      <c r="F443" s="176"/>
      <c r="G443" s="176"/>
      <c r="H443" s="176"/>
      <c r="I443" s="126"/>
      <c r="J443" s="126"/>
      <c r="K443" s="126"/>
      <c r="L443" s="126"/>
      <c r="M443" s="126"/>
      <c r="N443" s="126"/>
      <c r="O443" s="126"/>
      <c r="P443" s="126"/>
      <c r="Q443" s="126"/>
      <c r="R443" s="126"/>
      <c r="S443" s="126"/>
      <c r="T443" s="126"/>
      <c r="U443" s="126"/>
      <c r="V443" s="126"/>
      <c r="W443" s="126"/>
      <c r="X443" s="126"/>
      <c r="Y443" s="126"/>
      <c r="Z443" s="126"/>
      <c r="AA443" s="126"/>
      <c r="AB443" s="126"/>
      <c r="AC443" s="126"/>
    </row>
    <row r="444" spans="1:29" ht="15.75" customHeight="1">
      <c r="A444" s="126"/>
      <c r="B444" s="126"/>
      <c r="C444" s="176"/>
      <c r="D444" s="176"/>
      <c r="E444" s="176"/>
      <c r="F444" s="176"/>
      <c r="G444" s="176"/>
      <c r="H444" s="176"/>
      <c r="I444" s="126"/>
      <c r="J444" s="126"/>
      <c r="K444" s="126"/>
      <c r="L444" s="126"/>
      <c r="M444" s="126"/>
      <c r="N444" s="126"/>
      <c r="O444" s="126"/>
      <c r="P444" s="126"/>
      <c r="Q444" s="126"/>
      <c r="R444" s="126"/>
      <c r="S444" s="126"/>
      <c r="T444" s="126"/>
      <c r="U444" s="126"/>
      <c r="V444" s="126"/>
      <c r="W444" s="126"/>
      <c r="X444" s="126"/>
      <c r="Y444" s="126"/>
      <c r="Z444" s="126"/>
      <c r="AA444" s="126"/>
      <c r="AB444" s="126"/>
      <c r="AC444" s="126"/>
    </row>
    <row r="445" spans="1:29" ht="15.75" customHeight="1">
      <c r="A445" s="126"/>
      <c r="B445" s="126"/>
      <c r="C445" s="176"/>
      <c r="D445" s="176"/>
      <c r="E445" s="176"/>
      <c r="F445" s="176"/>
      <c r="G445" s="176"/>
      <c r="H445" s="176"/>
      <c r="I445" s="126"/>
      <c r="J445" s="126"/>
      <c r="K445" s="126"/>
      <c r="L445" s="126"/>
      <c r="M445" s="126"/>
      <c r="N445" s="126"/>
      <c r="O445" s="126"/>
      <c r="P445" s="126"/>
      <c r="Q445" s="126"/>
      <c r="R445" s="126"/>
      <c r="S445" s="126"/>
      <c r="T445" s="126"/>
      <c r="U445" s="126"/>
      <c r="V445" s="126"/>
      <c r="W445" s="126"/>
      <c r="X445" s="126"/>
      <c r="Y445" s="126"/>
      <c r="Z445" s="126"/>
      <c r="AA445" s="126"/>
      <c r="AB445" s="126"/>
      <c r="AC445" s="126"/>
    </row>
    <row r="446" spans="1:29" ht="15.75" customHeight="1">
      <c r="A446" s="126"/>
      <c r="B446" s="126"/>
      <c r="C446" s="176"/>
      <c r="D446" s="176"/>
      <c r="E446" s="176"/>
      <c r="F446" s="176"/>
      <c r="G446" s="176"/>
      <c r="H446" s="176"/>
      <c r="I446" s="126"/>
      <c r="J446" s="126"/>
      <c r="K446" s="126"/>
      <c r="L446" s="126"/>
      <c r="M446" s="126"/>
      <c r="N446" s="126"/>
      <c r="O446" s="126"/>
      <c r="P446" s="126"/>
      <c r="Q446" s="126"/>
      <c r="R446" s="126"/>
      <c r="S446" s="126"/>
      <c r="T446" s="126"/>
      <c r="U446" s="126"/>
      <c r="V446" s="126"/>
      <c r="W446" s="126"/>
      <c r="X446" s="126"/>
      <c r="Y446" s="126"/>
      <c r="Z446" s="126"/>
      <c r="AA446" s="126"/>
      <c r="AB446" s="126"/>
      <c r="AC446" s="126"/>
    </row>
    <row r="447" spans="1:29" ht="15.75" customHeight="1">
      <c r="A447" s="126"/>
      <c r="B447" s="126"/>
      <c r="C447" s="176"/>
      <c r="D447" s="176"/>
      <c r="E447" s="176"/>
      <c r="F447" s="176"/>
      <c r="G447" s="176"/>
      <c r="H447" s="176"/>
      <c r="I447" s="126"/>
      <c r="J447" s="126"/>
      <c r="K447" s="126"/>
      <c r="L447" s="126"/>
      <c r="M447" s="126"/>
      <c r="N447" s="126"/>
      <c r="O447" s="126"/>
      <c r="P447" s="126"/>
      <c r="Q447" s="126"/>
      <c r="R447" s="126"/>
      <c r="S447" s="126"/>
      <c r="T447" s="126"/>
      <c r="U447" s="126"/>
      <c r="V447" s="126"/>
      <c r="W447" s="126"/>
      <c r="X447" s="126"/>
      <c r="Y447" s="126"/>
      <c r="Z447" s="126"/>
      <c r="AA447" s="126"/>
      <c r="AB447" s="126"/>
      <c r="AC447" s="126"/>
    </row>
    <row r="448" spans="1:29" ht="15.75" customHeight="1">
      <c r="A448" s="126"/>
      <c r="B448" s="126"/>
      <c r="C448" s="176"/>
      <c r="D448" s="176"/>
      <c r="E448" s="176"/>
      <c r="F448" s="176"/>
      <c r="G448" s="176"/>
      <c r="H448" s="176"/>
      <c r="I448" s="126"/>
      <c r="J448" s="126"/>
      <c r="K448" s="126"/>
      <c r="L448" s="126"/>
      <c r="M448" s="126"/>
      <c r="N448" s="126"/>
      <c r="O448" s="126"/>
      <c r="P448" s="126"/>
      <c r="Q448" s="126"/>
      <c r="R448" s="126"/>
      <c r="S448" s="126"/>
      <c r="T448" s="126"/>
      <c r="U448" s="126"/>
      <c r="V448" s="126"/>
      <c r="W448" s="126"/>
      <c r="X448" s="126"/>
      <c r="Y448" s="126"/>
      <c r="Z448" s="126"/>
      <c r="AA448" s="126"/>
      <c r="AB448" s="126"/>
      <c r="AC448" s="126"/>
    </row>
    <row r="449" spans="1:29" ht="15.75" customHeight="1">
      <c r="A449" s="126"/>
      <c r="B449" s="126"/>
      <c r="C449" s="176"/>
      <c r="D449" s="176"/>
      <c r="E449" s="176"/>
      <c r="F449" s="176"/>
      <c r="G449" s="176"/>
      <c r="H449" s="176"/>
      <c r="I449" s="126"/>
      <c r="J449" s="126"/>
      <c r="K449" s="126"/>
      <c r="L449" s="126"/>
      <c r="M449" s="126"/>
      <c r="N449" s="126"/>
      <c r="O449" s="126"/>
      <c r="P449" s="126"/>
      <c r="Q449" s="126"/>
      <c r="R449" s="126"/>
      <c r="S449" s="126"/>
      <c r="T449" s="126"/>
      <c r="U449" s="126"/>
      <c r="V449" s="126"/>
      <c r="W449" s="126"/>
      <c r="X449" s="126"/>
      <c r="Y449" s="126"/>
      <c r="Z449" s="126"/>
      <c r="AA449" s="126"/>
      <c r="AB449" s="126"/>
      <c r="AC449" s="126"/>
    </row>
    <row r="450" spans="1:29" ht="15.75" customHeight="1">
      <c r="A450" s="126"/>
      <c r="B450" s="126"/>
      <c r="C450" s="176"/>
      <c r="D450" s="176"/>
      <c r="E450" s="176"/>
      <c r="F450" s="176"/>
      <c r="G450" s="176"/>
      <c r="H450" s="176"/>
      <c r="I450" s="126"/>
      <c r="J450" s="126"/>
      <c r="K450" s="126"/>
      <c r="L450" s="126"/>
      <c r="M450" s="126"/>
      <c r="N450" s="126"/>
      <c r="O450" s="126"/>
      <c r="P450" s="126"/>
      <c r="Q450" s="126"/>
      <c r="R450" s="126"/>
      <c r="S450" s="126"/>
      <c r="T450" s="126"/>
      <c r="U450" s="126"/>
      <c r="V450" s="126"/>
      <c r="W450" s="126"/>
      <c r="X450" s="126"/>
      <c r="Y450" s="126"/>
      <c r="Z450" s="126"/>
      <c r="AA450" s="126"/>
      <c r="AB450" s="126"/>
      <c r="AC450" s="126"/>
    </row>
    <row r="451" spans="1:29" ht="15.75" customHeight="1">
      <c r="A451" s="126"/>
      <c r="B451" s="126"/>
      <c r="C451" s="176"/>
      <c r="D451" s="176"/>
      <c r="E451" s="176"/>
      <c r="F451" s="176"/>
      <c r="G451" s="176"/>
      <c r="H451" s="176"/>
      <c r="I451" s="126"/>
      <c r="J451" s="126"/>
      <c r="K451" s="126"/>
      <c r="L451" s="126"/>
      <c r="M451" s="126"/>
      <c r="N451" s="126"/>
      <c r="O451" s="126"/>
      <c r="P451" s="126"/>
      <c r="Q451" s="126"/>
      <c r="R451" s="126"/>
      <c r="S451" s="126"/>
      <c r="T451" s="126"/>
      <c r="U451" s="126"/>
      <c r="V451" s="126"/>
      <c r="W451" s="126"/>
      <c r="X451" s="126"/>
      <c r="Y451" s="126"/>
      <c r="Z451" s="126"/>
      <c r="AA451" s="126"/>
      <c r="AB451" s="126"/>
      <c r="AC451" s="126"/>
    </row>
    <row r="452" spans="1:29" ht="15.75" customHeight="1">
      <c r="A452" s="126"/>
      <c r="B452" s="126"/>
      <c r="C452" s="176"/>
      <c r="D452" s="176"/>
      <c r="E452" s="176"/>
      <c r="F452" s="176"/>
      <c r="G452" s="176"/>
      <c r="H452" s="176"/>
      <c r="I452" s="126"/>
      <c r="J452" s="126"/>
      <c r="K452" s="126"/>
      <c r="L452" s="126"/>
      <c r="M452" s="126"/>
      <c r="N452" s="126"/>
      <c r="O452" s="126"/>
      <c r="P452" s="126"/>
      <c r="Q452" s="126"/>
      <c r="R452" s="126"/>
      <c r="S452" s="126"/>
      <c r="T452" s="126"/>
      <c r="U452" s="126"/>
      <c r="V452" s="126"/>
      <c r="W452" s="126"/>
      <c r="X452" s="126"/>
      <c r="Y452" s="126"/>
      <c r="Z452" s="126"/>
      <c r="AA452" s="126"/>
      <c r="AB452" s="126"/>
      <c r="AC452" s="126"/>
    </row>
    <row r="453" spans="1:29" ht="15.75" customHeight="1">
      <c r="A453" s="126"/>
      <c r="B453" s="126"/>
      <c r="C453" s="176"/>
      <c r="D453" s="176"/>
      <c r="E453" s="176"/>
      <c r="F453" s="176"/>
      <c r="G453" s="176"/>
      <c r="H453" s="176"/>
      <c r="I453" s="126"/>
      <c r="J453" s="126"/>
      <c r="K453" s="126"/>
      <c r="L453" s="126"/>
      <c r="M453" s="126"/>
      <c r="N453" s="126"/>
      <c r="O453" s="126"/>
      <c r="P453" s="126"/>
      <c r="Q453" s="126"/>
      <c r="R453" s="126"/>
      <c r="S453" s="126"/>
      <c r="T453" s="126"/>
      <c r="U453" s="126"/>
      <c r="V453" s="126"/>
      <c r="W453" s="126"/>
      <c r="X453" s="126"/>
      <c r="Y453" s="126"/>
      <c r="Z453" s="126"/>
      <c r="AA453" s="126"/>
      <c r="AB453" s="126"/>
      <c r="AC453" s="126"/>
    </row>
    <row r="454" spans="1:29" ht="15.75" customHeight="1">
      <c r="A454" s="126"/>
      <c r="B454" s="126"/>
      <c r="C454" s="176"/>
      <c r="D454" s="176"/>
      <c r="E454" s="176"/>
      <c r="F454" s="176"/>
      <c r="G454" s="176"/>
      <c r="H454" s="176"/>
      <c r="I454" s="126"/>
      <c r="J454" s="126"/>
      <c r="K454" s="126"/>
      <c r="L454" s="126"/>
      <c r="M454" s="126"/>
      <c r="N454" s="126"/>
      <c r="O454" s="126"/>
      <c r="P454" s="126"/>
      <c r="Q454" s="126"/>
      <c r="R454" s="126"/>
      <c r="S454" s="126"/>
      <c r="T454" s="126"/>
      <c r="U454" s="126"/>
      <c r="V454" s="126"/>
      <c r="W454" s="126"/>
      <c r="X454" s="126"/>
      <c r="Y454" s="126"/>
      <c r="Z454" s="126"/>
      <c r="AA454" s="126"/>
      <c r="AB454" s="126"/>
      <c r="AC454" s="126"/>
    </row>
    <row r="455" spans="1:29" ht="15.75" customHeight="1">
      <c r="A455" s="126"/>
      <c r="B455" s="126"/>
      <c r="C455" s="176"/>
      <c r="D455" s="176"/>
      <c r="E455" s="176"/>
      <c r="F455" s="176"/>
      <c r="G455" s="176"/>
      <c r="H455" s="176"/>
      <c r="I455" s="126"/>
      <c r="J455" s="126"/>
      <c r="K455" s="126"/>
      <c r="L455" s="126"/>
      <c r="M455" s="126"/>
      <c r="N455" s="126"/>
      <c r="O455" s="126"/>
      <c r="P455" s="126"/>
      <c r="Q455" s="126"/>
      <c r="R455" s="126"/>
      <c r="S455" s="126"/>
      <c r="T455" s="126"/>
      <c r="U455" s="126"/>
      <c r="V455" s="126"/>
      <c r="W455" s="126"/>
      <c r="X455" s="126"/>
      <c r="Y455" s="126"/>
      <c r="Z455" s="126"/>
      <c r="AA455" s="126"/>
      <c r="AB455" s="126"/>
      <c r="AC455" s="126"/>
    </row>
    <row r="456" spans="1:29" ht="15.75" customHeight="1">
      <c r="A456" s="126"/>
      <c r="B456" s="126"/>
      <c r="C456" s="176"/>
      <c r="D456" s="176"/>
      <c r="E456" s="176"/>
      <c r="F456" s="176"/>
      <c r="G456" s="176"/>
      <c r="H456" s="176"/>
      <c r="I456" s="126"/>
      <c r="J456" s="126"/>
      <c r="K456" s="126"/>
      <c r="L456" s="126"/>
      <c r="M456" s="126"/>
      <c r="N456" s="126"/>
      <c r="O456" s="126"/>
      <c r="P456" s="126"/>
      <c r="Q456" s="126"/>
      <c r="R456" s="126"/>
      <c r="S456" s="126"/>
      <c r="T456" s="126"/>
      <c r="U456" s="126"/>
      <c r="V456" s="126"/>
      <c r="W456" s="126"/>
      <c r="X456" s="126"/>
      <c r="Y456" s="126"/>
      <c r="Z456" s="126"/>
      <c r="AA456" s="126"/>
      <c r="AB456" s="126"/>
      <c r="AC456" s="126"/>
    </row>
    <row r="457" spans="1:29" ht="15.75" customHeight="1">
      <c r="A457" s="126"/>
      <c r="B457" s="126"/>
      <c r="C457" s="176"/>
      <c r="D457" s="176"/>
      <c r="E457" s="176"/>
      <c r="F457" s="176"/>
      <c r="G457" s="176"/>
      <c r="H457" s="176"/>
      <c r="I457" s="126"/>
      <c r="J457" s="126"/>
      <c r="K457" s="126"/>
      <c r="L457" s="126"/>
      <c r="M457" s="126"/>
      <c r="N457" s="126"/>
      <c r="O457" s="126"/>
      <c r="P457" s="126"/>
      <c r="Q457" s="126"/>
      <c r="R457" s="126"/>
      <c r="S457" s="126"/>
      <c r="T457" s="126"/>
      <c r="U457" s="126"/>
      <c r="V457" s="126"/>
      <c r="W457" s="126"/>
      <c r="X457" s="126"/>
      <c r="Y457" s="126"/>
      <c r="Z457" s="126"/>
      <c r="AA457" s="126"/>
      <c r="AB457" s="126"/>
      <c r="AC457" s="126"/>
    </row>
    <row r="458" spans="1:29" ht="15.75" customHeight="1">
      <c r="A458" s="126"/>
      <c r="B458" s="126"/>
      <c r="C458" s="176"/>
      <c r="D458" s="176"/>
      <c r="E458" s="176"/>
      <c r="F458" s="176"/>
      <c r="G458" s="176"/>
      <c r="H458" s="176"/>
      <c r="I458" s="126"/>
      <c r="J458" s="126"/>
      <c r="K458" s="126"/>
      <c r="L458" s="126"/>
      <c r="M458" s="126"/>
      <c r="N458" s="126"/>
      <c r="O458" s="126"/>
      <c r="P458" s="126"/>
      <c r="Q458" s="126"/>
      <c r="R458" s="126"/>
      <c r="S458" s="126"/>
      <c r="T458" s="126"/>
      <c r="U458" s="126"/>
      <c r="V458" s="126"/>
      <c r="W458" s="126"/>
      <c r="X458" s="126"/>
      <c r="Y458" s="126"/>
      <c r="Z458" s="126"/>
      <c r="AA458" s="126"/>
      <c r="AB458" s="126"/>
      <c r="AC458" s="126"/>
    </row>
    <row r="459" spans="1:29" ht="15.75" customHeight="1">
      <c r="A459" s="126"/>
      <c r="B459" s="126"/>
      <c r="C459" s="176"/>
      <c r="D459" s="176"/>
      <c r="E459" s="176"/>
      <c r="F459" s="176"/>
      <c r="G459" s="176"/>
      <c r="H459" s="176"/>
      <c r="I459" s="126"/>
      <c r="J459" s="126"/>
      <c r="K459" s="126"/>
      <c r="L459" s="126"/>
      <c r="M459" s="126"/>
      <c r="N459" s="126"/>
      <c r="O459" s="126"/>
      <c r="P459" s="126"/>
      <c r="Q459" s="126"/>
      <c r="R459" s="126"/>
      <c r="S459" s="126"/>
      <c r="T459" s="126"/>
      <c r="U459" s="126"/>
      <c r="V459" s="126"/>
      <c r="W459" s="126"/>
      <c r="X459" s="126"/>
      <c r="Y459" s="126"/>
      <c r="Z459" s="126"/>
      <c r="AA459" s="126"/>
      <c r="AB459" s="126"/>
      <c r="AC459" s="126"/>
    </row>
    <row r="460" spans="1:29" ht="15.75" customHeight="1">
      <c r="A460" s="126"/>
      <c r="B460" s="126"/>
      <c r="C460" s="176"/>
      <c r="D460" s="176"/>
      <c r="E460" s="176"/>
      <c r="F460" s="176"/>
      <c r="G460" s="176"/>
      <c r="H460" s="176"/>
      <c r="I460" s="126"/>
      <c r="J460" s="126"/>
      <c r="K460" s="126"/>
      <c r="L460" s="126"/>
      <c r="M460" s="126"/>
      <c r="N460" s="126"/>
      <c r="O460" s="126"/>
      <c r="P460" s="126"/>
      <c r="Q460" s="126"/>
      <c r="R460" s="126"/>
      <c r="S460" s="126"/>
      <c r="T460" s="126"/>
      <c r="U460" s="126"/>
      <c r="V460" s="126"/>
      <c r="W460" s="126"/>
      <c r="X460" s="126"/>
      <c r="Y460" s="126"/>
      <c r="Z460" s="126"/>
      <c r="AA460" s="126"/>
      <c r="AB460" s="126"/>
      <c r="AC460" s="126"/>
    </row>
    <row r="461" spans="1:29" ht="15.75" customHeight="1">
      <c r="A461" s="126"/>
      <c r="B461" s="126"/>
      <c r="C461" s="176"/>
      <c r="D461" s="176"/>
      <c r="E461" s="176"/>
      <c r="F461" s="176"/>
      <c r="G461" s="176"/>
      <c r="H461" s="176"/>
      <c r="I461" s="126"/>
      <c r="J461" s="126"/>
      <c r="K461" s="126"/>
      <c r="L461" s="126"/>
      <c r="M461" s="126"/>
      <c r="N461" s="126"/>
      <c r="O461" s="126"/>
      <c r="P461" s="126"/>
      <c r="Q461" s="126"/>
      <c r="R461" s="126"/>
      <c r="S461" s="126"/>
      <c r="T461" s="126"/>
      <c r="U461" s="126"/>
      <c r="V461" s="126"/>
      <c r="W461" s="126"/>
      <c r="X461" s="126"/>
      <c r="Y461" s="126"/>
      <c r="Z461" s="126"/>
      <c r="AA461" s="126"/>
      <c r="AB461" s="126"/>
      <c r="AC461" s="126"/>
    </row>
    <row r="462" spans="1:29" ht="15.75" customHeight="1">
      <c r="A462" s="126"/>
      <c r="B462" s="126"/>
      <c r="C462" s="176"/>
      <c r="D462" s="176"/>
      <c r="E462" s="176"/>
      <c r="F462" s="176"/>
      <c r="G462" s="176"/>
      <c r="H462" s="176"/>
      <c r="I462" s="126"/>
      <c r="J462" s="126"/>
      <c r="K462" s="126"/>
      <c r="L462" s="126"/>
      <c r="M462" s="126"/>
      <c r="N462" s="126"/>
      <c r="O462" s="126"/>
      <c r="P462" s="126"/>
      <c r="Q462" s="126"/>
      <c r="R462" s="126"/>
      <c r="S462" s="126"/>
      <c r="T462" s="126"/>
      <c r="U462" s="126"/>
      <c r="V462" s="126"/>
      <c r="W462" s="126"/>
      <c r="X462" s="126"/>
      <c r="Y462" s="126"/>
      <c r="Z462" s="126"/>
      <c r="AA462" s="126"/>
      <c r="AB462" s="126"/>
      <c r="AC462" s="126"/>
    </row>
    <row r="463" spans="1:29" ht="15.75" customHeight="1">
      <c r="A463" s="126"/>
      <c r="B463" s="126"/>
      <c r="C463" s="176"/>
      <c r="D463" s="176"/>
      <c r="E463" s="176"/>
      <c r="F463" s="176"/>
      <c r="G463" s="176"/>
      <c r="H463" s="176"/>
      <c r="I463" s="126"/>
      <c r="J463" s="126"/>
      <c r="K463" s="126"/>
      <c r="L463" s="126"/>
      <c r="M463" s="126"/>
      <c r="N463" s="126"/>
      <c r="O463" s="126"/>
      <c r="P463" s="126"/>
      <c r="Q463" s="126"/>
      <c r="R463" s="126"/>
      <c r="S463" s="126"/>
      <c r="T463" s="126"/>
      <c r="U463" s="126"/>
      <c r="V463" s="126"/>
      <c r="W463" s="126"/>
      <c r="X463" s="126"/>
      <c r="Y463" s="126"/>
      <c r="Z463" s="126"/>
      <c r="AA463" s="126"/>
      <c r="AB463" s="126"/>
      <c r="AC463" s="126"/>
    </row>
    <row r="464" spans="1:29" ht="15.75" customHeight="1">
      <c r="A464" s="126"/>
      <c r="B464" s="126"/>
      <c r="C464" s="176"/>
      <c r="D464" s="176"/>
      <c r="E464" s="176"/>
      <c r="F464" s="176"/>
      <c r="G464" s="176"/>
      <c r="H464" s="176"/>
      <c r="I464" s="126"/>
      <c r="J464" s="126"/>
      <c r="K464" s="126"/>
      <c r="L464" s="126"/>
      <c r="M464" s="126"/>
      <c r="N464" s="126"/>
      <c r="O464" s="126"/>
      <c r="P464" s="126"/>
      <c r="Q464" s="126"/>
      <c r="R464" s="126"/>
      <c r="S464" s="126"/>
      <c r="T464" s="126"/>
      <c r="U464" s="126"/>
      <c r="V464" s="126"/>
      <c r="W464" s="126"/>
      <c r="X464" s="126"/>
      <c r="Y464" s="126"/>
      <c r="Z464" s="126"/>
      <c r="AA464" s="126"/>
      <c r="AB464" s="126"/>
      <c r="AC464" s="126"/>
    </row>
    <row r="465" spans="1:29" ht="15.75" customHeight="1">
      <c r="A465" s="126"/>
      <c r="B465" s="126"/>
      <c r="C465" s="176"/>
      <c r="D465" s="176"/>
      <c r="E465" s="176"/>
      <c r="F465" s="176"/>
      <c r="G465" s="176"/>
      <c r="H465" s="176"/>
      <c r="I465" s="126"/>
      <c r="J465" s="126"/>
      <c r="K465" s="126"/>
      <c r="L465" s="126"/>
      <c r="M465" s="126"/>
      <c r="N465" s="126"/>
      <c r="O465" s="126"/>
      <c r="P465" s="126"/>
      <c r="Q465" s="126"/>
      <c r="R465" s="126"/>
      <c r="S465" s="126"/>
      <c r="T465" s="126"/>
      <c r="U465" s="126"/>
      <c r="V465" s="126"/>
      <c r="W465" s="126"/>
      <c r="X465" s="126"/>
      <c r="Y465" s="126"/>
      <c r="Z465" s="126"/>
      <c r="AA465" s="126"/>
      <c r="AB465" s="126"/>
      <c r="AC465" s="126"/>
    </row>
    <row r="466" spans="1:29" ht="15.75" customHeight="1">
      <c r="A466" s="126"/>
      <c r="B466" s="126"/>
      <c r="C466" s="176"/>
      <c r="D466" s="176"/>
      <c r="E466" s="176"/>
      <c r="F466" s="176"/>
      <c r="G466" s="176"/>
      <c r="H466" s="176"/>
      <c r="I466" s="126"/>
      <c r="J466" s="126"/>
      <c r="K466" s="126"/>
      <c r="L466" s="126"/>
      <c r="M466" s="126"/>
      <c r="N466" s="126"/>
      <c r="O466" s="126"/>
      <c r="P466" s="126"/>
      <c r="Q466" s="126"/>
      <c r="R466" s="126"/>
      <c r="S466" s="126"/>
      <c r="T466" s="126"/>
      <c r="U466" s="126"/>
      <c r="V466" s="126"/>
      <c r="W466" s="126"/>
      <c r="X466" s="126"/>
      <c r="Y466" s="126"/>
      <c r="Z466" s="126"/>
      <c r="AA466" s="126"/>
      <c r="AB466" s="126"/>
      <c r="AC466" s="126"/>
    </row>
    <row r="467" spans="1:29" ht="15.75" customHeight="1">
      <c r="A467" s="126"/>
      <c r="B467" s="126"/>
      <c r="C467" s="176"/>
      <c r="D467" s="176"/>
      <c r="E467" s="176"/>
      <c r="F467" s="176"/>
      <c r="G467" s="176"/>
      <c r="H467" s="176"/>
      <c r="I467" s="126"/>
      <c r="J467" s="126"/>
      <c r="K467" s="126"/>
      <c r="L467" s="126"/>
      <c r="M467" s="126"/>
      <c r="N467" s="126"/>
      <c r="O467" s="126"/>
      <c r="P467" s="126"/>
      <c r="Q467" s="126"/>
      <c r="R467" s="126"/>
      <c r="S467" s="126"/>
      <c r="T467" s="126"/>
      <c r="U467" s="126"/>
      <c r="V467" s="126"/>
      <c r="W467" s="126"/>
      <c r="X467" s="126"/>
      <c r="Y467" s="126"/>
      <c r="Z467" s="126"/>
      <c r="AA467" s="126"/>
      <c r="AB467" s="126"/>
      <c r="AC467" s="126"/>
    </row>
    <row r="468" spans="1:29" ht="15.75" customHeight="1">
      <c r="A468" s="126"/>
      <c r="B468" s="126"/>
      <c r="C468" s="176"/>
      <c r="D468" s="176"/>
      <c r="E468" s="176"/>
      <c r="F468" s="176"/>
      <c r="G468" s="176"/>
      <c r="H468" s="176"/>
      <c r="I468" s="126"/>
      <c r="J468" s="126"/>
      <c r="K468" s="126"/>
      <c r="L468" s="126"/>
      <c r="M468" s="126"/>
      <c r="N468" s="126"/>
      <c r="O468" s="126"/>
      <c r="P468" s="126"/>
      <c r="Q468" s="126"/>
      <c r="R468" s="126"/>
      <c r="S468" s="126"/>
      <c r="T468" s="126"/>
      <c r="U468" s="126"/>
      <c r="V468" s="126"/>
      <c r="W468" s="126"/>
      <c r="X468" s="126"/>
      <c r="Y468" s="126"/>
      <c r="Z468" s="126"/>
      <c r="AA468" s="126"/>
      <c r="AB468" s="126"/>
      <c r="AC468" s="126"/>
    </row>
    <row r="469" spans="1:29" ht="15.75" customHeight="1">
      <c r="A469" s="126"/>
      <c r="B469" s="126"/>
      <c r="C469" s="176"/>
      <c r="D469" s="176"/>
      <c r="E469" s="176"/>
      <c r="F469" s="176"/>
      <c r="G469" s="176"/>
      <c r="H469" s="176"/>
      <c r="I469" s="126"/>
      <c r="J469" s="126"/>
      <c r="K469" s="126"/>
      <c r="L469" s="126"/>
      <c r="M469" s="126"/>
      <c r="N469" s="126"/>
      <c r="O469" s="126"/>
      <c r="P469" s="126"/>
      <c r="Q469" s="126"/>
      <c r="R469" s="126"/>
      <c r="S469" s="126"/>
      <c r="T469" s="126"/>
      <c r="U469" s="126"/>
      <c r="V469" s="126"/>
      <c r="W469" s="126"/>
      <c r="X469" s="126"/>
      <c r="Y469" s="126"/>
      <c r="Z469" s="126"/>
      <c r="AA469" s="126"/>
      <c r="AB469" s="126"/>
      <c r="AC469" s="126"/>
    </row>
    <row r="470" spans="1:29" ht="15.75" customHeight="1">
      <c r="A470" s="126"/>
      <c r="B470" s="126"/>
      <c r="C470" s="176"/>
      <c r="D470" s="176"/>
      <c r="E470" s="176"/>
      <c r="F470" s="176"/>
      <c r="G470" s="176"/>
      <c r="H470" s="176"/>
      <c r="I470" s="126"/>
      <c r="J470" s="126"/>
      <c r="K470" s="126"/>
      <c r="L470" s="126"/>
      <c r="M470" s="126"/>
      <c r="N470" s="126"/>
      <c r="O470" s="126"/>
      <c r="P470" s="126"/>
      <c r="Q470" s="126"/>
      <c r="R470" s="126"/>
      <c r="S470" s="126"/>
      <c r="T470" s="126"/>
      <c r="U470" s="126"/>
      <c r="V470" s="126"/>
      <c r="W470" s="126"/>
      <c r="X470" s="126"/>
      <c r="Y470" s="126"/>
      <c r="Z470" s="126"/>
      <c r="AA470" s="126"/>
      <c r="AB470" s="126"/>
      <c r="AC470" s="126"/>
    </row>
    <row r="471" spans="1:29" ht="15.75" customHeight="1">
      <c r="A471" s="126"/>
      <c r="B471" s="126"/>
      <c r="C471" s="176"/>
      <c r="D471" s="176"/>
      <c r="E471" s="176"/>
      <c r="F471" s="176"/>
      <c r="G471" s="176"/>
      <c r="H471" s="176"/>
      <c r="I471" s="126"/>
      <c r="J471" s="126"/>
      <c r="K471" s="126"/>
      <c r="L471" s="126"/>
      <c r="M471" s="126"/>
      <c r="N471" s="126"/>
      <c r="O471" s="126"/>
      <c r="P471" s="126"/>
      <c r="Q471" s="126"/>
      <c r="R471" s="126"/>
      <c r="S471" s="126"/>
      <c r="T471" s="126"/>
      <c r="U471" s="126"/>
      <c r="V471" s="126"/>
      <c r="W471" s="126"/>
      <c r="X471" s="126"/>
      <c r="Y471" s="126"/>
      <c r="Z471" s="126"/>
      <c r="AA471" s="126"/>
      <c r="AB471" s="126"/>
      <c r="AC471" s="126"/>
    </row>
    <row r="472" spans="1:29" ht="15.75" customHeight="1">
      <c r="A472" s="126"/>
      <c r="B472" s="126"/>
      <c r="C472" s="176"/>
      <c r="D472" s="176"/>
      <c r="E472" s="176"/>
      <c r="F472" s="176"/>
      <c r="G472" s="176"/>
      <c r="H472" s="176"/>
      <c r="I472" s="126"/>
      <c r="J472" s="126"/>
      <c r="K472" s="126"/>
      <c r="L472" s="126"/>
      <c r="M472" s="126"/>
      <c r="N472" s="126"/>
      <c r="O472" s="126"/>
      <c r="P472" s="126"/>
      <c r="Q472" s="126"/>
      <c r="R472" s="126"/>
      <c r="S472" s="126"/>
      <c r="T472" s="126"/>
      <c r="U472" s="126"/>
      <c r="V472" s="126"/>
      <c r="W472" s="126"/>
      <c r="X472" s="126"/>
      <c r="Y472" s="126"/>
      <c r="Z472" s="126"/>
      <c r="AA472" s="126"/>
      <c r="AB472" s="126"/>
      <c r="AC472" s="126"/>
    </row>
    <row r="473" spans="1:29" ht="15.75" customHeight="1">
      <c r="A473" s="126"/>
      <c r="B473" s="126"/>
      <c r="C473" s="176"/>
      <c r="D473" s="176"/>
      <c r="E473" s="176"/>
      <c r="F473" s="176"/>
      <c r="G473" s="176"/>
      <c r="H473" s="176"/>
      <c r="I473" s="126"/>
      <c r="J473" s="126"/>
      <c r="K473" s="126"/>
      <c r="L473" s="126"/>
      <c r="M473" s="126"/>
      <c r="N473" s="126"/>
      <c r="O473" s="126"/>
      <c r="P473" s="126"/>
      <c r="Q473" s="126"/>
      <c r="R473" s="126"/>
      <c r="S473" s="126"/>
      <c r="T473" s="126"/>
      <c r="U473" s="126"/>
      <c r="V473" s="126"/>
      <c r="W473" s="126"/>
      <c r="X473" s="126"/>
      <c r="Y473" s="126"/>
      <c r="Z473" s="126"/>
      <c r="AA473" s="126"/>
      <c r="AB473" s="126"/>
      <c r="AC473" s="126"/>
    </row>
    <row r="474" spans="1:29" ht="15.75" customHeight="1">
      <c r="A474" s="126"/>
      <c r="B474" s="126"/>
      <c r="C474" s="176"/>
      <c r="D474" s="176"/>
      <c r="E474" s="176"/>
      <c r="F474" s="176"/>
      <c r="G474" s="176"/>
      <c r="H474" s="176"/>
      <c r="I474" s="126"/>
      <c r="J474" s="126"/>
      <c r="K474" s="126"/>
      <c r="L474" s="126"/>
      <c r="M474" s="126"/>
      <c r="N474" s="126"/>
      <c r="O474" s="126"/>
      <c r="P474" s="126"/>
      <c r="Q474" s="126"/>
      <c r="R474" s="126"/>
      <c r="S474" s="126"/>
      <c r="T474" s="126"/>
      <c r="U474" s="126"/>
      <c r="V474" s="126"/>
      <c r="W474" s="126"/>
      <c r="X474" s="126"/>
      <c r="Y474" s="126"/>
      <c r="Z474" s="126"/>
      <c r="AA474" s="126"/>
      <c r="AB474" s="126"/>
      <c r="AC474" s="126"/>
    </row>
    <row r="475" spans="1:29" ht="15.75" customHeight="1">
      <c r="A475" s="126"/>
      <c r="B475" s="126"/>
      <c r="C475" s="176"/>
      <c r="D475" s="176"/>
      <c r="E475" s="176"/>
      <c r="F475" s="176"/>
      <c r="G475" s="176"/>
      <c r="H475" s="176"/>
      <c r="I475" s="126"/>
      <c r="J475" s="126"/>
      <c r="K475" s="126"/>
      <c r="L475" s="126"/>
      <c r="M475" s="126"/>
      <c r="N475" s="126"/>
      <c r="O475" s="126"/>
      <c r="P475" s="126"/>
      <c r="Q475" s="126"/>
      <c r="R475" s="126"/>
      <c r="S475" s="126"/>
      <c r="T475" s="126"/>
      <c r="U475" s="126"/>
      <c r="V475" s="126"/>
      <c r="W475" s="126"/>
      <c r="X475" s="126"/>
      <c r="Y475" s="126"/>
      <c r="Z475" s="126"/>
      <c r="AA475" s="126"/>
      <c r="AB475" s="126"/>
      <c r="AC475" s="126"/>
    </row>
    <row r="476" spans="1:29" ht="15.75" customHeight="1">
      <c r="A476" s="126"/>
      <c r="B476" s="126"/>
      <c r="C476" s="176"/>
      <c r="D476" s="176"/>
      <c r="E476" s="176"/>
      <c r="F476" s="176"/>
      <c r="G476" s="176"/>
      <c r="H476" s="176"/>
      <c r="I476" s="126"/>
      <c r="J476" s="126"/>
      <c r="K476" s="126"/>
      <c r="L476" s="126"/>
      <c r="M476" s="126"/>
      <c r="N476" s="126"/>
      <c r="O476" s="126"/>
      <c r="P476" s="126"/>
      <c r="Q476" s="126"/>
      <c r="R476" s="126"/>
      <c r="S476" s="126"/>
      <c r="T476" s="126"/>
      <c r="U476" s="126"/>
      <c r="V476" s="126"/>
      <c r="W476" s="126"/>
      <c r="X476" s="126"/>
      <c r="Y476" s="126"/>
      <c r="Z476" s="126"/>
      <c r="AA476" s="126"/>
      <c r="AB476" s="126"/>
      <c r="AC476" s="126"/>
    </row>
    <row r="477" spans="1:29" ht="15.75" customHeight="1">
      <c r="A477" s="126"/>
      <c r="B477" s="126"/>
      <c r="C477" s="176"/>
      <c r="D477" s="176"/>
      <c r="E477" s="176"/>
      <c r="F477" s="176"/>
      <c r="G477" s="176"/>
      <c r="H477" s="176"/>
      <c r="I477" s="126"/>
      <c r="J477" s="126"/>
      <c r="K477" s="126"/>
      <c r="L477" s="126"/>
      <c r="M477" s="126"/>
      <c r="N477" s="126"/>
      <c r="O477" s="126"/>
      <c r="P477" s="126"/>
      <c r="Q477" s="126"/>
      <c r="R477" s="126"/>
      <c r="S477" s="126"/>
      <c r="T477" s="126"/>
      <c r="U477" s="126"/>
      <c r="V477" s="126"/>
      <c r="W477" s="126"/>
      <c r="X477" s="126"/>
      <c r="Y477" s="126"/>
      <c r="Z477" s="126"/>
      <c r="AA477" s="126"/>
      <c r="AB477" s="126"/>
      <c r="AC477" s="126"/>
    </row>
    <row r="478" spans="1:29" ht="15.75" customHeight="1">
      <c r="A478" s="126"/>
      <c r="B478" s="126"/>
      <c r="C478" s="176"/>
      <c r="D478" s="176"/>
      <c r="E478" s="176"/>
      <c r="F478" s="176"/>
      <c r="G478" s="176"/>
      <c r="H478" s="176"/>
      <c r="I478" s="126"/>
      <c r="J478" s="126"/>
      <c r="K478" s="126"/>
      <c r="L478" s="126"/>
      <c r="M478" s="126"/>
      <c r="N478" s="126"/>
      <c r="O478" s="126"/>
      <c r="P478" s="126"/>
      <c r="Q478" s="126"/>
      <c r="R478" s="126"/>
      <c r="S478" s="126"/>
      <c r="T478" s="126"/>
      <c r="U478" s="126"/>
      <c r="V478" s="126"/>
      <c r="W478" s="126"/>
      <c r="X478" s="126"/>
      <c r="Y478" s="126"/>
      <c r="Z478" s="126"/>
      <c r="AA478" s="126"/>
      <c r="AB478" s="126"/>
      <c r="AC478" s="126"/>
    </row>
    <row r="479" spans="1:29" ht="15.75" customHeight="1">
      <c r="A479" s="126"/>
      <c r="B479" s="126"/>
      <c r="C479" s="176"/>
      <c r="D479" s="176"/>
      <c r="E479" s="176"/>
      <c r="F479" s="176"/>
      <c r="G479" s="176"/>
      <c r="H479" s="176"/>
      <c r="I479" s="126"/>
      <c r="J479" s="126"/>
      <c r="K479" s="126"/>
      <c r="L479" s="126"/>
      <c r="M479" s="126"/>
      <c r="N479" s="126"/>
      <c r="O479" s="126"/>
      <c r="P479" s="126"/>
      <c r="Q479" s="126"/>
      <c r="R479" s="126"/>
      <c r="S479" s="126"/>
      <c r="T479" s="126"/>
      <c r="U479" s="126"/>
      <c r="V479" s="126"/>
      <c r="W479" s="126"/>
      <c r="X479" s="126"/>
      <c r="Y479" s="126"/>
      <c r="Z479" s="126"/>
      <c r="AA479" s="126"/>
      <c r="AB479" s="126"/>
      <c r="AC479" s="126"/>
    </row>
    <row r="480" spans="1:29" ht="15.75" customHeight="1">
      <c r="A480" s="126"/>
      <c r="B480" s="126"/>
      <c r="C480" s="176"/>
      <c r="D480" s="176"/>
      <c r="E480" s="176"/>
      <c r="F480" s="176"/>
      <c r="G480" s="176"/>
      <c r="H480" s="176"/>
      <c r="I480" s="126"/>
      <c r="J480" s="126"/>
      <c r="K480" s="126"/>
      <c r="L480" s="126"/>
      <c r="M480" s="126"/>
      <c r="N480" s="126"/>
      <c r="O480" s="126"/>
      <c r="P480" s="126"/>
      <c r="Q480" s="126"/>
      <c r="R480" s="126"/>
      <c r="S480" s="126"/>
      <c r="T480" s="126"/>
      <c r="U480" s="126"/>
      <c r="V480" s="126"/>
      <c r="W480" s="126"/>
      <c r="X480" s="126"/>
      <c r="Y480" s="126"/>
      <c r="Z480" s="126"/>
      <c r="AA480" s="126"/>
      <c r="AB480" s="126"/>
      <c r="AC480" s="126"/>
    </row>
    <row r="481" spans="1:29" ht="15.75" customHeight="1">
      <c r="A481" s="126"/>
      <c r="B481" s="126"/>
      <c r="C481" s="176"/>
      <c r="D481" s="176"/>
      <c r="E481" s="176"/>
      <c r="F481" s="176"/>
      <c r="G481" s="176"/>
      <c r="H481" s="176"/>
      <c r="I481" s="126"/>
      <c r="J481" s="126"/>
      <c r="K481" s="126"/>
      <c r="L481" s="126"/>
      <c r="M481" s="126"/>
      <c r="N481" s="126"/>
      <c r="O481" s="126"/>
      <c r="P481" s="126"/>
      <c r="Q481" s="126"/>
      <c r="R481" s="126"/>
      <c r="S481" s="126"/>
      <c r="T481" s="126"/>
      <c r="U481" s="126"/>
      <c r="V481" s="126"/>
      <c r="W481" s="126"/>
      <c r="X481" s="126"/>
      <c r="Y481" s="126"/>
      <c r="Z481" s="126"/>
      <c r="AA481" s="126"/>
      <c r="AB481" s="126"/>
      <c r="AC481" s="126"/>
    </row>
    <row r="482" spans="1:29" ht="15.75" customHeight="1">
      <c r="A482" s="126"/>
      <c r="B482" s="126"/>
      <c r="C482" s="176"/>
      <c r="D482" s="176"/>
      <c r="E482" s="176"/>
      <c r="F482" s="176"/>
      <c r="G482" s="176"/>
      <c r="H482" s="176"/>
      <c r="I482" s="126"/>
      <c r="J482" s="126"/>
      <c r="K482" s="126"/>
      <c r="L482" s="126"/>
      <c r="M482" s="126"/>
      <c r="N482" s="126"/>
      <c r="O482" s="126"/>
      <c r="P482" s="126"/>
      <c r="Q482" s="126"/>
      <c r="R482" s="126"/>
      <c r="S482" s="126"/>
      <c r="T482" s="126"/>
      <c r="U482" s="126"/>
      <c r="V482" s="126"/>
      <c r="W482" s="126"/>
      <c r="X482" s="126"/>
      <c r="Y482" s="126"/>
      <c r="Z482" s="126"/>
      <c r="AA482" s="126"/>
      <c r="AB482" s="126"/>
      <c r="AC482" s="126"/>
    </row>
    <row r="483" spans="1:29" ht="15.75" customHeight="1">
      <c r="A483" s="126"/>
      <c r="B483" s="126"/>
      <c r="C483" s="176"/>
      <c r="D483" s="176"/>
      <c r="E483" s="176"/>
      <c r="F483" s="176"/>
      <c r="G483" s="176"/>
      <c r="H483" s="176"/>
      <c r="I483" s="126"/>
      <c r="J483" s="126"/>
      <c r="K483" s="126"/>
      <c r="L483" s="126"/>
      <c r="M483" s="126"/>
      <c r="N483" s="126"/>
      <c r="O483" s="126"/>
      <c r="P483" s="126"/>
      <c r="Q483" s="126"/>
      <c r="R483" s="126"/>
      <c r="S483" s="126"/>
      <c r="T483" s="126"/>
      <c r="U483" s="126"/>
      <c r="V483" s="126"/>
      <c r="W483" s="126"/>
      <c r="X483" s="126"/>
      <c r="Y483" s="126"/>
      <c r="Z483" s="126"/>
      <c r="AA483" s="126"/>
      <c r="AB483" s="126"/>
      <c r="AC483" s="126"/>
    </row>
    <row r="484" spans="1:29" ht="15.75" customHeight="1">
      <c r="A484" s="126"/>
      <c r="B484" s="126"/>
      <c r="C484" s="176"/>
      <c r="D484" s="176"/>
      <c r="E484" s="176"/>
      <c r="F484" s="176"/>
      <c r="G484" s="176"/>
      <c r="H484" s="176"/>
      <c r="I484" s="126"/>
      <c r="J484" s="126"/>
      <c r="K484" s="126"/>
      <c r="L484" s="126"/>
      <c r="M484" s="126"/>
      <c r="N484" s="126"/>
      <c r="O484" s="126"/>
      <c r="P484" s="126"/>
      <c r="Q484" s="126"/>
      <c r="R484" s="126"/>
      <c r="S484" s="126"/>
      <c r="T484" s="126"/>
      <c r="U484" s="126"/>
      <c r="V484" s="126"/>
      <c r="W484" s="126"/>
      <c r="X484" s="126"/>
      <c r="Y484" s="126"/>
      <c r="Z484" s="126"/>
      <c r="AA484" s="126"/>
      <c r="AB484" s="126"/>
      <c r="AC484" s="126"/>
    </row>
    <row r="485" spans="1:29" ht="15.75" customHeight="1">
      <c r="A485" s="126"/>
      <c r="B485" s="126"/>
      <c r="C485" s="176"/>
      <c r="D485" s="176"/>
      <c r="E485" s="176"/>
      <c r="F485" s="176"/>
      <c r="G485" s="176"/>
      <c r="H485" s="176"/>
      <c r="I485" s="126"/>
      <c r="J485" s="126"/>
      <c r="K485" s="126"/>
      <c r="L485" s="126"/>
      <c r="M485" s="126"/>
      <c r="N485" s="126"/>
      <c r="O485" s="126"/>
      <c r="P485" s="126"/>
      <c r="Q485" s="126"/>
      <c r="R485" s="126"/>
      <c r="S485" s="126"/>
      <c r="T485" s="126"/>
      <c r="U485" s="126"/>
      <c r="V485" s="126"/>
      <c r="W485" s="126"/>
      <c r="X485" s="126"/>
      <c r="Y485" s="126"/>
      <c r="Z485" s="126"/>
      <c r="AA485" s="126"/>
      <c r="AB485" s="126"/>
      <c r="AC485" s="126"/>
    </row>
    <row r="486" spans="1:29" ht="15.75" customHeight="1">
      <c r="A486" s="126"/>
      <c r="B486" s="126"/>
      <c r="C486" s="176"/>
      <c r="D486" s="176"/>
      <c r="E486" s="176"/>
      <c r="F486" s="176"/>
      <c r="G486" s="176"/>
      <c r="H486" s="176"/>
      <c r="I486" s="126"/>
      <c r="J486" s="126"/>
      <c r="K486" s="126"/>
      <c r="L486" s="126"/>
      <c r="M486" s="126"/>
      <c r="N486" s="126"/>
      <c r="O486" s="126"/>
      <c r="P486" s="126"/>
      <c r="Q486" s="126"/>
      <c r="R486" s="126"/>
      <c r="S486" s="126"/>
      <c r="T486" s="126"/>
      <c r="U486" s="126"/>
      <c r="V486" s="126"/>
      <c r="W486" s="126"/>
      <c r="X486" s="126"/>
      <c r="Y486" s="126"/>
      <c r="Z486" s="126"/>
      <c r="AA486" s="126"/>
      <c r="AB486" s="126"/>
      <c r="AC486" s="126"/>
    </row>
    <row r="487" spans="1:29" ht="15.75" customHeight="1">
      <c r="A487" s="126"/>
      <c r="B487" s="126"/>
      <c r="C487" s="176"/>
      <c r="D487" s="176"/>
      <c r="E487" s="176"/>
      <c r="F487" s="176"/>
      <c r="G487" s="176"/>
      <c r="H487" s="176"/>
      <c r="I487" s="126"/>
      <c r="J487" s="126"/>
      <c r="K487" s="126"/>
      <c r="L487" s="126"/>
      <c r="M487" s="126"/>
      <c r="N487" s="126"/>
      <c r="O487" s="126"/>
      <c r="P487" s="126"/>
      <c r="Q487" s="126"/>
      <c r="R487" s="126"/>
      <c r="S487" s="126"/>
      <c r="T487" s="126"/>
      <c r="U487" s="126"/>
      <c r="V487" s="126"/>
      <c r="W487" s="126"/>
      <c r="X487" s="126"/>
      <c r="Y487" s="126"/>
      <c r="Z487" s="126"/>
      <c r="AA487" s="126"/>
      <c r="AB487" s="126"/>
      <c r="AC487" s="126"/>
    </row>
    <row r="488" spans="1:29" ht="15.75" customHeight="1">
      <c r="A488" s="126"/>
      <c r="B488" s="126"/>
      <c r="C488" s="176"/>
      <c r="D488" s="176"/>
      <c r="E488" s="176"/>
      <c r="F488" s="176"/>
      <c r="G488" s="176"/>
      <c r="H488" s="176"/>
      <c r="I488" s="126"/>
      <c r="J488" s="126"/>
      <c r="K488" s="126"/>
      <c r="L488" s="126"/>
      <c r="M488" s="126"/>
      <c r="N488" s="126"/>
      <c r="O488" s="126"/>
      <c r="P488" s="126"/>
      <c r="Q488" s="126"/>
      <c r="R488" s="126"/>
      <c r="S488" s="126"/>
      <c r="T488" s="126"/>
      <c r="U488" s="126"/>
      <c r="V488" s="126"/>
      <c r="W488" s="126"/>
      <c r="X488" s="126"/>
      <c r="Y488" s="126"/>
      <c r="Z488" s="126"/>
      <c r="AA488" s="126"/>
      <c r="AB488" s="126"/>
      <c r="AC488" s="126"/>
    </row>
    <row r="489" spans="1:29" ht="15.75" customHeight="1">
      <c r="A489" s="126"/>
      <c r="B489" s="126"/>
      <c r="C489" s="176"/>
      <c r="D489" s="176"/>
      <c r="E489" s="176"/>
      <c r="F489" s="176"/>
      <c r="G489" s="176"/>
      <c r="H489" s="176"/>
      <c r="I489" s="126"/>
      <c r="J489" s="126"/>
      <c r="K489" s="126"/>
      <c r="L489" s="126"/>
      <c r="M489" s="126"/>
      <c r="N489" s="126"/>
      <c r="O489" s="126"/>
      <c r="P489" s="126"/>
      <c r="Q489" s="126"/>
      <c r="R489" s="126"/>
      <c r="S489" s="126"/>
      <c r="T489" s="126"/>
      <c r="U489" s="126"/>
      <c r="V489" s="126"/>
      <c r="W489" s="126"/>
      <c r="X489" s="126"/>
      <c r="Y489" s="126"/>
      <c r="Z489" s="126"/>
      <c r="AA489" s="126"/>
      <c r="AB489" s="126"/>
      <c r="AC489" s="126"/>
    </row>
    <row r="490" spans="1:29" ht="15.75" customHeight="1">
      <c r="A490" s="126"/>
      <c r="B490" s="126"/>
      <c r="C490" s="176"/>
      <c r="D490" s="176"/>
      <c r="E490" s="176"/>
      <c r="F490" s="176"/>
      <c r="G490" s="176"/>
      <c r="H490" s="176"/>
      <c r="I490" s="126"/>
      <c r="J490" s="126"/>
      <c r="K490" s="126"/>
      <c r="L490" s="126"/>
      <c r="M490" s="126"/>
      <c r="N490" s="126"/>
      <c r="O490" s="126"/>
      <c r="P490" s="126"/>
      <c r="Q490" s="126"/>
      <c r="R490" s="126"/>
      <c r="S490" s="126"/>
      <c r="T490" s="126"/>
      <c r="U490" s="126"/>
      <c r="V490" s="126"/>
      <c r="W490" s="126"/>
      <c r="X490" s="126"/>
      <c r="Y490" s="126"/>
      <c r="Z490" s="126"/>
      <c r="AA490" s="126"/>
      <c r="AB490" s="126"/>
      <c r="AC490" s="126"/>
    </row>
    <row r="491" spans="1:29" ht="15.75" customHeight="1">
      <c r="A491" s="126"/>
      <c r="B491" s="126"/>
      <c r="C491" s="176"/>
      <c r="D491" s="176"/>
      <c r="E491" s="176"/>
      <c r="F491" s="176"/>
      <c r="G491" s="176"/>
      <c r="H491" s="176"/>
      <c r="I491" s="126"/>
      <c r="J491" s="126"/>
      <c r="K491" s="126"/>
      <c r="L491" s="126"/>
      <c r="M491" s="126"/>
      <c r="N491" s="126"/>
      <c r="O491" s="126"/>
      <c r="P491" s="126"/>
      <c r="Q491" s="126"/>
      <c r="R491" s="126"/>
      <c r="S491" s="126"/>
      <c r="T491" s="126"/>
      <c r="U491" s="126"/>
      <c r="V491" s="126"/>
      <c r="W491" s="126"/>
      <c r="X491" s="126"/>
      <c r="Y491" s="126"/>
      <c r="Z491" s="126"/>
      <c r="AA491" s="126"/>
      <c r="AB491" s="126"/>
      <c r="AC491" s="126"/>
    </row>
    <row r="492" spans="1:29" ht="15.75" customHeight="1">
      <c r="A492" s="126"/>
      <c r="B492" s="126"/>
      <c r="C492" s="176"/>
      <c r="D492" s="176"/>
      <c r="E492" s="176"/>
      <c r="F492" s="176"/>
      <c r="G492" s="176"/>
      <c r="H492" s="176"/>
      <c r="I492" s="126"/>
      <c r="J492" s="126"/>
      <c r="K492" s="126"/>
      <c r="L492" s="126"/>
      <c r="M492" s="126"/>
      <c r="N492" s="126"/>
      <c r="O492" s="126"/>
      <c r="P492" s="126"/>
      <c r="Q492" s="126"/>
      <c r="R492" s="126"/>
      <c r="S492" s="126"/>
      <c r="T492" s="126"/>
      <c r="U492" s="126"/>
      <c r="V492" s="126"/>
      <c r="W492" s="126"/>
      <c r="X492" s="126"/>
      <c r="Y492" s="126"/>
      <c r="Z492" s="126"/>
      <c r="AA492" s="126"/>
      <c r="AB492" s="126"/>
      <c r="AC492" s="126"/>
    </row>
    <row r="493" spans="1:29" ht="15.75" customHeight="1">
      <c r="A493" s="126"/>
      <c r="B493" s="126"/>
      <c r="C493" s="176"/>
      <c r="D493" s="176"/>
      <c r="E493" s="176"/>
      <c r="F493" s="176"/>
      <c r="G493" s="176"/>
      <c r="H493" s="176"/>
      <c r="I493" s="126"/>
      <c r="J493" s="126"/>
      <c r="K493" s="126"/>
      <c r="L493" s="126"/>
      <c r="M493" s="126"/>
      <c r="N493" s="126"/>
      <c r="O493" s="126"/>
      <c r="P493" s="126"/>
      <c r="Q493" s="126"/>
      <c r="R493" s="126"/>
      <c r="S493" s="126"/>
      <c r="T493" s="126"/>
      <c r="U493" s="126"/>
      <c r="V493" s="126"/>
      <c r="W493" s="126"/>
      <c r="X493" s="126"/>
      <c r="Y493" s="126"/>
      <c r="Z493" s="126"/>
      <c r="AA493" s="126"/>
      <c r="AB493" s="126"/>
      <c r="AC493" s="126"/>
    </row>
    <row r="494" spans="1:29" ht="15.75" customHeight="1">
      <c r="A494" s="126"/>
      <c r="B494" s="126"/>
      <c r="C494" s="176"/>
      <c r="D494" s="176"/>
      <c r="E494" s="176"/>
      <c r="F494" s="176"/>
      <c r="G494" s="176"/>
      <c r="H494" s="176"/>
      <c r="I494" s="126"/>
      <c r="J494" s="126"/>
      <c r="K494" s="126"/>
      <c r="L494" s="126"/>
      <c r="M494" s="126"/>
      <c r="N494" s="126"/>
      <c r="O494" s="126"/>
      <c r="P494" s="126"/>
      <c r="Q494" s="126"/>
      <c r="R494" s="126"/>
      <c r="S494" s="126"/>
      <c r="T494" s="126"/>
      <c r="U494" s="126"/>
      <c r="V494" s="126"/>
      <c r="W494" s="126"/>
      <c r="X494" s="126"/>
      <c r="Y494" s="126"/>
      <c r="Z494" s="126"/>
      <c r="AA494" s="126"/>
      <c r="AB494" s="126"/>
      <c r="AC494" s="126"/>
    </row>
    <row r="495" spans="1:29" ht="15.75" customHeight="1">
      <c r="A495" s="126"/>
      <c r="B495" s="126"/>
      <c r="C495" s="176"/>
      <c r="D495" s="176"/>
      <c r="E495" s="176"/>
      <c r="F495" s="176"/>
      <c r="G495" s="176"/>
      <c r="H495" s="176"/>
      <c r="I495" s="126"/>
      <c r="J495" s="126"/>
      <c r="K495" s="126"/>
      <c r="L495" s="126"/>
      <c r="M495" s="126"/>
      <c r="N495" s="126"/>
      <c r="O495" s="126"/>
      <c r="P495" s="126"/>
      <c r="Q495" s="126"/>
      <c r="R495" s="126"/>
      <c r="S495" s="126"/>
      <c r="T495" s="126"/>
      <c r="U495" s="126"/>
      <c r="V495" s="126"/>
      <c r="W495" s="126"/>
      <c r="X495" s="126"/>
      <c r="Y495" s="126"/>
      <c r="Z495" s="126"/>
      <c r="AA495" s="126"/>
      <c r="AB495" s="126"/>
      <c r="AC495" s="126"/>
    </row>
    <row r="496" spans="1:29" ht="15.75" customHeight="1">
      <c r="A496" s="126"/>
      <c r="B496" s="126"/>
      <c r="C496" s="176"/>
      <c r="D496" s="176"/>
      <c r="E496" s="176"/>
      <c r="F496" s="176"/>
      <c r="G496" s="176"/>
      <c r="H496" s="176"/>
      <c r="I496" s="126"/>
      <c r="J496" s="126"/>
      <c r="K496" s="126"/>
      <c r="L496" s="126"/>
      <c r="M496" s="126"/>
      <c r="N496" s="126"/>
      <c r="O496" s="126"/>
      <c r="P496" s="126"/>
      <c r="Q496" s="126"/>
      <c r="R496" s="126"/>
      <c r="S496" s="126"/>
      <c r="T496" s="126"/>
      <c r="U496" s="126"/>
      <c r="V496" s="126"/>
      <c r="W496" s="126"/>
      <c r="X496" s="126"/>
      <c r="Y496" s="126"/>
      <c r="Z496" s="126"/>
      <c r="AA496" s="126"/>
      <c r="AB496" s="126"/>
      <c r="AC496" s="126"/>
    </row>
    <row r="497" spans="1:29" ht="15.75" customHeight="1">
      <c r="A497" s="126"/>
      <c r="B497" s="126"/>
      <c r="C497" s="176"/>
      <c r="D497" s="176"/>
      <c r="E497" s="176"/>
      <c r="F497" s="176"/>
      <c r="G497" s="176"/>
      <c r="H497" s="176"/>
      <c r="I497" s="126"/>
      <c r="J497" s="126"/>
      <c r="K497" s="126"/>
      <c r="L497" s="126"/>
      <c r="M497" s="126"/>
      <c r="N497" s="126"/>
      <c r="O497" s="126"/>
      <c r="P497" s="126"/>
      <c r="Q497" s="126"/>
      <c r="R497" s="126"/>
      <c r="S497" s="126"/>
      <c r="T497" s="126"/>
      <c r="U497" s="126"/>
      <c r="V497" s="126"/>
      <c r="W497" s="126"/>
      <c r="X497" s="126"/>
      <c r="Y497" s="126"/>
      <c r="Z497" s="126"/>
      <c r="AA497" s="126"/>
      <c r="AB497" s="126"/>
      <c r="AC497" s="126"/>
    </row>
    <row r="498" spans="1:29" ht="15.75" customHeight="1">
      <c r="A498" s="126"/>
      <c r="B498" s="126"/>
      <c r="C498" s="176"/>
      <c r="D498" s="176"/>
      <c r="E498" s="176"/>
      <c r="F498" s="176"/>
      <c r="G498" s="176"/>
      <c r="H498" s="176"/>
      <c r="I498" s="126"/>
      <c r="J498" s="126"/>
      <c r="K498" s="126"/>
      <c r="L498" s="126"/>
      <c r="M498" s="126"/>
      <c r="N498" s="126"/>
      <c r="O498" s="126"/>
      <c r="P498" s="126"/>
      <c r="Q498" s="126"/>
      <c r="R498" s="126"/>
      <c r="S498" s="126"/>
      <c r="T498" s="126"/>
      <c r="U498" s="126"/>
      <c r="V498" s="126"/>
      <c r="W498" s="126"/>
      <c r="X498" s="126"/>
      <c r="Y498" s="126"/>
      <c r="Z498" s="126"/>
      <c r="AA498" s="126"/>
      <c r="AB498" s="126"/>
      <c r="AC498" s="126"/>
    </row>
    <row r="499" spans="1:29" ht="15.75" customHeight="1">
      <c r="A499" s="126"/>
      <c r="B499" s="126"/>
      <c r="C499" s="176"/>
      <c r="D499" s="176"/>
      <c r="E499" s="176"/>
      <c r="F499" s="176"/>
      <c r="G499" s="176"/>
      <c r="H499" s="176"/>
      <c r="I499" s="126"/>
      <c r="J499" s="126"/>
      <c r="K499" s="126"/>
      <c r="L499" s="126"/>
      <c r="M499" s="126"/>
      <c r="N499" s="126"/>
      <c r="O499" s="126"/>
      <c r="P499" s="126"/>
      <c r="Q499" s="126"/>
      <c r="R499" s="126"/>
      <c r="S499" s="126"/>
      <c r="T499" s="126"/>
      <c r="U499" s="126"/>
      <c r="V499" s="126"/>
      <c r="W499" s="126"/>
      <c r="X499" s="126"/>
      <c r="Y499" s="126"/>
      <c r="Z499" s="126"/>
      <c r="AA499" s="126"/>
      <c r="AB499" s="126"/>
      <c r="AC499" s="126"/>
    </row>
    <row r="500" spans="1:29" ht="15.75" customHeight="1">
      <c r="A500" s="126"/>
      <c r="B500" s="126"/>
      <c r="C500" s="176"/>
      <c r="D500" s="176"/>
      <c r="E500" s="176"/>
      <c r="F500" s="176"/>
      <c r="G500" s="176"/>
      <c r="H500" s="176"/>
      <c r="I500" s="126"/>
      <c r="J500" s="126"/>
      <c r="K500" s="126"/>
      <c r="L500" s="126"/>
      <c r="M500" s="126"/>
      <c r="N500" s="126"/>
      <c r="O500" s="126"/>
      <c r="P500" s="126"/>
      <c r="Q500" s="126"/>
      <c r="R500" s="126"/>
      <c r="S500" s="126"/>
      <c r="T500" s="126"/>
      <c r="U500" s="126"/>
      <c r="V500" s="126"/>
      <c r="W500" s="126"/>
      <c r="X500" s="126"/>
      <c r="Y500" s="126"/>
      <c r="Z500" s="126"/>
      <c r="AA500" s="126"/>
      <c r="AB500" s="126"/>
      <c r="AC500" s="126"/>
    </row>
    <row r="501" spans="1:29" ht="15.75" customHeight="1">
      <c r="A501" s="126"/>
      <c r="B501" s="126"/>
      <c r="C501" s="176"/>
      <c r="D501" s="176"/>
      <c r="E501" s="176"/>
      <c r="F501" s="176"/>
      <c r="G501" s="176"/>
      <c r="H501" s="176"/>
      <c r="I501" s="126"/>
      <c r="J501" s="126"/>
      <c r="K501" s="126"/>
      <c r="L501" s="126"/>
      <c r="M501" s="126"/>
      <c r="N501" s="126"/>
      <c r="O501" s="126"/>
      <c r="P501" s="126"/>
      <c r="Q501" s="126"/>
      <c r="R501" s="126"/>
      <c r="S501" s="126"/>
      <c r="T501" s="126"/>
      <c r="U501" s="126"/>
      <c r="V501" s="126"/>
      <c r="W501" s="126"/>
      <c r="X501" s="126"/>
      <c r="Y501" s="126"/>
      <c r="Z501" s="126"/>
      <c r="AA501" s="126"/>
      <c r="AB501" s="126"/>
      <c r="AC501" s="126"/>
    </row>
    <row r="502" spans="1:29" ht="15.75" customHeight="1">
      <c r="A502" s="126"/>
      <c r="B502" s="126"/>
      <c r="C502" s="176"/>
      <c r="D502" s="176"/>
      <c r="E502" s="176"/>
      <c r="F502" s="176"/>
      <c r="G502" s="176"/>
      <c r="H502" s="176"/>
      <c r="I502" s="126"/>
      <c r="J502" s="126"/>
      <c r="K502" s="126"/>
      <c r="L502" s="126"/>
      <c r="M502" s="126"/>
      <c r="N502" s="126"/>
      <c r="O502" s="126"/>
      <c r="P502" s="126"/>
      <c r="Q502" s="126"/>
      <c r="R502" s="126"/>
      <c r="S502" s="126"/>
      <c r="T502" s="126"/>
      <c r="U502" s="126"/>
      <c r="V502" s="126"/>
      <c r="W502" s="126"/>
      <c r="X502" s="126"/>
      <c r="Y502" s="126"/>
      <c r="Z502" s="126"/>
      <c r="AA502" s="126"/>
      <c r="AB502" s="126"/>
      <c r="AC502" s="126"/>
    </row>
    <row r="503" spans="1:29" ht="15.75" customHeight="1">
      <c r="A503" s="126"/>
      <c r="B503" s="126"/>
      <c r="C503" s="176"/>
      <c r="D503" s="176"/>
      <c r="E503" s="176"/>
      <c r="F503" s="176"/>
      <c r="G503" s="176"/>
      <c r="H503" s="176"/>
      <c r="I503" s="126"/>
      <c r="J503" s="126"/>
      <c r="K503" s="126"/>
      <c r="L503" s="126"/>
      <c r="M503" s="126"/>
      <c r="N503" s="126"/>
      <c r="O503" s="126"/>
      <c r="P503" s="126"/>
      <c r="Q503" s="126"/>
      <c r="R503" s="126"/>
      <c r="S503" s="126"/>
      <c r="T503" s="126"/>
      <c r="U503" s="126"/>
      <c r="V503" s="126"/>
      <c r="W503" s="126"/>
      <c r="X503" s="126"/>
      <c r="Y503" s="126"/>
      <c r="Z503" s="126"/>
      <c r="AA503" s="126"/>
      <c r="AB503" s="126"/>
      <c r="AC503" s="126"/>
    </row>
    <row r="504" spans="1:29" ht="15.75" customHeight="1">
      <c r="A504" s="126"/>
      <c r="B504" s="126"/>
      <c r="C504" s="176"/>
      <c r="D504" s="176"/>
      <c r="E504" s="176"/>
      <c r="F504" s="176"/>
      <c r="G504" s="176"/>
      <c r="H504" s="176"/>
      <c r="I504" s="126"/>
      <c r="J504" s="126"/>
      <c r="K504" s="126"/>
      <c r="L504" s="126"/>
      <c r="M504" s="126"/>
      <c r="N504" s="126"/>
      <c r="O504" s="126"/>
      <c r="P504" s="126"/>
      <c r="Q504" s="126"/>
      <c r="R504" s="126"/>
      <c r="S504" s="126"/>
      <c r="T504" s="126"/>
      <c r="U504" s="126"/>
      <c r="V504" s="126"/>
      <c r="W504" s="126"/>
      <c r="X504" s="126"/>
      <c r="Y504" s="126"/>
      <c r="Z504" s="126"/>
      <c r="AA504" s="126"/>
      <c r="AB504" s="126"/>
      <c r="AC504" s="126"/>
    </row>
    <row r="505" spans="1:29" ht="15.75" customHeight="1">
      <c r="A505" s="126"/>
      <c r="B505" s="126"/>
      <c r="C505" s="176"/>
      <c r="D505" s="176"/>
      <c r="E505" s="176"/>
      <c r="F505" s="176"/>
      <c r="G505" s="176"/>
      <c r="H505" s="176"/>
      <c r="I505" s="126"/>
      <c r="J505" s="126"/>
      <c r="K505" s="126"/>
      <c r="L505" s="126"/>
      <c r="M505" s="126"/>
      <c r="N505" s="126"/>
      <c r="O505" s="126"/>
      <c r="P505" s="126"/>
      <c r="Q505" s="126"/>
      <c r="R505" s="126"/>
      <c r="S505" s="126"/>
      <c r="T505" s="126"/>
      <c r="U505" s="126"/>
      <c r="V505" s="126"/>
      <c r="W505" s="126"/>
      <c r="X505" s="126"/>
      <c r="Y505" s="126"/>
      <c r="Z505" s="126"/>
      <c r="AA505" s="126"/>
      <c r="AB505" s="126"/>
      <c r="AC505" s="126"/>
    </row>
    <row r="506" spans="1:29" ht="15.75" customHeight="1">
      <c r="A506" s="126"/>
      <c r="B506" s="126"/>
      <c r="C506" s="176"/>
      <c r="D506" s="176"/>
      <c r="E506" s="176"/>
      <c r="F506" s="176"/>
      <c r="G506" s="176"/>
      <c r="H506" s="176"/>
      <c r="I506" s="126"/>
      <c r="J506" s="126"/>
      <c r="K506" s="126"/>
      <c r="L506" s="126"/>
      <c r="M506" s="126"/>
      <c r="N506" s="126"/>
      <c r="O506" s="126"/>
      <c r="P506" s="126"/>
      <c r="Q506" s="126"/>
      <c r="R506" s="126"/>
      <c r="S506" s="126"/>
      <c r="T506" s="126"/>
      <c r="U506" s="126"/>
      <c r="V506" s="126"/>
      <c r="W506" s="126"/>
      <c r="X506" s="126"/>
      <c r="Y506" s="126"/>
      <c r="Z506" s="126"/>
      <c r="AA506" s="126"/>
      <c r="AB506" s="126"/>
      <c r="AC506" s="126"/>
    </row>
    <row r="507" spans="1:29" ht="15.75" customHeight="1">
      <c r="A507" s="126"/>
      <c r="B507" s="126"/>
      <c r="C507" s="176"/>
      <c r="D507" s="176"/>
      <c r="E507" s="176"/>
      <c r="F507" s="176"/>
      <c r="G507" s="176"/>
      <c r="H507" s="176"/>
      <c r="I507" s="126"/>
      <c r="J507" s="126"/>
      <c r="K507" s="126"/>
      <c r="L507" s="126"/>
      <c r="M507" s="126"/>
      <c r="N507" s="126"/>
      <c r="O507" s="126"/>
      <c r="P507" s="126"/>
      <c r="Q507" s="126"/>
      <c r="R507" s="126"/>
      <c r="S507" s="126"/>
      <c r="T507" s="126"/>
      <c r="U507" s="126"/>
      <c r="V507" s="126"/>
      <c r="W507" s="126"/>
      <c r="X507" s="126"/>
      <c r="Y507" s="126"/>
      <c r="Z507" s="126"/>
      <c r="AA507" s="126"/>
      <c r="AB507" s="126"/>
      <c r="AC507" s="126"/>
    </row>
    <row r="508" spans="1:29" ht="15.75" customHeight="1">
      <c r="A508" s="126"/>
      <c r="B508" s="126"/>
      <c r="C508" s="176"/>
      <c r="D508" s="176"/>
      <c r="E508" s="176"/>
      <c r="F508" s="176"/>
      <c r="G508" s="176"/>
      <c r="H508" s="176"/>
      <c r="I508" s="126"/>
      <c r="J508" s="126"/>
      <c r="K508" s="126"/>
      <c r="L508" s="126"/>
      <c r="M508" s="126"/>
      <c r="N508" s="126"/>
      <c r="O508" s="126"/>
      <c r="P508" s="126"/>
      <c r="Q508" s="126"/>
      <c r="R508" s="126"/>
      <c r="S508" s="126"/>
      <c r="T508" s="126"/>
      <c r="U508" s="126"/>
      <c r="V508" s="126"/>
      <c r="W508" s="126"/>
      <c r="X508" s="126"/>
      <c r="Y508" s="126"/>
      <c r="Z508" s="126"/>
      <c r="AA508" s="126"/>
      <c r="AB508" s="126"/>
      <c r="AC508" s="126"/>
    </row>
    <row r="509" spans="1:29" ht="15.75" customHeight="1">
      <c r="A509" s="126"/>
      <c r="B509" s="126"/>
      <c r="C509" s="176"/>
      <c r="D509" s="176"/>
      <c r="E509" s="176"/>
      <c r="F509" s="176"/>
      <c r="G509" s="176"/>
      <c r="H509" s="176"/>
      <c r="I509" s="126"/>
      <c r="J509" s="126"/>
      <c r="K509" s="126"/>
      <c r="L509" s="126"/>
      <c r="M509" s="126"/>
      <c r="N509" s="126"/>
      <c r="O509" s="126"/>
      <c r="P509" s="126"/>
      <c r="Q509" s="126"/>
      <c r="R509" s="126"/>
      <c r="S509" s="126"/>
      <c r="T509" s="126"/>
      <c r="U509" s="126"/>
      <c r="V509" s="126"/>
      <c r="W509" s="126"/>
      <c r="X509" s="126"/>
      <c r="Y509" s="126"/>
      <c r="Z509" s="126"/>
      <c r="AA509" s="126"/>
      <c r="AB509" s="126"/>
      <c r="AC509" s="126"/>
    </row>
    <row r="510" spans="1:29" ht="15.75" customHeight="1">
      <c r="A510" s="126"/>
      <c r="B510" s="126"/>
      <c r="C510" s="176"/>
      <c r="D510" s="176"/>
      <c r="E510" s="176"/>
      <c r="F510" s="176"/>
      <c r="G510" s="176"/>
      <c r="H510" s="176"/>
      <c r="I510" s="126"/>
      <c r="J510" s="126"/>
      <c r="K510" s="126"/>
      <c r="L510" s="126"/>
      <c r="M510" s="126"/>
      <c r="N510" s="126"/>
      <c r="O510" s="126"/>
      <c r="P510" s="126"/>
      <c r="Q510" s="126"/>
      <c r="R510" s="126"/>
      <c r="S510" s="126"/>
      <c r="T510" s="126"/>
      <c r="U510" s="126"/>
      <c r="V510" s="126"/>
      <c r="W510" s="126"/>
      <c r="X510" s="126"/>
      <c r="Y510" s="126"/>
      <c r="Z510" s="126"/>
      <c r="AA510" s="126"/>
      <c r="AB510" s="126"/>
      <c r="AC510" s="126"/>
    </row>
    <row r="511" spans="1:29" ht="15.75" customHeight="1">
      <c r="A511" s="126"/>
      <c r="B511" s="126"/>
      <c r="C511" s="176"/>
      <c r="D511" s="176"/>
      <c r="E511" s="176"/>
      <c r="F511" s="176"/>
      <c r="G511" s="176"/>
      <c r="H511" s="176"/>
      <c r="I511" s="126"/>
      <c r="J511" s="126"/>
      <c r="K511" s="126"/>
      <c r="L511" s="126"/>
      <c r="M511" s="126"/>
      <c r="N511" s="126"/>
      <c r="O511" s="126"/>
      <c r="P511" s="126"/>
      <c r="Q511" s="126"/>
      <c r="R511" s="126"/>
      <c r="S511" s="126"/>
      <c r="T511" s="126"/>
      <c r="U511" s="126"/>
      <c r="V511" s="126"/>
      <c r="W511" s="126"/>
      <c r="X511" s="126"/>
      <c r="Y511" s="126"/>
      <c r="Z511" s="126"/>
      <c r="AA511" s="126"/>
      <c r="AB511" s="126"/>
      <c r="AC511" s="126"/>
    </row>
    <row r="512" spans="1:29" ht="15.75" customHeight="1">
      <c r="A512" s="126"/>
      <c r="B512" s="126"/>
      <c r="C512" s="176"/>
      <c r="D512" s="176"/>
      <c r="E512" s="176"/>
      <c r="F512" s="176"/>
      <c r="G512" s="176"/>
      <c r="H512" s="176"/>
      <c r="I512" s="126"/>
      <c r="J512" s="126"/>
      <c r="K512" s="126"/>
      <c r="L512" s="126"/>
      <c r="M512" s="126"/>
      <c r="N512" s="126"/>
      <c r="O512" s="126"/>
      <c r="P512" s="126"/>
      <c r="Q512" s="126"/>
      <c r="R512" s="126"/>
      <c r="S512" s="126"/>
      <c r="T512" s="126"/>
      <c r="U512" s="126"/>
      <c r="V512" s="126"/>
      <c r="W512" s="126"/>
      <c r="X512" s="126"/>
      <c r="Y512" s="126"/>
      <c r="Z512" s="126"/>
      <c r="AA512" s="126"/>
      <c r="AB512" s="126"/>
      <c r="AC512" s="126"/>
    </row>
    <row r="513" spans="1:29" ht="15.75" customHeight="1">
      <c r="A513" s="126"/>
      <c r="B513" s="126"/>
      <c r="C513" s="176"/>
      <c r="D513" s="176"/>
      <c r="E513" s="176"/>
      <c r="F513" s="176"/>
      <c r="G513" s="176"/>
      <c r="H513" s="176"/>
      <c r="I513" s="126"/>
      <c r="J513" s="126"/>
      <c r="K513" s="126"/>
      <c r="L513" s="126"/>
      <c r="M513" s="126"/>
      <c r="N513" s="126"/>
      <c r="O513" s="126"/>
      <c r="P513" s="126"/>
      <c r="Q513" s="126"/>
      <c r="R513" s="126"/>
      <c r="S513" s="126"/>
      <c r="T513" s="126"/>
      <c r="U513" s="126"/>
      <c r="V513" s="126"/>
      <c r="W513" s="126"/>
      <c r="X513" s="126"/>
      <c r="Y513" s="126"/>
      <c r="Z513" s="126"/>
      <c r="AA513" s="126"/>
      <c r="AB513" s="126"/>
      <c r="AC513" s="126"/>
    </row>
    <row r="514" spans="1:29" ht="15.75" customHeight="1">
      <c r="A514" s="126"/>
      <c r="B514" s="126"/>
      <c r="C514" s="176"/>
      <c r="D514" s="176"/>
      <c r="E514" s="176"/>
      <c r="F514" s="176"/>
      <c r="G514" s="176"/>
      <c r="H514" s="176"/>
      <c r="I514" s="126"/>
      <c r="J514" s="126"/>
      <c r="K514" s="126"/>
      <c r="L514" s="126"/>
      <c r="M514" s="126"/>
      <c r="N514" s="126"/>
      <c r="O514" s="126"/>
      <c r="P514" s="126"/>
      <c r="Q514" s="126"/>
      <c r="R514" s="126"/>
      <c r="S514" s="126"/>
      <c r="T514" s="126"/>
      <c r="U514" s="126"/>
      <c r="V514" s="126"/>
      <c r="W514" s="126"/>
      <c r="X514" s="126"/>
      <c r="Y514" s="126"/>
      <c r="Z514" s="126"/>
      <c r="AA514" s="126"/>
      <c r="AB514" s="126"/>
      <c r="AC514" s="126"/>
    </row>
    <row r="515" spans="1:29" ht="15.75" customHeight="1">
      <c r="A515" s="126"/>
      <c r="B515" s="126"/>
      <c r="C515" s="176"/>
      <c r="D515" s="176"/>
      <c r="E515" s="176"/>
      <c r="F515" s="176"/>
      <c r="G515" s="176"/>
      <c r="H515" s="176"/>
      <c r="I515" s="126"/>
      <c r="J515" s="126"/>
      <c r="K515" s="126"/>
      <c r="L515" s="126"/>
      <c r="M515" s="126"/>
      <c r="N515" s="126"/>
      <c r="O515" s="126"/>
      <c r="P515" s="126"/>
      <c r="Q515" s="126"/>
      <c r="R515" s="126"/>
      <c r="S515" s="126"/>
      <c r="T515" s="126"/>
      <c r="U515" s="126"/>
      <c r="V515" s="126"/>
      <c r="W515" s="126"/>
      <c r="X515" s="126"/>
      <c r="Y515" s="126"/>
      <c r="Z515" s="126"/>
      <c r="AA515" s="126"/>
      <c r="AB515" s="126"/>
      <c r="AC515" s="126"/>
    </row>
    <row r="516" spans="1:29" ht="15.75" customHeight="1">
      <c r="A516" s="126"/>
      <c r="B516" s="126"/>
      <c r="C516" s="176"/>
      <c r="D516" s="176"/>
      <c r="E516" s="176"/>
      <c r="F516" s="176"/>
      <c r="G516" s="176"/>
      <c r="H516" s="176"/>
      <c r="I516" s="126"/>
      <c r="J516" s="126"/>
      <c r="K516" s="126"/>
      <c r="L516" s="126"/>
      <c r="M516" s="126"/>
      <c r="N516" s="126"/>
      <c r="O516" s="126"/>
      <c r="P516" s="126"/>
      <c r="Q516" s="126"/>
      <c r="R516" s="126"/>
      <c r="S516" s="126"/>
      <c r="T516" s="126"/>
      <c r="U516" s="126"/>
      <c r="V516" s="126"/>
      <c r="W516" s="126"/>
      <c r="X516" s="126"/>
      <c r="Y516" s="126"/>
      <c r="Z516" s="126"/>
      <c r="AA516" s="126"/>
      <c r="AB516" s="126"/>
      <c r="AC516" s="126"/>
    </row>
    <row r="517" spans="1:29" ht="15.75" customHeight="1">
      <c r="A517" s="126"/>
      <c r="B517" s="126"/>
      <c r="C517" s="176"/>
      <c r="D517" s="176"/>
      <c r="E517" s="176"/>
      <c r="F517" s="176"/>
      <c r="G517" s="176"/>
      <c r="H517" s="176"/>
      <c r="I517" s="126"/>
      <c r="J517" s="126"/>
      <c r="K517" s="126"/>
      <c r="L517" s="126"/>
      <c r="M517" s="126"/>
      <c r="N517" s="126"/>
      <c r="O517" s="126"/>
      <c r="P517" s="126"/>
      <c r="Q517" s="126"/>
      <c r="R517" s="126"/>
      <c r="S517" s="126"/>
      <c r="T517" s="126"/>
      <c r="U517" s="126"/>
      <c r="V517" s="126"/>
      <c r="W517" s="126"/>
      <c r="X517" s="126"/>
      <c r="Y517" s="126"/>
      <c r="Z517" s="126"/>
      <c r="AA517" s="126"/>
      <c r="AB517" s="126"/>
      <c r="AC517" s="126"/>
    </row>
    <row r="518" spans="1:29" ht="15.75" customHeight="1">
      <c r="A518" s="126"/>
      <c r="B518" s="126"/>
      <c r="C518" s="176"/>
      <c r="D518" s="176"/>
      <c r="E518" s="176"/>
      <c r="F518" s="176"/>
      <c r="G518" s="176"/>
      <c r="H518" s="176"/>
      <c r="I518" s="126"/>
      <c r="J518" s="126"/>
      <c r="K518" s="126"/>
      <c r="L518" s="126"/>
      <c r="M518" s="126"/>
      <c r="N518" s="126"/>
      <c r="O518" s="126"/>
      <c r="P518" s="126"/>
      <c r="Q518" s="126"/>
      <c r="R518" s="126"/>
      <c r="S518" s="126"/>
      <c r="T518" s="126"/>
      <c r="U518" s="126"/>
      <c r="V518" s="126"/>
      <c r="W518" s="126"/>
      <c r="X518" s="126"/>
      <c r="Y518" s="126"/>
      <c r="Z518" s="126"/>
      <c r="AA518" s="126"/>
      <c r="AB518" s="126"/>
      <c r="AC518" s="126"/>
    </row>
    <row r="519" spans="1:29" ht="15.75" customHeight="1">
      <c r="A519" s="126"/>
      <c r="B519" s="126"/>
      <c r="C519" s="176"/>
      <c r="D519" s="176"/>
      <c r="E519" s="176"/>
      <c r="F519" s="176"/>
      <c r="G519" s="176"/>
      <c r="H519" s="176"/>
      <c r="I519" s="126"/>
      <c r="J519" s="126"/>
      <c r="K519" s="126"/>
      <c r="L519" s="126"/>
      <c r="M519" s="126"/>
      <c r="N519" s="126"/>
      <c r="O519" s="126"/>
      <c r="P519" s="126"/>
      <c r="Q519" s="126"/>
      <c r="R519" s="126"/>
      <c r="S519" s="126"/>
      <c r="T519" s="126"/>
      <c r="U519" s="126"/>
      <c r="V519" s="126"/>
      <c r="W519" s="126"/>
      <c r="X519" s="126"/>
      <c r="Y519" s="126"/>
      <c r="Z519" s="126"/>
      <c r="AA519" s="126"/>
      <c r="AB519" s="126"/>
      <c r="AC519" s="126"/>
    </row>
    <row r="520" spans="1:29" ht="15.75" customHeight="1">
      <c r="A520" s="126"/>
      <c r="B520" s="126"/>
      <c r="C520" s="176"/>
      <c r="D520" s="176"/>
      <c r="E520" s="176"/>
      <c r="F520" s="176"/>
      <c r="G520" s="176"/>
      <c r="H520" s="176"/>
      <c r="I520" s="126"/>
      <c r="J520" s="126"/>
      <c r="K520" s="126"/>
      <c r="L520" s="126"/>
      <c r="M520" s="126"/>
      <c r="N520" s="126"/>
      <c r="O520" s="126"/>
      <c r="P520" s="126"/>
      <c r="Q520" s="126"/>
      <c r="R520" s="126"/>
      <c r="S520" s="126"/>
      <c r="T520" s="126"/>
      <c r="U520" s="126"/>
      <c r="V520" s="126"/>
      <c r="W520" s="126"/>
      <c r="X520" s="126"/>
      <c r="Y520" s="126"/>
      <c r="Z520" s="126"/>
      <c r="AA520" s="126"/>
      <c r="AB520" s="126"/>
      <c r="AC520" s="126"/>
    </row>
    <row r="521" spans="1:29" ht="15.75" customHeight="1">
      <c r="A521" s="126"/>
      <c r="B521" s="126"/>
      <c r="C521" s="176"/>
      <c r="D521" s="176"/>
      <c r="E521" s="176"/>
      <c r="F521" s="176"/>
      <c r="G521" s="176"/>
      <c r="H521" s="176"/>
      <c r="I521" s="126"/>
      <c r="J521" s="126"/>
      <c r="K521" s="126"/>
      <c r="L521" s="126"/>
      <c r="M521" s="126"/>
      <c r="N521" s="126"/>
      <c r="O521" s="126"/>
      <c r="P521" s="126"/>
      <c r="Q521" s="126"/>
      <c r="R521" s="126"/>
      <c r="S521" s="126"/>
      <c r="T521" s="126"/>
      <c r="U521" s="126"/>
      <c r="V521" s="126"/>
      <c r="W521" s="126"/>
      <c r="X521" s="126"/>
      <c r="Y521" s="126"/>
      <c r="Z521" s="126"/>
      <c r="AA521" s="126"/>
      <c r="AB521" s="126"/>
      <c r="AC521" s="126"/>
    </row>
    <row r="522" spans="1:29" ht="15.75" customHeight="1">
      <c r="A522" s="126"/>
      <c r="B522" s="126"/>
      <c r="C522" s="176"/>
      <c r="D522" s="176"/>
      <c r="E522" s="176"/>
      <c r="F522" s="176"/>
      <c r="G522" s="176"/>
      <c r="H522" s="176"/>
      <c r="I522" s="126"/>
      <c r="J522" s="126"/>
      <c r="K522" s="126"/>
      <c r="L522" s="126"/>
      <c r="M522" s="126"/>
      <c r="N522" s="126"/>
      <c r="O522" s="126"/>
      <c r="P522" s="126"/>
      <c r="Q522" s="126"/>
      <c r="R522" s="126"/>
      <c r="S522" s="126"/>
      <c r="T522" s="126"/>
      <c r="U522" s="126"/>
      <c r="V522" s="126"/>
      <c r="W522" s="126"/>
      <c r="X522" s="126"/>
      <c r="Y522" s="126"/>
      <c r="Z522" s="126"/>
      <c r="AA522" s="126"/>
      <c r="AB522" s="126"/>
      <c r="AC522" s="126"/>
    </row>
    <row r="523" spans="1:29" ht="15.75" customHeight="1">
      <c r="A523" s="126"/>
      <c r="B523" s="126"/>
      <c r="C523" s="176"/>
      <c r="D523" s="176"/>
      <c r="E523" s="176"/>
      <c r="F523" s="176"/>
      <c r="G523" s="176"/>
      <c r="H523" s="176"/>
      <c r="I523" s="126"/>
      <c r="J523" s="126"/>
      <c r="K523" s="126"/>
      <c r="L523" s="126"/>
      <c r="M523" s="126"/>
      <c r="N523" s="126"/>
      <c r="O523" s="126"/>
      <c r="P523" s="126"/>
      <c r="Q523" s="126"/>
      <c r="R523" s="126"/>
      <c r="S523" s="126"/>
      <c r="T523" s="126"/>
      <c r="U523" s="126"/>
      <c r="V523" s="126"/>
      <c r="W523" s="126"/>
      <c r="X523" s="126"/>
      <c r="Y523" s="126"/>
      <c r="Z523" s="126"/>
      <c r="AA523" s="126"/>
      <c r="AB523" s="126"/>
      <c r="AC523" s="126"/>
    </row>
    <row r="524" spans="1:29" ht="15.75" customHeight="1">
      <c r="A524" s="126"/>
      <c r="B524" s="126"/>
      <c r="C524" s="176"/>
      <c r="D524" s="176"/>
      <c r="E524" s="176"/>
      <c r="F524" s="176"/>
      <c r="G524" s="176"/>
      <c r="H524" s="176"/>
      <c r="I524" s="126"/>
      <c r="J524" s="126"/>
      <c r="K524" s="126"/>
      <c r="L524" s="126"/>
      <c r="M524" s="126"/>
      <c r="N524" s="126"/>
      <c r="O524" s="126"/>
      <c r="P524" s="126"/>
      <c r="Q524" s="126"/>
      <c r="R524" s="126"/>
      <c r="S524" s="126"/>
      <c r="T524" s="126"/>
      <c r="U524" s="126"/>
      <c r="V524" s="126"/>
      <c r="W524" s="126"/>
      <c r="X524" s="126"/>
      <c r="Y524" s="126"/>
      <c r="Z524" s="126"/>
      <c r="AA524" s="126"/>
      <c r="AB524" s="126"/>
      <c r="AC524" s="126"/>
    </row>
    <row r="525" spans="1:29" ht="15.75" customHeight="1">
      <c r="A525" s="126"/>
      <c r="B525" s="126"/>
      <c r="C525" s="176"/>
      <c r="D525" s="176"/>
      <c r="E525" s="176"/>
      <c r="F525" s="176"/>
      <c r="G525" s="176"/>
      <c r="H525" s="176"/>
      <c r="I525" s="126"/>
      <c r="J525" s="126"/>
      <c r="K525" s="126"/>
      <c r="L525" s="126"/>
      <c r="M525" s="126"/>
      <c r="N525" s="126"/>
      <c r="O525" s="126"/>
      <c r="P525" s="126"/>
      <c r="Q525" s="126"/>
      <c r="R525" s="126"/>
      <c r="S525" s="126"/>
      <c r="T525" s="126"/>
      <c r="U525" s="126"/>
      <c r="V525" s="126"/>
      <c r="W525" s="126"/>
      <c r="X525" s="126"/>
      <c r="Y525" s="126"/>
      <c r="Z525" s="126"/>
      <c r="AA525" s="126"/>
      <c r="AB525" s="126"/>
      <c r="AC525" s="126"/>
    </row>
    <row r="526" spans="1:29" ht="15.75" customHeight="1">
      <c r="A526" s="126"/>
      <c r="B526" s="126"/>
      <c r="C526" s="176"/>
      <c r="D526" s="176"/>
      <c r="E526" s="176"/>
      <c r="F526" s="176"/>
      <c r="G526" s="176"/>
      <c r="H526" s="176"/>
      <c r="I526" s="126"/>
      <c r="J526" s="126"/>
      <c r="K526" s="126"/>
      <c r="L526" s="126"/>
      <c r="M526" s="126"/>
      <c r="N526" s="126"/>
      <c r="O526" s="126"/>
      <c r="P526" s="126"/>
      <c r="Q526" s="126"/>
      <c r="R526" s="126"/>
      <c r="S526" s="126"/>
      <c r="T526" s="126"/>
      <c r="U526" s="126"/>
      <c r="V526" s="126"/>
      <c r="W526" s="126"/>
      <c r="X526" s="126"/>
      <c r="Y526" s="126"/>
      <c r="Z526" s="126"/>
      <c r="AA526" s="126"/>
      <c r="AB526" s="126"/>
      <c r="AC526" s="126"/>
    </row>
    <row r="527" spans="1:29" ht="15.75" customHeight="1">
      <c r="A527" s="126"/>
      <c r="B527" s="126"/>
      <c r="C527" s="176"/>
      <c r="D527" s="176"/>
      <c r="E527" s="176"/>
      <c r="F527" s="176"/>
      <c r="G527" s="176"/>
      <c r="H527" s="176"/>
      <c r="I527" s="126"/>
      <c r="J527" s="126"/>
      <c r="K527" s="126"/>
      <c r="L527" s="126"/>
      <c r="M527" s="126"/>
      <c r="N527" s="126"/>
      <c r="O527" s="126"/>
      <c r="P527" s="126"/>
      <c r="Q527" s="126"/>
      <c r="R527" s="126"/>
      <c r="S527" s="126"/>
      <c r="T527" s="126"/>
      <c r="U527" s="126"/>
      <c r="V527" s="126"/>
      <c r="W527" s="126"/>
      <c r="X527" s="126"/>
      <c r="Y527" s="126"/>
      <c r="Z527" s="126"/>
      <c r="AA527" s="126"/>
      <c r="AB527" s="126"/>
      <c r="AC527" s="126"/>
    </row>
    <row r="528" spans="1:29" ht="15.75" customHeight="1">
      <c r="A528" s="126"/>
      <c r="B528" s="126"/>
      <c r="C528" s="176"/>
      <c r="D528" s="176"/>
      <c r="E528" s="176"/>
      <c r="F528" s="176"/>
      <c r="G528" s="176"/>
      <c r="H528" s="176"/>
      <c r="I528" s="126"/>
      <c r="J528" s="126"/>
      <c r="K528" s="126"/>
      <c r="L528" s="126"/>
      <c r="M528" s="126"/>
      <c r="N528" s="126"/>
      <c r="O528" s="126"/>
      <c r="P528" s="126"/>
      <c r="Q528" s="126"/>
      <c r="R528" s="126"/>
      <c r="S528" s="126"/>
      <c r="T528" s="126"/>
      <c r="U528" s="126"/>
      <c r="V528" s="126"/>
      <c r="W528" s="126"/>
      <c r="X528" s="126"/>
      <c r="Y528" s="126"/>
      <c r="Z528" s="126"/>
      <c r="AA528" s="126"/>
      <c r="AB528" s="126"/>
      <c r="AC528" s="126"/>
    </row>
    <row r="529" spans="1:29" ht="15.75" customHeight="1">
      <c r="A529" s="126"/>
      <c r="B529" s="126"/>
      <c r="C529" s="176"/>
      <c r="D529" s="176"/>
      <c r="E529" s="176"/>
      <c r="F529" s="176"/>
      <c r="G529" s="176"/>
      <c r="H529" s="176"/>
      <c r="I529" s="126"/>
      <c r="J529" s="126"/>
      <c r="K529" s="126"/>
      <c r="L529" s="126"/>
      <c r="M529" s="126"/>
      <c r="N529" s="126"/>
      <c r="O529" s="126"/>
      <c r="P529" s="126"/>
      <c r="Q529" s="126"/>
      <c r="R529" s="126"/>
      <c r="S529" s="126"/>
      <c r="T529" s="126"/>
      <c r="U529" s="126"/>
      <c r="V529" s="126"/>
      <c r="W529" s="126"/>
      <c r="X529" s="126"/>
      <c r="Y529" s="126"/>
      <c r="Z529" s="126"/>
      <c r="AA529" s="126"/>
      <c r="AB529" s="126"/>
      <c r="AC529" s="126"/>
    </row>
    <row r="530" spans="1:29" ht="15.75" customHeight="1">
      <c r="A530" s="126"/>
      <c r="B530" s="126"/>
      <c r="C530" s="176"/>
      <c r="D530" s="176"/>
      <c r="E530" s="176"/>
      <c r="F530" s="176"/>
      <c r="G530" s="176"/>
      <c r="H530" s="176"/>
      <c r="I530" s="126"/>
      <c r="J530" s="126"/>
      <c r="K530" s="126"/>
      <c r="L530" s="126"/>
      <c r="M530" s="126"/>
      <c r="N530" s="126"/>
      <c r="O530" s="126"/>
      <c r="P530" s="126"/>
      <c r="Q530" s="126"/>
      <c r="R530" s="126"/>
      <c r="S530" s="126"/>
      <c r="T530" s="126"/>
      <c r="U530" s="126"/>
      <c r="V530" s="126"/>
      <c r="W530" s="126"/>
      <c r="X530" s="126"/>
      <c r="Y530" s="126"/>
      <c r="Z530" s="126"/>
      <c r="AA530" s="126"/>
      <c r="AB530" s="126"/>
      <c r="AC530" s="126"/>
    </row>
    <row r="531" spans="1:29" ht="15.75" customHeight="1">
      <c r="A531" s="126"/>
      <c r="B531" s="126"/>
      <c r="C531" s="176"/>
      <c r="D531" s="176"/>
      <c r="E531" s="176"/>
      <c r="F531" s="176"/>
      <c r="G531" s="176"/>
      <c r="H531" s="176"/>
      <c r="I531" s="126"/>
      <c r="J531" s="126"/>
      <c r="K531" s="126"/>
      <c r="L531" s="126"/>
      <c r="M531" s="126"/>
      <c r="N531" s="126"/>
      <c r="O531" s="126"/>
      <c r="P531" s="126"/>
      <c r="Q531" s="126"/>
      <c r="R531" s="126"/>
      <c r="S531" s="126"/>
      <c r="T531" s="126"/>
      <c r="U531" s="126"/>
      <c r="V531" s="126"/>
      <c r="W531" s="126"/>
      <c r="X531" s="126"/>
      <c r="Y531" s="126"/>
      <c r="Z531" s="126"/>
      <c r="AA531" s="126"/>
      <c r="AB531" s="126"/>
      <c r="AC531" s="126"/>
    </row>
    <row r="532" spans="1:29" ht="15.75" customHeight="1">
      <c r="A532" s="126"/>
      <c r="B532" s="126"/>
      <c r="C532" s="176"/>
      <c r="D532" s="176"/>
      <c r="E532" s="176"/>
      <c r="F532" s="176"/>
      <c r="G532" s="176"/>
      <c r="H532" s="176"/>
      <c r="I532" s="126"/>
      <c r="J532" s="126"/>
      <c r="K532" s="126"/>
      <c r="L532" s="126"/>
      <c r="M532" s="126"/>
      <c r="N532" s="126"/>
      <c r="O532" s="126"/>
      <c r="P532" s="126"/>
      <c r="Q532" s="126"/>
      <c r="R532" s="126"/>
      <c r="S532" s="126"/>
      <c r="T532" s="126"/>
      <c r="U532" s="126"/>
      <c r="V532" s="126"/>
      <c r="W532" s="126"/>
      <c r="X532" s="126"/>
      <c r="Y532" s="126"/>
      <c r="Z532" s="126"/>
      <c r="AA532" s="126"/>
      <c r="AB532" s="126"/>
      <c r="AC532" s="126"/>
    </row>
    <row r="533" spans="1:29" ht="15.75" customHeight="1">
      <c r="A533" s="126"/>
      <c r="B533" s="126"/>
      <c r="C533" s="176"/>
      <c r="D533" s="176"/>
      <c r="E533" s="176"/>
      <c r="F533" s="176"/>
      <c r="G533" s="176"/>
      <c r="H533" s="176"/>
      <c r="I533" s="126"/>
      <c r="J533" s="126"/>
      <c r="K533" s="126"/>
      <c r="L533" s="126"/>
      <c r="M533" s="126"/>
      <c r="N533" s="126"/>
      <c r="O533" s="126"/>
      <c r="P533" s="126"/>
      <c r="Q533" s="126"/>
      <c r="R533" s="126"/>
      <c r="S533" s="126"/>
      <c r="T533" s="126"/>
      <c r="U533" s="126"/>
      <c r="V533" s="126"/>
      <c r="W533" s="126"/>
      <c r="X533" s="126"/>
      <c r="Y533" s="126"/>
      <c r="Z533" s="126"/>
      <c r="AA533" s="126"/>
      <c r="AB533" s="126"/>
      <c r="AC533" s="126"/>
    </row>
    <row r="534" spans="1:29" ht="15.75" customHeight="1">
      <c r="A534" s="126"/>
      <c r="B534" s="126"/>
      <c r="C534" s="176"/>
      <c r="D534" s="176"/>
      <c r="E534" s="176"/>
      <c r="F534" s="176"/>
      <c r="G534" s="176"/>
      <c r="H534" s="176"/>
      <c r="I534" s="126"/>
      <c r="J534" s="126"/>
      <c r="K534" s="126"/>
      <c r="L534" s="126"/>
      <c r="M534" s="126"/>
      <c r="N534" s="126"/>
      <c r="O534" s="126"/>
      <c r="P534" s="126"/>
      <c r="Q534" s="126"/>
      <c r="R534" s="126"/>
      <c r="S534" s="126"/>
      <c r="T534" s="126"/>
      <c r="U534" s="126"/>
      <c r="V534" s="126"/>
      <c r="W534" s="126"/>
      <c r="X534" s="126"/>
      <c r="Y534" s="126"/>
      <c r="Z534" s="126"/>
      <c r="AA534" s="126"/>
      <c r="AB534" s="126"/>
      <c r="AC534" s="126"/>
    </row>
    <row r="535" spans="1:29" ht="15.75" customHeight="1">
      <c r="A535" s="126"/>
      <c r="B535" s="126"/>
      <c r="C535" s="176"/>
      <c r="D535" s="176"/>
      <c r="E535" s="176"/>
      <c r="F535" s="176"/>
      <c r="G535" s="176"/>
      <c r="H535" s="176"/>
      <c r="I535" s="126"/>
      <c r="J535" s="126"/>
      <c r="K535" s="126"/>
      <c r="L535" s="126"/>
      <c r="M535" s="126"/>
      <c r="N535" s="126"/>
      <c r="O535" s="126"/>
      <c r="P535" s="126"/>
      <c r="Q535" s="126"/>
      <c r="R535" s="126"/>
      <c r="S535" s="126"/>
      <c r="T535" s="126"/>
      <c r="U535" s="126"/>
      <c r="V535" s="126"/>
      <c r="W535" s="126"/>
      <c r="X535" s="126"/>
      <c r="Y535" s="126"/>
      <c r="Z535" s="126"/>
      <c r="AA535" s="126"/>
      <c r="AB535" s="126"/>
      <c r="AC535" s="126"/>
    </row>
    <row r="536" spans="1:29" ht="15.75" customHeight="1">
      <c r="A536" s="126"/>
      <c r="B536" s="126"/>
      <c r="C536" s="176"/>
      <c r="D536" s="176"/>
      <c r="E536" s="176"/>
      <c r="F536" s="176"/>
      <c r="G536" s="176"/>
      <c r="H536" s="176"/>
      <c r="I536" s="126"/>
      <c r="J536" s="126"/>
      <c r="K536" s="126"/>
      <c r="L536" s="126"/>
      <c r="M536" s="126"/>
      <c r="N536" s="126"/>
      <c r="O536" s="126"/>
      <c r="P536" s="126"/>
      <c r="Q536" s="126"/>
      <c r="R536" s="126"/>
      <c r="S536" s="126"/>
      <c r="T536" s="126"/>
      <c r="U536" s="126"/>
      <c r="V536" s="126"/>
      <c r="W536" s="126"/>
      <c r="X536" s="126"/>
      <c r="Y536" s="126"/>
      <c r="Z536" s="126"/>
      <c r="AA536" s="126"/>
      <c r="AB536" s="126"/>
      <c r="AC536" s="126"/>
    </row>
    <row r="537" spans="1:29" ht="15.75" customHeight="1">
      <c r="A537" s="126"/>
      <c r="B537" s="126"/>
      <c r="C537" s="176"/>
      <c r="D537" s="176"/>
      <c r="E537" s="176"/>
      <c r="F537" s="176"/>
      <c r="G537" s="176"/>
      <c r="H537" s="176"/>
      <c r="I537" s="126"/>
      <c r="J537" s="126"/>
      <c r="K537" s="126"/>
      <c r="L537" s="126"/>
      <c r="M537" s="126"/>
      <c r="N537" s="126"/>
      <c r="O537" s="126"/>
      <c r="P537" s="126"/>
      <c r="Q537" s="126"/>
      <c r="R537" s="126"/>
      <c r="S537" s="126"/>
      <c r="T537" s="126"/>
      <c r="U537" s="126"/>
      <c r="V537" s="126"/>
      <c r="W537" s="126"/>
      <c r="X537" s="126"/>
      <c r="Y537" s="126"/>
      <c r="Z537" s="126"/>
      <c r="AA537" s="126"/>
      <c r="AB537" s="126"/>
      <c r="AC537" s="126"/>
    </row>
    <row r="538" spans="1:29" ht="15.75" customHeight="1">
      <c r="A538" s="126"/>
      <c r="B538" s="126"/>
      <c r="C538" s="176"/>
      <c r="D538" s="176"/>
      <c r="E538" s="176"/>
      <c r="F538" s="176"/>
      <c r="G538" s="176"/>
      <c r="H538" s="176"/>
      <c r="I538" s="126"/>
      <c r="J538" s="126"/>
      <c r="K538" s="126"/>
      <c r="L538" s="126"/>
      <c r="M538" s="126"/>
      <c r="N538" s="126"/>
      <c r="O538" s="126"/>
      <c r="P538" s="126"/>
      <c r="Q538" s="126"/>
      <c r="R538" s="126"/>
      <c r="S538" s="126"/>
      <c r="T538" s="126"/>
      <c r="U538" s="126"/>
      <c r="V538" s="126"/>
      <c r="W538" s="126"/>
      <c r="X538" s="126"/>
      <c r="Y538" s="126"/>
      <c r="Z538" s="126"/>
      <c r="AA538" s="126"/>
      <c r="AB538" s="126"/>
      <c r="AC538" s="126"/>
    </row>
    <row r="539" spans="1:29" ht="15.75" customHeight="1">
      <c r="A539" s="126"/>
      <c r="B539" s="126"/>
      <c r="C539" s="176"/>
      <c r="D539" s="176"/>
      <c r="E539" s="176"/>
      <c r="F539" s="176"/>
      <c r="G539" s="176"/>
      <c r="H539" s="176"/>
      <c r="I539" s="126"/>
      <c r="J539" s="126"/>
      <c r="K539" s="126"/>
      <c r="L539" s="126"/>
      <c r="M539" s="126"/>
      <c r="N539" s="126"/>
      <c r="O539" s="126"/>
      <c r="P539" s="126"/>
      <c r="Q539" s="126"/>
      <c r="R539" s="126"/>
      <c r="S539" s="126"/>
      <c r="T539" s="126"/>
      <c r="U539" s="126"/>
      <c r="V539" s="126"/>
      <c r="W539" s="126"/>
      <c r="X539" s="126"/>
      <c r="Y539" s="126"/>
      <c r="Z539" s="126"/>
      <c r="AA539" s="126"/>
      <c r="AB539" s="126"/>
      <c r="AC539" s="126"/>
    </row>
    <row r="540" spans="1:29" ht="15.75" customHeight="1">
      <c r="A540" s="126"/>
      <c r="B540" s="126"/>
      <c r="C540" s="176"/>
      <c r="D540" s="176"/>
      <c r="E540" s="176"/>
      <c r="F540" s="176"/>
      <c r="G540" s="176"/>
      <c r="H540" s="176"/>
      <c r="I540" s="126"/>
      <c r="J540" s="126"/>
      <c r="K540" s="126"/>
      <c r="L540" s="126"/>
      <c r="M540" s="126"/>
      <c r="N540" s="126"/>
      <c r="O540" s="126"/>
      <c r="P540" s="126"/>
      <c r="Q540" s="126"/>
      <c r="R540" s="126"/>
      <c r="S540" s="126"/>
      <c r="T540" s="126"/>
      <c r="U540" s="126"/>
      <c r="V540" s="126"/>
      <c r="W540" s="126"/>
      <c r="X540" s="126"/>
      <c r="Y540" s="126"/>
      <c r="Z540" s="126"/>
      <c r="AA540" s="126"/>
      <c r="AB540" s="126"/>
      <c r="AC540" s="126"/>
    </row>
    <row r="541" spans="1:29" ht="15.75" customHeight="1">
      <c r="A541" s="126"/>
      <c r="B541" s="126"/>
      <c r="C541" s="176"/>
      <c r="D541" s="176"/>
      <c r="E541" s="176"/>
      <c r="F541" s="176"/>
      <c r="G541" s="176"/>
      <c r="H541" s="176"/>
      <c r="I541" s="126"/>
      <c r="J541" s="126"/>
      <c r="K541" s="126"/>
      <c r="L541" s="126"/>
      <c r="M541" s="126"/>
      <c r="N541" s="126"/>
      <c r="O541" s="126"/>
      <c r="P541" s="126"/>
      <c r="Q541" s="126"/>
      <c r="R541" s="126"/>
      <c r="S541" s="126"/>
      <c r="T541" s="126"/>
      <c r="U541" s="126"/>
      <c r="V541" s="126"/>
      <c r="W541" s="126"/>
      <c r="X541" s="126"/>
      <c r="Y541" s="126"/>
      <c r="Z541" s="126"/>
      <c r="AA541" s="126"/>
      <c r="AB541" s="126"/>
      <c r="AC541" s="126"/>
    </row>
    <row r="542" spans="1:29" ht="15.75" customHeight="1">
      <c r="A542" s="126"/>
      <c r="B542" s="126"/>
      <c r="C542" s="176"/>
      <c r="D542" s="176"/>
      <c r="E542" s="176"/>
      <c r="F542" s="176"/>
      <c r="G542" s="176"/>
      <c r="H542" s="176"/>
      <c r="I542" s="126"/>
      <c r="J542" s="126"/>
      <c r="K542" s="126"/>
      <c r="L542" s="126"/>
      <c r="M542" s="126"/>
      <c r="N542" s="126"/>
      <c r="O542" s="126"/>
      <c r="P542" s="126"/>
      <c r="Q542" s="126"/>
      <c r="R542" s="126"/>
      <c r="S542" s="126"/>
      <c r="T542" s="126"/>
      <c r="U542" s="126"/>
      <c r="V542" s="126"/>
      <c r="W542" s="126"/>
      <c r="X542" s="126"/>
      <c r="Y542" s="126"/>
      <c r="Z542" s="126"/>
      <c r="AA542" s="126"/>
      <c r="AB542" s="126"/>
      <c r="AC542" s="126"/>
    </row>
    <row r="543" spans="1:29" ht="15.75" customHeight="1">
      <c r="A543" s="126"/>
      <c r="B543" s="126"/>
      <c r="C543" s="176"/>
      <c r="D543" s="176"/>
      <c r="E543" s="176"/>
      <c r="F543" s="176"/>
      <c r="G543" s="176"/>
      <c r="H543" s="176"/>
      <c r="I543" s="126"/>
      <c r="J543" s="126"/>
      <c r="K543" s="126"/>
      <c r="L543" s="126"/>
      <c r="M543" s="126"/>
      <c r="N543" s="126"/>
      <c r="O543" s="126"/>
      <c r="P543" s="126"/>
      <c r="Q543" s="126"/>
      <c r="R543" s="126"/>
      <c r="S543" s="126"/>
      <c r="T543" s="126"/>
      <c r="U543" s="126"/>
      <c r="V543" s="126"/>
      <c r="W543" s="126"/>
      <c r="X543" s="126"/>
      <c r="Y543" s="126"/>
      <c r="Z543" s="126"/>
      <c r="AA543" s="126"/>
      <c r="AB543" s="126"/>
      <c r="AC543" s="126"/>
    </row>
    <row r="544" spans="1:29" ht="15.75" customHeight="1">
      <c r="A544" s="126"/>
      <c r="B544" s="126"/>
      <c r="C544" s="176"/>
      <c r="D544" s="176"/>
      <c r="E544" s="176"/>
      <c r="F544" s="176"/>
      <c r="G544" s="176"/>
      <c r="H544" s="176"/>
      <c r="I544" s="126"/>
      <c r="J544" s="126"/>
      <c r="K544" s="126"/>
      <c r="L544" s="126"/>
      <c r="M544" s="126"/>
      <c r="N544" s="126"/>
      <c r="O544" s="126"/>
      <c r="P544" s="126"/>
      <c r="Q544" s="126"/>
      <c r="R544" s="126"/>
      <c r="S544" s="126"/>
      <c r="T544" s="126"/>
      <c r="U544" s="126"/>
      <c r="V544" s="126"/>
      <c r="W544" s="126"/>
      <c r="X544" s="126"/>
      <c r="Y544" s="126"/>
      <c r="Z544" s="126"/>
      <c r="AA544" s="126"/>
      <c r="AB544" s="126"/>
      <c r="AC544" s="126"/>
    </row>
    <row r="545" spans="1:29" ht="15.75" customHeight="1">
      <c r="A545" s="126"/>
      <c r="B545" s="126"/>
      <c r="C545" s="176"/>
      <c r="D545" s="176"/>
      <c r="E545" s="176"/>
      <c r="F545" s="176"/>
      <c r="G545" s="176"/>
      <c r="H545" s="176"/>
      <c r="I545" s="126"/>
      <c r="J545" s="126"/>
      <c r="K545" s="126"/>
      <c r="L545" s="126"/>
      <c r="M545" s="126"/>
      <c r="N545" s="126"/>
      <c r="O545" s="126"/>
      <c r="P545" s="126"/>
      <c r="Q545" s="126"/>
      <c r="R545" s="126"/>
      <c r="S545" s="126"/>
      <c r="T545" s="126"/>
      <c r="U545" s="126"/>
      <c r="V545" s="126"/>
      <c r="W545" s="126"/>
      <c r="X545" s="126"/>
      <c r="Y545" s="126"/>
      <c r="Z545" s="126"/>
      <c r="AA545" s="126"/>
      <c r="AB545" s="126"/>
      <c r="AC545" s="126"/>
    </row>
    <row r="546" spans="1:29" ht="15.75" customHeight="1">
      <c r="A546" s="126"/>
      <c r="B546" s="126"/>
      <c r="C546" s="176"/>
      <c r="D546" s="176"/>
      <c r="E546" s="176"/>
      <c r="F546" s="176"/>
      <c r="G546" s="176"/>
      <c r="H546" s="176"/>
      <c r="I546" s="126"/>
      <c r="J546" s="126"/>
      <c r="K546" s="126"/>
      <c r="L546" s="126"/>
      <c r="M546" s="126"/>
      <c r="N546" s="126"/>
      <c r="O546" s="126"/>
      <c r="P546" s="126"/>
      <c r="Q546" s="126"/>
      <c r="R546" s="126"/>
      <c r="S546" s="126"/>
      <c r="T546" s="126"/>
      <c r="U546" s="126"/>
      <c r="V546" s="126"/>
      <c r="W546" s="126"/>
      <c r="X546" s="126"/>
      <c r="Y546" s="126"/>
      <c r="Z546" s="126"/>
      <c r="AA546" s="126"/>
      <c r="AB546" s="126"/>
      <c r="AC546" s="126"/>
    </row>
    <row r="547" spans="1:29" ht="15.75" customHeight="1">
      <c r="A547" s="126"/>
      <c r="B547" s="126"/>
      <c r="C547" s="176"/>
      <c r="D547" s="176"/>
      <c r="E547" s="176"/>
      <c r="F547" s="176"/>
      <c r="G547" s="176"/>
      <c r="H547" s="176"/>
      <c r="I547" s="126"/>
      <c r="J547" s="126"/>
      <c r="K547" s="126"/>
      <c r="L547" s="126"/>
      <c r="M547" s="126"/>
      <c r="N547" s="126"/>
      <c r="O547" s="126"/>
      <c r="P547" s="126"/>
      <c r="Q547" s="126"/>
      <c r="R547" s="126"/>
      <c r="S547" s="126"/>
      <c r="T547" s="126"/>
      <c r="U547" s="126"/>
      <c r="V547" s="126"/>
      <c r="W547" s="126"/>
      <c r="X547" s="126"/>
      <c r="Y547" s="126"/>
      <c r="Z547" s="126"/>
      <c r="AA547" s="126"/>
      <c r="AB547" s="126"/>
      <c r="AC547" s="126"/>
    </row>
    <row r="548" spans="1:29" ht="15.75" customHeight="1">
      <c r="A548" s="126"/>
      <c r="B548" s="126"/>
      <c r="C548" s="176"/>
      <c r="D548" s="176"/>
      <c r="E548" s="176"/>
      <c r="F548" s="176"/>
      <c r="G548" s="176"/>
      <c r="H548" s="176"/>
      <c r="I548" s="126"/>
      <c r="J548" s="126"/>
      <c r="K548" s="126"/>
      <c r="L548" s="126"/>
      <c r="M548" s="126"/>
      <c r="N548" s="126"/>
      <c r="O548" s="126"/>
      <c r="P548" s="126"/>
      <c r="Q548" s="126"/>
      <c r="R548" s="126"/>
      <c r="S548" s="126"/>
      <c r="T548" s="126"/>
      <c r="U548" s="126"/>
      <c r="V548" s="126"/>
      <c r="W548" s="126"/>
      <c r="X548" s="126"/>
      <c r="Y548" s="126"/>
      <c r="Z548" s="126"/>
      <c r="AA548" s="126"/>
      <c r="AB548" s="126"/>
      <c r="AC548" s="126"/>
    </row>
    <row r="549" spans="1:29" ht="15.75" customHeight="1">
      <c r="A549" s="126"/>
      <c r="B549" s="126"/>
      <c r="C549" s="176"/>
      <c r="D549" s="176"/>
      <c r="E549" s="176"/>
      <c r="F549" s="176"/>
      <c r="G549" s="176"/>
      <c r="H549" s="176"/>
      <c r="I549" s="126"/>
      <c r="J549" s="126"/>
      <c r="K549" s="126"/>
      <c r="L549" s="126"/>
      <c r="M549" s="126"/>
      <c r="N549" s="126"/>
      <c r="O549" s="126"/>
      <c r="P549" s="126"/>
      <c r="Q549" s="126"/>
      <c r="R549" s="126"/>
      <c r="S549" s="126"/>
      <c r="T549" s="126"/>
      <c r="U549" s="126"/>
      <c r="V549" s="126"/>
      <c r="W549" s="126"/>
      <c r="X549" s="126"/>
      <c r="Y549" s="126"/>
      <c r="Z549" s="126"/>
      <c r="AA549" s="126"/>
      <c r="AB549" s="126"/>
      <c r="AC549" s="126"/>
    </row>
    <row r="550" spans="1:29" ht="15.75" customHeight="1">
      <c r="A550" s="126"/>
      <c r="B550" s="126"/>
      <c r="C550" s="176"/>
      <c r="D550" s="176"/>
      <c r="E550" s="176"/>
      <c r="F550" s="176"/>
      <c r="G550" s="176"/>
      <c r="H550" s="176"/>
      <c r="I550" s="126"/>
      <c r="J550" s="126"/>
      <c r="K550" s="126"/>
      <c r="L550" s="126"/>
      <c r="M550" s="126"/>
      <c r="N550" s="126"/>
      <c r="O550" s="126"/>
      <c r="P550" s="126"/>
      <c r="Q550" s="126"/>
      <c r="R550" s="126"/>
      <c r="S550" s="126"/>
      <c r="T550" s="126"/>
      <c r="U550" s="126"/>
      <c r="V550" s="126"/>
      <c r="W550" s="126"/>
      <c r="X550" s="126"/>
      <c r="Y550" s="126"/>
      <c r="Z550" s="126"/>
      <c r="AA550" s="126"/>
      <c r="AB550" s="126"/>
      <c r="AC550" s="126"/>
    </row>
    <row r="551" spans="1:29" ht="15.75" customHeight="1">
      <c r="A551" s="126"/>
      <c r="B551" s="126"/>
      <c r="C551" s="176"/>
      <c r="D551" s="176"/>
      <c r="E551" s="176"/>
      <c r="F551" s="176"/>
      <c r="G551" s="176"/>
      <c r="H551" s="176"/>
      <c r="I551" s="126"/>
      <c r="J551" s="126"/>
      <c r="K551" s="126"/>
      <c r="L551" s="126"/>
      <c r="M551" s="126"/>
      <c r="N551" s="126"/>
      <c r="O551" s="126"/>
      <c r="P551" s="126"/>
      <c r="Q551" s="126"/>
      <c r="R551" s="126"/>
      <c r="S551" s="126"/>
      <c r="T551" s="126"/>
      <c r="U551" s="126"/>
      <c r="V551" s="126"/>
      <c r="W551" s="126"/>
      <c r="X551" s="126"/>
      <c r="Y551" s="126"/>
      <c r="Z551" s="126"/>
      <c r="AA551" s="126"/>
      <c r="AB551" s="126"/>
      <c r="AC551" s="126"/>
    </row>
    <row r="552" spans="1:29" ht="15.75" customHeight="1">
      <c r="A552" s="126"/>
      <c r="B552" s="126"/>
      <c r="C552" s="176"/>
      <c r="D552" s="176"/>
      <c r="E552" s="176"/>
      <c r="F552" s="176"/>
      <c r="G552" s="176"/>
      <c r="H552" s="176"/>
      <c r="I552" s="126"/>
      <c r="J552" s="126"/>
      <c r="K552" s="126"/>
      <c r="L552" s="126"/>
      <c r="M552" s="126"/>
      <c r="N552" s="126"/>
      <c r="O552" s="126"/>
      <c r="P552" s="126"/>
      <c r="Q552" s="126"/>
      <c r="R552" s="126"/>
      <c r="S552" s="126"/>
      <c r="T552" s="126"/>
      <c r="U552" s="126"/>
      <c r="V552" s="126"/>
      <c r="W552" s="126"/>
      <c r="X552" s="126"/>
      <c r="Y552" s="126"/>
      <c r="Z552" s="126"/>
      <c r="AA552" s="126"/>
      <c r="AB552" s="126"/>
      <c r="AC552" s="126"/>
    </row>
    <row r="553" spans="1:29" ht="15.75" customHeight="1">
      <c r="A553" s="126"/>
      <c r="B553" s="126"/>
      <c r="C553" s="176"/>
      <c r="D553" s="176"/>
      <c r="E553" s="176"/>
      <c r="F553" s="176"/>
      <c r="G553" s="176"/>
      <c r="H553" s="176"/>
      <c r="I553" s="126"/>
      <c r="J553" s="126"/>
      <c r="K553" s="126"/>
      <c r="L553" s="126"/>
      <c r="M553" s="126"/>
      <c r="N553" s="126"/>
      <c r="O553" s="126"/>
      <c r="P553" s="126"/>
      <c r="Q553" s="126"/>
      <c r="R553" s="126"/>
      <c r="S553" s="126"/>
      <c r="T553" s="126"/>
      <c r="U553" s="126"/>
      <c r="V553" s="126"/>
      <c r="W553" s="126"/>
      <c r="X553" s="126"/>
      <c r="Y553" s="126"/>
      <c r="Z553" s="126"/>
      <c r="AA553" s="126"/>
      <c r="AB553" s="126"/>
      <c r="AC553" s="126"/>
    </row>
    <row r="554" spans="1:29" ht="15.75" customHeight="1">
      <c r="A554" s="126"/>
      <c r="B554" s="126"/>
      <c r="C554" s="176"/>
      <c r="D554" s="176"/>
      <c r="E554" s="176"/>
      <c r="F554" s="176"/>
      <c r="G554" s="176"/>
      <c r="H554" s="176"/>
      <c r="I554" s="126"/>
      <c r="J554" s="126"/>
      <c r="K554" s="126"/>
      <c r="L554" s="126"/>
      <c r="M554" s="126"/>
      <c r="N554" s="126"/>
      <c r="O554" s="126"/>
      <c r="P554" s="126"/>
      <c r="Q554" s="126"/>
      <c r="R554" s="126"/>
      <c r="S554" s="126"/>
      <c r="T554" s="126"/>
      <c r="U554" s="126"/>
      <c r="V554" s="126"/>
      <c r="W554" s="126"/>
      <c r="X554" s="126"/>
      <c r="Y554" s="126"/>
      <c r="Z554" s="126"/>
      <c r="AA554" s="126"/>
      <c r="AB554" s="126"/>
      <c r="AC554" s="126"/>
    </row>
    <row r="555" spans="1:29" ht="15.75" customHeight="1">
      <c r="A555" s="126"/>
      <c r="B555" s="126"/>
      <c r="C555" s="176"/>
      <c r="D555" s="176"/>
      <c r="E555" s="176"/>
      <c r="F555" s="176"/>
      <c r="G555" s="176"/>
      <c r="H555" s="176"/>
      <c r="I555" s="126"/>
      <c r="J555" s="126"/>
      <c r="K555" s="126"/>
      <c r="L555" s="126"/>
      <c r="M555" s="126"/>
      <c r="N555" s="126"/>
      <c r="O555" s="126"/>
      <c r="P555" s="126"/>
      <c r="Q555" s="126"/>
      <c r="R555" s="126"/>
      <c r="S555" s="126"/>
      <c r="T555" s="126"/>
      <c r="U555" s="126"/>
      <c r="V555" s="126"/>
      <c r="W555" s="126"/>
      <c r="X555" s="126"/>
      <c r="Y555" s="126"/>
      <c r="Z555" s="126"/>
      <c r="AA555" s="126"/>
      <c r="AB555" s="126"/>
      <c r="AC555" s="126"/>
    </row>
    <row r="556" spans="1:29" ht="15.75" customHeight="1">
      <c r="A556" s="126"/>
      <c r="B556" s="126"/>
      <c r="C556" s="176"/>
      <c r="D556" s="176"/>
      <c r="E556" s="176"/>
      <c r="F556" s="176"/>
      <c r="G556" s="176"/>
      <c r="H556" s="176"/>
      <c r="I556" s="126"/>
      <c r="J556" s="126"/>
      <c r="K556" s="126"/>
      <c r="L556" s="126"/>
      <c r="M556" s="126"/>
      <c r="N556" s="126"/>
      <c r="O556" s="126"/>
      <c r="P556" s="126"/>
      <c r="Q556" s="126"/>
      <c r="R556" s="126"/>
      <c r="S556" s="126"/>
      <c r="T556" s="126"/>
      <c r="U556" s="126"/>
      <c r="V556" s="126"/>
      <c r="W556" s="126"/>
      <c r="X556" s="126"/>
      <c r="Y556" s="126"/>
      <c r="Z556" s="126"/>
      <c r="AA556" s="126"/>
      <c r="AB556" s="126"/>
      <c r="AC556" s="126"/>
    </row>
    <row r="557" spans="1:29" ht="15.75" customHeight="1">
      <c r="A557" s="126"/>
      <c r="B557" s="126"/>
      <c r="C557" s="176"/>
      <c r="D557" s="176"/>
      <c r="E557" s="176"/>
      <c r="F557" s="176"/>
      <c r="G557" s="176"/>
      <c r="H557" s="176"/>
      <c r="I557" s="126"/>
      <c r="J557" s="126"/>
      <c r="K557" s="126"/>
      <c r="L557" s="126"/>
      <c r="M557" s="126"/>
      <c r="N557" s="126"/>
      <c r="O557" s="126"/>
      <c r="P557" s="126"/>
      <c r="Q557" s="126"/>
      <c r="R557" s="126"/>
      <c r="S557" s="126"/>
      <c r="T557" s="126"/>
      <c r="U557" s="126"/>
      <c r="V557" s="126"/>
      <c r="W557" s="126"/>
      <c r="X557" s="126"/>
      <c r="Y557" s="126"/>
      <c r="Z557" s="126"/>
      <c r="AA557" s="126"/>
      <c r="AB557" s="126"/>
      <c r="AC557" s="126"/>
    </row>
    <row r="558" spans="1:29" ht="15.75" customHeight="1">
      <c r="A558" s="126"/>
      <c r="B558" s="126"/>
      <c r="C558" s="176"/>
      <c r="D558" s="176"/>
      <c r="E558" s="176"/>
      <c r="F558" s="176"/>
      <c r="G558" s="176"/>
      <c r="H558" s="176"/>
      <c r="I558" s="126"/>
      <c r="J558" s="126"/>
      <c r="K558" s="126"/>
      <c r="L558" s="126"/>
      <c r="M558" s="126"/>
      <c r="N558" s="126"/>
      <c r="O558" s="126"/>
      <c r="P558" s="126"/>
      <c r="Q558" s="126"/>
      <c r="R558" s="126"/>
      <c r="S558" s="126"/>
      <c r="T558" s="126"/>
      <c r="U558" s="126"/>
      <c r="V558" s="126"/>
      <c r="W558" s="126"/>
      <c r="X558" s="126"/>
      <c r="Y558" s="126"/>
      <c r="Z558" s="126"/>
      <c r="AA558" s="126"/>
      <c r="AB558" s="126"/>
      <c r="AC558" s="126"/>
    </row>
    <row r="559" spans="1:29" ht="15.75" customHeight="1">
      <c r="A559" s="126"/>
      <c r="B559" s="126"/>
      <c r="C559" s="176"/>
      <c r="D559" s="176"/>
      <c r="E559" s="176"/>
      <c r="F559" s="176"/>
      <c r="G559" s="176"/>
      <c r="H559" s="176"/>
      <c r="I559" s="126"/>
      <c r="J559" s="126"/>
      <c r="K559" s="126"/>
      <c r="L559" s="126"/>
      <c r="M559" s="126"/>
      <c r="N559" s="126"/>
      <c r="O559" s="126"/>
      <c r="P559" s="126"/>
      <c r="Q559" s="126"/>
      <c r="R559" s="126"/>
      <c r="S559" s="126"/>
      <c r="T559" s="126"/>
      <c r="U559" s="126"/>
      <c r="V559" s="126"/>
      <c r="W559" s="126"/>
      <c r="X559" s="126"/>
      <c r="Y559" s="126"/>
      <c r="Z559" s="126"/>
      <c r="AA559" s="126"/>
      <c r="AB559" s="126"/>
      <c r="AC559" s="126"/>
    </row>
    <row r="560" spans="1:29" ht="15.75" customHeight="1">
      <c r="A560" s="126"/>
      <c r="B560" s="126"/>
      <c r="C560" s="176"/>
      <c r="D560" s="176"/>
      <c r="E560" s="176"/>
      <c r="F560" s="176"/>
      <c r="G560" s="176"/>
      <c r="H560" s="176"/>
      <c r="I560" s="126"/>
      <c r="J560" s="126"/>
      <c r="K560" s="126"/>
      <c r="L560" s="126"/>
      <c r="M560" s="126"/>
      <c r="N560" s="126"/>
      <c r="O560" s="126"/>
      <c r="P560" s="126"/>
      <c r="Q560" s="126"/>
      <c r="R560" s="126"/>
      <c r="S560" s="126"/>
      <c r="T560" s="126"/>
      <c r="U560" s="126"/>
      <c r="V560" s="126"/>
      <c r="W560" s="126"/>
      <c r="X560" s="126"/>
      <c r="Y560" s="126"/>
      <c r="Z560" s="126"/>
      <c r="AA560" s="126"/>
      <c r="AB560" s="126"/>
      <c r="AC560" s="126"/>
    </row>
    <row r="561" spans="1:29" ht="15.75" customHeight="1">
      <c r="A561" s="126"/>
      <c r="B561" s="126"/>
      <c r="C561" s="176"/>
      <c r="D561" s="176"/>
      <c r="E561" s="176"/>
      <c r="F561" s="176"/>
      <c r="G561" s="176"/>
      <c r="H561" s="176"/>
      <c r="I561" s="126"/>
      <c r="J561" s="126"/>
      <c r="K561" s="126"/>
      <c r="L561" s="126"/>
      <c r="M561" s="126"/>
      <c r="N561" s="126"/>
      <c r="O561" s="126"/>
      <c r="P561" s="126"/>
      <c r="Q561" s="126"/>
      <c r="R561" s="126"/>
      <c r="S561" s="126"/>
      <c r="T561" s="126"/>
      <c r="U561" s="126"/>
      <c r="V561" s="126"/>
      <c r="W561" s="126"/>
      <c r="X561" s="126"/>
      <c r="Y561" s="126"/>
      <c r="Z561" s="126"/>
      <c r="AA561" s="126"/>
      <c r="AB561" s="126"/>
      <c r="AC561" s="126"/>
    </row>
    <row r="562" spans="1:29" ht="15.75" customHeight="1">
      <c r="A562" s="126"/>
      <c r="B562" s="126"/>
      <c r="C562" s="176"/>
      <c r="D562" s="176"/>
      <c r="E562" s="176"/>
      <c r="F562" s="176"/>
      <c r="G562" s="176"/>
      <c r="H562" s="176"/>
      <c r="I562" s="126"/>
      <c r="J562" s="126"/>
      <c r="K562" s="126"/>
      <c r="L562" s="126"/>
      <c r="M562" s="126"/>
      <c r="N562" s="126"/>
      <c r="O562" s="126"/>
      <c r="P562" s="126"/>
      <c r="Q562" s="126"/>
      <c r="R562" s="126"/>
      <c r="S562" s="126"/>
      <c r="T562" s="126"/>
      <c r="U562" s="126"/>
      <c r="V562" s="126"/>
      <c r="W562" s="126"/>
      <c r="X562" s="126"/>
      <c r="Y562" s="126"/>
      <c r="Z562" s="126"/>
      <c r="AA562" s="126"/>
      <c r="AB562" s="126"/>
      <c r="AC562" s="126"/>
    </row>
    <row r="563" spans="1:29" ht="15.75" customHeight="1">
      <c r="A563" s="126"/>
      <c r="B563" s="126"/>
      <c r="C563" s="176"/>
      <c r="D563" s="176"/>
      <c r="E563" s="176"/>
      <c r="F563" s="176"/>
      <c r="G563" s="176"/>
      <c r="H563" s="176"/>
      <c r="I563" s="126"/>
      <c r="J563" s="126"/>
      <c r="K563" s="126"/>
      <c r="L563" s="126"/>
      <c r="M563" s="126"/>
      <c r="N563" s="126"/>
      <c r="O563" s="126"/>
      <c r="P563" s="126"/>
      <c r="Q563" s="126"/>
      <c r="R563" s="126"/>
      <c r="S563" s="126"/>
      <c r="T563" s="126"/>
      <c r="U563" s="126"/>
      <c r="V563" s="126"/>
      <c r="W563" s="126"/>
      <c r="X563" s="126"/>
      <c r="Y563" s="126"/>
      <c r="Z563" s="126"/>
      <c r="AA563" s="126"/>
      <c r="AB563" s="126"/>
      <c r="AC563" s="126"/>
    </row>
    <row r="564" spans="1:29" ht="15.75" customHeight="1">
      <c r="A564" s="126"/>
      <c r="B564" s="126"/>
      <c r="C564" s="176"/>
      <c r="D564" s="176"/>
      <c r="E564" s="176"/>
      <c r="F564" s="176"/>
      <c r="G564" s="176"/>
      <c r="H564" s="176"/>
      <c r="I564" s="126"/>
      <c r="J564" s="126"/>
      <c r="K564" s="126"/>
      <c r="L564" s="126"/>
      <c r="M564" s="126"/>
      <c r="N564" s="126"/>
      <c r="O564" s="126"/>
      <c r="P564" s="126"/>
      <c r="Q564" s="126"/>
      <c r="R564" s="126"/>
      <c r="S564" s="126"/>
      <c r="T564" s="126"/>
      <c r="U564" s="126"/>
      <c r="V564" s="126"/>
      <c r="W564" s="126"/>
      <c r="X564" s="126"/>
      <c r="Y564" s="126"/>
      <c r="Z564" s="126"/>
      <c r="AA564" s="126"/>
      <c r="AB564" s="126"/>
      <c r="AC564" s="126"/>
    </row>
    <row r="565" spans="1:29" ht="15.75" customHeight="1">
      <c r="A565" s="126"/>
      <c r="B565" s="126"/>
      <c r="C565" s="176"/>
      <c r="D565" s="176"/>
      <c r="E565" s="176"/>
      <c r="F565" s="176"/>
      <c r="G565" s="176"/>
      <c r="H565" s="176"/>
      <c r="I565" s="126"/>
      <c r="J565" s="126"/>
      <c r="K565" s="126"/>
      <c r="L565" s="126"/>
      <c r="M565" s="126"/>
      <c r="N565" s="126"/>
      <c r="O565" s="126"/>
      <c r="P565" s="126"/>
      <c r="Q565" s="126"/>
      <c r="R565" s="126"/>
      <c r="S565" s="126"/>
      <c r="T565" s="126"/>
      <c r="U565" s="126"/>
      <c r="V565" s="126"/>
      <c r="W565" s="126"/>
      <c r="X565" s="126"/>
      <c r="Y565" s="126"/>
      <c r="Z565" s="126"/>
      <c r="AA565" s="126"/>
      <c r="AB565" s="126"/>
      <c r="AC565" s="126"/>
    </row>
    <row r="566" spans="1:29" ht="15.75" customHeight="1">
      <c r="A566" s="126"/>
      <c r="B566" s="126"/>
      <c r="C566" s="176"/>
      <c r="D566" s="176"/>
      <c r="E566" s="176"/>
      <c r="F566" s="176"/>
      <c r="G566" s="176"/>
      <c r="H566" s="176"/>
      <c r="I566" s="126"/>
      <c r="J566" s="126"/>
      <c r="K566" s="126"/>
      <c r="L566" s="126"/>
      <c r="M566" s="126"/>
      <c r="N566" s="126"/>
      <c r="O566" s="126"/>
      <c r="P566" s="126"/>
      <c r="Q566" s="126"/>
      <c r="R566" s="126"/>
      <c r="S566" s="126"/>
      <c r="T566" s="126"/>
      <c r="U566" s="126"/>
      <c r="V566" s="126"/>
      <c r="W566" s="126"/>
      <c r="X566" s="126"/>
      <c r="Y566" s="126"/>
      <c r="Z566" s="126"/>
      <c r="AA566" s="126"/>
      <c r="AB566" s="126"/>
      <c r="AC566" s="126"/>
    </row>
    <row r="567" spans="1:29" ht="15.75" customHeight="1">
      <c r="A567" s="126"/>
      <c r="B567" s="126"/>
      <c r="C567" s="176"/>
      <c r="D567" s="176"/>
      <c r="E567" s="176"/>
      <c r="F567" s="176"/>
      <c r="G567" s="176"/>
      <c r="H567" s="176"/>
      <c r="I567" s="126"/>
      <c r="J567" s="126"/>
      <c r="K567" s="126"/>
      <c r="L567" s="126"/>
      <c r="M567" s="126"/>
      <c r="N567" s="126"/>
      <c r="O567" s="126"/>
      <c r="P567" s="126"/>
      <c r="Q567" s="126"/>
      <c r="R567" s="126"/>
      <c r="S567" s="126"/>
      <c r="T567" s="126"/>
      <c r="U567" s="126"/>
      <c r="V567" s="126"/>
      <c r="W567" s="126"/>
      <c r="X567" s="126"/>
      <c r="Y567" s="126"/>
      <c r="Z567" s="126"/>
      <c r="AA567" s="126"/>
      <c r="AB567" s="126"/>
      <c r="AC567" s="126"/>
    </row>
    <row r="568" spans="1:29" ht="15.75" customHeight="1">
      <c r="A568" s="126"/>
      <c r="B568" s="126"/>
      <c r="C568" s="176"/>
      <c r="D568" s="176"/>
      <c r="E568" s="176"/>
      <c r="F568" s="176"/>
      <c r="G568" s="176"/>
      <c r="H568" s="176"/>
      <c r="I568" s="126"/>
      <c r="J568" s="126"/>
      <c r="K568" s="126"/>
      <c r="L568" s="126"/>
      <c r="M568" s="126"/>
      <c r="N568" s="126"/>
      <c r="O568" s="126"/>
      <c r="P568" s="126"/>
      <c r="Q568" s="126"/>
      <c r="R568" s="126"/>
      <c r="S568" s="126"/>
      <c r="T568" s="126"/>
      <c r="U568" s="126"/>
      <c r="V568" s="126"/>
      <c r="W568" s="126"/>
      <c r="X568" s="126"/>
      <c r="Y568" s="126"/>
      <c r="Z568" s="126"/>
      <c r="AA568" s="126"/>
      <c r="AB568" s="126"/>
      <c r="AC568" s="126"/>
    </row>
    <row r="569" spans="1:29" ht="15.75" customHeight="1">
      <c r="A569" s="126"/>
      <c r="B569" s="126"/>
      <c r="C569" s="176"/>
      <c r="D569" s="176"/>
      <c r="E569" s="176"/>
      <c r="F569" s="176"/>
      <c r="G569" s="176"/>
      <c r="H569" s="176"/>
      <c r="I569" s="126"/>
      <c r="J569" s="126"/>
      <c r="K569" s="126"/>
      <c r="L569" s="126"/>
      <c r="M569" s="126"/>
      <c r="N569" s="126"/>
      <c r="O569" s="126"/>
      <c r="P569" s="126"/>
      <c r="Q569" s="126"/>
      <c r="R569" s="126"/>
      <c r="S569" s="126"/>
      <c r="T569" s="126"/>
      <c r="U569" s="126"/>
      <c r="V569" s="126"/>
      <c r="W569" s="126"/>
      <c r="X569" s="126"/>
      <c r="Y569" s="126"/>
      <c r="Z569" s="126"/>
      <c r="AA569" s="126"/>
      <c r="AB569" s="126"/>
      <c r="AC569" s="126"/>
    </row>
    <row r="570" spans="1:29" ht="15.75" customHeight="1">
      <c r="A570" s="126"/>
      <c r="B570" s="126"/>
      <c r="C570" s="176"/>
      <c r="D570" s="176"/>
      <c r="E570" s="176"/>
      <c r="F570" s="176"/>
      <c r="G570" s="176"/>
      <c r="H570" s="176"/>
      <c r="I570" s="126"/>
      <c r="J570" s="126"/>
      <c r="K570" s="126"/>
      <c r="L570" s="126"/>
      <c r="M570" s="126"/>
      <c r="N570" s="126"/>
      <c r="O570" s="126"/>
      <c r="P570" s="126"/>
      <c r="Q570" s="126"/>
      <c r="R570" s="126"/>
      <c r="S570" s="126"/>
      <c r="T570" s="126"/>
      <c r="U570" s="126"/>
      <c r="V570" s="126"/>
      <c r="W570" s="126"/>
      <c r="X570" s="126"/>
      <c r="Y570" s="126"/>
      <c r="Z570" s="126"/>
      <c r="AA570" s="126"/>
      <c r="AB570" s="126"/>
      <c r="AC570" s="126"/>
    </row>
    <row r="571" spans="1:29" ht="15.75" customHeight="1">
      <c r="A571" s="126"/>
      <c r="B571" s="126"/>
      <c r="C571" s="176"/>
      <c r="D571" s="176"/>
      <c r="E571" s="176"/>
      <c r="F571" s="176"/>
      <c r="G571" s="176"/>
      <c r="H571" s="176"/>
      <c r="I571" s="126"/>
      <c r="J571" s="126"/>
      <c r="K571" s="126"/>
      <c r="L571" s="126"/>
      <c r="M571" s="126"/>
      <c r="N571" s="126"/>
      <c r="O571" s="126"/>
      <c r="P571" s="126"/>
      <c r="Q571" s="126"/>
      <c r="R571" s="126"/>
      <c r="S571" s="126"/>
      <c r="T571" s="126"/>
      <c r="U571" s="126"/>
      <c r="V571" s="126"/>
      <c r="W571" s="126"/>
      <c r="X571" s="126"/>
      <c r="Y571" s="126"/>
      <c r="Z571" s="126"/>
      <c r="AA571" s="126"/>
      <c r="AB571" s="126"/>
      <c r="AC571" s="126"/>
    </row>
    <row r="572" spans="1:29" ht="15.75" customHeight="1">
      <c r="A572" s="126"/>
      <c r="B572" s="126"/>
      <c r="C572" s="176"/>
      <c r="D572" s="176"/>
      <c r="E572" s="176"/>
      <c r="F572" s="176"/>
      <c r="G572" s="176"/>
      <c r="H572" s="176"/>
      <c r="I572" s="126"/>
      <c r="J572" s="126"/>
      <c r="K572" s="126"/>
      <c r="L572" s="126"/>
      <c r="M572" s="126"/>
      <c r="N572" s="126"/>
      <c r="O572" s="126"/>
      <c r="P572" s="126"/>
      <c r="Q572" s="126"/>
      <c r="R572" s="126"/>
      <c r="S572" s="126"/>
      <c r="T572" s="126"/>
      <c r="U572" s="126"/>
      <c r="V572" s="126"/>
      <c r="W572" s="126"/>
      <c r="X572" s="126"/>
      <c r="Y572" s="126"/>
      <c r="Z572" s="126"/>
      <c r="AA572" s="126"/>
      <c r="AB572" s="126"/>
      <c r="AC572" s="126"/>
    </row>
    <row r="573" spans="1:29" ht="15.75" customHeight="1">
      <c r="A573" s="126"/>
      <c r="B573" s="126"/>
      <c r="C573" s="176"/>
      <c r="D573" s="176"/>
      <c r="E573" s="176"/>
      <c r="F573" s="176"/>
      <c r="G573" s="176"/>
      <c r="H573" s="176"/>
      <c r="I573" s="126"/>
      <c r="J573" s="126"/>
      <c r="K573" s="126"/>
      <c r="L573" s="126"/>
      <c r="M573" s="126"/>
      <c r="N573" s="126"/>
      <c r="O573" s="126"/>
      <c r="P573" s="126"/>
      <c r="Q573" s="126"/>
      <c r="R573" s="126"/>
      <c r="S573" s="126"/>
      <c r="T573" s="126"/>
      <c r="U573" s="126"/>
      <c r="V573" s="126"/>
      <c r="W573" s="126"/>
      <c r="X573" s="126"/>
      <c r="Y573" s="126"/>
      <c r="Z573" s="126"/>
      <c r="AA573" s="126"/>
      <c r="AB573" s="126"/>
      <c r="AC573" s="126"/>
    </row>
    <row r="574" spans="1:29" ht="15.75" customHeight="1">
      <c r="A574" s="126"/>
      <c r="B574" s="126"/>
      <c r="C574" s="176"/>
      <c r="D574" s="176"/>
      <c r="E574" s="176"/>
      <c r="F574" s="176"/>
      <c r="G574" s="176"/>
      <c r="H574" s="176"/>
      <c r="I574" s="126"/>
      <c r="J574" s="126"/>
      <c r="K574" s="126"/>
      <c r="L574" s="126"/>
      <c r="M574" s="126"/>
      <c r="N574" s="126"/>
      <c r="O574" s="126"/>
      <c r="P574" s="126"/>
      <c r="Q574" s="126"/>
      <c r="R574" s="126"/>
      <c r="S574" s="126"/>
      <c r="T574" s="126"/>
      <c r="U574" s="126"/>
      <c r="V574" s="126"/>
      <c r="W574" s="126"/>
      <c r="X574" s="126"/>
      <c r="Y574" s="126"/>
      <c r="Z574" s="126"/>
      <c r="AA574" s="126"/>
      <c r="AB574" s="126"/>
      <c r="AC574" s="126"/>
    </row>
    <row r="575" spans="1:29" ht="15.75" customHeight="1">
      <c r="A575" s="126"/>
      <c r="B575" s="126"/>
      <c r="C575" s="176"/>
      <c r="D575" s="176"/>
      <c r="E575" s="176"/>
      <c r="F575" s="176"/>
      <c r="G575" s="176"/>
      <c r="H575" s="176"/>
      <c r="I575" s="126"/>
      <c r="J575" s="126"/>
      <c r="K575" s="126"/>
      <c r="L575" s="126"/>
      <c r="M575" s="126"/>
      <c r="N575" s="126"/>
      <c r="O575" s="126"/>
      <c r="P575" s="126"/>
      <c r="Q575" s="126"/>
      <c r="R575" s="126"/>
      <c r="S575" s="126"/>
      <c r="T575" s="126"/>
      <c r="U575" s="126"/>
      <c r="V575" s="126"/>
      <c r="W575" s="126"/>
      <c r="X575" s="126"/>
      <c r="Y575" s="126"/>
      <c r="Z575" s="126"/>
      <c r="AA575" s="126"/>
      <c r="AB575" s="126"/>
      <c r="AC575" s="126"/>
    </row>
    <row r="576" spans="1:29" ht="15.75" customHeight="1">
      <c r="A576" s="126"/>
      <c r="B576" s="126"/>
      <c r="C576" s="176"/>
      <c r="D576" s="176"/>
      <c r="E576" s="176"/>
      <c r="F576" s="176"/>
      <c r="G576" s="176"/>
      <c r="H576" s="176"/>
      <c r="I576" s="126"/>
      <c r="J576" s="126"/>
      <c r="K576" s="126"/>
      <c r="L576" s="126"/>
      <c r="M576" s="126"/>
      <c r="N576" s="126"/>
      <c r="O576" s="126"/>
      <c r="P576" s="126"/>
      <c r="Q576" s="126"/>
      <c r="R576" s="126"/>
      <c r="S576" s="126"/>
      <c r="T576" s="126"/>
      <c r="U576" s="126"/>
      <c r="V576" s="126"/>
      <c r="W576" s="126"/>
      <c r="X576" s="126"/>
      <c r="Y576" s="126"/>
      <c r="Z576" s="126"/>
      <c r="AA576" s="126"/>
      <c r="AB576" s="126"/>
      <c r="AC576" s="126"/>
    </row>
    <row r="577" spans="1:29" ht="15.75" customHeight="1">
      <c r="A577" s="126"/>
      <c r="B577" s="126"/>
      <c r="C577" s="176"/>
      <c r="D577" s="176"/>
      <c r="E577" s="176"/>
      <c r="F577" s="176"/>
      <c r="G577" s="176"/>
      <c r="H577" s="176"/>
      <c r="I577" s="126"/>
      <c r="J577" s="126"/>
      <c r="K577" s="126"/>
      <c r="L577" s="126"/>
      <c r="M577" s="126"/>
      <c r="N577" s="126"/>
      <c r="O577" s="126"/>
      <c r="P577" s="126"/>
      <c r="Q577" s="126"/>
      <c r="R577" s="126"/>
      <c r="S577" s="126"/>
      <c r="T577" s="126"/>
      <c r="U577" s="126"/>
      <c r="V577" s="126"/>
      <c r="W577" s="126"/>
      <c r="X577" s="126"/>
      <c r="Y577" s="126"/>
      <c r="Z577" s="126"/>
      <c r="AA577" s="126"/>
      <c r="AB577" s="126"/>
      <c r="AC577" s="126"/>
    </row>
    <row r="578" spans="1:29" ht="15.75" customHeight="1">
      <c r="A578" s="126"/>
      <c r="B578" s="126"/>
      <c r="C578" s="176"/>
      <c r="D578" s="176"/>
      <c r="E578" s="176"/>
      <c r="F578" s="176"/>
      <c r="G578" s="176"/>
      <c r="H578" s="176"/>
      <c r="I578" s="126"/>
      <c r="J578" s="126"/>
      <c r="K578" s="126"/>
      <c r="L578" s="126"/>
      <c r="M578" s="126"/>
      <c r="N578" s="126"/>
      <c r="O578" s="126"/>
      <c r="P578" s="126"/>
      <c r="Q578" s="126"/>
      <c r="R578" s="126"/>
      <c r="S578" s="126"/>
      <c r="T578" s="126"/>
      <c r="U578" s="126"/>
      <c r="V578" s="126"/>
      <c r="W578" s="126"/>
      <c r="X578" s="126"/>
      <c r="Y578" s="126"/>
      <c r="Z578" s="126"/>
      <c r="AA578" s="126"/>
      <c r="AB578" s="126"/>
      <c r="AC578" s="126"/>
    </row>
    <row r="579" spans="1:29" ht="15.75" customHeight="1">
      <c r="A579" s="126"/>
      <c r="B579" s="126"/>
      <c r="C579" s="176"/>
      <c r="D579" s="176"/>
      <c r="E579" s="176"/>
      <c r="F579" s="176"/>
      <c r="G579" s="176"/>
      <c r="H579" s="176"/>
      <c r="I579" s="126"/>
      <c r="J579" s="126"/>
      <c r="K579" s="126"/>
      <c r="L579" s="126"/>
      <c r="M579" s="126"/>
      <c r="N579" s="126"/>
      <c r="O579" s="126"/>
      <c r="P579" s="126"/>
      <c r="Q579" s="126"/>
      <c r="R579" s="126"/>
      <c r="S579" s="126"/>
      <c r="T579" s="126"/>
      <c r="U579" s="126"/>
      <c r="V579" s="126"/>
      <c r="W579" s="126"/>
      <c r="X579" s="126"/>
      <c r="Y579" s="126"/>
      <c r="Z579" s="126"/>
      <c r="AA579" s="126"/>
      <c r="AB579" s="126"/>
      <c r="AC579" s="126"/>
    </row>
    <row r="580" spans="1:29" ht="15.75" customHeight="1">
      <c r="A580" s="126"/>
      <c r="B580" s="126"/>
      <c r="C580" s="176"/>
      <c r="D580" s="176"/>
      <c r="E580" s="176"/>
      <c r="F580" s="176"/>
      <c r="G580" s="176"/>
      <c r="H580" s="17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5.75" customHeight="1">
      <c r="A581" s="126"/>
      <c r="B581" s="126"/>
      <c r="C581" s="176"/>
      <c r="D581" s="176"/>
      <c r="E581" s="176"/>
      <c r="F581" s="176"/>
      <c r="G581" s="176"/>
      <c r="H581" s="17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5.75" customHeight="1">
      <c r="A582" s="126"/>
      <c r="B582" s="126"/>
      <c r="C582" s="176"/>
      <c r="D582" s="176"/>
      <c r="E582" s="176"/>
      <c r="F582" s="176"/>
      <c r="G582" s="176"/>
      <c r="H582" s="17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5.75" customHeight="1">
      <c r="A583" s="126"/>
      <c r="B583" s="126"/>
      <c r="C583" s="176"/>
      <c r="D583" s="176"/>
      <c r="E583" s="176"/>
      <c r="F583" s="176"/>
      <c r="G583" s="176"/>
      <c r="H583" s="17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5.75" customHeight="1">
      <c r="A584" s="126"/>
      <c r="B584" s="126"/>
      <c r="C584" s="176"/>
      <c r="D584" s="176"/>
      <c r="E584" s="176"/>
      <c r="F584" s="176"/>
      <c r="G584" s="176"/>
      <c r="H584" s="17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5.75" customHeight="1">
      <c r="A585" s="126"/>
      <c r="B585" s="126"/>
      <c r="C585" s="176"/>
      <c r="D585" s="176"/>
      <c r="E585" s="176"/>
      <c r="F585" s="176"/>
      <c r="G585" s="176"/>
      <c r="H585" s="17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5.75" customHeight="1">
      <c r="A586" s="126"/>
      <c r="B586" s="126"/>
      <c r="C586" s="176"/>
      <c r="D586" s="176"/>
      <c r="E586" s="176"/>
      <c r="F586" s="176"/>
      <c r="G586" s="176"/>
      <c r="H586" s="17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5.75" customHeight="1">
      <c r="A587" s="126"/>
      <c r="B587" s="126"/>
      <c r="C587" s="176"/>
      <c r="D587" s="176"/>
      <c r="E587" s="176"/>
      <c r="F587" s="176"/>
      <c r="G587" s="176"/>
      <c r="H587" s="17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5.75" customHeight="1">
      <c r="A588" s="126"/>
      <c r="B588" s="126"/>
      <c r="C588" s="176"/>
      <c r="D588" s="176"/>
      <c r="E588" s="176"/>
      <c r="F588" s="176"/>
      <c r="G588" s="176"/>
      <c r="H588" s="17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5.75" customHeight="1">
      <c r="A589" s="126"/>
      <c r="B589" s="126"/>
      <c r="C589" s="176"/>
      <c r="D589" s="176"/>
      <c r="E589" s="176"/>
      <c r="F589" s="176"/>
      <c r="G589" s="176"/>
      <c r="H589" s="17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5.75" customHeight="1">
      <c r="A590" s="126"/>
      <c r="B590" s="126"/>
      <c r="C590" s="176"/>
      <c r="D590" s="176"/>
      <c r="E590" s="176"/>
      <c r="F590" s="176"/>
      <c r="G590" s="176"/>
      <c r="H590" s="17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5.75" customHeight="1">
      <c r="A591" s="126"/>
      <c r="B591" s="126"/>
      <c r="C591" s="176"/>
      <c r="D591" s="176"/>
      <c r="E591" s="176"/>
      <c r="F591" s="176"/>
      <c r="G591" s="176"/>
      <c r="H591" s="17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5.75" customHeight="1">
      <c r="A592" s="126"/>
      <c r="B592" s="126"/>
      <c r="C592" s="176"/>
      <c r="D592" s="176"/>
      <c r="E592" s="176"/>
      <c r="F592" s="176"/>
      <c r="G592" s="176"/>
      <c r="H592" s="17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5.75" customHeight="1">
      <c r="A593" s="126"/>
      <c r="B593" s="126"/>
      <c r="C593" s="176"/>
      <c r="D593" s="176"/>
      <c r="E593" s="176"/>
      <c r="F593" s="176"/>
      <c r="G593" s="176"/>
      <c r="H593" s="17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5.75" customHeight="1">
      <c r="A594" s="126"/>
      <c r="B594" s="126"/>
      <c r="C594" s="176"/>
      <c r="D594" s="176"/>
      <c r="E594" s="176"/>
      <c r="F594" s="176"/>
      <c r="G594" s="176"/>
      <c r="H594" s="17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5.75" customHeight="1">
      <c r="A595" s="126"/>
      <c r="B595" s="126"/>
      <c r="C595" s="176"/>
      <c r="D595" s="176"/>
      <c r="E595" s="176"/>
      <c r="F595" s="176"/>
      <c r="G595" s="176"/>
      <c r="H595" s="17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5.75" customHeight="1">
      <c r="A596" s="126"/>
      <c r="B596" s="126"/>
      <c r="C596" s="176"/>
      <c r="D596" s="176"/>
      <c r="E596" s="176"/>
      <c r="F596" s="176"/>
      <c r="G596" s="176"/>
      <c r="H596" s="17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5.75" customHeight="1">
      <c r="A597" s="126"/>
      <c r="B597" s="126"/>
      <c r="C597" s="176"/>
      <c r="D597" s="176"/>
      <c r="E597" s="176"/>
      <c r="F597" s="176"/>
      <c r="G597" s="176"/>
      <c r="H597" s="17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5.75" customHeight="1">
      <c r="A598" s="126"/>
      <c r="B598" s="126"/>
      <c r="C598" s="176"/>
      <c r="D598" s="176"/>
      <c r="E598" s="176"/>
      <c r="F598" s="176"/>
      <c r="G598" s="176"/>
      <c r="H598" s="17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5.75" customHeight="1">
      <c r="A599" s="126"/>
      <c r="B599" s="126"/>
      <c r="C599" s="176"/>
      <c r="D599" s="176"/>
      <c r="E599" s="176"/>
      <c r="F599" s="176"/>
      <c r="G599" s="176"/>
      <c r="H599" s="17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5.75" customHeight="1">
      <c r="A600" s="126"/>
      <c r="B600" s="126"/>
      <c r="C600" s="176"/>
      <c r="D600" s="176"/>
      <c r="E600" s="176"/>
      <c r="F600" s="176"/>
      <c r="G600" s="176"/>
      <c r="H600" s="17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5.75" customHeight="1">
      <c r="A601" s="126"/>
      <c r="B601" s="126"/>
      <c r="C601" s="176"/>
      <c r="D601" s="176"/>
      <c r="E601" s="176"/>
      <c r="F601" s="176"/>
      <c r="G601" s="176"/>
      <c r="H601" s="17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5.75" customHeight="1">
      <c r="A602" s="126"/>
      <c r="B602" s="126"/>
      <c r="C602" s="176"/>
      <c r="D602" s="176"/>
      <c r="E602" s="176"/>
      <c r="F602" s="176"/>
      <c r="G602" s="176"/>
      <c r="H602" s="17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5.75" customHeight="1">
      <c r="A603" s="126"/>
      <c r="B603" s="126"/>
      <c r="C603" s="176"/>
      <c r="D603" s="176"/>
      <c r="E603" s="176"/>
      <c r="F603" s="176"/>
      <c r="G603" s="176"/>
      <c r="H603" s="17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5.75" customHeight="1">
      <c r="A604" s="126"/>
      <c r="B604" s="126"/>
      <c r="C604" s="176"/>
      <c r="D604" s="176"/>
      <c r="E604" s="176"/>
      <c r="F604" s="176"/>
      <c r="G604" s="176"/>
      <c r="H604" s="17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5.75" customHeight="1">
      <c r="A605" s="126"/>
      <c r="B605" s="126"/>
      <c r="C605" s="176"/>
      <c r="D605" s="176"/>
      <c r="E605" s="176"/>
      <c r="F605" s="176"/>
      <c r="G605" s="176"/>
      <c r="H605" s="17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5.75" customHeight="1">
      <c r="A606" s="126"/>
      <c r="B606" s="126"/>
      <c r="C606" s="176"/>
      <c r="D606" s="176"/>
      <c r="E606" s="176"/>
      <c r="F606" s="176"/>
      <c r="G606" s="176"/>
      <c r="H606" s="17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5.75" customHeight="1">
      <c r="A607" s="126"/>
      <c r="B607" s="126"/>
      <c r="C607" s="176"/>
      <c r="D607" s="176"/>
      <c r="E607" s="176"/>
      <c r="F607" s="176"/>
      <c r="G607" s="176"/>
      <c r="H607" s="17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5.75" customHeight="1">
      <c r="A608" s="126"/>
      <c r="B608" s="126"/>
      <c r="C608" s="176"/>
      <c r="D608" s="176"/>
      <c r="E608" s="176"/>
      <c r="F608" s="176"/>
      <c r="G608" s="176"/>
      <c r="H608" s="17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5.75" customHeight="1">
      <c r="A609" s="126"/>
      <c r="B609" s="126"/>
      <c r="C609" s="176"/>
      <c r="D609" s="176"/>
      <c r="E609" s="176"/>
      <c r="F609" s="176"/>
      <c r="G609" s="176"/>
      <c r="H609" s="17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5.75" customHeight="1">
      <c r="A610" s="126"/>
      <c r="B610" s="126"/>
      <c r="C610" s="176"/>
      <c r="D610" s="176"/>
      <c r="E610" s="176"/>
      <c r="F610" s="176"/>
      <c r="G610" s="176"/>
      <c r="H610" s="17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5.75" customHeight="1">
      <c r="A611" s="126"/>
      <c r="B611" s="126"/>
      <c r="C611" s="176"/>
      <c r="D611" s="176"/>
      <c r="E611" s="176"/>
      <c r="F611" s="176"/>
      <c r="G611" s="176"/>
      <c r="H611" s="17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5.75" customHeight="1">
      <c r="A612" s="126"/>
      <c r="B612" s="126"/>
      <c r="C612" s="176"/>
      <c r="D612" s="176"/>
      <c r="E612" s="176"/>
      <c r="F612" s="176"/>
      <c r="G612" s="176"/>
      <c r="H612" s="17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5.75" customHeight="1">
      <c r="A613" s="126"/>
      <c r="B613" s="126"/>
      <c r="C613" s="176"/>
      <c r="D613" s="176"/>
      <c r="E613" s="176"/>
      <c r="F613" s="176"/>
      <c r="G613" s="176"/>
      <c r="H613" s="17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5.75" customHeight="1">
      <c r="A614" s="126"/>
      <c r="B614" s="126"/>
      <c r="C614" s="176"/>
      <c r="D614" s="176"/>
      <c r="E614" s="176"/>
      <c r="F614" s="176"/>
      <c r="G614" s="176"/>
      <c r="H614" s="17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5.75" customHeight="1">
      <c r="A615" s="126"/>
      <c r="B615" s="126"/>
      <c r="C615" s="176"/>
      <c r="D615" s="176"/>
      <c r="E615" s="176"/>
      <c r="F615" s="176"/>
      <c r="G615" s="176"/>
      <c r="H615" s="17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5.75" customHeight="1">
      <c r="A616" s="126"/>
      <c r="B616" s="126"/>
      <c r="C616" s="176"/>
      <c r="D616" s="176"/>
      <c r="E616" s="176"/>
      <c r="F616" s="176"/>
      <c r="G616" s="176"/>
      <c r="H616" s="17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5.75" customHeight="1">
      <c r="A617" s="126"/>
      <c r="B617" s="126"/>
      <c r="C617" s="176"/>
      <c r="D617" s="176"/>
      <c r="E617" s="176"/>
      <c r="F617" s="176"/>
      <c r="G617" s="176"/>
      <c r="H617" s="17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5.75" customHeight="1">
      <c r="A618" s="126"/>
      <c r="B618" s="126"/>
      <c r="C618" s="176"/>
      <c r="D618" s="176"/>
      <c r="E618" s="176"/>
      <c r="F618" s="176"/>
      <c r="G618" s="176"/>
      <c r="H618" s="17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5.75" customHeight="1">
      <c r="A619" s="126"/>
      <c r="B619" s="126"/>
      <c r="C619" s="176"/>
      <c r="D619" s="176"/>
      <c r="E619" s="176"/>
      <c r="F619" s="176"/>
      <c r="G619" s="176"/>
      <c r="H619" s="17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5.75" customHeight="1">
      <c r="A620" s="126"/>
      <c r="B620" s="126"/>
      <c r="C620" s="176"/>
      <c r="D620" s="176"/>
      <c r="E620" s="176"/>
      <c r="F620" s="176"/>
      <c r="G620" s="176"/>
      <c r="H620" s="17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5.75" customHeight="1">
      <c r="A621" s="126"/>
      <c r="B621" s="126"/>
      <c r="C621" s="176"/>
      <c r="D621" s="176"/>
      <c r="E621" s="176"/>
      <c r="F621" s="176"/>
      <c r="G621" s="176"/>
      <c r="H621" s="17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5.75" customHeight="1">
      <c r="A622" s="126"/>
      <c r="B622" s="126"/>
      <c r="C622" s="176"/>
      <c r="D622" s="176"/>
      <c r="E622" s="176"/>
      <c r="F622" s="176"/>
      <c r="G622" s="176"/>
      <c r="H622" s="17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5.75" customHeight="1">
      <c r="A623" s="126"/>
      <c r="B623" s="126"/>
      <c r="C623" s="176"/>
      <c r="D623" s="176"/>
      <c r="E623" s="176"/>
      <c r="F623" s="176"/>
      <c r="G623" s="176"/>
      <c r="H623" s="17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5.75" customHeight="1">
      <c r="A624" s="126"/>
      <c r="B624" s="126"/>
      <c r="C624" s="176"/>
      <c r="D624" s="176"/>
      <c r="E624" s="176"/>
      <c r="F624" s="176"/>
      <c r="G624" s="176"/>
      <c r="H624" s="17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5.75" customHeight="1">
      <c r="A625" s="126"/>
      <c r="B625" s="126"/>
      <c r="C625" s="176"/>
      <c r="D625" s="176"/>
      <c r="E625" s="176"/>
      <c r="F625" s="176"/>
      <c r="G625" s="176"/>
      <c r="H625" s="17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5.75" customHeight="1">
      <c r="A626" s="126"/>
      <c r="B626" s="126"/>
      <c r="C626" s="176"/>
      <c r="D626" s="176"/>
      <c r="E626" s="176"/>
      <c r="F626" s="176"/>
      <c r="G626" s="176"/>
      <c r="H626" s="17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5.75" customHeight="1">
      <c r="A627" s="126"/>
      <c r="B627" s="126"/>
      <c r="C627" s="176"/>
      <c r="D627" s="176"/>
      <c r="E627" s="176"/>
      <c r="F627" s="176"/>
      <c r="G627" s="176"/>
      <c r="H627" s="17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5.75" customHeight="1">
      <c r="A628" s="126"/>
      <c r="B628" s="126"/>
      <c r="C628" s="176"/>
      <c r="D628" s="176"/>
      <c r="E628" s="176"/>
      <c r="F628" s="176"/>
      <c r="G628" s="176"/>
      <c r="H628" s="17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5.75" customHeight="1">
      <c r="A629" s="126"/>
      <c r="B629" s="126"/>
      <c r="C629" s="176"/>
      <c r="D629" s="176"/>
      <c r="E629" s="176"/>
      <c r="F629" s="176"/>
      <c r="G629" s="176"/>
      <c r="H629" s="17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5.75" customHeight="1">
      <c r="A630" s="126"/>
      <c r="B630" s="126"/>
      <c r="C630" s="176"/>
      <c r="D630" s="176"/>
      <c r="E630" s="176"/>
      <c r="F630" s="176"/>
      <c r="G630" s="176"/>
      <c r="H630" s="17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5.75" customHeight="1">
      <c r="A631" s="126"/>
      <c r="B631" s="126"/>
      <c r="C631" s="176"/>
      <c r="D631" s="176"/>
      <c r="E631" s="176"/>
      <c r="F631" s="176"/>
      <c r="G631" s="176"/>
      <c r="H631" s="17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5.75" customHeight="1">
      <c r="A632" s="126"/>
      <c r="B632" s="126"/>
      <c r="C632" s="176"/>
      <c r="D632" s="176"/>
      <c r="E632" s="176"/>
      <c r="F632" s="176"/>
      <c r="G632" s="176"/>
      <c r="H632" s="17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5.75" customHeight="1">
      <c r="A633" s="126"/>
      <c r="B633" s="126"/>
      <c r="C633" s="176"/>
      <c r="D633" s="176"/>
      <c r="E633" s="176"/>
      <c r="F633" s="176"/>
      <c r="G633" s="176"/>
      <c r="H633" s="17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5.75" customHeight="1">
      <c r="A634" s="126"/>
      <c r="B634" s="126"/>
      <c r="C634" s="176"/>
      <c r="D634" s="176"/>
      <c r="E634" s="176"/>
      <c r="F634" s="176"/>
      <c r="G634" s="176"/>
      <c r="H634" s="17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5.75" customHeight="1">
      <c r="A635" s="126"/>
      <c r="B635" s="126"/>
      <c r="C635" s="176"/>
      <c r="D635" s="176"/>
      <c r="E635" s="176"/>
      <c r="F635" s="176"/>
      <c r="G635" s="176"/>
      <c r="H635" s="17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5.75" customHeight="1">
      <c r="A636" s="126"/>
      <c r="B636" s="126"/>
      <c r="C636" s="176"/>
      <c r="D636" s="176"/>
      <c r="E636" s="176"/>
      <c r="F636" s="176"/>
      <c r="G636" s="176"/>
      <c r="H636" s="17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5.75" customHeight="1">
      <c r="A637" s="126"/>
      <c r="B637" s="126"/>
      <c r="C637" s="176"/>
      <c r="D637" s="176"/>
      <c r="E637" s="176"/>
      <c r="F637" s="176"/>
      <c r="G637" s="176"/>
      <c r="H637" s="17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5.75" customHeight="1">
      <c r="A638" s="126"/>
      <c r="B638" s="126"/>
      <c r="C638" s="176"/>
      <c r="D638" s="176"/>
      <c r="E638" s="176"/>
      <c r="F638" s="176"/>
      <c r="G638" s="176"/>
      <c r="H638" s="17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5.75" customHeight="1">
      <c r="A639" s="126"/>
      <c r="B639" s="126"/>
      <c r="C639" s="176"/>
      <c r="D639" s="176"/>
      <c r="E639" s="176"/>
      <c r="F639" s="176"/>
      <c r="G639" s="176"/>
      <c r="H639" s="17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5.75" customHeight="1">
      <c r="A640" s="126"/>
      <c r="B640" s="126"/>
      <c r="C640" s="176"/>
      <c r="D640" s="176"/>
      <c r="E640" s="176"/>
      <c r="F640" s="176"/>
      <c r="G640" s="176"/>
      <c r="H640" s="17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5.75" customHeight="1">
      <c r="A641" s="126"/>
      <c r="B641" s="126"/>
      <c r="C641" s="176"/>
      <c r="D641" s="176"/>
      <c r="E641" s="176"/>
      <c r="F641" s="176"/>
      <c r="G641" s="176"/>
      <c r="H641" s="17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5.75" customHeight="1">
      <c r="A642" s="126"/>
      <c r="B642" s="126"/>
      <c r="C642" s="176"/>
      <c r="D642" s="176"/>
      <c r="E642" s="176"/>
      <c r="F642" s="176"/>
      <c r="G642" s="176"/>
      <c r="H642" s="17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5.75" customHeight="1">
      <c r="A643" s="126"/>
      <c r="B643" s="126"/>
      <c r="C643" s="176"/>
      <c r="D643" s="176"/>
      <c r="E643" s="176"/>
      <c r="F643" s="176"/>
      <c r="G643" s="176"/>
      <c r="H643" s="17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5.75" customHeight="1">
      <c r="A644" s="126"/>
      <c r="B644" s="126"/>
      <c r="C644" s="176"/>
      <c r="D644" s="176"/>
      <c r="E644" s="176"/>
      <c r="F644" s="176"/>
      <c r="G644" s="176"/>
      <c r="H644" s="17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5.75" customHeight="1">
      <c r="A645" s="126"/>
      <c r="B645" s="126"/>
      <c r="C645" s="176"/>
      <c r="D645" s="176"/>
      <c r="E645" s="176"/>
      <c r="F645" s="176"/>
      <c r="G645" s="176"/>
      <c r="H645" s="17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5.75" customHeight="1">
      <c r="A646" s="126"/>
      <c r="B646" s="126"/>
      <c r="C646" s="176"/>
      <c r="D646" s="176"/>
      <c r="E646" s="176"/>
      <c r="F646" s="176"/>
      <c r="G646" s="176"/>
      <c r="H646" s="17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5.75" customHeight="1">
      <c r="A647" s="126"/>
      <c r="B647" s="126"/>
      <c r="C647" s="176"/>
      <c r="D647" s="176"/>
      <c r="E647" s="176"/>
      <c r="F647" s="176"/>
      <c r="G647" s="176"/>
      <c r="H647" s="17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5.75" customHeight="1">
      <c r="A648" s="126"/>
      <c r="B648" s="126"/>
      <c r="C648" s="176"/>
      <c r="D648" s="176"/>
      <c r="E648" s="176"/>
      <c r="F648" s="176"/>
      <c r="G648" s="176"/>
      <c r="H648" s="17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5.75" customHeight="1">
      <c r="A649" s="126"/>
      <c r="B649" s="126"/>
      <c r="C649" s="176"/>
      <c r="D649" s="176"/>
      <c r="E649" s="176"/>
      <c r="F649" s="176"/>
      <c r="G649" s="176"/>
      <c r="H649" s="17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5.75" customHeight="1">
      <c r="A650" s="126"/>
      <c r="B650" s="126"/>
      <c r="C650" s="176"/>
      <c r="D650" s="176"/>
      <c r="E650" s="176"/>
      <c r="F650" s="176"/>
      <c r="G650" s="176"/>
      <c r="H650" s="17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5.75" customHeight="1">
      <c r="A651" s="126"/>
      <c r="B651" s="126"/>
      <c r="C651" s="176"/>
      <c r="D651" s="176"/>
      <c r="E651" s="176"/>
      <c r="F651" s="176"/>
      <c r="G651" s="176"/>
      <c r="H651" s="17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5.75" customHeight="1">
      <c r="A652" s="126"/>
      <c r="B652" s="126"/>
      <c r="C652" s="176"/>
      <c r="D652" s="176"/>
      <c r="E652" s="176"/>
      <c r="F652" s="176"/>
      <c r="G652" s="176"/>
      <c r="H652" s="17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5.75" customHeight="1">
      <c r="A653" s="126"/>
      <c r="B653" s="126"/>
      <c r="C653" s="176"/>
      <c r="D653" s="176"/>
      <c r="E653" s="176"/>
      <c r="F653" s="176"/>
      <c r="G653" s="176"/>
      <c r="H653" s="17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5.75" customHeight="1">
      <c r="A654" s="126"/>
      <c r="B654" s="126"/>
      <c r="C654" s="176"/>
      <c r="D654" s="176"/>
      <c r="E654" s="176"/>
      <c r="F654" s="176"/>
      <c r="G654" s="176"/>
      <c r="H654" s="17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5.75" customHeight="1">
      <c r="A655" s="126"/>
      <c r="B655" s="126"/>
      <c r="C655" s="176"/>
      <c r="D655" s="176"/>
      <c r="E655" s="176"/>
      <c r="F655" s="176"/>
      <c r="G655" s="176"/>
      <c r="H655" s="17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5.75" customHeight="1">
      <c r="A656" s="126"/>
      <c r="B656" s="126"/>
      <c r="C656" s="176"/>
      <c r="D656" s="176"/>
      <c r="E656" s="176"/>
      <c r="F656" s="176"/>
      <c r="G656" s="176"/>
      <c r="H656" s="17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5.75" customHeight="1">
      <c r="A657" s="126"/>
      <c r="B657" s="126"/>
      <c r="C657" s="176"/>
      <c r="D657" s="176"/>
      <c r="E657" s="176"/>
      <c r="F657" s="176"/>
      <c r="G657" s="176"/>
      <c r="H657" s="17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5.75" customHeight="1">
      <c r="A658" s="126"/>
      <c r="B658" s="126"/>
      <c r="C658" s="176"/>
      <c r="D658" s="176"/>
      <c r="E658" s="176"/>
      <c r="F658" s="176"/>
      <c r="G658" s="176"/>
      <c r="H658" s="17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5.75" customHeight="1">
      <c r="A659" s="126"/>
      <c r="B659" s="126"/>
      <c r="C659" s="176"/>
      <c r="D659" s="176"/>
      <c r="E659" s="176"/>
      <c r="F659" s="176"/>
      <c r="G659" s="176"/>
      <c r="H659" s="17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5.75" customHeight="1">
      <c r="A660" s="126"/>
      <c r="B660" s="126"/>
      <c r="C660" s="176"/>
      <c r="D660" s="176"/>
      <c r="E660" s="176"/>
      <c r="F660" s="176"/>
      <c r="G660" s="176"/>
      <c r="H660" s="17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5.75" customHeight="1">
      <c r="A661" s="126"/>
      <c r="B661" s="126"/>
      <c r="C661" s="176"/>
      <c r="D661" s="176"/>
      <c r="E661" s="176"/>
      <c r="F661" s="176"/>
      <c r="G661" s="176"/>
      <c r="H661" s="17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5.75" customHeight="1">
      <c r="A662" s="126"/>
      <c r="B662" s="126"/>
      <c r="C662" s="176"/>
      <c r="D662" s="176"/>
      <c r="E662" s="176"/>
      <c r="F662" s="176"/>
      <c r="G662" s="176"/>
      <c r="H662" s="17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5.75" customHeight="1">
      <c r="A663" s="126"/>
      <c r="B663" s="126"/>
      <c r="C663" s="176"/>
      <c r="D663" s="176"/>
      <c r="E663" s="176"/>
      <c r="F663" s="176"/>
      <c r="G663" s="176"/>
      <c r="H663" s="17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5.75" customHeight="1">
      <c r="A664" s="126"/>
      <c r="B664" s="126"/>
      <c r="C664" s="176"/>
      <c r="D664" s="176"/>
      <c r="E664" s="176"/>
      <c r="F664" s="176"/>
      <c r="G664" s="176"/>
      <c r="H664" s="17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5.75" customHeight="1">
      <c r="A665" s="126"/>
      <c r="B665" s="126"/>
      <c r="C665" s="176"/>
      <c r="D665" s="176"/>
      <c r="E665" s="176"/>
      <c r="F665" s="176"/>
      <c r="G665" s="176"/>
      <c r="H665" s="17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5.75" customHeight="1">
      <c r="A666" s="126"/>
      <c r="B666" s="126"/>
      <c r="C666" s="176"/>
      <c r="D666" s="176"/>
      <c r="E666" s="176"/>
      <c r="F666" s="176"/>
      <c r="G666" s="176"/>
      <c r="H666" s="17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5.75" customHeight="1">
      <c r="A667" s="126"/>
      <c r="B667" s="126"/>
      <c r="C667" s="176"/>
      <c r="D667" s="176"/>
      <c r="E667" s="176"/>
      <c r="F667" s="176"/>
      <c r="G667" s="176"/>
      <c r="H667" s="17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5.75" customHeight="1">
      <c r="A668" s="126"/>
      <c r="B668" s="126"/>
      <c r="C668" s="176"/>
      <c r="D668" s="176"/>
      <c r="E668" s="176"/>
      <c r="F668" s="176"/>
      <c r="G668" s="176"/>
      <c r="H668" s="17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5.75" customHeight="1">
      <c r="A669" s="126"/>
      <c r="B669" s="126"/>
      <c r="C669" s="176"/>
      <c r="D669" s="176"/>
      <c r="E669" s="176"/>
      <c r="F669" s="176"/>
      <c r="G669" s="176"/>
      <c r="H669" s="17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5.75" customHeight="1">
      <c r="A670" s="126"/>
      <c r="B670" s="126"/>
      <c r="C670" s="176"/>
      <c r="D670" s="176"/>
      <c r="E670" s="176"/>
      <c r="F670" s="176"/>
      <c r="G670" s="176"/>
      <c r="H670" s="17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5.75" customHeight="1">
      <c r="A671" s="126"/>
      <c r="B671" s="126"/>
      <c r="C671" s="176"/>
      <c r="D671" s="176"/>
      <c r="E671" s="176"/>
      <c r="F671" s="176"/>
      <c r="G671" s="176"/>
      <c r="H671" s="17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5.75" customHeight="1">
      <c r="A672" s="126"/>
      <c r="B672" s="126"/>
      <c r="C672" s="176"/>
      <c r="D672" s="176"/>
      <c r="E672" s="176"/>
      <c r="F672" s="176"/>
      <c r="G672" s="176"/>
      <c r="H672" s="17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5.75" customHeight="1">
      <c r="A673" s="126"/>
      <c r="B673" s="126"/>
      <c r="C673" s="176"/>
      <c r="D673" s="176"/>
      <c r="E673" s="176"/>
      <c r="F673" s="176"/>
      <c r="G673" s="176"/>
      <c r="H673" s="17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5.75" customHeight="1">
      <c r="A674" s="126"/>
      <c r="B674" s="126"/>
      <c r="C674" s="176"/>
      <c r="D674" s="176"/>
      <c r="E674" s="176"/>
      <c r="F674" s="176"/>
      <c r="G674" s="176"/>
      <c r="H674" s="17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5.75" customHeight="1">
      <c r="A675" s="126"/>
      <c r="B675" s="126"/>
      <c r="C675" s="176"/>
      <c r="D675" s="176"/>
      <c r="E675" s="176"/>
      <c r="F675" s="176"/>
      <c r="G675" s="176"/>
      <c r="H675" s="17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5.75" customHeight="1">
      <c r="A676" s="126"/>
      <c r="B676" s="126"/>
      <c r="C676" s="176"/>
      <c r="D676" s="176"/>
      <c r="E676" s="176"/>
      <c r="F676" s="176"/>
      <c r="G676" s="176"/>
      <c r="H676" s="17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5.75" customHeight="1">
      <c r="A677" s="126"/>
      <c r="B677" s="126"/>
      <c r="C677" s="176"/>
      <c r="D677" s="176"/>
      <c r="E677" s="176"/>
      <c r="F677" s="176"/>
      <c r="G677" s="176"/>
      <c r="H677" s="17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5.75" customHeight="1">
      <c r="A678" s="126"/>
      <c r="B678" s="126"/>
      <c r="C678" s="176"/>
      <c r="D678" s="176"/>
      <c r="E678" s="176"/>
      <c r="F678" s="176"/>
      <c r="G678" s="176"/>
      <c r="H678" s="17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5.75" customHeight="1">
      <c r="A679" s="126"/>
      <c r="B679" s="126"/>
      <c r="C679" s="176"/>
      <c r="D679" s="176"/>
      <c r="E679" s="176"/>
      <c r="F679" s="176"/>
      <c r="G679" s="176"/>
      <c r="H679" s="17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5.75" customHeight="1">
      <c r="A680" s="126"/>
      <c r="B680" s="126"/>
      <c r="C680" s="176"/>
      <c r="D680" s="176"/>
      <c r="E680" s="176"/>
      <c r="F680" s="176"/>
      <c r="G680" s="176"/>
      <c r="H680" s="17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5.75" customHeight="1">
      <c r="A681" s="126"/>
      <c r="B681" s="126"/>
      <c r="C681" s="176"/>
      <c r="D681" s="176"/>
      <c r="E681" s="176"/>
      <c r="F681" s="176"/>
      <c r="G681" s="176"/>
      <c r="H681" s="17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5.75" customHeight="1">
      <c r="A682" s="126"/>
      <c r="B682" s="126"/>
      <c r="C682" s="176"/>
      <c r="D682" s="176"/>
      <c r="E682" s="176"/>
      <c r="F682" s="176"/>
      <c r="G682" s="176"/>
      <c r="H682" s="17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5.75" customHeight="1">
      <c r="A683" s="126"/>
      <c r="B683" s="126"/>
      <c r="C683" s="176"/>
      <c r="D683" s="176"/>
      <c r="E683" s="176"/>
      <c r="F683" s="176"/>
      <c r="G683" s="176"/>
      <c r="H683" s="17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5.75" customHeight="1">
      <c r="A684" s="126"/>
      <c r="B684" s="126"/>
      <c r="C684" s="176"/>
      <c r="D684" s="176"/>
      <c r="E684" s="176"/>
      <c r="F684" s="176"/>
      <c r="G684" s="176"/>
      <c r="H684" s="17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5.75" customHeight="1">
      <c r="A685" s="126"/>
      <c r="B685" s="126"/>
      <c r="C685" s="176"/>
      <c r="D685" s="176"/>
      <c r="E685" s="176"/>
      <c r="F685" s="176"/>
      <c r="G685" s="176"/>
      <c r="H685" s="17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5.75" customHeight="1">
      <c r="A686" s="126"/>
      <c r="B686" s="126"/>
      <c r="C686" s="176"/>
      <c r="D686" s="176"/>
      <c r="E686" s="176"/>
      <c r="F686" s="176"/>
      <c r="G686" s="176"/>
      <c r="H686" s="17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5.75" customHeight="1">
      <c r="A687" s="126"/>
      <c r="B687" s="126"/>
      <c r="C687" s="176"/>
      <c r="D687" s="176"/>
      <c r="E687" s="176"/>
      <c r="F687" s="176"/>
      <c r="G687" s="176"/>
      <c r="H687" s="17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5.75" customHeight="1">
      <c r="A688" s="126"/>
      <c r="B688" s="126"/>
      <c r="C688" s="176"/>
      <c r="D688" s="176"/>
      <c r="E688" s="176"/>
      <c r="F688" s="176"/>
      <c r="G688" s="176"/>
      <c r="H688" s="17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5.75" customHeight="1">
      <c r="A689" s="126"/>
      <c r="B689" s="126"/>
      <c r="C689" s="176"/>
      <c r="D689" s="176"/>
      <c r="E689" s="176"/>
      <c r="F689" s="176"/>
      <c r="G689" s="176"/>
      <c r="H689" s="17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5.75" customHeight="1">
      <c r="A690" s="126"/>
      <c r="B690" s="126"/>
      <c r="C690" s="176"/>
      <c r="D690" s="176"/>
      <c r="E690" s="176"/>
      <c r="F690" s="176"/>
      <c r="G690" s="176"/>
      <c r="H690" s="17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5.75" customHeight="1">
      <c r="A691" s="126"/>
      <c r="B691" s="126"/>
      <c r="C691" s="176"/>
      <c r="D691" s="176"/>
      <c r="E691" s="176"/>
      <c r="F691" s="176"/>
      <c r="G691" s="176"/>
      <c r="H691" s="17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5.75" customHeight="1">
      <c r="A692" s="126"/>
      <c r="B692" s="126"/>
      <c r="C692" s="176"/>
      <c r="D692" s="176"/>
      <c r="E692" s="176"/>
      <c r="F692" s="176"/>
      <c r="G692" s="176"/>
      <c r="H692" s="17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5.75" customHeight="1">
      <c r="A693" s="126"/>
      <c r="B693" s="126"/>
      <c r="C693" s="176"/>
      <c r="D693" s="176"/>
      <c r="E693" s="176"/>
      <c r="F693" s="176"/>
      <c r="G693" s="176"/>
      <c r="H693" s="17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5.75" customHeight="1">
      <c r="A694" s="126"/>
      <c r="B694" s="126"/>
      <c r="C694" s="176"/>
      <c r="D694" s="176"/>
      <c r="E694" s="176"/>
      <c r="F694" s="176"/>
      <c r="G694" s="176"/>
      <c r="H694" s="17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5.75" customHeight="1">
      <c r="A695" s="126"/>
      <c r="B695" s="126"/>
      <c r="C695" s="176"/>
      <c r="D695" s="176"/>
      <c r="E695" s="176"/>
      <c r="F695" s="176"/>
      <c r="G695" s="176"/>
      <c r="H695" s="17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5.75" customHeight="1">
      <c r="A696" s="126"/>
      <c r="B696" s="126"/>
      <c r="C696" s="176"/>
      <c r="D696" s="176"/>
      <c r="E696" s="176"/>
      <c r="F696" s="176"/>
      <c r="G696" s="176"/>
      <c r="H696" s="17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5.75" customHeight="1">
      <c r="A697" s="126"/>
      <c r="B697" s="126"/>
      <c r="C697" s="176"/>
      <c r="D697" s="176"/>
      <c r="E697" s="176"/>
      <c r="F697" s="176"/>
      <c r="G697" s="176"/>
      <c r="H697" s="17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5.75" customHeight="1">
      <c r="A698" s="126"/>
      <c r="B698" s="126"/>
      <c r="C698" s="176"/>
      <c r="D698" s="176"/>
      <c r="E698" s="176"/>
      <c r="F698" s="176"/>
      <c r="G698" s="176"/>
      <c r="H698" s="17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5.75" customHeight="1">
      <c r="A699" s="126"/>
      <c r="B699" s="126"/>
      <c r="C699" s="176"/>
      <c r="D699" s="176"/>
      <c r="E699" s="176"/>
      <c r="F699" s="176"/>
      <c r="G699" s="176"/>
      <c r="H699" s="17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5.75" customHeight="1">
      <c r="A700" s="126"/>
      <c r="B700" s="126"/>
      <c r="C700" s="176"/>
      <c r="D700" s="176"/>
      <c r="E700" s="176"/>
      <c r="F700" s="176"/>
      <c r="G700" s="176"/>
      <c r="H700" s="17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5.75" customHeight="1">
      <c r="A701" s="126"/>
      <c r="B701" s="126"/>
      <c r="C701" s="176"/>
      <c r="D701" s="176"/>
      <c r="E701" s="176"/>
      <c r="F701" s="176"/>
      <c r="G701" s="176"/>
      <c r="H701" s="17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5.75" customHeight="1">
      <c r="A702" s="126"/>
      <c r="B702" s="126"/>
      <c r="C702" s="176"/>
      <c r="D702" s="176"/>
      <c r="E702" s="176"/>
      <c r="F702" s="176"/>
      <c r="G702" s="176"/>
      <c r="H702" s="17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5.75" customHeight="1">
      <c r="A703" s="126"/>
      <c r="B703" s="126"/>
      <c r="C703" s="176"/>
      <c r="D703" s="176"/>
      <c r="E703" s="176"/>
      <c r="F703" s="176"/>
      <c r="G703" s="176"/>
      <c r="H703" s="17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5.75" customHeight="1">
      <c r="A704" s="126"/>
      <c r="B704" s="126"/>
      <c r="C704" s="176"/>
      <c r="D704" s="176"/>
      <c r="E704" s="176"/>
      <c r="F704" s="176"/>
      <c r="G704" s="176"/>
      <c r="H704" s="17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5.75" customHeight="1">
      <c r="A705" s="126"/>
      <c r="B705" s="126"/>
      <c r="C705" s="176"/>
      <c r="D705" s="176"/>
      <c r="E705" s="176"/>
      <c r="F705" s="176"/>
      <c r="G705" s="176"/>
      <c r="H705" s="17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5.75" customHeight="1">
      <c r="A706" s="126"/>
      <c r="B706" s="126"/>
      <c r="C706" s="176"/>
      <c r="D706" s="176"/>
      <c r="E706" s="176"/>
      <c r="F706" s="176"/>
      <c r="G706" s="176"/>
      <c r="H706" s="17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5.75" customHeight="1">
      <c r="A707" s="126"/>
      <c r="B707" s="126"/>
      <c r="C707" s="176"/>
      <c r="D707" s="176"/>
      <c r="E707" s="176"/>
      <c r="F707" s="176"/>
      <c r="G707" s="176"/>
      <c r="H707" s="17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5.75" customHeight="1">
      <c r="A708" s="126"/>
      <c r="B708" s="126"/>
      <c r="C708" s="176"/>
      <c r="D708" s="176"/>
      <c r="E708" s="176"/>
      <c r="F708" s="176"/>
      <c r="G708" s="176"/>
      <c r="H708" s="17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5.75" customHeight="1">
      <c r="A709" s="126"/>
      <c r="B709" s="126"/>
      <c r="C709" s="176"/>
      <c r="D709" s="176"/>
      <c r="E709" s="176"/>
      <c r="F709" s="176"/>
      <c r="G709" s="176"/>
      <c r="H709" s="17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5.75" customHeight="1">
      <c r="A710" s="126"/>
      <c r="B710" s="126"/>
      <c r="C710" s="176"/>
      <c r="D710" s="176"/>
      <c r="E710" s="176"/>
      <c r="F710" s="176"/>
      <c r="G710" s="176"/>
      <c r="H710" s="17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5.75" customHeight="1">
      <c r="A711" s="126"/>
      <c r="B711" s="126"/>
      <c r="C711" s="176"/>
      <c r="D711" s="176"/>
      <c r="E711" s="176"/>
      <c r="F711" s="176"/>
      <c r="G711" s="176"/>
      <c r="H711" s="17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5.75" customHeight="1">
      <c r="A712" s="126"/>
      <c r="B712" s="126"/>
      <c r="C712" s="176"/>
      <c r="D712" s="176"/>
      <c r="E712" s="176"/>
      <c r="F712" s="176"/>
      <c r="G712" s="176"/>
      <c r="H712" s="17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5.75" customHeight="1">
      <c r="A713" s="126"/>
      <c r="B713" s="126"/>
      <c r="C713" s="176"/>
      <c r="D713" s="176"/>
      <c r="E713" s="176"/>
      <c r="F713" s="176"/>
      <c r="G713" s="176"/>
      <c r="H713" s="17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5.75" customHeight="1">
      <c r="A714" s="126"/>
      <c r="B714" s="126"/>
      <c r="C714" s="176"/>
      <c r="D714" s="176"/>
      <c r="E714" s="176"/>
      <c r="F714" s="176"/>
      <c r="G714" s="176"/>
      <c r="H714" s="17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5.75" customHeight="1">
      <c r="A715" s="126"/>
      <c r="B715" s="126"/>
      <c r="C715" s="176"/>
      <c r="D715" s="176"/>
      <c r="E715" s="176"/>
      <c r="F715" s="176"/>
      <c r="G715" s="176"/>
      <c r="H715" s="17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5.75" customHeight="1">
      <c r="A716" s="126"/>
      <c r="B716" s="126"/>
      <c r="C716" s="176"/>
      <c r="D716" s="176"/>
      <c r="E716" s="176"/>
      <c r="F716" s="176"/>
      <c r="G716" s="176"/>
      <c r="H716" s="17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5.75" customHeight="1">
      <c r="A717" s="126"/>
      <c r="B717" s="126"/>
      <c r="C717" s="176"/>
      <c r="D717" s="176"/>
      <c r="E717" s="176"/>
      <c r="F717" s="176"/>
      <c r="G717" s="176"/>
      <c r="H717" s="17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5.75" customHeight="1">
      <c r="A718" s="126"/>
      <c r="B718" s="126"/>
      <c r="C718" s="176"/>
      <c r="D718" s="176"/>
      <c r="E718" s="176"/>
      <c r="F718" s="176"/>
      <c r="G718" s="176"/>
      <c r="H718" s="17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5.75" customHeight="1">
      <c r="A719" s="126"/>
      <c r="B719" s="126"/>
      <c r="C719" s="176"/>
      <c r="D719" s="176"/>
      <c r="E719" s="176"/>
      <c r="F719" s="176"/>
      <c r="G719" s="176"/>
      <c r="H719" s="17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5.75" customHeight="1">
      <c r="A720" s="126"/>
      <c r="B720" s="126"/>
      <c r="C720" s="176"/>
      <c r="D720" s="176"/>
      <c r="E720" s="176"/>
      <c r="F720" s="176"/>
      <c r="G720" s="176"/>
      <c r="H720" s="17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5.75" customHeight="1">
      <c r="A721" s="126"/>
      <c r="B721" s="126"/>
      <c r="C721" s="176"/>
      <c r="D721" s="176"/>
      <c r="E721" s="176"/>
      <c r="F721" s="176"/>
      <c r="G721" s="176"/>
      <c r="H721" s="17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5.75" customHeight="1">
      <c r="A722" s="126"/>
      <c r="B722" s="126"/>
      <c r="C722" s="176"/>
      <c r="D722" s="176"/>
      <c r="E722" s="176"/>
      <c r="F722" s="176"/>
      <c r="G722" s="176"/>
      <c r="H722" s="17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5.75" customHeight="1">
      <c r="A723" s="126"/>
      <c r="B723" s="126"/>
      <c r="C723" s="176"/>
      <c r="D723" s="176"/>
      <c r="E723" s="176"/>
      <c r="F723" s="176"/>
      <c r="G723" s="176"/>
      <c r="H723" s="17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5.75" customHeight="1">
      <c r="A724" s="126"/>
      <c r="B724" s="126"/>
      <c r="C724" s="176"/>
      <c r="D724" s="176"/>
      <c r="E724" s="176"/>
      <c r="F724" s="176"/>
      <c r="G724" s="176"/>
      <c r="H724" s="17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5.75" customHeight="1">
      <c r="A725" s="126"/>
      <c r="B725" s="126"/>
      <c r="C725" s="176"/>
      <c r="D725" s="176"/>
      <c r="E725" s="176"/>
      <c r="F725" s="176"/>
      <c r="G725" s="176"/>
      <c r="H725" s="17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5.75" customHeight="1">
      <c r="A726" s="126"/>
      <c r="B726" s="126"/>
      <c r="C726" s="176"/>
      <c r="D726" s="176"/>
      <c r="E726" s="176"/>
      <c r="F726" s="176"/>
      <c r="G726" s="176"/>
      <c r="H726" s="17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5.75" customHeight="1">
      <c r="A727" s="126"/>
      <c r="B727" s="126"/>
      <c r="C727" s="176"/>
      <c r="D727" s="176"/>
      <c r="E727" s="176"/>
      <c r="F727" s="176"/>
      <c r="G727" s="176"/>
      <c r="H727" s="17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5.75" customHeight="1">
      <c r="A728" s="126"/>
      <c r="B728" s="126"/>
      <c r="C728" s="176"/>
      <c r="D728" s="176"/>
      <c r="E728" s="176"/>
      <c r="F728" s="176"/>
      <c r="G728" s="176"/>
      <c r="H728" s="17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5.75" customHeight="1">
      <c r="A729" s="126"/>
      <c r="B729" s="126"/>
      <c r="C729" s="176"/>
      <c r="D729" s="176"/>
      <c r="E729" s="176"/>
      <c r="F729" s="176"/>
      <c r="G729" s="176"/>
      <c r="H729" s="17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5.75" customHeight="1">
      <c r="A730" s="126"/>
      <c r="B730" s="126"/>
      <c r="C730" s="176"/>
      <c r="D730" s="176"/>
      <c r="E730" s="176"/>
      <c r="F730" s="176"/>
      <c r="G730" s="176"/>
      <c r="H730" s="17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5.75" customHeight="1">
      <c r="A731" s="126"/>
      <c r="B731" s="126"/>
      <c r="C731" s="176"/>
      <c r="D731" s="176"/>
      <c r="E731" s="176"/>
      <c r="F731" s="176"/>
      <c r="G731" s="176"/>
      <c r="H731" s="17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5.75" customHeight="1">
      <c r="A732" s="126"/>
      <c r="B732" s="126"/>
      <c r="C732" s="176"/>
      <c r="D732" s="176"/>
      <c r="E732" s="176"/>
      <c r="F732" s="176"/>
      <c r="G732" s="176"/>
      <c r="H732" s="17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5.75" customHeight="1">
      <c r="A733" s="126"/>
      <c r="B733" s="126"/>
      <c r="C733" s="176"/>
      <c r="D733" s="176"/>
      <c r="E733" s="176"/>
      <c r="F733" s="176"/>
      <c r="G733" s="176"/>
      <c r="H733" s="17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5.75" customHeight="1">
      <c r="A734" s="126"/>
      <c r="B734" s="126"/>
      <c r="C734" s="176"/>
      <c r="D734" s="176"/>
      <c r="E734" s="176"/>
      <c r="F734" s="176"/>
      <c r="G734" s="176"/>
      <c r="H734" s="17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5.75" customHeight="1">
      <c r="A735" s="126"/>
      <c r="B735" s="126"/>
      <c r="C735" s="176"/>
      <c r="D735" s="176"/>
      <c r="E735" s="176"/>
      <c r="F735" s="176"/>
      <c r="G735" s="176"/>
      <c r="H735" s="17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5.75" customHeight="1">
      <c r="A736" s="126"/>
      <c r="B736" s="126"/>
      <c r="C736" s="176"/>
      <c r="D736" s="176"/>
      <c r="E736" s="176"/>
      <c r="F736" s="176"/>
      <c r="G736" s="176"/>
      <c r="H736" s="17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5.75" customHeight="1">
      <c r="A737" s="126"/>
      <c r="B737" s="126"/>
      <c r="C737" s="176"/>
      <c r="D737" s="176"/>
      <c r="E737" s="176"/>
      <c r="F737" s="176"/>
      <c r="G737" s="176"/>
      <c r="H737" s="17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5.75" customHeight="1">
      <c r="A738" s="126"/>
      <c r="B738" s="126"/>
      <c r="C738" s="176"/>
      <c r="D738" s="176"/>
      <c r="E738" s="176"/>
      <c r="F738" s="176"/>
      <c r="G738" s="176"/>
      <c r="H738" s="17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5.75" customHeight="1">
      <c r="A739" s="126"/>
      <c r="B739" s="126"/>
      <c r="C739" s="176"/>
      <c r="D739" s="176"/>
      <c r="E739" s="176"/>
      <c r="F739" s="176"/>
      <c r="G739" s="176"/>
      <c r="H739" s="17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5.75" customHeight="1">
      <c r="A740" s="126"/>
      <c r="B740" s="126"/>
      <c r="C740" s="176"/>
      <c r="D740" s="176"/>
      <c r="E740" s="176"/>
      <c r="F740" s="176"/>
      <c r="G740" s="176"/>
      <c r="H740" s="17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5.75" customHeight="1">
      <c r="A741" s="126"/>
      <c r="B741" s="126"/>
      <c r="C741" s="176"/>
      <c r="D741" s="176"/>
      <c r="E741" s="176"/>
      <c r="F741" s="176"/>
      <c r="G741" s="176"/>
      <c r="H741" s="17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5.75" customHeight="1">
      <c r="A742" s="126"/>
      <c r="B742" s="126"/>
      <c r="C742" s="176"/>
      <c r="D742" s="176"/>
      <c r="E742" s="176"/>
      <c r="F742" s="176"/>
      <c r="G742" s="176"/>
      <c r="H742" s="17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5.75" customHeight="1">
      <c r="A743" s="126"/>
      <c r="B743" s="126"/>
      <c r="C743" s="176"/>
      <c r="D743" s="176"/>
      <c r="E743" s="176"/>
      <c r="F743" s="176"/>
      <c r="G743" s="176"/>
      <c r="H743" s="17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5.75" customHeight="1">
      <c r="A744" s="126"/>
      <c r="B744" s="126"/>
      <c r="C744" s="176"/>
      <c r="D744" s="176"/>
      <c r="E744" s="176"/>
      <c r="F744" s="176"/>
      <c r="G744" s="176"/>
      <c r="H744" s="17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5.75" customHeight="1">
      <c r="A745" s="126"/>
      <c r="B745" s="126"/>
      <c r="C745" s="176"/>
      <c r="D745" s="176"/>
      <c r="E745" s="176"/>
      <c r="F745" s="176"/>
      <c r="G745" s="176"/>
      <c r="H745" s="17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5.75" customHeight="1">
      <c r="A746" s="126"/>
      <c r="B746" s="126"/>
      <c r="C746" s="176"/>
      <c r="D746" s="176"/>
      <c r="E746" s="176"/>
      <c r="F746" s="176"/>
      <c r="G746" s="176"/>
      <c r="H746" s="17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5.75" customHeight="1">
      <c r="A747" s="126"/>
      <c r="B747" s="126"/>
      <c r="C747" s="176"/>
      <c r="D747" s="176"/>
      <c r="E747" s="176"/>
      <c r="F747" s="176"/>
      <c r="G747" s="176"/>
      <c r="H747" s="17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5.75" customHeight="1">
      <c r="A748" s="126"/>
      <c r="B748" s="126"/>
      <c r="C748" s="176"/>
      <c r="D748" s="176"/>
      <c r="E748" s="176"/>
      <c r="F748" s="176"/>
      <c r="G748" s="176"/>
      <c r="H748" s="17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5.75" customHeight="1">
      <c r="A749" s="126"/>
      <c r="B749" s="126"/>
      <c r="C749" s="176"/>
      <c r="D749" s="176"/>
      <c r="E749" s="176"/>
      <c r="F749" s="176"/>
      <c r="G749" s="176"/>
      <c r="H749" s="17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5.75" customHeight="1">
      <c r="A750" s="126"/>
      <c r="B750" s="126"/>
      <c r="C750" s="176"/>
      <c r="D750" s="176"/>
      <c r="E750" s="176"/>
      <c r="F750" s="176"/>
      <c r="G750" s="176"/>
      <c r="H750" s="17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5.75" customHeight="1">
      <c r="A751" s="126"/>
      <c r="B751" s="126"/>
      <c r="C751" s="176"/>
      <c r="D751" s="176"/>
      <c r="E751" s="176"/>
      <c r="F751" s="176"/>
      <c r="G751" s="176"/>
      <c r="H751" s="17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5.75" customHeight="1">
      <c r="A752" s="126"/>
      <c r="B752" s="126"/>
      <c r="C752" s="176"/>
      <c r="D752" s="176"/>
      <c r="E752" s="176"/>
      <c r="F752" s="176"/>
      <c r="G752" s="176"/>
      <c r="H752" s="17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5.75" customHeight="1">
      <c r="A753" s="126"/>
      <c r="B753" s="126"/>
      <c r="C753" s="176"/>
      <c r="D753" s="176"/>
      <c r="E753" s="176"/>
      <c r="F753" s="176"/>
      <c r="G753" s="176"/>
      <c r="H753" s="17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5.75" customHeight="1">
      <c r="A754" s="126"/>
      <c r="B754" s="126"/>
      <c r="C754" s="176"/>
      <c r="D754" s="176"/>
      <c r="E754" s="176"/>
      <c r="F754" s="176"/>
      <c r="G754" s="176"/>
      <c r="H754" s="17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5.75" customHeight="1">
      <c r="A755" s="126"/>
      <c r="B755" s="126"/>
      <c r="C755" s="176"/>
      <c r="D755" s="176"/>
      <c r="E755" s="176"/>
      <c r="F755" s="176"/>
      <c r="G755" s="176"/>
      <c r="H755" s="17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5.75" customHeight="1">
      <c r="A756" s="126"/>
      <c r="B756" s="126"/>
      <c r="C756" s="176"/>
      <c r="D756" s="176"/>
      <c r="E756" s="176"/>
      <c r="F756" s="176"/>
      <c r="G756" s="176"/>
      <c r="H756" s="17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5.75" customHeight="1">
      <c r="A757" s="126"/>
      <c r="B757" s="126"/>
      <c r="C757" s="176"/>
      <c r="D757" s="176"/>
      <c r="E757" s="176"/>
      <c r="F757" s="176"/>
      <c r="G757" s="176"/>
      <c r="H757" s="17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5.75" customHeight="1">
      <c r="A758" s="126"/>
      <c r="B758" s="126"/>
      <c r="C758" s="176"/>
      <c r="D758" s="176"/>
      <c r="E758" s="176"/>
      <c r="F758" s="176"/>
      <c r="G758" s="176"/>
      <c r="H758" s="17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5.75" customHeight="1">
      <c r="A759" s="126"/>
      <c r="B759" s="126"/>
      <c r="C759" s="176"/>
      <c r="D759" s="176"/>
      <c r="E759" s="176"/>
      <c r="F759" s="176"/>
      <c r="G759" s="176"/>
      <c r="H759" s="17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5.75" customHeight="1">
      <c r="A760" s="126"/>
      <c r="B760" s="126"/>
      <c r="C760" s="176"/>
      <c r="D760" s="176"/>
      <c r="E760" s="176"/>
      <c r="F760" s="176"/>
      <c r="G760" s="176"/>
      <c r="H760" s="17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5.75" customHeight="1">
      <c r="A761" s="126"/>
      <c r="B761" s="126"/>
      <c r="C761" s="176"/>
      <c r="D761" s="176"/>
      <c r="E761" s="176"/>
      <c r="F761" s="176"/>
      <c r="G761" s="176"/>
      <c r="H761" s="17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5.75" customHeight="1">
      <c r="A762" s="126"/>
      <c r="B762" s="126"/>
      <c r="C762" s="176"/>
      <c r="D762" s="176"/>
      <c r="E762" s="176"/>
      <c r="F762" s="176"/>
      <c r="G762" s="176"/>
      <c r="H762" s="17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5.75" customHeight="1">
      <c r="A763" s="126"/>
      <c r="B763" s="126"/>
      <c r="C763" s="176"/>
      <c r="D763" s="176"/>
      <c r="E763" s="176"/>
      <c r="F763" s="176"/>
      <c r="G763" s="176"/>
      <c r="H763" s="17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5.75" customHeight="1">
      <c r="A764" s="126"/>
      <c r="B764" s="126"/>
      <c r="C764" s="176"/>
      <c r="D764" s="176"/>
      <c r="E764" s="176"/>
      <c r="F764" s="176"/>
      <c r="G764" s="176"/>
      <c r="H764" s="17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5.75" customHeight="1">
      <c r="A765" s="126"/>
      <c r="B765" s="126"/>
      <c r="C765" s="176"/>
      <c r="D765" s="176"/>
      <c r="E765" s="176"/>
      <c r="F765" s="176"/>
      <c r="G765" s="176"/>
      <c r="H765" s="17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5.75" customHeight="1">
      <c r="A766" s="126"/>
      <c r="B766" s="126"/>
      <c r="C766" s="176"/>
      <c r="D766" s="176"/>
      <c r="E766" s="176"/>
      <c r="F766" s="176"/>
      <c r="G766" s="176"/>
      <c r="H766" s="17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5.75" customHeight="1">
      <c r="A767" s="126"/>
      <c r="B767" s="126"/>
      <c r="C767" s="176"/>
      <c r="D767" s="176"/>
      <c r="E767" s="176"/>
      <c r="F767" s="176"/>
      <c r="G767" s="176"/>
      <c r="H767" s="17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5.75" customHeight="1">
      <c r="A768" s="126"/>
      <c r="B768" s="126"/>
      <c r="C768" s="176"/>
      <c r="D768" s="176"/>
      <c r="E768" s="176"/>
      <c r="F768" s="176"/>
      <c r="G768" s="176"/>
      <c r="H768" s="17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5.75" customHeight="1">
      <c r="A769" s="126"/>
      <c r="B769" s="126"/>
      <c r="C769" s="176"/>
      <c r="D769" s="176"/>
      <c r="E769" s="176"/>
      <c r="F769" s="176"/>
      <c r="G769" s="176"/>
      <c r="H769" s="17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5.75" customHeight="1">
      <c r="A770" s="126"/>
      <c r="B770" s="126"/>
      <c r="C770" s="176"/>
      <c r="D770" s="176"/>
      <c r="E770" s="176"/>
      <c r="F770" s="176"/>
      <c r="G770" s="176"/>
      <c r="H770" s="17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5.75" customHeight="1">
      <c r="A771" s="126"/>
      <c r="B771" s="126"/>
      <c r="C771" s="176"/>
      <c r="D771" s="176"/>
      <c r="E771" s="176"/>
      <c r="F771" s="176"/>
      <c r="G771" s="176"/>
      <c r="H771" s="17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5.75" customHeight="1">
      <c r="A772" s="126"/>
      <c r="B772" s="126"/>
      <c r="C772" s="176"/>
      <c r="D772" s="176"/>
      <c r="E772" s="176"/>
      <c r="F772" s="176"/>
      <c r="G772" s="176"/>
      <c r="H772" s="17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5.75" customHeight="1">
      <c r="A773" s="126"/>
      <c r="B773" s="126"/>
      <c r="C773" s="176"/>
      <c r="D773" s="176"/>
      <c r="E773" s="176"/>
      <c r="F773" s="176"/>
      <c r="G773" s="176"/>
      <c r="H773" s="17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5.75" customHeight="1">
      <c r="A774" s="126"/>
      <c r="B774" s="126"/>
      <c r="C774" s="176"/>
      <c r="D774" s="176"/>
      <c r="E774" s="176"/>
      <c r="F774" s="176"/>
      <c r="G774" s="176"/>
      <c r="H774" s="17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5.75" customHeight="1">
      <c r="A775" s="126"/>
      <c r="B775" s="126"/>
      <c r="C775" s="176"/>
      <c r="D775" s="176"/>
      <c r="E775" s="176"/>
      <c r="F775" s="176"/>
      <c r="G775" s="176"/>
      <c r="H775" s="17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5.75" customHeight="1">
      <c r="A776" s="126"/>
      <c r="B776" s="126"/>
      <c r="C776" s="176"/>
      <c r="D776" s="176"/>
      <c r="E776" s="176"/>
      <c r="F776" s="176"/>
      <c r="G776" s="176"/>
      <c r="H776" s="17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5.75" customHeight="1">
      <c r="A777" s="126"/>
      <c r="B777" s="126"/>
      <c r="C777" s="176"/>
      <c r="D777" s="176"/>
      <c r="E777" s="176"/>
      <c r="F777" s="176"/>
      <c r="G777" s="176"/>
      <c r="H777" s="17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5.75" customHeight="1">
      <c r="A778" s="126"/>
      <c r="B778" s="126"/>
      <c r="C778" s="176"/>
      <c r="D778" s="176"/>
      <c r="E778" s="176"/>
      <c r="F778" s="176"/>
      <c r="G778" s="176"/>
      <c r="H778" s="17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5.75" customHeight="1">
      <c r="A779" s="126"/>
      <c r="B779" s="126"/>
      <c r="C779" s="176"/>
      <c r="D779" s="176"/>
      <c r="E779" s="176"/>
      <c r="F779" s="176"/>
      <c r="G779" s="176"/>
      <c r="H779" s="17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5.75" customHeight="1">
      <c r="A780" s="126"/>
      <c r="B780" s="126"/>
      <c r="C780" s="176"/>
      <c r="D780" s="176"/>
      <c r="E780" s="176"/>
      <c r="F780" s="176"/>
      <c r="G780" s="176"/>
      <c r="H780" s="17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5.75" customHeight="1">
      <c r="A781" s="126"/>
      <c r="B781" s="126"/>
      <c r="C781" s="176"/>
      <c r="D781" s="176"/>
      <c r="E781" s="176"/>
      <c r="F781" s="176"/>
      <c r="G781" s="176"/>
      <c r="H781" s="17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5.75" customHeight="1">
      <c r="A782" s="126"/>
      <c r="B782" s="126"/>
      <c r="C782" s="176"/>
      <c r="D782" s="176"/>
      <c r="E782" s="176"/>
      <c r="F782" s="176"/>
      <c r="G782" s="176"/>
      <c r="H782" s="17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5.75" customHeight="1">
      <c r="A783" s="126"/>
      <c r="B783" s="126"/>
      <c r="C783" s="176"/>
      <c r="D783" s="176"/>
      <c r="E783" s="176"/>
      <c r="F783" s="176"/>
      <c r="G783" s="176"/>
      <c r="H783" s="17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5.75" customHeight="1">
      <c r="A784" s="126"/>
      <c r="B784" s="126"/>
      <c r="C784" s="176"/>
      <c r="D784" s="176"/>
      <c r="E784" s="176"/>
      <c r="F784" s="176"/>
      <c r="G784" s="176"/>
      <c r="H784" s="17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5.75" customHeight="1">
      <c r="A785" s="126"/>
      <c r="B785" s="126"/>
      <c r="C785" s="176"/>
      <c r="D785" s="176"/>
      <c r="E785" s="176"/>
      <c r="F785" s="176"/>
      <c r="G785" s="176"/>
      <c r="H785" s="17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5.75" customHeight="1">
      <c r="A786" s="126"/>
      <c r="B786" s="126"/>
      <c r="C786" s="176"/>
      <c r="D786" s="176"/>
      <c r="E786" s="176"/>
      <c r="F786" s="176"/>
      <c r="G786" s="176"/>
      <c r="H786" s="17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5.75" customHeight="1">
      <c r="A787" s="126"/>
      <c r="B787" s="126"/>
      <c r="C787" s="176"/>
      <c r="D787" s="176"/>
      <c r="E787" s="176"/>
      <c r="F787" s="176"/>
      <c r="G787" s="176"/>
      <c r="H787" s="17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5.75" customHeight="1">
      <c r="A788" s="126"/>
      <c r="B788" s="126"/>
      <c r="C788" s="176"/>
      <c r="D788" s="176"/>
      <c r="E788" s="176"/>
      <c r="F788" s="176"/>
      <c r="G788" s="176"/>
      <c r="H788" s="17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5.75" customHeight="1">
      <c r="A789" s="126"/>
      <c r="B789" s="126"/>
      <c r="C789" s="176"/>
      <c r="D789" s="176"/>
      <c r="E789" s="176"/>
      <c r="F789" s="176"/>
      <c r="G789" s="176"/>
      <c r="H789" s="17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5.75" customHeight="1">
      <c r="A790" s="126"/>
      <c r="B790" s="126"/>
      <c r="C790" s="176"/>
      <c r="D790" s="176"/>
      <c r="E790" s="176"/>
      <c r="F790" s="176"/>
      <c r="G790" s="176"/>
      <c r="H790" s="17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5.75" customHeight="1">
      <c r="A791" s="126"/>
      <c r="B791" s="126"/>
      <c r="C791" s="176"/>
      <c r="D791" s="176"/>
      <c r="E791" s="176"/>
      <c r="F791" s="176"/>
      <c r="G791" s="176"/>
      <c r="H791" s="17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5.75" customHeight="1">
      <c r="A792" s="126"/>
      <c r="B792" s="126"/>
      <c r="C792" s="176"/>
      <c r="D792" s="176"/>
      <c r="E792" s="176"/>
      <c r="F792" s="176"/>
      <c r="G792" s="176"/>
      <c r="H792" s="17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5.75" customHeight="1">
      <c r="A793" s="126"/>
      <c r="B793" s="126"/>
      <c r="C793" s="176"/>
      <c r="D793" s="176"/>
      <c r="E793" s="176"/>
      <c r="F793" s="176"/>
      <c r="G793" s="176"/>
      <c r="H793" s="17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5.75" customHeight="1">
      <c r="A794" s="126"/>
      <c r="B794" s="126"/>
      <c r="C794" s="176"/>
      <c r="D794" s="176"/>
      <c r="E794" s="176"/>
      <c r="F794" s="176"/>
      <c r="G794" s="176"/>
      <c r="H794" s="17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5.75" customHeight="1">
      <c r="A795" s="126"/>
      <c r="B795" s="126"/>
      <c r="C795" s="176"/>
      <c r="D795" s="176"/>
      <c r="E795" s="176"/>
      <c r="F795" s="176"/>
      <c r="G795" s="176"/>
      <c r="H795" s="17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5.75" customHeight="1">
      <c r="A796" s="126"/>
      <c r="B796" s="126"/>
      <c r="C796" s="176"/>
      <c r="D796" s="176"/>
      <c r="E796" s="176"/>
      <c r="F796" s="176"/>
      <c r="G796" s="176"/>
      <c r="H796" s="17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5.75" customHeight="1">
      <c r="A797" s="126"/>
      <c r="B797" s="126"/>
      <c r="C797" s="176"/>
      <c r="D797" s="176"/>
      <c r="E797" s="176"/>
      <c r="F797" s="176"/>
      <c r="G797" s="176"/>
      <c r="H797" s="17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5.75" customHeight="1">
      <c r="A798" s="126"/>
      <c r="B798" s="126"/>
      <c r="C798" s="176"/>
      <c r="D798" s="176"/>
      <c r="E798" s="176"/>
      <c r="F798" s="176"/>
      <c r="G798" s="176"/>
      <c r="H798" s="17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5.75" customHeight="1">
      <c r="A799" s="126"/>
      <c r="B799" s="126"/>
      <c r="C799" s="176"/>
      <c r="D799" s="176"/>
      <c r="E799" s="176"/>
      <c r="F799" s="176"/>
      <c r="G799" s="176"/>
      <c r="H799" s="17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5.75" customHeight="1">
      <c r="A800" s="126"/>
      <c r="B800" s="126"/>
      <c r="C800" s="176"/>
      <c r="D800" s="176"/>
      <c r="E800" s="176"/>
      <c r="F800" s="176"/>
      <c r="G800" s="176"/>
      <c r="H800" s="17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5.75" customHeight="1">
      <c r="A801" s="126"/>
      <c r="B801" s="126"/>
      <c r="C801" s="176"/>
      <c r="D801" s="176"/>
      <c r="E801" s="176"/>
      <c r="F801" s="176"/>
      <c r="G801" s="176"/>
      <c r="H801" s="17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5.75" customHeight="1">
      <c r="A802" s="126"/>
      <c r="B802" s="126"/>
      <c r="C802" s="176"/>
      <c r="D802" s="176"/>
      <c r="E802" s="176"/>
      <c r="F802" s="176"/>
      <c r="G802" s="176"/>
      <c r="H802" s="17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5.75" customHeight="1">
      <c r="A803" s="126"/>
      <c r="B803" s="126"/>
      <c r="C803" s="176"/>
      <c r="D803" s="176"/>
      <c r="E803" s="176"/>
      <c r="F803" s="176"/>
      <c r="G803" s="176"/>
      <c r="H803" s="17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5.75" customHeight="1">
      <c r="A804" s="126"/>
      <c r="B804" s="126"/>
      <c r="C804" s="176"/>
      <c r="D804" s="176"/>
      <c r="E804" s="176"/>
      <c r="F804" s="176"/>
      <c r="G804" s="176"/>
      <c r="H804" s="17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5.75" customHeight="1">
      <c r="A805" s="126"/>
      <c r="B805" s="126"/>
      <c r="C805" s="176"/>
      <c r="D805" s="176"/>
      <c r="E805" s="176"/>
      <c r="F805" s="176"/>
      <c r="G805" s="176"/>
      <c r="H805" s="17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5.75" customHeight="1">
      <c r="A806" s="126"/>
      <c r="B806" s="126"/>
      <c r="C806" s="176"/>
      <c r="D806" s="176"/>
      <c r="E806" s="176"/>
      <c r="F806" s="176"/>
      <c r="G806" s="176"/>
      <c r="H806" s="17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5.75" customHeight="1">
      <c r="A807" s="126"/>
      <c r="B807" s="126"/>
      <c r="C807" s="176"/>
      <c r="D807" s="176"/>
      <c r="E807" s="176"/>
      <c r="F807" s="176"/>
      <c r="G807" s="176"/>
      <c r="H807" s="17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5.75" customHeight="1">
      <c r="A808" s="126"/>
      <c r="B808" s="126"/>
      <c r="C808" s="176"/>
      <c r="D808" s="176"/>
      <c r="E808" s="176"/>
      <c r="F808" s="176"/>
      <c r="G808" s="176"/>
      <c r="H808" s="17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5.75" customHeight="1">
      <c r="A809" s="126"/>
      <c r="B809" s="126"/>
      <c r="C809" s="176"/>
      <c r="D809" s="176"/>
      <c r="E809" s="176"/>
      <c r="F809" s="176"/>
      <c r="G809" s="176"/>
      <c r="H809" s="17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5.75" customHeight="1">
      <c r="A810" s="126"/>
      <c r="B810" s="126"/>
      <c r="C810" s="176"/>
      <c r="D810" s="176"/>
      <c r="E810" s="176"/>
      <c r="F810" s="176"/>
      <c r="G810" s="176"/>
      <c r="H810" s="17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5.75" customHeight="1">
      <c r="A811" s="126"/>
      <c r="B811" s="126"/>
      <c r="C811" s="176"/>
      <c r="D811" s="176"/>
      <c r="E811" s="176"/>
      <c r="F811" s="176"/>
      <c r="G811" s="176"/>
      <c r="H811" s="17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5.75" customHeight="1">
      <c r="A812" s="126"/>
      <c r="B812" s="126"/>
      <c r="C812" s="176"/>
      <c r="D812" s="176"/>
      <c r="E812" s="176"/>
      <c r="F812" s="176"/>
      <c r="G812" s="176"/>
      <c r="H812" s="17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5.75" customHeight="1">
      <c r="A813" s="126"/>
      <c r="B813" s="126"/>
      <c r="C813" s="176"/>
      <c r="D813" s="176"/>
      <c r="E813" s="176"/>
      <c r="F813" s="176"/>
      <c r="G813" s="176"/>
      <c r="H813" s="17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5.75" customHeight="1">
      <c r="A814" s="126"/>
      <c r="B814" s="126"/>
      <c r="C814" s="176"/>
      <c r="D814" s="176"/>
      <c r="E814" s="176"/>
      <c r="F814" s="176"/>
      <c r="G814" s="176"/>
      <c r="H814" s="17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5.75" customHeight="1">
      <c r="A815" s="126"/>
      <c r="B815" s="126"/>
      <c r="C815" s="176"/>
      <c r="D815" s="176"/>
      <c r="E815" s="176"/>
      <c r="F815" s="176"/>
      <c r="G815" s="176"/>
      <c r="H815" s="17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5.75" customHeight="1">
      <c r="A816" s="126"/>
      <c r="B816" s="126"/>
      <c r="C816" s="176"/>
      <c r="D816" s="176"/>
      <c r="E816" s="176"/>
      <c r="F816" s="176"/>
      <c r="G816" s="176"/>
      <c r="H816" s="17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5.75" customHeight="1">
      <c r="A817" s="126"/>
      <c r="B817" s="126"/>
      <c r="C817" s="176"/>
      <c r="D817" s="176"/>
      <c r="E817" s="176"/>
      <c r="F817" s="176"/>
      <c r="G817" s="176"/>
      <c r="H817" s="17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5.75" customHeight="1">
      <c r="A818" s="126"/>
      <c r="B818" s="126"/>
      <c r="C818" s="176"/>
      <c r="D818" s="176"/>
      <c r="E818" s="176"/>
      <c r="F818" s="176"/>
      <c r="G818" s="176"/>
      <c r="H818" s="17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5.75" customHeight="1">
      <c r="A819" s="126"/>
      <c r="B819" s="126"/>
      <c r="C819" s="176"/>
      <c r="D819" s="176"/>
      <c r="E819" s="176"/>
      <c r="F819" s="176"/>
      <c r="G819" s="176"/>
      <c r="H819" s="17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5.75" customHeight="1">
      <c r="A820" s="126"/>
      <c r="B820" s="126"/>
      <c r="C820" s="176"/>
      <c r="D820" s="176"/>
      <c r="E820" s="176"/>
      <c r="F820" s="176"/>
      <c r="G820" s="176"/>
      <c r="H820" s="17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5.75" customHeight="1">
      <c r="A821" s="126"/>
      <c r="B821" s="126"/>
      <c r="C821" s="176"/>
      <c r="D821" s="176"/>
      <c r="E821" s="176"/>
      <c r="F821" s="176"/>
      <c r="G821" s="176"/>
      <c r="H821" s="17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5.75" customHeight="1">
      <c r="A822" s="126"/>
      <c r="B822" s="126"/>
      <c r="C822" s="176"/>
      <c r="D822" s="176"/>
      <c r="E822" s="176"/>
      <c r="F822" s="176"/>
      <c r="G822" s="176"/>
      <c r="H822" s="17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5.75" customHeight="1">
      <c r="A823" s="126"/>
      <c r="B823" s="126"/>
      <c r="C823" s="176"/>
      <c r="D823" s="176"/>
      <c r="E823" s="176"/>
      <c r="F823" s="176"/>
      <c r="G823" s="176"/>
      <c r="H823" s="17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5.75" customHeight="1">
      <c r="A824" s="126"/>
      <c r="B824" s="126"/>
      <c r="C824" s="176"/>
      <c r="D824" s="176"/>
      <c r="E824" s="176"/>
      <c r="F824" s="176"/>
      <c r="G824" s="176"/>
      <c r="H824" s="17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5.75" customHeight="1">
      <c r="A825" s="126"/>
      <c r="B825" s="126"/>
      <c r="C825" s="176"/>
      <c r="D825" s="176"/>
      <c r="E825" s="176"/>
      <c r="F825" s="176"/>
      <c r="G825" s="176"/>
      <c r="H825" s="17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5.75" customHeight="1">
      <c r="A826" s="126"/>
      <c r="B826" s="126"/>
      <c r="C826" s="176"/>
      <c r="D826" s="176"/>
      <c r="E826" s="176"/>
      <c r="F826" s="176"/>
      <c r="G826" s="176"/>
      <c r="H826" s="17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5.75" customHeight="1">
      <c r="A827" s="126"/>
      <c r="B827" s="126"/>
      <c r="C827" s="176"/>
      <c r="D827" s="176"/>
      <c r="E827" s="176"/>
      <c r="F827" s="176"/>
      <c r="G827" s="176"/>
      <c r="H827" s="17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5.75" customHeight="1">
      <c r="A828" s="126"/>
      <c r="B828" s="126"/>
      <c r="C828" s="176"/>
      <c r="D828" s="176"/>
      <c r="E828" s="176"/>
      <c r="F828" s="176"/>
      <c r="G828" s="176"/>
      <c r="H828" s="17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5.75" customHeight="1">
      <c r="A829" s="126"/>
      <c r="B829" s="126"/>
      <c r="C829" s="176"/>
      <c r="D829" s="176"/>
      <c r="E829" s="176"/>
      <c r="F829" s="176"/>
      <c r="G829" s="176"/>
      <c r="H829" s="17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5.75" customHeight="1">
      <c r="A830" s="126"/>
      <c r="B830" s="126"/>
      <c r="C830" s="176"/>
      <c r="D830" s="176"/>
      <c r="E830" s="176"/>
      <c r="F830" s="176"/>
      <c r="G830" s="176"/>
      <c r="H830" s="17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5.75" customHeight="1">
      <c r="A831" s="126"/>
      <c r="B831" s="126"/>
      <c r="C831" s="176"/>
      <c r="D831" s="176"/>
      <c r="E831" s="176"/>
      <c r="F831" s="176"/>
      <c r="G831" s="176"/>
      <c r="H831" s="17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5.75" customHeight="1">
      <c r="A832" s="126"/>
      <c r="B832" s="126"/>
      <c r="C832" s="176"/>
      <c r="D832" s="176"/>
      <c r="E832" s="176"/>
      <c r="F832" s="176"/>
      <c r="G832" s="176"/>
      <c r="H832" s="17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5.75" customHeight="1">
      <c r="A833" s="126"/>
      <c r="B833" s="126"/>
      <c r="C833" s="176"/>
      <c r="D833" s="176"/>
      <c r="E833" s="176"/>
      <c r="F833" s="176"/>
      <c r="G833" s="176"/>
      <c r="H833" s="17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5.75" customHeight="1">
      <c r="A834" s="126"/>
      <c r="B834" s="126"/>
      <c r="C834" s="176"/>
      <c r="D834" s="176"/>
      <c r="E834" s="176"/>
      <c r="F834" s="176"/>
      <c r="G834" s="176"/>
      <c r="H834" s="17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5.75" customHeight="1">
      <c r="A835" s="126"/>
      <c r="B835" s="126"/>
      <c r="C835" s="176"/>
      <c r="D835" s="176"/>
      <c r="E835" s="176"/>
      <c r="F835" s="176"/>
      <c r="G835" s="176"/>
      <c r="H835" s="17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5.75" customHeight="1">
      <c r="A836" s="126"/>
      <c r="B836" s="126"/>
      <c r="C836" s="176"/>
      <c r="D836" s="176"/>
      <c r="E836" s="176"/>
      <c r="F836" s="176"/>
      <c r="G836" s="176"/>
      <c r="H836" s="17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5.75" customHeight="1">
      <c r="A837" s="126"/>
      <c r="B837" s="126"/>
      <c r="C837" s="176"/>
      <c r="D837" s="176"/>
      <c r="E837" s="176"/>
      <c r="F837" s="176"/>
      <c r="G837" s="176"/>
      <c r="H837" s="17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5.75" customHeight="1">
      <c r="A838" s="126"/>
      <c r="B838" s="126"/>
      <c r="C838" s="176"/>
      <c r="D838" s="176"/>
      <c r="E838" s="176"/>
      <c r="F838" s="176"/>
      <c r="G838" s="176"/>
      <c r="H838" s="17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5.75" customHeight="1">
      <c r="A839" s="126"/>
      <c r="B839" s="126"/>
      <c r="C839" s="176"/>
      <c r="D839" s="176"/>
      <c r="E839" s="176"/>
      <c r="F839" s="176"/>
      <c r="G839" s="176"/>
      <c r="H839" s="17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5.75" customHeight="1">
      <c r="A840" s="126"/>
      <c r="B840" s="126"/>
      <c r="C840" s="176"/>
      <c r="D840" s="176"/>
      <c r="E840" s="176"/>
      <c r="F840" s="176"/>
      <c r="G840" s="176"/>
      <c r="H840" s="17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5.75" customHeight="1">
      <c r="A841" s="126"/>
      <c r="B841" s="126"/>
      <c r="C841" s="176"/>
      <c r="D841" s="176"/>
      <c r="E841" s="176"/>
      <c r="F841" s="176"/>
      <c r="G841" s="176"/>
      <c r="H841" s="17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5.75" customHeight="1">
      <c r="A842" s="126"/>
      <c r="B842" s="126"/>
      <c r="C842" s="176"/>
      <c r="D842" s="176"/>
      <c r="E842" s="176"/>
      <c r="F842" s="176"/>
      <c r="G842" s="176"/>
      <c r="H842" s="17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5.75" customHeight="1">
      <c r="A843" s="126"/>
      <c r="B843" s="126"/>
      <c r="C843" s="176"/>
      <c r="D843" s="176"/>
      <c r="E843" s="176"/>
      <c r="F843" s="176"/>
      <c r="G843" s="176"/>
      <c r="H843" s="17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5.75" customHeight="1">
      <c r="A844" s="126"/>
      <c r="B844" s="126"/>
      <c r="C844" s="176"/>
      <c r="D844" s="176"/>
      <c r="E844" s="176"/>
      <c r="F844" s="176"/>
      <c r="G844" s="176"/>
      <c r="H844" s="17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5.75" customHeight="1">
      <c r="A845" s="126"/>
      <c r="B845" s="126"/>
      <c r="C845" s="176"/>
      <c r="D845" s="176"/>
      <c r="E845" s="176"/>
      <c r="F845" s="176"/>
      <c r="G845" s="176"/>
      <c r="H845" s="17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5.75" customHeight="1">
      <c r="A846" s="126"/>
      <c r="B846" s="126"/>
      <c r="C846" s="176"/>
      <c r="D846" s="176"/>
      <c r="E846" s="176"/>
      <c r="F846" s="176"/>
      <c r="G846" s="176"/>
      <c r="H846" s="17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5.75" customHeight="1">
      <c r="A847" s="126"/>
      <c r="B847" s="126"/>
      <c r="C847" s="176"/>
      <c r="D847" s="176"/>
      <c r="E847" s="176"/>
      <c r="F847" s="176"/>
      <c r="G847" s="176"/>
      <c r="H847" s="17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5.75" customHeight="1">
      <c r="A848" s="126"/>
      <c r="B848" s="126"/>
      <c r="C848" s="176"/>
      <c r="D848" s="176"/>
      <c r="E848" s="176"/>
      <c r="F848" s="176"/>
      <c r="G848" s="176"/>
      <c r="H848" s="17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5.75" customHeight="1">
      <c r="A849" s="126"/>
      <c r="B849" s="126"/>
      <c r="C849" s="176"/>
      <c r="D849" s="176"/>
      <c r="E849" s="176"/>
      <c r="F849" s="176"/>
      <c r="G849" s="176"/>
      <c r="H849" s="17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5.75" customHeight="1">
      <c r="A850" s="126"/>
      <c r="B850" s="126"/>
      <c r="C850" s="176"/>
      <c r="D850" s="176"/>
      <c r="E850" s="176"/>
      <c r="F850" s="176"/>
      <c r="G850" s="176"/>
      <c r="H850" s="17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5.75" customHeight="1">
      <c r="A851" s="126"/>
      <c r="B851" s="126"/>
      <c r="C851" s="176"/>
      <c r="D851" s="176"/>
      <c r="E851" s="176"/>
      <c r="F851" s="176"/>
      <c r="G851" s="176"/>
      <c r="H851" s="17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5.75" customHeight="1">
      <c r="A852" s="126"/>
      <c r="B852" s="126"/>
      <c r="C852" s="176"/>
      <c r="D852" s="176"/>
      <c r="E852" s="176"/>
      <c r="F852" s="176"/>
      <c r="G852" s="176"/>
      <c r="H852" s="17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5.75" customHeight="1">
      <c r="A853" s="126"/>
      <c r="B853" s="126"/>
      <c r="C853" s="176"/>
      <c r="D853" s="176"/>
      <c r="E853" s="176"/>
      <c r="F853" s="176"/>
      <c r="G853" s="176"/>
      <c r="H853" s="17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5.75" customHeight="1">
      <c r="A854" s="126"/>
      <c r="B854" s="126"/>
      <c r="C854" s="176"/>
      <c r="D854" s="176"/>
      <c r="E854" s="176"/>
      <c r="F854" s="176"/>
      <c r="G854" s="176"/>
      <c r="H854" s="17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5.75" customHeight="1">
      <c r="A855" s="126"/>
      <c r="B855" s="126"/>
      <c r="C855" s="176"/>
      <c r="D855" s="176"/>
      <c r="E855" s="176"/>
      <c r="F855" s="176"/>
      <c r="G855" s="176"/>
      <c r="H855" s="17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5.75" customHeight="1">
      <c r="A856" s="126"/>
      <c r="B856" s="126"/>
      <c r="C856" s="176"/>
      <c r="D856" s="176"/>
      <c r="E856" s="176"/>
      <c r="F856" s="176"/>
      <c r="G856" s="176"/>
      <c r="H856" s="17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5.75" customHeight="1">
      <c r="A857" s="126"/>
      <c r="B857" s="126"/>
      <c r="C857" s="176"/>
      <c r="D857" s="176"/>
      <c r="E857" s="176"/>
      <c r="F857" s="176"/>
      <c r="G857" s="176"/>
      <c r="H857" s="17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5.75" customHeight="1">
      <c r="A858" s="126"/>
      <c r="B858" s="126"/>
      <c r="C858" s="176"/>
      <c r="D858" s="176"/>
      <c r="E858" s="176"/>
      <c r="F858" s="176"/>
      <c r="G858" s="176"/>
      <c r="H858" s="17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5.75" customHeight="1">
      <c r="A859" s="126"/>
      <c r="B859" s="126"/>
      <c r="C859" s="176"/>
      <c r="D859" s="176"/>
      <c r="E859" s="176"/>
      <c r="F859" s="176"/>
      <c r="G859" s="176"/>
      <c r="H859" s="17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5.75" customHeight="1">
      <c r="A860" s="126"/>
      <c r="B860" s="126"/>
      <c r="C860" s="176"/>
      <c r="D860" s="176"/>
      <c r="E860" s="176"/>
      <c r="F860" s="176"/>
      <c r="G860" s="176"/>
      <c r="H860" s="17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5.75" customHeight="1">
      <c r="A861" s="126"/>
      <c r="B861" s="126"/>
      <c r="C861" s="176"/>
      <c r="D861" s="176"/>
      <c r="E861" s="176"/>
      <c r="F861" s="176"/>
      <c r="G861" s="176"/>
      <c r="H861" s="17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5.75" customHeight="1">
      <c r="A862" s="126"/>
      <c r="B862" s="126"/>
      <c r="C862" s="176"/>
      <c r="D862" s="176"/>
      <c r="E862" s="176"/>
      <c r="F862" s="176"/>
      <c r="G862" s="176"/>
      <c r="H862" s="17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5.75" customHeight="1">
      <c r="A863" s="126"/>
      <c r="B863" s="126"/>
      <c r="C863" s="176"/>
      <c r="D863" s="176"/>
      <c r="E863" s="176"/>
      <c r="F863" s="176"/>
      <c r="G863" s="176"/>
      <c r="H863" s="17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5.75" customHeight="1">
      <c r="A864" s="126"/>
      <c r="B864" s="126"/>
      <c r="C864" s="176"/>
      <c r="D864" s="176"/>
      <c r="E864" s="176"/>
      <c r="F864" s="176"/>
      <c r="G864" s="176"/>
      <c r="H864" s="17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5.75" customHeight="1">
      <c r="A865" s="126"/>
      <c r="B865" s="126"/>
      <c r="C865" s="176"/>
      <c r="D865" s="176"/>
      <c r="E865" s="176"/>
      <c r="F865" s="176"/>
      <c r="G865" s="176"/>
      <c r="H865" s="17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5.75" customHeight="1">
      <c r="A866" s="126"/>
      <c r="B866" s="126"/>
      <c r="C866" s="176"/>
      <c r="D866" s="176"/>
      <c r="E866" s="176"/>
      <c r="F866" s="176"/>
      <c r="G866" s="176"/>
      <c r="H866" s="17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5.75" customHeight="1">
      <c r="A867" s="126"/>
      <c r="B867" s="126"/>
      <c r="C867" s="176"/>
      <c r="D867" s="176"/>
      <c r="E867" s="176"/>
      <c r="F867" s="176"/>
      <c r="G867" s="176"/>
      <c r="H867" s="17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5.75" customHeight="1">
      <c r="A868" s="126"/>
      <c r="B868" s="126"/>
      <c r="C868" s="176"/>
      <c r="D868" s="176"/>
      <c r="E868" s="176"/>
      <c r="F868" s="176"/>
      <c r="G868" s="176"/>
      <c r="H868" s="17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5.75" customHeight="1">
      <c r="A869" s="126"/>
      <c r="B869" s="126"/>
      <c r="C869" s="176"/>
      <c r="D869" s="176"/>
      <c r="E869" s="176"/>
      <c r="F869" s="176"/>
      <c r="G869" s="176"/>
      <c r="H869" s="17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5.75" customHeight="1">
      <c r="A870" s="126"/>
      <c r="B870" s="126"/>
      <c r="C870" s="176"/>
      <c r="D870" s="176"/>
      <c r="E870" s="176"/>
      <c r="F870" s="176"/>
      <c r="G870" s="176"/>
      <c r="H870" s="17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5.75" customHeight="1">
      <c r="A871" s="126"/>
      <c r="B871" s="126"/>
      <c r="C871" s="176"/>
      <c r="D871" s="176"/>
      <c r="E871" s="176"/>
      <c r="F871" s="176"/>
      <c r="G871" s="176"/>
      <c r="H871" s="17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5.75" customHeight="1">
      <c r="A872" s="126"/>
      <c r="B872" s="126"/>
      <c r="C872" s="176"/>
      <c r="D872" s="176"/>
      <c r="E872" s="176"/>
      <c r="F872" s="176"/>
      <c r="G872" s="176"/>
      <c r="H872" s="17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5.75" customHeight="1">
      <c r="A873" s="126"/>
      <c r="B873" s="126"/>
      <c r="C873" s="176"/>
      <c r="D873" s="176"/>
      <c r="E873" s="176"/>
      <c r="F873" s="176"/>
      <c r="G873" s="176"/>
      <c r="H873" s="17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5.75" customHeight="1">
      <c r="A874" s="126"/>
      <c r="B874" s="126"/>
      <c r="C874" s="176"/>
      <c r="D874" s="176"/>
      <c r="E874" s="176"/>
      <c r="F874" s="176"/>
      <c r="G874" s="176"/>
      <c r="H874" s="17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5.75" customHeight="1">
      <c r="A875" s="126"/>
      <c r="B875" s="126"/>
      <c r="C875" s="176"/>
      <c r="D875" s="176"/>
      <c r="E875" s="176"/>
      <c r="F875" s="176"/>
      <c r="G875" s="176"/>
      <c r="H875" s="17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5.75" customHeight="1">
      <c r="A876" s="126"/>
      <c r="B876" s="126"/>
      <c r="C876" s="176"/>
      <c r="D876" s="176"/>
      <c r="E876" s="176"/>
      <c r="F876" s="176"/>
      <c r="G876" s="176"/>
      <c r="H876" s="17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5.75" customHeight="1">
      <c r="A877" s="126"/>
      <c r="B877" s="126"/>
      <c r="C877" s="176"/>
      <c r="D877" s="176"/>
      <c r="E877" s="176"/>
      <c r="F877" s="176"/>
      <c r="G877" s="176"/>
      <c r="H877" s="17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5.75" customHeight="1">
      <c r="A878" s="126"/>
      <c r="B878" s="126"/>
      <c r="C878" s="176"/>
      <c r="D878" s="176"/>
      <c r="E878" s="176"/>
      <c r="F878" s="176"/>
      <c r="G878" s="176"/>
      <c r="H878" s="17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5.75" customHeight="1">
      <c r="A879" s="126"/>
      <c r="B879" s="126"/>
      <c r="C879" s="176"/>
      <c r="D879" s="176"/>
      <c r="E879" s="176"/>
      <c r="F879" s="176"/>
      <c r="G879" s="176"/>
      <c r="H879" s="17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5.75" customHeight="1">
      <c r="A880" s="126"/>
      <c r="B880" s="126"/>
      <c r="C880" s="176"/>
      <c r="D880" s="176"/>
      <c r="E880" s="176"/>
      <c r="F880" s="176"/>
      <c r="G880" s="176"/>
      <c r="H880" s="17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5.75" customHeight="1">
      <c r="A881" s="126"/>
      <c r="B881" s="126"/>
      <c r="C881" s="176"/>
      <c r="D881" s="176"/>
      <c r="E881" s="176"/>
      <c r="F881" s="176"/>
      <c r="G881" s="176"/>
      <c r="H881" s="17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5.75" customHeight="1">
      <c r="A882" s="126"/>
      <c r="B882" s="126"/>
      <c r="C882" s="176"/>
      <c r="D882" s="176"/>
      <c r="E882" s="176"/>
      <c r="F882" s="176"/>
      <c r="G882" s="176"/>
      <c r="H882" s="17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5.75" customHeight="1">
      <c r="A883" s="126"/>
      <c r="B883" s="126"/>
      <c r="C883" s="176"/>
      <c r="D883" s="176"/>
      <c r="E883" s="176"/>
      <c r="F883" s="176"/>
      <c r="G883" s="176"/>
      <c r="H883" s="17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5.75" customHeight="1">
      <c r="A884" s="126"/>
      <c r="B884" s="126"/>
      <c r="C884" s="176"/>
      <c r="D884" s="176"/>
      <c r="E884" s="176"/>
      <c r="F884" s="176"/>
      <c r="G884" s="176"/>
      <c r="H884" s="17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5.75" customHeight="1">
      <c r="A885" s="126"/>
      <c r="B885" s="126"/>
      <c r="C885" s="176"/>
      <c r="D885" s="176"/>
      <c r="E885" s="176"/>
      <c r="F885" s="176"/>
      <c r="G885" s="176"/>
      <c r="H885" s="17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5.75" customHeight="1">
      <c r="A886" s="126"/>
      <c r="B886" s="126"/>
      <c r="C886" s="176"/>
      <c r="D886" s="176"/>
      <c r="E886" s="176"/>
      <c r="F886" s="176"/>
      <c r="G886" s="176"/>
      <c r="H886" s="17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5.75" customHeight="1">
      <c r="A887" s="126"/>
      <c r="B887" s="126"/>
      <c r="C887" s="176"/>
      <c r="D887" s="176"/>
      <c r="E887" s="176"/>
      <c r="F887" s="176"/>
      <c r="G887" s="176"/>
      <c r="H887" s="17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5.75" customHeight="1">
      <c r="A888" s="126"/>
      <c r="B888" s="126"/>
      <c r="C888" s="176"/>
      <c r="D888" s="176"/>
      <c r="E888" s="176"/>
      <c r="F888" s="176"/>
      <c r="G888" s="176"/>
      <c r="H888" s="17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5.75" customHeight="1">
      <c r="A889" s="126"/>
      <c r="B889" s="126"/>
      <c r="C889" s="176"/>
      <c r="D889" s="176"/>
      <c r="E889" s="176"/>
      <c r="F889" s="176"/>
      <c r="G889" s="176"/>
      <c r="H889" s="17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5.75" customHeight="1">
      <c r="A890" s="126"/>
      <c r="B890" s="126"/>
      <c r="C890" s="176"/>
      <c r="D890" s="176"/>
      <c r="E890" s="176"/>
      <c r="F890" s="176"/>
      <c r="G890" s="176"/>
      <c r="H890" s="17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5.75" customHeight="1">
      <c r="A891" s="126"/>
      <c r="B891" s="126"/>
      <c r="C891" s="176"/>
      <c r="D891" s="176"/>
      <c r="E891" s="176"/>
      <c r="F891" s="176"/>
      <c r="G891" s="176"/>
      <c r="H891" s="17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5.75" customHeight="1">
      <c r="A892" s="126"/>
      <c r="B892" s="126"/>
      <c r="C892" s="176"/>
      <c r="D892" s="176"/>
      <c r="E892" s="176"/>
      <c r="F892" s="176"/>
      <c r="G892" s="176"/>
      <c r="H892" s="17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5.75" customHeight="1">
      <c r="A893" s="126"/>
      <c r="B893" s="126"/>
      <c r="C893" s="176"/>
      <c r="D893" s="176"/>
      <c r="E893" s="176"/>
      <c r="F893" s="176"/>
      <c r="G893" s="176"/>
      <c r="H893" s="17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5.75" customHeight="1">
      <c r="A894" s="126"/>
      <c r="B894" s="126"/>
      <c r="C894" s="176"/>
      <c r="D894" s="176"/>
      <c r="E894" s="176"/>
      <c r="F894" s="176"/>
      <c r="G894" s="176"/>
      <c r="H894" s="17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5.75" customHeight="1">
      <c r="A895" s="126"/>
      <c r="B895" s="126"/>
      <c r="C895" s="176"/>
      <c r="D895" s="176"/>
      <c r="E895" s="176"/>
      <c r="F895" s="176"/>
      <c r="G895" s="176"/>
      <c r="H895" s="17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5.75" customHeight="1">
      <c r="A896" s="126"/>
      <c r="B896" s="126"/>
      <c r="C896" s="176"/>
      <c r="D896" s="176"/>
      <c r="E896" s="176"/>
      <c r="F896" s="176"/>
      <c r="G896" s="176"/>
      <c r="H896" s="17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5.75" customHeight="1">
      <c r="A897" s="126"/>
      <c r="B897" s="126"/>
      <c r="C897" s="176"/>
      <c r="D897" s="176"/>
      <c r="E897" s="176"/>
      <c r="F897" s="176"/>
      <c r="G897" s="176"/>
      <c r="H897" s="17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5.75" customHeight="1">
      <c r="A898" s="126"/>
      <c r="B898" s="126"/>
      <c r="C898" s="176"/>
      <c r="D898" s="176"/>
      <c r="E898" s="176"/>
      <c r="F898" s="176"/>
      <c r="G898" s="176"/>
      <c r="H898" s="17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5.75" customHeight="1">
      <c r="A899" s="126"/>
      <c r="B899" s="126"/>
      <c r="C899" s="176"/>
      <c r="D899" s="176"/>
      <c r="E899" s="176"/>
      <c r="F899" s="176"/>
      <c r="G899" s="176"/>
      <c r="H899" s="17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5.75" customHeight="1">
      <c r="A900" s="126"/>
      <c r="B900" s="126"/>
      <c r="C900" s="176"/>
      <c r="D900" s="176"/>
      <c r="E900" s="176"/>
      <c r="F900" s="176"/>
      <c r="G900" s="176"/>
      <c r="H900" s="17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5.75" customHeight="1">
      <c r="A901" s="126"/>
      <c r="B901" s="126"/>
      <c r="C901" s="176"/>
      <c r="D901" s="176"/>
      <c r="E901" s="176"/>
      <c r="F901" s="176"/>
      <c r="G901" s="176"/>
      <c r="H901" s="17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5.75" customHeight="1">
      <c r="A902" s="126"/>
      <c r="B902" s="126"/>
      <c r="C902" s="176"/>
      <c r="D902" s="176"/>
      <c r="E902" s="176"/>
      <c r="F902" s="176"/>
      <c r="G902" s="176"/>
      <c r="H902" s="17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5.75" customHeight="1">
      <c r="A903" s="126"/>
      <c r="B903" s="126"/>
      <c r="C903" s="176"/>
      <c r="D903" s="176"/>
      <c r="E903" s="176"/>
      <c r="F903" s="176"/>
      <c r="G903" s="176"/>
      <c r="H903" s="17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5.75" customHeight="1">
      <c r="A904" s="126"/>
      <c r="B904" s="126"/>
      <c r="C904" s="176"/>
      <c r="D904" s="176"/>
      <c r="E904" s="176"/>
      <c r="F904" s="176"/>
      <c r="G904" s="176"/>
      <c r="H904" s="17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5.75" customHeight="1">
      <c r="A905" s="126"/>
      <c r="B905" s="126"/>
      <c r="C905" s="176"/>
      <c r="D905" s="176"/>
      <c r="E905" s="176"/>
      <c r="F905" s="176"/>
      <c r="G905" s="176"/>
      <c r="H905" s="17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5.75" customHeight="1">
      <c r="A906" s="126"/>
      <c r="B906" s="126"/>
      <c r="C906" s="176"/>
      <c r="D906" s="176"/>
      <c r="E906" s="176"/>
      <c r="F906" s="176"/>
      <c r="G906" s="176"/>
      <c r="H906" s="17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5.75" customHeight="1">
      <c r="A907" s="126"/>
      <c r="B907" s="126"/>
      <c r="C907" s="176"/>
      <c r="D907" s="176"/>
      <c r="E907" s="176"/>
      <c r="F907" s="176"/>
      <c r="G907" s="176"/>
      <c r="H907" s="17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5.75" customHeight="1">
      <c r="A908" s="126"/>
      <c r="B908" s="126"/>
      <c r="C908" s="176"/>
      <c r="D908" s="176"/>
      <c r="E908" s="176"/>
      <c r="F908" s="176"/>
      <c r="G908" s="176"/>
      <c r="H908" s="17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5.75" customHeight="1">
      <c r="A909" s="126"/>
      <c r="B909" s="126"/>
      <c r="C909" s="176"/>
      <c r="D909" s="176"/>
      <c r="E909" s="176"/>
      <c r="F909" s="176"/>
      <c r="G909" s="176"/>
      <c r="H909" s="17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5.75" customHeight="1">
      <c r="A910" s="126"/>
      <c r="B910" s="126"/>
      <c r="C910" s="176"/>
      <c r="D910" s="176"/>
      <c r="E910" s="176"/>
      <c r="F910" s="176"/>
      <c r="G910" s="176"/>
      <c r="H910" s="17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5.75" customHeight="1">
      <c r="A911" s="126"/>
      <c r="B911" s="126"/>
      <c r="C911" s="176"/>
      <c r="D911" s="176"/>
      <c r="E911" s="176"/>
      <c r="F911" s="176"/>
      <c r="G911" s="176"/>
      <c r="H911" s="17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5.75" customHeight="1">
      <c r="A912" s="126"/>
      <c r="B912" s="126"/>
      <c r="C912" s="176"/>
      <c r="D912" s="176"/>
      <c r="E912" s="176"/>
      <c r="F912" s="176"/>
      <c r="G912" s="176"/>
      <c r="H912" s="17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5.75" customHeight="1">
      <c r="A913" s="126"/>
      <c r="B913" s="126"/>
      <c r="C913" s="176"/>
      <c r="D913" s="176"/>
      <c r="E913" s="176"/>
      <c r="F913" s="176"/>
      <c r="G913" s="176"/>
      <c r="H913" s="17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5.75" customHeight="1">
      <c r="A914" s="126"/>
      <c r="B914" s="126"/>
      <c r="C914" s="176"/>
      <c r="D914" s="176"/>
      <c r="E914" s="176"/>
      <c r="F914" s="176"/>
      <c r="G914" s="176"/>
      <c r="H914" s="17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5.75" customHeight="1">
      <c r="A915" s="126"/>
      <c r="B915" s="126"/>
      <c r="C915" s="176"/>
      <c r="D915" s="176"/>
      <c r="E915" s="176"/>
      <c r="F915" s="176"/>
      <c r="G915" s="176"/>
      <c r="H915" s="17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5.75" customHeight="1">
      <c r="A916" s="126"/>
      <c r="B916" s="126"/>
      <c r="C916" s="176"/>
      <c r="D916" s="176"/>
      <c r="E916" s="176"/>
      <c r="F916" s="176"/>
      <c r="G916" s="176"/>
      <c r="H916" s="17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5.75" customHeight="1">
      <c r="A917" s="126"/>
      <c r="B917" s="126"/>
      <c r="C917" s="176"/>
      <c r="D917" s="176"/>
      <c r="E917" s="176"/>
      <c r="F917" s="176"/>
      <c r="G917" s="176"/>
      <c r="H917" s="17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5.75" customHeight="1">
      <c r="A918" s="126"/>
      <c r="B918" s="126"/>
      <c r="C918" s="176"/>
      <c r="D918" s="176"/>
      <c r="E918" s="176"/>
      <c r="F918" s="176"/>
      <c r="G918" s="176"/>
      <c r="H918" s="17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5.75" customHeight="1">
      <c r="A919" s="126"/>
      <c r="B919" s="126"/>
      <c r="C919" s="176"/>
      <c r="D919" s="176"/>
      <c r="E919" s="176"/>
      <c r="F919" s="176"/>
      <c r="G919" s="176"/>
      <c r="H919" s="17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5.75" customHeight="1">
      <c r="A920" s="126"/>
      <c r="B920" s="126"/>
      <c r="C920" s="176"/>
      <c r="D920" s="176"/>
      <c r="E920" s="176"/>
      <c r="F920" s="176"/>
      <c r="G920" s="176"/>
      <c r="H920" s="17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5.75" customHeight="1">
      <c r="A921" s="126"/>
      <c r="B921" s="126"/>
      <c r="C921" s="176"/>
      <c r="D921" s="176"/>
      <c r="E921" s="176"/>
      <c r="F921" s="176"/>
      <c r="G921" s="176"/>
      <c r="H921" s="17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5.75" customHeight="1">
      <c r="A922" s="126"/>
      <c r="B922" s="126"/>
      <c r="C922" s="176"/>
      <c r="D922" s="176"/>
      <c r="E922" s="176"/>
      <c r="F922" s="176"/>
      <c r="G922" s="176"/>
      <c r="H922" s="17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5.75" customHeight="1">
      <c r="A923" s="126"/>
      <c r="B923" s="126"/>
      <c r="C923" s="176"/>
      <c r="D923" s="176"/>
      <c r="E923" s="176"/>
      <c r="F923" s="176"/>
      <c r="G923" s="176"/>
      <c r="H923" s="17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5.75" customHeight="1">
      <c r="A924" s="126"/>
      <c r="B924" s="126"/>
      <c r="C924" s="176"/>
      <c r="D924" s="176"/>
      <c r="E924" s="176"/>
      <c r="F924" s="176"/>
      <c r="G924" s="176"/>
      <c r="H924" s="17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5.75" customHeight="1">
      <c r="A925" s="126"/>
      <c r="B925" s="126"/>
      <c r="C925" s="176"/>
      <c r="D925" s="176"/>
      <c r="E925" s="176"/>
      <c r="F925" s="176"/>
      <c r="G925" s="176"/>
      <c r="H925" s="17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5.75" customHeight="1">
      <c r="A926" s="126"/>
      <c r="B926" s="126"/>
      <c r="C926" s="176"/>
      <c r="D926" s="176"/>
      <c r="E926" s="176"/>
      <c r="F926" s="176"/>
      <c r="G926" s="176"/>
      <c r="H926" s="17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5.75" customHeight="1">
      <c r="A927" s="126"/>
      <c r="B927" s="126"/>
      <c r="C927" s="176"/>
      <c r="D927" s="176"/>
      <c r="E927" s="176"/>
      <c r="F927" s="176"/>
      <c r="G927" s="176"/>
      <c r="H927" s="17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5.75" customHeight="1">
      <c r="A928" s="126"/>
      <c r="B928" s="126"/>
      <c r="C928" s="176"/>
      <c r="D928" s="176"/>
      <c r="E928" s="176"/>
      <c r="F928" s="176"/>
      <c r="G928" s="176"/>
      <c r="H928" s="17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5.75" customHeight="1">
      <c r="A929" s="126"/>
      <c r="B929" s="126"/>
      <c r="C929" s="176"/>
      <c r="D929" s="176"/>
      <c r="E929" s="176"/>
      <c r="F929" s="176"/>
      <c r="G929" s="176"/>
      <c r="H929" s="17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5.75" customHeight="1">
      <c r="A930" s="126"/>
      <c r="B930" s="126"/>
      <c r="C930" s="176"/>
      <c r="D930" s="176"/>
      <c r="E930" s="176"/>
      <c r="F930" s="176"/>
      <c r="G930" s="176"/>
      <c r="H930" s="17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5.75" customHeight="1">
      <c r="A931" s="126"/>
      <c r="B931" s="126"/>
      <c r="C931" s="176"/>
      <c r="D931" s="176"/>
      <c r="E931" s="176"/>
      <c r="F931" s="176"/>
      <c r="G931" s="176"/>
      <c r="H931" s="17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5.75" customHeight="1">
      <c r="A932" s="126"/>
      <c r="B932" s="126"/>
      <c r="C932" s="176"/>
      <c r="D932" s="176"/>
      <c r="E932" s="176"/>
      <c r="F932" s="176"/>
      <c r="G932" s="176"/>
      <c r="H932" s="17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5.75" customHeight="1">
      <c r="A933" s="126"/>
      <c r="B933" s="126"/>
      <c r="C933" s="176"/>
      <c r="D933" s="176"/>
      <c r="E933" s="176"/>
      <c r="F933" s="176"/>
      <c r="G933" s="176"/>
      <c r="H933" s="17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5.75" customHeight="1">
      <c r="A934" s="126"/>
      <c r="B934" s="126"/>
      <c r="C934" s="176"/>
      <c r="D934" s="176"/>
      <c r="E934" s="176"/>
      <c r="F934" s="176"/>
      <c r="G934" s="176"/>
      <c r="H934" s="17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5.75" customHeight="1">
      <c r="A935" s="126"/>
      <c r="B935" s="126"/>
      <c r="C935" s="176"/>
      <c r="D935" s="176"/>
      <c r="E935" s="176"/>
      <c r="F935" s="176"/>
      <c r="G935" s="176"/>
      <c r="H935" s="17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5.75" customHeight="1">
      <c r="A936" s="126"/>
      <c r="B936" s="126"/>
      <c r="C936" s="176"/>
      <c r="D936" s="176"/>
      <c r="E936" s="176"/>
      <c r="F936" s="176"/>
      <c r="G936" s="176"/>
      <c r="H936" s="17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5.75" customHeight="1">
      <c r="A937" s="126"/>
      <c r="B937" s="126"/>
      <c r="C937" s="176"/>
      <c r="D937" s="176"/>
      <c r="E937" s="176"/>
      <c r="F937" s="176"/>
      <c r="G937" s="176"/>
      <c r="H937" s="17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5.75" customHeight="1">
      <c r="A938" s="126"/>
      <c r="B938" s="126"/>
      <c r="C938" s="176"/>
      <c r="D938" s="176"/>
      <c r="E938" s="176"/>
      <c r="F938" s="176"/>
      <c r="G938" s="176"/>
      <c r="H938" s="17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5.75" customHeight="1">
      <c r="A939" s="126"/>
      <c r="B939" s="126"/>
      <c r="C939" s="176"/>
      <c r="D939" s="176"/>
      <c r="E939" s="176"/>
      <c r="F939" s="176"/>
      <c r="G939" s="176"/>
      <c r="H939" s="17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5.75" customHeight="1">
      <c r="A940" s="126"/>
      <c r="B940" s="126"/>
      <c r="C940" s="176"/>
      <c r="D940" s="176"/>
      <c r="E940" s="176"/>
      <c r="F940" s="176"/>
      <c r="G940" s="176"/>
      <c r="H940" s="17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5.75" customHeight="1">
      <c r="A941" s="126"/>
      <c r="B941" s="126"/>
      <c r="C941" s="176"/>
      <c r="D941" s="176"/>
      <c r="E941" s="176"/>
      <c r="F941" s="176"/>
      <c r="G941" s="176"/>
      <c r="H941" s="17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5.75" customHeight="1">
      <c r="A942" s="126"/>
      <c r="B942" s="126"/>
      <c r="C942" s="176"/>
      <c r="D942" s="176"/>
      <c r="E942" s="176"/>
      <c r="F942" s="176"/>
      <c r="G942" s="176"/>
      <c r="H942" s="17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5.75" customHeight="1">
      <c r="A943" s="126"/>
      <c r="B943" s="126"/>
      <c r="C943" s="176"/>
      <c r="D943" s="176"/>
      <c r="E943" s="176"/>
      <c r="F943" s="176"/>
      <c r="G943" s="176"/>
      <c r="H943" s="17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5.75" customHeight="1">
      <c r="A944" s="126"/>
      <c r="B944" s="126"/>
      <c r="C944" s="176"/>
      <c r="D944" s="176"/>
      <c r="E944" s="176"/>
      <c r="F944" s="176"/>
      <c r="G944" s="176"/>
      <c r="H944" s="17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5.75" customHeight="1">
      <c r="A945" s="126"/>
      <c r="B945" s="126"/>
      <c r="C945" s="176"/>
      <c r="D945" s="176"/>
      <c r="E945" s="176"/>
      <c r="F945" s="176"/>
      <c r="G945" s="176"/>
      <c r="H945" s="17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5.75" customHeight="1">
      <c r="A946" s="126"/>
      <c r="B946" s="126"/>
      <c r="C946" s="176"/>
      <c r="D946" s="176"/>
      <c r="E946" s="176"/>
      <c r="F946" s="176"/>
      <c r="G946" s="176"/>
      <c r="H946" s="17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5.75" customHeight="1">
      <c r="A947" s="126"/>
      <c r="B947" s="126"/>
      <c r="C947" s="176"/>
      <c r="D947" s="176"/>
      <c r="E947" s="176"/>
      <c r="F947" s="176"/>
      <c r="G947" s="176"/>
      <c r="H947" s="17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5.75" customHeight="1">
      <c r="A948" s="126"/>
      <c r="B948" s="126"/>
      <c r="C948" s="176"/>
      <c r="D948" s="176"/>
      <c r="E948" s="176"/>
      <c r="F948" s="176"/>
      <c r="G948" s="176"/>
      <c r="H948" s="17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5.75" customHeight="1">
      <c r="A949" s="126"/>
      <c r="B949" s="126"/>
      <c r="C949" s="176"/>
      <c r="D949" s="176"/>
      <c r="E949" s="176"/>
      <c r="F949" s="176"/>
      <c r="G949" s="176"/>
      <c r="H949" s="17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5.75" customHeight="1">
      <c r="A950" s="126"/>
      <c r="B950" s="126"/>
      <c r="C950" s="176"/>
      <c r="D950" s="176"/>
      <c r="E950" s="176"/>
      <c r="F950" s="176"/>
      <c r="G950" s="176"/>
      <c r="H950" s="17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5.75" customHeight="1">
      <c r="A951" s="126"/>
      <c r="B951" s="126"/>
      <c r="C951" s="176"/>
      <c r="D951" s="176"/>
      <c r="E951" s="176"/>
      <c r="F951" s="176"/>
      <c r="G951" s="176"/>
      <c r="H951" s="17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5.75" customHeight="1">
      <c r="A952" s="126"/>
      <c r="B952" s="126"/>
      <c r="C952" s="176"/>
      <c r="D952" s="176"/>
      <c r="E952" s="176"/>
      <c r="F952" s="176"/>
      <c r="G952" s="176"/>
      <c r="H952" s="17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5.75" customHeight="1">
      <c r="A953" s="126"/>
      <c r="B953" s="126"/>
      <c r="C953" s="176"/>
      <c r="D953" s="176"/>
      <c r="E953" s="176"/>
      <c r="F953" s="176"/>
      <c r="G953" s="176"/>
      <c r="H953" s="17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5.75" customHeight="1">
      <c r="A954" s="126"/>
      <c r="B954" s="126"/>
      <c r="C954" s="176"/>
      <c r="D954" s="176"/>
      <c r="E954" s="176"/>
      <c r="F954" s="176"/>
      <c r="G954" s="176"/>
      <c r="H954" s="17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5.75" customHeight="1">
      <c r="A955" s="126"/>
      <c r="B955" s="126"/>
      <c r="C955" s="176"/>
      <c r="D955" s="176"/>
      <c r="E955" s="176"/>
      <c r="F955" s="176"/>
      <c r="G955" s="176"/>
      <c r="H955" s="17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5.75" customHeight="1">
      <c r="A956" s="126"/>
      <c r="B956" s="126"/>
      <c r="C956" s="176"/>
      <c r="D956" s="176"/>
      <c r="E956" s="176"/>
      <c r="F956" s="176"/>
      <c r="G956" s="176"/>
      <c r="H956" s="17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5.75" customHeight="1">
      <c r="A957" s="126"/>
      <c r="B957" s="126"/>
      <c r="C957" s="176"/>
      <c r="D957" s="176"/>
      <c r="E957" s="176"/>
      <c r="F957" s="176"/>
      <c r="G957" s="176"/>
      <c r="H957" s="17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5.75" customHeight="1">
      <c r="A958" s="126"/>
      <c r="B958" s="126"/>
      <c r="C958" s="176"/>
      <c r="D958" s="176"/>
      <c r="E958" s="176"/>
      <c r="F958" s="176"/>
      <c r="G958" s="176"/>
      <c r="H958" s="17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5.75" customHeight="1">
      <c r="A959" s="126"/>
      <c r="B959" s="126"/>
      <c r="C959" s="176"/>
      <c r="D959" s="176"/>
      <c r="E959" s="176"/>
      <c r="F959" s="176"/>
      <c r="G959" s="176"/>
      <c r="H959" s="17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5.75" customHeight="1">
      <c r="A960" s="126"/>
      <c r="B960" s="126"/>
      <c r="C960" s="176"/>
      <c r="D960" s="176"/>
      <c r="E960" s="176"/>
      <c r="F960" s="176"/>
      <c r="G960" s="176"/>
      <c r="H960" s="17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5.75" customHeight="1">
      <c r="A961" s="126"/>
      <c r="B961" s="126"/>
      <c r="C961" s="176"/>
      <c r="D961" s="176"/>
      <c r="E961" s="176"/>
      <c r="F961" s="176"/>
      <c r="G961" s="176"/>
      <c r="H961" s="17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5.75" customHeight="1">
      <c r="A962" s="126"/>
      <c r="B962" s="126"/>
      <c r="C962" s="176"/>
      <c r="D962" s="176"/>
      <c r="E962" s="176"/>
      <c r="F962" s="176"/>
      <c r="G962" s="176"/>
      <c r="H962" s="17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5.75" customHeight="1">
      <c r="A963" s="126"/>
      <c r="B963" s="126"/>
      <c r="C963" s="176"/>
      <c r="D963" s="176"/>
      <c r="E963" s="176"/>
      <c r="F963" s="176"/>
      <c r="G963" s="176"/>
      <c r="H963" s="17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5.75" customHeight="1">
      <c r="A964" s="126"/>
      <c r="B964" s="126"/>
      <c r="C964" s="176"/>
      <c r="D964" s="176"/>
      <c r="E964" s="176"/>
      <c r="F964" s="176"/>
      <c r="G964" s="176"/>
      <c r="H964" s="17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5.75" customHeight="1">
      <c r="A965" s="126"/>
      <c r="B965" s="126"/>
      <c r="C965" s="176"/>
      <c r="D965" s="176"/>
      <c r="E965" s="176"/>
      <c r="F965" s="176"/>
      <c r="G965" s="176"/>
      <c r="H965" s="17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5.75" customHeight="1">
      <c r="A966" s="126"/>
      <c r="B966" s="126"/>
      <c r="C966" s="176"/>
      <c r="D966" s="176"/>
      <c r="E966" s="176"/>
      <c r="F966" s="176"/>
      <c r="G966" s="176"/>
      <c r="H966" s="17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5.75" customHeight="1">
      <c r="A967" s="126"/>
      <c r="B967" s="126"/>
      <c r="C967" s="176"/>
      <c r="D967" s="176"/>
      <c r="E967" s="176"/>
      <c r="F967" s="176"/>
      <c r="G967" s="176"/>
      <c r="H967" s="17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5.75" customHeight="1">
      <c r="A968" s="126"/>
      <c r="B968" s="126"/>
      <c r="C968" s="176"/>
      <c r="D968" s="176"/>
      <c r="E968" s="176"/>
      <c r="F968" s="176"/>
      <c r="G968" s="176"/>
      <c r="H968" s="17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5.75" customHeight="1">
      <c r="A969" s="126"/>
      <c r="B969" s="126"/>
      <c r="C969" s="176"/>
      <c r="D969" s="176"/>
      <c r="E969" s="176"/>
      <c r="F969" s="176"/>
      <c r="G969" s="176"/>
      <c r="H969" s="17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5.75" customHeight="1">
      <c r="A970" s="126"/>
      <c r="B970" s="126"/>
      <c r="C970" s="176"/>
      <c r="D970" s="176"/>
      <c r="E970" s="176"/>
      <c r="F970" s="176"/>
      <c r="G970" s="176"/>
      <c r="H970" s="17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5.75" customHeight="1">
      <c r="A971" s="126"/>
      <c r="B971" s="126"/>
      <c r="C971" s="176"/>
      <c r="D971" s="176"/>
      <c r="E971" s="176"/>
      <c r="F971" s="176"/>
      <c r="G971" s="176"/>
      <c r="H971" s="17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5.75" customHeight="1">
      <c r="A972" s="126"/>
      <c r="B972" s="126"/>
      <c r="C972" s="176"/>
      <c r="D972" s="176"/>
      <c r="E972" s="176"/>
      <c r="F972" s="176"/>
      <c r="G972" s="176"/>
      <c r="H972" s="17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5.75" customHeight="1">
      <c r="A973" s="126"/>
      <c r="B973" s="126"/>
      <c r="C973" s="176"/>
      <c r="D973" s="176"/>
      <c r="E973" s="176"/>
      <c r="F973" s="176"/>
      <c r="G973" s="176"/>
      <c r="H973" s="17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5.75" customHeight="1">
      <c r="A974" s="126"/>
      <c r="B974" s="126"/>
      <c r="C974" s="176"/>
      <c r="D974" s="176"/>
      <c r="E974" s="176"/>
      <c r="F974" s="176"/>
      <c r="G974" s="176"/>
      <c r="H974" s="17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5.75" customHeight="1">
      <c r="A975" s="126"/>
      <c r="B975" s="126"/>
      <c r="C975" s="176"/>
      <c r="D975" s="176"/>
      <c r="E975" s="176"/>
      <c r="F975" s="176"/>
      <c r="G975" s="176"/>
      <c r="H975" s="17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5.75" customHeight="1">
      <c r="A976" s="126"/>
      <c r="B976" s="126"/>
      <c r="C976" s="176"/>
      <c r="D976" s="176"/>
      <c r="E976" s="176"/>
      <c r="F976" s="176"/>
      <c r="G976" s="176"/>
      <c r="H976" s="17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5.75" customHeight="1">
      <c r="A977" s="126"/>
      <c r="B977" s="126"/>
      <c r="C977" s="176"/>
      <c r="D977" s="176"/>
      <c r="E977" s="176"/>
      <c r="F977" s="176"/>
      <c r="G977" s="176"/>
      <c r="H977" s="17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5.75" customHeight="1">
      <c r="A978" s="126"/>
      <c r="B978" s="126"/>
      <c r="C978" s="176"/>
      <c r="D978" s="176"/>
      <c r="E978" s="176"/>
      <c r="F978" s="176"/>
      <c r="G978" s="176"/>
      <c r="H978" s="17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5.75" customHeight="1">
      <c r="A979" s="126"/>
      <c r="B979" s="126"/>
      <c r="C979" s="176"/>
      <c r="D979" s="176"/>
      <c r="E979" s="176"/>
      <c r="F979" s="176"/>
      <c r="G979" s="176"/>
      <c r="H979" s="17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5.75" customHeight="1">
      <c r="A980" s="126"/>
      <c r="B980" s="126"/>
      <c r="C980" s="176"/>
      <c r="D980" s="176"/>
      <c r="E980" s="176"/>
      <c r="F980" s="176"/>
      <c r="G980" s="176"/>
      <c r="H980" s="17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5.75" customHeight="1">
      <c r="A981" s="126"/>
      <c r="B981" s="126"/>
      <c r="C981" s="176"/>
      <c r="D981" s="176"/>
      <c r="E981" s="176"/>
      <c r="F981" s="176"/>
      <c r="G981" s="176"/>
      <c r="H981" s="17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5.75" customHeight="1">
      <c r="A982" s="126"/>
      <c r="B982" s="126"/>
      <c r="C982" s="176"/>
      <c r="D982" s="176"/>
      <c r="E982" s="176"/>
      <c r="F982" s="176"/>
      <c r="G982" s="176"/>
      <c r="H982" s="17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5.75" customHeight="1">
      <c r="A983" s="126"/>
      <c r="B983" s="126"/>
      <c r="C983" s="176"/>
      <c r="D983" s="176"/>
      <c r="E983" s="176"/>
      <c r="F983" s="176"/>
      <c r="G983" s="176"/>
      <c r="H983" s="17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5.75" customHeight="1">
      <c r="A984" s="126"/>
      <c r="B984" s="126"/>
      <c r="C984" s="176"/>
      <c r="D984" s="176"/>
      <c r="E984" s="176"/>
      <c r="F984" s="176"/>
      <c r="G984" s="176"/>
      <c r="H984" s="17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5.75" customHeight="1">
      <c r="A985" s="126"/>
      <c r="B985" s="126"/>
      <c r="C985" s="176"/>
      <c r="D985" s="176"/>
      <c r="E985" s="176"/>
      <c r="F985" s="176"/>
      <c r="G985" s="176"/>
      <c r="H985" s="17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5.75" customHeight="1">
      <c r="A986" s="126"/>
      <c r="B986" s="126"/>
      <c r="C986" s="176"/>
      <c r="D986" s="176"/>
      <c r="E986" s="176"/>
      <c r="F986" s="176"/>
      <c r="G986" s="176"/>
      <c r="H986" s="17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5.75" customHeight="1">
      <c r="A987" s="126"/>
      <c r="B987" s="126"/>
      <c r="C987" s="176"/>
      <c r="D987" s="176"/>
      <c r="E987" s="176"/>
      <c r="F987" s="176"/>
      <c r="G987" s="176"/>
      <c r="H987" s="17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5.75" customHeight="1">
      <c r="A988" s="126"/>
      <c r="B988" s="126"/>
      <c r="C988" s="176"/>
      <c r="D988" s="176"/>
      <c r="E988" s="176"/>
      <c r="F988" s="176"/>
      <c r="G988" s="176"/>
      <c r="H988" s="17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5.75" customHeight="1">
      <c r="A989" s="126"/>
      <c r="B989" s="126"/>
      <c r="C989" s="176"/>
      <c r="D989" s="176"/>
      <c r="E989" s="176"/>
      <c r="F989" s="176"/>
      <c r="G989" s="176"/>
      <c r="H989" s="17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5.75" customHeight="1">
      <c r="A990" s="126"/>
      <c r="B990" s="126"/>
      <c r="C990" s="176"/>
      <c r="D990" s="176"/>
      <c r="E990" s="176"/>
      <c r="F990" s="176"/>
      <c r="G990" s="176"/>
      <c r="H990" s="17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5.75" customHeight="1">
      <c r="A991" s="126"/>
      <c r="B991" s="126"/>
      <c r="C991" s="176"/>
      <c r="D991" s="176"/>
      <c r="E991" s="176"/>
      <c r="F991" s="176"/>
      <c r="G991" s="176"/>
      <c r="H991" s="17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5.75" customHeight="1">
      <c r="A992" s="126"/>
      <c r="B992" s="126"/>
      <c r="C992" s="176"/>
      <c r="D992" s="176"/>
      <c r="E992" s="176"/>
      <c r="F992" s="176"/>
      <c r="G992" s="176"/>
      <c r="H992" s="17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5.75" customHeight="1">
      <c r="A993" s="126"/>
      <c r="B993" s="126"/>
      <c r="C993" s="176"/>
      <c r="D993" s="176"/>
      <c r="E993" s="176"/>
      <c r="F993" s="176"/>
      <c r="G993" s="176"/>
      <c r="H993" s="17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5.75" customHeight="1">
      <c r="A994" s="126"/>
      <c r="B994" s="126"/>
      <c r="C994" s="176"/>
      <c r="D994" s="176"/>
      <c r="E994" s="176"/>
      <c r="F994" s="176"/>
      <c r="G994" s="176"/>
      <c r="H994" s="17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5.75" customHeight="1">
      <c r="A995" s="126"/>
      <c r="B995" s="126"/>
      <c r="C995" s="176"/>
      <c r="D995" s="176"/>
      <c r="E995" s="176"/>
      <c r="F995" s="176"/>
      <c r="G995" s="176"/>
      <c r="H995" s="17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5.75" customHeight="1">
      <c r="A996" s="126"/>
      <c r="B996" s="126"/>
      <c r="C996" s="176"/>
      <c r="D996" s="176"/>
      <c r="E996" s="176"/>
      <c r="F996" s="176"/>
      <c r="G996" s="176"/>
      <c r="H996" s="17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5.75" customHeight="1">
      <c r="A997" s="126"/>
      <c r="B997" s="126"/>
      <c r="C997" s="176"/>
      <c r="D997" s="176"/>
      <c r="E997" s="176"/>
      <c r="F997" s="176"/>
      <c r="G997" s="176"/>
      <c r="H997" s="17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5.75" customHeight="1">
      <c r="A998" s="126"/>
      <c r="B998" s="126"/>
      <c r="C998" s="176"/>
      <c r="D998" s="176"/>
      <c r="E998" s="176"/>
      <c r="F998" s="176"/>
      <c r="G998" s="176"/>
      <c r="H998" s="17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5.75" customHeight="1">
      <c r="A999" s="126"/>
      <c r="B999" s="126"/>
      <c r="C999" s="176"/>
      <c r="D999" s="176"/>
      <c r="E999" s="176"/>
      <c r="F999" s="176"/>
      <c r="G999" s="176"/>
      <c r="H999" s="17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5.75" customHeight="1">
      <c r="A1000" s="126"/>
      <c r="B1000" s="126"/>
      <c r="C1000" s="176"/>
      <c r="D1000" s="176"/>
      <c r="E1000" s="176"/>
      <c r="F1000" s="176"/>
      <c r="G1000" s="176"/>
      <c r="H1000" s="17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sheetData>
  <mergeCells count="21">
    <mergeCell ref="H17:H18"/>
    <mergeCell ref="F18:G18"/>
    <mergeCell ref="H38:H39"/>
    <mergeCell ref="I38:I39"/>
    <mergeCell ref="F39:G39"/>
    <mergeCell ref="B46:B47"/>
    <mergeCell ref="D46:G47"/>
    <mergeCell ref="A1:H1"/>
    <mergeCell ref="A2:H2"/>
    <mergeCell ref="A3:H3"/>
    <mergeCell ref="A4:H4"/>
    <mergeCell ref="A5:B6"/>
    <mergeCell ref="C5:G5"/>
    <mergeCell ref="A14:B14"/>
    <mergeCell ref="A20:B21"/>
    <mergeCell ref="C20:G20"/>
    <mergeCell ref="H20:H21"/>
    <mergeCell ref="A31:B31"/>
    <mergeCell ref="B44:B45"/>
    <mergeCell ref="D44:G45"/>
    <mergeCell ref="H5:H6"/>
  </mergeCells>
  <conditionalFormatting sqref="C27:D27">
    <cfRule type="containsBlanks" dxfId="82" priority="1">
      <formula>LEN(TRIM(C27))=0</formula>
    </cfRule>
  </conditionalFormatting>
  <conditionalFormatting sqref="F27">
    <cfRule type="containsBlanks" dxfId="81" priority="2">
      <formula>LEN(TRIM(F27))=0</formula>
    </cfRule>
  </conditionalFormatting>
  <conditionalFormatting sqref="G27">
    <cfRule type="containsBlanks" dxfId="80" priority="3">
      <formula>LEN(TRIM(G27))=0</formula>
    </cfRule>
  </conditionalFormatting>
  <conditionalFormatting sqref="C24:D24">
    <cfRule type="containsBlanks" dxfId="79" priority="4">
      <formula>LEN(TRIM(C24))=0</formula>
    </cfRule>
  </conditionalFormatting>
  <conditionalFormatting sqref="F24:G24">
    <cfRule type="containsBlanks" dxfId="78" priority="5">
      <formula>LEN(TRIM(F24))=0</formula>
    </cfRule>
  </conditionalFormatting>
  <conditionalFormatting sqref="C32:D32">
    <cfRule type="containsBlanks" dxfId="77" priority="6">
      <formula>LEN(TRIM(C32))=0</formula>
    </cfRule>
  </conditionalFormatting>
  <conditionalFormatting sqref="F32:G32">
    <cfRule type="containsBlanks" dxfId="76" priority="7">
      <formula>LEN(TRIM(F32))=0</formula>
    </cfRule>
  </conditionalFormatting>
  <conditionalFormatting sqref="C33:D33">
    <cfRule type="containsBlanks" dxfId="75" priority="8">
      <formula>LEN(TRIM(C33))=0</formula>
    </cfRule>
  </conditionalFormatting>
  <conditionalFormatting sqref="F33:G33">
    <cfRule type="containsBlanks" dxfId="74" priority="9">
      <formula>LEN(TRIM(F33))=0</formula>
    </cfRule>
  </conditionalFormatting>
  <conditionalFormatting sqref="C30:D30">
    <cfRule type="containsBlanks" dxfId="73" priority="10">
      <formula>LEN(TRIM(C30))=0</formula>
    </cfRule>
  </conditionalFormatting>
  <conditionalFormatting sqref="F30:G30">
    <cfRule type="containsBlanks" dxfId="72" priority="11">
      <formula>LEN(TRIM(F30))=0</formula>
    </cfRule>
  </conditionalFormatting>
  <conditionalFormatting sqref="C35:D35">
    <cfRule type="containsBlanks" dxfId="71" priority="12">
      <formula>LEN(TRIM(C35))=0</formula>
    </cfRule>
  </conditionalFormatting>
  <conditionalFormatting sqref="F35:G35">
    <cfRule type="containsBlanks" dxfId="70" priority="13">
      <formula>LEN(TRIM(F35))=0</formula>
    </cfRule>
  </conditionalFormatting>
  <dataValidations count="1">
    <dataValidation type="decimal" allowBlank="1" showErrorMessage="1" sqref="C23:E23 C24:D24 F24:G24 C25:E26 C27:G27 C28:E28 C29 E29 C30:G30 C32:D32 F32:G32 C33:G33 C34 E34 C35:G35 C37 E37 H37">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&amp;REstado Analítico de Ingresos 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A1:AN1006"/>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4.42578125" defaultRowHeight="15" customHeight="1"/>
  <cols>
    <col min="1" max="1" width="6.5703125" customWidth="1"/>
    <col min="2" max="2" width="24.28515625" customWidth="1"/>
    <col min="3" max="3" width="15.85546875" customWidth="1"/>
    <col min="4" max="7" width="14.85546875" customWidth="1"/>
    <col min="8" max="8" width="11.28515625" customWidth="1"/>
    <col min="9" max="9" width="18.7109375" customWidth="1"/>
    <col min="10" max="11" width="14.85546875" customWidth="1"/>
    <col min="12" max="13" width="17.140625" customWidth="1"/>
    <col min="14" max="15" width="14.85546875" customWidth="1"/>
    <col min="16" max="24" width="18.7109375" customWidth="1"/>
    <col min="25" max="26" width="24.7109375" customWidth="1"/>
    <col min="27" max="35" width="23" customWidth="1"/>
    <col min="36" max="40" width="20.5703125" hidden="1" customWidth="1"/>
  </cols>
  <sheetData>
    <row r="1" spans="1:40" ht="15.75" customHeight="1">
      <c r="A1" s="215" t="e">
        <f>#REF!</f>
        <v>#REF!</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16"/>
    </row>
    <row r="2" spans="1:40" ht="15.75" customHeight="1">
      <c r="A2" s="217" t="s">
        <v>4454</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row>
    <row r="3" spans="1:40" ht="15.75" customHeight="1">
      <c r="A3" s="217" t="e">
        <f>#REF!</f>
        <v>#REF!</v>
      </c>
      <c r="B3" s="216"/>
      <c r="C3" s="216"/>
      <c r="D3" s="216"/>
      <c r="E3" s="216"/>
      <c r="F3" s="216"/>
      <c r="G3" s="216"/>
      <c r="H3" s="216"/>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row>
    <row r="4" spans="1:40" ht="15.75" customHeight="1">
      <c r="A4" s="217" t="s">
        <v>4378</v>
      </c>
      <c r="B4" s="216"/>
      <c r="C4" s="216"/>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row>
    <row r="5" spans="1:40" ht="15.75" customHeight="1">
      <c r="A5" s="808" t="s">
        <v>4455</v>
      </c>
      <c r="B5" s="808" t="s">
        <v>4456</v>
      </c>
      <c r="C5" s="808" t="s">
        <v>3</v>
      </c>
      <c r="D5" s="808" t="s">
        <v>4457</v>
      </c>
      <c r="E5" s="808" t="s">
        <v>1</v>
      </c>
      <c r="F5" s="808" t="s">
        <v>2</v>
      </c>
      <c r="G5" s="808" t="s">
        <v>4458</v>
      </c>
      <c r="H5" s="808" t="s">
        <v>4459</v>
      </c>
      <c r="I5" s="808" t="s">
        <v>4460</v>
      </c>
      <c r="J5" s="808" t="s">
        <v>4461</v>
      </c>
      <c r="K5" s="808" t="s">
        <v>4462</v>
      </c>
      <c r="L5" s="808" t="s">
        <v>4463</v>
      </c>
      <c r="M5" s="808" t="s">
        <v>4464</v>
      </c>
      <c r="N5" s="808" t="s">
        <v>4465</v>
      </c>
      <c r="O5" s="808" t="s">
        <v>4</v>
      </c>
      <c r="P5" s="218" t="s">
        <v>4466</v>
      </c>
      <c r="Q5" s="218" t="s">
        <v>4467</v>
      </c>
      <c r="R5" s="218" t="s">
        <v>4468</v>
      </c>
      <c r="S5" s="218" t="s">
        <v>4469</v>
      </c>
      <c r="T5" s="218" t="s">
        <v>4470</v>
      </c>
      <c r="U5" s="218" t="s">
        <v>4471</v>
      </c>
      <c r="V5" s="218" t="s">
        <v>4472</v>
      </c>
      <c r="W5" s="218" t="s">
        <v>4473</v>
      </c>
      <c r="X5" s="218" t="s">
        <v>4474</v>
      </c>
      <c r="Y5" s="218" t="s">
        <v>4475</v>
      </c>
      <c r="Z5" s="218" t="s">
        <v>4476</v>
      </c>
      <c r="AA5" s="218" t="s">
        <v>4477</v>
      </c>
      <c r="AB5" s="218" t="s">
        <v>4478</v>
      </c>
      <c r="AC5" s="218" t="s">
        <v>4479</v>
      </c>
      <c r="AD5" s="218" t="s">
        <v>4480</v>
      </c>
      <c r="AE5" s="218" t="s">
        <v>4481</v>
      </c>
      <c r="AF5" s="218" t="s">
        <v>4482</v>
      </c>
      <c r="AG5" s="218" t="s">
        <v>4483</v>
      </c>
      <c r="AH5" s="218" t="s">
        <v>4484</v>
      </c>
      <c r="AI5" s="218" t="s">
        <v>4485</v>
      </c>
      <c r="AJ5" s="219"/>
      <c r="AK5" s="219"/>
      <c r="AL5" s="219"/>
      <c r="AM5" s="219"/>
      <c r="AN5" s="219"/>
    </row>
    <row r="6" spans="1:40" ht="15.75" customHeight="1">
      <c r="A6" s="730"/>
      <c r="B6" s="730"/>
      <c r="C6" s="730"/>
      <c r="D6" s="730"/>
      <c r="E6" s="730"/>
      <c r="F6" s="730"/>
      <c r="G6" s="730"/>
      <c r="H6" s="730"/>
      <c r="I6" s="730"/>
      <c r="J6" s="730"/>
      <c r="K6" s="730"/>
      <c r="L6" s="730"/>
      <c r="M6" s="730"/>
      <c r="N6" s="730"/>
      <c r="O6" s="730"/>
      <c r="P6" s="220">
        <f t="shared" ref="P6:X6" si="0">SUM(P7:P1006)</f>
        <v>5713998873.4999971</v>
      </c>
      <c r="Q6" s="220">
        <f t="shared" si="0"/>
        <v>735035301.6700002</v>
      </c>
      <c r="R6" s="220">
        <f t="shared" si="0"/>
        <v>2529242985.3100004</v>
      </c>
      <c r="S6" s="220">
        <f t="shared" si="0"/>
        <v>1478335564.9100001</v>
      </c>
      <c r="T6" s="220">
        <f t="shared" si="0"/>
        <v>595717062.20000005</v>
      </c>
      <c r="U6" s="220">
        <f t="shared" si="0"/>
        <v>931633981.99999988</v>
      </c>
      <c r="V6" s="220">
        <f t="shared" si="0"/>
        <v>0</v>
      </c>
      <c r="W6" s="220">
        <f t="shared" si="0"/>
        <v>0</v>
      </c>
      <c r="X6" s="220">
        <f t="shared" si="0"/>
        <v>558760484.03999996</v>
      </c>
      <c r="Y6" s="218"/>
      <c r="Z6" s="218"/>
      <c r="AA6" s="220">
        <f t="shared" ref="AA6:AI6" si="1">SUM(AA7:AA1006)</f>
        <v>2255249455.5199981</v>
      </c>
      <c r="AB6" s="220">
        <f t="shared" si="1"/>
        <v>124168010.78000002</v>
      </c>
      <c r="AC6" s="220">
        <f t="shared" si="1"/>
        <v>749596990.45000029</v>
      </c>
      <c r="AD6" s="220">
        <f t="shared" si="1"/>
        <v>659923616.42000008</v>
      </c>
      <c r="AE6" s="220">
        <f t="shared" si="1"/>
        <v>86480925.650000006</v>
      </c>
      <c r="AF6" s="220">
        <f t="shared" si="1"/>
        <v>218230294.46999997</v>
      </c>
      <c r="AG6" s="220">
        <f t="shared" si="1"/>
        <v>0</v>
      </c>
      <c r="AH6" s="220">
        <f t="shared" si="1"/>
        <v>0</v>
      </c>
      <c r="AI6" s="220">
        <f t="shared" si="1"/>
        <v>263882522.37</v>
      </c>
      <c r="AJ6" s="219"/>
      <c r="AK6" s="219"/>
      <c r="AL6" s="219"/>
      <c r="AM6" s="219"/>
      <c r="AN6" s="219"/>
    </row>
    <row r="7" spans="1:40" ht="15.75" customHeight="1">
      <c r="A7" s="221">
        <f>IF(B7&gt;0,1,"")</f>
        <v>1</v>
      </c>
      <c r="B7" s="222" t="s">
        <v>4486</v>
      </c>
      <c r="C7" s="222" t="s">
        <v>5</v>
      </c>
      <c r="D7" s="222" t="e">
        <f t="array" ref="D7">IF(F7="","",INDEX(#REF!,MATCH(F7,#REF!,0)))</f>
        <v>#REF!</v>
      </c>
      <c r="E7" s="222" t="e">
        <f t="array" ref="E7">IF(F7="","",INDEX(#REF!,MATCH(F7,#REF!,0)))</f>
        <v>#REF!</v>
      </c>
      <c r="F7" s="222" t="s">
        <v>34</v>
      </c>
      <c r="G7" s="222" t="s">
        <v>0</v>
      </c>
      <c r="H7" s="223" t="s">
        <v>4487</v>
      </c>
      <c r="I7" s="222" t="s">
        <v>4488</v>
      </c>
      <c r="J7" s="222" t="s">
        <v>4488</v>
      </c>
      <c r="K7" s="222" t="s">
        <v>4489</v>
      </c>
      <c r="L7" s="222">
        <v>0.51</v>
      </c>
      <c r="M7" s="222">
        <v>0.51</v>
      </c>
      <c r="N7" s="222" t="s">
        <v>15</v>
      </c>
      <c r="O7" s="222" t="s">
        <v>4490</v>
      </c>
      <c r="P7" s="224"/>
      <c r="Q7" s="224"/>
      <c r="R7" s="224"/>
      <c r="S7" s="224"/>
      <c r="T7" s="224"/>
      <c r="U7" s="224"/>
      <c r="V7" s="224"/>
      <c r="W7" s="224"/>
      <c r="X7" s="224"/>
      <c r="Y7" s="222">
        <v>0.41</v>
      </c>
      <c r="Z7" s="222">
        <v>0.51</v>
      </c>
      <c r="AA7" s="224"/>
      <c r="AB7" s="224"/>
      <c r="AC7" s="224"/>
      <c r="AD7" s="224"/>
      <c r="AE7" s="224"/>
      <c r="AF7" s="224"/>
      <c r="AG7" s="224"/>
      <c r="AH7" s="224"/>
      <c r="AI7" s="224"/>
      <c r="AJ7" s="126"/>
      <c r="AK7" s="126"/>
      <c r="AL7" s="126"/>
      <c r="AM7" s="126"/>
      <c r="AN7" s="126"/>
    </row>
    <row r="8" spans="1:40" ht="15.75" customHeight="1">
      <c r="A8" s="221">
        <f t="shared" ref="A8:A1006" si="2">IF(B8&gt;0,A7+1,"")</f>
        <v>2</v>
      </c>
      <c r="B8" s="222" t="s">
        <v>4486</v>
      </c>
      <c r="C8" s="222" t="s">
        <v>5</v>
      </c>
      <c r="D8" s="222" t="e">
        <f t="array" ref="D8">IF(F8="","",INDEX(#REF!,MATCH(F8,#REF!,0)))</f>
        <v>#REF!</v>
      </c>
      <c r="E8" s="222" t="e">
        <f t="array" ref="E8">IF(F8="","",INDEX(#REF!,MATCH(F8,#REF!,0)))</f>
        <v>#REF!</v>
      </c>
      <c r="F8" s="222" t="s">
        <v>34</v>
      </c>
      <c r="G8" s="222" t="s">
        <v>4491</v>
      </c>
      <c r="H8" s="223" t="s">
        <v>4487</v>
      </c>
      <c r="I8" s="222" t="s">
        <v>4492</v>
      </c>
      <c r="J8" s="222" t="s">
        <v>4493</v>
      </c>
      <c r="K8" s="222" t="s">
        <v>4494</v>
      </c>
      <c r="L8" s="222">
        <v>336622</v>
      </c>
      <c r="M8" s="222">
        <v>336622</v>
      </c>
      <c r="N8" s="222" t="s">
        <v>15</v>
      </c>
      <c r="O8" s="222" t="s">
        <v>9</v>
      </c>
      <c r="P8" s="224"/>
      <c r="Q8" s="224"/>
      <c r="R8" s="224"/>
      <c r="S8" s="224"/>
      <c r="T8" s="224"/>
      <c r="U8" s="224"/>
      <c r="V8" s="224"/>
      <c r="W8" s="224"/>
      <c r="X8" s="224"/>
      <c r="Y8" s="222">
        <v>0</v>
      </c>
      <c r="Z8" s="222">
        <v>336622</v>
      </c>
      <c r="AA8" s="224"/>
      <c r="AB8" s="224"/>
      <c r="AC8" s="224"/>
      <c r="AD8" s="224"/>
      <c r="AE8" s="224"/>
      <c r="AF8" s="224"/>
      <c r="AG8" s="224"/>
      <c r="AH8" s="224"/>
      <c r="AI8" s="224"/>
      <c r="AJ8" s="126"/>
      <c r="AK8" s="126"/>
      <c r="AL8" s="126"/>
      <c r="AM8" s="126"/>
      <c r="AN8" s="126"/>
    </row>
    <row r="9" spans="1:40" ht="15.75" customHeight="1">
      <c r="A9" s="221">
        <f t="shared" si="2"/>
        <v>3</v>
      </c>
      <c r="B9" s="222" t="s">
        <v>4486</v>
      </c>
      <c r="C9" s="222" t="s">
        <v>5</v>
      </c>
      <c r="D9" s="222" t="e">
        <f t="array" ref="D9">IF(F9="","",INDEX(#REF!,MATCH(F9,#REF!,0)))</f>
        <v>#REF!</v>
      </c>
      <c r="E9" s="222" t="e">
        <f t="array" ref="E9">IF(F9="","",INDEX(#REF!,MATCH(F9,#REF!,0)))</f>
        <v>#REF!</v>
      </c>
      <c r="F9" s="222" t="s">
        <v>34</v>
      </c>
      <c r="G9" s="222" t="s">
        <v>4495</v>
      </c>
      <c r="H9" s="223">
        <v>1</v>
      </c>
      <c r="I9" s="222" t="s">
        <v>4496</v>
      </c>
      <c r="J9" s="222" t="s">
        <v>4497</v>
      </c>
      <c r="K9" s="222" t="s">
        <v>4498</v>
      </c>
      <c r="L9" s="222">
        <v>4216</v>
      </c>
      <c r="M9" s="222">
        <v>4216</v>
      </c>
      <c r="N9" s="222" t="s">
        <v>13</v>
      </c>
      <c r="O9" s="222" t="s">
        <v>9</v>
      </c>
      <c r="P9" s="224"/>
      <c r="Q9" s="224"/>
      <c r="R9" s="224"/>
      <c r="S9" s="224"/>
      <c r="T9" s="224"/>
      <c r="U9" s="224"/>
      <c r="V9" s="224"/>
      <c r="W9" s="224"/>
      <c r="X9" s="224"/>
      <c r="Y9" s="222">
        <v>186</v>
      </c>
      <c r="Z9" s="222">
        <v>4216</v>
      </c>
      <c r="AA9" s="224"/>
      <c r="AB9" s="224"/>
      <c r="AC9" s="224"/>
      <c r="AD9" s="224"/>
      <c r="AE9" s="224"/>
      <c r="AF9" s="224"/>
      <c r="AG9" s="224"/>
      <c r="AH9" s="224"/>
      <c r="AI9" s="224"/>
      <c r="AJ9" s="126"/>
      <c r="AK9" s="126"/>
      <c r="AL9" s="126"/>
      <c r="AM9" s="126"/>
      <c r="AN9" s="126"/>
    </row>
    <row r="10" spans="1:40" ht="15.75" customHeight="1">
      <c r="A10" s="221">
        <f t="shared" si="2"/>
        <v>4</v>
      </c>
      <c r="B10" s="222" t="s">
        <v>4486</v>
      </c>
      <c r="C10" s="222" t="s">
        <v>5</v>
      </c>
      <c r="D10" s="222" t="e">
        <f t="array" ref="D10">IF(F10="","",INDEX(#REF!,MATCH(F10,#REF!,0)))</f>
        <v>#REF!</v>
      </c>
      <c r="E10" s="222" t="e">
        <f t="array" ref="E10">IF(F10="","",INDEX(#REF!,MATCH(F10,#REF!,0)))</f>
        <v>#REF!</v>
      </c>
      <c r="F10" s="222" t="s">
        <v>34</v>
      </c>
      <c r="G10" s="222" t="s">
        <v>4499</v>
      </c>
      <c r="H10" s="223">
        <v>1.1000000000000001</v>
      </c>
      <c r="I10" s="222" t="s">
        <v>4500</v>
      </c>
      <c r="J10" s="222" t="s">
        <v>4501</v>
      </c>
      <c r="K10" s="222" t="s">
        <v>4502</v>
      </c>
      <c r="L10" s="222">
        <v>916</v>
      </c>
      <c r="M10" s="222">
        <v>916</v>
      </c>
      <c r="N10" s="222" t="s">
        <v>11</v>
      </c>
      <c r="O10" s="222" t="s">
        <v>9</v>
      </c>
      <c r="P10" s="224"/>
      <c r="Q10" s="224"/>
      <c r="R10" s="224"/>
      <c r="S10" s="224">
        <v>11000000</v>
      </c>
      <c r="T10" s="224"/>
      <c r="U10" s="224"/>
      <c r="V10" s="224"/>
      <c r="W10" s="224"/>
      <c r="X10" s="224"/>
      <c r="Y10" s="222">
        <v>0</v>
      </c>
      <c r="Z10" s="222">
        <v>916</v>
      </c>
      <c r="AA10" s="224"/>
      <c r="AB10" s="224"/>
      <c r="AC10" s="224"/>
      <c r="AD10" s="224">
        <v>0</v>
      </c>
      <c r="AE10" s="224"/>
      <c r="AF10" s="224"/>
      <c r="AG10" s="224"/>
      <c r="AH10" s="224"/>
      <c r="AI10" s="224"/>
      <c r="AJ10" s="126"/>
      <c r="AK10" s="126"/>
      <c r="AL10" s="126"/>
      <c r="AM10" s="126"/>
      <c r="AN10" s="126"/>
    </row>
    <row r="11" spans="1:40" ht="15.75" customHeight="1">
      <c r="A11" s="221">
        <f t="shared" si="2"/>
        <v>5</v>
      </c>
      <c r="B11" s="222" t="s">
        <v>4486</v>
      </c>
      <c r="C11" s="222" t="s">
        <v>5</v>
      </c>
      <c r="D11" s="222" t="e">
        <f t="array" ref="D11">IF(F11="","",INDEX(#REF!,MATCH(F11,#REF!,0)))</f>
        <v>#REF!</v>
      </c>
      <c r="E11" s="222" t="e">
        <f t="array" ref="E11">IF(F11="","",INDEX(#REF!,MATCH(F11,#REF!,0)))</f>
        <v>#REF!</v>
      </c>
      <c r="F11" s="222" t="s">
        <v>34</v>
      </c>
      <c r="G11" s="222" t="s">
        <v>4499</v>
      </c>
      <c r="H11" s="223">
        <v>1.2</v>
      </c>
      <c r="I11" s="222" t="s">
        <v>4503</v>
      </c>
      <c r="J11" s="222" t="s">
        <v>4504</v>
      </c>
      <c r="K11" s="222" t="s">
        <v>4505</v>
      </c>
      <c r="L11" s="222">
        <v>26</v>
      </c>
      <c r="M11" s="222">
        <v>26</v>
      </c>
      <c r="N11" s="222" t="s">
        <v>11</v>
      </c>
      <c r="O11" s="222" t="s">
        <v>9</v>
      </c>
      <c r="P11" s="224">
        <v>986146.79</v>
      </c>
      <c r="Q11" s="224"/>
      <c r="R11" s="224"/>
      <c r="S11" s="224">
        <v>9000000</v>
      </c>
      <c r="T11" s="224"/>
      <c r="U11" s="224"/>
      <c r="V11" s="224"/>
      <c r="W11" s="224"/>
      <c r="X11" s="224"/>
      <c r="Y11" s="222">
        <v>0</v>
      </c>
      <c r="Z11" s="222">
        <v>26</v>
      </c>
      <c r="AA11" s="224">
        <v>115002.22999999998</v>
      </c>
      <c r="AB11" s="224"/>
      <c r="AC11" s="224"/>
      <c r="AD11" s="224">
        <v>0</v>
      </c>
      <c r="AE11" s="224"/>
      <c r="AF11" s="224"/>
      <c r="AG11" s="224"/>
      <c r="AH11" s="224"/>
      <c r="AI11" s="224"/>
      <c r="AJ11" s="126"/>
      <c r="AK11" s="126"/>
      <c r="AL11" s="126"/>
      <c r="AM11" s="126"/>
      <c r="AN11" s="126"/>
    </row>
    <row r="12" spans="1:40" ht="15.75" customHeight="1">
      <c r="A12" s="221">
        <f t="shared" si="2"/>
        <v>6</v>
      </c>
      <c r="B12" s="222" t="s">
        <v>4486</v>
      </c>
      <c r="C12" s="222" t="s">
        <v>5</v>
      </c>
      <c r="D12" s="222" t="e">
        <f t="array" ref="D12">IF(F12="","",INDEX(#REF!,MATCH(F12,#REF!,0)))</f>
        <v>#REF!</v>
      </c>
      <c r="E12" s="222" t="e">
        <f t="array" ref="E12">IF(F12="","",INDEX(#REF!,MATCH(F12,#REF!,0)))</f>
        <v>#REF!</v>
      </c>
      <c r="F12" s="222" t="s">
        <v>34</v>
      </c>
      <c r="G12" s="222" t="s">
        <v>4499</v>
      </c>
      <c r="H12" s="223">
        <v>1.3</v>
      </c>
      <c r="I12" s="222" t="s">
        <v>4506</v>
      </c>
      <c r="J12" s="222" t="s">
        <v>4507</v>
      </c>
      <c r="K12" s="222" t="s">
        <v>4508</v>
      </c>
      <c r="L12" s="222">
        <v>187</v>
      </c>
      <c r="M12" s="222">
        <v>187</v>
      </c>
      <c r="N12" s="222" t="s">
        <v>11</v>
      </c>
      <c r="O12" s="222" t="s">
        <v>9</v>
      </c>
      <c r="P12" s="224">
        <v>11455772.09</v>
      </c>
      <c r="Q12" s="224"/>
      <c r="R12" s="224">
        <v>50008.44</v>
      </c>
      <c r="S12" s="224">
        <v>42926711.940000005</v>
      </c>
      <c r="T12" s="224"/>
      <c r="U12" s="224"/>
      <c r="V12" s="224"/>
      <c r="W12" s="224"/>
      <c r="X12" s="224"/>
      <c r="Y12" s="222">
        <v>186</v>
      </c>
      <c r="Z12" s="222">
        <v>187</v>
      </c>
      <c r="AA12" s="224">
        <v>163943.97</v>
      </c>
      <c r="AB12" s="224"/>
      <c r="AC12" s="224">
        <v>0</v>
      </c>
      <c r="AD12" s="224">
        <v>8190000</v>
      </c>
      <c r="AE12" s="224"/>
      <c r="AF12" s="224"/>
      <c r="AG12" s="224"/>
      <c r="AH12" s="224"/>
      <c r="AI12" s="224"/>
      <c r="AJ12" s="126"/>
      <c r="AK12" s="126"/>
      <c r="AL12" s="126"/>
      <c r="AM12" s="126"/>
      <c r="AN12" s="126"/>
    </row>
    <row r="13" spans="1:40" ht="15.75" customHeight="1">
      <c r="A13" s="221">
        <f t="shared" si="2"/>
        <v>7</v>
      </c>
      <c r="B13" s="222" t="s">
        <v>4486</v>
      </c>
      <c r="C13" s="222" t="s">
        <v>5</v>
      </c>
      <c r="D13" s="222" t="e">
        <f t="array" ref="D13">IF(F13="","",INDEX(#REF!,MATCH(F13,#REF!,0)))</f>
        <v>#REF!</v>
      </c>
      <c r="E13" s="222" t="e">
        <f t="array" ref="E13">IF(F13="","",INDEX(#REF!,MATCH(F13,#REF!,0)))</f>
        <v>#REF!</v>
      </c>
      <c r="F13" s="222" t="s">
        <v>34</v>
      </c>
      <c r="G13" s="222" t="s">
        <v>4499</v>
      </c>
      <c r="H13" s="223">
        <v>1.4</v>
      </c>
      <c r="I13" s="222" t="s">
        <v>4509</v>
      </c>
      <c r="J13" s="222" t="s">
        <v>4510</v>
      </c>
      <c r="K13" s="222" t="s">
        <v>4511</v>
      </c>
      <c r="L13" s="222">
        <v>100</v>
      </c>
      <c r="M13" s="222">
        <v>100</v>
      </c>
      <c r="N13" s="222" t="s">
        <v>11</v>
      </c>
      <c r="O13" s="222" t="s">
        <v>9</v>
      </c>
      <c r="P13" s="224"/>
      <c r="Q13" s="224"/>
      <c r="R13" s="224"/>
      <c r="S13" s="224">
        <v>5672486</v>
      </c>
      <c r="T13" s="224"/>
      <c r="U13" s="224"/>
      <c r="V13" s="224"/>
      <c r="W13" s="224"/>
      <c r="X13" s="224"/>
      <c r="Y13" s="222">
        <v>0</v>
      </c>
      <c r="Z13" s="222">
        <v>100</v>
      </c>
      <c r="AA13" s="224"/>
      <c r="AB13" s="224"/>
      <c r="AC13" s="224"/>
      <c r="AD13" s="224">
        <v>0</v>
      </c>
      <c r="AE13" s="224"/>
      <c r="AF13" s="224"/>
      <c r="AG13" s="224"/>
      <c r="AH13" s="224"/>
      <c r="AI13" s="224"/>
      <c r="AJ13" s="126"/>
      <c r="AK13" s="126"/>
      <c r="AL13" s="126"/>
      <c r="AM13" s="126"/>
      <c r="AN13" s="126"/>
    </row>
    <row r="14" spans="1:40" ht="15.75" customHeight="1">
      <c r="A14" s="221">
        <f t="shared" si="2"/>
        <v>8</v>
      </c>
      <c r="B14" s="222" t="s">
        <v>4486</v>
      </c>
      <c r="C14" s="222" t="s">
        <v>5</v>
      </c>
      <c r="D14" s="222" t="e">
        <f t="array" ref="D14">IF(F14="","",INDEX(#REF!,MATCH(F14,#REF!,0)))</f>
        <v>#REF!</v>
      </c>
      <c r="E14" s="222" t="e">
        <f t="array" ref="E14">IF(F14="","",INDEX(#REF!,MATCH(F14,#REF!,0)))</f>
        <v>#REF!</v>
      </c>
      <c r="F14" s="222" t="s">
        <v>34</v>
      </c>
      <c r="G14" s="222" t="s">
        <v>4499</v>
      </c>
      <c r="H14" s="223">
        <v>1.5</v>
      </c>
      <c r="I14" s="222" t="s">
        <v>4512</v>
      </c>
      <c r="J14" s="222" t="s">
        <v>4513</v>
      </c>
      <c r="K14" s="222" t="s">
        <v>4514</v>
      </c>
      <c r="L14" s="222">
        <v>160</v>
      </c>
      <c r="M14" s="222">
        <v>160</v>
      </c>
      <c r="N14" s="222" t="s">
        <v>11</v>
      </c>
      <c r="O14" s="222" t="s">
        <v>9</v>
      </c>
      <c r="P14" s="224"/>
      <c r="Q14" s="224"/>
      <c r="R14" s="224"/>
      <c r="S14" s="224"/>
      <c r="T14" s="224"/>
      <c r="U14" s="224"/>
      <c r="V14" s="224"/>
      <c r="W14" s="224"/>
      <c r="X14" s="224"/>
      <c r="Y14" s="222">
        <v>0</v>
      </c>
      <c r="Z14" s="222">
        <v>160</v>
      </c>
      <c r="AA14" s="224"/>
      <c r="AB14" s="224"/>
      <c r="AC14" s="224"/>
      <c r="AD14" s="224"/>
      <c r="AE14" s="224"/>
      <c r="AF14" s="224"/>
      <c r="AG14" s="224"/>
      <c r="AH14" s="224"/>
      <c r="AI14" s="224"/>
      <c r="AJ14" s="126"/>
      <c r="AK14" s="126"/>
      <c r="AL14" s="126"/>
      <c r="AM14" s="126"/>
      <c r="AN14" s="126"/>
    </row>
    <row r="15" spans="1:40" ht="15.75" customHeight="1">
      <c r="A15" s="221">
        <f t="shared" si="2"/>
        <v>9</v>
      </c>
      <c r="B15" s="222" t="s">
        <v>4486</v>
      </c>
      <c r="C15" s="222" t="s">
        <v>5</v>
      </c>
      <c r="D15" s="222" t="e">
        <f t="array" ref="D15">IF(F15="","",INDEX(#REF!,MATCH(F15,#REF!,0)))</f>
        <v>#REF!</v>
      </c>
      <c r="E15" s="222" t="e">
        <f t="array" ref="E15">IF(F15="","",INDEX(#REF!,MATCH(F15,#REF!,0)))</f>
        <v>#REF!</v>
      </c>
      <c r="F15" s="222" t="s">
        <v>34</v>
      </c>
      <c r="G15" s="222" t="s">
        <v>4495</v>
      </c>
      <c r="H15" s="223">
        <v>2</v>
      </c>
      <c r="I15" s="222" t="s">
        <v>4515</v>
      </c>
      <c r="J15" s="222" t="s">
        <v>4516</v>
      </c>
      <c r="K15" s="222" t="s">
        <v>4517</v>
      </c>
      <c r="L15" s="222">
        <v>1420</v>
      </c>
      <c r="M15" s="222">
        <v>1420</v>
      </c>
      <c r="N15" s="222" t="s">
        <v>13</v>
      </c>
      <c r="O15" s="222" t="s">
        <v>9</v>
      </c>
      <c r="P15" s="224"/>
      <c r="Q15" s="224"/>
      <c r="R15" s="224"/>
      <c r="S15" s="224"/>
      <c r="T15" s="224"/>
      <c r="U15" s="224"/>
      <c r="V15" s="224"/>
      <c r="W15" s="224"/>
      <c r="X15" s="224"/>
      <c r="Y15" s="222">
        <v>0</v>
      </c>
      <c r="Z15" s="222">
        <v>1420</v>
      </c>
      <c r="AA15" s="224"/>
      <c r="AB15" s="224"/>
      <c r="AC15" s="224"/>
      <c r="AD15" s="224"/>
      <c r="AE15" s="224"/>
      <c r="AF15" s="224"/>
      <c r="AG15" s="224"/>
      <c r="AH15" s="224"/>
      <c r="AI15" s="224"/>
      <c r="AJ15" s="126"/>
      <c r="AK15" s="126"/>
      <c r="AL15" s="126"/>
      <c r="AM15" s="126"/>
      <c r="AN15" s="126"/>
    </row>
    <row r="16" spans="1:40" ht="15.75" customHeight="1">
      <c r="A16" s="221">
        <f t="shared" si="2"/>
        <v>10</v>
      </c>
      <c r="B16" s="222" t="s">
        <v>4486</v>
      </c>
      <c r="C16" s="222" t="s">
        <v>5</v>
      </c>
      <c r="D16" s="222" t="e">
        <f t="array" ref="D16">IF(F16="","",INDEX(#REF!,MATCH(F16,#REF!,0)))</f>
        <v>#REF!</v>
      </c>
      <c r="E16" s="222" t="e">
        <f t="array" ref="E16">IF(F16="","",INDEX(#REF!,MATCH(F16,#REF!,0)))</f>
        <v>#REF!</v>
      </c>
      <c r="F16" s="222" t="s">
        <v>34</v>
      </c>
      <c r="G16" s="222" t="s">
        <v>4499</v>
      </c>
      <c r="H16" s="223">
        <v>2.1</v>
      </c>
      <c r="I16" s="222" t="s">
        <v>4518</v>
      </c>
      <c r="J16" s="222" t="s">
        <v>4519</v>
      </c>
      <c r="K16" s="222" t="s">
        <v>4520</v>
      </c>
      <c r="L16" s="222">
        <v>700</v>
      </c>
      <c r="M16" s="222">
        <v>700</v>
      </c>
      <c r="N16" s="222" t="s">
        <v>11</v>
      </c>
      <c r="O16" s="222" t="s">
        <v>9</v>
      </c>
      <c r="P16" s="224">
        <v>3218599.1000000006</v>
      </c>
      <c r="Q16" s="224"/>
      <c r="R16" s="224"/>
      <c r="S16" s="224">
        <v>2500000</v>
      </c>
      <c r="T16" s="224"/>
      <c r="U16" s="224"/>
      <c r="V16" s="224"/>
      <c r="W16" s="224"/>
      <c r="X16" s="224"/>
      <c r="Y16" s="222">
        <v>0</v>
      </c>
      <c r="Z16" s="222">
        <v>700</v>
      </c>
      <c r="AA16" s="224">
        <v>359155.96999999991</v>
      </c>
      <c r="AB16" s="224"/>
      <c r="AC16" s="224"/>
      <c r="AD16" s="224">
        <v>0</v>
      </c>
      <c r="AE16" s="224"/>
      <c r="AF16" s="224"/>
      <c r="AG16" s="224"/>
      <c r="AH16" s="224"/>
      <c r="AI16" s="224"/>
      <c r="AJ16" s="126"/>
      <c r="AK16" s="126"/>
      <c r="AL16" s="126"/>
      <c r="AM16" s="126"/>
      <c r="AN16" s="126"/>
    </row>
    <row r="17" spans="1:40" ht="15.75" customHeight="1">
      <c r="A17" s="221">
        <f t="shared" si="2"/>
        <v>11</v>
      </c>
      <c r="B17" s="222" t="s">
        <v>4486</v>
      </c>
      <c r="C17" s="222" t="s">
        <v>5</v>
      </c>
      <c r="D17" s="222" t="e">
        <f t="array" ref="D17">IF(F17="","",INDEX(#REF!,MATCH(F17,#REF!,0)))</f>
        <v>#REF!</v>
      </c>
      <c r="E17" s="222" t="e">
        <f t="array" ref="E17">IF(F17="","",INDEX(#REF!,MATCH(F17,#REF!,0)))</f>
        <v>#REF!</v>
      </c>
      <c r="F17" s="222" t="s">
        <v>34</v>
      </c>
      <c r="G17" s="222" t="s">
        <v>4499</v>
      </c>
      <c r="H17" s="223">
        <v>2.2000000000000002</v>
      </c>
      <c r="I17" s="222" t="s">
        <v>4521</v>
      </c>
      <c r="J17" s="222" t="s">
        <v>4522</v>
      </c>
      <c r="K17" s="222" t="s">
        <v>4523</v>
      </c>
      <c r="L17" s="222">
        <v>720</v>
      </c>
      <c r="M17" s="222">
        <v>720</v>
      </c>
      <c r="N17" s="222" t="s">
        <v>11</v>
      </c>
      <c r="O17" s="222" t="s">
        <v>9</v>
      </c>
      <c r="P17" s="224"/>
      <c r="Q17" s="224"/>
      <c r="R17" s="224"/>
      <c r="S17" s="224">
        <v>3800000</v>
      </c>
      <c r="T17" s="224"/>
      <c r="U17" s="224"/>
      <c r="V17" s="224"/>
      <c r="W17" s="224"/>
      <c r="X17" s="224"/>
      <c r="Y17" s="222">
        <v>0</v>
      </c>
      <c r="Z17" s="222">
        <v>720</v>
      </c>
      <c r="AA17" s="224"/>
      <c r="AB17" s="224"/>
      <c r="AC17" s="224"/>
      <c r="AD17" s="224">
        <v>0</v>
      </c>
      <c r="AE17" s="224"/>
      <c r="AF17" s="224"/>
      <c r="AG17" s="224"/>
      <c r="AH17" s="224"/>
      <c r="AI17" s="224"/>
      <c r="AJ17" s="126"/>
      <c r="AK17" s="126"/>
      <c r="AL17" s="126"/>
      <c r="AM17" s="126"/>
      <c r="AN17" s="126"/>
    </row>
    <row r="18" spans="1:40" ht="15.75" customHeight="1">
      <c r="A18" s="221">
        <f t="shared" si="2"/>
        <v>12</v>
      </c>
      <c r="B18" s="222" t="s">
        <v>4486</v>
      </c>
      <c r="C18" s="222" t="s">
        <v>5</v>
      </c>
      <c r="D18" s="222" t="e">
        <f t="array" ref="D18">IF(F18="","",INDEX(#REF!,MATCH(F18,#REF!,0)))</f>
        <v>#REF!</v>
      </c>
      <c r="E18" s="222" t="e">
        <f t="array" ref="E18">IF(F18="","",INDEX(#REF!,MATCH(F18,#REF!,0)))</f>
        <v>#REF!</v>
      </c>
      <c r="F18" s="222" t="s">
        <v>34</v>
      </c>
      <c r="G18" s="222" t="s">
        <v>4495</v>
      </c>
      <c r="H18" s="223">
        <v>3</v>
      </c>
      <c r="I18" s="222" t="s">
        <v>4524</v>
      </c>
      <c r="J18" s="222" t="s">
        <v>4525</v>
      </c>
      <c r="K18" s="222" t="s">
        <v>4526</v>
      </c>
      <c r="L18" s="222">
        <v>6900</v>
      </c>
      <c r="M18" s="222">
        <v>6900</v>
      </c>
      <c r="N18" s="222" t="s">
        <v>13</v>
      </c>
      <c r="O18" s="222" t="s">
        <v>9</v>
      </c>
      <c r="P18" s="224"/>
      <c r="Q18" s="224"/>
      <c r="R18" s="224"/>
      <c r="S18" s="224">
        <v>0</v>
      </c>
      <c r="T18" s="224"/>
      <c r="U18" s="224"/>
      <c r="V18" s="224"/>
      <c r="W18" s="224"/>
      <c r="X18" s="224"/>
      <c r="Y18" s="222">
        <v>1308</v>
      </c>
      <c r="Z18" s="222">
        <v>6900</v>
      </c>
      <c r="AA18" s="224"/>
      <c r="AB18" s="224"/>
      <c r="AC18" s="224"/>
      <c r="AD18" s="224"/>
      <c r="AE18" s="224"/>
      <c r="AF18" s="224"/>
      <c r="AG18" s="224"/>
      <c r="AH18" s="224"/>
      <c r="AI18" s="224"/>
      <c r="AJ18" s="126"/>
      <c r="AK18" s="126"/>
      <c r="AL18" s="126"/>
      <c r="AM18" s="126"/>
      <c r="AN18" s="126"/>
    </row>
    <row r="19" spans="1:40" ht="15.75" customHeight="1">
      <c r="A19" s="221">
        <f t="shared" si="2"/>
        <v>13</v>
      </c>
      <c r="B19" s="222" t="s">
        <v>4486</v>
      </c>
      <c r="C19" s="222" t="s">
        <v>5</v>
      </c>
      <c r="D19" s="222" t="e">
        <f t="array" ref="D19">IF(F19="","",INDEX(#REF!,MATCH(F19,#REF!,0)))</f>
        <v>#REF!</v>
      </c>
      <c r="E19" s="222" t="e">
        <f t="array" ref="E19">IF(F19="","",INDEX(#REF!,MATCH(F19,#REF!,0)))</f>
        <v>#REF!</v>
      </c>
      <c r="F19" s="222" t="s">
        <v>34</v>
      </c>
      <c r="G19" s="222" t="s">
        <v>4499</v>
      </c>
      <c r="H19" s="223">
        <v>3.1</v>
      </c>
      <c r="I19" s="222" t="s">
        <v>4527</v>
      </c>
      <c r="J19" s="222" t="s">
        <v>4528</v>
      </c>
      <c r="K19" s="222" t="s">
        <v>4529</v>
      </c>
      <c r="L19" s="222">
        <v>19</v>
      </c>
      <c r="M19" s="222">
        <v>19</v>
      </c>
      <c r="N19" s="222" t="s">
        <v>11</v>
      </c>
      <c r="O19" s="222" t="s">
        <v>9</v>
      </c>
      <c r="P19" s="224">
        <v>778978.40999999992</v>
      </c>
      <c r="Q19" s="224"/>
      <c r="R19" s="224"/>
      <c r="S19" s="224">
        <v>0</v>
      </c>
      <c r="T19" s="224"/>
      <c r="U19" s="224"/>
      <c r="V19" s="224"/>
      <c r="W19" s="224"/>
      <c r="X19" s="224"/>
      <c r="Y19" s="222">
        <v>6</v>
      </c>
      <c r="Z19" s="222">
        <v>19</v>
      </c>
      <c r="AA19" s="224">
        <v>337967.23000000004</v>
      </c>
      <c r="AB19" s="224"/>
      <c r="AC19" s="224"/>
      <c r="AD19" s="224">
        <v>0</v>
      </c>
      <c r="AE19" s="224"/>
      <c r="AF19" s="224"/>
      <c r="AG19" s="224"/>
      <c r="AH19" s="224"/>
      <c r="AI19" s="224"/>
      <c r="AJ19" s="126"/>
      <c r="AK19" s="126"/>
      <c r="AL19" s="126"/>
      <c r="AM19" s="126"/>
      <c r="AN19" s="126"/>
    </row>
    <row r="20" spans="1:40" ht="15.75" customHeight="1">
      <c r="A20" s="221">
        <f t="shared" si="2"/>
        <v>14</v>
      </c>
      <c r="B20" s="222" t="s">
        <v>4486</v>
      </c>
      <c r="C20" s="222" t="s">
        <v>5</v>
      </c>
      <c r="D20" s="222" t="e">
        <f t="array" ref="D20">IF(F20="","",INDEX(#REF!,MATCH(F20,#REF!,0)))</f>
        <v>#REF!</v>
      </c>
      <c r="E20" s="222" t="e">
        <f t="array" ref="E20">IF(F20="","",INDEX(#REF!,MATCH(F20,#REF!,0)))</f>
        <v>#REF!</v>
      </c>
      <c r="F20" s="222" t="s">
        <v>34</v>
      </c>
      <c r="G20" s="222" t="s">
        <v>4499</v>
      </c>
      <c r="H20" s="223">
        <v>3.2</v>
      </c>
      <c r="I20" s="222" t="s">
        <v>4530</v>
      </c>
      <c r="J20" s="222" t="s">
        <v>4531</v>
      </c>
      <c r="K20" s="222" t="s">
        <v>4532</v>
      </c>
      <c r="L20" s="222">
        <v>73</v>
      </c>
      <c r="M20" s="222">
        <v>73</v>
      </c>
      <c r="N20" s="222" t="s">
        <v>11</v>
      </c>
      <c r="O20" s="222" t="s">
        <v>9</v>
      </c>
      <c r="P20" s="224">
        <v>861913.40999999992</v>
      </c>
      <c r="Q20" s="224"/>
      <c r="R20" s="224">
        <v>0</v>
      </c>
      <c r="S20" s="224">
        <v>859168</v>
      </c>
      <c r="T20" s="224"/>
      <c r="U20" s="224"/>
      <c r="V20" s="224"/>
      <c r="W20" s="224"/>
      <c r="X20" s="224"/>
      <c r="Y20" s="222">
        <v>27</v>
      </c>
      <c r="Z20" s="222">
        <v>73</v>
      </c>
      <c r="AA20" s="224">
        <v>476939.81</v>
      </c>
      <c r="AB20" s="224"/>
      <c r="AC20" s="224">
        <v>0</v>
      </c>
      <c r="AD20" s="224">
        <v>0</v>
      </c>
      <c r="AE20" s="224"/>
      <c r="AF20" s="224"/>
      <c r="AG20" s="224"/>
      <c r="AH20" s="224"/>
      <c r="AI20" s="224"/>
      <c r="AJ20" s="126"/>
      <c r="AK20" s="126"/>
      <c r="AL20" s="126"/>
      <c r="AM20" s="126"/>
      <c r="AN20" s="126"/>
    </row>
    <row r="21" spans="1:40" ht="15.75" customHeight="1">
      <c r="A21" s="221">
        <f t="shared" si="2"/>
        <v>15</v>
      </c>
      <c r="B21" s="222" t="s">
        <v>4486</v>
      </c>
      <c r="C21" s="222" t="s">
        <v>5</v>
      </c>
      <c r="D21" s="222" t="e">
        <f t="array" ref="D21">IF(F21="","",INDEX(#REF!,MATCH(F21,#REF!,0)))</f>
        <v>#REF!</v>
      </c>
      <c r="E21" s="222" t="e">
        <f t="array" ref="E21">IF(F21="","",INDEX(#REF!,MATCH(F21,#REF!,0)))</f>
        <v>#REF!</v>
      </c>
      <c r="F21" s="222" t="s">
        <v>34</v>
      </c>
      <c r="G21" s="222" t="s">
        <v>4499</v>
      </c>
      <c r="H21" s="223">
        <v>3.3</v>
      </c>
      <c r="I21" s="222" t="s">
        <v>4533</v>
      </c>
      <c r="J21" s="222" t="s">
        <v>4534</v>
      </c>
      <c r="K21" s="222" t="s">
        <v>4535</v>
      </c>
      <c r="L21" s="222">
        <v>0</v>
      </c>
      <c r="M21" s="222">
        <v>0</v>
      </c>
      <c r="N21" s="222" t="s">
        <v>11</v>
      </c>
      <c r="O21" s="222" t="s">
        <v>9</v>
      </c>
      <c r="P21" s="224"/>
      <c r="Q21" s="224">
        <v>0</v>
      </c>
      <c r="R21" s="224"/>
      <c r="S21" s="224"/>
      <c r="T21" s="224"/>
      <c r="U21" s="224"/>
      <c r="V21" s="224"/>
      <c r="W21" s="224"/>
      <c r="X21" s="224"/>
      <c r="Y21" s="222">
        <v>0</v>
      </c>
      <c r="Z21" s="222">
        <v>0</v>
      </c>
      <c r="AA21" s="224"/>
      <c r="AB21" s="224">
        <v>0</v>
      </c>
      <c r="AC21" s="224"/>
      <c r="AD21" s="224"/>
      <c r="AE21" s="224"/>
      <c r="AF21" s="224"/>
      <c r="AG21" s="224"/>
      <c r="AH21" s="224"/>
      <c r="AI21" s="224"/>
      <c r="AJ21" s="126"/>
      <c r="AK21" s="126"/>
      <c r="AL21" s="126"/>
      <c r="AM21" s="126"/>
      <c r="AN21" s="126"/>
    </row>
    <row r="22" spans="1:40" ht="15.75" customHeight="1">
      <c r="A22" s="221">
        <f t="shared" si="2"/>
        <v>16</v>
      </c>
      <c r="B22" s="222" t="s">
        <v>4486</v>
      </c>
      <c r="C22" s="222" t="s">
        <v>5</v>
      </c>
      <c r="D22" s="222" t="e">
        <f t="array" ref="D22">IF(F22="","",INDEX(#REF!,MATCH(F22,#REF!,0)))</f>
        <v>#REF!</v>
      </c>
      <c r="E22" s="222" t="e">
        <f t="array" ref="E22">IF(F22="","",INDEX(#REF!,MATCH(F22,#REF!,0)))</f>
        <v>#REF!</v>
      </c>
      <c r="F22" s="222" t="s">
        <v>34</v>
      </c>
      <c r="G22" s="222" t="s">
        <v>4495</v>
      </c>
      <c r="H22" s="223">
        <v>4</v>
      </c>
      <c r="I22" s="222" t="s">
        <v>4536</v>
      </c>
      <c r="J22" s="222" t="s">
        <v>4537</v>
      </c>
      <c r="K22" s="222" t="s">
        <v>4538</v>
      </c>
      <c r="L22" s="222">
        <v>1656</v>
      </c>
      <c r="M22" s="222">
        <v>1656</v>
      </c>
      <c r="N22" s="222" t="s">
        <v>13</v>
      </c>
      <c r="O22" s="222" t="s">
        <v>9</v>
      </c>
      <c r="P22" s="224"/>
      <c r="Q22" s="224"/>
      <c r="R22" s="224"/>
      <c r="S22" s="224"/>
      <c r="T22" s="224"/>
      <c r="U22" s="224"/>
      <c r="V22" s="224"/>
      <c r="W22" s="224"/>
      <c r="X22" s="224"/>
      <c r="Y22" s="222">
        <v>727</v>
      </c>
      <c r="Z22" s="222">
        <v>1656</v>
      </c>
      <c r="AA22" s="224"/>
      <c r="AB22" s="224"/>
      <c r="AC22" s="224"/>
      <c r="AD22" s="224"/>
      <c r="AE22" s="224"/>
      <c r="AF22" s="224"/>
      <c r="AG22" s="224"/>
      <c r="AH22" s="224"/>
      <c r="AI22" s="224"/>
      <c r="AJ22" s="126"/>
      <c r="AK22" s="126"/>
      <c r="AL22" s="126"/>
      <c r="AM22" s="126"/>
      <c r="AN22" s="126"/>
    </row>
    <row r="23" spans="1:40" ht="15.75" customHeight="1">
      <c r="A23" s="221">
        <f t="shared" si="2"/>
        <v>17</v>
      </c>
      <c r="B23" s="222" t="s">
        <v>4486</v>
      </c>
      <c r="C23" s="222" t="s">
        <v>5</v>
      </c>
      <c r="D23" s="222" t="e">
        <f t="array" ref="D23">IF(F23="","",INDEX(#REF!,MATCH(F23,#REF!,0)))</f>
        <v>#REF!</v>
      </c>
      <c r="E23" s="222" t="e">
        <f t="array" ref="E23">IF(F23="","",INDEX(#REF!,MATCH(F23,#REF!,0)))</f>
        <v>#REF!</v>
      </c>
      <c r="F23" s="222" t="s">
        <v>34</v>
      </c>
      <c r="G23" s="222" t="s">
        <v>4499</v>
      </c>
      <c r="H23" s="223">
        <v>4.0999999999999996</v>
      </c>
      <c r="I23" s="222" t="s">
        <v>4539</v>
      </c>
      <c r="J23" s="222" t="s">
        <v>4540</v>
      </c>
      <c r="K23" s="222" t="s">
        <v>4541</v>
      </c>
      <c r="L23" s="222">
        <v>1600</v>
      </c>
      <c r="M23" s="222">
        <v>1600</v>
      </c>
      <c r="N23" s="222" t="s">
        <v>11</v>
      </c>
      <c r="O23" s="222" t="s">
        <v>9</v>
      </c>
      <c r="P23" s="224"/>
      <c r="Q23" s="224"/>
      <c r="R23" s="224"/>
      <c r="S23" s="224">
        <v>22000000</v>
      </c>
      <c r="T23" s="224"/>
      <c r="U23" s="224"/>
      <c r="V23" s="224"/>
      <c r="W23" s="224"/>
      <c r="X23" s="224"/>
      <c r="Y23" s="222">
        <v>675</v>
      </c>
      <c r="Z23" s="222">
        <v>1600</v>
      </c>
      <c r="AA23" s="224"/>
      <c r="AB23" s="224"/>
      <c r="AC23" s="224"/>
      <c r="AD23" s="224">
        <v>11800000</v>
      </c>
      <c r="AE23" s="224"/>
      <c r="AF23" s="224"/>
      <c r="AG23" s="224"/>
      <c r="AH23" s="224"/>
      <c r="AI23" s="224"/>
      <c r="AJ23" s="126"/>
      <c r="AK23" s="126"/>
      <c r="AL23" s="126"/>
      <c r="AM23" s="126"/>
      <c r="AN23" s="126"/>
    </row>
    <row r="24" spans="1:40" ht="15.75" customHeight="1">
      <c r="A24" s="221">
        <f t="shared" si="2"/>
        <v>18</v>
      </c>
      <c r="B24" s="222" t="s">
        <v>4486</v>
      </c>
      <c r="C24" s="222" t="s">
        <v>5</v>
      </c>
      <c r="D24" s="222" t="e">
        <f t="array" ref="D24">IF(F24="","",INDEX(#REF!,MATCH(F24,#REF!,0)))</f>
        <v>#REF!</v>
      </c>
      <c r="E24" s="222" t="e">
        <f t="array" ref="E24">IF(F24="","",INDEX(#REF!,MATCH(F24,#REF!,0)))</f>
        <v>#REF!</v>
      </c>
      <c r="F24" s="222" t="s">
        <v>34</v>
      </c>
      <c r="G24" s="222" t="s">
        <v>4499</v>
      </c>
      <c r="H24" s="223">
        <v>4.2</v>
      </c>
      <c r="I24" s="222" t="s">
        <v>4542</v>
      </c>
      <c r="J24" s="222" t="s">
        <v>4543</v>
      </c>
      <c r="K24" s="222" t="s">
        <v>4544</v>
      </c>
      <c r="L24" s="222">
        <v>3</v>
      </c>
      <c r="M24" s="222">
        <v>3</v>
      </c>
      <c r="N24" s="222" t="s">
        <v>11</v>
      </c>
      <c r="O24" s="222" t="s">
        <v>9</v>
      </c>
      <c r="P24" s="224"/>
      <c r="Q24" s="224"/>
      <c r="R24" s="224">
        <v>2000000</v>
      </c>
      <c r="S24" s="224">
        <v>2928772.7</v>
      </c>
      <c r="T24" s="224"/>
      <c r="U24" s="224"/>
      <c r="V24" s="224"/>
      <c r="W24" s="224"/>
      <c r="X24" s="224"/>
      <c r="Y24" s="222">
        <v>3</v>
      </c>
      <c r="Z24" s="222">
        <v>3</v>
      </c>
      <c r="AA24" s="224"/>
      <c r="AB24" s="224"/>
      <c r="AC24" s="224">
        <v>0</v>
      </c>
      <c r="AD24" s="224">
        <v>224017.2</v>
      </c>
      <c r="AE24" s="224"/>
      <c r="AF24" s="224"/>
      <c r="AG24" s="224"/>
      <c r="AH24" s="224"/>
      <c r="AI24" s="224"/>
      <c r="AJ24" s="126"/>
      <c r="AK24" s="126"/>
      <c r="AL24" s="126"/>
      <c r="AM24" s="126"/>
      <c r="AN24" s="126"/>
    </row>
    <row r="25" spans="1:40" ht="15.75" customHeight="1">
      <c r="A25" s="221">
        <f t="shared" si="2"/>
        <v>19</v>
      </c>
      <c r="B25" s="222" t="s">
        <v>4486</v>
      </c>
      <c r="C25" s="222" t="s">
        <v>5</v>
      </c>
      <c r="D25" s="222" t="e">
        <f t="array" ref="D25">IF(F25="","",INDEX(#REF!,MATCH(F25,#REF!,0)))</f>
        <v>#REF!</v>
      </c>
      <c r="E25" s="222" t="e">
        <f t="array" ref="E25">IF(F25="","",INDEX(#REF!,MATCH(F25,#REF!,0)))</f>
        <v>#REF!</v>
      </c>
      <c r="F25" s="222" t="s">
        <v>34</v>
      </c>
      <c r="G25" s="222" t="s">
        <v>4499</v>
      </c>
      <c r="H25" s="223">
        <v>4.3</v>
      </c>
      <c r="I25" s="222" t="s">
        <v>4545</v>
      </c>
      <c r="J25" s="222" t="s">
        <v>4546</v>
      </c>
      <c r="K25" s="222" t="s">
        <v>4547</v>
      </c>
      <c r="L25" s="222">
        <v>1</v>
      </c>
      <c r="M25" s="222">
        <v>1</v>
      </c>
      <c r="N25" s="222" t="s">
        <v>11</v>
      </c>
      <c r="O25" s="222" t="s">
        <v>9</v>
      </c>
      <c r="P25" s="224"/>
      <c r="Q25" s="224"/>
      <c r="R25" s="224"/>
      <c r="S25" s="224">
        <v>4000000</v>
      </c>
      <c r="T25" s="224"/>
      <c r="U25" s="224"/>
      <c r="V25" s="224"/>
      <c r="W25" s="224"/>
      <c r="X25" s="224"/>
      <c r="Y25" s="222">
        <v>1</v>
      </c>
      <c r="Z25" s="222">
        <v>1</v>
      </c>
      <c r="AA25" s="224"/>
      <c r="AB25" s="224"/>
      <c r="AC25" s="224"/>
      <c r="AD25" s="224">
        <v>4000000</v>
      </c>
      <c r="AE25" s="224"/>
      <c r="AF25" s="224"/>
      <c r="AG25" s="224"/>
      <c r="AH25" s="224"/>
      <c r="AI25" s="224"/>
      <c r="AJ25" s="126"/>
      <c r="AK25" s="126"/>
      <c r="AL25" s="126"/>
      <c r="AM25" s="126"/>
      <c r="AN25" s="126"/>
    </row>
    <row r="26" spans="1:40" ht="15.75" customHeight="1">
      <c r="A26" s="221">
        <f t="shared" si="2"/>
        <v>20</v>
      </c>
      <c r="B26" s="222" t="s">
        <v>4486</v>
      </c>
      <c r="C26" s="222" t="s">
        <v>5</v>
      </c>
      <c r="D26" s="222" t="e">
        <f t="array" ref="D26">IF(F26="","",INDEX(#REF!,MATCH(F26,#REF!,0)))</f>
        <v>#REF!</v>
      </c>
      <c r="E26" s="222" t="e">
        <f t="array" ref="E26">IF(F26="","",INDEX(#REF!,MATCH(F26,#REF!,0)))</f>
        <v>#REF!</v>
      </c>
      <c r="F26" s="222" t="s">
        <v>34</v>
      </c>
      <c r="G26" s="222" t="s">
        <v>4499</v>
      </c>
      <c r="H26" s="223">
        <v>4.4000000000000004</v>
      </c>
      <c r="I26" s="222" t="s">
        <v>4548</v>
      </c>
      <c r="J26" s="222" t="s">
        <v>4549</v>
      </c>
      <c r="K26" s="222"/>
      <c r="L26" s="222">
        <v>3</v>
      </c>
      <c r="M26" s="222">
        <v>3</v>
      </c>
      <c r="N26" s="222" t="s">
        <v>11</v>
      </c>
      <c r="O26" s="222" t="s">
        <v>9</v>
      </c>
      <c r="P26" s="224"/>
      <c r="Q26" s="224"/>
      <c r="R26" s="224"/>
      <c r="S26" s="224">
        <v>12215844.76</v>
      </c>
      <c r="T26" s="224"/>
      <c r="U26" s="224"/>
      <c r="V26" s="224"/>
      <c r="W26" s="224"/>
      <c r="X26" s="224"/>
      <c r="Y26" s="222">
        <v>0</v>
      </c>
      <c r="Z26" s="222">
        <v>3</v>
      </c>
      <c r="AA26" s="224"/>
      <c r="AB26" s="224"/>
      <c r="AC26" s="224"/>
      <c r="AD26" s="224">
        <v>0</v>
      </c>
      <c r="AE26" s="224"/>
      <c r="AF26" s="224"/>
      <c r="AG26" s="224"/>
      <c r="AH26" s="224"/>
      <c r="AI26" s="224"/>
      <c r="AJ26" s="126"/>
      <c r="AK26" s="126"/>
      <c r="AL26" s="126"/>
      <c r="AM26" s="126"/>
      <c r="AN26" s="126"/>
    </row>
    <row r="27" spans="1:40" ht="15.75" customHeight="1">
      <c r="A27" s="221">
        <f t="shared" si="2"/>
        <v>21</v>
      </c>
      <c r="B27" s="222" t="s">
        <v>4486</v>
      </c>
      <c r="C27" s="222" t="s">
        <v>5</v>
      </c>
      <c r="D27" s="222" t="e">
        <f t="array" ref="D27">IF(F27="","",INDEX(#REF!,MATCH(F27,#REF!,0)))</f>
        <v>#REF!</v>
      </c>
      <c r="E27" s="222" t="e">
        <f t="array" ref="E27">IF(F27="","",INDEX(#REF!,MATCH(F27,#REF!,0)))</f>
        <v>#REF!</v>
      </c>
      <c r="F27" s="222" t="s">
        <v>34</v>
      </c>
      <c r="G27" s="222" t="s">
        <v>4495</v>
      </c>
      <c r="H27" s="223">
        <v>5</v>
      </c>
      <c r="I27" s="222" t="s">
        <v>4550</v>
      </c>
      <c r="J27" s="222" t="s">
        <v>4551</v>
      </c>
      <c r="K27" s="222" t="s">
        <v>4552</v>
      </c>
      <c r="L27" s="222">
        <v>950</v>
      </c>
      <c r="M27" s="222">
        <v>950</v>
      </c>
      <c r="N27" s="222" t="s">
        <v>13</v>
      </c>
      <c r="O27" s="222" t="s">
        <v>9</v>
      </c>
      <c r="P27" s="224"/>
      <c r="Q27" s="224"/>
      <c r="R27" s="224"/>
      <c r="S27" s="224"/>
      <c r="T27" s="224"/>
      <c r="U27" s="224"/>
      <c r="V27" s="224"/>
      <c r="W27" s="224"/>
      <c r="X27" s="224"/>
      <c r="Y27" s="222">
        <v>2449</v>
      </c>
      <c r="Z27" s="222">
        <v>950</v>
      </c>
      <c r="AA27" s="224"/>
      <c r="AB27" s="224"/>
      <c r="AC27" s="224"/>
      <c r="AD27" s="224"/>
      <c r="AE27" s="224"/>
      <c r="AF27" s="224"/>
      <c r="AG27" s="224"/>
      <c r="AH27" s="224"/>
      <c r="AI27" s="224"/>
      <c r="AJ27" s="126"/>
      <c r="AK27" s="126"/>
      <c r="AL27" s="126"/>
      <c r="AM27" s="126"/>
      <c r="AN27" s="126"/>
    </row>
    <row r="28" spans="1:40" ht="15.75" customHeight="1">
      <c r="A28" s="221">
        <f t="shared" si="2"/>
        <v>22</v>
      </c>
      <c r="B28" s="222" t="s">
        <v>4486</v>
      </c>
      <c r="C28" s="222" t="s">
        <v>5</v>
      </c>
      <c r="D28" s="222" t="e">
        <f t="array" ref="D28">IF(F28="","",INDEX(#REF!,MATCH(F28,#REF!,0)))</f>
        <v>#REF!</v>
      </c>
      <c r="E28" s="222" t="e">
        <f t="array" ref="E28">IF(F28="","",INDEX(#REF!,MATCH(F28,#REF!,0)))</f>
        <v>#REF!</v>
      </c>
      <c r="F28" s="222" t="s">
        <v>34</v>
      </c>
      <c r="G28" s="222" t="s">
        <v>4499</v>
      </c>
      <c r="H28" s="223">
        <v>5.0999999999999996</v>
      </c>
      <c r="I28" s="222" t="s">
        <v>4553</v>
      </c>
      <c r="J28" s="222" t="s">
        <v>4554</v>
      </c>
      <c r="K28" s="222" t="s">
        <v>4555</v>
      </c>
      <c r="L28" s="222">
        <v>35</v>
      </c>
      <c r="M28" s="222">
        <v>35</v>
      </c>
      <c r="N28" s="222" t="s">
        <v>11</v>
      </c>
      <c r="O28" s="222" t="s">
        <v>9</v>
      </c>
      <c r="P28" s="224"/>
      <c r="Q28" s="224"/>
      <c r="R28" s="224">
        <v>50008.44</v>
      </c>
      <c r="S28" s="224"/>
      <c r="T28" s="224"/>
      <c r="U28" s="224"/>
      <c r="V28" s="224"/>
      <c r="W28" s="224"/>
      <c r="X28" s="224"/>
      <c r="Y28" s="222">
        <v>2381</v>
      </c>
      <c r="Z28" s="222">
        <v>35</v>
      </c>
      <c r="AA28" s="224"/>
      <c r="AB28" s="224"/>
      <c r="AC28" s="224">
        <v>0</v>
      </c>
      <c r="AD28" s="224"/>
      <c r="AE28" s="224"/>
      <c r="AF28" s="224"/>
      <c r="AG28" s="224"/>
      <c r="AH28" s="224"/>
      <c r="AI28" s="224"/>
      <c r="AJ28" s="126"/>
      <c r="AK28" s="126"/>
      <c r="AL28" s="126"/>
      <c r="AM28" s="126"/>
      <c r="AN28" s="126"/>
    </row>
    <row r="29" spans="1:40" ht="15.75" customHeight="1">
      <c r="A29" s="221">
        <f t="shared" si="2"/>
        <v>23</v>
      </c>
      <c r="B29" s="222" t="s">
        <v>4486</v>
      </c>
      <c r="C29" s="222" t="s">
        <v>5</v>
      </c>
      <c r="D29" s="222" t="e">
        <f t="array" ref="D29">IF(F29="","",INDEX(#REF!,MATCH(F29,#REF!,0)))</f>
        <v>#REF!</v>
      </c>
      <c r="E29" s="222" t="e">
        <f t="array" ref="E29">IF(F29="","",INDEX(#REF!,MATCH(F29,#REF!,0)))</f>
        <v>#REF!</v>
      </c>
      <c r="F29" s="222" t="s">
        <v>34</v>
      </c>
      <c r="G29" s="222" t="s">
        <v>4499</v>
      </c>
      <c r="H29" s="223">
        <v>5.2</v>
      </c>
      <c r="I29" s="222" t="s">
        <v>4556</v>
      </c>
      <c r="J29" s="222" t="s">
        <v>4557</v>
      </c>
      <c r="K29" s="222" t="s">
        <v>4558</v>
      </c>
      <c r="L29" s="222">
        <v>4</v>
      </c>
      <c r="M29" s="222">
        <v>4</v>
      </c>
      <c r="N29" s="222" t="s">
        <v>11</v>
      </c>
      <c r="O29" s="222" t="s">
        <v>9</v>
      </c>
      <c r="P29" s="224"/>
      <c r="Q29" s="224"/>
      <c r="R29" s="224"/>
      <c r="S29" s="224">
        <v>250000</v>
      </c>
      <c r="T29" s="224"/>
      <c r="U29" s="224"/>
      <c r="V29" s="224"/>
      <c r="W29" s="224"/>
      <c r="X29" s="224"/>
      <c r="Y29" s="222">
        <v>68</v>
      </c>
      <c r="Z29" s="222">
        <v>4</v>
      </c>
      <c r="AA29" s="224"/>
      <c r="AB29" s="224"/>
      <c r="AC29" s="224"/>
      <c r="AD29" s="224">
        <v>0</v>
      </c>
      <c r="AE29" s="224"/>
      <c r="AF29" s="224"/>
      <c r="AG29" s="224"/>
      <c r="AH29" s="224"/>
      <c r="AI29" s="224"/>
      <c r="AJ29" s="126"/>
      <c r="AK29" s="126"/>
      <c r="AL29" s="126"/>
      <c r="AM29" s="126"/>
      <c r="AN29" s="126"/>
    </row>
    <row r="30" spans="1:40" ht="15.75" customHeight="1">
      <c r="A30" s="221">
        <f t="shared" si="2"/>
        <v>24</v>
      </c>
      <c r="B30" s="222" t="s">
        <v>4559</v>
      </c>
      <c r="C30" s="222" t="s">
        <v>5</v>
      </c>
      <c r="D30" s="222" t="e">
        <f t="array" ref="D30">IF(F30="","",INDEX(#REF!,MATCH(F30,#REF!,0)))</f>
        <v>#REF!</v>
      </c>
      <c r="E30" s="222" t="e">
        <f t="array" ref="E30">IF(F30="","",INDEX(#REF!,MATCH(F30,#REF!,0)))</f>
        <v>#REF!</v>
      </c>
      <c r="F30" s="222" t="s">
        <v>34</v>
      </c>
      <c r="G30" s="222" t="s">
        <v>0</v>
      </c>
      <c r="H30" s="223" t="s">
        <v>4487</v>
      </c>
      <c r="I30" s="222" t="s">
        <v>4560</v>
      </c>
      <c r="J30" s="222" t="s">
        <v>4560</v>
      </c>
      <c r="K30" s="222" t="s">
        <v>4561</v>
      </c>
      <c r="L30" s="222">
        <v>0.51</v>
      </c>
      <c r="M30" s="222">
        <v>0.51</v>
      </c>
      <c r="N30" s="222" t="s">
        <v>17</v>
      </c>
      <c r="O30" s="222" t="s">
        <v>4490</v>
      </c>
      <c r="P30" s="224"/>
      <c r="Q30" s="224"/>
      <c r="R30" s="224"/>
      <c r="S30" s="224"/>
      <c r="T30" s="224"/>
      <c r="U30" s="224"/>
      <c r="V30" s="224"/>
      <c r="W30" s="224"/>
      <c r="X30" s="224"/>
      <c r="Y30" s="222">
        <v>0</v>
      </c>
      <c r="Z30" s="222">
        <v>0.51</v>
      </c>
      <c r="AA30" s="224"/>
      <c r="AB30" s="224"/>
      <c r="AC30" s="224"/>
      <c r="AD30" s="224"/>
      <c r="AE30" s="224"/>
      <c r="AF30" s="224"/>
      <c r="AG30" s="224"/>
      <c r="AH30" s="224"/>
      <c r="AI30" s="224"/>
      <c r="AJ30" s="126"/>
      <c r="AK30" s="126"/>
      <c r="AL30" s="126"/>
      <c r="AM30" s="126"/>
      <c r="AN30" s="126"/>
    </row>
    <row r="31" spans="1:40" ht="15.75" customHeight="1">
      <c r="A31" s="221">
        <f t="shared" si="2"/>
        <v>25</v>
      </c>
      <c r="B31" s="222" t="s">
        <v>4559</v>
      </c>
      <c r="C31" s="222" t="s">
        <v>5</v>
      </c>
      <c r="D31" s="222" t="e">
        <f t="array" ref="D31">IF(F31="","",INDEX(#REF!,MATCH(F31,#REF!,0)))</f>
        <v>#REF!</v>
      </c>
      <c r="E31" s="222" t="e">
        <f t="array" ref="E31">IF(F31="","",INDEX(#REF!,MATCH(F31,#REF!,0)))</f>
        <v>#REF!</v>
      </c>
      <c r="F31" s="222" t="s">
        <v>34</v>
      </c>
      <c r="G31" s="222" t="s">
        <v>4491</v>
      </c>
      <c r="H31" s="223" t="s">
        <v>4487</v>
      </c>
      <c r="I31" s="222" t="s">
        <v>4562</v>
      </c>
      <c r="J31" s="222" t="s">
        <v>4563</v>
      </c>
      <c r="K31" s="222" t="s">
        <v>4564</v>
      </c>
      <c r="L31" s="222">
        <v>609474</v>
      </c>
      <c r="M31" s="222">
        <v>609474</v>
      </c>
      <c r="N31" s="222" t="s">
        <v>15</v>
      </c>
      <c r="O31" s="222" t="s">
        <v>9</v>
      </c>
      <c r="P31" s="224"/>
      <c r="Q31" s="224"/>
      <c r="R31" s="224"/>
      <c r="S31" s="224"/>
      <c r="T31" s="224"/>
      <c r="U31" s="224"/>
      <c r="V31" s="224"/>
      <c r="W31" s="224"/>
      <c r="X31" s="224"/>
      <c r="Y31" s="222">
        <v>0</v>
      </c>
      <c r="Z31" s="222">
        <v>609474</v>
      </c>
      <c r="AA31" s="224"/>
      <c r="AB31" s="224"/>
      <c r="AC31" s="224"/>
      <c r="AD31" s="224"/>
      <c r="AE31" s="224"/>
      <c r="AF31" s="224"/>
      <c r="AG31" s="224"/>
      <c r="AH31" s="224"/>
      <c r="AI31" s="224"/>
      <c r="AJ31" s="126"/>
      <c r="AK31" s="126"/>
      <c r="AL31" s="126"/>
      <c r="AM31" s="126"/>
      <c r="AN31" s="126"/>
    </row>
    <row r="32" spans="1:40" ht="15.75" customHeight="1">
      <c r="A32" s="221">
        <f t="shared" si="2"/>
        <v>26</v>
      </c>
      <c r="B32" s="222" t="s">
        <v>4559</v>
      </c>
      <c r="C32" s="222" t="s">
        <v>5</v>
      </c>
      <c r="D32" s="222" t="e">
        <f t="array" ref="D32">IF(F32="","",INDEX(#REF!,MATCH(F32,#REF!,0)))</f>
        <v>#REF!</v>
      </c>
      <c r="E32" s="222" t="e">
        <f t="array" ref="E32">IF(F32="","",INDEX(#REF!,MATCH(F32,#REF!,0)))</f>
        <v>#REF!</v>
      </c>
      <c r="F32" s="222" t="s">
        <v>34</v>
      </c>
      <c r="G32" s="222" t="s">
        <v>4495</v>
      </c>
      <c r="H32" s="223">
        <v>1</v>
      </c>
      <c r="I32" s="222" t="s">
        <v>4565</v>
      </c>
      <c r="J32" s="222" t="s">
        <v>4566</v>
      </c>
      <c r="K32" s="222" t="s">
        <v>4567</v>
      </c>
      <c r="L32" s="222">
        <v>1146</v>
      </c>
      <c r="M32" s="222">
        <v>1146</v>
      </c>
      <c r="N32" s="222" t="s">
        <v>13</v>
      </c>
      <c r="O32" s="222" t="s">
        <v>9</v>
      </c>
      <c r="P32" s="224"/>
      <c r="Q32" s="224"/>
      <c r="R32" s="224"/>
      <c r="S32" s="224"/>
      <c r="T32" s="224"/>
      <c r="U32" s="224"/>
      <c r="V32" s="224"/>
      <c r="W32" s="224"/>
      <c r="X32" s="224"/>
      <c r="Y32" s="222">
        <v>264</v>
      </c>
      <c r="Z32" s="222">
        <v>1146</v>
      </c>
      <c r="AA32" s="224"/>
      <c r="AB32" s="224"/>
      <c r="AC32" s="224"/>
      <c r="AD32" s="224"/>
      <c r="AE32" s="224"/>
      <c r="AF32" s="224"/>
      <c r="AG32" s="224"/>
      <c r="AH32" s="224"/>
      <c r="AI32" s="224"/>
      <c r="AJ32" s="126"/>
      <c r="AK32" s="126"/>
      <c r="AL32" s="126"/>
      <c r="AM32" s="126"/>
      <c r="AN32" s="126"/>
    </row>
    <row r="33" spans="1:40" ht="15.75" customHeight="1">
      <c r="A33" s="221">
        <f t="shared" si="2"/>
        <v>27</v>
      </c>
      <c r="B33" s="222" t="s">
        <v>4559</v>
      </c>
      <c r="C33" s="222" t="s">
        <v>5</v>
      </c>
      <c r="D33" s="222" t="e">
        <f t="array" ref="D33">IF(F33="","",INDEX(#REF!,MATCH(F33,#REF!,0)))</f>
        <v>#REF!</v>
      </c>
      <c r="E33" s="222" t="e">
        <f t="array" ref="E33">IF(F33="","",INDEX(#REF!,MATCH(F33,#REF!,0)))</f>
        <v>#REF!</v>
      </c>
      <c r="F33" s="222" t="s">
        <v>34</v>
      </c>
      <c r="G33" s="222" t="s">
        <v>4499</v>
      </c>
      <c r="H33" s="223">
        <v>1.1000000000000001</v>
      </c>
      <c r="I33" s="222" t="s">
        <v>4568</v>
      </c>
      <c r="J33" s="222" t="s">
        <v>4569</v>
      </c>
      <c r="K33" s="222" t="s">
        <v>4570</v>
      </c>
      <c r="L33" s="222">
        <v>480</v>
      </c>
      <c r="M33" s="222">
        <v>480</v>
      </c>
      <c r="N33" s="222" t="s">
        <v>11</v>
      </c>
      <c r="O33" s="222" t="s">
        <v>9</v>
      </c>
      <c r="P33" s="224">
        <v>56355091.229999997</v>
      </c>
      <c r="Q33" s="224">
        <v>500000</v>
      </c>
      <c r="R33" s="224"/>
      <c r="S33" s="224">
        <v>4711000</v>
      </c>
      <c r="T33" s="224"/>
      <c r="U33" s="224"/>
      <c r="V33" s="224"/>
      <c r="W33" s="224"/>
      <c r="X33" s="224"/>
      <c r="Y33" s="222">
        <v>264</v>
      </c>
      <c r="Z33" s="222">
        <v>480</v>
      </c>
      <c r="AA33" s="224">
        <v>23361057.289999995</v>
      </c>
      <c r="AB33" s="224">
        <v>0</v>
      </c>
      <c r="AC33" s="224"/>
      <c r="AD33" s="224">
        <v>0</v>
      </c>
      <c r="AE33" s="224"/>
      <c r="AF33" s="224"/>
      <c r="AG33" s="224"/>
      <c r="AH33" s="224"/>
      <c r="AI33" s="224"/>
      <c r="AJ33" s="126"/>
      <c r="AK33" s="126"/>
      <c r="AL33" s="126"/>
      <c r="AM33" s="126"/>
      <c r="AN33" s="126"/>
    </row>
    <row r="34" spans="1:40" ht="15.75" customHeight="1">
      <c r="A34" s="221">
        <f t="shared" si="2"/>
        <v>28</v>
      </c>
      <c r="B34" s="222" t="s">
        <v>4559</v>
      </c>
      <c r="C34" s="222" t="s">
        <v>5</v>
      </c>
      <c r="D34" s="222" t="e">
        <f t="array" ref="D34">IF(F34="","",INDEX(#REF!,MATCH(F34,#REF!,0)))</f>
        <v>#REF!</v>
      </c>
      <c r="E34" s="222" t="e">
        <f t="array" ref="E34">IF(F34="","",INDEX(#REF!,MATCH(F34,#REF!,0)))</f>
        <v>#REF!</v>
      </c>
      <c r="F34" s="222" t="s">
        <v>34</v>
      </c>
      <c r="G34" s="222" t="s">
        <v>4499</v>
      </c>
      <c r="H34" s="223">
        <v>1.2</v>
      </c>
      <c r="I34" s="222" t="s">
        <v>4571</v>
      </c>
      <c r="J34" s="222" t="s">
        <v>4572</v>
      </c>
      <c r="K34" s="222" t="s">
        <v>4573</v>
      </c>
      <c r="L34" s="222">
        <v>666</v>
      </c>
      <c r="M34" s="222">
        <v>666</v>
      </c>
      <c r="N34" s="222" t="s">
        <v>11</v>
      </c>
      <c r="O34" s="222" t="s">
        <v>9</v>
      </c>
      <c r="P34" s="224"/>
      <c r="Q34" s="224"/>
      <c r="R34" s="224"/>
      <c r="S34" s="224">
        <v>10000000</v>
      </c>
      <c r="T34" s="224"/>
      <c r="U34" s="224"/>
      <c r="V34" s="224"/>
      <c r="W34" s="224"/>
      <c r="X34" s="224"/>
      <c r="Y34" s="222">
        <v>0</v>
      </c>
      <c r="Z34" s="222">
        <v>666</v>
      </c>
      <c r="AA34" s="224"/>
      <c r="AB34" s="224"/>
      <c r="AC34" s="224"/>
      <c r="AD34" s="224">
        <v>0</v>
      </c>
      <c r="AE34" s="224"/>
      <c r="AF34" s="224"/>
      <c r="AG34" s="224"/>
      <c r="AH34" s="224"/>
      <c r="AI34" s="224"/>
      <c r="AJ34" s="126"/>
      <c r="AK34" s="126"/>
      <c r="AL34" s="126"/>
      <c r="AM34" s="126"/>
      <c r="AN34" s="126"/>
    </row>
    <row r="35" spans="1:40" ht="15.75" customHeight="1">
      <c r="A35" s="221">
        <f t="shared" si="2"/>
        <v>29</v>
      </c>
      <c r="B35" s="222" t="s">
        <v>4559</v>
      </c>
      <c r="C35" s="222" t="s">
        <v>5</v>
      </c>
      <c r="D35" s="222" t="e">
        <f t="array" ref="D35">IF(F35="","",INDEX(#REF!,MATCH(F35,#REF!,0)))</f>
        <v>#REF!</v>
      </c>
      <c r="E35" s="222" t="e">
        <f t="array" ref="E35">IF(F35="","",INDEX(#REF!,MATCH(F35,#REF!,0)))</f>
        <v>#REF!</v>
      </c>
      <c r="F35" s="222" t="s">
        <v>34</v>
      </c>
      <c r="G35" s="222" t="s">
        <v>4495</v>
      </c>
      <c r="H35" s="223">
        <v>2</v>
      </c>
      <c r="I35" s="222" t="s">
        <v>4574</v>
      </c>
      <c r="J35" s="222" t="s">
        <v>4575</v>
      </c>
      <c r="K35" s="222" t="s">
        <v>4576</v>
      </c>
      <c r="L35" s="222">
        <v>7794</v>
      </c>
      <c r="M35" s="222">
        <v>7794</v>
      </c>
      <c r="N35" s="222" t="s">
        <v>13</v>
      </c>
      <c r="O35" s="222" t="s">
        <v>9</v>
      </c>
      <c r="P35" s="224"/>
      <c r="Q35" s="224"/>
      <c r="R35" s="224"/>
      <c r="S35" s="224"/>
      <c r="T35" s="224"/>
      <c r="U35" s="224"/>
      <c r="V35" s="224"/>
      <c r="W35" s="224"/>
      <c r="X35" s="224"/>
      <c r="Y35" s="222">
        <v>1080</v>
      </c>
      <c r="Z35" s="222">
        <v>7794</v>
      </c>
      <c r="AA35" s="224"/>
      <c r="AB35" s="224"/>
      <c r="AC35" s="224"/>
      <c r="AD35" s="224"/>
      <c r="AE35" s="224"/>
      <c r="AF35" s="224"/>
      <c r="AG35" s="224"/>
      <c r="AH35" s="224"/>
      <c r="AI35" s="224"/>
      <c r="AJ35" s="126"/>
      <c r="AK35" s="126"/>
      <c r="AL35" s="126"/>
      <c r="AM35" s="126"/>
      <c r="AN35" s="126"/>
    </row>
    <row r="36" spans="1:40" ht="15.75" customHeight="1">
      <c r="A36" s="221">
        <f t="shared" si="2"/>
        <v>30</v>
      </c>
      <c r="B36" s="222" t="s">
        <v>4559</v>
      </c>
      <c r="C36" s="222" t="s">
        <v>5</v>
      </c>
      <c r="D36" s="222" t="e">
        <f t="array" ref="D36">IF(F36="","",INDEX(#REF!,MATCH(F36,#REF!,0)))</f>
        <v>#REF!</v>
      </c>
      <c r="E36" s="222" t="e">
        <f t="array" ref="E36">IF(F36="","",INDEX(#REF!,MATCH(F36,#REF!,0)))</f>
        <v>#REF!</v>
      </c>
      <c r="F36" s="222" t="s">
        <v>34</v>
      </c>
      <c r="G36" s="222" t="s">
        <v>4499</v>
      </c>
      <c r="H36" s="223">
        <v>2.1</v>
      </c>
      <c r="I36" s="222" t="s">
        <v>4577</v>
      </c>
      <c r="J36" s="222" t="s">
        <v>4578</v>
      </c>
      <c r="K36" s="222" t="s">
        <v>4579</v>
      </c>
      <c r="L36" s="222">
        <v>7784</v>
      </c>
      <c r="M36" s="222">
        <v>7784</v>
      </c>
      <c r="N36" s="222" t="s">
        <v>11</v>
      </c>
      <c r="O36" s="222" t="s">
        <v>9</v>
      </c>
      <c r="P36" s="224">
        <v>3213709.0100000002</v>
      </c>
      <c r="Q36" s="224">
        <v>130000</v>
      </c>
      <c r="R36" s="224">
        <v>1070000</v>
      </c>
      <c r="S36" s="224">
        <v>10000000</v>
      </c>
      <c r="T36" s="224"/>
      <c r="U36" s="224"/>
      <c r="V36" s="224"/>
      <c r="W36" s="224"/>
      <c r="X36" s="224"/>
      <c r="Y36" s="222">
        <v>1080</v>
      </c>
      <c r="Z36" s="222">
        <v>7784</v>
      </c>
      <c r="AA36" s="224">
        <v>866980.5</v>
      </c>
      <c r="AB36" s="224">
        <v>0</v>
      </c>
      <c r="AC36" s="224">
        <v>0</v>
      </c>
      <c r="AD36" s="224">
        <v>0</v>
      </c>
      <c r="AE36" s="224"/>
      <c r="AF36" s="224"/>
      <c r="AG36" s="224"/>
      <c r="AH36" s="224"/>
      <c r="AI36" s="224"/>
      <c r="AJ36" s="126"/>
      <c r="AK36" s="126"/>
      <c r="AL36" s="126"/>
      <c r="AM36" s="126"/>
      <c r="AN36" s="126"/>
    </row>
    <row r="37" spans="1:40" ht="15.75" customHeight="1">
      <c r="A37" s="221">
        <f t="shared" si="2"/>
        <v>31</v>
      </c>
      <c r="B37" s="222" t="s">
        <v>4559</v>
      </c>
      <c r="C37" s="222" t="s">
        <v>5</v>
      </c>
      <c r="D37" s="222" t="e">
        <f t="array" ref="D37">IF(F37="","",INDEX(#REF!,MATCH(F37,#REF!,0)))</f>
        <v>#REF!</v>
      </c>
      <c r="E37" s="222" t="e">
        <f t="array" ref="E37">IF(F37="","",INDEX(#REF!,MATCH(F37,#REF!,0)))</f>
        <v>#REF!</v>
      </c>
      <c r="F37" s="222" t="s">
        <v>34</v>
      </c>
      <c r="G37" s="222" t="s">
        <v>4499</v>
      </c>
      <c r="H37" s="223">
        <v>2.2000000000000002</v>
      </c>
      <c r="I37" s="222" t="s">
        <v>4580</v>
      </c>
      <c r="J37" s="222" t="s">
        <v>4581</v>
      </c>
      <c r="K37" s="222" t="s">
        <v>4582</v>
      </c>
      <c r="L37" s="222">
        <v>10</v>
      </c>
      <c r="M37" s="222">
        <v>10</v>
      </c>
      <c r="N37" s="222" t="s">
        <v>11</v>
      </c>
      <c r="O37" s="222" t="s">
        <v>9</v>
      </c>
      <c r="P37" s="224">
        <v>27079100.519999996</v>
      </c>
      <c r="Q37" s="224">
        <v>792035.72000000009</v>
      </c>
      <c r="R37" s="224">
        <v>2044563.72</v>
      </c>
      <c r="S37" s="224"/>
      <c r="T37" s="224"/>
      <c r="U37" s="224"/>
      <c r="V37" s="224"/>
      <c r="W37" s="224"/>
      <c r="X37" s="224"/>
      <c r="Y37" s="222">
        <v>2</v>
      </c>
      <c r="Z37" s="222">
        <v>10</v>
      </c>
      <c r="AA37" s="224">
        <v>8198062.7699999996</v>
      </c>
      <c r="AB37" s="224">
        <v>0</v>
      </c>
      <c r="AC37" s="224">
        <v>1094727.3099999998</v>
      </c>
      <c r="AD37" s="224"/>
      <c r="AE37" s="224"/>
      <c r="AF37" s="224"/>
      <c r="AG37" s="224"/>
      <c r="AH37" s="224"/>
      <c r="AI37" s="224"/>
      <c r="AJ37" s="126"/>
      <c r="AK37" s="126"/>
      <c r="AL37" s="126"/>
      <c r="AM37" s="126"/>
      <c r="AN37" s="126"/>
    </row>
    <row r="38" spans="1:40" ht="15.75" customHeight="1">
      <c r="A38" s="221">
        <f t="shared" si="2"/>
        <v>32</v>
      </c>
      <c r="B38" s="222" t="s">
        <v>4559</v>
      </c>
      <c r="C38" s="222" t="s">
        <v>5</v>
      </c>
      <c r="D38" s="222" t="e">
        <f t="array" ref="D38">IF(F38="","",INDEX(#REF!,MATCH(F38,#REF!,0)))</f>
        <v>#REF!</v>
      </c>
      <c r="E38" s="222" t="e">
        <f t="array" ref="E38">IF(F38="","",INDEX(#REF!,MATCH(F38,#REF!,0)))</f>
        <v>#REF!</v>
      </c>
      <c r="F38" s="222" t="s">
        <v>34</v>
      </c>
      <c r="G38" s="222" t="s">
        <v>4495</v>
      </c>
      <c r="H38" s="223">
        <v>3</v>
      </c>
      <c r="I38" s="222" t="s">
        <v>4583</v>
      </c>
      <c r="J38" s="222" t="s">
        <v>4584</v>
      </c>
      <c r="K38" s="222" t="s">
        <v>4585</v>
      </c>
      <c r="L38" s="222">
        <v>53000</v>
      </c>
      <c r="M38" s="222">
        <v>53000</v>
      </c>
      <c r="N38" s="222" t="s">
        <v>13</v>
      </c>
      <c r="O38" s="222" t="s">
        <v>9</v>
      </c>
      <c r="P38" s="224"/>
      <c r="Q38" s="224"/>
      <c r="R38" s="224"/>
      <c r="S38" s="224"/>
      <c r="T38" s="224"/>
      <c r="U38" s="224"/>
      <c r="V38" s="224"/>
      <c r="W38" s="224"/>
      <c r="X38" s="224"/>
      <c r="Y38" s="222">
        <v>0</v>
      </c>
      <c r="Z38" s="222">
        <v>53000</v>
      </c>
      <c r="AA38" s="224"/>
      <c r="AB38" s="224"/>
      <c r="AC38" s="224"/>
      <c r="AD38" s="224"/>
      <c r="AE38" s="224"/>
      <c r="AF38" s="224"/>
      <c r="AG38" s="224"/>
      <c r="AH38" s="224"/>
      <c r="AI38" s="224"/>
      <c r="AJ38" s="126"/>
      <c r="AK38" s="126"/>
      <c r="AL38" s="126"/>
      <c r="AM38" s="126"/>
      <c r="AN38" s="126"/>
    </row>
    <row r="39" spans="1:40" ht="15.75" customHeight="1">
      <c r="A39" s="221">
        <f t="shared" si="2"/>
        <v>33</v>
      </c>
      <c r="B39" s="222" t="s">
        <v>4559</v>
      </c>
      <c r="C39" s="222" t="s">
        <v>5</v>
      </c>
      <c r="D39" s="222" t="e">
        <f t="array" ref="D39">IF(F39="","",INDEX(#REF!,MATCH(F39,#REF!,0)))</f>
        <v>#REF!</v>
      </c>
      <c r="E39" s="222" t="e">
        <f t="array" ref="E39">IF(F39="","",INDEX(#REF!,MATCH(F39,#REF!,0)))</f>
        <v>#REF!</v>
      </c>
      <c r="F39" s="222" t="s">
        <v>34</v>
      </c>
      <c r="G39" s="222" t="s">
        <v>4499</v>
      </c>
      <c r="H39" s="223">
        <v>3.1</v>
      </c>
      <c r="I39" s="222" t="s">
        <v>4586</v>
      </c>
      <c r="J39" s="222" t="s">
        <v>4587</v>
      </c>
      <c r="K39" s="222" t="s">
        <v>4588</v>
      </c>
      <c r="L39" s="222">
        <v>88</v>
      </c>
      <c r="M39" s="222">
        <v>88</v>
      </c>
      <c r="N39" s="222" t="s">
        <v>11</v>
      </c>
      <c r="O39" s="222" t="s">
        <v>9</v>
      </c>
      <c r="P39" s="224">
        <v>2986355.35</v>
      </c>
      <c r="Q39" s="224"/>
      <c r="R39" s="224"/>
      <c r="S39" s="224">
        <v>6100000</v>
      </c>
      <c r="T39" s="224"/>
      <c r="U39" s="224"/>
      <c r="V39" s="224"/>
      <c r="W39" s="224"/>
      <c r="X39" s="224"/>
      <c r="Y39" s="222">
        <v>0</v>
      </c>
      <c r="Z39" s="222">
        <v>88</v>
      </c>
      <c r="AA39" s="224">
        <v>238075.66</v>
      </c>
      <c r="AB39" s="224"/>
      <c r="AC39" s="224"/>
      <c r="AD39" s="224">
        <v>0</v>
      </c>
      <c r="AE39" s="224"/>
      <c r="AF39" s="224"/>
      <c r="AG39" s="224"/>
      <c r="AH39" s="224"/>
      <c r="AI39" s="224"/>
      <c r="AJ39" s="126"/>
      <c r="AK39" s="126"/>
      <c r="AL39" s="126"/>
      <c r="AM39" s="126"/>
      <c r="AN39" s="126"/>
    </row>
    <row r="40" spans="1:40" ht="15.75" customHeight="1">
      <c r="A40" s="221">
        <f t="shared" si="2"/>
        <v>34</v>
      </c>
      <c r="B40" s="222" t="s">
        <v>4559</v>
      </c>
      <c r="C40" s="222" t="s">
        <v>5</v>
      </c>
      <c r="D40" s="222" t="e">
        <f t="array" ref="D40">IF(F40="","",INDEX(#REF!,MATCH(F40,#REF!,0)))</f>
        <v>#REF!</v>
      </c>
      <c r="E40" s="222" t="e">
        <f t="array" ref="E40">IF(F40="","",INDEX(#REF!,MATCH(F40,#REF!,0)))</f>
        <v>#REF!</v>
      </c>
      <c r="F40" s="222" t="s">
        <v>34</v>
      </c>
      <c r="G40" s="222" t="s">
        <v>4499</v>
      </c>
      <c r="H40" s="223">
        <v>3.2</v>
      </c>
      <c r="I40" s="222" t="s">
        <v>4589</v>
      </c>
      <c r="J40" s="222" t="s">
        <v>4590</v>
      </c>
      <c r="K40" s="222" t="s">
        <v>4591</v>
      </c>
      <c r="L40" s="222">
        <v>13</v>
      </c>
      <c r="M40" s="222">
        <v>13</v>
      </c>
      <c r="N40" s="222" t="s">
        <v>11</v>
      </c>
      <c r="O40" s="222" t="s">
        <v>9</v>
      </c>
      <c r="P40" s="224"/>
      <c r="Q40" s="224"/>
      <c r="R40" s="224">
        <v>40000</v>
      </c>
      <c r="S40" s="224"/>
      <c r="T40" s="224"/>
      <c r="U40" s="224"/>
      <c r="V40" s="224"/>
      <c r="W40" s="224"/>
      <c r="X40" s="224"/>
      <c r="Y40" s="222">
        <v>0</v>
      </c>
      <c r="Z40" s="222">
        <v>13</v>
      </c>
      <c r="AA40" s="224"/>
      <c r="AB40" s="224"/>
      <c r="AC40" s="224">
        <v>0</v>
      </c>
      <c r="AD40" s="224"/>
      <c r="AE40" s="224"/>
      <c r="AF40" s="224"/>
      <c r="AG40" s="224"/>
      <c r="AH40" s="224"/>
      <c r="AI40" s="224"/>
      <c r="AJ40" s="126"/>
      <c r="AK40" s="126"/>
      <c r="AL40" s="126"/>
      <c r="AM40" s="126"/>
      <c r="AN40" s="126"/>
    </row>
    <row r="41" spans="1:40" ht="15.75" customHeight="1">
      <c r="A41" s="221">
        <f t="shared" si="2"/>
        <v>35</v>
      </c>
      <c r="B41" s="222" t="s">
        <v>4559</v>
      </c>
      <c r="C41" s="222" t="s">
        <v>5</v>
      </c>
      <c r="D41" s="222" t="e">
        <f t="array" ref="D41">IF(F41="","",INDEX(#REF!,MATCH(F41,#REF!,0)))</f>
        <v>#REF!</v>
      </c>
      <c r="E41" s="222" t="e">
        <f t="array" ref="E41">IF(F41="","",INDEX(#REF!,MATCH(F41,#REF!,0)))</f>
        <v>#REF!</v>
      </c>
      <c r="F41" s="222" t="s">
        <v>34</v>
      </c>
      <c r="G41" s="222" t="s">
        <v>4495</v>
      </c>
      <c r="H41" s="223">
        <v>4</v>
      </c>
      <c r="I41" s="222" t="s">
        <v>4592</v>
      </c>
      <c r="J41" s="222" t="s">
        <v>4593</v>
      </c>
      <c r="K41" s="222" t="s">
        <v>4594</v>
      </c>
      <c r="L41" s="222">
        <v>182741</v>
      </c>
      <c r="M41" s="222">
        <v>182741</v>
      </c>
      <c r="N41" s="222" t="s">
        <v>13</v>
      </c>
      <c r="O41" s="222" t="s">
        <v>9</v>
      </c>
      <c r="P41" s="224"/>
      <c r="Q41" s="224"/>
      <c r="R41" s="224"/>
      <c r="S41" s="224"/>
      <c r="T41" s="224"/>
      <c r="U41" s="224"/>
      <c r="V41" s="224"/>
      <c r="W41" s="224"/>
      <c r="X41" s="224"/>
      <c r="Y41" s="222">
        <v>22716</v>
      </c>
      <c r="Z41" s="222">
        <v>182741</v>
      </c>
      <c r="AA41" s="224"/>
      <c r="AB41" s="224"/>
      <c r="AC41" s="224"/>
      <c r="AD41" s="224"/>
      <c r="AE41" s="224"/>
      <c r="AF41" s="224"/>
      <c r="AG41" s="224"/>
      <c r="AH41" s="224"/>
      <c r="AI41" s="224"/>
      <c r="AJ41" s="126"/>
      <c r="AK41" s="126"/>
      <c r="AL41" s="126"/>
      <c r="AM41" s="126"/>
      <c r="AN41" s="126"/>
    </row>
    <row r="42" spans="1:40" ht="15.75" customHeight="1">
      <c r="A42" s="221">
        <f t="shared" si="2"/>
        <v>36</v>
      </c>
      <c r="B42" s="222" t="s">
        <v>4559</v>
      </c>
      <c r="C42" s="222" t="s">
        <v>5</v>
      </c>
      <c r="D42" s="222" t="e">
        <f t="array" ref="D42">IF(F42="","",INDEX(#REF!,MATCH(F42,#REF!,0)))</f>
        <v>#REF!</v>
      </c>
      <c r="E42" s="222" t="e">
        <f t="array" ref="E42">IF(F42="","",INDEX(#REF!,MATCH(F42,#REF!,0)))</f>
        <v>#REF!</v>
      </c>
      <c r="F42" s="222" t="s">
        <v>34</v>
      </c>
      <c r="G42" s="222" t="s">
        <v>4499</v>
      </c>
      <c r="H42" s="223">
        <v>4.0999999999999996</v>
      </c>
      <c r="I42" s="222" t="s">
        <v>4595</v>
      </c>
      <c r="J42" s="222" t="s">
        <v>4596</v>
      </c>
      <c r="K42" s="222" t="s">
        <v>4597</v>
      </c>
      <c r="L42" s="222">
        <v>181541</v>
      </c>
      <c r="M42" s="222">
        <v>181541</v>
      </c>
      <c r="N42" s="222" t="s">
        <v>11</v>
      </c>
      <c r="O42" s="222" t="s">
        <v>9</v>
      </c>
      <c r="P42" s="224"/>
      <c r="Q42" s="224"/>
      <c r="R42" s="224">
        <v>19794667</v>
      </c>
      <c r="S42" s="224">
        <v>140748737.30000001</v>
      </c>
      <c r="T42" s="224"/>
      <c r="U42" s="224"/>
      <c r="V42" s="224"/>
      <c r="W42" s="224"/>
      <c r="X42" s="224"/>
      <c r="Y42" s="222">
        <v>22716</v>
      </c>
      <c r="Z42" s="222">
        <v>181541</v>
      </c>
      <c r="AA42" s="224"/>
      <c r="AB42" s="224"/>
      <c r="AC42" s="224">
        <v>0</v>
      </c>
      <c r="AD42" s="224">
        <v>24539234.5</v>
      </c>
      <c r="AE42" s="224"/>
      <c r="AF42" s="224"/>
      <c r="AG42" s="224"/>
      <c r="AH42" s="224"/>
      <c r="AI42" s="224"/>
      <c r="AJ42" s="126"/>
      <c r="AK42" s="126"/>
      <c r="AL42" s="126"/>
      <c r="AM42" s="126"/>
      <c r="AN42" s="126"/>
    </row>
    <row r="43" spans="1:40" ht="15.75" customHeight="1">
      <c r="A43" s="221">
        <f t="shared" si="2"/>
        <v>37</v>
      </c>
      <c r="B43" s="222" t="s">
        <v>4559</v>
      </c>
      <c r="C43" s="222" t="s">
        <v>5</v>
      </c>
      <c r="D43" s="222" t="e">
        <f t="array" ref="D43">IF(F43="","",INDEX(#REF!,MATCH(F43,#REF!,0)))</f>
        <v>#REF!</v>
      </c>
      <c r="E43" s="222" t="e">
        <f t="array" ref="E43">IF(F43="","",INDEX(#REF!,MATCH(F43,#REF!,0)))</f>
        <v>#REF!</v>
      </c>
      <c r="F43" s="222" t="s">
        <v>34</v>
      </c>
      <c r="G43" s="222" t="s">
        <v>4499</v>
      </c>
      <c r="H43" s="223">
        <v>4.2</v>
      </c>
      <c r="I43" s="222" t="s">
        <v>4598</v>
      </c>
      <c r="J43" s="222" t="s">
        <v>4599</v>
      </c>
      <c r="K43" s="222" t="s">
        <v>4600</v>
      </c>
      <c r="L43" s="222">
        <v>1200</v>
      </c>
      <c r="M43" s="222">
        <v>1200</v>
      </c>
      <c r="N43" s="222" t="s">
        <v>11</v>
      </c>
      <c r="O43" s="222" t="s">
        <v>9</v>
      </c>
      <c r="P43" s="224"/>
      <c r="Q43" s="224"/>
      <c r="R43" s="224"/>
      <c r="S43" s="224">
        <v>0</v>
      </c>
      <c r="T43" s="224"/>
      <c r="U43" s="224"/>
      <c r="V43" s="224"/>
      <c r="W43" s="224"/>
      <c r="X43" s="224"/>
      <c r="Y43" s="222">
        <v>0</v>
      </c>
      <c r="Z43" s="222">
        <v>1200</v>
      </c>
      <c r="AA43" s="224"/>
      <c r="AB43" s="224"/>
      <c r="AC43" s="224"/>
      <c r="AD43" s="224">
        <v>0</v>
      </c>
      <c r="AE43" s="224"/>
      <c r="AF43" s="224"/>
      <c r="AG43" s="224"/>
      <c r="AH43" s="224"/>
      <c r="AI43" s="224"/>
      <c r="AJ43" s="126"/>
      <c r="AK43" s="126"/>
      <c r="AL43" s="126"/>
      <c r="AM43" s="126"/>
      <c r="AN43" s="126"/>
    </row>
    <row r="44" spans="1:40" ht="15.75" customHeight="1">
      <c r="A44" s="221">
        <f t="shared" si="2"/>
        <v>38</v>
      </c>
      <c r="B44" s="222" t="s">
        <v>4601</v>
      </c>
      <c r="C44" s="222" t="s">
        <v>5</v>
      </c>
      <c r="D44" s="222" t="e">
        <f t="array" ref="D44">IF(F44="","",INDEX(#REF!,MATCH(F44,#REF!,0)))</f>
        <v>#REF!</v>
      </c>
      <c r="E44" s="222" t="e">
        <f t="array" ref="E44">IF(F44="","",INDEX(#REF!,MATCH(F44,#REF!,0)))</f>
        <v>#REF!</v>
      </c>
      <c r="F44" s="222" t="s">
        <v>21</v>
      </c>
      <c r="G44" s="222" t="s">
        <v>0</v>
      </c>
      <c r="H44" s="223" t="s">
        <v>4487</v>
      </c>
      <c r="I44" s="222" t="s">
        <v>4602</v>
      </c>
      <c r="J44" s="222" t="s">
        <v>4603</v>
      </c>
      <c r="K44" s="222" t="s">
        <v>4604</v>
      </c>
      <c r="L44" s="222">
        <v>72</v>
      </c>
      <c r="M44" s="222">
        <v>100</v>
      </c>
      <c r="N44" s="222" t="s">
        <v>15</v>
      </c>
      <c r="O44" s="222" t="s">
        <v>9</v>
      </c>
      <c r="P44" s="224"/>
      <c r="Q44" s="224"/>
      <c r="R44" s="224"/>
      <c r="S44" s="224"/>
      <c r="T44" s="224"/>
      <c r="U44" s="224"/>
      <c r="V44" s="224"/>
      <c r="W44" s="224"/>
      <c r="X44" s="224"/>
      <c r="Y44" s="222">
        <v>57</v>
      </c>
      <c r="Z44" s="222">
        <v>72</v>
      </c>
      <c r="AA44" s="224"/>
      <c r="AB44" s="224"/>
      <c r="AC44" s="224"/>
      <c r="AD44" s="224"/>
      <c r="AE44" s="224"/>
      <c r="AF44" s="224"/>
      <c r="AG44" s="224"/>
      <c r="AH44" s="224"/>
      <c r="AI44" s="224"/>
      <c r="AJ44" s="126"/>
      <c r="AK44" s="126"/>
      <c r="AL44" s="126"/>
      <c r="AM44" s="126"/>
      <c r="AN44" s="126"/>
    </row>
    <row r="45" spans="1:40" ht="15.75" customHeight="1">
      <c r="A45" s="221">
        <f t="shared" si="2"/>
        <v>39</v>
      </c>
      <c r="B45" s="222" t="s">
        <v>4601</v>
      </c>
      <c r="C45" s="222" t="s">
        <v>5</v>
      </c>
      <c r="D45" s="222" t="e">
        <f t="array" ref="D45">IF(F45="","",INDEX(#REF!,MATCH(F45,#REF!,0)))</f>
        <v>#REF!</v>
      </c>
      <c r="E45" s="222" t="e">
        <f t="array" ref="E45">IF(F45="","",INDEX(#REF!,MATCH(F45,#REF!,0)))</f>
        <v>#REF!</v>
      </c>
      <c r="F45" s="222" t="s">
        <v>21</v>
      </c>
      <c r="G45" s="222" t="s">
        <v>4491</v>
      </c>
      <c r="H45" s="223" t="s">
        <v>4487</v>
      </c>
      <c r="I45" s="222" t="s">
        <v>4605</v>
      </c>
      <c r="J45" s="222" t="s">
        <v>4606</v>
      </c>
      <c r="K45" s="222" t="s">
        <v>4607</v>
      </c>
      <c r="L45" s="222">
        <v>0</v>
      </c>
      <c r="M45" s="222">
        <v>100</v>
      </c>
      <c r="N45" s="222" t="s">
        <v>15</v>
      </c>
      <c r="O45" s="222" t="s">
        <v>9</v>
      </c>
      <c r="P45" s="224"/>
      <c r="Q45" s="224"/>
      <c r="R45" s="224"/>
      <c r="S45" s="224"/>
      <c r="T45" s="224"/>
      <c r="U45" s="224"/>
      <c r="V45" s="224"/>
      <c r="W45" s="224"/>
      <c r="X45" s="224"/>
      <c r="Y45" s="222">
        <v>0</v>
      </c>
      <c r="Z45" s="222">
        <v>100</v>
      </c>
      <c r="AA45" s="224"/>
      <c r="AB45" s="224"/>
      <c r="AC45" s="224"/>
      <c r="AD45" s="224"/>
      <c r="AE45" s="224"/>
      <c r="AF45" s="224"/>
      <c r="AG45" s="224"/>
      <c r="AH45" s="224"/>
      <c r="AI45" s="224"/>
      <c r="AJ45" s="126"/>
      <c r="AK45" s="126"/>
      <c r="AL45" s="126"/>
      <c r="AM45" s="126"/>
      <c r="AN45" s="126"/>
    </row>
    <row r="46" spans="1:40" ht="15.75" customHeight="1">
      <c r="A46" s="221">
        <f t="shared" si="2"/>
        <v>40</v>
      </c>
      <c r="B46" s="222" t="s">
        <v>4601</v>
      </c>
      <c r="C46" s="222" t="s">
        <v>5</v>
      </c>
      <c r="D46" s="222" t="e">
        <f t="array" ref="D46">IF(F46="","",INDEX(#REF!,MATCH(F46,#REF!,0)))</f>
        <v>#REF!</v>
      </c>
      <c r="E46" s="222" t="e">
        <f t="array" ref="E46">IF(F46="","",INDEX(#REF!,MATCH(F46,#REF!,0)))</f>
        <v>#REF!</v>
      </c>
      <c r="F46" s="222" t="s">
        <v>21</v>
      </c>
      <c r="G46" s="222" t="s">
        <v>4495</v>
      </c>
      <c r="H46" s="223">
        <v>1</v>
      </c>
      <c r="I46" s="222" t="s">
        <v>4608</v>
      </c>
      <c r="J46" s="222" t="s">
        <v>4609</v>
      </c>
      <c r="K46" s="222" t="s">
        <v>4610</v>
      </c>
      <c r="L46" s="222">
        <v>0</v>
      </c>
      <c r="M46" s="222">
        <v>1</v>
      </c>
      <c r="N46" s="222" t="s">
        <v>11</v>
      </c>
      <c r="O46" s="222" t="s">
        <v>4611</v>
      </c>
      <c r="P46" s="224"/>
      <c r="Q46" s="224"/>
      <c r="R46" s="224"/>
      <c r="S46" s="224"/>
      <c r="T46" s="224"/>
      <c r="U46" s="224"/>
      <c r="V46" s="224"/>
      <c r="W46" s="224"/>
      <c r="X46" s="224"/>
      <c r="Y46" s="222">
        <v>772</v>
      </c>
      <c r="Z46" s="222">
        <v>1</v>
      </c>
      <c r="AA46" s="224"/>
      <c r="AB46" s="224"/>
      <c r="AC46" s="224"/>
      <c r="AD46" s="224"/>
      <c r="AE46" s="224"/>
      <c r="AF46" s="224"/>
      <c r="AG46" s="224"/>
      <c r="AH46" s="224"/>
      <c r="AI46" s="224"/>
      <c r="AJ46" s="126"/>
      <c r="AK46" s="126"/>
      <c r="AL46" s="126"/>
      <c r="AM46" s="126"/>
      <c r="AN46" s="126"/>
    </row>
    <row r="47" spans="1:40" ht="15.75" customHeight="1">
      <c r="A47" s="221">
        <f t="shared" si="2"/>
        <v>41</v>
      </c>
      <c r="B47" s="222" t="s">
        <v>4601</v>
      </c>
      <c r="C47" s="222" t="s">
        <v>5</v>
      </c>
      <c r="D47" s="222" t="e">
        <f t="array" ref="D47">IF(F47="","",INDEX(#REF!,MATCH(F47,#REF!,0)))</f>
        <v>#REF!</v>
      </c>
      <c r="E47" s="222" t="e">
        <f t="array" ref="E47">IF(F47="","",INDEX(#REF!,MATCH(F47,#REF!,0)))</f>
        <v>#REF!</v>
      </c>
      <c r="F47" s="222" t="s">
        <v>21</v>
      </c>
      <c r="G47" s="222" t="s">
        <v>4499</v>
      </c>
      <c r="H47" s="223">
        <v>1.1000000000000001</v>
      </c>
      <c r="I47" s="222" t="s">
        <v>4612</v>
      </c>
      <c r="J47" s="222" t="s">
        <v>4613</v>
      </c>
      <c r="K47" s="222" t="s">
        <v>4614</v>
      </c>
      <c r="L47" s="222">
        <v>0.64</v>
      </c>
      <c r="M47" s="222">
        <v>0.64</v>
      </c>
      <c r="N47" s="222" t="s">
        <v>11</v>
      </c>
      <c r="O47" s="222" t="s">
        <v>4490</v>
      </c>
      <c r="P47" s="224">
        <v>1709256662.1400001</v>
      </c>
      <c r="Q47" s="224">
        <v>51297222.289999992</v>
      </c>
      <c r="R47" s="224">
        <v>134735313.32999998</v>
      </c>
      <c r="S47" s="224">
        <v>6000000</v>
      </c>
      <c r="T47" s="224">
        <v>44376438.979999997</v>
      </c>
      <c r="U47" s="224"/>
      <c r="V47" s="224"/>
      <c r="W47" s="224"/>
      <c r="X47" s="224"/>
      <c r="Y47" s="222">
        <v>1.28</v>
      </c>
      <c r="Z47" s="222">
        <v>0.64</v>
      </c>
      <c r="AA47" s="224">
        <v>800731045.42999971</v>
      </c>
      <c r="AB47" s="224">
        <v>3939904.31</v>
      </c>
      <c r="AC47" s="224">
        <v>0</v>
      </c>
      <c r="AD47" s="224">
        <v>2693549.5</v>
      </c>
      <c r="AE47" s="224">
        <v>10507501.130000001</v>
      </c>
      <c r="AF47" s="224"/>
      <c r="AG47" s="224"/>
      <c r="AH47" s="224"/>
      <c r="AI47" s="224"/>
      <c r="AJ47" s="126"/>
      <c r="AK47" s="126"/>
      <c r="AL47" s="126"/>
      <c r="AM47" s="126"/>
      <c r="AN47" s="126"/>
    </row>
    <row r="48" spans="1:40" ht="15.75" customHeight="1">
      <c r="A48" s="221">
        <f t="shared" si="2"/>
        <v>42</v>
      </c>
      <c r="B48" s="222" t="s">
        <v>4601</v>
      </c>
      <c r="C48" s="222" t="s">
        <v>5</v>
      </c>
      <c r="D48" s="222" t="e">
        <f t="array" ref="D48">IF(F48="","",INDEX(#REF!,MATCH(F48,#REF!,0)))</f>
        <v>#REF!</v>
      </c>
      <c r="E48" s="222" t="e">
        <f t="array" ref="E48">IF(F48="","",INDEX(#REF!,MATCH(F48,#REF!,0)))</f>
        <v>#REF!</v>
      </c>
      <c r="F48" s="222" t="s">
        <v>21</v>
      </c>
      <c r="G48" s="222" t="s">
        <v>4499</v>
      </c>
      <c r="H48" s="223">
        <v>1.2</v>
      </c>
      <c r="I48" s="222" t="s">
        <v>4615</v>
      </c>
      <c r="J48" s="222" t="s">
        <v>4616</v>
      </c>
      <c r="K48" s="222" t="s">
        <v>4617</v>
      </c>
      <c r="L48" s="222">
        <v>250</v>
      </c>
      <c r="M48" s="222">
        <v>250</v>
      </c>
      <c r="N48" s="222" t="s">
        <v>11</v>
      </c>
      <c r="O48" s="222" t="s">
        <v>9</v>
      </c>
      <c r="P48" s="224">
        <v>33664186.189999998</v>
      </c>
      <c r="Q48" s="224"/>
      <c r="R48" s="224">
        <v>816669.13000000012</v>
      </c>
      <c r="S48" s="224">
        <v>956526.64</v>
      </c>
      <c r="T48" s="224"/>
      <c r="U48" s="224"/>
      <c r="V48" s="224"/>
      <c r="W48" s="224"/>
      <c r="X48" s="224"/>
      <c r="Y48" s="222">
        <v>28</v>
      </c>
      <c r="Z48" s="222">
        <v>250</v>
      </c>
      <c r="AA48" s="224">
        <v>173466.81</v>
      </c>
      <c r="AB48" s="224"/>
      <c r="AC48" s="224">
        <v>4246.75</v>
      </c>
      <c r="AD48" s="224">
        <v>459159.84</v>
      </c>
      <c r="AE48" s="224"/>
      <c r="AF48" s="224"/>
      <c r="AG48" s="224"/>
      <c r="AH48" s="224"/>
      <c r="AI48" s="224"/>
      <c r="AJ48" s="126"/>
      <c r="AK48" s="126"/>
      <c r="AL48" s="126"/>
      <c r="AM48" s="126"/>
      <c r="AN48" s="126"/>
    </row>
    <row r="49" spans="1:40" ht="15.75" customHeight="1">
      <c r="A49" s="221">
        <f t="shared" si="2"/>
        <v>43</v>
      </c>
      <c r="B49" s="222" t="s">
        <v>4601</v>
      </c>
      <c r="C49" s="222" t="s">
        <v>5</v>
      </c>
      <c r="D49" s="222" t="e">
        <f t="array" ref="D49">IF(F49="","",INDEX(#REF!,MATCH(F49,#REF!,0)))</f>
        <v>#REF!</v>
      </c>
      <c r="E49" s="222" t="e">
        <f t="array" ref="E49">IF(F49="","",INDEX(#REF!,MATCH(F49,#REF!,0)))</f>
        <v>#REF!</v>
      </c>
      <c r="F49" s="222" t="s">
        <v>21</v>
      </c>
      <c r="G49" s="222" t="s">
        <v>4495</v>
      </c>
      <c r="H49" s="223">
        <v>2</v>
      </c>
      <c r="I49" s="222" t="s">
        <v>4618</v>
      </c>
      <c r="J49" s="222" t="s">
        <v>4619</v>
      </c>
      <c r="K49" s="222" t="s">
        <v>4620</v>
      </c>
      <c r="L49" s="222">
        <v>210573</v>
      </c>
      <c r="M49" s="222">
        <v>1403820</v>
      </c>
      <c r="N49" s="222" t="s">
        <v>11</v>
      </c>
      <c r="O49" s="222" t="s">
        <v>9</v>
      </c>
      <c r="P49" s="224"/>
      <c r="Q49" s="224"/>
      <c r="R49" s="224"/>
      <c r="S49" s="224"/>
      <c r="T49" s="224"/>
      <c r="U49" s="224"/>
      <c r="V49" s="224"/>
      <c r="W49" s="224"/>
      <c r="X49" s="224"/>
      <c r="Y49" s="222">
        <v>4.5600000000000002E-2</v>
      </c>
      <c r="Z49" s="222">
        <v>1403820</v>
      </c>
      <c r="AA49" s="224"/>
      <c r="AB49" s="224"/>
      <c r="AC49" s="224"/>
      <c r="AD49" s="224"/>
      <c r="AE49" s="224"/>
      <c r="AF49" s="224"/>
      <c r="AG49" s="224"/>
      <c r="AH49" s="224"/>
      <c r="AI49" s="224"/>
      <c r="AJ49" s="126"/>
      <c r="AK49" s="126"/>
      <c r="AL49" s="126"/>
      <c r="AM49" s="126"/>
      <c r="AN49" s="126"/>
    </row>
    <row r="50" spans="1:40" ht="15.75" customHeight="1">
      <c r="A50" s="221">
        <f t="shared" si="2"/>
        <v>44</v>
      </c>
      <c r="B50" s="222" t="s">
        <v>4601</v>
      </c>
      <c r="C50" s="222" t="s">
        <v>5</v>
      </c>
      <c r="D50" s="222" t="e">
        <f t="array" ref="D50">IF(F50="","",INDEX(#REF!,MATCH(F50,#REF!,0)))</f>
        <v>#REF!</v>
      </c>
      <c r="E50" s="222" t="e">
        <f t="array" ref="E50">IF(F50="","",INDEX(#REF!,MATCH(F50,#REF!,0)))</f>
        <v>#REF!</v>
      </c>
      <c r="F50" s="222" t="s">
        <v>21</v>
      </c>
      <c r="G50" s="222" t="s">
        <v>4499</v>
      </c>
      <c r="H50" s="223">
        <v>2.1</v>
      </c>
      <c r="I50" s="222" t="s">
        <v>4621</v>
      </c>
      <c r="J50" s="222" t="s">
        <v>4621</v>
      </c>
      <c r="K50" s="222" t="s">
        <v>4622</v>
      </c>
      <c r="L50" s="222">
        <v>57543</v>
      </c>
      <c r="M50" s="222">
        <v>57543</v>
      </c>
      <c r="N50" s="222" t="s">
        <v>11</v>
      </c>
      <c r="O50" s="222" t="s">
        <v>9</v>
      </c>
      <c r="P50" s="224"/>
      <c r="Q50" s="224">
        <v>800000</v>
      </c>
      <c r="R50" s="224"/>
      <c r="S50" s="224"/>
      <c r="T50" s="224"/>
      <c r="U50" s="224"/>
      <c r="V50" s="224"/>
      <c r="W50" s="224"/>
      <c r="X50" s="224"/>
      <c r="Y50" s="222">
        <v>17478.97</v>
      </c>
      <c r="Z50" s="222">
        <v>57543</v>
      </c>
      <c r="AA50" s="224"/>
      <c r="AB50" s="224">
        <v>507.5</v>
      </c>
      <c r="AC50" s="224"/>
      <c r="AD50" s="224"/>
      <c r="AE50" s="224"/>
      <c r="AF50" s="224"/>
      <c r="AG50" s="224"/>
      <c r="AH50" s="224"/>
      <c r="AI50" s="224"/>
      <c r="AJ50" s="126"/>
      <c r="AK50" s="126"/>
      <c r="AL50" s="126"/>
      <c r="AM50" s="126"/>
      <c r="AN50" s="126"/>
    </row>
    <row r="51" spans="1:40" ht="15.75" customHeight="1">
      <c r="A51" s="221">
        <f t="shared" si="2"/>
        <v>45</v>
      </c>
      <c r="B51" s="222" t="s">
        <v>4601</v>
      </c>
      <c r="C51" s="222" t="s">
        <v>5</v>
      </c>
      <c r="D51" s="222" t="e">
        <f t="array" ref="D51">IF(F51="","",INDEX(#REF!,MATCH(F51,#REF!,0)))</f>
        <v>#REF!</v>
      </c>
      <c r="E51" s="222" t="e">
        <f t="array" ref="E51">IF(F51="","",INDEX(#REF!,MATCH(F51,#REF!,0)))</f>
        <v>#REF!</v>
      </c>
      <c r="F51" s="222" t="s">
        <v>21</v>
      </c>
      <c r="G51" s="222" t="s">
        <v>4499</v>
      </c>
      <c r="H51" s="223">
        <v>2.2000000000000002</v>
      </c>
      <c r="I51" s="222" t="s">
        <v>4623</v>
      </c>
      <c r="J51" s="222" t="s">
        <v>4623</v>
      </c>
      <c r="K51" s="222" t="s">
        <v>4624</v>
      </c>
      <c r="L51" s="222">
        <v>131198</v>
      </c>
      <c r="M51" s="222">
        <v>131198</v>
      </c>
      <c r="N51" s="222" t="s">
        <v>11</v>
      </c>
      <c r="O51" s="222" t="s">
        <v>9</v>
      </c>
      <c r="P51" s="224">
        <v>8240789.9299999997</v>
      </c>
      <c r="Q51" s="224">
        <v>500000</v>
      </c>
      <c r="R51" s="224">
        <v>1570.3799999999999</v>
      </c>
      <c r="S51" s="224"/>
      <c r="T51" s="224"/>
      <c r="U51" s="224"/>
      <c r="V51" s="224"/>
      <c r="W51" s="224"/>
      <c r="X51" s="224"/>
      <c r="Y51" s="222">
        <v>35500</v>
      </c>
      <c r="Z51" s="222">
        <v>131198</v>
      </c>
      <c r="AA51" s="224">
        <v>2819464.0500000003</v>
      </c>
      <c r="AB51" s="224">
        <v>0</v>
      </c>
      <c r="AC51" s="224">
        <v>1570.3799999999999</v>
      </c>
      <c r="AD51" s="224"/>
      <c r="AE51" s="224"/>
      <c r="AF51" s="224"/>
      <c r="AG51" s="224"/>
      <c r="AH51" s="224"/>
      <c r="AI51" s="224"/>
      <c r="AJ51" s="126"/>
      <c r="AK51" s="126"/>
      <c r="AL51" s="126"/>
      <c r="AM51" s="126"/>
      <c r="AN51" s="126"/>
    </row>
    <row r="52" spans="1:40" ht="15.75" customHeight="1">
      <c r="A52" s="221">
        <f t="shared" si="2"/>
        <v>46</v>
      </c>
      <c r="B52" s="222" t="s">
        <v>4601</v>
      </c>
      <c r="C52" s="222" t="s">
        <v>5</v>
      </c>
      <c r="D52" s="222" t="e">
        <f t="array" ref="D52">IF(F52="","",INDEX(#REF!,MATCH(F52,#REF!,0)))</f>
        <v>#REF!</v>
      </c>
      <c r="E52" s="222" t="e">
        <f t="array" ref="E52">IF(F52="","",INDEX(#REF!,MATCH(F52,#REF!,0)))</f>
        <v>#REF!</v>
      </c>
      <c r="F52" s="222" t="s">
        <v>21</v>
      </c>
      <c r="G52" s="222" t="s">
        <v>4499</v>
      </c>
      <c r="H52" s="223">
        <v>2.2999999999999998</v>
      </c>
      <c r="I52" s="222" t="s">
        <v>4625</v>
      </c>
      <c r="J52" s="222" t="s">
        <v>4625</v>
      </c>
      <c r="K52" s="222" t="s">
        <v>4622</v>
      </c>
      <c r="L52" s="222">
        <v>21830</v>
      </c>
      <c r="M52" s="222">
        <v>21830</v>
      </c>
      <c r="N52" s="222" t="s">
        <v>11</v>
      </c>
      <c r="O52" s="222" t="s">
        <v>9</v>
      </c>
      <c r="P52" s="224">
        <v>3617401.3400000003</v>
      </c>
      <c r="Q52" s="224"/>
      <c r="R52" s="224">
        <v>1151999.71</v>
      </c>
      <c r="S52" s="224"/>
      <c r="T52" s="224"/>
      <c r="U52" s="224"/>
      <c r="V52" s="224"/>
      <c r="W52" s="224"/>
      <c r="X52" s="224"/>
      <c r="Y52" s="222">
        <v>1766.5</v>
      </c>
      <c r="Z52" s="222">
        <v>21830</v>
      </c>
      <c r="AA52" s="224">
        <v>1144828.3600000001</v>
      </c>
      <c r="AB52" s="224"/>
      <c r="AC52" s="224">
        <v>509936</v>
      </c>
      <c r="AD52" s="224"/>
      <c r="AE52" s="224"/>
      <c r="AF52" s="224"/>
      <c r="AG52" s="224"/>
      <c r="AH52" s="224"/>
      <c r="AI52" s="224"/>
      <c r="AJ52" s="126"/>
      <c r="AK52" s="126"/>
      <c r="AL52" s="126"/>
      <c r="AM52" s="126"/>
      <c r="AN52" s="126"/>
    </row>
    <row r="53" spans="1:40" ht="15.75" customHeight="1">
      <c r="A53" s="221">
        <f t="shared" si="2"/>
        <v>47</v>
      </c>
      <c r="B53" s="222" t="s">
        <v>4601</v>
      </c>
      <c r="C53" s="222" t="s">
        <v>5</v>
      </c>
      <c r="D53" s="222" t="e">
        <f t="array" ref="D53">IF(F53="","",INDEX(#REF!,MATCH(F53,#REF!,0)))</f>
        <v>#REF!</v>
      </c>
      <c r="E53" s="222" t="e">
        <f t="array" ref="E53">IF(F53="","",INDEX(#REF!,MATCH(F53,#REF!,0)))</f>
        <v>#REF!</v>
      </c>
      <c r="F53" s="222" t="s">
        <v>21</v>
      </c>
      <c r="G53" s="222" t="s">
        <v>4495</v>
      </c>
      <c r="H53" s="223">
        <v>3</v>
      </c>
      <c r="I53" s="222" t="s">
        <v>4626</v>
      </c>
      <c r="J53" s="222" t="s">
        <v>4627</v>
      </c>
      <c r="K53" s="222" t="s">
        <v>4628</v>
      </c>
      <c r="L53" s="222">
        <v>1500</v>
      </c>
      <c r="M53" s="222">
        <v>1500</v>
      </c>
      <c r="N53" s="222" t="s">
        <v>11</v>
      </c>
      <c r="O53" s="222" t="s">
        <v>9</v>
      </c>
      <c r="P53" s="224"/>
      <c r="Q53" s="224"/>
      <c r="R53" s="224"/>
      <c r="S53" s="224"/>
      <c r="T53" s="224"/>
      <c r="U53" s="224"/>
      <c r="V53" s="224"/>
      <c r="W53" s="224"/>
      <c r="X53" s="224"/>
      <c r="Y53" s="222">
        <v>1529</v>
      </c>
      <c r="Z53" s="222">
        <v>1500</v>
      </c>
      <c r="AA53" s="224"/>
      <c r="AB53" s="224"/>
      <c r="AC53" s="224"/>
      <c r="AD53" s="224"/>
      <c r="AE53" s="224"/>
      <c r="AF53" s="224"/>
      <c r="AG53" s="224"/>
      <c r="AH53" s="224"/>
      <c r="AI53" s="224"/>
      <c r="AJ53" s="126"/>
      <c r="AK53" s="126"/>
      <c r="AL53" s="126"/>
      <c r="AM53" s="126"/>
      <c r="AN53" s="126"/>
    </row>
    <row r="54" spans="1:40" ht="15.75" customHeight="1">
      <c r="A54" s="221">
        <f t="shared" si="2"/>
        <v>48</v>
      </c>
      <c r="B54" s="222" t="s">
        <v>4601</v>
      </c>
      <c r="C54" s="222" t="s">
        <v>5</v>
      </c>
      <c r="D54" s="222" t="e">
        <f t="array" ref="D54">IF(F54="","",INDEX(#REF!,MATCH(F54,#REF!,0)))</f>
        <v>#REF!</v>
      </c>
      <c r="E54" s="222" t="e">
        <f t="array" ref="E54">IF(F54="","",INDEX(#REF!,MATCH(F54,#REF!,0)))</f>
        <v>#REF!</v>
      </c>
      <c r="F54" s="222" t="s">
        <v>21</v>
      </c>
      <c r="G54" s="222" t="s">
        <v>4499</v>
      </c>
      <c r="H54" s="223">
        <v>3.1</v>
      </c>
      <c r="I54" s="222" t="s">
        <v>4629</v>
      </c>
      <c r="J54" s="222" t="s">
        <v>4629</v>
      </c>
      <c r="K54" s="222" t="s">
        <v>4628</v>
      </c>
      <c r="L54" s="222">
        <v>1500</v>
      </c>
      <c r="M54" s="222">
        <v>1500</v>
      </c>
      <c r="N54" s="222" t="s">
        <v>11</v>
      </c>
      <c r="O54" s="222" t="s">
        <v>9</v>
      </c>
      <c r="P54" s="224">
        <v>147273830.97</v>
      </c>
      <c r="Q54" s="224">
        <v>325.95999999999998</v>
      </c>
      <c r="R54" s="224">
        <v>935124.8</v>
      </c>
      <c r="S54" s="224">
        <v>18736729.18</v>
      </c>
      <c r="T54" s="224"/>
      <c r="U54" s="224"/>
      <c r="V54" s="224"/>
      <c r="W54" s="224"/>
      <c r="X54" s="224"/>
      <c r="Y54" s="222">
        <v>547</v>
      </c>
      <c r="Z54" s="222">
        <v>1500</v>
      </c>
      <c r="AA54" s="224">
        <v>912726.92999999959</v>
      </c>
      <c r="AB54" s="224">
        <v>0</v>
      </c>
      <c r="AC54" s="224">
        <v>35124.800000000003</v>
      </c>
      <c r="AD54" s="224">
        <v>2422500</v>
      </c>
      <c r="AE54" s="224"/>
      <c r="AF54" s="224"/>
      <c r="AG54" s="224"/>
      <c r="AH54" s="224"/>
      <c r="AI54" s="224"/>
      <c r="AJ54" s="126"/>
      <c r="AK54" s="126"/>
      <c r="AL54" s="126"/>
      <c r="AM54" s="126"/>
      <c r="AN54" s="126"/>
    </row>
    <row r="55" spans="1:40" ht="15.75" customHeight="1">
      <c r="A55" s="221">
        <f t="shared" si="2"/>
        <v>49</v>
      </c>
      <c r="B55" s="222" t="s">
        <v>4601</v>
      </c>
      <c r="C55" s="222" t="s">
        <v>5</v>
      </c>
      <c r="D55" s="222" t="e">
        <f t="array" ref="D55">IF(F55="","",INDEX(#REF!,MATCH(F55,#REF!,0)))</f>
        <v>#REF!</v>
      </c>
      <c r="E55" s="222" t="e">
        <f t="array" ref="E55">IF(F55="","",INDEX(#REF!,MATCH(F55,#REF!,0)))</f>
        <v>#REF!</v>
      </c>
      <c r="F55" s="222" t="s">
        <v>21</v>
      </c>
      <c r="G55" s="222" t="s">
        <v>4499</v>
      </c>
      <c r="H55" s="223">
        <v>3.2</v>
      </c>
      <c r="I55" s="222" t="s">
        <v>4630</v>
      </c>
      <c r="J55" s="222" t="s">
        <v>4630</v>
      </c>
      <c r="K55" s="222" t="s">
        <v>4628</v>
      </c>
      <c r="L55" s="222">
        <v>1300</v>
      </c>
      <c r="M55" s="222">
        <v>1300</v>
      </c>
      <c r="N55" s="222" t="s">
        <v>11</v>
      </c>
      <c r="O55" s="222" t="s">
        <v>9</v>
      </c>
      <c r="P55" s="224"/>
      <c r="Q55" s="224"/>
      <c r="R55" s="224">
        <v>160408.25</v>
      </c>
      <c r="S55" s="224"/>
      <c r="T55" s="224"/>
      <c r="U55" s="224"/>
      <c r="V55" s="224"/>
      <c r="W55" s="224"/>
      <c r="X55" s="224"/>
      <c r="Y55" s="222">
        <v>581.53</v>
      </c>
      <c r="Z55" s="222">
        <v>1300</v>
      </c>
      <c r="AA55" s="224"/>
      <c r="AB55" s="224"/>
      <c r="AC55" s="224">
        <v>0</v>
      </c>
      <c r="AD55" s="224"/>
      <c r="AE55" s="224"/>
      <c r="AF55" s="224"/>
      <c r="AG55" s="224"/>
      <c r="AH55" s="224"/>
      <c r="AI55" s="224"/>
      <c r="AJ55" s="126"/>
      <c r="AK55" s="126"/>
      <c r="AL55" s="126"/>
      <c r="AM55" s="126"/>
      <c r="AN55" s="126"/>
    </row>
    <row r="56" spans="1:40" ht="15.75" customHeight="1">
      <c r="A56" s="221">
        <f t="shared" si="2"/>
        <v>50</v>
      </c>
      <c r="B56" s="222" t="s">
        <v>4601</v>
      </c>
      <c r="C56" s="222" t="s">
        <v>5</v>
      </c>
      <c r="D56" s="222" t="e">
        <f t="array" ref="D56">IF(F56="","",INDEX(#REF!,MATCH(F56,#REF!,0)))</f>
        <v>#REF!</v>
      </c>
      <c r="E56" s="222" t="e">
        <f t="array" ref="E56">IF(F56="","",INDEX(#REF!,MATCH(F56,#REF!,0)))</f>
        <v>#REF!</v>
      </c>
      <c r="F56" s="222" t="s">
        <v>21</v>
      </c>
      <c r="G56" s="222" t="s">
        <v>4499</v>
      </c>
      <c r="H56" s="223">
        <v>3.3</v>
      </c>
      <c r="I56" s="222" t="s">
        <v>4631</v>
      </c>
      <c r="J56" s="222" t="s">
        <v>4631</v>
      </c>
      <c r="K56" s="222" t="s">
        <v>4628</v>
      </c>
      <c r="L56" s="222">
        <v>0</v>
      </c>
      <c r="M56" s="222">
        <v>0</v>
      </c>
      <c r="N56" s="222" t="s">
        <v>11</v>
      </c>
      <c r="O56" s="222" t="s">
        <v>9</v>
      </c>
      <c r="P56" s="224"/>
      <c r="Q56" s="224"/>
      <c r="R56" s="224">
        <v>1139591.75</v>
      </c>
      <c r="S56" s="224"/>
      <c r="T56" s="224"/>
      <c r="U56" s="224"/>
      <c r="V56" s="224"/>
      <c r="W56" s="224"/>
      <c r="X56" s="224"/>
      <c r="Y56" s="222">
        <v>0</v>
      </c>
      <c r="Z56" s="222">
        <v>0</v>
      </c>
      <c r="AA56" s="224"/>
      <c r="AB56" s="224"/>
      <c r="AC56" s="224">
        <v>0</v>
      </c>
      <c r="AD56" s="224"/>
      <c r="AE56" s="224"/>
      <c r="AF56" s="224"/>
      <c r="AG56" s="224"/>
      <c r="AH56" s="224"/>
      <c r="AI56" s="224"/>
      <c r="AJ56" s="126"/>
      <c r="AK56" s="126"/>
      <c r="AL56" s="126"/>
      <c r="AM56" s="126"/>
      <c r="AN56" s="126"/>
    </row>
    <row r="57" spans="1:40" ht="15.75" customHeight="1">
      <c r="A57" s="221">
        <f t="shared" si="2"/>
        <v>51</v>
      </c>
      <c r="B57" s="222" t="s">
        <v>4601</v>
      </c>
      <c r="C57" s="222" t="s">
        <v>5</v>
      </c>
      <c r="D57" s="222" t="e">
        <f t="array" ref="D57">IF(F57="","",INDEX(#REF!,MATCH(F57,#REF!,0)))</f>
        <v>#REF!</v>
      </c>
      <c r="E57" s="222" t="e">
        <f t="array" ref="E57">IF(F57="","",INDEX(#REF!,MATCH(F57,#REF!,0)))</f>
        <v>#REF!</v>
      </c>
      <c r="F57" s="222" t="s">
        <v>21</v>
      </c>
      <c r="G57" s="222" t="s">
        <v>4499</v>
      </c>
      <c r="H57" s="223">
        <v>3.4</v>
      </c>
      <c r="I57" s="222" t="s">
        <v>4632</v>
      </c>
      <c r="J57" s="222" t="s">
        <v>4632</v>
      </c>
      <c r="K57" s="222" t="s">
        <v>4633</v>
      </c>
      <c r="L57" s="222">
        <v>0</v>
      </c>
      <c r="M57" s="222">
        <v>0</v>
      </c>
      <c r="N57" s="222" t="s">
        <v>11</v>
      </c>
      <c r="O57" s="222" t="s">
        <v>9</v>
      </c>
      <c r="P57" s="224">
        <v>3552833.67</v>
      </c>
      <c r="Q57" s="224"/>
      <c r="R57" s="224">
        <v>6500000</v>
      </c>
      <c r="S57" s="224"/>
      <c r="T57" s="224"/>
      <c r="U57" s="224"/>
      <c r="V57" s="224"/>
      <c r="W57" s="224"/>
      <c r="X57" s="224"/>
      <c r="Y57" s="222">
        <v>0</v>
      </c>
      <c r="Z57" s="222">
        <v>0</v>
      </c>
      <c r="AA57" s="224">
        <v>1252906.8400000001</v>
      </c>
      <c r="AB57" s="224"/>
      <c r="AC57" s="224">
        <v>0</v>
      </c>
      <c r="AD57" s="224"/>
      <c r="AE57" s="224"/>
      <c r="AF57" s="224"/>
      <c r="AG57" s="224"/>
      <c r="AH57" s="224"/>
      <c r="AI57" s="224"/>
      <c r="AJ57" s="126"/>
      <c r="AK57" s="126"/>
      <c r="AL57" s="126"/>
      <c r="AM57" s="126"/>
      <c r="AN57" s="126"/>
    </row>
    <row r="58" spans="1:40" ht="15.75" customHeight="1">
      <c r="A58" s="221">
        <f t="shared" si="2"/>
        <v>52</v>
      </c>
      <c r="B58" s="222" t="s">
        <v>4601</v>
      </c>
      <c r="C58" s="222" t="s">
        <v>5</v>
      </c>
      <c r="D58" s="222" t="e">
        <f t="array" ref="D58">IF(F58="","",INDEX(#REF!,MATCH(F58,#REF!,0)))</f>
        <v>#REF!</v>
      </c>
      <c r="E58" s="222" t="e">
        <f t="array" ref="E58">IF(F58="","",INDEX(#REF!,MATCH(F58,#REF!,0)))</f>
        <v>#REF!</v>
      </c>
      <c r="F58" s="222" t="s">
        <v>21</v>
      </c>
      <c r="G58" s="222" t="s">
        <v>4495</v>
      </c>
      <c r="H58" s="223">
        <v>4</v>
      </c>
      <c r="I58" s="222" t="s">
        <v>4634</v>
      </c>
      <c r="J58" s="222" t="s">
        <v>4635</v>
      </c>
      <c r="K58" s="222" t="s">
        <v>4636</v>
      </c>
      <c r="L58" s="222">
        <v>2843</v>
      </c>
      <c r="M58" s="222">
        <v>2843</v>
      </c>
      <c r="N58" s="222" t="s">
        <v>11</v>
      </c>
      <c r="O58" s="222" t="s">
        <v>9</v>
      </c>
      <c r="P58" s="224"/>
      <c r="Q58" s="224"/>
      <c r="R58" s="224"/>
      <c r="S58" s="224"/>
      <c r="T58" s="224"/>
      <c r="U58" s="224"/>
      <c r="V58" s="224"/>
      <c r="W58" s="224"/>
      <c r="X58" s="224"/>
      <c r="Y58" s="222">
        <v>1687.16</v>
      </c>
      <c r="Z58" s="222">
        <v>2843</v>
      </c>
      <c r="AA58" s="224"/>
      <c r="AB58" s="224"/>
      <c r="AC58" s="224"/>
      <c r="AD58" s="224"/>
      <c r="AE58" s="224"/>
      <c r="AF58" s="224"/>
      <c r="AG58" s="224"/>
      <c r="AH58" s="224"/>
      <c r="AI58" s="224"/>
      <c r="AJ58" s="126"/>
      <c r="AK58" s="126"/>
      <c r="AL58" s="126"/>
      <c r="AM58" s="126"/>
      <c r="AN58" s="126"/>
    </row>
    <row r="59" spans="1:40" ht="15.75" customHeight="1">
      <c r="A59" s="221">
        <f t="shared" si="2"/>
        <v>53</v>
      </c>
      <c r="B59" s="222" t="s">
        <v>4601</v>
      </c>
      <c r="C59" s="222" t="s">
        <v>5</v>
      </c>
      <c r="D59" s="222" t="e">
        <f t="array" ref="D59">IF(F59="","",INDEX(#REF!,MATCH(F59,#REF!,0)))</f>
        <v>#REF!</v>
      </c>
      <c r="E59" s="222" t="e">
        <f t="array" ref="E59">IF(F59="","",INDEX(#REF!,MATCH(F59,#REF!,0)))</f>
        <v>#REF!</v>
      </c>
      <c r="F59" s="222" t="s">
        <v>21</v>
      </c>
      <c r="G59" s="222" t="s">
        <v>4499</v>
      </c>
      <c r="H59" s="223">
        <v>4.0999999999999996</v>
      </c>
      <c r="I59" s="222" t="s">
        <v>4637</v>
      </c>
      <c r="J59" s="222" t="s">
        <v>4637</v>
      </c>
      <c r="K59" s="222" t="s">
        <v>4638</v>
      </c>
      <c r="L59" s="222">
        <v>2071</v>
      </c>
      <c r="M59" s="222">
        <v>2071</v>
      </c>
      <c r="N59" s="222" t="s">
        <v>11</v>
      </c>
      <c r="O59" s="222" t="s">
        <v>9</v>
      </c>
      <c r="P59" s="224"/>
      <c r="Q59" s="224"/>
      <c r="R59" s="224">
        <v>8277212.2299999995</v>
      </c>
      <c r="S59" s="224"/>
      <c r="T59" s="224"/>
      <c r="U59" s="224"/>
      <c r="V59" s="224"/>
      <c r="W59" s="224"/>
      <c r="X59" s="224"/>
      <c r="Y59" s="222">
        <v>778.63</v>
      </c>
      <c r="Z59" s="222">
        <v>2071</v>
      </c>
      <c r="AA59" s="224"/>
      <c r="AB59" s="224"/>
      <c r="AC59" s="224">
        <v>0</v>
      </c>
      <c r="AD59" s="224"/>
      <c r="AE59" s="224"/>
      <c r="AF59" s="224"/>
      <c r="AG59" s="224"/>
      <c r="AH59" s="224"/>
      <c r="AI59" s="224"/>
      <c r="AJ59" s="126"/>
      <c r="AK59" s="126"/>
      <c r="AL59" s="126"/>
      <c r="AM59" s="126"/>
      <c r="AN59" s="126"/>
    </row>
    <row r="60" spans="1:40" ht="15.75" customHeight="1">
      <c r="A60" s="221">
        <f t="shared" si="2"/>
        <v>54</v>
      </c>
      <c r="B60" s="222" t="s">
        <v>4601</v>
      </c>
      <c r="C60" s="222" t="s">
        <v>5</v>
      </c>
      <c r="D60" s="222" t="e">
        <f t="array" ref="D60">IF(F60="","",INDEX(#REF!,MATCH(F60,#REF!,0)))</f>
        <v>#REF!</v>
      </c>
      <c r="E60" s="222" t="e">
        <f t="array" ref="E60">IF(F60="","",INDEX(#REF!,MATCH(F60,#REF!,0)))</f>
        <v>#REF!</v>
      </c>
      <c r="F60" s="222" t="s">
        <v>21</v>
      </c>
      <c r="G60" s="222" t="s">
        <v>4499</v>
      </c>
      <c r="H60" s="223">
        <v>4.2</v>
      </c>
      <c r="I60" s="222" t="s">
        <v>4639</v>
      </c>
      <c r="J60" s="222" t="s">
        <v>4639</v>
      </c>
      <c r="K60" s="222" t="s">
        <v>4640</v>
      </c>
      <c r="L60" s="222">
        <v>10</v>
      </c>
      <c r="M60" s="222">
        <v>10</v>
      </c>
      <c r="N60" s="222" t="s">
        <v>11</v>
      </c>
      <c r="O60" s="222" t="s">
        <v>9</v>
      </c>
      <c r="P60" s="224"/>
      <c r="Q60" s="224">
        <v>3110668</v>
      </c>
      <c r="R60" s="224"/>
      <c r="S60" s="224"/>
      <c r="T60" s="224"/>
      <c r="U60" s="224"/>
      <c r="V60" s="224"/>
      <c r="W60" s="224"/>
      <c r="X60" s="224"/>
      <c r="Y60" s="222">
        <v>0</v>
      </c>
      <c r="Z60" s="222">
        <v>10</v>
      </c>
      <c r="AA60" s="224"/>
      <c r="AB60" s="224">
        <v>18126</v>
      </c>
      <c r="AC60" s="224"/>
      <c r="AD60" s="224"/>
      <c r="AE60" s="224"/>
      <c r="AF60" s="224"/>
      <c r="AG60" s="224"/>
      <c r="AH60" s="224"/>
      <c r="AI60" s="224"/>
      <c r="AJ60" s="126"/>
      <c r="AK60" s="126"/>
      <c r="AL60" s="126"/>
      <c r="AM60" s="126"/>
      <c r="AN60" s="126"/>
    </row>
    <row r="61" spans="1:40" ht="15.75" customHeight="1">
      <c r="A61" s="221">
        <f t="shared" si="2"/>
        <v>55</v>
      </c>
      <c r="B61" s="222" t="s">
        <v>4641</v>
      </c>
      <c r="C61" s="222" t="s">
        <v>5</v>
      </c>
      <c r="D61" s="222" t="e">
        <f t="array" ref="D61">IF(F61="","",INDEX(#REF!,MATCH(F61,#REF!,0)))</f>
        <v>#REF!</v>
      </c>
      <c r="E61" s="222" t="e">
        <f t="array" ref="E61">IF(F61="","",INDEX(#REF!,MATCH(F61,#REF!,0)))</f>
        <v>#REF!</v>
      </c>
      <c r="F61" s="222" t="s">
        <v>10</v>
      </c>
      <c r="G61" s="222" t="s">
        <v>0</v>
      </c>
      <c r="H61" s="223" t="s">
        <v>4487</v>
      </c>
      <c r="I61" s="222" t="s">
        <v>4642</v>
      </c>
      <c r="J61" s="222" t="s">
        <v>4643</v>
      </c>
      <c r="K61" s="222" t="s">
        <v>4644</v>
      </c>
      <c r="L61" s="222">
        <v>0</v>
      </c>
      <c r="M61" s="222">
        <v>0</v>
      </c>
      <c r="N61" s="222" t="s">
        <v>15</v>
      </c>
      <c r="O61" s="222" t="s">
        <v>4611</v>
      </c>
      <c r="P61" s="224"/>
      <c r="Q61" s="224"/>
      <c r="R61" s="224"/>
      <c r="S61" s="224"/>
      <c r="T61" s="224"/>
      <c r="U61" s="224"/>
      <c r="V61" s="224"/>
      <c r="W61" s="224"/>
      <c r="X61" s="224"/>
      <c r="Y61" s="222">
        <v>0</v>
      </c>
      <c r="Z61" s="222">
        <v>0</v>
      </c>
      <c r="AA61" s="224"/>
      <c r="AB61" s="224"/>
      <c r="AC61" s="224"/>
      <c r="AD61" s="224"/>
      <c r="AE61" s="224"/>
      <c r="AF61" s="224"/>
      <c r="AG61" s="224"/>
      <c r="AH61" s="224"/>
      <c r="AI61" s="224"/>
      <c r="AJ61" s="126"/>
      <c r="AK61" s="126"/>
      <c r="AL61" s="126"/>
      <c r="AM61" s="126"/>
      <c r="AN61" s="126"/>
    </row>
    <row r="62" spans="1:40" ht="15.75" customHeight="1">
      <c r="A62" s="221">
        <f t="shared" si="2"/>
        <v>56</v>
      </c>
      <c r="B62" s="222" t="s">
        <v>4641</v>
      </c>
      <c r="C62" s="222" t="s">
        <v>5</v>
      </c>
      <c r="D62" s="222" t="e">
        <f t="array" ref="D62">IF(F62="","",INDEX(#REF!,MATCH(F62,#REF!,0)))</f>
        <v>#REF!</v>
      </c>
      <c r="E62" s="222" t="e">
        <f t="array" ref="E62">IF(F62="","",INDEX(#REF!,MATCH(F62,#REF!,0)))</f>
        <v>#REF!</v>
      </c>
      <c r="F62" s="222" t="s">
        <v>10</v>
      </c>
      <c r="G62" s="222" t="s">
        <v>4491</v>
      </c>
      <c r="H62" s="223" t="s">
        <v>4487</v>
      </c>
      <c r="I62" s="222" t="s">
        <v>4645</v>
      </c>
      <c r="J62" s="222" t="s">
        <v>4646</v>
      </c>
      <c r="K62" s="222" t="s">
        <v>4647</v>
      </c>
      <c r="L62" s="222">
        <v>40</v>
      </c>
      <c r="M62" s="222">
        <v>40</v>
      </c>
      <c r="N62" s="222" t="s">
        <v>15</v>
      </c>
      <c r="O62" s="222" t="s">
        <v>4611</v>
      </c>
      <c r="P62" s="224"/>
      <c r="Q62" s="224"/>
      <c r="R62" s="224"/>
      <c r="S62" s="224"/>
      <c r="T62" s="224"/>
      <c r="U62" s="224"/>
      <c r="V62" s="224"/>
      <c r="W62" s="224"/>
      <c r="X62" s="224"/>
      <c r="Y62" s="222">
        <v>14</v>
      </c>
      <c r="Z62" s="222">
        <v>40</v>
      </c>
      <c r="AA62" s="224"/>
      <c r="AB62" s="224"/>
      <c r="AC62" s="224"/>
      <c r="AD62" s="224"/>
      <c r="AE62" s="224"/>
      <c r="AF62" s="224"/>
      <c r="AG62" s="224"/>
      <c r="AH62" s="224"/>
      <c r="AI62" s="224"/>
      <c r="AJ62" s="126"/>
      <c r="AK62" s="126"/>
      <c r="AL62" s="126"/>
      <c r="AM62" s="126"/>
      <c r="AN62" s="126"/>
    </row>
    <row r="63" spans="1:40" ht="15.75" customHeight="1">
      <c r="A63" s="221">
        <f t="shared" si="2"/>
        <v>57</v>
      </c>
      <c r="B63" s="222" t="s">
        <v>4641</v>
      </c>
      <c r="C63" s="222" t="s">
        <v>5</v>
      </c>
      <c r="D63" s="222" t="e">
        <f t="array" ref="D63">IF(F63="","",INDEX(#REF!,MATCH(F63,#REF!,0)))</f>
        <v>#REF!</v>
      </c>
      <c r="E63" s="222" t="e">
        <f t="array" ref="E63">IF(F63="","",INDEX(#REF!,MATCH(F63,#REF!,0)))</f>
        <v>#REF!</v>
      </c>
      <c r="F63" s="222" t="s">
        <v>10</v>
      </c>
      <c r="G63" s="222" t="s">
        <v>4495</v>
      </c>
      <c r="H63" s="223">
        <v>1</v>
      </c>
      <c r="I63" s="222" t="s">
        <v>4648</v>
      </c>
      <c r="J63" s="222" t="s">
        <v>4649</v>
      </c>
      <c r="K63" s="222" t="s">
        <v>4650</v>
      </c>
      <c r="L63" s="222">
        <v>26</v>
      </c>
      <c r="M63" s="222">
        <v>26</v>
      </c>
      <c r="N63" s="222" t="s">
        <v>13</v>
      </c>
      <c r="O63" s="222" t="s">
        <v>9</v>
      </c>
      <c r="P63" s="224"/>
      <c r="Q63" s="224"/>
      <c r="R63" s="224"/>
      <c r="S63" s="224"/>
      <c r="T63" s="224"/>
      <c r="U63" s="224"/>
      <c r="V63" s="224"/>
      <c r="W63" s="224"/>
      <c r="X63" s="224"/>
      <c r="Y63" s="222">
        <v>38</v>
      </c>
      <c r="Z63" s="222">
        <v>26</v>
      </c>
      <c r="AA63" s="224"/>
      <c r="AB63" s="224"/>
      <c r="AC63" s="224"/>
      <c r="AD63" s="224"/>
      <c r="AE63" s="224"/>
      <c r="AF63" s="224"/>
      <c r="AG63" s="224"/>
      <c r="AH63" s="224"/>
      <c r="AI63" s="224"/>
      <c r="AJ63" s="126"/>
      <c r="AK63" s="126"/>
      <c r="AL63" s="126"/>
      <c r="AM63" s="126"/>
      <c r="AN63" s="126"/>
    </row>
    <row r="64" spans="1:40" ht="15.75" customHeight="1">
      <c r="A64" s="221">
        <f t="shared" si="2"/>
        <v>58</v>
      </c>
      <c r="B64" s="222" t="s">
        <v>4641</v>
      </c>
      <c r="C64" s="222" t="s">
        <v>5</v>
      </c>
      <c r="D64" s="222" t="e">
        <f t="array" ref="D64">IF(F64="","",INDEX(#REF!,MATCH(F64,#REF!,0)))</f>
        <v>#REF!</v>
      </c>
      <c r="E64" s="222" t="e">
        <f t="array" ref="E64">IF(F64="","",INDEX(#REF!,MATCH(F64,#REF!,0)))</f>
        <v>#REF!</v>
      </c>
      <c r="F64" s="222" t="s">
        <v>10</v>
      </c>
      <c r="G64" s="222" t="s">
        <v>4499</v>
      </c>
      <c r="H64" s="223">
        <v>1.1000000000000001</v>
      </c>
      <c r="I64" s="222" t="s">
        <v>4651</v>
      </c>
      <c r="J64" s="222" t="s">
        <v>4652</v>
      </c>
      <c r="K64" s="222" t="s">
        <v>4653</v>
      </c>
      <c r="L64" s="222">
        <v>13</v>
      </c>
      <c r="M64" s="222">
        <v>13</v>
      </c>
      <c r="N64" s="222" t="s">
        <v>11</v>
      </c>
      <c r="O64" s="222" t="s">
        <v>9</v>
      </c>
      <c r="P64" s="224">
        <v>56011650.159999989</v>
      </c>
      <c r="Q64" s="224">
        <v>65562.100000000006</v>
      </c>
      <c r="R64" s="224">
        <v>51556</v>
      </c>
      <c r="S64" s="224"/>
      <c r="T64" s="224">
        <v>30940</v>
      </c>
      <c r="U64" s="224"/>
      <c r="V64" s="224"/>
      <c r="W64" s="224"/>
      <c r="X64" s="224"/>
      <c r="Y64" s="222">
        <v>18</v>
      </c>
      <c r="Z64" s="222">
        <v>13</v>
      </c>
      <c r="AA64" s="224">
        <v>53668128.400000013</v>
      </c>
      <c r="AB64" s="224">
        <v>5605.1500000000005</v>
      </c>
      <c r="AC64" s="224">
        <v>10556</v>
      </c>
      <c r="AD64" s="224"/>
      <c r="AE64" s="224">
        <v>0</v>
      </c>
      <c r="AF64" s="224"/>
      <c r="AG64" s="224"/>
      <c r="AH64" s="224"/>
      <c r="AI64" s="224"/>
      <c r="AJ64" s="126"/>
      <c r="AK64" s="126"/>
      <c r="AL64" s="126"/>
      <c r="AM64" s="126"/>
      <c r="AN64" s="126"/>
    </row>
    <row r="65" spans="1:40" ht="15.75" customHeight="1">
      <c r="A65" s="221">
        <f t="shared" si="2"/>
        <v>59</v>
      </c>
      <c r="B65" s="222" t="s">
        <v>4641</v>
      </c>
      <c r="C65" s="222" t="s">
        <v>5</v>
      </c>
      <c r="D65" s="222" t="e">
        <f t="array" ref="D65">IF(F65="","",INDEX(#REF!,MATCH(F65,#REF!,0)))</f>
        <v>#REF!</v>
      </c>
      <c r="E65" s="222" t="e">
        <f t="array" ref="E65">IF(F65="","",INDEX(#REF!,MATCH(F65,#REF!,0)))</f>
        <v>#REF!</v>
      </c>
      <c r="F65" s="222" t="s">
        <v>10</v>
      </c>
      <c r="G65" s="222" t="s">
        <v>4499</v>
      </c>
      <c r="H65" s="223">
        <v>1.2</v>
      </c>
      <c r="I65" s="222" t="s">
        <v>4654</v>
      </c>
      <c r="J65" s="222" t="s">
        <v>4655</v>
      </c>
      <c r="K65" s="222" t="s">
        <v>4656</v>
      </c>
      <c r="L65" s="222">
        <v>13</v>
      </c>
      <c r="M65" s="222">
        <v>13</v>
      </c>
      <c r="N65" s="222" t="s">
        <v>11</v>
      </c>
      <c r="O65" s="222" t="s">
        <v>9</v>
      </c>
      <c r="P65" s="224"/>
      <c r="Q65" s="224"/>
      <c r="R65" s="224">
        <v>150000</v>
      </c>
      <c r="S65" s="224"/>
      <c r="T65" s="224">
        <v>2000</v>
      </c>
      <c r="U65" s="224"/>
      <c r="V65" s="224"/>
      <c r="W65" s="224"/>
      <c r="X65" s="224"/>
      <c r="Y65" s="222">
        <v>18</v>
      </c>
      <c r="Z65" s="222">
        <v>13</v>
      </c>
      <c r="AA65" s="224"/>
      <c r="AB65" s="224"/>
      <c r="AC65" s="224">
        <v>0</v>
      </c>
      <c r="AD65" s="224"/>
      <c r="AE65" s="224">
        <v>2000</v>
      </c>
      <c r="AF65" s="224"/>
      <c r="AG65" s="224"/>
      <c r="AH65" s="224"/>
      <c r="AI65" s="224"/>
      <c r="AJ65" s="126"/>
      <c r="AK65" s="126"/>
      <c r="AL65" s="126"/>
      <c r="AM65" s="126"/>
      <c r="AN65" s="126"/>
    </row>
    <row r="66" spans="1:40" ht="15.75" customHeight="1">
      <c r="A66" s="221">
        <f t="shared" si="2"/>
        <v>60</v>
      </c>
      <c r="B66" s="222" t="s">
        <v>4641</v>
      </c>
      <c r="C66" s="222" t="s">
        <v>5</v>
      </c>
      <c r="D66" s="222" t="e">
        <f t="array" ref="D66">IF(F66="","",INDEX(#REF!,MATCH(F66,#REF!,0)))</f>
        <v>#REF!</v>
      </c>
      <c r="E66" s="222" t="e">
        <f t="array" ref="E66">IF(F66="","",INDEX(#REF!,MATCH(F66,#REF!,0)))</f>
        <v>#REF!</v>
      </c>
      <c r="F66" s="222" t="s">
        <v>10</v>
      </c>
      <c r="G66" s="222" t="s">
        <v>4495</v>
      </c>
      <c r="H66" s="223">
        <v>2</v>
      </c>
      <c r="I66" s="222" t="s">
        <v>4657</v>
      </c>
      <c r="J66" s="222" t="s">
        <v>4658</v>
      </c>
      <c r="K66" s="222" t="s">
        <v>4659</v>
      </c>
      <c r="L66" s="222">
        <v>22</v>
      </c>
      <c r="M66" s="222">
        <v>22</v>
      </c>
      <c r="N66" s="222" t="s">
        <v>11</v>
      </c>
      <c r="O66" s="222" t="s">
        <v>9</v>
      </c>
      <c r="P66" s="224"/>
      <c r="Q66" s="224"/>
      <c r="R66" s="224"/>
      <c r="S66" s="224"/>
      <c r="T66" s="224"/>
      <c r="U66" s="224"/>
      <c r="V66" s="224"/>
      <c r="W66" s="224"/>
      <c r="X66" s="224"/>
      <c r="Y66" s="222">
        <v>30</v>
      </c>
      <c r="Z66" s="222">
        <v>22</v>
      </c>
      <c r="AA66" s="224"/>
      <c r="AB66" s="224"/>
      <c r="AC66" s="224"/>
      <c r="AD66" s="224"/>
      <c r="AE66" s="224"/>
      <c r="AF66" s="224"/>
      <c r="AG66" s="224"/>
      <c r="AH66" s="224"/>
      <c r="AI66" s="224"/>
      <c r="AJ66" s="126"/>
      <c r="AK66" s="126"/>
      <c r="AL66" s="126"/>
      <c r="AM66" s="126"/>
      <c r="AN66" s="126"/>
    </row>
    <row r="67" spans="1:40" ht="15.75" customHeight="1">
      <c r="A67" s="221">
        <f t="shared" si="2"/>
        <v>61</v>
      </c>
      <c r="B67" s="222" t="s">
        <v>4641</v>
      </c>
      <c r="C67" s="222" t="s">
        <v>5</v>
      </c>
      <c r="D67" s="222" t="e">
        <f t="array" ref="D67">IF(F67="","",INDEX(#REF!,MATCH(F67,#REF!,0)))</f>
        <v>#REF!</v>
      </c>
      <c r="E67" s="222" t="e">
        <f t="array" ref="E67">IF(F67="","",INDEX(#REF!,MATCH(F67,#REF!,0)))</f>
        <v>#REF!</v>
      </c>
      <c r="F67" s="222" t="s">
        <v>10</v>
      </c>
      <c r="G67" s="222" t="s">
        <v>4499</v>
      </c>
      <c r="H67" s="223">
        <v>2.1</v>
      </c>
      <c r="I67" s="222" t="s">
        <v>4660</v>
      </c>
      <c r="J67" s="222" t="s">
        <v>4661</v>
      </c>
      <c r="K67" s="222" t="s">
        <v>4662</v>
      </c>
      <c r="L67" s="222">
        <v>22</v>
      </c>
      <c r="M67" s="222">
        <v>48</v>
      </c>
      <c r="N67" s="222" t="s">
        <v>11</v>
      </c>
      <c r="O67" s="222" t="s">
        <v>9</v>
      </c>
      <c r="P67" s="224">
        <v>11470157.880000001</v>
      </c>
      <c r="Q67" s="224">
        <v>2500</v>
      </c>
      <c r="R67" s="224">
        <v>94000</v>
      </c>
      <c r="S67" s="224"/>
      <c r="T67" s="224"/>
      <c r="U67" s="224"/>
      <c r="V67" s="224"/>
      <c r="W67" s="224"/>
      <c r="X67" s="224"/>
      <c r="Y67" s="222">
        <v>34</v>
      </c>
      <c r="Z67" s="222">
        <v>48</v>
      </c>
      <c r="AA67" s="224">
        <v>4839720.5399999972</v>
      </c>
      <c r="AB67" s="224">
        <v>0</v>
      </c>
      <c r="AC67" s="224">
        <v>7192</v>
      </c>
      <c r="AD67" s="224"/>
      <c r="AE67" s="224"/>
      <c r="AF67" s="224"/>
      <c r="AG67" s="224"/>
      <c r="AH67" s="224"/>
      <c r="AI67" s="224"/>
      <c r="AJ67" s="126"/>
      <c r="AK67" s="126"/>
      <c r="AL67" s="126"/>
      <c r="AM67" s="126"/>
      <c r="AN67" s="126"/>
    </row>
    <row r="68" spans="1:40" ht="15.75" customHeight="1">
      <c r="A68" s="221">
        <f t="shared" si="2"/>
        <v>62</v>
      </c>
      <c r="B68" s="222" t="s">
        <v>4641</v>
      </c>
      <c r="C68" s="222" t="s">
        <v>5</v>
      </c>
      <c r="D68" s="222" t="e">
        <f t="array" ref="D68">IF(F68="","",INDEX(#REF!,MATCH(F68,#REF!,0)))</f>
        <v>#REF!</v>
      </c>
      <c r="E68" s="222" t="e">
        <f t="array" ref="E68">IF(F68="","",INDEX(#REF!,MATCH(F68,#REF!,0)))</f>
        <v>#REF!</v>
      </c>
      <c r="F68" s="222" t="s">
        <v>10</v>
      </c>
      <c r="G68" s="222" t="s">
        <v>4499</v>
      </c>
      <c r="H68" s="223">
        <v>2.2000000000000002</v>
      </c>
      <c r="I68" s="222" t="s">
        <v>4663</v>
      </c>
      <c r="J68" s="222" t="s">
        <v>4664</v>
      </c>
      <c r="K68" s="222" t="s">
        <v>4665</v>
      </c>
      <c r="L68" s="222">
        <v>10</v>
      </c>
      <c r="M68" s="222">
        <v>10</v>
      </c>
      <c r="N68" s="222" t="s">
        <v>11</v>
      </c>
      <c r="O68" s="222" t="s">
        <v>9</v>
      </c>
      <c r="P68" s="224"/>
      <c r="Q68" s="224"/>
      <c r="R68" s="224"/>
      <c r="S68" s="224"/>
      <c r="T68" s="224">
        <v>163000</v>
      </c>
      <c r="U68" s="224"/>
      <c r="V68" s="224"/>
      <c r="W68" s="224"/>
      <c r="X68" s="224"/>
      <c r="Y68" s="222">
        <v>14</v>
      </c>
      <c r="Z68" s="222">
        <v>10</v>
      </c>
      <c r="AA68" s="224"/>
      <c r="AB68" s="224"/>
      <c r="AC68" s="224"/>
      <c r="AD68" s="224"/>
      <c r="AE68" s="224">
        <v>0</v>
      </c>
      <c r="AF68" s="224"/>
      <c r="AG68" s="224"/>
      <c r="AH68" s="224"/>
      <c r="AI68" s="224"/>
      <c r="AJ68" s="126"/>
      <c r="AK68" s="126"/>
      <c r="AL68" s="126"/>
      <c r="AM68" s="126"/>
      <c r="AN68" s="126"/>
    </row>
    <row r="69" spans="1:40" ht="15.75" customHeight="1">
      <c r="A69" s="221">
        <f t="shared" si="2"/>
        <v>63</v>
      </c>
      <c r="B69" s="222" t="s">
        <v>4641</v>
      </c>
      <c r="C69" s="222" t="s">
        <v>5</v>
      </c>
      <c r="D69" s="222" t="e">
        <f t="array" ref="D69">IF(F69="","",INDEX(#REF!,MATCH(F69,#REF!,0)))</f>
        <v>#REF!</v>
      </c>
      <c r="E69" s="222" t="e">
        <f t="array" ref="E69">IF(F69="","",INDEX(#REF!,MATCH(F69,#REF!,0)))</f>
        <v>#REF!</v>
      </c>
      <c r="F69" s="222" t="s">
        <v>10</v>
      </c>
      <c r="G69" s="222" t="s">
        <v>4495</v>
      </c>
      <c r="H69" s="223">
        <v>3</v>
      </c>
      <c r="I69" s="222" t="s">
        <v>4666</v>
      </c>
      <c r="J69" s="222" t="s">
        <v>4667</v>
      </c>
      <c r="K69" s="222" t="s">
        <v>4668</v>
      </c>
      <c r="L69" s="222">
        <v>528</v>
      </c>
      <c r="M69" s="222">
        <v>640</v>
      </c>
      <c r="N69" s="222" t="s">
        <v>11</v>
      </c>
      <c r="O69" s="222" t="s">
        <v>4611</v>
      </c>
      <c r="P69" s="224"/>
      <c r="Q69" s="224"/>
      <c r="R69" s="224"/>
      <c r="S69" s="224"/>
      <c r="T69" s="224"/>
      <c r="U69" s="224"/>
      <c r="V69" s="224"/>
      <c r="W69" s="224"/>
      <c r="X69" s="224"/>
      <c r="Y69" s="222">
        <v>838</v>
      </c>
      <c r="Z69" s="222">
        <v>640</v>
      </c>
      <c r="AA69" s="224"/>
      <c r="AB69" s="224"/>
      <c r="AC69" s="224"/>
      <c r="AD69" s="224"/>
      <c r="AE69" s="224"/>
      <c r="AF69" s="224"/>
      <c r="AG69" s="224"/>
      <c r="AH69" s="224"/>
      <c r="AI69" s="224"/>
      <c r="AJ69" s="126"/>
      <c r="AK69" s="126"/>
      <c r="AL69" s="126"/>
      <c r="AM69" s="126"/>
      <c r="AN69" s="126"/>
    </row>
    <row r="70" spans="1:40" ht="15.75" customHeight="1">
      <c r="A70" s="221">
        <f t="shared" si="2"/>
        <v>64</v>
      </c>
      <c r="B70" s="222" t="s">
        <v>4641</v>
      </c>
      <c r="C70" s="222" t="s">
        <v>5</v>
      </c>
      <c r="D70" s="222" t="e">
        <f t="array" ref="D70">IF(F70="","",INDEX(#REF!,MATCH(F70,#REF!,0)))</f>
        <v>#REF!</v>
      </c>
      <c r="E70" s="222" t="e">
        <f t="array" ref="E70">IF(F70="","",INDEX(#REF!,MATCH(F70,#REF!,0)))</f>
        <v>#REF!</v>
      </c>
      <c r="F70" s="222" t="s">
        <v>10</v>
      </c>
      <c r="G70" s="222" t="s">
        <v>4499</v>
      </c>
      <c r="H70" s="223">
        <v>3.1</v>
      </c>
      <c r="I70" s="222" t="s">
        <v>4669</v>
      </c>
      <c r="J70" s="222" t="s">
        <v>4670</v>
      </c>
      <c r="K70" s="222" t="s">
        <v>4671</v>
      </c>
      <c r="L70" s="222">
        <v>614</v>
      </c>
      <c r="M70" s="222">
        <v>302</v>
      </c>
      <c r="N70" s="222" t="s">
        <v>11</v>
      </c>
      <c r="O70" s="222" t="s">
        <v>9</v>
      </c>
      <c r="P70" s="224">
        <v>986146.79</v>
      </c>
      <c r="Q70" s="224">
        <v>0</v>
      </c>
      <c r="R70" s="224"/>
      <c r="S70" s="224"/>
      <c r="T70" s="224"/>
      <c r="U70" s="224"/>
      <c r="V70" s="224"/>
      <c r="W70" s="224"/>
      <c r="X70" s="224"/>
      <c r="Y70" s="222">
        <v>1114</v>
      </c>
      <c r="Z70" s="222">
        <v>302</v>
      </c>
      <c r="AA70" s="224">
        <v>427239.16000000015</v>
      </c>
      <c r="AB70" s="224">
        <v>0</v>
      </c>
      <c r="AC70" s="224"/>
      <c r="AD70" s="224"/>
      <c r="AE70" s="224"/>
      <c r="AF70" s="224"/>
      <c r="AG70" s="224"/>
      <c r="AH70" s="224"/>
      <c r="AI70" s="224"/>
      <c r="AJ70" s="126"/>
      <c r="AK70" s="126"/>
      <c r="AL70" s="126"/>
      <c r="AM70" s="126"/>
      <c r="AN70" s="126"/>
    </row>
    <row r="71" spans="1:40" ht="15.75" customHeight="1">
      <c r="A71" s="221">
        <f t="shared" si="2"/>
        <v>65</v>
      </c>
      <c r="B71" s="222" t="s">
        <v>4641</v>
      </c>
      <c r="C71" s="222" t="s">
        <v>5</v>
      </c>
      <c r="D71" s="222" t="e">
        <f t="array" ref="D71">IF(F71="","",INDEX(#REF!,MATCH(F71,#REF!,0)))</f>
        <v>#REF!</v>
      </c>
      <c r="E71" s="222" t="e">
        <f t="array" ref="E71">IF(F71="","",INDEX(#REF!,MATCH(F71,#REF!,0)))</f>
        <v>#REF!</v>
      </c>
      <c r="F71" s="222" t="s">
        <v>10</v>
      </c>
      <c r="G71" s="222" t="s">
        <v>4499</v>
      </c>
      <c r="H71" s="223">
        <v>3.2</v>
      </c>
      <c r="I71" s="222" t="s">
        <v>4672</v>
      </c>
      <c r="J71" s="222" t="s">
        <v>4673</v>
      </c>
      <c r="K71" s="222" t="s">
        <v>4674</v>
      </c>
      <c r="L71" s="222">
        <v>16</v>
      </c>
      <c r="M71" s="222">
        <v>20</v>
      </c>
      <c r="N71" s="222" t="s">
        <v>11</v>
      </c>
      <c r="O71" s="222" t="s">
        <v>9</v>
      </c>
      <c r="P71" s="224">
        <v>1741714.5699999998</v>
      </c>
      <c r="Q71" s="224">
        <v>0</v>
      </c>
      <c r="R71" s="224"/>
      <c r="S71" s="224"/>
      <c r="T71" s="224"/>
      <c r="U71" s="224"/>
      <c r="V71" s="224"/>
      <c r="W71" s="224"/>
      <c r="X71" s="224"/>
      <c r="Y71" s="222">
        <v>22</v>
      </c>
      <c r="Z71" s="222">
        <v>20</v>
      </c>
      <c r="AA71" s="224">
        <v>340206.38000000006</v>
      </c>
      <c r="AB71" s="224">
        <v>0</v>
      </c>
      <c r="AC71" s="224"/>
      <c r="AD71" s="224"/>
      <c r="AE71" s="224"/>
      <c r="AF71" s="224"/>
      <c r="AG71" s="224"/>
      <c r="AH71" s="224"/>
      <c r="AI71" s="224"/>
      <c r="AJ71" s="126"/>
      <c r="AK71" s="126"/>
      <c r="AL71" s="126"/>
      <c r="AM71" s="126"/>
      <c r="AN71" s="126"/>
    </row>
    <row r="72" spans="1:40" ht="15.75" customHeight="1">
      <c r="A72" s="221">
        <f t="shared" si="2"/>
        <v>66</v>
      </c>
      <c r="B72" s="222" t="s">
        <v>4641</v>
      </c>
      <c r="C72" s="222" t="s">
        <v>5</v>
      </c>
      <c r="D72" s="222" t="e">
        <f t="array" ref="D72">IF(F72="","",INDEX(#REF!,MATCH(F72,#REF!,0)))</f>
        <v>#REF!</v>
      </c>
      <c r="E72" s="222" t="e">
        <f t="array" ref="E72">IF(F72="","",INDEX(#REF!,MATCH(F72,#REF!,0)))</f>
        <v>#REF!</v>
      </c>
      <c r="F72" s="222" t="s">
        <v>10</v>
      </c>
      <c r="G72" s="222" t="s">
        <v>4499</v>
      </c>
      <c r="H72" s="223">
        <v>3.3</v>
      </c>
      <c r="I72" s="222" t="s">
        <v>4675</v>
      </c>
      <c r="J72" s="222" t="s">
        <v>4676</v>
      </c>
      <c r="K72" s="222" t="s">
        <v>4677</v>
      </c>
      <c r="L72" s="222">
        <v>12</v>
      </c>
      <c r="M72" s="222">
        <v>11</v>
      </c>
      <c r="N72" s="222" t="s">
        <v>11</v>
      </c>
      <c r="O72" s="222" t="s">
        <v>9</v>
      </c>
      <c r="P72" s="224"/>
      <c r="Q72" s="224">
        <v>0</v>
      </c>
      <c r="R72" s="224"/>
      <c r="S72" s="224"/>
      <c r="T72" s="224"/>
      <c r="U72" s="224"/>
      <c r="V72" s="224"/>
      <c r="W72" s="224"/>
      <c r="X72" s="224"/>
      <c r="Y72" s="222">
        <v>25</v>
      </c>
      <c r="Z72" s="222">
        <v>11</v>
      </c>
      <c r="AA72" s="224"/>
      <c r="AB72" s="224">
        <v>0</v>
      </c>
      <c r="AC72" s="224"/>
      <c r="AD72" s="224"/>
      <c r="AE72" s="224"/>
      <c r="AF72" s="224"/>
      <c r="AG72" s="224"/>
      <c r="AH72" s="224"/>
      <c r="AI72" s="224"/>
      <c r="AJ72" s="126"/>
      <c r="AK72" s="126"/>
      <c r="AL72" s="126"/>
      <c r="AM72" s="126"/>
      <c r="AN72" s="126"/>
    </row>
    <row r="73" spans="1:40" ht="15.75" customHeight="1">
      <c r="A73" s="221">
        <f t="shared" si="2"/>
        <v>67</v>
      </c>
      <c r="B73" s="222" t="s">
        <v>4641</v>
      </c>
      <c r="C73" s="222" t="s">
        <v>5</v>
      </c>
      <c r="D73" s="222" t="e">
        <f t="array" ref="D73">IF(F73="","",INDEX(#REF!,MATCH(F73,#REF!,0)))</f>
        <v>#REF!</v>
      </c>
      <c r="E73" s="222" t="e">
        <f t="array" ref="E73">IF(F73="","",INDEX(#REF!,MATCH(F73,#REF!,0)))</f>
        <v>#REF!</v>
      </c>
      <c r="F73" s="222" t="s">
        <v>10</v>
      </c>
      <c r="G73" s="222" t="s">
        <v>4499</v>
      </c>
      <c r="H73" s="223">
        <v>3.4</v>
      </c>
      <c r="I73" s="222" t="s">
        <v>4678</v>
      </c>
      <c r="J73" s="222" t="s">
        <v>4679</v>
      </c>
      <c r="K73" s="222" t="s">
        <v>4680</v>
      </c>
      <c r="L73" s="222">
        <v>26</v>
      </c>
      <c r="M73" s="222">
        <v>23</v>
      </c>
      <c r="N73" s="222" t="s">
        <v>11</v>
      </c>
      <c r="O73" s="222" t="s">
        <v>9</v>
      </c>
      <c r="P73" s="224">
        <v>17159971.230000004</v>
      </c>
      <c r="Q73" s="224">
        <v>0</v>
      </c>
      <c r="R73" s="224">
        <v>2000</v>
      </c>
      <c r="S73" s="224"/>
      <c r="T73" s="224">
        <v>151250</v>
      </c>
      <c r="U73" s="224"/>
      <c r="V73" s="224"/>
      <c r="W73" s="224"/>
      <c r="X73" s="224"/>
      <c r="Y73" s="222">
        <v>92</v>
      </c>
      <c r="Z73" s="222">
        <v>23</v>
      </c>
      <c r="AA73" s="224">
        <v>6622817.290000001</v>
      </c>
      <c r="AB73" s="224">
        <v>0</v>
      </c>
      <c r="AC73" s="224">
        <v>0</v>
      </c>
      <c r="AD73" s="224"/>
      <c r="AE73" s="224">
        <v>0</v>
      </c>
      <c r="AF73" s="224"/>
      <c r="AG73" s="224"/>
      <c r="AH73" s="224"/>
      <c r="AI73" s="224"/>
      <c r="AJ73" s="126"/>
      <c r="AK73" s="126"/>
      <c r="AL73" s="126"/>
      <c r="AM73" s="126"/>
      <c r="AN73" s="126"/>
    </row>
    <row r="74" spans="1:40" ht="15.75" customHeight="1">
      <c r="A74" s="221">
        <f t="shared" si="2"/>
        <v>68</v>
      </c>
      <c r="B74" s="222" t="s">
        <v>4681</v>
      </c>
      <c r="C74" s="222" t="s">
        <v>5</v>
      </c>
      <c r="D74" s="222" t="e">
        <f t="array" ref="D74">IF(F74="","",INDEX(#REF!,MATCH(F74,#REF!,0)))</f>
        <v>#REF!</v>
      </c>
      <c r="E74" s="222" t="e">
        <f t="array" ref="E74">IF(F74="","",INDEX(#REF!,MATCH(F74,#REF!,0)))</f>
        <v>#REF!</v>
      </c>
      <c r="F74" s="222" t="s">
        <v>24</v>
      </c>
      <c r="G74" s="222" t="s">
        <v>0</v>
      </c>
      <c r="H74" s="223" t="s">
        <v>4487</v>
      </c>
      <c r="I74" s="222" t="s">
        <v>4682</v>
      </c>
      <c r="J74" s="222" t="s">
        <v>4683</v>
      </c>
      <c r="K74" s="222" t="s">
        <v>4684</v>
      </c>
      <c r="L74" s="222">
        <v>1500</v>
      </c>
      <c r="M74" s="222">
        <v>1500</v>
      </c>
      <c r="N74" s="222" t="s">
        <v>15</v>
      </c>
      <c r="O74" s="222" t="s">
        <v>9</v>
      </c>
      <c r="P74" s="224"/>
      <c r="Q74" s="224"/>
      <c r="R74" s="224"/>
      <c r="S74" s="224"/>
      <c r="T74" s="224"/>
      <c r="U74" s="224"/>
      <c r="V74" s="224"/>
      <c r="W74" s="224"/>
      <c r="X74" s="224"/>
      <c r="Y74" s="222">
        <v>1029</v>
      </c>
      <c r="Z74" s="222">
        <v>1500</v>
      </c>
      <c r="AA74" s="224"/>
      <c r="AB74" s="224"/>
      <c r="AC74" s="224"/>
      <c r="AD74" s="224"/>
      <c r="AE74" s="224"/>
      <c r="AF74" s="224"/>
      <c r="AG74" s="224"/>
      <c r="AH74" s="224"/>
      <c r="AI74" s="224"/>
      <c r="AJ74" s="126"/>
      <c r="AK74" s="126"/>
      <c r="AL74" s="126"/>
      <c r="AM74" s="126"/>
      <c r="AN74" s="126"/>
    </row>
    <row r="75" spans="1:40" ht="15.75" customHeight="1">
      <c r="A75" s="221">
        <f t="shared" si="2"/>
        <v>69</v>
      </c>
      <c r="B75" s="222" t="s">
        <v>4681</v>
      </c>
      <c r="C75" s="222" t="s">
        <v>5</v>
      </c>
      <c r="D75" s="222" t="e">
        <f t="array" ref="D75">IF(F75="","",INDEX(#REF!,MATCH(F75,#REF!,0)))</f>
        <v>#REF!</v>
      </c>
      <c r="E75" s="222" t="e">
        <f t="array" ref="E75">IF(F75="","",INDEX(#REF!,MATCH(F75,#REF!,0)))</f>
        <v>#REF!</v>
      </c>
      <c r="F75" s="222" t="s">
        <v>24</v>
      </c>
      <c r="G75" s="222" t="s">
        <v>4491</v>
      </c>
      <c r="H75" s="223" t="s">
        <v>4487</v>
      </c>
      <c r="I75" s="222" t="s">
        <v>4685</v>
      </c>
      <c r="J75" s="222" t="s">
        <v>4686</v>
      </c>
      <c r="K75" s="222" t="s">
        <v>4687</v>
      </c>
      <c r="L75" s="222">
        <v>36550000</v>
      </c>
      <c r="M75" s="222">
        <v>36550000</v>
      </c>
      <c r="N75" s="222" t="s">
        <v>15</v>
      </c>
      <c r="O75" s="222" t="s">
        <v>9</v>
      </c>
      <c r="P75" s="224"/>
      <c r="Q75" s="224"/>
      <c r="R75" s="224"/>
      <c r="S75" s="224"/>
      <c r="T75" s="224"/>
      <c r="U75" s="224"/>
      <c r="V75" s="224"/>
      <c r="W75" s="224"/>
      <c r="X75" s="224"/>
      <c r="Y75" s="222">
        <v>10236479.5</v>
      </c>
      <c r="Z75" s="222">
        <v>36550000</v>
      </c>
      <c r="AA75" s="224"/>
      <c r="AB75" s="224"/>
      <c r="AC75" s="224"/>
      <c r="AD75" s="224"/>
      <c r="AE75" s="224"/>
      <c r="AF75" s="224"/>
      <c r="AG75" s="224"/>
      <c r="AH75" s="224"/>
      <c r="AI75" s="224"/>
      <c r="AJ75" s="126"/>
      <c r="AK75" s="126"/>
      <c r="AL75" s="126"/>
      <c r="AM75" s="126"/>
      <c r="AN75" s="126"/>
    </row>
    <row r="76" spans="1:40" ht="15.75" customHeight="1">
      <c r="A76" s="221">
        <f t="shared" si="2"/>
        <v>70</v>
      </c>
      <c r="B76" s="222" t="s">
        <v>4681</v>
      </c>
      <c r="C76" s="222" t="s">
        <v>5</v>
      </c>
      <c r="D76" s="222" t="e">
        <f t="array" ref="D76">IF(F76="","",INDEX(#REF!,MATCH(F76,#REF!,0)))</f>
        <v>#REF!</v>
      </c>
      <c r="E76" s="222" t="e">
        <f t="array" ref="E76">IF(F76="","",INDEX(#REF!,MATCH(F76,#REF!,0)))</f>
        <v>#REF!</v>
      </c>
      <c r="F76" s="222" t="s">
        <v>24</v>
      </c>
      <c r="G76" s="222" t="s">
        <v>4495</v>
      </c>
      <c r="H76" s="223">
        <v>1</v>
      </c>
      <c r="I76" s="222" t="s">
        <v>4688</v>
      </c>
      <c r="J76" s="222" t="s">
        <v>4689</v>
      </c>
      <c r="K76" s="222" t="s">
        <v>4690</v>
      </c>
      <c r="L76" s="222">
        <v>15</v>
      </c>
      <c r="M76" s="222">
        <v>15</v>
      </c>
      <c r="N76" s="222" t="s">
        <v>13</v>
      </c>
      <c r="O76" s="222" t="s">
        <v>9</v>
      </c>
      <c r="P76" s="224"/>
      <c r="Q76" s="224"/>
      <c r="R76" s="224"/>
      <c r="S76" s="224"/>
      <c r="T76" s="224"/>
      <c r="U76" s="224"/>
      <c r="V76" s="224"/>
      <c r="W76" s="224"/>
      <c r="X76" s="224"/>
      <c r="Y76" s="222">
        <v>10</v>
      </c>
      <c r="Z76" s="222">
        <v>15</v>
      </c>
      <c r="AA76" s="224"/>
      <c r="AB76" s="224"/>
      <c r="AC76" s="224"/>
      <c r="AD76" s="224"/>
      <c r="AE76" s="224"/>
      <c r="AF76" s="224"/>
      <c r="AG76" s="224"/>
      <c r="AH76" s="224"/>
      <c r="AI76" s="224"/>
      <c r="AJ76" s="126"/>
      <c r="AK76" s="126"/>
      <c r="AL76" s="126"/>
      <c r="AM76" s="126"/>
      <c r="AN76" s="126"/>
    </row>
    <row r="77" spans="1:40" ht="15.75" customHeight="1">
      <c r="A77" s="221">
        <f t="shared" si="2"/>
        <v>71</v>
      </c>
      <c r="B77" s="222" t="s">
        <v>4681</v>
      </c>
      <c r="C77" s="222" t="s">
        <v>5</v>
      </c>
      <c r="D77" s="222" t="e">
        <f t="array" ref="D77">IF(F77="","",INDEX(#REF!,MATCH(F77,#REF!,0)))</f>
        <v>#REF!</v>
      </c>
      <c r="E77" s="222" t="e">
        <f t="array" ref="E77">IF(F77="","",INDEX(#REF!,MATCH(F77,#REF!,0)))</f>
        <v>#REF!</v>
      </c>
      <c r="F77" s="222" t="s">
        <v>24</v>
      </c>
      <c r="G77" s="222" t="s">
        <v>4499</v>
      </c>
      <c r="H77" s="223">
        <v>1.1000000000000001</v>
      </c>
      <c r="I77" s="222" t="s">
        <v>4691</v>
      </c>
      <c r="J77" s="222" t="s">
        <v>4692</v>
      </c>
      <c r="K77" s="222" t="s">
        <v>4693</v>
      </c>
      <c r="L77" s="222">
        <v>2000</v>
      </c>
      <c r="M77" s="222">
        <v>2000</v>
      </c>
      <c r="N77" s="222" t="s">
        <v>11</v>
      </c>
      <c r="O77" s="222" t="s">
        <v>9</v>
      </c>
      <c r="P77" s="224">
        <v>6181596.3099999996</v>
      </c>
      <c r="Q77" s="224">
        <v>2304.77</v>
      </c>
      <c r="R77" s="224">
        <v>2997695.23</v>
      </c>
      <c r="S77" s="224"/>
      <c r="T77" s="224">
        <v>708046.88</v>
      </c>
      <c r="U77" s="224"/>
      <c r="V77" s="224"/>
      <c r="W77" s="224"/>
      <c r="X77" s="224"/>
      <c r="Y77" s="222">
        <v>799</v>
      </c>
      <c r="Z77" s="222">
        <v>2000</v>
      </c>
      <c r="AA77" s="224">
        <v>1792355.5699999998</v>
      </c>
      <c r="AB77" s="224">
        <v>2076.81</v>
      </c>
      <c r="AC77" s="224">
        <v>348151.59</v>
      </c>
      <c r="AD77" s="224"/>
      <c r="AE77" s="224">
        <v>0</v>
      </c>
      <c r="AF77" s="224"/>
      <c r="AG77" s="224"/>
      <c r="AH77" s="224"/>
      <c r="AI77" s="224"/>
      <c r="AJ77" s="126"/>
      <c r="AK77" s="126"/>
      <c r="AL77" s="126"/>
      <c r="AM77" s="126"/>
      <c r="AN77" s="126"/>
    </row>
    <row r="78" spans="1:40" ht="15.75" customHeight="1">
      <c r="A78" s="221">
        <f t="shared" si="2"/>
        <v>72</v>
      </c>
      <c r="B78" s="222" t="s">
        <v>4681</v>
      </c>
      <c r="C78" s="222" t="s">
        <v>5</v>
      </c>
      <c r="D78" s="222" t="e">
        <f t="array" ref="D78">IF(F78="","",INDEX(#REF!,MATCH(F78,#REF!,0)))</f>
        <v>#REF!</v>
      </c>
      <c r="E78" s="222" t="e">
        <f t="array" ref="E78">IF(F78="","",INDEX(#REF!,MATCH(F78,#REF!,0)))</f>
        <v>#REF!</v>
      </c>
      <c r="F78" s="222" t="s">
        <v>24</v>
      </c>
      <c r="G78" s="222" t="s">
        <v>4499</v>
      </c>
      <c r="H78" s="223">
        <v>1.2</v>
      </c>
      <c r="I78" s="222" t="s">
        <v>4694</v>
      </c>
      <c r="J78" s="222" t="s">
        <v>4695</v>
      </c>
      <c r="K78" s="222" t="s">
        <v>4696</v>
      </c>
      <c r="L78" s="222">
        <v>15</v>
      </c>
      <c r="M78" s="222">
        <v>15</v>
      </c>
      <c r="N78" s="222" t="s">
        <v>11</v>
      </c>
      <c r="O78" s="222" t="s">
        <v>9</v>
      </c>
      <c r="P78" s="224">
        <v>1437556.7000000002</v>
      </c>
      <c r="Q78" s="224">
        <v>0</v>
      </c>
      <c r="R78" s="224"/>
      <c r="S78" s="224"/>
      <c r="T78" s="224"/>
      <c r="U78" s="224"/>
      <c r="V78" s="224"/>
      <c r="W78" s="224"/>
      <c r="X78" s="224"/>
      <c r="Y78" s="222">
        <v>10</v>
      </c>
      <c r="Z78" s="222">
        <v>15</v>
      </c>
      <c r="AA78" s="224">
        <v>222200.06999999998</v>
      </c>
      <c r="AB78" s="224">
        <v>0</v>
      </c>
      <c r="AC78" s="224"/>
      <c r="AD78" s="224"/>
      <c r="AE78" s="224"/>
      <c r="AF78" s="224"/>
      <c r="AG78" s="224"/>
      <c r="AH78" s="224"/>
      <c r="AI78" s="224"/>
      <c r="AJ78" s="126"/>
      <c r="AK78" s="126"/>
      <c r="AL78" s="126"/>
      <c r="AM78" s="126"/>
      <c r="AN78" s="126"/>
    </row>
    <row r="79" spans="1:40" ht="15.75" customHeight="1">
      <c r="A79" s="221">
        <f t="shared" si="2"/>
        <v>73</v>
      </c>
      <c r="B79" s="222" t="s">
        <v>4681</v>
      </c>
      <c r="C79" s="222" t="s">
        <v>5</v>
      </c>
      <c r="D79" s="222" t="e">
        <f t="array" ref="D79">IF(F79="","",INDEX(#REF!,MATCH(F79,#REF!,0)))</f>
        <v>#REF!</v>
      </c>
      <c r="E79" s="222" t="e">
        <f t="array" ref="E79">IF(F79="","",INDEX(#REF!,MATCH(F79,#REF!,0)))</f>
        <v>#REF!</v>
      </c>
      <c r="F79" s="222" t="s">
        <v>24</v>
      </c>
      <c r="G79" s="222" t="s">
        <v>4499</v>
      </c>
      <c r="H79" s="223">
        <v>1.3</v>
      </c>
      <c r="I79" s="222" t="s">
        <v>4697</v>
      </c>
      <c r="J79" s="222" t="s">
        <v>4698</v>
      </c>
      <c r="K79" s="222" t="s">
        <v>4699</v>
      </c>
      <c r="L79" s="222">
        <v>1500</v>
      </c>
      <c r="M79" s="222">
        <v>1500</v>
      </c>
      <c r="N79" s="222" t="s">
        <v>11</v>
      </c>
      <c r="O79" s="222" t="s">
        <v>9</v>
      </c>
      <c r="P79" s="224"/>
      <c r="Q79" s="224">
        <v>50000</v>
      </c>
      <c r="R79" s="224">
        <v>18596900</v>
      </c>
      <c r="S79" s="224"/>
      <c r="T79" s="224">
        <v>346664.37</v>
      </c>
      <c r="U79" s="224"/>
      <c r="V79" s="224"/>
      <c r="W79" s="224"/>
      <c r="X79" s="224"/>
      <c r="Y79" s="222">
        <v>1029</v>
      </c>
      <c r="Z79" s="222">
        <v>1500</v>
      </c>
      <c r="AA79" s="224"/>
      <c r="AB79" s="224">
        <v>18300</v>
      </c>
      <c r="AC79" s="224">
        <v>3355851.1100000003</v>
      </c>
      <c r="AD79" s="224"/>
      <c r="AE79" s="224">
        <v>0</v>
      </c>
      <c r="AF79" s="224"/>
      <c r="AG79" s="224"/>
      <c r="AH79" s="224"/>
      <c r="AI79" s="224"/>
      <c r="AJ79" s="126"/>
      <c r="AK79" s="126"/>
      <c r="AL79" s="126"/>
      <c r="AM79" s="126"/>
      <c r="AN79" s="126"/>
    </row>
    <row r="80" spans="1:40" ht="15.75" customHeight="1">
      <c r="A80" s="221">
        <f t="shared" si="2"/>
        <v>74</v>
      </c>
      <c r="B80" s="222" t="s">
        <v>4681</v>
      </c>
      <c r="C80" s="222" t="s">
        <v>5</v>
      </c>
      <c r="D80" s="222" t="e">
        <f t="array" ref="D80">IF(F80="","",INDEX(#REF!,MATCH(F80,#REF!,0)))</f>
        <v>#REF!</v>
      </c>
      <c r="E80" s="222" t="e">
        <f t="array" ref="E80">IF(F80="","",INDEX(#REF!,MATCH(F80,#REF!,0)))</f>
        <v>#REF!</v>
      </c>
      <c r="F80" s="222" t="s">
        <v>24</v>
      </c>
      <c r="G80" s="222" t="s">
        <v>4495</v>
      </c>
      <c r="H80" s="223">
        <v>2</v>
      </c>
      <c r="I80" s="222" t="s">
        <v>4700</v>
      </c>
      <c r="J80" s="222" t="s">
        <v>4701</v>
      </c>
      <c r="K80" s="222" t="s">
        <v>4702</v>
      </c>
      <c r="L80" s="222">
        <v>15</v>
      </c>
      <c r="M80" s="222">
        <v>15</v>
      </c>
      <c r="N80" s="222" t="s">
        <v>13</v>
      </c>
      <c r="O80" s="222" t="s">
        <v>9</v>
      </c>
      <c r="P80" s="224"/>
      <c r="Q80" s="224"/>
      <c r="R80" s="224"/>
      <c r="S80" s="224"/>
      <c r="T80" s="224"/>
      <c r="U80" s="224"/>
      <c r="V80" s="224"/>
      <c r="W80" s="224"/>
      <c r="X80" s="224"/>
      <c r="Y80" s="222">
        <v>10</v>
      </c>
      <c r="Z80" s="222">
        <v>15</v>
      </c>
      <c r="AA80" s="224"/>
      <c r="AB80" s="224"/>
      <c r="AC80" s="224"/>
      <c r="AD80" s="224"/>
      <c r="AE80" s="224"/>
      <c r="AF80" s="224"/>
      <c r="AG80" s="224"/>
      <c r="AH80" s="224"/>
      <c r="AI80" s="224"/>
      <c r="AJ80" s="126"/>
      <c r="AK80" s="126"/>
      <c r="AL80" s="126"/>
      <c r="AM80" s="126"/>
      <c r="AN80" s="126"/>
    </row>
    <row r="81" spans="1:40" ht="15.75" customHeight="1">
      <c r="A81" s="221">
        <f t="shared" si="2"/>
        <v>75</v>
      </c>
      <c r="B81" s="222" t="s">
        <v>4681</v>
      </c>
      <c r="C81" s="222" t="s">
        <v>5</v>
      </c>
      <c r="D81" s="222" t="e">
        <f t="array" ref="D81">IF(F81="","",INDEX(#REF!,MATCH(F81,#REF!,0)))</f>
        <v>#REF!</v>
      </c>
      <c r="E81" s="222" t="e">
        <f t="array" ref="E81">IF(F81="","",INDEX(#REF!,MATCH(F81,#REF!,0)))</f>
        <v>#REF!</v>
      </c>
      <c r="F81" s="222" t="s">
        <v>24</v>
      </c>
      <c r="G81" s="222" t="s">
        <v>4499</v>
      </c>
      <c r="H81" s="223">
        <v>2.1</v>
      </c>
      <c r="I81" s="222" t="s">
        <v>4703</v>
      </c>
      <c r="J81" s="222" t="s">
        <v>4704</v>
      </c>
      <c r="K81" s="222" t="s">
        <v>4705</v>
      </c>
      <c r="L81" s="222">
        <v>15</v>
      </c>
      <c r="M81" s="222">
        <v>15</v>
      </c>
      <c r="N81" s="222" t="s">
        <v>11</v>
      </c>
      <c r="O81" s="222" t="s">
        <v>9</v>
      </c>
      <c r="P81" s="224"/>
      <c r="Q81" s="224"/>
      <c r="R81" s="224">
        <v>13748159.25</v>
      </c>
      <c r="S81" s="224"/>
      <c r="T81" s="224"/>
      <c r="U81" s="224"/>
      <c r="V81" s="224"/>
      <c r="W81" s="224"/>
      <c r="X81" s="224"/>
      <c r="Y81" s="222">
        <v>10</v>
      </c>
      <c r="Z81" s="222">
        <v>15</v>
      </c>
      <c r="AA81" s="224"/>
      <c r="AB81" s="224"/>
      <c r="AC81" s="224">
        <v>432100</v>
      </c>
      <c r="AD81" s="224"/>
      <c r="AE81" s="224"/>
      <c r="AF81" s="224"/>
      <c r="AG81" s="224"/>
      <c r="AH81" s="224"/>
      <c r="AI81" s="224"/>
      <c r="AJ81" s="126"/>
      <c r="AK81" s="126"/>
      <c r="AL81" s="126"/>
      <c r="AM81" s="126"/>
      <c r="AN81" s="126"/>
    </row>
    <row r="82" spans="1:40" ht="15.75" customHeight="1">
      <c r="A82" s="221">
        <f t="shared" si="2"/>
        <v>76</v>
      </c>
      <c r="B82" s="222" t="s">
        <v>4681</v>
      </c>
      <c r="C82" s="222" t="s">
        <v>5</v>
      </c>
      <c r="D82" s="222" t="e">
        <f t="array" ref="D82">IF(F82="","",INDEX(#REF!,MATCH(F82,#REF!,0)))</f>
        <v>#REF!</v>
      </c>
      <c r="E82" s="222" t="e">
        <f t="array" ref="E82">IF(F82="","",INDEX(#REF!,MATCH(F82,#REF!,0)))</f>
        <v>#REF!</v>
      </c>
      <c r="F82" s="222" t="s">
        <v>24</v>
      </c>
      <c r="G82" s="222" t="s">
        <v>4499</v>
      </c>
      <c r="H82" s="223">
        <v>2.2000000000000002</v>
      </c>
      <c r="I82" s="222" t="s">
        <v>4706</v>
      </c>
      <c r="J82" s="222" t="s">
        <v>4707</v>
      </c>
      <c r="K82" s="222" t="s">
        <v>4708</v>
      </c>
      <c r="L82" s="222">
        <v>37475850</v>
      </c>
      <c r="M82" s="222">
        <v>37475850</v>
      </c>
      <c r="N82" s="222" t="s">
        <v>11</v>
      </c>
      <c r="O82" s="222" t="s">
        <v>9</v>
      </c>
      <c r="P82" s="224">
        <v>12504945.540000001</v>
      </c>
      <c r="Q82" s="224">
        <v>170514.34</v>
      </c>
      <c r="R82" s="224">
        <v>88730</v>
      </c>
      <c r="S82" s="224"/>
      <c r="T82" s="224">
        <v>285753.25</v>
      </c>
      <c r="U82" s="224"/>
      <c r="V82" s="224"/>
      <c r="W82" s="224"/>
      <c r="X82" s="224"/>
      <c r="Y82" s="222">
        <v>10266460.120000001</v>
      </c>
      <c r="Z82" s="222">
        <v>37475850</v>
      </c>
      <c r="AA82" s="224">
        <v>8418452.879999999</v>
      </c>
      <c r="AB82" s="224">
        <v>19250.62</v>
      </c>
      <c r="AC82" s="224">
        <v>10730</v>
      </c>
      <c r="AD82" s="224"/>
      <c r="AE82" s="224">
        <v>0</v>
      </c>
      <c r="AF82" s="224"/>
      <c r="AG82" s="224"/>
      <c r="AH82" s="224"/>
      <c r="AI82" s="224"/>
      <c r="AJ82" s="126"/>
      <c r="AK82" s="126"/>
      <c r="AL82" s="126"/>
      <c r="AM82" s="126"/>
      <c r="AN82" s="126"/>
    </row>
    <row r="83" spans="1:40" ht="15.75" customHeight="1">
      <c r="A83" s="221">
        <f t="shared" si="2"/>
        <v>77</v>
      </c>
      <c r="B83" s="222" t="s">
        <v>4709</v>
      </c>
      <c r="C83" s="222" t="s">
        <v>5</v>
      </c>
      <c r="D83" s="222" t="e">
        <f t="array" ref="D83">IF(F83="","",INDEX(#REF!,MATCH(F83,#REF!,0)))</f>
        <v>#REF!</v>
      </c>
      <c r="E83" s="222" t="e">
        <f t="array" ref="E83">IF(F83="","",INDEX(#REF!,MATCH(F83,#REF!,0)))</f>
        <v>#REF!</v>
      </c>
      <c r="F83" s="222" t="s">
        <v>27</v>
      </c>
      <c r="G83" s="222" t="s">
        <v>0</v>
      </c>
      <c r="H83" s="223" t="s">
        <v>4487</v>
      </c>
      <c r="I83" s="222" t="s">
        <v>4710</v>
      </c>
      <c r="J83" s="222" t="s">
        <v>4711</v>
      </c>
      <c r="K83" s="222" t="s">
        <v>4712</v>
      </c>
      <c r="L83" s="222">
        <v>76</v>
      </c>
      <c r="M83" s="222">
        <v>1</v>
      </c>
      <c r="N83" s="222" t="s">
        <v>15</v>
      </c>
      <c r="O83" s="222" t="s">
        <v>4490</v>
      </c>
      <c r="P83" s="224"/>
      <c r="Q83" s="224"/>
      <c r="R83" s="224"/>
      <c r="S83" s="224"/>
      <c r="T83" s="224"/>
      <c r="U83" s="224"/>
      <c r="V83" s="224"/>
      <c r="W83" s="224"/>
      <c r="X83" s="224"/>
      <c r="Y83" s="222">
        <v>0</v>
      </c>
      <c r="Z83" s="222">
        <v>1</v>
      </c>
      <c r="AA83" s="224"/>
      <c r="AB83" s="224"/>
      <c r="AC83" s="224"/>
      <c r="AD83" s="224"/>
      <c r="AE83" s="224"/>
      <c r="AF83" s="224"/>
      <c r="AG83" s="224"/>
      <c r="AH83" s="224"/>
      <c r="AI83" s="224"/>
      <c r="AJ83" s="126"/>
      <c r="AK83" s="126"/>
      <c r="AL83" s="126"/>
      <c r="AM83" s="126"/>
      <c r="AN83" s="126"/>
    </row>
    <row r="84" spans="1:40" ht="15.75" customHeight="1">
      <c r="A84" s="221">
        <f t="shared" si="2"/>
        <v>78</v>
      </c>
      <c r="B84" s="222" t="s">
        <v>4709</v>
      </c>
      <c r="C84" s="222" t="s">
        <v>5</v>
      </c>
      <c r="D84" s="222" t="e">
        <f t="array" ref="D84">IF(F84="","",INDEX(#REF!,MATCH(F84,#REF!,0)))</f>
        <v>#REF!</v>
      </c>
      <c r="E84" s="222" t="e">
        <f t="array" ref="E84">IF(F84="","",INDEX(#REF!,MATCH(F84,#REF!,0)))</f>
        <v>#REF!</v>
      </c>
      <c r="F84" s="222" t="s">
        <v>27</v>
      </c>
      <c r="G84" s="222" t="s">
        <v>4491</v>
      </c>
      <c r="H84" s="223" t="s">
        <v>4487</v>
      </c>
      <c r="I84" s="222" t="s">
        <v>4713</v>
      </c>
      <c r="J84" s="222" t="s">
        <v>4714</v>
      </c>
      <c r="K84" s="222" t="s">
        <v>4715</v>
      </c>
      <c r="L84" s="222">
        <v>62685</v>
      </c>
      <c r="M84" s="222">
        <v>75323</v>
      </c>
      <c r="N84" s="222" t="s">
        <v>15</v>
      </c>
      <c r="O84" s="222" t="s">
        <v>9</v>
      </c>
      <c r="P84" s="224"/>
      <c r="Q84" s="224"/>
      <c r="R84" s="224"/>
      <c r="S84" s="224"/>
      <c r="T84" s="224"/>
      <c r="U84" s="224"/>
      <c r="V84" s="224"/>
      <c r="W84" s="224"/>
      <c r="X84" s="224"/>
      <c r="Y84" s="222">
        <v>0</v>
      </c>
      <c r="Z84" s="222">
        <v>75323</v>
      </c>
      <c r="AA84" s="224"/>
      <c r="AB84" s="224"/>
      <c r="AC84" s="224"/>
      <c r="AD84" s="224"/>
      <c r="AE84" s="224"/>
      <c r="AF84" s="224"/>
      <c r="AG84" s="224"/>
      <c r="AH84" s="224"/>
      <c r="AI84" s="224"/>
      <c r="AJ84" s="126"/>
      <c r="AK84" s="126"/>
      <c r="AL84" s="126"/>
      <c r="AM84" s="126"/>
      <c r="AN84" s="126"/>
    </row>
    <row r="85" spans="1:40" ht="15.75" customHeight="1">
      <c r="A85" s="221">
        <f t="shared" si="2"/>
        <v>79</v>
      </c>
      <c r="B85" s="222" t="s">
        <v>4709</v>
      </c>
      <c r="C85" s="222" t="s">
        <v>5</v>
      </c>
      <c r="D85" s="222" t="e">
        <f t="array" ref="D85">IF(F85="","",INDEX(#REF!,MATCH(F85,#REF!,0)))</f>
        <v>#REF!</v>
      </c>
      <c r="E85" s="222" t="e">
        <f t="array" ref="E85">IF(F85="","",INDEX(#REF!,MATCH(F85,#REF!,0)))</f>
        <v>#REF!</v>
      </c>
      <c r="F85" s="222" t="s">
        <v>27</v>
      </c>
      <c r="G85" s="222" t="s">
        <v>4495</v>
      </c>
      <c r="H85" s="223">
        <v>1</v>
      </c>
      <c r="I85" s="222" t="s">
        <v>4716</v>
      </c>
      <c r="J85" s="222" t="s">
        <v>4717</v>
      </c>
      <c r="K85" s="222" t="s">
        <v>4718</v>
      </c>
      <c r="L85" s="222">
        <v>1062180</v>
      </c>
      <c r="M85" s="222">
        <v>1063332</v>
      </c>
      <c r="N85" s="222" t="s">
        <v>11</v>
      </c>
      <c r="O85" s="222" t="s">
        <v>9</v>
      </c>
      <c r="P85" s="224"/>
      <c r="Q85" s="224"/>
      <c r="R85" s="224"/>
      <c r="S85" s="224"/>
      <c r="T85" s="224"/>
      <c r="U85" s="224"/>
      <c r="V85" s="224"/>
      <c r="W85" s="224"/>
      <c r="X85" s="224"/>
      <c r="Y85" s="222">
        <v>581635</v>
      </c>
      <c r="Z85" s="222">
        <v>1063332</v>
      </c>
      <c r="AA85" s="224"/>
      <c r="AB85" s="224"/>
      <c r="AC85" s="224"/>
      <c r="AD85" s="224"/>
      <c r="AE85" s="224"/>
      <c r="AF85" s="224"/>
      <c r="AG85" s="224"/>
      <c r="AH85" s="224"/>
      <c r="AI85" s="224"/>
      <c r="AJ85" s="126"/>
      <c r="AK85" s="126"/>
      <c r="AL85" s="126"/>
      <c r="AM85" s="126"/>
      <c r="AN85" s="126"/>
    </row>
    <row r="86" spans="1:40" ht="15.75" customHeight="1">
      <c r="A86" s="221">
        <f t="shared" si="2"/>
        <v>80</v>
      </c>
      <c r="B86" s="222" t="s">
        <v>4709</v>
      </c>
      <c r="C86" s="222" t="s">
        <v>5</v>
      </c>
      <c r="D86" s="222" t="e">
        <f t="array" ref="D86">IF(F86="","",INDEX(#REF!,MATCH(F86,#REF!,0)))</f>
        <v>#REF!</v>
      </c>
      <c r="E86" s="222" t="e">
        <f t="array" ref="E86">IF(F86="","",INDEX(#REF!,MATCH(F86,#REF!,0)))</f>
        <v>#REF!</v>
      </c>
      <c r="F86" s="222" t="s">
        <v>27</v>
      </c>
      <c r="G86" s="222" t="s">
        <v>4499</v>
      </c>
      <c r="H86" s="223">
        <v>1.1000000000000001</v>
      </c>
      <c r="I86" s="222" t="s">
        <v>4719</v>
      </c>
      <c r="J86" s="222" t="s">
        <v>4720</v>
      </c>
      <c r="K86" s="222" t="s">
        <v>4721</v>
      </c>
      <c r="L86" s="222">
        <v>37291572</v>
      </c>
      <c r="M86" s="222">
        <v>35154200</v>
      </c>
      <c r="N86" s="222" t="s">
        <v>15</v>
      </c>
      <c r="O86" s="222" t="s">
        <v>4611</v>
      </c>
      <c r="P86" s="224"/>
      <c r="Q86" s="224"/>
      <c r="R86" s="224">
        <v>173279752</v>
      </c>
      <c r="S86" s="224"/>
      <c r="T86" s="224"/>
      <c r="U86" s="224"/>
      <c r="V86" s="224"/>
      <c r="W86" s="224"/>
      <c r="X86" s="224"/>
      <c r="Y86" s="222">
        <v>0</v>
      </c>
      <c r="Z86" s="222">
        <v>35154200</v>
      </c>
      <c r="AA86" s="224"/>
      <c r="AB86" s="224"/>
      <c r="AC86" s="224">
        <v>82002131.609999985</v>
      </c>
      <c r="AD86" s="224"/>
      <c r="AE86" s="224"/>
      <c r="AF86" s="224"/>
      <c r="AG86" s="224"/>
      <c r="AH86" s="224"/>
      <c r="AI86" s="224"/>
      <c r="AJ86" s="126"/>
      <c r="AK86" s="126"/>
      <c r="AL86" s="126"/>
      <c r="AM86" s="126"/>
      <c r="AN86" s="126"/>
    </row>
    <row r="87" spans="1:40" ht="15.75" customHeight="1">
      <c r="A87" s="221">
        <f t="shared" si="2"/>
        <v>81</v>
      </c>
      <c r="B87" s="222" t="s">
        <v>4709</v>
      </c>
      <c r="C87" s="222" t="s">
        <v>5</v>
      </c>
      <c r="D87" s="222" t="e">
        <f t="array" ref="D87">IF(F87="","",INDEX(#REF!,MATCH(F87,#REF!,0)))</f>
        <v>#REF!</v>
      </c>
      <c r="E87" s="222" t="e">
        <f t="array" ref="E87">IF(F87="","",INDEX(#REF!,MATCH(F87,#REF!,0)))</f>
        <v>#REF!</v>
      </c>
      <c r="F87" s="222" t="s">
        <v>27</v>
      </c>
      <c r="G87" s="222" t="s">
        <v>4499</v>
      </c>
      <c r="H87" s="223">
        <v>1.2</v>
      </c>
      <c r="I87" s="222" t="s">
        <v>4722</v>
      </c>
      <c r="J87" s="222" t="s">
        <v>4723</v>
      </c>
      <c r="K87" s="222" t="s">
        <v>4724</v>
      </c>
      <c r="L87" s="222">
        <v>200</v>
      </c>
      <c r="M87" s="222">
        <v>200</v>
      </c>
      <c r="N87" s="222" t="s">
        <v>11</v>
      </c>
      <c r="O87" s="222" t="s">
        <v>9</v>
      </c>
      <c r="P87" s="224">
        <v>52702046.07</v>
      </c>
      <c r="Q87" s="224">
        <v>0</v>
      </c>
      <c r="R87" s="224">
        <v>48817383.620000005</v>
      </c>
      <c r="S87" s="224"/>
      <c r="T87" s="224"/>
      <c r="U87" s="224"/>
      <c r="V87" s="224"/>
      <c r="W87" s="224"/>
      <c r="X87" s="224"/>
      <c r="Y87" s="222">
        <v>0</v>
      </c>
      <c r="Z87" s="222">
        <v>200</v>
      </c>
      <c r="AA87" s="224">
        <v>10642446.939999999</v>
      </c>
      <c r="AB87" s="224">
        <v>0</v>
      </c>
      <c r="AC87" s="224">
        <v>31220912.25</v>
      </c>
      <c r="AD87" s="224"/>
      <c r="AE87" s="224"/>
      <c r="AF87" s="224"/>
      <c r="AG87" s="224"/>
      <c r="AH87" s="224"/>
      <c r="AI87" s="224"/>
      <c r="AJ87" s="126"/>
      <c r="AK87" s="126"/>
      <c r="AL87" s="126"/>
      <c r="AM87" s="126"/>
      <c r="AN87" s="126"/>
    </row>
    <row r="88" spans="1:40" ht="15.75" customHeight="1">
      <c r="A88" s="221">
        <f t="shared" si="2"/>
        <v>82</v>
      </c>
      <c r="B88" s="222" t="s">
        <v>4709</v>
      </c>
      <c r="C88" s="222" t="s">
        <v>5</v>
      </c>
      <c r="D88" s="222" t="e">
        <f t="array" ref="D88">IF(F88="","",INDEX(#REF!,MATCH(F88,#REF!,0)))</f>
        <v>#REF!</v>
      </c>
      <c r="E88" s="222" t="e">
        <f t="array" ref="E88">IF(F88="","",INDEX(#REF!,MATCH(F88,#REF!,0)))</f>
        <v>#REF!</v>
      </c>
      <c r="F88" s="222" t="s">
        <v>27</v>
      </c>
      <c r="G88" s="222" t="s">
        <v>4499</v>
      </c>
      <c r="H88" s="223">
        <v>1.3</v>
      </c>
      <c r="I88" s="222" t="s">
        <v>4725</v>
      </c>
      <c r="J88" s="222" t="s">
        <v>4726</v>
      </c>
      <c r="K88" s="222" t="s">
        <v>4727</v>
      </c>
      <c r="L88" s="222">
        <v>20563</v>
      </c>
      <c r="M88" s="222">
        <v>21400</v>
      </c>
      <c r="N88" s="222" t="s">
        <v>11</v>
      </c>
      <c r="O88" s="222" t="s">
        <v>9</v>
      </c>
      <c r="P88" s="224"/>
      <c r="Q88" s="224">
        <v>24339681.999999996</v>
      </c>
      <c r="R88" s="224">
        <v>360828970.74999994</v>
      </c>
      <c r="S88" s="224"/>
      <c r="T88" s="224">
        <v>89368.13</v>
      </c>
      <c r="U88" s="224"/>
      <c r="V88" s="224"/>
      <c r="W88" s="224"/>
      <c r="X88" s="224"/>
      <c r="Y88" s="222">
        <v>8085</v>
      </c>
      <c r="Z88" s="222">
        <v>21400</v>
      </c>
      <c r="AA88" s="224"/>
      <c r="AB88" s="224">
        <v>92795.5</v>
      </c>
      <c r="AC88" s="224">
        <v>153974140.88999999</v>
      </c>
      <c r="AD88" s="224"/>
      <c r="AE88" s="224">
        <v>0</v>
      </c>
      <c r="AF88" s="224"/>
      <c r="AG88" s="224"/>
      <c r="AH88" s="224"/>
      <c r="AI88" s="224"/>
      <c r="AJ88" s="126"/>
      <c r="AK88" s="126"/>
      <c r="AL88" s="126"/>
      <c r="AM88" s="126"/>
      <c r="AN88" s="126"/>
    </row>
    <row r="89" spans="1:40" ht="15.75" customHeight="1">
      <c r="A89" s="221">
        <f t="shared" si="2"/>
        <v>83</v>
      </c>
      <c r="B89" s="222" t="s">
        <v>4709</v>
      </c>
      <c r="C89" s="222" t="s">
        <v>5</v>
      </c>
      <c r="D89" s="222" t="e">
        <f t="array" ref="D89">IF(F89="","",INDEX(#REF!,MATCH(F89,#REF!,0)))</f>
        <v>#REF!</v>
      </c>
      <c r="E89" s="222" t="e">
        <f t="array" ref="E89">IF(F89="","",INDEX(#REF!,MATCH(F89,#REF!,0)))</f>
        <v>#REF!</v>
      </c>
      <c r="F89" s="222" t="s">
        <v>27</v>
      </c>
      <c r="G89" s="222" t="s">
        <v>4495</v>
      </c>
      <c r="H89" s="223">
        <v>2</v>
      </c>
      <c r="I89" s="222" t="s">
        <v>4728</v>
      </c>
      <c r="J89" s="222" t="s">
        <v>4729</v>
      </c>
      <c r="K89" s="222" t="s">
        <v>4730</v>
      </c>
      <c r="L89" s="222">
        <v>142</v>
      </c>
      <c r="M89" s="222">
        <v>150</v>
      </c>
      <c r="N89" s="222" t="s">
        <v>11</v>
      </c>
      <c r="O89" s="222" t="s">
        <v>9</v>
      </c>
      <c r="P89" s="224"/>
      <c r="Q89" s="224"/>
      <c r="R89" s="224"/>
      <c r="S89" s="224"/>
      <c r="T89" s="224"/>
      <c r="U89" s="224"/>
      <c r="V89" s="224"/>
      <c r="W89" s="224"/>
      <c r="X89" s="224"/>
      <c r="Y89" s="222">
        <v>291</v>
      </c>
      <c r="Z89" s="222">
        <v>150</v>
      </c>
      <c r="AA89" s="224"/>
      <c r="AB89" s="224"/>
      <c r="AC89" s="224"/>
      <c r="AD89" s="224"/>
      <c r="AE89" s="224"/>
      <c r="AF89" s="224"/>
      <c r="AG89" s="224"/>
      <c r="AH89" s="224"/>
      <c r="AI89" s="224"/>
      <c r="AJ89" s="126"/>
      <c r="AK89" s="126"/>
      <c r="AL89" s="126"/>
      <c r="AM89" s="126"/>
      <c r="AN89" s="126"/>
    </row>
    <row r="90" spans="1:40" ht="15.75" customHeight="1">
      <c r="A90" s="221">
        <f t="shared" si="2"/>
        <v>84</v>
      </c>
      <c r="B90" s="222" t="s">
        <v>4709</v>
      </c>
      <c r="C90" s="222" t="s">
        <v>5</v>
      </c>
      <c r="D90" s="222" t="e">
        <f t="array" ref="D90">IF(F90="","",INDEX(#REF!,MATCH(F90,#REF!,0)))</f>
        <v>#REF!</v>
      </c>
      <c r="E90" s="222" t="e">
        <f t="array" ref="E90">IF(F90="","",INDEX(#REF!,MATCH(F90,#REF!,0)))</f>
        <v>#REF!</v>
      </c>
      <c r="F90" s="222" t="s">
        <v>27</v>
      </c>
      <c r="G90" s="222" t="s">
        <v>4499</v>
      </c>
      <c r="H90" s="223">
        <v>2.1</v>
      </c>
      <c r="I90" s="222" t="s">
        <v>4731</v>
      </c>
      <c r="J90" s="222" t="s">
        <v>4732</v>
      </c>
      <c r="K90" s="222" t="s">
        <v>4733</v>
      </c>
      <c r="L90" s="222">
        <v>500823</v>
      </c>
      <c r="M90" s="222">
        <v>468059</v>
      </c>
      <c r="N90" s="222" t="s">
        <v>15</v>
      </c>
      <c r="O90" s="222" t="s">
        <v>4611</v>
      </c>
      <c r="P90" s="224">
        <v>184923270.66</v>
      </c>
      <c r="Q90" s="224">
        <v>3709493.1100000003</v>
      </c>
      <c r="R90" s="224">
        <v>448573468.17000002</v>
      </c>
      <c r="S90" s="224"/>
      <c r="T90" s="224">
        <v>510000</v>
      </c>
      <c r="U90" s="224"/>
      <c r="V90" s="224">
        <v>0</v>
      </c>
      <c r="W90" s="224"/>
      <c r="X90" s="224"/>
      <c r="Y90" s="222">
        <v>0</v>
      </c>
      <c r="Z90" s="222">
        <v>468059</v>
      </c>
      <c r="AA90" s="224">
        <v>124356907.37000006</v>
      </c>
      <c r="AB90" s="224">
        <v>122113.2</v>
      </c>
      <c r="AC90" s="224">
        <v>148833586.06</v>
      </c>
      <c r="AD90" s="224"/>
      <c r="AE90" s="224">
        <v>0</v>
      </c>
      <c r="AF90" s="224"/>
      <c r="AG90" s="224">
        <v>0</v>
      </c>
      <c r="AH90" s="224"/>
      <c r="AI90" s="224"/>
      <c r="AJ90" s="126"/>
      <c r="AK90" s="126"/>
      <c r="AL90" s="126"/>
      <c r="AM90" s="126"/>
      <c r="AN90" s="126"/>
    </row>
    <row r="91" spans="1:40" ht="15.75" customHeight="1">
      <c r="A91" s="221">
        <f t="shared" si="2"/>
        <v>85</v>
      </c>
      <c r="B91" s="222" t="s">
        <v>4709</v>
      </c>
      <c r="C91" s="222" t="s">
        <v>5</v>
      </c>
      <c r="D91" s="222" t="e">
        <f t="array" ref="D91">IF(F91="","",INDEX(#REF!,MATCH(F91,#REF!,0)))</f>
        <v>#REF!</v>
      </c>
      <c r="E91" s="222" t="e">
        <f t="array" ref="E91">IF(F91="","",INDEX(#REF!,MATCH(F91,#REF!,0)))</f>
        <v>#REF!</v>
      </c>
      <c r="F91" s="222" t="s">
        <v>27</v>
      </c>
      <c r="G91" s="222" t="s">
        <v>4499</v>
      </c>
      <c r="H91" s="223">
        <v>2.2000000000000002</v>
      </c>
      <c r="I91" s="222" t="s">
        <v>4734</v>
      </c>
      <c r="J91" s="222" t="s">
        <v>4735</v>
      </c>
      <c r="K91" s="222" t="s">
        <v>4736</v>
      </c>
      <c r="L91" s="222">
        <v>107018</v>
      </c>
      <c r="M91" s="222">
        <v>107018</v>
      </c>
      <c r="N91" s="222" t="s">
        <v>11</v>
      </c>
      <c r="O91" s="222" t="s">
        <v>9</v>
      </c>
      <c r="P91" s="224"/>
      <c r="Q91" s="224">
        <v>4604931.24</v>
      </c>
      <c r="R91" s="224">
        <v>9344465.7400000002</v>
      </c>
      <c r="S91" s="224"/>
      <c r="T91" s="224">
        <v>353784</v>
      </c>
      <c r="U91" s="224"/>
      <c r="V91" s="224"/>
      <c r="W91" s="224"/>
      <c r="X91" s="224"/>
      <c r="Y91" s="222">
        <v>19475</v>
      </c>
      <c r="Z91" s="222">
        <v>107018</v>
      </c>
      <c r="AA91" s="224"/>
      <c r="AB91" s="224">
        <v>0</v>
      </c>
      <c r="AC91" s="224">
        <v>698345.29</v>
      </c>
      <c r="AD91" s="224"/>
      <c r="AE91" s="224">
        <v>0</v>
      </c>
      <c r="AF91" s="224"/>
      <c r="AG91" s="224"/>
      <c r="AH91" s="224"/>
      <c r="AI91" s="224"/>
      <c r="AJ91" s="126"/>
      <c r="AK91" s="126"/>
      <c r="AL91" s="126"/>
      <c r="AM91" s="126"/>
      <c r="AN91" s="126"/>
    </row>
    <row r="92" spans="1:40" ht="15.75" customHeight="1">
      <c r="A92" s="221">
        <f t="shared" si="2"/>
        <v>86</v>
      </c>
      <c r="B92" s="222" t="s">
        <v>4709</v>
      </c>
      <c r="C92" s="222" t="s">
        <v>5</v>
      </c>
      <c r="D92" s="222" t="e">
        <f t="array" ref="D92">IF(F92="","",INDEX(#REF!,MATCH(F92,#REF!,0)))</f>
        <v>#REF!</v>
      </c>
      <c r="E92" s="222" t="e">
        <f t="array" ref="E92">IF(F92="","",INDEX(#REF!,MATCH(F92,#REF!,0)))</f>
        <v>#REF!</v>
      </c>
      <c r="F92" s="222" t="s">
        <v>27</v>
      </c>
      <c r="G92" s="222" t="s">
        <v>4499</v>
      </c>
      <c r="H92" s="223">
        <v>2.2999999999999998</v>
      </c>
      <c r="I92" s="222" t="s">
        <v>4737</v>
      </c>
      <c r="J92" s="222" t="s">
        <v>4738</v>
      </c>
      <c r="K92" s="222" t="s">
        <v>4739</v>
      </c>
      <c r="L92" s="222">
        <v>3000</v>
      </c>
      <c r="M92" s="222">
        <v>3000</v>
      </c>
      <c r="N92" s="222" t="s">
        <v>11</v>
      </c>
      <c r="O92" s="222" t="s">
        <v>9</v>
      </c>
      <c r="P92" s="224"/>
      <c r="Q92" s="224">
        <v>789087.08</v>
      </c>
      <c r="R92" s="224"/>
      <c r="S92" s="224"/>
      <c r="T92" s="224"/>
      <c r="U92" s="224"/>
      <c r="V92" s="224"/>
      <c r="W92" s="224"/>
      <c r="X92" s="224"/>
      <c r="Y92" s="222">
        <v>1329</v>
      </c>
      <c r="Z92" s="222">
        <v>3000</v>
      </c>
      <c r="AA92" s="224"/>
      <c r="AB92" s="224">
        <v>0</v>
      </c>
      <c r="AC92" s="224"/>
      <c r="AD92" s="224"/>
      <c r="AE92" s="224"/>
      <c r="AF92" s="224"/>
      <c r="AG92" s="224"/>
      <c r="AH92" s="224"/>
      <c r="AI92" s="224"/>
      <c r="AJ92" s="126"/>
      <c r="AK92" s="126"/>
      <c r="AL92" s="126"/>
      <c r="AM92" s="126"/>
      <c r="AN92" s="126"/>
    </row>
    <row r="93" spans="1:40" ht="15.75" customHeight="1">
      <c r="A93" s="221">
        <f t="shared" si="2"/>
        <v>87</v>
      </c>
      <c r="B93" s="222" t="s">
        <v>4709</v>
      </c>
      <c r="C93" s="222" t="s">
        <v>5</v>
      </c>
      <c r="D93" s="222" t="e">
        <f t="array" ref="D93">IF(F93="","",INDEX(#REF!,MATCH(F93,#REF!,0)))</f>
        <v>#REF!</v>
      </c>
      <c r="E93" s="222" t="e">
        <f t="array" ref="E93">IF(F93="","",INDEX(#REF!,MATCH(F93,#REF!,0)))</f>
        <v>#REF!</v>
      </c>
      <c r="F93" s="222" t="s">
        <v>27</v>
      </c>
      <c r="G93" s="222" t="s">
        <v>4499</v>
      </c>
      <c r="H93" s="223">
        <v>2.4</v>
      </c>
      <c r="I93" s="222" t="s">
        <v>4740</v>
      </c>
      <c r="J93" s="222" t="s">
        <v>4741</v>
      </c>
      <c r="K93" s="222" t="s">
        <v>4742</v>
      </c>
      <c r="L93" s="222">
        <v>3400</v>
      </c>
      <c r="M93" s="222">
        <v>3400</v>
      </c>
      <c r="N93" s="222" t="s">
        <v>11</v>
      </c>
      <c r="O93" s="222" t="s">
        <v>9</v>
      </c>
      <c r="P93" s="224"/>
      <c r="Q93" s="224"/>
      <c r="R93" s="224">
        <v>18154025</v>
      </c>
      <c r="S93" s="224"/>
      <c r="T93" s="224"/>
      <c r="U93" s="224"/>
      <c r="V93" s="224"/>
      <c r="W93" s="224"/>
      <c r="X93" s="224"/>
      <c r="Y93" s="222">
        <v>1540</v>
      </c>
      <c r="Z93" s="222">
        <v>3400</v>
      </c>
      <c r="AA93" s="224"/>
      <c r="AB93" s="224"/>
      <c r="AC93" s="224">
        <v>6876524.6999999993</v>
      </c>
      <c r="AD93" s="224"/>
      <c r="AE93" s="224"/>
      <c r="AF93" s="224"/>
      <c r="AG93" s="224"/>
      <c r="AH93" s="224"/>
      <c r="AI93" s="224"/>
      <c r="AJ93" s="126"/>
      <c r="AK93" s="126"/>
      <c r="AL93" s="126"/>
      <c r="AM93" s="126"/>
      <c r="AN93" s="126"/>
    </row>
    <row r="94" spans="1:40" ht="15.75" customHeight="1">
      <c r="A94" s="221">
        <f t="shared" si="2"/>
        <v>88</v>
      </c>
      <c r="B94" s="222" t="s">
        <v>4709</v>
      </c>
      <c r="C94" s="222" t="s">
        <v>5</v>
      </c>
      <c r="D94" s="222" t="e">
        <f t="array" ref="D94">IF(F94="","",INDEX(#REF!,MATCH(F94,#REF!,0)))</f>
        <v>#REF!</v>
      </c>
      <c r="E94" s="222" t="e">
        <f t="array" ref="E94">IF(F94="","",INDEX(#REF!,MATCH(F94,#REF!,0)))</f>
        <v>#REF!</v>
      </c>
      <c r="F94" s="222" t="s">
        <v>27</v>
      </c>
      <c r="G94" s="222" t="s">
        <v>4499</v>
      </c>
      <c r="H94" s="223">
        <v>2.5</v>
      </c>
      <c r="I94" s="222" t="s">
        <v>4743</v>
      </c>
      <c r="J94" s="222" t="s">
        <v>4744</v>
      </c>
      <c r="K94" s="222" t="s">
        <v>4745</v>
      </c>
      <c r="L94" s="222">
        <v>35000</v>
      </c>
      <c r="M94" s="222">
        <v>35000</v>
      </c>
      <c r="N94" s="222" t="s">
        <v>11</v>
      </c>
      <c r="O94" s="222" t="s">
        <v>9</v>
      </c>
      <c r="P94" s="224"/>
      <c r="Q94" s="224"/>
      <c r="R94" s="224">
        <v>100652656</v>
      </c>
      <c r="S94" s="224"/>
      <c r="T94" s="224"/>
      <c r="U94" s="224"/>
      <c r="V94" s="224"/>
      <c r="W94" s="224"/>
      <c r="X94" s="224"/>
      <c r="Y94" s="222">
        <v>11492</v>
      </c>
      <c r="Z94" s="222">
        <v>35000</v>
      </c>
      <c r="AA94" s="224"/>
      <c r="AB94" s="224"/>
      <c r="AC94" s="224">
        <v>28681570.449999999</v>
      </c>
      <c r="AD94" s="224"/>
      <c r="AE94" s="224"/>
      <c r="AF94" s="224"/>
      <c r="AG94" s="224"/>
      <c r="AH94" s="224"/>
      <c r="AI94" s="224"/>
      <c r="AJ94" s="126"/>
      <c r="AK94" s="126"/>
      <c r="AL94" s="126"/>
      <c r="AM94" s="126"/>
      <c r="AN94" s="126"/>
    </row>
    <row r="95" spans="1:40" ht="15.75" customHeight="1">
      <c r="A95" s="221">
        <f t="shared" si="2"/>
        <v>89</v>
      </c>
      <c r="B95" s="222" t="s">
        <v>4709</v>
      </c>
      <c r="C95" s="222" t="s">
        <v>5</v>
      </c>
      <c r="D95" s="222" t="e">
        <f t="array" ref="D95">IF(F95="","",INDEX(#REF!,MATCH(F95,#REF!,0)))</f>
        <v>#REF!</v>
      </c>
      <c r="E95" s="222" t="e">
        <f t="array" ref="E95">IF(F95="","",INDEX(#REF!,MATCH(F95,#REF!,0)))</f>
        <v>#REF!</v>
      </c>
      <c r="F95" s="222" t="s">
        <v>27</v>
      </c>
      <c r="G95" s="222" t="s">
        <v>4499</v>
      </c>
      <c r="H95" s="223">
        <v>2.6</v>
      </c>
      <c r="I95" s="222" t="s">
        <v>4746</v>
      </c>
      <c r="J95" s="222" t="s">
        <v>4747</v>
      </c>
      <c r="K95" s="222" t="s">
        <v>4727</v>
      </c>
      <c r="L95" s="222">
        <v>23822</v>
      </c>
      <c r="M95" s="222">
        <v>27297</v>
      </c>
      <c r="N95" s="222" t="s">
        <v>11</v>
      </c>
      <c r="O95" s="222" t="s">
        <v>9</v>
      </c>
      <c r="P95" s="224"/>
      <c r="Q95" s="224">
        <v>575394.09</v>
      </c>
      <c r="R95" s="224">
        <v>1160</v>
      </c>
      <c r="S95" s="224"/>
      <c r="T95" s="224"/>
      <c r="U95" s="224"/>
      <c r="V95" s="224"/>
      <c r="W95" s="224"/>
      <c r="X95" s="224"/>
      <c r="Y95" s="222">
        <v>3375</v>
      </c>
      <c r="Z95" s="222">
        <v>27297</v>
      </c>
      <c r="AA95" s="224"/>
      <c r="AB95" s="224">
        <v>0</v>
      </c>
      <c r="AC95" s="224">
        <v>1160</v>
      </c>
      <c r="AD95" s="224"/>
      <c r="AE95" s="224"/>
      <c r="AF95" s="224"/>
      <c r="AG95" s="224"/>
      <c r="AH95" s="224"/>
      <c r="AI95" s="224"/>
      <c r="AJ95" s="126"/>
      <c r="AK95" s="126"/>
      <c r="AL95" s="126"/>
      <c r="AM95" s="126"/>
      <c r="AN95" s="126"/>
    </row>
    <row r="96" spans="1:40" ht="15.75" customHeight="1">
      <c r="A96" s="221">
        <f t="shared" si="2"/>
        <v>90</v>
      </c>
      <c r="B96" s="222" t="s">
        <v>4709</v>
      </c>
      <c r="C96" s="222" t="s">
        <v>5</v>
      </c>
      <c r="D96" s="222" t="e">
        <f t="array" ref="D96">IF(F96="","",INDEX(#REF!,MATCH(F96,#REF!,0)))</f>
        <v>#REF!</v>
      </c>
      <c r="E96" s="222" t="e">
        <f t="array" ref="E96">IF(F96="","",INDEX(#REF!,MATCH(F96,#REF!,0)))</f>
        <v>#REF!</v>
      </c>
      <c r="F96" s="222" t="s">
        <v>27</v>
      </c>
      <c r="G96" s="222" t="s">
        <v>4495</v>
      </c>
      <c r="H96" s="223">
        <v>3</v>
      </c>
      <c r="I96" s="222" t="s">
        <v>4748</v>
      </c>
      <c r="J96" s="222" t="s">
        <v>4749</v>
      </c>
      <c r="K96" s="222" t="s">
        <v>4750</v>
      </c>
      <c r="L96" s="222">
        <v>35556</v>
      </c>
      <c r="M96" s="222">
        <v>35556</v>
      </c>
      <c r="N96" s="222" t="s">
        <v>11</v>
      </c>
      <c r="O96" s="222" t="s">
        <v>9</v>
      </c>
      <c r="P96" s="224"/>
      <c r="Q96" s="224"/>
      <c r="R96" s="224"/>
      <c r="S96" s="224"/>
      <c r="T96" s="224"/>
      <c r="U96" s="224"/>
      <c r="V96" s="224"/>
      <c r="W96" s="224"/>
      <c r="X96" s="224"/>
      <c r="Y96" s="222">
        <v>11478</v>
      </c>
      <c r="Z96" s="222">
        <v>35556</v>
      </c>
      <c r="AA96" s="224"/>
      <c r="AB96" s="224"/>
      <c r="AC96" s="224"/>
      <c r="AD96" s="224"/>
      <c r="AE96" s="224"/>
      <c r="AF96" s="224"/>
      <c r="AG96" s="224"/>
      <c r="AH96" s="224"/>
      <c r="AI96" s="224"/>
      <c r="AJ96" s="126"/>
      <c r="AK96" s="126"/>
      <c r="AL96" s="126"/>
      <c r="AM96" s="126"/>
      <c r="AN96" s="126"/>
    </row>
    <row r="97" spans="1:40" ht="15.75" customHeight="1">
      <c r="A97" s="221">
        <f t="shared" si="2"/>
        <v>91</v>
      </c>
      <c r="B97" s="222" t="s">
        <v>4709</v>
      </c>
      <c r="C97" s="222" t="s">
        <v>5</v>
      </c>
      <c r="D97" s="222" t="e">
        <f t="array" ref="D97">IF(F97="","",INDEX(#REF!,MATCH(F97,#REF!,0)))</f>
        <v>#REF!</v>
      </c>
      <c r="E97" s="222" t="e">
        <f t="array" ref="E97">IF(F97="","",INDEX(#REF!,MATCH(F97,#REF!,0)))</f>
        <v>#REF!</v>
      </c>
      <c r="F97" s="222" t="s">
        <v>27</v>
      </c>
      <c r="G97" s="222" t="s">
        <v>4499</v>
      </c>
      <c r="H97" s="223">
        <v>3.1</v>
      </c>
      <c r="I97" s="222" t="s">
        <v>4751</v>
      </c>
      <c r="J97" s="222" t="s">
        <v>4752</v>
      </c>
      <c r="K97" s="222" t="s">
        <v>4753</v>
      </c>
      <c r="L97" s="222">
        <v>2100</v>
      </c>
      <c r="M97" s="222">
        <v>12</v>
      </c>
      <c r="N97" s="222" t="s">
        <v>6</v>
      </c>
      <c r="O97" s="222" t="s">
        <v>9</v>
      </c>
      <c r="P97" s="224">
        <v>78399041.459999993</v>
      </c>
      <c r="Q97" s="224">
        <v>7340631.5600000005</v>
      </c>
      <c r="R97" s="224">
        <v>449336.09</v>
      </c>
      <c r="S97" s="224"/>
      <c r="T97" s="224">
        <v>3348245.53</v>
      </c>
      <c r="U97" s="224"/>
      <c r="V97" s="224"/>
      <c r="W97" s="224"/>
      <c r="X97" s="224"/>
      <c r="Y97" s="222">
        <v>961</v>
      </c>
      <c r="Z97" s="222">
        <v>12</v>
      </c>
      <c r="AA97" s="224">
        <v>21982347.07</v>
      </c>
      <c r="AB97" s="224">
        <v>57</v>
      </c>
      <c r="AC97" s="224">
        <v>0</v>
      </c>
      <c r="AD97" s="224"/>
      <c r="AE97" s="224">
        <v>0</v>
      </c>
      <c r="AF97" s="224"/>
      <c r="AG97" s="224"/>
      <c r="AH97" s="224"/>
      <c r="AI97" s="224"/>
      <c r="AJ97" s="126"/>
      <c r="AK97" s="126"/>
      <c r="AL97" s="126"/>
      <c r="AM97" s="126"/>
      <c r="AN97" s="126"/>
    </row>
    <row r="98" spans="1:40" ht="15.75" customHeight="1">
      <c r="A98" s="221">
        <f t="shared" si="2"/>
        <v>92</v>
      </c>
      <c r="B98" s="222" t="s">
        <v>4709</v>
      </c>
      <c r="C98" s="222" t="s">
        <v>5</v>
      </c>
      <c r="D98" s="222" t="e">
        <f t="array" ref="D98">IF(F98="","",INDEX(#REF!,MATCH(F98,#REF!,0)))</f>
        <v>#REF!</v>
      </c>
      <c r="E98" s="222" t="e">
        <f t="array" ref="E98">IF(F98="","",INDEX(#REF!,MATCH(F98,#REF!,0)))</f>
        <v>#REF!</v>
      </c>
      <c r="F98" s="222" t="s">
        <v>27</v>
      </c>
      <c r="G98" s="222" t="s">
        <v>4499</v>
      </c>
      <c r="H98" s="223">
        <v>3.2</v>
      </c>
      <c r="I98" s="222" t="s">
        <v>4754</v>
      </c>
      <c r="J98" s="222" t="s">
        <v>4755</v>
      </c>
      <c r="K98" s="222" t="s">
        <v>4756</v>
      </c>
      <c r="L98" s="222">
        <v>92</v>
      </c>
      <c r="M98" s="222">
        <v>92</v>
      </c>
      <c r="N98" s="222" t="s">
        <v>11</v>
      </c>
      <c r="O98" s="222" t="s">
        <v>9</v>
      </c>
      <c r="P98" s="224"/>
      <c r="Q98" s="224"/>
      <c r="R98" s="224">
        <v>2394240</v>
      </c>
      <c r="S98" s="224"/>
      <c r="T98" s="224"/>
      <c r="U98" s="224"/>
      <c r="V98" s="224"/>
      <c r="W98" s="224"/>
      <c r="X98" s="224"/>
      <c r="Y98" s="222">
        <v>33</v>
      </c>
      <c r="Z98" s="222">
        <v>92</v>
      </c>
      <c r="AA98" s="224"/>
      <c r="AB98" s="224"/>
      <c r="AC98" s="224">
        <v>0</v>
      </c>
      <c r="AD98" s="224"/>
      <c r="AE98" s="224"/>
      <c r="AF98" s="224"/>
      <c r="AG98" s="224"/>
      <c r="AH98" s="224"/>
      <c r="AI98" s="224"/>
      <c r="AJ98" s="126"/>
      <c r="AK98" s="126"/>
      <c r="AL98" s="126"/>
      <c r="AM98" s="126"/>
      <c r="AN98" s="126"/>
    </row>
    <row r="99" spans="1:40" ht="15.75" customHeight="1">
      <c r="A99" s="221">
        <f t="shared" si="2"/>
        <v>93</v>
      </c>
      <c r="B99" s="222" t="s">
        <v>4709</v>
      </c>
      <c r="C99" s="222" t="s">
        <v>5</v>
      </c>
      <c r="D99" s="222" t="e">
        <f t="array" ref="D99">IF(F99="","",INDEX(#REF!,MATCH(F99,#REF!,0)))</f>
        <v>#REF!</v>
      </c>
      <c r="E99" s="222" t="e">
        <f t="array" ref="E99">IF(F99="","",INDEX(#REF!,MATCH(F99,#REF!,0)))</f>
        <v>#REF!</v>
      </c>
      <c r="F99" s="222" t="s">
        <v>27</v>
      </c>
      <c r="G99" s="222" t="s">
        <v>4499</v>
      </c>
      <c r="H99" s="223">
        <v>3.3</v>
      </c>
      <c r="I99" s="222" t="s">
        <v>4757</v>
      </c>
      <c r="J99" s="222" t="s">
        <v>4758</v>
      </c>
      <c r="K99" s="222" t="s">
        <v>4759</v>
      </c>
      <c r="L99" s="222">
        <v>788</v>
      </c>
      <c r="M99" s="222">
        <v>788</v>
      </c>
      <c r="N99" s="222" t="s">
        <v>11</v>
      </c>
      <c r="O99" s="222" t="s">
        <v>9</v>
      </c>
      <c r="P99" s="224"/>
      <c r="Q99" s="224">
        <v>8885821.6300000008</v>
      </c>
      <c r="R99" s="224">
        <v>9554000</v>
      </c>
      <c r="S99" s="224"/>
      <c r="T99" s="224">
        <v>6450000</v>
      </c>
      <c r="U99" s="224"/>
      <c r="V99" s="224"/>
      <c r="W99" s="224"/>
      <c r="X99" s="224"/>
      <c r="Y99" s="222">
        <v>1</v>
      </c>
      <c r="Z99" s="222">
        <v>788</v>
      </c>
      <c r="AA99" s="224"/>
      <c r="AB99" s="224">
        <v>0</v>
      </c>
      <c r="AC99" s="224">
        <v>0</v>
      </c>
      <c r="AD99" s="224"/>
      <c r="AE99" s="224">
        <v>0</v>
      </c>
      <c r="AF99" s="224"/>
      <c r="AG99" s="224"/>
      <c r="AH99" s="224"/>
      <c r="AI99" s="224"/>
      <c r="AJ99" s="126"/>
      <c r="AK99" s="126"/>
      <c r="AL99" s="126"/>
      <c r="AM99" s="126"/>
      <c r="AN99" s="126"/>
    </row>
    <row r="100" spans="1:40" ht="15.75" customHeight="1">
      <c r="A100" s="221">
        <f t="shared" si="2"/>
        <v>94</v>
      </c>
      <c r="B100" s="222" t="s">
        <v>4709</v>
      </c>
      <c r="C100" s="222" t="s">
        <v>5</v>
      </c>
      <c r="D100" s="222" t="e">
        <f t="array" ref="D100">IF(F100="","",INDEX(#REF!,MATCH(F100,#REF!,0)))</f>
        <v>#REF!</v>
      </c>
      <c r="E100" s="222" t="e">
        <f t="array" ref="E100">IF(F100="","",INDEX(#REF!,MATCH(F100,#REF!,0)))</f>
        <v>#REF!</v>
      </c>
      <c r="F100" s="222" t="s">
        <v>27</v>
      </c>
      <c r="G100" s="222" t="s">
        <v>4499</v>
      </c>
      <c r="H100" s="223">
        <v>3.4</v>
      </c>
      <c r="I100" s="222" t="s">
        <v>4760</v>
      </c>
      <c r="J100" s="222" t="s">
        <v>4761</v>
      </c>
      <c r="K100" s="222" t="s">
        <v>4762</v>
      </c>
      <c r="L100" s="222">
        <v>103516</v>
      </c>
      <c r="M100" s="222">
        <v>103516</v>
      </c>
      <c r="N100" s="222" t="s">
        <v>11</v>
      </c>
      <c r="O100" s="222" t="s">
        <v>9</v>
      </c>
      <c r="P100" s="224"/>
      <c r="Q100" s="224">
        <v>2500000</v>
      </c>
      <c r="R100" s="224">
        <v>0</v>
      </c>
      <c r="S100" s="224"/>
      <c r="T100" s="224"/>
      <c r="U100" s="224"/>
      <c r="V100" s="224"/>
      <c r="W100" s="224"/>
      <c r="X100" s="224"/>
      <c r="Y100" s="222">
        <v>40815</v>
      </c>
      <c r="Z100" s="222">
        <v>103516</v>
      </c>
      <c r="AA100" s="224"/>
      <c r="AB100" s="224">
        <v>0</v>
      </c>
      <c r="AC100" s="224">
        <v>0</v>
      </c>
      <c r="AD100" s="224"/>
      <c r="AE100" s="224"/>
      <c r="AF100" s="224"/>
      <c r="AG100" s="224"/>
      <c r="AH100" s="224"/>
      <c r="AI100" s="224"/>
      <c r="AJ100" s="126"/>
      <c r="AK100" s="126"/>
      <c r="AL100" s="126"/>
      <c r="AM100" s="126"/>
      <c r="AN100" s="126"/>
    </row>
    <row r="101" spans="1:40" ht="15.75" customHeight="1">
      <c r="A101" s="221">
        <f t="shared" si="2"/>
        <v>95</v>
      </c>
      <c r="B101" s="222" t="s">
        <v>4709</v>
      </c>
      <c r="C101" s="222" t="s">
        <v>5</v>
      </c>
      <c r="D101" s="222" t="e">
        <f t="array" ref="D101">IF(F101="","",INDEX(#REF!,MATCH(F101,#REF!,0)))</f>
        <v>#REF!</v>
      </c>
      <c r="E101" s="222" t="e">
        <f t="array" ref="E101">IF(F101="","",INDEX(#REF!,MATCH(F101,#REF!,0)))</f>
        <v>#REF!</v>
      </c>
      <c r="F101" s="222" t="s">
        <v>27</v>
      </c>
      <c r="G101" s="222" t="s">
        <v>4499</v>
      </c>
      <c r="H101" s="223">
        <v>3.5</v>
      </c>
      <c r="I101" s="222" t="s">
        <v>4763</v>
      </c>
      <c r="J101" s="222" t="s">
        <v>4764</v>
      </c>
      <c r="K101" s="222" t="s">
        <v>4765</v>
      </c>
      <c r="L101" s="222">
        <v>9991</v>
      </c>
      <c r="M101" s="222">
        <v>9991</v>
      </c>
      <c r="N101" s="222" t="s">
        <v>11</v>
      </c>
      <c r="O101" s="222" t="s">
        <v>9</v>
      </c>
      <c r="P101" s="224"/>
      <c r="Q101" s="224">
        <v>2519997.37</v>
      </c>
      <c r="R101" s="224">
        <v>0</v>
      </c>
      <c r="S101" s="224"/>
      <c r="T101" s="224"/>
      <c r="U101" s="224"/>
      <c r="V101" s="224"/>
      <c r="W101" s="224"/>
      <c r="X101" s="224"/>
      <c r="Y101" s="222">
        <v>5648</v>
      </c>
      <c r="Z101" s="222">
        <v>9991</v>
      </c>
      <c r="AA101" s="224"/>
      <c r="AB101" s="224">
        <v>0</v>
      </c>
      <c r="AC101" s="224">
        <v>0</v>
      </c>
      <c r="AD101" s="224"/>
      <c r="AE101" s="224"/>
      <c r="AF101" s="224"/>
      <c r="AG101" s="224"/>
      <c r="AH101" s="224"/>
      <c r="AI101" s="224"/>
      <c r="AJ101" s="126"/>
      <c r="AK101" s="126"/>
      <c r="AL101" s="126"/>
      <c r="AM101" s="126"/>
      <c r="AN101" s="126"/>
    </row>
    <row r="102" spans="1:40" ht="15.75" customHeight="1">
      <c r="A102" s="221">
        <f t="shared" si="2"/>
        <v>96</v>
      </c>
      <c r="B102" s="222" t="s">
        <v>4709</v>
      </c>
      <c r="C102" s="222" t="s">
        <v>5</v>
      </c>
      <c r="D102" s="222" t="e">
        <f t="array" ref="D102">IF(F102="","",INDEX(#REF!,MATCH(F102,#REF!,0)))</f>
        <v>#REF!</v>
      </c>
      <c r="E102" s="222" t="e">
        <f t="array" ref="E102">IF(F102="","",INDEX(#REF!,MATCH(F102,#REF!,0)))</f>
        <v>#REF!</v>
      </c>
      <c r="F102" s="222" t="s">
        <v>27</v>
      </c>
      <c r="G102" s="222" t="s">
        <v>4499</v>
      </c>
      <c r="H102" s="223">
        <v>3.6</v>
      </c>
      <c r="I102" s="222" t="s">
        <v>4766</v>
      </c>
      <c r="J102" s="222" t="s">
        <v>4767</v>
      </c>
      <c r="K102" s="222" t="s">
        <v>4768</v>
      </c>
      <c r="L102" s="222">
        <v>53812</v>
      </c>
      <c r="M102" s="222">
        <v>53812</v>
      </c>
      <c r="N102" s="222" t="s">
        <v>11</v>
      </c>
      <c r="O102" s="222" t="s">
        <v>9</v>
      </c>
      <c r="P102" s="224"/>
      <c r="Q102" s="224"/>
      <c r="R102" s="224">
        <v>12408661.369999999</v>
      </c>
      <c r="S102" s="224">
        <v>1100000</v>
      </c>
      <c r="T102" s="224"/>
      <c r="U102" s="224"/>
      <c r="V102" s="224"/>
      <c r="W102" s="224"/>
      <c r="X102" s="224"/>
      <c r="Y102" s="222">
        <v>24242</v>
      </c>
      <c r="Z102" s="222">
        <v>53812</v>
      </c>
      <c r="AA102" s="224"/>
      <c r="AB102" s="224"/>
      <c r="AC102" s="224">
        <v>0</v>
      </c>
      <c r="AD102" s="224">
        <v>0</v>
      </c>
      <c r="AE102" s="224"/>
      <c r="AF102" s="224"/>
      <c r="AG102" s="224"/>
      <c r="AH102" s="224"/>
      <c r="AI102" s="224"/>
      <c r="AJ102" s="126"/>
      <c r="AK102" s="126"/>
      <c r="AL102" s="126"/>
      <c r="AM102" s="126"/>
      <c r="AN102" s="126"/>
    </row>
    <row r="103" spans="1:40" ht="15.75" customHeight="1">
      <c r="A103" s="221">
        <f t="shared" si="2"/>
        <v>97</v>
      </c>
      <c r="B103" s="222" t="s">
        <v>4709</v>
      </c>
      <c r="C103" s="222" t="s">
        <v>5</v>
      </c>
      <c r="D103" s="222" t="e">
        <f t="array" ref="D103">IF(F103="","",INDEX(#REF!,MATCH(F103,#REF!,0)))</f>
        <v>#REF!</v>
      </c>
      <c r="E103" s="222" t="e">
        <f t="array" ref="E103">IF(F103="","",INDEX(#REF!,MATCH(F103,#REF!,0)))</f>
        <v>#REF!</v>
      </c>
      <c r="F103" s="222" t="s">
        <v>27</v>
      </c>
      <c r="G103" s="222" t="s">
        <v>4499</v>
      </c>
      <c r="H103" s="223">
        <v>3.7</v>
      </c>
      <c r="I103" s="222" t="s">
        <v>4769</v>
      </c>
      <c r="J103" s="222" t="s">
        <v>4770</v>
      </c>
      <c r="K103" s="222" t="s">
        <v>4771</v>
      </c>
      <c r="L103" s="222">
        <v>15989</v>
      </c>
      <c r="M103" s="222">
        <v>15989</v>
      </c>
      <c r="N103" s="222" t="s">
        <v>11</v>
      </c>
      <c r="O103" s="222" t="s">
        <v>9</v>
      </c>
      <c r="P103" s="224"/>
      <c r="Q103" s="224"/>
      <c r="R103" s="224">
        <v>0</v>
      </c>
      <c r="S103" s="224"/>
      <c r="T103" s="224"/>
      <c r="U103" s="224"/>
      <c r="V103" s="224"/>
      <c r="W103" s="224"/>
      <c r="X103" s="224"/>
      <c r="Y103" s="222">
        <v>910</v>
      </c>
      <c r="Z103" s="222">
        <v>15989</v>
      </c>
      <c r="AA103" s="224"/>
      <c r="AB103" s="224"/>
      <c r="AC103" s="224">
        <v>0</v>
      </c>
      <c r="AD103" s="224"/>
      <c r="AE103" s="224"/>
      <c r="AF103" s="224"/>
      <c r="AG103" s="224"/>
      <c r="AH103" s="224"/>
      <c r="AI103" s="224"/>
      <c r="AJ103" s="126"/>
      <c r="AK103" s="126"/>
      <c r="AL103" s="126"/>
      <c r="AM103" s="126"/>
      <c r="AN103" s="126"/>
    </row>
    <row r="104" spans="1:40" ht="15.75" customHeight="1">
      <c r="A104" s="221">
        <f t="shared" si="2"/>
        <v>98</v>
      </c>
      <c r="B104" s="222" t="s">
        <v>4709</v>
      </c>
      <c r="C104" s="222" t="s">
        <v>5</v>
      </c>
      <c r="D104" s="222" t="e">
        <f t="array" ref="D104">IF(F104="","",INDEX(#REF!,MATCH(F104,#REF!,0)))</f>
        <v>#REF!</v>
      </c>
      <c r="E104" s="222" t="e">
        <f t="array" ref="E104">IF(F104="","",INDEX(#REF!,MATCH(F104,#REF!,0)))</f>
        <v>#REF!</v>
      </c>
      <c r="F104" s="222" t="s">
        <v>27</v>
      </c>
      <c r="G104" s="222" t="s">
        <v>4495</v>
      </c>
      <c r="H104" s="223">
        <v>4</v>
      </c>
      <c r="I104" s="222" t="s">
        <v>4772</v>
      </c>
      <c r="J104" s="222" t="s">
        <v>4773</v>
      </c>
      <c r="K104" s="222" t="s">
        <v>4774</v>
      </c>
      <c r="L104" s="222">
        <v>425000</v>
      </c>
      <c r="M104" s="222">
        <v>425000</v>
      </c>
      <c r="N104" s="222" t="s">
        <v>11</v>
      </c>
      <c r="O104" s="222" t="s">
        <v>9</v>
      </c>
      <c r="P104" s="224"/>
      <c r="Q104" s="224"/>
      <c r="R104" s="224"/>
      <c r="S104" s="224"/>
      <c r="T104" s="224"/>
      <c r="U104" s="224"/>
      <c r="V104" s="224"/>
      <c r="W104" s="224"/>
      <c r="X104" s="224"/>
      <c r="Y104" s="222">
        <v>90327</v>
      </c>
      <c r="Z104" s="222">
        <v>425000</v>
      </c>
      <c r="AA104" s="224"/>
      <c r="AB104" s="224"/>
      <c r="AC104" s="224"/>
      <c r="AD104" s="224"/>
      <c r="AE104" s="224"/>
      <c r="AF104" s="224"/>
      <c r="AG104" s="224"/>
      <c r="AH104" s="224"/>
      <c r="AI104" s="224"/>
      <c r="AJ104" s="126"/>
      <c r="AK104" s="126"/>
      <c r="AL104" s="126"/>
      <c r="AM104" s="126"/>
      <c r="AN104" s="126"/>
    </row>
    <row r="105" spans="1:40" ht="15.75" customHeight="1">
      <c r="A105" s="221">
        <f t="shared" si="2"/>
        <v>99</v>
      </c>
      <c r="B105" s="222" t="s">
        <v>4709</v>
      </c>
      <c r="C105" s="222" t="s">
        <v>5</v>
      </c>
      <c r="D105" s="222" t="e">
        <f t="array" ref="D105">IF(F105="","",INDEX(#REF!,MATCH(F105,#REF!,0)))</f>
        <v>#REF!</v>
      </c>
      <c r="E105" s="222" t="e">
        <f t="array" ref="E105">IF(F105="","",INDEX(#REF!,MATCH(F105,#REF!,0)))</f>
        <v>#REF!</v>
      </c>
      <c r="F105" s="222" t="s">
        <v>27</v>
      </c>
      <c r="G105" s="222" t="s">
        <v>4499</v>
      </c>
      <c r="H105" s="223">
        <v>4.0999999999999996</v>
      </c>
      <c r="I105" s="222" t="s">
        <v>4775</v>
      </c>
      <c r="J105" s="222" t="s">
        <v>4776</v>
      </c>
      <c r="K105" s="222" t="s">
        <v>4777</v>
      </c>
      <c r="L105" s="222">
        <v>304320</v>
      </c>
      <c r="M105" s="222">
        <v>304320</v>
      </c>
      <c r="N105" s="222" t="s">
        <v>11</v>
      </c>
      <c r="O105" s="222" t="s">
        <v>9</v>
      </c>
      <c r="P105" s="224">
        <v>55456372.659999989</v>
      </c>
      <c r="Q105" s="224">
        <v>26029554.199999999</v>
      </c>
      <c r="R105" s="224">
        <v>0</v>
      </c>
      <c r="S105" s="224"/>
      <c r="T105" s="224">
        <v>409273</v>
      </c>
      <c r="U105" s="224"/>
      <c r="V105" s="224"/>
      <c r="W105" s="224"/>
      <c r="X105" s="224"/>
      <c r="Y105" s="222">
        <v>88597</v>
      </c>
      <c r="Z105" s="222">
        <v>304320</v>
      </c>
      <c r="AA105" s="224">
        <v>12113698.260000005</v>
      </c>
      <c r="AB105" s="224">
        <v>0</v>
      </c>
      <c r="AC105" s="224">
        <v>0</v>
      </c>
      <c r="AD105" s="224"/>
      <c r="AE105" s="224">
        <v>0</v>
      </c>
      <c r="AF105" s="224"/>
      <c r="AG105" s="224"/>
      <c r="AH105" s="224"/>
      <c r="AI105" s="224"/>
      <c r="AJ105" s="126"/>
      <c r="AK105" s="126"/>
      <c r="AL105" s="126"/>
      <c r="AM105" s="126"/>
      <c r="AN105" s="126"/>
    </row>
    <row r="106" spans="1:40" ht="15.75" customHeight="1">
      <c r="A106" s="221">
        <f t="shared" si="2"/>
        <v>100</v>
      </c>
      <c r="B106" s="222" t="s">
        <v>4709</v>
      </c>
      <c r="C106" s="222" t="s">
        <v>5</v>
      </c>
      <c r="D106" s="222" t="e">
        <f t="array" ref="D106">IF(F106="","",INDEX(#REF!,MATCH(F106,#REF!,0)))</f>
        <v>#REF!</v>
      </c>
      <c r="E106" s="222" t="e">
        <f t="array" ref="E106">IF(F106="","",INDEX(#REF!,MATCH(F106,#REF!,0)))</f>
        <v>#REF!</v>
      </c>
      <c r="F106" s="222" t="s">
        <v>27</v>
      </c>
      <c r="G106" s="222" t="s">
        <v>4499</v>
      </c>
      <c r="H106" s="223">
        <v>4.2</v>
      </c>
      <c r="I106" s="222" t="s">
        <v>4778</v>
      </c>
      <c r="J106" s="222" t="s">
        <v>4779</v>
      </c>
      <c r="K106" s="222" t="s">
        <v>4780</v>
      </c>
      <c r="L106" s="222">
        <v>65000</v>
      </c>
      <c r="M106" s="222">
        <v>65000</v>
      </c>
      <c r="N106" s="222" t="s">
        <v>11</v>
      </c>
      <c r="O106" s="222" t="s">
        <v>9</v>
      </c>
      <c r="P106" s="224"/>
      <c r="Q106" s="224"/>
      <c r="R106" s="224">
        <v>3000000</v>
      </c>
      <c r="S106" s="224"/>
      <c r="T106" s="224"/>
      <c r="U106" s="224"/>
      <c r="V106" s="224"/>
      <c r="W106" s="224"/>
      <c r="X106" s="224"/>
      <c r="Y106" s="222">
        <v>0</v>
      </c>
      <c r="Z106" s="222">
        <v>65000</v>
      </c>
      <c r="AA106" s="224"/>
      <c r="AB106" s="224"/>
      <c r="AC106" s="224">
        <v>0</v>
      </c>
      <c r="AD106" s="224"/>
      <c r="AE106" s="224"/>
      <c r="AF106" s="224"/>
      <c r="AG106" s="224"/>
      <c r="AH106" s="224"/>
      <c r="AI106" s="224"/>
      <c r="AJ106" s="126"/>
      <c r="AK106" s="126"/>
      <c r="AL106" s="126"/>
      <c r="AM106" s="126"/>
      <c r="AN106" s="126"/>
    </row>
    <row r="107" spans="1:40" ht="15.75" customHeight="1">
      <c r="A107" s="221">
        <f t="shared" si="2"/>
        <v>101</v>
      </c>
      <c r="B107" s="222" t="s">
        <v>4709</v>
      </c>
      <c r="C107" s="222" t="s">
        <v>5</v>
      </c>
      <c r="D107" s="222" t="e">
        <f t="array" ref="D107">IF(F107="","",INDEX(#REF!,MATCH(F107,#REF!,0)))</f>
        <v>#REF!</v>
      </c>
      <c r="E107" s="222" t="e">
        <f t="array" ref="E107">IF(F107="","",INDEX(#REF!,MATCH(F107,#REF!,0)))</f>
        <v>#REF!</v>
      </c>
      <c r="F107" s="222" t="s">
        <v>27</v>
      </c>
      <c r="G107" s="222" t="s">
        <v>4499</v>
      </c>
      <c r="H107" s="223">
        <v>4.3</v>
      </c>
      <c r="I107" s="222" t="s">
        <v>4781</v>
      </c>
      <c r="J107" s="222" t="s">
        <v>4782</v>
      </c>
      <c r="K107" s="222" t="s">
        <v>4783</v>
      </c>
      <c r="L107" s="222">
        <v>281000</v>
      </c>
      <c r="M107" s="222">
        <v>281000</v>
      </c>
      <c r="N107" s="222" t="s">
        <v>11</v>
      </c>
      <c r="O107" s="222" t="s">
        <v>9</v>
      </c>
      <c r="P107" s="224"/>
      <c r="Q107" s="224">
        <v>19549113.600000001</v>
      </c>
      <c r="R107" s="224">
        <v>1288000</v>
      </c>
      <c r="S107" s="224"/>
      <c r="T107" s="224"/>
      <c r="U107" s="224"/>
      <c r="V107" s="224"/>
      <c r="W107" s="224"/>
      <c r="X107" s="224"/>
      <c r="Y107" s="222">
        <v>9275</v>
      </c>
      <c r="Z107" s="222">
        <v>281000</v>
      </c>
      <c r="AA107" s="224"/>
      <c r="AB107" s="224">
        <v>0</v>
      </c>
      <c r="AC107" s="224">
        <v>0</v>
      </c>
      <c r="AD107" s="224"/>
      <c r="AE107" s="224"/>
      <c r="AF107" s="224"/>
      <c r="AG107" s="224"/>
      <c r="AH107" s="224"/>
      <c r="AI107" s="224"/>
      <c r="AJ107" s="126"/>
      <c r="AK107" s="126"/>
      <c r="AL107" s="126"/>
      <c r="AM107" s="126"/>
      <c r="AN107" s="126"/>
    </row>
    <row r="108" spans="1:40" ht="15.75" customHeight="1">
      <c r="A108" s="221">
        <f t="shared" si="2"/>
        <v>102</v>
      </c>
      <c r="B108" s="222" t="s">
        <v>4709</v>
      </c>
      <c r="C108" s="222" t="s">
        <v>5</v>
      </c>
      <c r="D108" s="222" t="e">
        <f t="array" ref="D108">IF(F108="","",INDEX(#REF!,MATCH(F108,#REF!,0)))</f>
        <v>#REF!</v>
      </c>
      <c r="E108" s="222" t="e">
        <f t="array" ref="E108">IF(F108="","",INDEX(#REF!,MATCH(F108,#REF!,0)))</f>
        <v>#REF!</v>
      </c>
      <c r="F108" s="222" t="s">
        <v>27</v>
      </c>
      <c r="G108" s="222" t="s">
        <v>4499</v>
      </c>
      <c r="H108" s="223">
        <v>4.4000000000000004</v>
      </c>
      <c r="I108" s="222" t="s">
        <v>4784</v>
      </c>
      <c r="J108" s="222" t="s">
        <v>4785</v>
      </c>
      <c r="K108" s="222" t="s">
        <v>4786</v>
      </c>
      <c r="L108" s="222">
        <v>114</v>
      </c>
      <c r="M108" s="222">
        <v>114</v>
      </c>
      <c r="N108" s="222" t="s">
        <v>11</v>
      </c>
      <c r="O108" s="222" t="s">
        <v>9</v>
      </c>
      <c r="P108" s="224"/>
      <c r="Q108" s="224">
        <v>664692.80000000005</v>
      </c>
      <c r="R108" s="224"/>
      <c r="S108" s="224"/>
      <c r="T108" s="224"/>
      <c r="U108" s="224"/>
      <c r="V108" s="224"/>
      <c r="W108" s="224"/>
      <c r="X108" s="224"/>
      <c r="Y108" s="222">
        <v>225</v>
      </c>
      <c r="Z108" s="222">
        <v>114</v>
      </c>
      <c r="AA108" s="224"/>
      <c r="AB108" s="224">
        <v>0</v>
      </c>
      <c r="AC108" s="224"/>
      <c r="AD108" s="224"/>
      <c r="AE108" s="224"/>
      <c r="AF108" s="224"/>
      <c r="AG108" s="224"/>
      <c r="AH108" s="224"/>
      <c r="AI108" s="224"/>
      <c r="AJ108" s="126"/>
      <c r="AK108" s="126"/>
      <c r="AL108" s="126"/>
      <c r="AM108" s="126"/>
      <c r="AN108" s="126"/>
    </row>
    <row r="109" spans="1:40" ht="15.75" customHeight="1">
      <c r="A109" s="221">
        <f t="shared" si="2"/>
        <v>103</v>
      </c>
      <c r="B109" s="222" t="s">
        <v>4709</v>
      </c>
      <c r="C109" s="222" t="s">
        <v>5</v>
      </c>
      <c r="D109" s="222" t="e">
        <f t="array" ref="D109">IF(F109="","",INDEX(#REF!,MATCH(F109,#REF!,0)))</f>
        <v>#REF!</v>
      </c>
      <c r="E109" s="222" t="e">
        <f t="array" ref="E109">IF(F109="","",INDEX(#REF!,MATCH(F109,#REF!,0)))</f>
        <v>#REF!</v>
      </c>
      <c r="F109" s="222" t="s">
        <v>27</v>
      </c>
      <c r="G109" s="222" t="s">
        <v>4499</v>
      </c>
      <c r="H109" s="223">
        <v>4.5</v>
      </c>
      <c r="I109" s="222" t="s">
        <v>4787</v>
      </c>
      <c r="J109" s="222" t="s">
        <v>4788</v>
      </c>
      <c r="K109" s="222" t="s">
        <v>4789</v>
      </c>
      <c r="L109" s="222">
        <v>230000</v>
      </c>
      <c r="M109" s="222">
        <v>230000</v>
      </c>
      <c r="N109" s="222" t="s">
        <v>11</v>
      </c>
      <c r="O109" s="222" t="s">
        <v>9</v>
      </c>
      <c r="P109" s="224"/>
      <c r="Q109" s="224"/>
      <c r="R109" s="224">
        <v>0</v>
      </c>
      <c r="S109" s="224"/>
      <c r="T109" s="224"/>
      <c r="U109" s="224"/>
      <c r="V109" s="224"/>
      <c r="W109" s="224"/>
      <c r="X109" s="224"/>
      <c r="Y109" s="222">
        <v>0</v>
      </c>
      <c r="Z109" s="222">
        <v>230000</v>
      </c>
      <c r="AA109" s="224"/>
      <c r="AB109" s="224"/>
      <c r="AC109" s="224">
        <v>0</v>
      </c>
      <c r="AD109" s="224"/>
      <c r="AE109" s="224"/>
      <c r="AF109" s="224"/>
      <c r="AG109" s="224"/>
      <c r="AH109" s="224"/>
      <c r="AI109" s="224"/>
      <c r="AJ109" s="126"/>
      <c r="AK109" s="126"/>
      <c r="AL109" s="126"/>
      <c r="AM109" s="126"/>
      <c r="AN109" s="126"/>
    </row>
    <row r="110" spans="1:40" ht="15.75" customHeight="1">
      <c r="A110" s="221">
        <f t="shared" si="2"/>
        <v>104</v>
      </c>
      <c r="B110" s="222" t="s">
        <v>4709</v>
      </c>
      <c r="C110" s="222" t="s">
        <v>5</v>
      </c>
      <c r="D110" s="222" t="e">
        <f t="array" ref="D110">IF(F110="","",INDEX(#REF!,MATCH(F110,#REF!,0)))</f>
        <v>#REF!</v>
      </c>
      <c r="E110" s="222" t="e">
        <f t="array" ref="E110">IF(F110="","",INDEX(#REF!,MATCH(F110,#REF!,0)))</f>
        <v>#REF!</v>
      </c>
      <c r="F110" s="222" t="s">
        <v>27</v>
      </c>
      <c r="G110" s="222" t="s">
        <v>4495</v>
      </c>
      <c r="H110" s="223">
        <v>5</v>
      </c>
      <c r="I110" s="222" t="s">
        <v>4790</v>
      </c>
      <c r="J110" s="222" t="s">
        <v>4791</v>
      </c>
      <c r="K110" s="222" t="s">
        <v>4792</v>
      </c>
      <c r="L110" s="222">
        <v>6360</v>
      </c>
      <c r="M110" s="222">
        <v>9276</v>
      </c>
      <c r="N110" s="222" t="s">
        <v>15</v>
      </c>
      <c r="O110" s="222" t="s">
        <v>9</v>
      </c>
      <c r="P110" s="224"/>
      <c r="Q110" s="224"/>
      <c r="R110" s="224"/>
      <c r="S110" s="224"/>
      <c r="T110" s="224"/>
      <c r="U110" s="224"/>
      <c r="V110" s="224"/>
      <c r="W110" s="224"/>
      <c r="X110" s="224"/>
      <c r="Y110" s="222">
        <v>0</v>
      </c>
      <c r="Z110" s="222">
        <v>9276</v>
      </c>
      <c r="AA110" s="224"/>
      <c r="AB110" s="224"/>
      <c r="AC110" s="224"/>
      <c r="AD110" s="224"/>
      <c r="AE110" s="224"/>
      <c r="AF110" s="224"/>
      <c r="AG110" s="224"/>
      <c r="AH110" s="224"/>
      <c r="AI110" s="224"/>
      <c r="AJ110" s="126"/>
      <c r="AK110" s="126"/>
      <c r="AL110" s="126"/>
      <c r="AM110" s="126"/>
      <c r="AN110" s="126"/>
    </row>
    <row r="111" spans="1:40" ht="15.75" customHeight="1">
      <c r="A111" s="221">
        <f t="shared" si="2"/>
        <v>105</v>
      </c>
      <c r="B111" s="222" t="s">
        <v>4709</v>
      </c>
      <c r="C111" s="222" t="s">
        <v>5</v>
      </c>
      <c r="D111" s="222" t="e">
        <f t="array" ref="D111">IF(F111="","",INDEX(#REF!,MATCH(F111,#REF!,0)))</f>
        <v>#REF!</v>
      </c>
      <c r="E111" s="222" t="e">
        <f t="array" ref="E111">IF(F111="","",INDEX(#REF!,MATCH(F111,#REF!,0)))</f>
        <v>#REF!</v>
      </c>
      <c r="F111" s="222" t="s">
        <v>27</v>
      </c>
      <c r="G111" s="222" t="s">
        <v>4499</v>
      </c>
      <c r="H111" s="223">
        <v>5.0999999999999996</v>
      </c>
      <c r="I111" s="222" t="s">
        <v>4793</v>
      </c>
      <c r="J111" s="222" t="s">
        <v>4794</v>
      </c>
      <c r="K111" s="222" t="s">
        <v>4795</v>
      </c>
      <c r="L111" s="222">
        <v>39000000</v>
      </c>
      <c r="M111" s="222">
        <v>12</v>
      </c>
      <c r="N111" s="222" t="s">
        <v>11</v>
      </c>
      <c r="O111" s="222" t="s">
        <v>14</v>
      </c>
      <c r="P111" s="224">
        <v>104299414.05999999</v>
      </c>
      <c r="Q111" s="224">
        <v>12001515.650000002</v>
      </c>
      <c r="R111" s="224">
        <v>65071015.590000004</v>
      </c>
      <c r="S111" s="224"/>
      <c r="T111" s="224">
        <v>16984161.390000001</v>
      </c>
      <c r="U111" s="224"/>
      <c r="V111" s="224"/>
      <c r="W111" s="224"/>
      <c r="X111" s="224"/>
      <c r="Y111" s="222">
        <v>18356789</v>
      </c>
      <c r="Z111" s="222">
        <v>12</v>
      </c>
      <c r="AA111" s="224">
        <v>65326134.420000002</v>
      </c>
      <c r="AB111" s="224">
        <v>40648.01</v>
      </c>
      <c r="AC111" s="224">
        <v>2459.1999999999998</v>
      </c>
      <c r="AD111" s="224"/>
      <c r="AE111" s="224">
        <v>0</v>
      </c>
      <c r="AF111" s="224"/>
      <c r="AG111" s="224"/>
      <c r="AH111" s="224"/>
      <c r="AI111" s="224"/>
      <c r="AJ111" s="126"/>
      <c r="AK111" s="126"/>
      <c r="AL111" s="126"/>
      <c r="AM111" s="126"/>
      <c r="AN111" s="126"/>
    </row>
    <row r="112" spans="1:40" ht="15.75" customHeight="1">
      <c r="A112" s="221">
        <f t="shared" si="2"/>
        <v>106</v>
      </c>
      <c r="B112" s="222" t="s">
        <v>4709</v>
      </c>
      <c r="C112" s="222" t="s">
        <v>5</v>
      </c>
      <c r="D112" s="222" t="e">
        <f t="array" ref="D112">IF(F112="","",INDEX(#REF!,MATCH(F112,#REF!,0)))</f>
        <v>#REF!</v>
      </c>
      <c r="E112" s="222" t="e">
        <f t="array" ref="E112">IF(F112="","",INDEX(#REF!,MATCH(F112,#REF!,0)))</f>
        <v>#REF!</v>
      </c>
      <c r="F112" s="222" t="s">
        <v>27</v>
      </c>
      <c r="G112" s="222" t="s">
        <v>4499</v>
      </c>
      <c r="H112" s="223">
        <v>5.2</v>
      </c>
      <c r="I112" s="222" t="s">
        <v>4796</v>
      </c>
      <c r="J112" s="222" t="s">
        <v>4797</v>
      </c>
      <c r="K112" s="222" t="s">
        <v>4798</v>
      </c>
      <c r="L112" s="222">
        <v>63000</v>
      </c>
      <c r="M112" s="222">
        <v>63000</v>
      </c>
      <c r="N112" s="222" t="s">
        <v>6</v>
      </c>
      <c r="O112" s="222" t="s">
        <v>9</v>
      </c>
      <c r="P112" s="224"/>
      <c r="Q112" s="224"/>
      <c r="R112" s="224">
        <v>30713843.370000001</v>
      </c>
      <c r="S112" s="224"/>
      <c r="T112" s="224"/>
      <c r="U112" s="224"/>
      <c r="V112" s="224"/>
      <c r="W112" s="224"/>
      <c r="X112" s="224"/>
      <c r="Y112" s="222">
        <v>31542</v>
      </c>
      <c r="Z112" s="222">
        <v>63000</v>
      </c>
      <c r="AA112" s="224"/>
      <c r="AB112" s="224"/>
      <c r="AC112" s="224">
        <v>0</v>
      </c>
      <c r="AD112" s="224"/>
      <c r="AE112" s="224"/>
      <c r="AF112" s="224"/>
      <c r="AG112" s="224"/>
      <c r="AH112" s="224"/>
      <c r="AI112" s="224"/>
      <c r="AJ112" s="126"/>
      <c r="AK112" s="126"/>
      <c r="AL112" s="126"/>
      <c r="AM112" s="126"/>
      <c r="AN112" s="126"/>
    </row>
    <row r="113" spans="1:40" ht="15.75" customHeight="1">
      <c r="A113" s="221">
        <f t="shared" si="2"/>
        <v>107</v>
      </c>
      <c r="B113" s="222" t="s">
        <v>4709</v>
      </c>
      <c r="C113" s="222" t="s">
        <v>5</v>
      </c>
      <c r="D113" s="222" t="e">
        <f t="array" ref="D113">IF(F113="","",INDEX(#REF!,MATCH(F113,#REF!,0)))</f>
        <v>#REF!</v>
      </c>
      <c r="E113" s="222" t="e">
        <f t="array" ref="E113">IF(F113="","",INDEX(#REF!,MATCH(F113,#REF!,0)))</f>
        <v>#REF!</v>
      </c>
      <c r="F113" s="222" t="s">
        <v>27</v>
      </c>
      <c r="G113" s="222" t="s">
        <v>4499</v>
      </c>
      <c r="H113" s="223">
        <v>5.3</v>
      </c>
      <c r="I113" s="222" t="s">
        <v>4799</v>
      </c>
      <c r="J113" s="222" t="s">
        <v>4800</v>
      </c>
      <c r="K113" s="222" t="s">
        <v>4801</v>
      </c>
      <c r="L113" s="222">
        <v>7500</v>
      </c>
      <c r="M113" s="222">
        <v>7500</v>
      </c>
      <c r="N113" s="222" t="s">
        <v>11</v>
      </c>
      <c r="O113" s="222" t="s">
        <v>9</v>
      </c>
      <c r="P113" s="224"/>
      <c r="Q113" s="224">
        <v>37497.449999999997</v>
      </c>
      <c r="R113" s="224"/>
      <c r="S113" s="224"/>
      <c r="T113" s="224">
        <v>5000</v>
      </c>
      <c r="U113" s="224"/>
      <c r="V113" s="224"/>
      <c r="W113" s="224"/>
      <c r="X113" s="224"/>
      <c r="Y113" s="222">
        <v>3049</v>
      </c>
      <c r="Z113" s="222">
        <v>7500</v>
      </c>
      <c r="AA113" s="224"/>
      <c r="AB113" s="224">
        <v>0</v>
      </c>
      <c r="AC113" s="224"/>
      <c r="AD113" s="224"/>
      <c r="AE113" s="224">
        <v>0</v>
      </c>
      <c r="AF113" s="224"/>
      <c r="AG113" s="224"/>
      <c r="AH113" s="224"/>
      <c r="AI113" s="224"/>
      <c r="AJ113" s="126"/>
      <c r="AK113" s="126"/>
      <c r="AL113" s="126"/>
      <c r="AM113" s="126"/>
      <c r="AN113" s="126"/>
    </row>
    <row r="114" spans="1:40" ht="15.75" customHeight="1">
      <c r="A114" s="221">
        <f t="shared" si="2"/>
        <v>108</v>
      </c>
      <c r="B114" s="222" t="s">
        <v>4709</v>
      </c>
      <c r="C114" s="222" t="s">
        <v>5</v>
      </c>
      <c r="D114" s="222" t="e">
        <f t="array" ref="D114">IF(F114="","",INDEX(#REF!,MATCH(F114,#REF!,0)))</f>
        <v>#REF!</v>
      </c>
      <c r="E114" s="222" t="e">
        <f t="array" ref="E114">IF(F114="","",INDEX(#REF!,MATCH(F114,#REF!,0)))</f>
        <v>#REF!</v>
      </c>
      <c r="F114" s="222" t="s">
        <v>27</v>
      </c>
      <c r="G114" s="222" t="s">
        <v>4495</v>
      </c>
      <c r="H114" s="223">
        <v>6</v>
      </c>
      <c r="I114" s="222" t="s">
        <v>4802</v>
      </c>
      <c r="J114" s="222" t="s">
        <v>4803</v>
      </c>
      <c r="K114" s="222" t="s">
        <v>4804</v>
      </c>
      <c r="L114" s="222">
        <v>2992</v>
      </c>
      <c r="M114" s="222">
        <v>2992</v>
      </c>
      <c r="N114" s="222" t="s">
        <v>11</v>
      </c>
      <c r="O114" s="222" t="s">
        <v>9</v>
      </c>
      <c r="P114" s="224"/>
      <c r="Q114" s="224"/>
      <c r="R114" s="224"/>
      <c r="S114" s="224"/>
      <c r="T114" s="224"/>
      <c r="U114" s="224"/>
      <c r="V114" s="224"/>
      <c r="W114" s="224"/>
      <c r="X114" s="224"/>
      <c r="Y114" s="222">
        <v>1894</v>
      </c>
      <c r="Z114" s="222">
        <v>2992</v>
      </c>
      <c r="AA114" s="224"/>
      <c r="AB114" s="224"/>
      <c r="AC114" s="224"/>
      <c r="AD114" s="224"/>
      <c r="AE114" s="224"/>
      <c r="AF114" s="224"/>
      <c r="AG114" s="224"/>
      <c r="AH114" s="224"/>
      <c r="AI114" s="224"/>
      <c r="AJ114" s="126"/>
      <c r="AK114" s="126"/>
      <c r="AL114" s="126"/>
      <c r="AM114" s="126"/>
      <c r="AN114" s="126"/>
    </row>
    <row r="115" spans="1:40" ht="15.75" customHeight="1">
      <c r="A115" s="221">
        <f t="shared" si="2"/>
        <v>109</v>
      </c>
      <c r="B115" s="222" t="s">
        <v>4709</v>
      </c>
      <c r="C115" s="222" t="s">
        <v>5</v>
      </c>
      <c r="D115" s="222" t="e">
        <f t="array" ref="D115">IF(F115="","",INDEX(#REF!,MATCH(F115,#REF!,0)))</f>
        <v>#REF!</v>
      </c>
      <c r="E115" s="222" t="e">
        <f t="array" ref="E115">IF(F115="","",INDEX(#REF!,MATCH(F115,#REF!,0)))</f>
        <v>#REF!</v>
      </c>
      <c r="F115" s="222" t="s">
        <v>27</v>
      </c>
      <c r="G115" s="222" t="s">
        <v>4499</v>
      </c>
      <c r="H115" s="223">
        <v>6.1</v>
      </c>
      <c r="I115" s="222" t="s">
        <v>4805</v>
      </c>
      <c r="J115" s="222" t="s">
        <v>4806</v>
      </c>
      <c r="K115" s="222" t="s">
        <v>4807</v>
      </c>
      <c r="L115" s="222">
        <v>201597</v>
      </c>
      <c r="M115" s="222">
        <v>201597</v>
      </c>
      <c r="N115" s="222" t="s">
        <v>11</v>
      </c>
      <c r="O115" s="222" t="s">
        <v>9</v>
      </c>
      <c r="P115" s="224">
        <v>44237805.909999996</v>
      </c>
      <c r="Q115" s="224">
        <v>7057000</v>
      </c>
      <c r="R115" s="224"/>
      <c r="S115" s="224"/>
      <c r="T115" s="224">
        <v>6573062.79</v>
      </c>
      <c r="U115" s="224"/>
      <c r="V115" s="224"/>
      <c r="W115" s="224"/>
      <c r="X115" s="224"/>
      <c r="Y115" s="222">
        <v>103743</v>
      </c>
      <c r="Z115" s="222">
        <v>201597</v>
      </c>
      <c r="AA115" s="224">
        <v>7169588.5100000007</v>
      </c>
      <c r="AB115" s="224">
        <v>0</v>
      </c>
      <c r="AC115" s="224"/>
      <c r="AD115" s="224"/>
      <c r="AE115" s="224">
        <v>0</v>
      </c>
      <c r="AF115" s="224"/>
      <c r="AG115" s="224"/>
      <c r="AH115" s="224"/>
      <c r="AI115" s="224"/>
      <c r="AJ115" s="126"/>
      <c r="AK115" s="126"/>
      <c r="AL115" s="126"/>
      <c r="AM115" s="126"/>
      <c r="AN115" s="126"/>
    </row>
    <row r="116" spans="1:40" ht="15.75" customHeight="1">
      <c r="A116" s="221">
        <f t="shared" si="2"/>
        <v>110</v>
      </c>
      <c r="B116" s="222" t="s">
        <v>4709</v>
      </c>
      <c r="C116" s="222" t="s">
        <v>5</v>
      </c>
      <c r="D116" s="222" t="e">
        <f t="array" ref="D116">IF(F116="","",INDEX(#REF!,MATCH(F116,#REF!,0)))</f>
        <v>#REF!</v>
      </c>
      <c r="E116" s="222" t="e">
        <f t="array" ref="E116">IF(F116="","",INDEX(#REF!,MATCH(F116,#REF!,0)))</f>
        <v>#REF!</v>
      </c>
      <c r="F116" s="222" t="s">
        <v>27</v>
      </c>
      <c r="G116" s="222" t="s">
        <v>4499</v>
      </c>
      <c r="H116" s="223">
        <v>6.2</v>
      </c>
      <c r="I116" s="222" t="s">
        <v>4808</v>
      </c>
      <c r="J116" s="222" t="s">
        <v>4809</v>
      </c>
      <c r="K116" s="222" t="s">
        <v>4801</v>
      </c>
      <c r="L116" s="222">
        <v>5492</v>
      </c>
      <c r="M116" s="222">
        <v>6035</v>
      </c>
      <c r="N116" s="222" t="s">
        <v>11</v>
      </c>
      <c r="O116" s="222" t="s">
        <v>9</v>
      </c>
      <c r="P116" s="224"/>
      <c r="Q116" s="224">
        <v>7767592.8099999996</v>
      </c>
      <c r="R116" s="224">
        <v>836000</v>
      </c>
      <c r="S116" s="224"/>
      <c r="T116" s="224">
        <v>568380</v>
      </c>
      <c r="U116" s="224"/>
      <c r="V116" s="224"/>
      <c r="W116" s="224"/>
      <c r="X116" s="224"/>
      <c r="Y116" s="222">
        <v>4935</v>
      </c>
      <c r="Z116" s="222">
        <v>6035</v>
      </c>
      <c r="AA116" s="224"/>
      <c r="AB116" s="224">
        <v>0</v>
      </c>
      <c r="AC116" s="224">
        <v>4408</v>
      </c>
      <c r="AD116" s="224"/>
      <c r="AE116" s="224">
        <v>0</v>
      </c>
      <c r="AF116" s="224"/>
      <c r="AG116" s="224"/>
      <c r="AH116" s="224"/>
      <c r="AI116" s="224"/>
      <c r="AJ116" s="126"/>
      <c r="AK116" s="126"/>
      <c r="AL116" s="126"/>
      <c r="AM116" s="126"/>
      <c r="AN116" s="126"/>
    </row>
    <row r="117" spans="1:40" ht="15.75" customHeight="1">
      <c r="A117" s="221">
        <f t="shared" si="2"/>
        <v>111</v>
      </c>
      <c r="B117" s="222" t="s">
        <v>4709</v>
      </c>
      <c r="C117" s="222" t="s">
        <v>5</v>
      </c>
      <c r="D117" s="222" t="e">
        <f t="array" ref="D117">IF(F117="","",INDEX(#REF!,MATCH(F117,#REF!,0)))</f>
        <v>#REF!</v>
      </c>
      <c r="E117" s="222" t="e">
        <f t="array" ref="E117">IF(F117="","",INDEX(#REF!,MATCH(F117,#REF!,0)))</f>
        <v>#REF!</v>
      </c>
      <c r="F117" s="222" t="s">
        <v>27</v>
      </c>
      <c r="G117" s="222" t="s">
        <v>4495</v>
      </c>
      <c r="H117" s="223">
        <v>7</v>
      </c>
      <c r="I117" s="222" t="s">
        <v>4810</v>
      </c>
      <c r="J117" s="222" t="s">
        <v>4811</v>
      </c>
      <c r="K117" s="222" t="s">
        <v>4812</v>
      </c>
      <c r="L117" s="222">
        <v>288</v>
      </c>
      <c r="M117" s="222">
        <v>288</v>
      </c>
      <c r="N117" s="222" t="s">
        <v>11</v>
      </c>
      <c r="O117" s="222" t="s">
        <v>9</v>
      </c>
      <c r="P117" s="224"/>
      <c r="Q117" s="224"/>
      <c r="R117" s="224"/>
      <c r="S117" s="224"/>
      <c r="T117" s="224"/>
      <c r="U117" s="224"/>
      <c r="V117" s="224"/>
      <c r="W117" s="224"/>
      <c r="X117" s="224"/>
      <c r="Y117" s="222">
        <v>213</v>
      </c>
      <c r="Z117" s="222">
        <v>288</v>
      </c>
      <c r="AA117" s="224"/>
      <c r="AB117" s="224"/>
      <c r="AC117" s="224"/>
      <c r="AD117" s="224"/>
      <c r="AE117" s="224"/>
      <c r="AF117" s="224"/>
      <c r="AG117" s="224"/>
      <c r="AH117" s="224"/>
      <c r="AI117" s="224"/>
      <c r="AJ117" s="126"/>
      <c r="AK117" s="126"/>
      <c r="AL117" s="126"/>
      <c r="AM117" s="126"/>
      <c r="AN117" s="126"/>
    </row>
    <row r="118" spans="1:40" ht="15.75" customHeight="1">
      <c r="A118" s="221">
        <f t="shared" si="2"/>
        <v>112</v>
      </c>
      <c r="B118" s="222" t="s">
        <v>4709</v>
      </c>
      <c r="C118" s="222" t="s">
        <v>5</v>
      </c>
      <c r="D118" s="222" t="e">
        <f t="array" ref="D118">IF(F118="","",INDEX(#REF!,MATCH(F118,#REF!,0)))</f>
        <v>#REF!</v>
      </c>
      <c r="E118" s="222" t="e">
        <f t="array" ref="E118">IF(F118="","",INDEX(#REF!,MATCH(F118,#REF!,0)))</f>
        <v>#REF!</v>
      </c>
      <c r="F118" s="222" t="s">
        <v>27</v>
      </c>
      <c r="G118" s="222" t="s">
        <v>4499</v>
      </c>
      <c r="H118" s="223">
        <v>7.1</v>
      </c>
      <c r="I118" s="222" t="s">
        <v>4813</v>
      </c>
      <c r="J118" s="222" t="s">
        <v>4814</v>
      </c>
      <c r="K118" s="222" t="s">
        <v>4815</v>
      </c>
      <c r="L118" s="222">
        <v>130</v>
      </c>
      <c r="M118" s="222">
        <v>130</v>
      </c>
      <c r="N118" s="222" t="s">
        <v>11</v>
      </c>
      <c r="O118" s="222" t="s">
        <v>9</v>
      </c>
      <c r="P118" s="224"/>
      <c r="Q118" s="224">
        <v>348288.4</v>
      </c>
      <c r="R118" s="224"/>
      <c r="S118" s="224"/>
      <c r="T118" s="224"/>
      <c r="U118" s="224"/>
      <c r="V118" s="224"/>
      <c r="W118" s="224"/>
      <c r="X118" s="224"/>
      <c r="Y118" s="222">
        <v>15</v>
      </c>
      <c r="Z118" s="222">
        <v>130</v>
      </c>
      <c r="AA118" s="224"/>
      <c r="AB118" s="224">
        <v>0</v>
      </c>
      <c r="AC118" s="224"/>
      <c r="AD118" s="224"/>
      <c r="AE118" s="224"/>
      <c r="AF118" s="224"/>
      <c r="AG118" s="224"/>
      <c r="AH118" s="224"/>
      <c r="AI118" s="224"/>
      <c r="AJ118" s="126"/>
      <c r="AK118" s="126"/>
      <c r="AL118" s="126"/>
      <c r="AM118" s="126"/>
      <c r="AN118" s="126"/>
    </row>
    <row r="119" spans="1:40" ht="15.75" customHeight="1">
      <c r="A119" s="221">
        <f t="shared" si="2"/>
        <v>113</v>
      </c>
      <c r="B119" s="222" t="s">
        <v>4709</v>
      </c>
      <c r="C119" s="222" t="s">
        <v>5</v>
      </c>
      <c r="D119" s="222" t="e">
        <f t="array" ref="D119">IF(F119="","",INDEX(#REF!,MATCH(F119,#REF!,0)))</f>
        <v>#REF!</v>
      </c>
      <c r="E119" s="222" t="e">
        <f t="array" ref="E119">IF(F119="","",INDEX(#REF!,MATCH(F119,#REF!,0)))</f>
        <v>#REF!</v>
      </c>
      <c r="F119" s="222" t="s">
        <v>27</v>
      </c>
      <c r="G119" s="222" t="s">
        <v>4499</v>
      </c>
      <c r="H119" s="223">
        <v>7.2</v>
      </c>
      <c r="I119" s="222" t="s">
        <v>4816</v>
      </c>
      <c r="J119" s="222" t="s">
        <v>4817</v>
      </c>
      <c r="K119" s="222" t="s">
        <v>4818</v>
      </c>
      <c r="L119" s="222">
        <v>2037000</v>
      </c>
      <c r="M119" s="222">
        <v>2037000</v>
      </c>
      <c r="N119" s="222" t="s">
        <v>11</v>
      </c>
      <c r="O119" s="222" t="s">
        <v>9</v>
      </c>
      <c r="P119" s="224">
        <v>30872083.41</v>
      </c>
      <c r="Q119" s="224"/>
      <c r="R119" s="224"/>
      <c r="S119" s="224"/>
      <c r="T119" s="224">
        <v>125000</v>
      </c>
      <c r="U119" s="224"/>
      <c r="V119" s="224"/>
      <c r="W119" s="224"/>
      <c r="X119" s="224"/>
      <c r="Y119" s="222">
        <v>1316648</v>
      </c>
      <c r="Z119" s="222">
        <v>2037000</v>
      </c>
      <c r="AA119" s="224">
        <v>668977.32000000018</v>
      </c>
      <c r="AB119" s="224"/>
      <c r="AC119" s="224"/>
      <c r="AD119" s="224"/>
      <c r="AE119" s="224">
        <v>0</v>
      </c>
      <c r="AF119" s="224"/>
      <c r="AG119" s="224"/>
      <c r="AH119" s="224"/>
      <c r="AI119" s="224"/>
      <c r="AJ119" s="126"/>
      <c r="AK119" s="126"/>
      <c r="AL119" s="126"/>
      <c r="AM119" s="126"/>
      <c r="AN119" s="126"/>
    </row>
    <row r="120" spans="1:40" ht="15.75" customHeight="1">
      <c r="A120" s="221">
        <f t="shared" si="2"/>
        <v>114</v>
      </c>
      <c r="B120" s="222" t="s">
        <v>4709</v>
      </c>
      <c r="C120" s="222" t="s">
        <v>5</v>
      </c>
      <c r="D120" s="222" t="e">
        <f t="array" ref="D120">IF(F120="","",INDEX(#REF!,MATCH(F120,#REF!,0)))</f>
        <v>#REF!</v>
      </c>
      <c r="E120" s="222" t="e">
        <f t="array" ref="E120">IF(F120="","",INDEX(#REF!,MATCH(F120,#REF!,0)))</f>
        <v>#REF!</v>
      </c>
      <c r="F120" s="222" t="s">
        <v>27</v>
      </c>
      <c r="G120" s="222" t="s">
        <v>4495</v>
      </c>
      <c r="H120" s="223">
        <v>8</v>
      </c>
      <c r="I120" s="222" t="s">
        <v>4819</v>
      </c>
      <c r="J120" s="222" t="s">
        <v>4820</v>
      </c>
      <c r="K120" s="222" t="s">
        <v>4821</v>
      </c>
      <c r="L120" s="222">
        <v>123098197</v>
      </c>
      <c r="M120" s="222">
        <v>123098197</v>
      </c>
      <c r="N120" s="222" t="s">
        <v>15</v>
      </c>
      <c r="O120" s="222" t="s">
        <v>9</v>
      </c>
      <c r="P120" s="224"/>
      <c r="Q120" s="224"/>
      <c r="R120" s="224"/>
      <c r="S120" s="224"/>
      <c r="T120" s="224"/>
      <c r="U120" s="224"/>
      <c r="V120" s="224"/>
      <c r="W120" s="224"/>
      <c r="X120" s="224"/>
      <c r="Y120" s="222">
        <v>0</v>
      </c>
      <c r="Z120" s="222">
        <v>123098197</v>
      </c>
      <c r="AA120" s="224"/>
      <c r="AB120" s="224"/>
      <c r="AC120" s="224"/>
      <c r="AD120" s="224"/>
      <c r="AE120" s="224"/>
      <c r="AF120" s="224"/>
      <c r="AG120" s="224"/>
      <c r="AH120" s="224"/>
      <c r="AI120" s="224"/>
      <c r="AJ120" s="126"/>
      <c r="AK120" s="126"/>
      <c r="AL120" s="126"/>
      <c r="AM120" s="126"/>
      <c r="AN120" s="126"/>
    </row>
    <row r="121" spans="1:40" ht="15.75" customHeight="1">
      <c r="A121" s="221">
        <f t="shared" si="2"/>
        <v>115</v>
      </c>
      <c r="B121" s="222" t="s">
        <v>4709</v>
      </c>
      <c r="C121" s="222" t="s">
        <v>5</v>
      </c>
      <c r="D121" s="222" t="e">
        <f t="array" ref="D121">IF(F121="","",INDEX(#REF!,MATCH(F121,#REF!,0)))</f>
        <v>#REF!</v>
      </c>
      <c r="E121" s="222" t="e">
        <f t="array" ref="E121">IF(F121="","",INDEX(#REF!,MATCH(F121,#REF!,0)))</f>
        <v>#REF!</v>
      </c>
      <c r="F121" s="222" t="s">
        <v>27</v>
      </c>
      <c r="G121" s="222" t="s">
        <v>4499</v>
      </c>
      <c r="H121" s="223">
        <v>8.1</v>
      </c>
      <c r="I121" s="222" t="s">
        <v>4822</v>
      </c>
      <c r="J121" s="222" t="s">
        <v>4823</v>
      </c>
      <c r="K121" s="222" t="s">
        <v>4824</v>
      </c>
      <c r="L121" s="222">
        <v>15</v>
      </c>
      <c r="M121" s="222">
        <v>15</v>
      </c>
      <c r="N121" s="222" t="s">
        <v>15</v>
      </c>
      <c r="O121" s="222" t="s">
        <v>9</v>
      </c>
      <c r="P121" s="224">
        <v>83190190.75</v>
      </c>
      <c r="Q121" s="224">
        <v>11089659.43</v>
      </c>
      <c r="R121" s="224">
        <v>25720585</v>
      </c>
      <c r="S121" s="224"/>
      <c r="T121" s="224">
        <v>266420816.50999999</v>
      </c>
      <c r="U121" s="224"/>
      <c r="V121" s="224"/>
      <c r="W121" s="224"/>
      <c r="X121" s="224"/>
      <c r="Y121" s="222">
        <v>0</v>
      </c>
      <c r="Z121" s="222">
        <v>15</v>
      </c>
      <c r="AA121" s="224">
        <v>16595356.869999995</v>
      </c>
      <c r="AB121" s="224">
        <v>1137728</v>
      </c>
      <c r="AC121" s="224">
        <v>21924</v>
      </c>
      <c r="AD121" s="224"/>
      <c r="AE121" s="224">
        <v>32116642.390000001</v>
      </c>
      <c r="AF121" s="224"/>
      <c r="AG121" s="224"/>
      <c r="AH121" s="224"/>
      <c r="AI121" s="224"/>
      <c r="AJ121" s="126"/>
      <c r="AK121" s="126"/>
      <c r="AL121" s="126"/>
      <c r="AM121" s="126"/>
      <c r="AN121" s="126"/>
    </row>
    <row r="122" spans="1:40" ht="15.75" customHeight="1">
      <c r="A122" s="221">
        <f t="shared" si="2"/>
        <v>116</v>
      </c>
      <c r="B122" s="222" t="s">
        <v>4825</v>
      </c>
      <c r="C122" s="222" t="s">
        <v>5</v>
      </c>
      <c r="D122" s="222" t="e">
        <f t="array" ref="D122">IF(F122="","",INDEX(#REF!,MATCH(F122,#REF!,0)))</f>
        <v>#REF!</v>
      </c>
      <c r="E122" s="222" t="e">
        <f t="array" ref="E122">IF(F122="","",INDEX(#REF!,MATCH(F122,#REF!,0)))</f>
        <v>#REF!</v>
      </c>
      <c r="F122" s="222" t="s">
        <v>27</v>
      </c>
      <c r="G122" s="222" t="s">
        <v>0</v>
      </c>
      <c r="H122" s="223" t="s">
        <v>4487</v>
      </c>
      <c r="I122" s="222" t="s">
        <v>4826</v>
      </c>
      <c r="J122" s="222" t="s">
        <v>4827</v>
      </c>
      <c r="K122" s="222" t="s">
        <v>4828</v>
      </c>
      <c r="L122" s="222">
        <v>26881</v>
      </c>
      <c r="M122" s="222">
        <v>28481</v>
      </c>
      <c r="N122" s="222" t="s">
        <v>15</v>
      </c>
      <c r="O122" s="222" t="s">
        <v>9</v>
      </c>
      <c r="P122" s="224"/>
      <c r="Q122" s="224"/>
      <c r="R122" s="224"/>
      <c r="S122" s="224"/>
      <c r="T122" s="224"/>
      <c r="U122" s="224"/>
      <c r="V122" s="224"/>
      <c r="W122" s="224"/>
      <c r="X122" s="224"/>
      <c r="Y122" s="222">
        <v>0</v>
      </c>
      <c r="Z122" s="222">
        <v>28481</v>
      </c>
      <c r="AA122" s="224"/>
      <c r="AB122" s="224"/>
      <c r="AC122" s="224"/>
      <c r="AD122" s="224"/>
      <c r="AE122" s="224"/>
      <c r="AF122" s="224"/>
      <c r="AG122" s="224"/>
      <c r="AH122" s="224"/>
      <c r="AI122" s="224"/>
      <c r="AJ122" s="126"/>
      <c r="AK122" s="126"/>
      <c r="AL122" s="126"/>
      <c r="AM122" s="126"/>
      <c r="AN122" s="126"/>
    </row>
    <row r="123" spans="1:40" ht="15.75" customHeight="1">
      <c r="A123" s="221">
        <f t="shared" si="2"/>
        <v>117</v>
      </c>
      <c r="B123" s="222" t="s">
        <v>4825</v>
      </c>
      <c r="C123" s="222" t="s">
        <v>5</v>
      </c>
      <c r="D123" s="222" t="e">
        <f t="array" ref="D123">IF(F123="","",INDEX(#REF!,MATCH(F123,#REF!,0)))</f>
        <v>#REF!</v>
      </c>
      <c r="E123" s="222" t="e">
        <f t="array" ref="E123">IF(F123="","",INDEX(#REF!,MATCH(F123,#REF!,0)))</f>
        <v>#REF!</v>
      </c>
      <c r="F123" s="222" t="s">
        <v>27</v>
      </c>
      <c r="G123" s="222" t="s">
        <v>4491</v>
      </c>
      <c r="H123" s="223" t="s">
        <v>4487</v>
      </c>
      <c r="I123" s="222" t="s">
        <v>4829</v>
      </c>
      <c r="J123" s="222" t="s">
        <v>4830</v>
      </c>
      <c r="K123" s="222" t="s">
        <v>4831</v>
      </c>
      <c r="L123" s="222">
        <v>256500</v>
      </c>
      <c r="M123" s="222">
        <v>12</v>
      </c>
      <c r="N123" s="222" t="s">
        <v>15</v>
      </c>
      <c r="O123" s="222" t="s">
        <v>14</v>
      </c>
      <c r="P123" s="224"/>
      <c r="Q123" s="224"/>
      <c r="R123" s="224"/>
      <c r="S123" s="224"/>
      <c r="T123" s="224"/>
      <c r="U123" s="224"/>
      <c r="V123" s="224"/>
      <c r="W123" s="224"/>
      <c r="X123" s="224"/>
      <c r="Y123" s="222">
        <v>0</v>
      </c>
      <c r="Z123" s="222">
        <v>12</v>
      </c>
      <c r="AA123" s="224"/>
      <c r="AB123" s="224"/>
      <c r="AC123" s="224"/>
      <c r="AD123" s="224"/>
      <c r="AE123" s="224"/>
      <c r="AF123" s="224"/>
      <c r="AG123" s="224"/>
      <c r="AH123" s="224"/>
      <c r="AI123" s="224"/>
      <c r="AJ123" s="126"/>
      <c r="AK123" s="126"/>
      <c r="AL123" s="126"/>
      <c r="AM123" s="126"/>
      <c r="AN123" s="126"/>
    </row>
    <row r="124" spans="1:40" ht="15.75" customHeight="1">
      <c r="A124" s="221">
        <f t="shared" si="2"/>
        <v>118</v>
      </c>
      <c r="B124" s="222" t="s">
        <v>4825</v>
      </c>
      <c r="C124" s="222" t="s">
        <v>5</v>
      </c>
      <c r="D124" s="222" t="e">
        <f t="array" ref="D124">IF(F124="","",INDEX(#REF!,MATCH(F124,#REF!,0)))</f>
        <v>#REF!</v>
      </c>
      <c r="E124" s="222" t="e">
        <f t="array" ref="E124">IF(F124="","",INDEX(#REF!,MATCH(F124,#REF!,0)))</f>
        <v>#REF!</v>
      </c>
      <c r="F124" s="222" t="s">
        <v>27</v>
      </c>
      <c r="G124" s="222" t="s">
        <v>4495</v>
      </c>
      <c r="H124" s="223">
        <v>1</v>
      </c>
      <c r="I124" s="222" t="s">
        <v>4832</v>
      </c>
      <c r="J124" s="222" t="s">
        <v>4833</v>
      </c>
      <c r="K124" s="222" t="s">
        <v>4834</v>
      </c>
      <c r="L124" s="222">
        <v>1069</v>
      </c>
      <c r="M124" s="222">
        <v>10785</v>
      </c>
      <c r="N124" s="222" t="s">
        <v>11</v>
      </c>
      <c r="O124" s="222" t="s">
        <v>9</v>
      </c>
      <c r="P124" s="224"/>
      <c r="Q124" s="224"/>
      <c r="R124" s="224"/>
      <c r="S124" s="224"/>
      <c r="T124" s="224"/>
      <c r="U124" s="224"/>
      <c r="V124" s="224"/>
      <c r="W124" s="224"/>
      <c r="X124" s="224"/>
      <c r="Y124" s="222">
        <v>1038</v>
      </c>
      <c r="Z124" s="222">
        <v>10785</v>
      </c>
      <c r="AA124" s="224"/>
      <c r="AB124" s="224"/>
      <c r="AC124" s="224"/>
      <c r="AD124" s="224"/>
      <c r="AE124" s="224"/>
      <c r="AF124" s="224"/>
      <c r="AG124" s="224"/>
      <c r="AH124" s="224"/>
      <c r="AI124" s="224"/>
      <c r="AJ124" s="126"/>
      <c r="AK124" s="126"/>
      <c r="AL124" s="126"/>
      <c r="AM124" s="126"/>
      <c r="AN124" s="126"/>
    </row>
    <row r="125" spans="1:40" ht="15.75" customHeight="1">
      <c r="A125" s="221">
        <f t="shared" si="2"/>
        <v>119</v>
      </c>
      <c r="B125" s="222" t="s">
        <v>4825</v>
      </c>
      <c r="C125" s="222" t="s">
        <v>5</v>
      </c>
      <c r="D125" s="222" t="e">
        <f t="array" ref="D125">IF(F125="","",INDEX(#REF!,MATCH(F125,#REF!,0)))</f>
        <v>#REF!</v>
      </c>
      <c r="E125" s="222" t="e">
        <f t="array" ref="E125">IF(F125="","",INDEX(#REF!,MATCH(F125,#REF!,0)))</f>
        <v>#REF!</v>
      </c>
      <c r="F125" s="222" t="s">
        <v>27</v>
      </c>
      <c r="G125" s="222" t="s">
        <v>4499</v>
      </c>
      <c r="H125" s="223">
        <v>1.1000000000000001</v>
      </c>
      <c r="I125" s="222" t="s">
        <v>4835</v>
      </c>
      <c r="J125" s="222" t="s">
        <v>4836</v>
      </c>
      <c r="K125" s="222" t="s">
        <v>4837</v>
      </c>
      <c r="L125" s="222">
        <v>21000</v>
      </c>
      <c r="M125" s="222">
        <v>21356</v>
      </c>
      <c r="N125" s="222" t="s">
        <v>11</v>
      </c>
      <c r="O125" s="222" t="s">
        <v>4611</v>
      </c>
      <c r="P125" s="224"/>
      <c r="Q125" s="224"/>
      <c r="R125" s="224">
        <v>1972000</v>
      </c>
      <c r="S125" s="224"/>
      <c r="T125" s="224"/>
      <c r="U125" s="224"/>
      <c r="V125" s="224"/>
      <c r="W125" s="224"/>
      <c r="X125" s="224"/>
      <c r="Y125" s="222">
        <v>9777</v>
      </c>
      <c r="Z125" s="222">
        <v>21356</v>
      </c>
      <c r="AA125" s="224"/>
      <c r="AB125" s="224"/>
      <c r="AC125" s="224">
        <v>0</v>
      </c>
      <c r="AD125" s="224"/>
      <c r="AE125" s="224"/>
      <c r="AF125" s="224"/>
      <c r="AG125" s="224"/>
      <c r="AH125" s="224"/>
      <c r="AI125" s="224"/>
      <c r="AJ125" s="126"/>
      <c r="AK125" s="126"/>
      <c r="AL125" s="126"/>
      <c r="AM125" s="126"/>
      <c r="AN125" s="126"/>
    </row>
    <row r="126" spans="1:40" ht="15.75" customHeight="1">
      <c r="A126" s="221">
        <f t="shared" si="2"/>
        <v>120</v>
      </c>
      <c r="B126" s="222" t="s">
        <v>4825</v>
      </c>
      <c r="C126" s="222" t="s">
        <v>5</v>
      </c>
      <c r="D126" s="222" t="e">
        <f t="array" ref="D126">IF(F126="","",INDEX(#REF!,MATCH(F126,#REF!,0)))</f>
        <v>#REF!</v>
      </c>
      <c r="E126" s="222" t="e">
        <f t="array" ref="E126">IF(F126="","",INDEX(#REF!,MATCH(F126,#REF!,0)))</f>
        <v>#REF!</v>
      </c>
      <c r="F126" s="222" t="s">
        <v>27</v>
      </c>
      <c r="G126" s="222" t="s">
        <v>4499</v>
      </c>
      <c r="H126" s="223">
        <v>1.2</v>
      </c>
      <c r="I126" s="222" t="s">
        <v>4838</v>
      </c>
      <c r="J126" s="222" t="s">
        <v>4839</v>
      </c>
      <c r="K126" s="222" t="s">
        <v>4840</v>
      </c>
      <c r="L126" s="222">
        <v>60</v>
      </c>
      <c r="M126" s="222">
        <v>60</v>
      </c>
      <c r="N126" s="222" t="s">
        <v>11</v>
      </c>
      <c r="O126" s="222" t="s">
        <v>9</v>
      </c>
      <c r="P126" s="224">
        <v>62136850.139999993</v>
      </c>
      <c r="Q126" s="224">
        <v>1728954.8899999997</v>
      </c>
      <c r="R126" s="224">
        <v>5174984.3</v>
      </c>
      <c r="S126" s="224"/>
      <c r="T126" s="224">
        <v>371792.81</v>
      </c>
      <c r="U126" s="224"/>
      <c r="V126" s="224"/>
      <c r="W126" s="224"/>
      <c r="X126" s="224"/>
      <c r="Y126" s="222">
        <v>30</v>
      </c>
      <c r="Z126" s="222">
        <v>60</v>
      </c>
      <c r="AA126" s="224">
        <v>16424985.110000003</v>
      </c>
      <c r="AB126" s="224">
        <v>0</v>
      </c>
      <c r="AC126" s="224">
        <v>0</v>
      </c>
      <c r="AD126" s="224"/>
      <c r="AE126" s="224">
        <v>0</v>
      </c>
      <c r="AF126" s="224"/>
      <c r="AG126" s="224"/>
      <c r="AH126" s="224"/>
      <c r="AI126" s="224"/>
      <c r="AJ126" s="126"/>
      <c r="AK126" s="126"/>
      <c r="AL126" s="126"/>
      <c r="AM126" s="126"/>
      <c r="AN126" s="126"/>
    </row>
    <row r="127" spans="1:40" ht="15.75" customHeight="1">
      <c r="A127" s="221">
        <f t="shared" si="2"/>
        <v>121</v>
      </c>
      <c r="B127" s="222" t="s">
        <v>4825</v>
      </c>
      <c r="C127" s="222" t="s">
        <v>5</v>
      </c>
      <c r="D127" s="222" t="e">
        <f t="array" ref="D127">IF(F127="","",INDEX(#REF!,MATCH(F127,#REF!,0)))</f>
        <v>#REF!</v>
      </c>
      <c r="E127" s="222" t="e">
        <f t="array" ref="E127">IF(F127="","",INDEX(#REF!,MATCH(F127,#REF!,0)))</f>
        <v>#REF!</v>
      </c>
      <c r="F127" s="222" t="s">
        <v>27</v>
      </c>
      <c r="G127" s="222" t="s">
        <v>4495</v>
      </c>
      <c r="H127" s="223">
        <v>2</v>
      </c>
      <c r="I127" s="222" t="s">
        <v>4841</v>
      </c>
      <c r="J127" s="222" t="s">
        <v>4842</v>
      </c>
      <c r="K127" s="222" t="s">
        <v>4843</v>
      </c>
      <c r="L127" s="222">
        <v>235029</v>
      </c>
      <c r="M127" s="222">
        <v>235500</v>
      </c>
      <c r="N127" s="222" t="s">
        <v>11</v>
      </c>
      <c r="O127" s="222" t="s">
        <v>9</v>
      </c>
      <c r="P127" s="224"/>
      <c r="Q127" s="224"/>
      <c r="R127" s="224"/>
      <c r="S127" s="224"/>
      <c r="T127" s="224"/>
      <c r="U127" s="224"/>
      <c r="V127" s="224"/>
      <c r="W127" s="224"/>
      <c r="X127" s="224"/>
      <c r="Y127" s="222">
        <v>118956</v>
      </c>
      <c r="Z127" s="222">
        <v>235500</v>
      </c>
      <c r="AA127" s="224"/>
      <c r="AB127" s="224"/>
      <c r="AC127" s="224"/>
      <c r="AD127" s="224"/>
      <c r="AE127" s="224"/>
      <c r="AF127" s="224"/>
      <c r="AG127" s="224"/>
      <c r="AH127" s="224"/>
      <c r="AI127" s="224"/>
      <c r="AJ127" s="126"/>
      <c r="AK127" s="126"/>
      <c r="AL127" s="126"/>
      <c r="AM127" s="126"/>
      <c r="AN127" s="126"/>
    </row>
    <row r="128" spans="1:40" ht="15.75" customHeight="1">
      <c r="A128" s="221">
        <f t="shared" si="2"/>
        <v>122</v>
      </c>
      <c r="B128" s="222" t="s">
        <v>4825</v>
      </c>
      <c r="C128" s="222" t="s">
        <v>5</v>
      </c>
      <c r="D128" s="222" t="e">
        <f t="array" ref="D128">IF(F128="","",INDEX(#REF!,MATCH(F128,#REF!,0)))</f>
        <v>#REF!</v>
      </c>
      <c r="E128" s="222" t="e">
        <f t="array" ref="E128">IF(F128="","",INDEX(#REF!,MATCH(F128,#REF!,0)))</f>
        <v>#REF!</v>
      </c>
      <c r="F128" s="222" t="s">
        <v>27</v>
      </c>
      <c r="G128" s="222" t="s">
        <v>4499</v>
      </c>
      <c r="H128" s="223">
        <v>2.1</v>
      </c>
      <c r="I128" s="222" t="s">
        <v>4844</v>
      </c>
      <c r="J128" s="222" t="s">
        <v>4845</v>
      </c>
      <c r="K128" s="222" t="s">
        <v>4846</v>
      </c>
      <c r="L128" s="222">
        <v>235500</v>
      </c>
      <c r="M128" s="222">
        <v>235500</v>
      </c>
      <c r="N128" s="222" t="s">
        <v>11</v>
      </c>
      <c r="O128" s="222" t="s">
        <v>9</v>
      </c>
      <c r="P128" s="224">
        <v>164562234.91000003</v>
      </c>
      <c r="Q128" s="224">
        <v>3251549.15</v>
      </c>
      <c r="R128" s="224">
        <v>13371534</v>
      </c>
      <c r="S128" s="224"/>
      <c r="T128" s="224">
        <v>6224300.9100000001</v>
      </c>
      <c r="U128" s="224"/>
      <c r="V128" s="224"/>
      <c r="W128" s="224"/>
      <c r="X128" s="224"/>
      <c r="Y128" s="222">
        <v>119177</v>
      </c>
      <c r="Z128" s="222">
        <v>235500</v>
      </c>
      <c r="AA128" s="224">
        <v>44497856.050000004</v>
      </c>
      <c r="AB128" s="224">
        <v>92323.78</v>
      </c>
      <c r="AC128" s="224">
        <v>49450.8</v>
      </c>
      <c r="AD128" s="224"/>
      <c r="AE128" s="224">
        <v>0</v>
      </c>
      <c r="AF128" s="224"/>
      <c r="AG128" s="224"/>
      <c r="AH128" s="224"/>
      <c r="AI128" s="224"/>
      <c r="AJ128" s="126"/>
      <c r="AK128" s="126"/>
      <c r="AL128" s="126"/>
      <c r="AM128" s="126"/>
      <c r="AN128" s="126"/>
    </row>
    <row r="129" spans="1:40" ht="15.75" customHeight="1">
      <c r="A129" s="221">
        <f t="shared" si="2"/>
        <v>123</v>
      </c>
      <c r="B129" s="222" t="s">
        <v>4825</v>
      </c>
      <c r="C129" s="222" t="s">
        <v>5</v>
      </c>
      <c r="D129" s="222" t="e">
        <f t="array" ref="D129">IF(F129="","",INDEX(#REF!,MATCH(F129,#REF!,0)))</f>
        <v>#REF!</v>
      </c>
      <c r="E129" s="222" t="e">
        <f t="array" ref="E129">IF(F129="","",INDEX(#REF!,MATCH(F129,#REF!,0)))</f>
        <v>#REF!</v>
      </c>
      <c r="F129" s="222" t="s">
        <v>27</v>
      </c>
      <c r="G129" s="222" t="s">
        <v>4499</v>
      </c>
      <c r="H129" s="223">
        <v>2.2000000000000002</v>
      </c>
      <c r="I129" s="222" t="s">
        <v>4847</v>
      </c>
      <c r="J129" s="222" t="s">
        <v>4848</v>
      </c>
      <c r="K129" s="222" t="s">
        <v>4821</v>
      </c>
      <c r="L129" s="222">
        <v>32999613</v>
      </c>
      <c r="M129" s="222">
        <v>32999613</v>
      </c>
      <c r="N129" s="222" t="s">
        <v>15</v>
      </c>
      <c r="O129" s="222" t="s">
        <v>9</v>
      </c>
      <c r="P129" s="224"/>
      <c r="Q129" s="224">
        <v>2957375.84</v>
      </c>
      <c r="R129" s="224">
        <v>4259520</v>
      </c>
      <c r="S129" s="224"/>
      <c r="T129" s="224">
        <v>2610258.09</v>
      </c>
      <c r="U129" s="224"/>
      <c r="V129" s="224"/>
      <c r="W129" s="224"/>
      <c r="X129" s="224"/>
      <c r="Y129" s="222">
        <v>0</v>
      </c>
      <c r="Z129" s="222">
        <v>32999613</v>
      </c>
      <c r="AA129" s="224"/>
      <c r="AB129" s="224">
        <v>0</v>
      </c>
      <c r="AC129" s="224">
        <v>0</v>
      </c>
      <c r="AD129" s="224"/>
      <c r="AE129" s="224">
        <v>0</v>
      </c>
      <c r="AF129" s="224"/>
      <c r="AG129" s="224"/>
      <c r="AH129" s="224"/>
      <c r="AI129" s="224"/>
      <c r="AJ129" s="126"/>
      <c r="AK129" s="126"/>
      <c r="AL129" s="126"/>
      <c r="AM129" s="126"/>
      <c r="AN129" s="126"/>
    </row>
    <row r="130" spans="1:40" ht="15.75" customHeight="1">
      <c r="A130" s="221">
        <f t="shared" si="2"/>
        <v>124</v>
      </c>
      <c r="B130" s="222" t="s">
        <v>4849</v>
      </c>
      <c r="C130" s="222" t="s">
        <v>5</v>
      </c>
      <c r="D130" s="222" t="e">
        <f t="array" ref="D130">IF(F130="","",INDEX(#REF!,MATCH(F130,#REF!,0)))</f>
        <v>#REF!</v>
      </c>
      <c r="E130" s="222" t="e">
        <f t="array" ref="E130">IF(F130="","",INDEX(#REF!,MATCH(F130,#REF!,0)))</f>
        <v>#REF!</v>
      </c>
      <c r="F130" s="222" t="s">
        <v>35</v>
      </c>
      <c r="G130" s="222" t="s">
        <v>0</v>
      </c>
      <c r="H130" s="223" t="s">
        <v>4487</v>
      </c>
      <c r="I130" s="222" t="s">
        <v>4850</v>
      </c>
      <c r="J130" s="222" t="s">
        <v>4851</v>
      </c>
      <c r="K130" s="222" t="s">
        <v>4852</v>
      </c>
      <c r="L130" s="222">
        <v>96890</v>
      </c>
      <c r="M130" s="222">
        <v>96631</v>
      </c>
      <c r="N130" s="222" t="s">
        <v>15</v>
      </c>
      <c r="O130" s="222" t="s">
        <v>4611</v>
      </c>
      <c r="P130" s="224"/>
      <c r="Q130" s="224"/>
      <c r="R130" s="224"/>
      <c r="S130" s="224"/>
      <c r="T130" s="224"/>
      <c r="U130" s="224"/>
      <c r="V130" s="224"/>
      <c r="W130" s="224"/>
      <c r="X130" s="224"/>
      <c r="Y130" s="222">
        <v>0</v>
      </c>
      <c r="Z130" s="222">
        <v>96631</v>
      </c>
      <c r="AA130" s="224"/>
      <c r="AB130" s="224"/>
      <c r="AC130" s="224"/>
      <c r="AD130" s="224"/>
      <c r="AE130" s="224"/>
      <c r="AF130" s="224"/>
      <c r="AG130" s="224"/>
      <c r="AH130" s="224"/>
      <c r="AI130" s="224"/>
      <c r="AJ130" s="126"/>
      <c r="AK130" s="126"/>
      <c r="AL130" s="126"/>
      <c r="AM130" s="126"/>
      <c r="AN130" s="126"/>
    </row>
    <row r="131" spans="1:40" ht="15.75" customHeight="1">
      <c r="A131" s="221">
        <f t="shared" si="2"/>
        <v>125</v>
      </c>
      <c r="B131" s="222" t="s">
        <v>4849</v>
      </c>
      <c r="C131" s="222" t="s">
        <v>5</v>
      </c>
      <c r="D131" s="222" t="e">
        <f t="array" ref="D131">IF(F131="","",INDEX(#REF!,MATCH(F131,#REF!,0)))</f>
        <v>#REF!</v>
      </c>
      <c r="E131" s="222" t="e">
        <f t="array" ref="E131">IF(F131="","",INDEX(#REF!,MATCH(F131,#REF!,0)))</f>
        <v>#REF!</v>
      </c>
      <c r="F131" s="222" t="s">
        <v>35</v>
      </c>
      <c r="G131" s="222" t="s">
        <v>4491</v>
      </c>
      <c r="H131" s="223" t="s">
        <v>4487</v>
      </c>
      <c r="I131" s="222" t="s">
        <v>4853</v>
      </c>
      <c r="J131" s="222" t="s">
        <v>4854</v>
      </c>
      <c r="K131" s="222" t="s">
        <v>4855</v>
      </c>
      <c r="L131" s="222">
        <v>31511</v>
      </c>
      <c r="M131" s="222">
        <v>28910</v>
      </c>
      <c r="N131" s="222" t="s">
        <v>15</v>
      </c>
      <c r="O131" s="222" t="s">
        <v>4611</v>
      </c>
      <c r="P131" s="224"/>
      <c r="Q131" s="224"/>
      <c r="R131" s="224"/>
      <c r="S131" s="224"/>
      <c r="T131" s="224"/>
      <c r="U131" s="224"/>
      <c r="V131" s="224"/>
      <c r="W131" s="224"/>
      <c r="X131" s="224"/>
      <c r="Y131" s="222">
        <v>0</v>
      </c>
      <c r="Z131" s="222">
        <v>28910</v>
      </c>
      <c r="AA131" s="224"/>
      <c r="AB131" s="224"/>
      <c r="AC131" s="224"/>
      <c r="AD131" s="224"/>
      <c r="AE131" s="224"/>
      <c r="AF131" s="224"/>
      <c r="AG131" s="224"/>
      <c r="AH131" s="224"/>
      <c r="AI131" s="224"/>
      <c r="AJ131" s="126"/>
      <c r="AK131" s="126"/>
      <c r="AL131" s="126"/>
      <c r="AM131" s="126"/>
      <c r="AN131" s="126"/>
    </row>
    <row r="132" spans="1:40" ht="15.75" customHeight="1">
      <c r="A132" s="221">
        <f t="shared" si="2"/>
        <v>126</v>
      </c>
      <c r="B132" s="222" t="s">
        <v>4849</v>
      </c>
      <c r="C132" s="222" t="s">
        <v>5</v>
      </c>
      <c r="D132" s="222" t="e">
        <f t="array" ref="D132">IF(F132="","",INDEX(#REF!,MATCH(F132,#REF!,0)))</f>
        <v>#REF!</v>
      </c>
      <c r="E132" s="222" t="e">
        <f t="array" ref="E132">IF(F132="","",INDEX(#REF!,MATCH(F132,#REF!,0)))</f>
        <v>#REF!</v>
      </c>
      <c r="F132" s="222" t="s">
        <v>35</v>
      </c>
      <c r="G132" s="222" t="s">
        <v>4495</v>
      </c>
      <c r="H132" s="223" t="s">
        <v>4856</v>
      </c>
      <c r="I132" s="222" t="s">
        <v>4857</v>
      </c>
      <c r="J132" s="222" t="s">
        <v>4858</v>
      </c>
      <c r="K132" s="222" t="s">
        <v>4859</v>
      </c>
      <c r="L132" s="222">
        <v>3</v>
      </c>
      <c r="M132" s="222">
        <v>3</v>
      </c>
      <c r="N132" s="222" t="s">
        <v>13</v>
      </c>
      <c r="O132" s="222" t="s">
        <v>9</v>
      </c>
      <c r="P132" s="224"/>
      <c r="Q132" s="224"/>
      <c r="R132" s="224"/>
      <c r="S132" s="224"/>
      <c r="T132" s="224"/>
      <c r="U132" s="224"/>
      <c r="V132" s="224"/>
      <c r="W132" s="224"/>
      <c r="X132" s="224"/>
      <c r="Y132" s="222">
        <v>6</v>
      </c>
      <c r="Z132" s="222">
        <v>3</v>
      </c>
      <c r="AA132" s="224"/>
      <c r="AB132" s="224"/>
      <c r="AC132" s="224"/>
      <c r="AD132" s="224"/>
      <c r="AE132" s="224"/>
      <c r="AF132" s="224"/>
      <c r="AG132" s="224"/>
      <c r="AH132" s="224"/>
      <c r="AI132" s="224"/>
      <c r="AJ132" s="126"/>
      <c r="AK132" s="126"/>
      <c r="AL132" s="126"/>
      <c r="AM132" s="126"/>
      <c r="AN132" s="126"/>
    </row>
    <row r="133" spans="1:40" ht="15.75" customHeight="1">
      <c r="A133" s="221">
        <f t="shared" si="2"/>
        <v>127</v>
      </c>
      <c r="B133" s="222" t="s">
        <v>4849</v>
      </c>
      <c r="C133" s="222" t="s">
        <v>5</v>
      </c>
      <c r="D133" s="222" t="e">
        <f t="array" ref="D133">IF(F133="","",INDEX(#REF!,MATCH(F133,#REF!,0)))</f>
        <v>#REF!</v>
      </c>
      <c r="E133" s="222" t="e">
        <f t="array" ref="E133">IF(F133="","",INDEX(#REF!,MATCH(F133,#REF!,0)))</f>
        <v>#REF!</v>
      </c>
      <c r="F133" s="222" t="s">
        <v>35</v>
      </c>
      <c r="G133" s="222" t="s">
        <v>4499</v>
      </c>
      <c r="H133" s="223">
        <v>1.1000000000000001</v>
      </c>
      <c r="I133" s="222" t="s">
        <v>4860</v>
      </c>
      <c r="J133" s="222" t="s">
        <v>4861</v>
      </c>
      <c r="K133" s="222" t="s">
        <v>4862</v>
      </c>
      <c r="L133" s="222">
        <v>100874</v>
      </c>
      <c r="M133" s="222">
        <v>4</v>
      </c>
      <c r="N133" s="222" t="s">
        <v>11</v>
      </c>
      <c r="O133" s="222" t="s">
        <v>14</v>
      </c>
      <c r="P133" s="224">
        <v>18519057.5</v>
      </c>
      <c r="Q133" s="224"/>
      <c r="R133" s="224">
        <v>1451021.4</v>
      </c>
      <c r="S133" s="224"/>
      <c r="T133" s="224"/>
      <c r="U133" s="224"/>
      <c r="V133" s="224"/>
      <c r="W133" s="224"/>
      <c r="X133" s="224"/>
      <c r="Y133" s="222">
        <v>61769</v>
      </c>
      <c r="Z133" s="222">
        <v>4</v>
      </c>
      <c r="AA133" s="224">
        <v>6569299.4400000004</v>
      </c>
      <c r="AB133" s="224"/>
      <c r="AC133" s="224">
        <v>0</v>
      </c>
      <c r="AD133" s="224"/>
      <c r="AE133" s="224"/>
      <c r="AF133" s="224"/>
      <c r="AG133" s="224"/>
      <c r="AH133" s="224"/>
      <c r="AI133" s="224"/>
      <c r="AJ133" s="126"/>
      <c r="AK133" s="126"/>
      <c r="AL133" s="126"/>
      <c r="AM133" s="126"/>
      <c r="AN133" s="126"/>
    </row>
    <row r="134" spans="1:40" ht="15.75" customHeight="1">
      <c r="A134" s="221">
        <f t="shared" si="2"/>
        <v>128</v>
      </c>
      <c r="B134" s="222" t="s">
        <v>4849</v>
      </c>
      <c r="C134" s="222" t="s">
        <v>5</v>
      </c>
      <c r="D134" s="222" t="e">
        <f t="array" ref="D134">IF(F134="","",INDEX(#REF!,MATCH(F134,#REF!,0)))</f>
        <v>#REF!</v>
      </c>
      <c r="E134" s="222" t="e">
        <f t="array" ref="E134">IF(F134="","",INDEX(#REF!,MATCH(F134,#REF!,0)))</f>
        <v>#REF!</v>
      </c>
      <c r="F134" s="222" t="s">
        <v>35</v>
      </c>
      <c r="G134" s="222" t="s">
        <v>4499</v>
      </c>
      <c r="H134" s="223">
        <v>1.2</v>
      </c>
      <c r="I134" s="222" t="s">
        <v>4863</v>
      </c>
      <c r="J134" s="222" t="s">
        <v>4864</v>
      </c>
      <c r="K134" s="222" t="s">
        <v>4865</v>
      </c>
      <c r="L134" s="222">
        <v>320</v>
      </c>
      <c r="M134" s="222">
        <v>320</v>
      </c>
      <c r="N134" s="222" t="s">
        <v>11</v>
      </c>
      <c r="O134" s="222" t="s">
        <v>9</v>
      </c>
      <c r="P134" s="224"/>
      <c r="Q134" s="224">
        <v>94542</v>
      </c>
      <c r="R134" s="224">
        <v>1756826.88</v>
      </c>
      <c r="S134" s="224"/>
      <c r="T134" s="224"/>
      <c r="U134" s="224"/>
      <c r="V134" s="224"/>
      <c r="W134" s="224"/>
      <c r="X134" s="224"/>
      <c r="Y134" s="222">
        <v>221</v>
      </c>
      <c r="Z134" s="222">
        <v>320</v>
      </c>
      <c r="AA134" s="224"/>
      <c r="AB134" s="224">
        <v>0</v>
      </c>
      <c r="AC134" s="224">
        <v>0</v>
      </c>
      <c r="AD134" s="224"/>
      <c r="AE134" s="224"/>
      <c r="AF134" s="224"/>
      <c r="AG134" s="224"/>
      <c r="AH134" s="224"/>
      <c r="AI134" s="224"/>
      <c r="AJ134" s="126"/>
      <c r="AK134" s="126"/>
      <c r="AL134" s="126"/>
      <c r="AM134" s="126"/>
      <c r="AN134" s="126"/>
    </row>
    <row r="135" spans="1:40" ht="15.75" customHeight="1">
      <c r="A135" s="221">
        <f t="shared" si="2"/>
        <v>129</v>
      </c>
      <c r="B135" s="222" t="s">
        <v>4849</v>
      </c>
      <c r="C135" s="222" t="s">
        <v>5</v>
      </c>
      <c r="D135" s="222" t="e">
        <f t="array" ref="D135">IF(F135="","",INDEX(#REF!,MATCH(F135,#REF!,0)))</f>
        <v>#REF!</v>
      </c>
      <c r="E135" s="222" t="e">
        <f t="array" ref="E135">IF(F135="","",INDEX(#REF!,MATCH(F135,#REF!,0)))</f>
        <v>#REF!</v>
      </c>
      <c r="F135" s="222" t="s">
        <v>35</v>
      </c>
      <c r="G135" s="222" t="s">
        <v>4499</v>
      </c>
      <c r="H135" s="223">
        <v>1.3</v>
      </c>
      <c r="I135" s="222" t="s">
        <v>4866</v>
      </c>
      <c r="J135" s="222" t="s">
        <v>4867</v>
      </c>
      <c r="K135" s="222" t="s">
        <v>4868</v>
      </c>
      <c r="L135" s="222">
        <v>5000000</v>
      </c>
      <c r="M135" s="222">
        <v>4</v>
      </c>
      <c r="N135" s="222" t="s">
        <v>11</v>
      </c>
      <c r="O135" s="222" t="s">
        <v>14</v>
      </c>
      <c r="P135" s="224"/>
      <c r="Q135" s="224">
        <v>0</v>
      </c>
      <c r="R135" s="224">
        <v>25000</v>
      </c>
      <c r="S135" s="224"/>
      <c r="T135" s="224"/>
      <c r="U135" s="224"/>
      <c r="V135" s="224"/>
      <c r="W135" s="224"/>
      <c r="X135" s="224"/>
      <c r="Y135" s="222">
        <v>2732266</v>
      </c>
      <c r="Z135" s="222">
        <v>4</v>
      </c>
      <c r="AA135" s="224"/>
      <c r="AB135" s="224">
        <v>0</v>
      </c>
      <c r="AC135" s="224">
        <v>0</v>
      </c>
      <c r="AD135" s="224"/>
      <c r="AE135" s="224"/>
      <c r="AF135" s="224"/>
      <c r="AG135" s="224"/>
      <c r="AH135" s="224"/>
      <c r="AI135" s="224"/>
      <c r="AJ135" s="126"/>
      <c r="AK135" s="126"/>
      <c r="AL135" s="126"/>
      <c r="AM135" s="126"/>
      <c r="AN135" s="126"/>
    </row>
    <row r="136" spans="1:40" ht="15.75" customHeight="1">
      <c r="A136" s="221">
        <f t="shared" si="2"/>
        <v>130</v>
      </c>
      <c r="B136" s="222" t="s">
        <v>4849</v>
      </c>
      <c r="C136" s="222" t="s">
        <v>5</v>
      </c>
      <c r="D136" s="222" t="e">
        <f t="array" ref="D136">IF(F136="","",INDEX(#REF!,MATCH(F136,#REF!,0)))</f>
        <v>#REF!</v>
      </c>
      <c r="E136" s="222" t="e">
        <f t="array" ref="E136">IF(F136="","",INDEX(#REF!,MATCH(F136,#REF!,0)))</f>
        <v>#REF!</v>
      </c>
      <c r="F136" s="222" t="s">
        <v>35</v>
      </c>
      <c r="G136" s="222" t="s">
        <v>4495</v>
      </c>
      <c r="H136" s="223" t="s">
        <v>4869</v>
      </c>
      <c r="I136" s="222" t="s">
        <v>4870</v>
      </c>
      <c r="J136" s="222" t="s">
        <v>4871</v>
      </c>
      <c r="K136" s="222" t="s">
        <v>4872</v>
      </c>
      <c r="L136" s="222">
        <v>3</v>
      </c>
      <c r="M136" s="222">
        <v>3</v>
      </c>
      <c r="N136" s="222" t="s">
        <v>13</v>
      </c>
      <c r="O136" s="222" t="s">
        <v>9</v>
      </c>
      <c r="P136" s="224"/>
      <c r="Q136" s="224"/>
      <c r="R136" s="224"/>
      <c r="S136" s="224"/>
      <c r="T136" s="224"/>
      <c r="U136" s="224"/>
      <c r="V136" s="224"/>
      <c r="W136" s="224"/>
      <c r="X136" s="224"/>
      <c r="Y136" s="222">
        <v>5</v>
      </c>
      <c r="Z136" s="222">
        <v>3</v>
      </c>
      <c r="AA136" s="224"/>
      <c r="AB136" s="224"/>
      <c r="AC136" s="224"/>
      <c r="AD136" s="224"/>
      <c r="AE136" s="224"/>
      <c r="AF136" s="224"/>
      <c r="AG136" s="224"/>
      <c r="AH136" s="224"/>
      <c r="AI136" s="224"/>
      <c r="AJ136" s="126"/>
      <c r="AK136" s="126"/>
      <c r="AL136" s="126"/>
      <c r="AM136" s="126"/>
      <c r="AN136" s="126"/>
    </row>
    <row r="137" spans="1:40" ht="15.75" customHeight="1">
      <c r="A137" s="221">
        <f t="shared" si="2"/>
        <v>131</v>
      </c>
      <c r="B137" s="222" t="s">
        <v>4849</v>
      </c>
      <c r="C137" s="222" t="s">
        <v>5</v>
      </c>
      <c r="D137" s="222" t="e">
        <f t="array" ref="D137">IF(F137="","",INDEX(#REF!,MATCH(F137,#REF!,0)))</f>
        <v>#REF!</v>
      </c>
      <c r="E137" s="222" t="e">
        <f t="array" ref="E137">IF(F137="","",INDEX(#REF!,MATCH(F137,#REF!,0)))</f>
        <v>#REF!</v>
      </c>
      <c r="F137" s="222" t="s">
        <v>35</v>
      </c>
      <c r="G137" s="222" t="s">
        <v>4499</v>
      </c>
      <c r="H137" s="223">
        <v>2.1</v>
      </c>
      <c r="I137" s="222" t="s">
        <v>4873</v>
      </c>
      <c r="J137" s="222" t="s">
        <v>4874</v>
      </c>
      <c r="K137" s="222" t="s">
        <v>4875</v>
      </c>
      <c r="L137" s="222">
        <v>360000</v>
      </c>
      <c r="M137" s="222">
        <v>4</v>
      </c>
      <c r="N137" s="222" t="s">
        <v>11</v>
      </c>
      <c r="O137" s="222" t="s">
        <v>14</v>
      </c>
      <c r="P137" s="224"/>
      <c r="Q137" s="224"/>
      <c r="R137" s="224">
        <v>1620000</v>
      </c>
      <c r="S137" s="224"/>
      <c r="T137" s="224"/>
      <c r="U137" s="224"/>
      <c r="V137" s="224"/>
      <c r="W137" s="224"/>
      <c r="X137" s="224"/>
      <c r="Y137" s="222">
        <v>201171</v>
      </c>
      <c r="Z137" s="222">
        <v>4</v>
      </c>
      <c r="AA137" s="224"/>
      <c r="AB137" s="224"/>
      <c r="AC137" s="224">
        <v>568363.22</v>
      </c>
      <c r="AD137" s="224"/>
      <c r="AE137" s="224"/>
      <c r="AF137" s="224"/>
      <c r="AG137" s="224"/>
      <c r="AH137" s="224"/>
      <c r="AI137" s="224"/>
      <c r="AJ137" s="126"/>
      <c r="AK137" s="126"/>
      <c r="AL137" s="126"/>
      <c r="AM137" s="126"/>
      <c r="AN137" s="126"/>
    </row>
    <row r="138" spans="1:40" ht="15.75" customHeight="1">
      <c r="A138" s="221">
        <f t="shared" si="2"/>
        <v>132</v>
      </c>
      <c r="B138" s="222" t="s">
        <v>4849</v>
      </c>
      <c r="C138" s="222" t="s">
        <v>5</v>
      </c>
      <c r="D138" s="222" t="e">
        <f t="array" ref="D138">IF(F138="","",INDEX(#REF!,MATCH(F138,#REF!,0)))</f>
        <v>#REF!</v>
      </c>
      <c r="E138" s="222" t="e">
        <f t="array" ref="E138">IF(F138="","",INDEX(#REF!,MATCH(F138,#REF!,0)))</f>
        <v>#REF!</v>
      </c>
      <c r="F138" s="222" t="s">
        <v>35</v>
      </c>
      <c r="G138" s="222" t="s">
        <v>4499</v>
      </c>
      <c r="H138" s="223">
        <v>2.2999999999999998</v>
      </c>
      <c r="I138" s="222" t="s">
        <v>4876</v>
      </c>
      <c r="J138" s="222" t="s">
        <v>4877</v>
      </c>
      <c r="K138" s="222" t="s">
        <v>4878</v>
      </c>
      <c r="L138" s="222">
        <v>300000</v>
      </c>
      <c r="M138" s="222">
        <v>4</v>
      </c>
      <c r="N138" s="222" t="s">
        <v>11</v>
      </c>
      <c r="O138" s="222" t="s">
        <v>14</v>
      </c>
      <c r="P138" s="224"/>
      <c r="Q138" s="224">
        <v>458</v>
      </c>
      <c r="R138" s="224">
        <v>649785.59999999998</v>
      </c>
      <c r="S138" s="224"/>
      <c r="T138" s="224"/>
      <c r="U138" s="224"/>
      <c r="V138" s="224"/>
      <c r="W138" s="224"/>
      <c r="X138" s="224"/>
      <c r="Y138" s="222">
        <v>446225</v>
      </c>
      <c r="Z138" s="222">
        <v>4</v>
      </c>
      <c r="AA138" s="224"/>
      <c r="AB138" s="224">
        <v>0</v>
      </c>
      <c r="AC138" s="224">
        <v>0</v>
      </c>
      <c r="AD138" s="224"/>
      <c r="AE138" s="224"/>
      <c r="AF138" s="224"/>
      <c r="AG138" s="224"/>
      <c r="AH138" s="224"/>
      <c r="AI138" s="224"/>
      <c r="AJ138" s="126"/>
      <c r="AK138" s="126"/>
      <c r="AL138" s="126"/>
      <c r="AM138" s="126"/>
      <c r="AN138" s="126"/>
    </row>
    <row r="139" spans="1:40" ht="15.75" customHeight="1">
      <c r="A139" s="221">
        <f t="shared" si="2"/>
        <v>133</v>
      </c>
      <c r="B139" s="222" t="s">
        <v>4849</v>
      </c>
      <c r="C139" s="222" t="s">
        <v>5</v>
      </c>
      <c r="D139" s="222" t="e">
        <f t="array" ref="D139">IF(F139="","",INDEX(#REF!,MATCH(F139,#REF!,0)))</f>
        <v>#REF!</v>
      </c>
      <c r="E139" s="222" t="e">
        <f t="array" ref="E139">IF(F139="","",INDEX(#REF!,MATCH(F139,#REF!,0)))</f>
        <v>#REF!</v>
      </c>
      <c r="F139" s="222" t="s">
        <v>35</v>
      </c>
      <c r="G139" s="222" t="s">
        <v>4499</v>
      </c>
      <c r="H139" s="223">
        <v>2.2000000000000002</v>
      </c>
      <c r="I139" s="222" t="s">
        <v>4879</v>
      </c>
      <c r="J139" s="222" t="s">
        <v>4880</v>
      </c>
      <c r="K139" s="222" t="s">
        <v>4881</v>
      </c>
      <c r="L139" s="222">
        <v>30000</v>
      </c>
      <c r="M139" s="222">
        <v>4</v>
      </c>
      <c r="N139" s="222" t="s">
        <v>11</v>
      </c>
      <c r="O139" s="222" t="s">
        <v>14</v>
      </c>
      <c r="P139" s="224"/>
      <c r="Q139" s="224">
        <v>5429</v>
      </c>
      <c r="R139" s="224"/>
      <c r="S139" s="224"/>
      <c r="T139" s="224">
        <v>20000</v>
      </c>
      <c r="U139" s="224"/>
      <c r="V139" s="224"/>
      <c r="W139" s="224"/>
      <c r="X139" s="224"/>
      <c r="Y139" s="222">
        <v>17091</v>
      </c>
      <c r="Z139" s="222">
        <v>4</v>
      </c>
      <c r="AA139" s="224"/>
      <c r="AB139" s="224">
        <v>477</v>
      </c>
      <c r="AC139" s="224"/>
      <c r="AD139" s="224"/>
      <c r="AE139" s="224">
        <v>0</v>
      </c>
      <c r="AF139" s="224"/>
      <c r="AG139" s="224"/>
      <c r="AH139" s="224"/>
      <c r="AI139" s="224"/>
      <c r="AJ139" s="126"/>
      <c r="AK139" s="126"/>
      <c r="AL139" s="126"/>
      <c r="AM139" s="126"/>
      <c r="AN139" s="126"/>
    </row>
    <row r="140" spans="1:40" ht="15.75" customHeight="1">
      <c r="A140" s="221">
        <f t="shared" si="2"/>
        <v>134</v>
      </c>
      <c r="B140" s="222" t="s">
        <v>4849</v>
      </c>
      <c r="C140" s="222" t="s">
        <v>5</v>
      </c>
      <c r="D140" s="222" t="e">
        <f t="array" ref="D140">IF(F140="","",INDEX(#REF!,MATCH(F140,#REF!,0)))</f>
        <v>#REF!</v>
      </c>
      <c r="E140" s="222" t="e">
        <f t="array" ref="E140">IF(F140="","",INDEX(#REF!,MATCH(F140,#REF!,0)))</f>
        <v>#REF!</v>
      </c>
      <c r="F140" s="222" t="s">
        <v>35</v>
      </c>
      <c r="G140" s="222" t="s">
        <v>4495</v>
      </c>
      <c r="H140" s="223" t="s">
        <v>4882</v>
      </c>
      <c r="I140" s="222" t="s">
        <v>4883</v>
      </c>
      <c r="J140" s="222" t="s">
        <v>4884</v>
      </c>
      <c r="K140" s="222" t="s">
        <v>4885</v>
      </c>
      <c r="L140" s="222">
        <v>220</v>
      </c>
      <c r="M140" s="222">
        <v>220</v>
      </c>
      <c r="N140" s="222" t="s">
        <v>13</v>
      </c>
      <c r="O140" s="222" t="s">
        <v>9</v>
      </c>
      <c r="P140" s="224"/>
      <c r="Q140" s="224"/>
      <c r="R140" s="224"/>
      <c r="S140" s="224"/>
      <c r="T140" s="224"/>
      <c r="U140" s="224"/>
      <c r="V140" s="224"/>
      <c r="W140" s="224"/>
      <c r="X140" s="224"/>
      <c r="Y140" s="222">
        <v>97</v>
      </c>
      <c r="Z140" s="222">
        <v>220</v>
      </c>
      <c r="AA140" s="224"/>
      <c r="AB140" s="224"/>
      <c r="AC140" s="224"/>
      <c r="AD140" s="224"/>
      <c r="AE140" s="224"/>
      <c r="AF140" s="224"/>
      <c r="AG140" s="224"/>
      <c r="AH140" s="224"/>
      <c r="AI140" s="224"/>
      <c r="AJ140" s="126"/>
      <c r="AK140" s="126"/>
      <c r="AL140" s="126"/>
      <c r="AM140" s="126"/>
      <c r="AN140" s="126"/>
    </row>
    <row r="141" spans="1:40" ht="15.75" customHeight="1">
      <c r="A141" s="221">
        <f t="shared" si="2"/>
        <v>135</v>
      </c>
      <c r="B141" s="222" t="s">
        <v>4849</v>
      </c>
      <c r="C141" s="222" t="s">
        <v>5</v>
      </c>
      <c r="D141" s="222" t="e">
        <f t="array" ref="D141">IF(F141="","",INDEX(#REF!,MATCH(F141,#REF!,0)))</f>
        <v>#REF!</v>
      </c>
      <c r="E141" s="222" t="e">
        <f t="array" ref="E141">IF(F141="","",INDEX(#REF!,MATCH(F141,#REF!,0)))</f>
        <v>#REF!</v>
      </c>
      <c r="F141" s="222" t="s">
        <v>35</v>
      </c>
      <c r="G141" s="222" t="s">
        <v>4499</v>
      </c>
      <c r="H141" s="223">
        <v>3.1</v>
      </c>
      <c r="I141" s="222" t="s">
        <v>4886</v>
      </c>
      <c r="J141" s="222" t="s">
        <v>4887</v>
      </c>
      <c r="K141" s="222" t="s">
        <v>4888</v>
      </c>
      <c r="L141" s="222">
        <v>165</v>
      </c>
      <c r="M141" s="222">
        <v>165</v>
      </c>
      <c r="N141" s="222" t="s">
        <v>11</v>
      </c>
      <c r="O141" s="222" t="s">
        <v>9</v>
      </c>
      <c r="P141" s="224"/>
      <c r="Q141" s="224"/>
      <c r="R141" s="224">
        <v>919048</v>
      </c>
      <c r="S141" s="224"/>
      <c r="T141" s="224">
        <v>37500</v>
      </c>
      <c r="U141" s="224"/>
      <c r="V141" s="224"/>
      <c r="W141" s="224"/>
      <c r="X141" s="224"/>
      <c r="Y141" s="222">
        <v>98</v>
      </c>
      <c r="Z141" s="222">
        <v>165</v>
      </c>
      <c r="AA141" s="224"/>
      <c r="AB141" s="224"/>
      <c r="AC141" s="224">
        <v>9048</v>
      </c>
      <c r="AD141" s="224"/>
      <c r="AE141" s="224">
        <v>0</v>
      </c>
      <c r="AF141" s="224"/>
      <c r="AG141" s="224"/>
      <c r="AH141" s="224"/>
      <c r="AI141" s="224"/>
      <c r="AJ141" s="126"/>
      <c r="AK141" s="126"/>
      <c r="AL141" s="126"/>
      <c r="AM141" s="126"/>
      <c r="AN141" s="126"/>
    </row>
    <row r="142" spans="1:40" ht="15.75" customHeight="1">
      <c r="A142" s="221">
        <f t="shared" si="2"/>
        <v>136</v>
      </c>
      <c r="B142" s="222" t="s">
        <v>4849</v>
      </c>
      <c r="C142" s="222" t="s">
        <v>5</v>
      </c>
      <c r="D142" s="222" t="e">
        <f t="array" ref="D142">IF(F142="","",INDEX(#REF!,MATCH(F142,#REF!,0)))</f>
        <v>#REF!</v>
      </c>
      <c r="E142" s="222" t="e">
        <f t="array" ref="E142">IF(F142="","",INDEX(#REF!,MATCH(F142,#REF!,0)))</f>
        <v>#REF!</v>
      </c>
      <c r="F142" s="222" t="s">
        <v>35</v>
      </c>
      <c r="G142" s="222" t="s">
        <v>4499</v>
      </c>
      <c r="H142" s="223">
        <v>3.2</v>
      </c>
      <c r="I142" s="222" t="s">
        <v>4889</v>
      </c>
      <c r="J142" s="222" t="s">
        <v>4890</v>
      </c>
      <c r="K142" s="222" t="s">
        <v>4891</v>
      </c>
      <c r="L142" s="222">
        <v>2873</v>
      </c>
      <c r="M142" s="222">
        <v>2873</v>
      </c>
      <c r="N142" s="222" t="s">
        <v>11</v>
      </c>
      <c r="O142" s="222" t="s">
        <v>9</v>
      </c>
      <c r="P142" s="224"/>
      <c r="Q142" s="224">
        <v>63670.91</v>
      </c>
      <c r="R142" s="224"/>
      <c r="S142" s="224"/>
      <c r="T142" s="224"/>
      <c r="U142" s="224"/>
      <c r="V142" s="224"/>
      <c r="W142" s="224"/>
      <c r="X142" s="224"/>
      <c r="Y142" s="222">
        <v>2182</v>
      </c>
      <c r="Z142" s="222">
        <v>2873</v>
      </c>
      <c r="AA142" s="224"/>
      <c r="AB142" s="224">
        <v>8670.91</v>
      </c>
      <c r="AC142" s="224"/>
      <c r="AD142" s="224"/>
      <c r="AE142" s="224"/>
      <c r="AF142" s="224"/>
      <c r="AG142" s="224"/>
      <c r="AH142" s="224"/>
      <c r="AI142" s="224"/>
      <c r="AJ142" s="126"/>
      <c r="AK142" s="126"/>
      <c r="AL142" s="126"/>
      <c r="AM142" s="126"/>
      <c r="AN142" s="126"/>
    </row>
    <row r="143" spans="1:40" ht="15.75" customHeight="1">
      <c r="A143" s="221">
        <f t="shared" si="2"/>
        <v>137</v>
      </c>
      <c r="B143" s="222" t="s">
        <v>4849</v>
      </c>
      <c r="C143" s="222" t="s">
        <v>5</v>
      </c>
      <c r="D143" s="222" t="e">
        <f t="array" ref="D143">IF(F143="","",INDEX(#REF!,MATCH(F143,#REF!,0)))</f>
        <v>#REF!</v>
      </c>
      <c r="E143" s="222" t="e">
        <f t="array" ref="E143">IF(F143="","",INDEX(#REF!,MATCH(F143,#REF!,0)))</f>
        <v>#REF!</v>
      </c>
      <c r="F143" s="222" t="s">
        <v>35</v>
      </c>
      <c r="G143" s="222" t="s">
        <v>4495</v>
      </c>
      <c r="H143" s="223" t="s">
        <v>4892</v>
      </c>
      <c r="I143" s="222" t="s">
        <v>4893</v>
      </c>
      <c r="J143" s="222" t="s">
        <v>4894</v>
      </c>
      <c r="K143" s="222" t="s">
        <v>4895</v>
      </c>
      <c r="L143" s="222">
        <v>45</v>
      </c>
      <c r="M143" s="222">
        <v>45</v>
      </c>
      <c r="N143" s="222" t="s">
        <v>13</v>
      </c>
      <c r="O143" s="222" t="s">
        <v>9</v>
      </c>
      <c r="P143" s="224"/>
      <c r="Q143" s="224"/>
      <c r="R143" s="224"/>
      <c r="S143" s="224"/>
      <c r="T143" s="224"/>
      <c r="U143" s="224"/>
      <c r="V143" s="224"/>
      <c r="W143" s="224"/>
      <c r="X143" s="224"/>
      <c r="Y143" s="222">
        <v>29</v>
      </c>
      <c r="Z143" s="222">
        <v>45</v>
      </c>
      <c r="AA143" s="224"/>
      <c r="AB143" s="224"/>
      <c r="AC143" s="224"/>
      <c r="AD143" s="224"/>
      <c r="AE143" s="224"/>
      <c r="AF143" s="224"/>
      <c r="AG143" s="224"/>
      <c r="AH143" s="224"/>
      <c r="AI143" s="224"/>
      <c r="AJ143" s="126"/>
      <c r="AK143" s="126"/>
      <c r="AL143" s="126"/>
      <c r="AM143" s="126"/>
      <c r="AN143" s="126"/>
    </row>
    <row r="144" spans="1:40" ht="15.75" customHeight="1">
      <c r="A144" s="221">
        <f t="shared" si="2"/>
        <v>138</v>
      </c>
      <c r="B144" s="222" t="s">
        <v>4849</v>
      </c>
      <c r="C144" s="222" t="s">
        <v>5</v>
      </c>
      <c r="D144" s="222" t="e">
        <f t="array" ref="D144">IF(F144="","",INDEX(#REF!,MATCH(F144,#REF!,0)))</f>
        <v>#REF!</v>
      </c>
      <c r="E144" s="222" t="e">
        <f t="array" ref="E144">IF(F144="","",INDEX(#REF!,MATCH(F144,#REF!,0)))</f>
        <v>#REF!</v>
      </c>
      <c r="F144" s="222" t="s">
        <v>35</v>
      </c>
      <c r="G144" s="222" t="s">
        <v>4499</v>
      </c>
      <c r="H144" s="223">
        <v>4.0999999999999996</v>
      </c>
      <c r="I144" s="222" t="s">
        <v>4896</v>
      </c>
      <c r="J144" s="222" t="s">
        <v>4897</v>
      </c>
      <c r="K144" s="222" t="s">
        <v>4898</v>
      </c>
      <c r="L144" s="222">
        <v>21800000</v>
      </c>
      <c r="M144" s="222">
        <v>4</v>
      </c>
      <c r="N144" s="222" t="s">
        <v>11</v>
      </c>
      <c r="O144" s="222" t="s">
        <v>14</v>
      </c>
      <c r="P144" s="224"/>
      <c r="Q144" s="224"/>
      <c r="R144" s="224"/>
      <c r="S144" s="224">
        <v>30623234.629999999</v>
      </c>
      <c r="T144" s="224"/>
      <c r="U144" s="224"/>
      <c r="V144" s="224"/>
      <c r="W144" s="224"/>
      <c r="X144" s="224"/>
      <c r="Y144" s="222">
        <v>18000000</v>
      </c>
      <c r="Z144" s="222">
        <v>4</v>
      </c>
      <c r="AA144" s="224"/>
      <c r="AB144" s="224"/>
      <c r="AC144" s="224"/>
      <c r="AD144" s="224">
        <v>24820000</v>
      </c>
      <c r="AE144" s="224"/>
      <c r="AF144" s="224"/>
      <c r="AG144" s="224"/>
      <c r="AH144" s="224"/>
      <c r="AI144" s="224"/>
      <c r="AJ144" s="126"/>
      <c r="AK144" s="126"/>
      <c r="AL144" s="126"/>
      <c r="AM144" s="126"/>
      <c r="AN144" s="126"/>
    </row>
    <row r="145" spans="1:40" ht="15.75" customHeight="1">
      <c r="A145" s="221">
        <f t="shared" si="2"/>
        <v>139</v>
      </c>
      <c r="B145" s="222" t="s">
        <v>4849</v>
      </c>
      <c r="C145" s="222" t="s">
        <v>5</v>
      </c>
      <c r="D145" s="222" t="e">
        <f t="array" ref="D145">IF(F145="","",INDEX(#REF!,MATCH(F145,#REF!,0)))</f>
        <v>#REF!</v>
      </c>
      <c r="E145" s="222" t="e">
        <f t="array" ref="E145">IF(F145="","",INDEX(#REF!,MATCH(F145,#REF!,0)))</f>
        <v>#REF!</v>
      </c>
      <c r="F145" s="222" t="s">
        <v>35</v>
      </c>
      <c r="G145" s="222" t="s">
        <v>4499</v>
      </c>
      <c r="H145" s="223">
        <v>4.2</v>
      </c>
      <c r="I145" s="222" t="s">
        <v>4899</v>
      </c>
      <c r="J145" s="222" t="s">
        <v>4900</v>
      </c>
      <c r="K145" s="222" t="s">
        <v>4901</v>
      </c>
      <c r="L145" s="222">
        <v>8</v>
      </c>
      <c r="M145" s="222">
        <v>8</v>
      </c>
      <c r="N145" s="222" t="s">
        <v>11</v>
      </c>
      <c r="O145" s="222" t="s">
        <v>9</v>
      </c>
      <c r="P145" s="224"/>
      <c r="Q145" s="224">
        <v>6728.87</v>
      </c>
      <c r="R145" s="224">
        <v>1100000</v>
      </c>
      <c r="S145" s="224"/>
      <c r="T145" s="224"/>
      <c r="U145" s="224"/>
      <c r="V145" s="224"/>
      <c r="W145" s="224"/>
      <c r="X145" s="224"/>
      <c r="Y145" s="222">
        <v>5</v>
      </c>
      <c r="Z145" s="222">
        <v>8</v>
      </c>
      <c r="AA145" s="224"/>
      <c r="AB145" s="224">
        <v>728.87</v>
      </c>
      <c r="AC145" s="224">
        <v>0</v>
      </c>
      <c r="AD145" s="224"/>
      <c r="AE145" s="224"/>
      <c r="AF145" s="224"/>
      <c r="AG145" s="224"/>
      <c r="AH145" s="224"/>
      <c r="AI145" s="224"/>
      <c r="AJ145" s="126"/>
      <c r="AK145" s="126"/>
      <c r="AL145" s="126"/>
      <c r="AM145" s="126"/>
      <c r="AN145" s="126"/>
    </row>
    <row r="146" spans="1:40" ht="15.75" customHeight="1">
      <c r="A146" s="221">
        <f t="shared" si="2"/>
        <v>140</v>
      </c>
      <c r="B146" s="222" t="s">
        <v>4849</v>
      </c>
      <c r="C146" s="222" t="s">
        <v>5</v>
      </c>
      <c r="D146" s="222" t="e">
        <f t="array" ref="D146">IF(F146="","",INDEX(#REF!,MATCH(F146,#REF!,0)))</f>
        <v>#REF!</v>
      </c>
      <c r="E146" s="222" t="e">
        <f t="array" ref="E146">IF(F146="","",INDEX(#REF!,MATCH(F146,#REF!,0)))</f>
        <v>#REF!</v>
      </c>
      <c r="F146" s="222" t="s">
        <v>35</v>
      </c>
      <c r="G146" s="222" t="s">
        <v>4499</v>
      </c>
      <c r="H146" s="223">
        <v>4.3</v>
      </c>
      <c r="I146" s="222" t="s">
        <v>4902</v>
      </c>
      <c r="J146" s="222" t="s">
        <v>4903</v>
      </c>
      <c r="K146" s="222" t="s">
        <v>4904</v>
      </c>
      <c r="L146" s="222">
        <v>33</v>
      </c>
      <c r="M146" s="222">
        <v>33</v>
      </c>
      <c r="N146" s="222" t="s">
        <v>11</v>
      </c>
      <c r="O146" s="222" t="s">
        <v>9</v>
      </c>
      <c r="P146" s="224"/>
      <c r="Q146" s="224">
        <v>1119</v>
      </c>
      <c r="R146" s="224">
        <v>500000</v>
      </c>
      <c r="S146" s="224"/>
      <c r="T146" s="224"/>
      <c r="U146" s="224"/>
      <c r="V146" s="224"/>
      <c r="W146" s="224"/>
      <c r="X146" s="224"/>
      <c r="Y146" s="222">
        <v>23</v>
      </c>
      <c r="Z146" s="222">
        <v>33</v>
      </c>
      <c r="AA146" s="224"/>
      <c r="AB146" s="224">
        <v>1119</v>
      </c>
      <c r="AC146" s="224">
        <v>106099.26000000001</v>
      </c>
      <c r="AD146" s="224"/>
      <c r="AE146" s="224"/>
      <c r="AF146" s="224"/>
      <c r="AG146" s="224"/>
      <c r="AH146" s="224"/>
      <c r="AI146" s="224"/>
      <c r="AJ146" s="126"/>
      <c r="AK146" s="126"/>
      <c r="AL146" s="126"/>
      <c r="AM146" s="126"/>
      <c r="AN146" s="126"/>
    </row>
    <row r="147" spans="1:40" ht="15.75" customHeight="1">
      <c r="A147" s="221">
        <f t="shared" si="2"/>
        <v>141</v>
      </c>
      <c r="B147" s="222" t="s">
        <v>4905</v>
      </c>
      <c r="C147" s="222" t="s">
        <v>5</v>
      </c>
      <c r="D147" s="222" t="e">
        <f t="array" ref="D147">IF(F147="","",INDEX(#REF!,MATCH(F147,#REF!,0)))</f>
        <v>#REF!</v>
      </c>
      <c r="E147" s="222" t="e">
        <f t="array" ref="E147">IF(F147="","",INDEX(#REF!,MATCH(F147,#REF!,0)))</f>
        <v>#REF!</v>
      </c>
      <c r="F147" s="222" t="s">
        <v>35</v>
      </c>
      <c r="G147" s="222" t="s">
        <v>0</v>
      </c>
      <c r="H147" s="223" t="s">
        <v>4487</v>
      </c>
      <c r="I147" s="222" t="s">
        <v>4906</v>
      </c>
      <c r="J147" s="222" t="s">
        <v>4907</v>
      </c>
      <c r="K147" s="222" t="s">
        <v>4908</v>
      </c>
      <c r="L147" s="222">
        <v>26</v>
      </c>
      <c r="M147" s="222">
        <v>1</v>
      </c>
      <c r="N147" s="222" t="s">
        <v>15</v>
      </c>
      <c r="O147" s="222" t="s">
        <v>9</v>
      </c>
      <c r="P147" s="224"/>
      <c r="Q147" s="224"/>
      <c r="R147" s="224"/>
      <c r="S147" s="224"/>
      <c r="T147" s="224"/>
      <c r="U147" s="224"/>
      <c r="V147" s="224"/>
      <c r="W147" s="224"/>
      <c r="X147" s="224"/>
      <c r="Y147" s="222">
        <v>0</v>
      </c>
      <c r="Z147" s="222">
        <v>1</v>
      </c>
      <c r="AA147" s="224"/>
      <c r="AB147" s="224"/>
      <c r="AC147" s="224"/>
      <c r="AD147" s="224"/>
      <c r="AE147" s="224"/>
      <c r="AF147" s="224"/>
      <c r="AG147" s="224"/>
      <c r="AH147" s="224"/>
      <c r="AI147" s="224"/>
      <c r="AJ147" s="126"/>
      <c r="AK147" s="126"/>
      <c r="AL147" s="126"/>
      <c r="AM147" s="126"/>
      <c r="AN147" s="126"/>
    </row>
    <row r="148" spans="1:40" ht="15.75" customHeight="1">
      <c r="A148" s="221">
        <f t="shared" si="2"/>
        <v>142</v>
      </c>
      <c r="B148" s="222" t="s">
        <v>4905</v>
      </c>
      <c r="C148" s="222" t="s">
        <v>5</v>
      </c>
      <c r="D148" s="222" t="e">
        <f t="array" ref="D148">IF(F148="","",INDEX(#REF!,MATCH(F148,#REF!,0)))</f>
        <v>#REF!</v>
      </c>
      <c r="E148" s="222" t="e">
        <f t="array" ref="E148">IF(F148="","",INDEX(#REF!,MATCH(F148,#REF!,0)))</f>
        <v>#REF!</v>
      </c>
      <c r="F148" s="222" t="s">
        <v>35</v>
      </c>
      <c r="G148" s="222" t="s">
        <v>4491</v>
      </c>
      <c r="H148" s="223" t="s">
        <v>4487</v>
      </c>
      <c r="I148" s="222" t="s">
        <v>4909</v>
      </c>
      <c r="J148" s="222" t="s">
        <v>4910</v>
      </c>
      <c r="K148" s="222" t="s">
        <v>4911</v>
      </c>
      <c r="L148" s="222">
        <v>3500</v>
      </c>
      <c r="M148" s="222">
        <v>3500</v>
      </c>
      <c r="N148" s="222" t="s">
        <v>15</v>
      </c>
      <c r="O148" s="222" t="s">
        <v>9</v>
      </c>
      <c r="P148" s="224"/>
      <c r="Q148" s="224"/>
      <c r="R148" s="224"/>
      <c r="S148" s="224"/>
      <c r="T148" s="224"/>
      <c r="U148" s="224"/>
      <c r="V148" s="224"/>
      <c r="W148" s="224"/>
      <c r="X148" s="224"/>
      <c r="Y148" s="222">
        <v>0</v>
      </c>
      <c r="Z148" s="222">
        <v>3500</v>
      </c>
      <c r="AA148" s="224"/>
      <c r="AB148" s="224"/>
      <c r="AC148" s="224"/>
      <c r="AD148" s="224"/>
      <c r="AE148" s="224"/>
      <c r="AF148" s="224"/>
      <c r="AG148" s="224"/>
      <c r="AH148" s="224"/>
      <c r="AI148" s="224"/>
      <c r="AJ148" s="126"/>
      <c r="AK148" s="126"/>
      <c r="AL148" s="126"/>
      <c r="AM148" s="126"/>
      <c r="AN148" s="126"/>
    </row>
    <row r="149" spans="1:40" ht="15.75" customHeight="1">
      <c r="A149" s="221">
        <f t="shared" si="2"/>
        <v>143</v>
      </c>
      <c r="B149" s="222" t="s">
        <v>4905</v>
      </c>
      <c r="C149" s="222" t="s">
        <v>5</v>
      </c>
      <c r="D149" s="222" t="e">
        <f t="array" ref="D149">IF(F149="","",INDEX(#REF!,MATCH(F149,#REF!,0)))</f>
        <v>#REF!</v>
      </c>
      <c r="E149" s="222" t="e">
        <f t="array" ref="E149">IF(F149="","",INDEX(#REF!,MATCH(F149,#REF!,0)))</f>
        <v>#REF!</v>
      </c>
      <c r="F149" s="222" t="s">
        <v>35</v>
      </c>
      <c r="G149" s="222" t="s">
        <v>4495</v>
      </c>
      <c r="H149" s="223">
        <v>1</v>
      </c>
      <c r="I149" s="222" t="s">
        <v>4912</v>
      </c>
      <c r="J149" s="222" t="s">
        <v>4913</v>
      </c>
      <c r="K149" s="222" t="s">
        <v>4914</v>
      </c>
      <c r="L149" s="222">
        <v>40</v>
      </c>
      <c r="M149" s="222">
        <v>40</v>
      </c>
      <c r="N149" s="222" t="s">
        <v>11</v>
      </c>
      <c r="O149" s="222" t="s">
        <v>9</v>
      </c>
      <c r="P149" s="224"/>
      <c r="Q149" s="224"/>
      <c r="R149" s="224"/>
      <c r="S149" s="224"/>
      <c r="T149" s="224"/>
      <c r="U149" s="224"/>
      <c r="V149" s="224"/>
      <c r="W149" s="224"/>
      <c r="X149" s="224"/>
      <c r="Y149" s="222">
        <v>0</v>
      </c>
      <c r="Z149" s="222">
        <v>40</v>
      </c>
      <c r="AA149" s="224"/>
      <c r="AB149" s="224"/>
      <c r="AC149" s="224"/>
      <c r="AD149" s="224"/>
      <c r="AE149" s="224"/>
      <c r="AF149" s="224"/>
      <c r="AG149" s="224"/>
      <c r="AH149" s="224"/>
      <c r="AI149" s="224"/>
      <c r="AJ149" s="126"/>
      <c r="AK149" s="126"/>
      <c r="AL149" s="126"/>
      <c r="AM149" s="126"/>
      <c r="AN149" s="126"/>
    </row>
    <row r="150" spans="1:40" ht="15.75" customHeight="1">
      <c r="A150" s="221">
        <f t="shared" si="2"/>
        <v>144</v>
      </c>
      <c r="B150" s="222" t="s">
        <v>4905</v>
      </c>
      <c r="C150" s="222" t="s">
        <v>5</v>
      </c>
      <c r="D150" s="222" t="e">
        <f t="array" ref="D150">IF(F150="","",INDEX(#REF!,MATCH(F150,#REF!,0)))</f>
        <v>#REF!</v>
      </c>
      <c r="E150" s="222" t="e">
        <f t="array" ref="E150">IF(F150="","",INDEX(#REF!,MATCH(F150,#REF!,0)))</f>
        <v>#REF!</v>
      </c>
      <c r="F150" s="222" t="s">
        <v>35</v>
      </c>
      <c r="G150" s="222" t="s">
        <v>4499</v>
      </c>
      <c r="H150" s="223">
        <v>1.1000000000000001</v>
      </c>
      <c r="I150" s="222" t="s">
        <v>4915</v>
      </c>
      <c r="J150" s="222" t="s">
        <v>4916</v>
      </c>
      <c r="K150" s="222" t="s">
        <v>4917</v>
      </c>
      <c r="L150" s="222">
        <v>80</v>
      </c>
      <c r="M150" s="222">
        <v>80</v>
      </c>
      <c r="N150" s="222" t="s">
        <v>11</v>
      </c>
      <c r="O150" s="222" t="s">
        <v>9</v>
      </c>
      <c r="P150" s="224"/>
      <c r="Q150" s="224"/>
      <c r="R150" s="224"/>
      <c r="S150" s="224">
        <v>0</v>
      </c>
      <c r="T150" s="224"/>
      <c r="U150" s="224"/>
      <c r="V150" s="224"/>
      <c r="W150" s="224"/>
      <c r="X150" s="224"/>
      <c r="Y150" s="222">
        <v>0</v>
      </c>
      <c r="Z150" s="222">
        <v>80</v>
      </c>
      <c r="AA150" s="224"/>
      <c r="AB150" s="224"/>
      <c r="AC150" s="224"/>
      <c r="AD150" s="224">
        <v>0</v>
      </c>
      <c r="AE150" s="224"/>
      <c r="AF150" s="224"/>
      <c r="AG150" s="224"/>
      <c r="AH150" s="224"/>
      <c r="AI150" s="224"/>
      <c r="AJ150" s="126"/>
      <c r="AK150" s="126"/>
      <c r="AL150" s="126"/>
      <c r="AM150" s="126"/>
      <c r="AN150" s="126"/>
    </row>
    <row r="151" spans="1:40" ht="15.75" customHeight="1">
      <c r="A151" s="221">
        <f t="shared" si="2"/>
        <v>145</v>
      </c>
      <c r="B151" s="222" t="s">
        <v>4905</v>
      </c>
      <c r="C151" s="222" t="s">
        <v>5</v>
      </c>
      <c r="D151" s="222" t="e">
        <f t="array" ref="D151">IF(F151="","",INDEX(#REF!,MATCH(F151,#REF!,0)))</f>
        <v>#REF!</v>
      </c>
      <c r="E151" s="222" t="e">
        <f t="array" ref="E151">IF(F151="","",INDEX(#REF!,MATCH(F151,#REF!,0)))</f>
        <v>#REF!</v>
      </c>
      <c r="F151" s="222" t="s">
        <v>35</v>
      </c>
      <c r="G151" s="222" t="s">
        <v>4499</v>
      </c>
      <c r="H151" s="223">
        <v>1.2</v>
      </c>
      <c r="I151" s="222" t="s">
        <v>4918</v>
      </c>
      <c r="J151" s="222" t="s">
        <v>4919</v>
      </c>
      <c r="K151" s="222" t="s">
        <v>4920</v>
      </c>
      <c r="L151" s="222">
        <v>2000</v>
      </c>
      <c r="M151" s="222">
        <v>2000</v>
      </c>
      <c r="N151" s="222" t="s">
        <v>11</v>
      </c>
      <c r="O151" s="222" t="s">
        <v>9</v>
      </c>
      <c r="P151" s="224"/>
      <c r="Q151" s="224">
        <v>50000</v>
      </c>
      <c r="R151" s="224">
        <v>0</v>
      </c>
      <c r="S151" s="224"/>
      <c r="T151" s="224"/>
      <c r="U151" s="224"/>
      <c r="V151" s="224"/>
      <c r="W151" s="224"/>
      <c r="X151" s="224"/>
      <c r="Y151" s="222">
        <v>0</v>
      </c>
      <c r="Z151" s="222">
        <v>2000</v>
      </c>
      <c r="AA151" s="224"/>
      <c r="AB151" s="224">
        <v>0</v>
      </c>
      <c r="AC151" s="224">
        <v>0</v>
      </c>
      <c r="AD151" s="224"/>
      <c r="AE151" s="224"/>
      <c r="AF151" s="224"/>
      <c r="AG151" s="224"/>
      <c r="AH151" s="224"/>
      <c r="AI151" s="224"/>
      <c r="AJ151" s="126"/>
      <c r="AK151" s="126"/>
      <c r="AL151" s="126"/>
      <c r="AM151" s="126"/>
      <c r="AN151" s="126"/>
    </row>
    <row r="152" spans="1:40" ht="15.75" customHeight="1">
      <c r="A152" s="221">
        <f t="shared" si="2"/>
        <v>146</v>
      </c>
      <c r="B152" s="222" t="s">
        <v>4905</v>
      </c>
      <c r="C152" s="222" t="s">
        <v>5</v>
      </c>
      <c r="D152" s="222" t="e">
        <f t="array" ref="D152">IF(F152="","",INDEX(#REF!,MATCH(F152,#REF!,0)))</f>
        <v>#REF!</v>
      </c>
      <c r="E152" s="222" t="e">
        <f t="array" ref="E152">IF(F152="","",INDEX(#REF!,MATCH(F152,#REF!,0)))</f>
        <v>#REF!</v>
      </c>
      <c r="F152" s="222" t="s">
        <v>35</v>
      </c>
      <c r="G152" s="222" t="s">
        <v>4499</v>
      </c>
      <c r="H152" s="223">
        <v>1.3</v>
      </c>
      <c r="I152" s="222" t="s">
        <v>4921</v>
      </c>
      <c r="J152" s="222" t="s">
        <v>4922</v>
      </c>
      <c r="K152" s="222" t="s">
        <v>4923</v>
      </c>
      <c r="L152" s="222">
        <v>1</v>
      </c>
      <c r="M152" s="222">
        <v>1</v>
      </c>
      <c r="N152" s="222" t="s">
        <v>11</v>
      </c>
      <c r="O152" s="222" t="s">
        <v>9</v>
      </c>
      <c r="P152" s="224"/>
      <c r="Q152" s="224"/>
      <c r="R152" s="224">
        <v>200000</v>
      </c>
      <c r="S152" s="224"/>
      <c r="T152" s="224"/>
      <c r="U152" s="224"/>
      <c r="V152" s="224"/>
      <c r="W152" s="224"/>
      <c r="X152" s="224"/>
      <c r="Y152" s="222">
        <v>0</v>
      </c>
      <c r="Z152" s="222">
        <v>1</v>
      </c>
      <c r="AA152" s="224"/>
      <c r="AB152" s="224"/>
      <c r="AC152" s="224">
        <v>0</v>
      </c>
      <c r="AD152" s="224"/>
      <c r="AE152" s="224"/>
      <c r="AF152" s="224"/>
      <c r="AG152" s="224"/>
      <c r="AH152" s="224"/>
      <c r="AI152" s="224"/>
      <c r="AJ152" s="126"/>
      <c r="AK152" s="126"/>
      <c r="AL152" s="126"/>
      <c r="AM152" s="126"/>
      <c r="AN152" s="126"/>
    </row>
    <row r="153" spans="1:40" ht="15.75" customHeight="1">
      <c r="A153" s="221">
        <f t="shared" si="2"/>
        <v>147</v>
      </c>
      <c r="B153" s="222" t="s">
        <v>4905</v>
      </c>
      <c r="C153" s="222" t="s">
        <v>5</v>
      </c>
      <c r="D153" s="222" t="e">
        <f t="array" ref="D153">IF(F153="","",INDEX(#REF!,MATCH(F153,#REF!,0)))</f>
        <v>#REF!</v>
      </c>
      <c r="E153" s="222" t="e">
        <f t="array" ref="E153">IF(F153="","",INDEX(#REF!,MATCH(F153,#REF!,0)))</f>
        <v>#REF!</v>
      </c>
      <c r="F153" s="222" t="s">
        <v>35</v>
      </c>
      <c r="G153" s="222" t="s">
        <v>4495</v>
      </c>
      <c r="H153" s="223">
        <v>2</v>
      </c>
      <c r="I153" s="222" t="s">
        <v>4924</v>
      </c>
      <c r="J153" s="222" t="s">
        <v>4925</v>
      </c>
      <c r="K153" s="222" t="s">
        <v>4926</v>
      </c>
      <c r="L153" s="222">
        <v>500</v>
      </c>
      <c r="M153" s="222">
        <v>500</v>
      </c>
      <c r="N153" s="222" t="s">
        <v>13</v>
      </c>
      <c r="O153" s="222" t="s">
        <v>9</v>
      </c>
      <c r="P153" s="224"/>
      <c r="Q153" s="224"/>
      <c r="R153" s="224"/>
      <c r="S153" s="224"/>
      <c r="T153" s="224"/>
      <c r="U153" s="224"/>
      <c r="V153" s="224"/>
      <c r="W153" s="224"/>
      <c r="X153" s="224"/>
      <c r="Y153" s="222">
        <v>635</v>
      </c>
      <c r="Z153" s="222">
        <v>500</v>
      </c>
      <c r="AA153" s="224"/>
      <c r="AB153" s="224"/>
      <c r="AC153" s="224"/>
      <c r="AD153" s="224"/>
      <c r="AE153" s="224"/>
      <c r="AF153" s="224"/>
      <c r="AG153" s="224"/>
      <c r="AH153" s="224"/>
      <c r="AI153" s="224"/>
      <c r="AJ153" s="126"/>
      <c r="AK153" s="126"/>
      <c r="AL153" s="126"/>
      <c r="AM153" s="126"/>
      <c r="AN153" s="126"/>
    </row>
    <row r="154" spans="1:40" ht="15.75" customHeight="1">
      <c r="A154" s="221">
        <f t="shared" si="2"/>
        <v>148</v>
      </c>
      <c r="B154" s="222" t="s">
        <v>4905</v>
      </c>
      <c r="C154" s="222" t="s">
        <v>5</v>
      </c>
      <c r="D154" s="222" t="e">
        <f t="array" ref="D154">IF(F154="","",INDEX(#REF!,MATCH(F154,#REF!,0)))</f>
        <v>#REF!</v>
      </c>
      <c r="E154" s="222" t="e">
        <f t="array" ref="E154">IF(F154="","",INDEX(#REF!,MATCH(F154,#REF!,0)))</f>
        <v>#REF!</v>
      </c>
      <c r="F154" s="222" t="s">
        <v>35</v>
      </c>
      <c r="G154" s="222" t="s">
        <v>4499</v>
      </c>
      <c r="H154" s="223">
        <v>2.1</v>
      </c>
      <c r="I154" s="222" t="s">
        <v>4927</v>
      </c>
      <c r="J154" s="222" t="s">
        <v>4928</v>
      </c>
      <c r="K154" s="222" t="s">
        <v>4929</v>
      </c>
      <c r="L154" s="222">
        <v>4</v>
      </c>
      <c r="M154" s="222">
        <v>4</v>
      </c>
      <c r="N154" s="222" t="s">
        <v>11</v>
      </c>
      <c r="O154" s="222" t="s">
        <v>9</v>
      </c>
      <c r="P154" s="224"/>
      <c r="Q154" s="224"/>
      <c r="R154" s="224"/>
      <c r="S154" s="224">
        <v>0</v>
      </c>
      <c r="T154" s="224"/>
      <c r="U154" s="224"/>
      <c r="V154" s="224"/>
      <c r="W154" s="224"/>
      <c r="X154" s="224"/>
      <c r="Y154" s="222">
        <v>0</v>
      </c>
      <c r="Z154" s="222">
        <v>4</v>
      </c>
      <c r="AA154" s="224"/>
      <c r="AB154" s="224"/>
      <c r="AC154" s="224"/>
      <c r="AD154" s="224">
        <v>0</v>
      </c>
      <c r="AE154" s="224"/>
      <c r="AF154" s="224"/>
      <c r="AG154" s="224"/>
      <c r="AH154" s="224"/>
      <c r="AI154" s="224"/>
      <c r="AJ154" s="126"/>
      <c r="AK154" s="126"/>
      <c r="AL154" s="126"/>
      <c r="AM154" s="126"/>
      <c r="AN154" s="126"/>
    </row>
    <row r="155" spans="1:40" ht="15.75" customHeight="1">
      <c r="A155" s="221">
        <f t="shared" si="2"/>
        <v>149</v>
      </c>
      <c r="B155" s="222" t="s">
        <v>4905</v>
      </c>
      <c r="C155" s="222" t="s">
        <v>5</v>
      </c>
      <c r="D155" s="222" t="e">
        <f t="array" ref="D155">IF(F155="","",INDEX(#REF!,MATCH(F155,#REF!,0)))</f>
        <v>#REF!</v>
      </c>
      <c r="E155" s="222" t="e">
        <f t="array" ref="E155">IF(F155="","",INDEX(#REF!,MATCH(F155,#REF!,0)))</f>
        <v>#REF!</v>
      </c>
      <c r="F155" s="222" t="s">
        <v>35</v>
      </c>
      <c r="G155" s="222" t="s">
        <v>4499</v>
      </c>
      <c r="H155" s="223">
        <v>2.2000000000000002</v>
      </c>
      <c r="I155" s="222" t="s">
        <v>4930</v>
      </c>
      <c r="J155" s="222" t="s">
        <v>4931</v>
      </c>
      <c r="K155" s="222" t="s">
        <v>4932</v>
      </c>
      <c r="L155" s="222">
        <v>6</v>
      </c>
      <c r="M155" s="222">
        <v>6</v>
      </c>
      <c r="N155" s="222" t="s">
        <v>11</v>
      </c>
      <c r="O155" s="222" t="s">
        <v>9</v>
      </c>
      <c r="P155" s="224"/>
      <c r="Q155" s="224"/>
      <c r="R155" s="224"/>
      <c r="S155" s="224">
        <v>0</v>
      </c>
      <c r="T155" s="224"/>
      <c r="U155" s="224"/>
      <c r="V155" s="224"/>
      <c r="W155" s="224"/>
      <c r="X155" s="224"/>
      <c r="Y155" s="222">
        <v>3</v>
      </c>
      <c r="Z155" s="222">
        <v>6</v>
      </c>
      <c r="AA155" s="224"/>
      <c r="AB155" s="224"/>
      <c r="AC155" s="224"/>
      <c r="AD155" s="224">
        <v>0</v>
      </c>
      <c r="AE155" s="224"/>
      <c r="AF155" s="224"/>
      <c r="AG155" s="224"/>
      <c r="AH155" s="224"/>
      <c r="AI155" s="224"/>
      <c r="AJ155" s="126"/>
      <c r="AK155" s="126"/>
      <c r="AL155" s="126"/>
      <c r="AM155" s="126"/>
      <c r="AN155" s="126"/>
    </row>
    <row r="156" spans="1:40" ht="15.75" customHeight="1">
      <c r="A156" s="221">
        <f t="shared" si="2"/>
        <v>150</v>
      </c>
      <c r="B156" s="222" t="s">
        <v>4905</v>
      </c>
      <c r="C156" s="222" t="s">
        <v>5</v>
      </c>
      <c r="D156" s="222" t="e">
        <f t="array" ref="D156">IF(F156="","",INDEX(#REF!,MATCH(F156,#REF!,0)))</f>
        <v>#REF!</v>
      </c>
      <c r="E156" s="222" t="e">
        <f t="array" ref="E156">IF(F156="","",INDEX(#REF!,MATCH(F156,#REF!,0)))</f>
        <v>#REF!</v>
      </c>
      <c r="F156" s="222" t="s">
        <v>35</v>
      </c>
      <c r="G156" s="222" t="s">
        <v>4499</v>
      </c>
      <c r="H156" s="223">
        <v>2.2999999999999998</v>
      </c>
      <c r="I156" s="222" t="s">
        <v>4933</v>
      </c>
      <c r="J156" s="222" t="s">
        <v>4934</v>
      </c>
      <c r="K156" s="222" t="s">
        <v>4926</v>
      </c>
      <c r="L156" s="222">
        <v>5</v>
      </c>
      <c r="M156" s="222">
        <v>5</v>
      </c>
      <c r="N156" s="222" t="s">
        <v>11</v>
      </c>
      <c r="O156" s="222" t="s">
        <v>9</v>
      </c>
      <c r="P156" s="224"/>
      <c r="Q156" s="224"/>
      <c r="R156" s="224"/>
      <c r="S156" s="224">
        <v>0</v>
      </c>
      <c r="T156" s="224"/>
      <c r="U156" s="224"/>
      <c r="V156" s="224"/>
      <c r="W156" s="224"/>
      <c r="X156" s="224"/>
      <c r="Y156" s="222">
        <v>1</v>
      </c>
      <c r="Z156" s="222">
        <v>5</v>
      </c>
      <c r="AA156" s="224"/>
      <c r="AB156" s="224"/>
      <c r="AC156" s="224"/>
      <c r="AD156" s="224">
        <v>0</v>
      </c>
      <c r="AE156" s="224"/>
      <c r="AF156" s="224"/>
      <c r="AG156" s="224"/>
      <c r="AH156" s="224"/>
      <c r="AI156" s="224"/>
      <c r="AJ156" s="126"/>
      <c r="AK156" s="126"/>
      <c r="AL156" s="126"/>
      <c r="AM156" s="126"/>
      <c r="AN156" s="126"/>
    </row>
    <row r="157" spans="1:40" ht="15.75" customHeight="1">
      <c r="A157" s="221">
        <f t="shared" si="2"/>
        <v>151</v>
      </c>
      <c r="B157" s="222" t="s">
        <v>4905</v>
      </c>
      <c r="C157" s="222" t="s">
        <v>5</v>
      </c>
      <c r="D157" s="222" t="e">
        <f t="array" ref="D157">IF(F157="","",INDEX(#REF!,MATCH(F157,#REF!,0)))</f>
        <v>#REF!</v>
      </c>
      <c r="E157" s="222" t="e">
        <f t="array" ref="E157">IF(F157="","",INDEX(#REF!,MATCH(F157,#REF!,0)))</f>
        <v>#REF!</v>
      </c>
      <c r="F157" s="222" t="s">
        <v>35</v>
      </c>
      <c r="G157" s="222" t="s">
        <v>4495</v>
      </c>
      <c r="H157" s="223">
        <v>3</v>
      </c>
      <c r="I157" s="222" t="s">
        <v>4935</v>
      </c>
      <c r="J157" s="222" t="s">
        <v>4936</v>
      </c>
      <c r="K157" s="222" t="s">
        <v>4937</v>
      </c>
      <c r="L157" s="222">
        <v>1000</v>
      </c>
      <c r="M157" s="222">
        <v>1000</v>
      </c>
      <c r="N157" s="222" t="s">
        <v>13</v>
      </c>
      <c r="O157" s="222" t="s">
        <v>9</v>
      </c>
      <c r="P157" s="224"/>
      <c r="Q157" s="224"/>
      <c r="R157" s="224"/>
      <c r="S157" s="224"/>
      <c r="T157" s="224"/>
      <c r="U157" s="224"/>
      <c r="V157" s="224"/>
      <c r="W157" s="224"/>
      <c r="X157" s="224"/>
      <c r="Y157" s="222">
        <v>315</v>
      </c>
      <c r="Z157" s="222">
        <v>1000</v>
      </c>
      <c r="AA157" s="224"/>
      <c r="AB157" s="224"/>
      <c r="AC157" s="224"/>
      <c r="AD157" s="224"/>
      <c r="AE157" s="224"/>
      <c r="AF157" s="224"/>
      <c r="AG157" s="224"/>
      <c r="AH157" s="224"/>
      <c r="AI157" s="224"/>
      <c r="AJ157" s="126"/>
      <c r="AK157" s="126"/>
      <c r="AL157" s="126"/>
      <c r="AM157" s="126"/>
      <c r="AN157" s="126"/>
    </row>
    <row r="158" spans="1:40" ht="15.75" customHeight="1">
      <c r="A158" s="221">
        <f t="shared" si="2"/>
        <v>152</v>
      </c>
      <c r="B158" s="222" t="s">
        <v>4905</v>
      </c>
      <c r="C158" s="222" t="s">
        <v>5</v>
      </c>
      <c r="D158" s="222" t="e">
        <f t="array" ref="D158">IF(F158="","",INDEX(#REF!,MATCH(F158,#REF!,0)))</f>
        <v>#REF!</v>
      </c>
      <c r="E158" s="222" t="e">
        <f t="array" ref="E158">IF(F158="","",INDEX(#REF!,MATCH(F158,#REF!,0)))</f>
        <v>#REF!</v>
      </c>
      <c r="F158" s="222" t="s">
        <v>35</v>
      </c>
      <c r="G158" s="222" t="s">
        <v>4499</v>
      </c>
      <c r="H158" s="223">
        <v>3.1</v>
      </c>
      <c r="I158" s="222" t="s">
        <v>4938</v>
      </c>
      <c r="J158" s="222" t="s">
        <v>4939</v>
      </c>
      <c r="K158" s="222" t="s">
        <v>4940</v>
      </c>
      <c r="L158" s="222">
        <v>4</v>
      </c>
      <c r="M158" s="222">
        <v>4</v>
      </c>
      <c r="N158" s="222" t="s">
        <v>11</v>
      </c>
      <c r="O158" s="222" t="s">
        <v>9</v>
      </c>
      <c r="P158" s="224"/>
      <c r="Q158" s="224"/>
      <c r="R158" s="224"/>
      <c r="S158" s="224">
        <v>0</v>
      </c>
      <c r="T158" s="224"/>
      <c r="U158" s="224"/>
      <c r="V158" s="224"/>
      <c r="W158" s="224"/>
      <c r="X158" s="224"/>
      <c r="Y158" s="222">
        <v>0</v>
      </c>
      <c r="Z158" s="222">
        <v>4</v>
      </c>
      <c r="AA158" s="224"/>
      <c r="AB158" s="224"/>
      <c r="AC158" s="224"/>
      <c r="AD158" s="224">
        <v>0</v>
      </c>
      <c r="AE158" s="224"/>
      <c r="AF158" s="224"/>
      <c r="AG158" s="224"/>
      <c r="AH158" s="224"/>
      <c r="AI158" s="224"/>
      <c r="AJ158" s="126"/>
      <c r="AK158" s="126"/>
      <c r="AL158" s="126"/>
      <c r="AM158" s="126"/>
      <c r="AN158" s="126"/>
    </row>
    <row r="159" spans="1:40" ht="15.75" customHeight="1">
      <c r="A159" s="221">
        <f t="shared" si="2"/>
        <v>153</v>
      </c>
      <c r="B159" s="222" t="s">
        <v>4905</v>
      </c>
      <c r="C159" s="222" t="s">
        <v>5</v>
      </c>
      <c r="D159" s="222" t="e">
        <f t="array" ref="D159">IF(F159="","",INDEX(#REF!,MATCH(F159,#REF!,0)))</f>
        <v>#REF!</v>
      </c>
      <c r="E159" s="222" t="e">
        <f t="array" ref="E159">IF(F159="","",INDEX(#REF!,MATCH(F159,#REF!,0)))</f>
        <v>#REF!</v>
      </c>
      <c r="F159" s="222" t="s">
        <v>35</v>
      </c>
      <c r="G159" s="222" t="s">
        <v>4499</v>
      </c>
      <c r="H159" s="223">
        <v>3.2</v>
      </c>
      <c r="I159" s="222" t="s">
        <v>4941</v>
      </c>
      <c r="J159" s="222" t="s">
        <v>4942</v>
      </c>
      <c r="K159" s="222" t="s">
        <v>4943</v>
      </c>
      <c r="L159" s="222">
        <v>4</v>
      </c>
      <c r="M159" s="222">
        <v>4</v>
      </c>
      <c r="N159" s="222" t="s">
        <v>11</v>
      </c>
      <c r="O159" s="222" t="s">
        <v>9</v>
      </c>
      <c r="P159" s="224"/>
      <c r="Q159" s="224"/>
      <c r="R159" s="224">
        <v>400000</v>
      </c>
      <c r="S159" s="224"/>
      <c r="T159" s="224"/>
      <c r="U159" s="224"/>
      <c r="V159" s="224"/>
      <c r="W159" s="224"/>
      <c r="X159" s="224"/>
      <c r="Y159" s="222">
        <v>3</v>
      </c>
      <c r="Z159" s="222">
        <v>4</v>
      </c>
      <c r="AA159" s="224"/>
      <c r="AB159" s="224"/>
      <c r="AC159" s="224">
        <v>0</v>
      </c>
      <c r="AD159" s="224"/>
      <c r="AE159" s="224"/>
      <c r="AF159" s="224"/>
      <c r="AG159" s="224"/>
      <c r="AH159" s="224"/>
      <c r="AI159" s="224"/>
      <c r="AJ159" s="126"/>
      <c r="AK159" s="126"/>
      <c r="AL159" s="126"/>
      <c r="AM159" s="126"/>
      <c r="AN159" s="126"/>
    </row>
    <row r="160" spans="1:40" ht="15.75" customHeight="1">
      <c r="A160" s="221">
        <f t="shared" si="2"/>
        <v>154</v>
      </c>
      <c r="B160" s="222" t="s">
        <v>4905</v>
      </c>
      <c r="C160" s="222" t="s">
        <v>5</v>
      </c>
      <c r="D160" s="222" t="e">
        <f t="array" ref="D160">IF(F160="","",INDEX(#REF!,MATCH(F160,#REF!,0)))</f>
        <v>#REF!</v>
      </c>
      <c r="E160" s="222" t="e">
        <f t="array" ref="E160">IF(F160="","",INDEX(#REF!,MATCH(F160,#REF!,0)))</f>
        <v>#REF!</v>
      </c>
      <c r="F160" s="222" t="s">
        <v>35</v>
      </c>
      <c r="G160" s="222" t="s">
        <v>4495</v>
      </c>
      <c r="H160" s="223">
        <v>4</v>
      </c>
      <c r="I160" s="222" t="s">
        <v>4944</v>
      </c>
      <c r="J160" s="222" t="s">
        <v>4945</v>
      </c>
      <c r="K160" s="222" t="s">
        <v>4946</v>
      </c>
      <c r="L160" s="222">
        <v>1000</v>
      </c>
      <c r="M160" s="222">
        <v>1000</v>
      </c>
      <c r="N160" s="222" t="s">
        <v>13</v>
      </c>
      <c r="O160" s="222" t="s">
        <v>9</v>
      </c>
      <c r="P160" s="224"/>
      <c r="Q160" s="224"/>
      <c r="R160" s="224"/>
      <c r="S160" s="224"/>
      <c r="T160" s="224"/>
      <c r="U160" s="224"/>
      <c r="V160" s="224"/>
      <c r="W160" s="224"/>
      <c r="X160" s="224"/>
      <c r="Y160" s="222">
        <v>0</v>
      </c>
      <c r="Z160" s="222">
        <v>1000</v>
      </c>
      <c r="AA160" s="224"/>
      <c r="AB160" s="224"/>
      <c r="AC160" s="224"/>
      <c r="AD160" s="224"/>
      <c r="AE160" s="224"/>
      <c r="AF160" s="224"/>
      <c r="AG160" s="224"/>
      <c r="AH160" s="224"/>
      <c r="AI160" s="224"/>
      <c r="AJ160" s="126"/>
      <c r="AK160" s="126"/>
      <c r="AL160" s="126"/>
      <c r="AM160" s="126"/>
      <c r="AN160" s="126"/>
    </row>
    <row r="161" spans="1:40" ht="15.75" customHeight="1">
      <c r="A161" s="221">
        <f t="shared" si="2"/>
        <v>155</v>
      </c>
      <c r="B161" s="222" t="s">
        <v>4905</v>
      </c>
      <c r="C161" s="222" t="s">
        <v>5</v>
      </c>
      <c r="D161" s="222" t="e">
        <f t="array" ref="D161">IF(F161="","",INDEX(#REF!,MATCH(F161,#REF!,0)))</f>
        <v>#REF!</v>
      </c>
      <c r="E161" s="222" t="e">
        <f t="array" ref="E161">IF(F161="","",INDEX(#REF!,MATCH(F161,#REF!,0)))</f>
        <v>#REF!</v>
      </c>
      <c r="F161" s="222" t="s">
        <v>35</v>
      </c>
      <c r="G161" s="222" t="s">
        <v>4499</v>
      </c>
      <c r="H161" s="223">
        <v>4.0999999999999996</v>
      </c>
      <c r="I161" s="222" t="s">
        <v>4947</v>
      </c>
      <c r="J161" s="222" t="s">
        <v>4948</v>
      </c>
      <c r="K161" s="222" t="s">
        <v>4949</v>
      </c>
      <c r="L161" s="222">
        <v>500</v>
      </c>
      <c r="M161" s="222">
        <v>500</v>
      </c>
      <c r="N161" s="222" t="s">
        <v>11</v>
      </c>
      <c r="O161" s="222" t="s">
        <v>9</v>
      </c>
      <c r="P161" s="224"/>
      <c r="Q161" s="224"/>
      <c r="R161" s="224"/>
      <c r="S161" s="224">
        <v>500000</v>
      </c>
      <c r="T161" s="224"/>
      <c r="U161" s="224"/>
      <c r="V161" s="224"/>
      <c r="W161" s="224"/>
      <c r="X161" s="224"/>
      <c r="Y161" s="222">
        <v>0</v>
      </c>
      <c r="Z161" s="222">
        <v>500</v>
      </c>
      <c r="AA161" s="224"/>
      <c r="AB161" s="224"/>
      <c r="AC161" s="224"/>
      <c r="AD161" s="224">
        <v>0</v>
      </c>
      <c r="AE161" s="224"/>
      <c r="AF161" s="224"/>
      <c r="AG161" s="224"/>
      <c r="AH161" s="224"/>
      <c r="AI161" s="224"/>
      <c r="AJ161" s="126"/>
      <c r="AK161" s="126"/>
      <c r="AL161" s="126"/>
      <c r="AM161" s="126"/>
      <c r="AN161" s="126"/>
    </row>
    <row r="162" spans="1:40" ht="15.75" customHeight="1">
      <c r="A162" s="221">
        <f t="shared" si="2"/>
        <v>156</v>
      </c>
      <c r="B162" s="222" t="s">
        <v>4905</v>
      </c>
      <c r="C162" s="222" t="s">
        <v>5</v>
      </c>
      <c r="D162" s="222" t="e">
        <f t="array" ref="D162">IF(F162="","",INDEX(#REF!,MATCH(F162,#REF!,0)))</f>
        <v>#REF!</v>
      </c>
      <c r="E162" s="222" t="e">
        <f t="array" ref="E162">IF(F162="","",INDEX(#REF!,MATCH(F162,#REF!,0)))</f>
        <v>#REF!</v>
      </c>
      <c r="F162" s="222" t="s">
        <v>35</v>
      </c>
      <c r="G162" s="222" t="s">
        <v>4499</v>
      </c>
      <c r="H162" s="223">
        <v>4.2</v>
      </c>
      <c r="I162" s="222" t="s">
        <v>4950</v>
      </c>
      <c r="J162" s="222" t="s">
        <v>4951</v>
      </c>
      <c r="K162" s="222" t="s">
        <v>4952</v>
      </c>
      <c r="L162" s="222">
        <v>1000</v>
      </c>
      <c r="M162" s="222">
        <v>1000</v>
      </c>
      <c r="N162" s="222" t="s">
        <v>11</v>
      </c>
      <c r="O162" s="222" t="s">
        <v>9</v>
      </c>
      <c r="P162" s="224"/>
      <c r="Q162" s="224"/>
      <c r="R162" s="224"/>
      <c r="S162" s="224">
        <v>250</v>
      </c>
      <c r="T162" s="224"/>
      <c r="U162" s="224"/>
      <c r="V162" s="224"/>
      <c r="W162" s="224"/>
      <c r="X162" s="224"/>
      <c r="Y162" s="222">
        <v>0</v>
      </c>
      <c r="Z162" s="222">
        <v>1000</v>
      </c>
      <c r="AA162" s="224"/>
      <c r="AB162" s="224"/>
      <c r="AC162" s="224"/>
      <c r="AD162" s="224">
        <v>0</v>
      </c>
      <c r="AE162" s="224"/>
      <c r="AF162" s="224"/>
      <c r="AG162" s="224"/>
      <c r="AH162" s="224"/>
      <c r="AI162" s="224"/>
      <c r="AJ162" s="126"/>
      <c r="AK162" s="126"/>
      <c r="AL162" s="126"/>
      <c r="AM162" s="126"/>
      <c r="AN162" s="126"/>
    </row>
    <row r="163" spans="1:40" ht="15.75" customHeight="1">
      <c r="A163" s="221">
        <f t="shared" si="2"/>
        <v>157</v>
      </c>
      <c r="B163" s="222" t="s">
        <v>4905</v>
      </c>
      <c r="C163" s="222" t="s">
        <v>5</v>
      </c>
      <c r="D163" s="222" t="e">
        <f t="array" ref="D163">IF(F163="","",INDEX(#REF!,MATCH(F163,#REF!,0)))</f>
        <v>#REF!</v>
      </c>
      <c r="E163" s="222" t="e">
        <f t="array" ref="E163">IF(F163="","",INDEX(#REF!,MATCH(F163,#REF!,0)))</f>
        <v>#REF!</v>
      </c>
      <c r="F163" s="222" t="s">
        <v>35</v>
      </c>
      <c r="G163" s="222" t="s">
        <v>4495</v>
      </c>
      <c r="H163" s="223">
        <v>5</v>
      </c>
      <c r="I163" s="222" t="s">
        <v>4953</v>
      </c>
      <c r="J163" s="222" t="s">
        <v>4954</v>
      </c>
      <c r="K163" s="222" t="s">
        <v>4955</v>
      </c>
      <c r="L163" s="222">
        <v>4</v>
      </c>
      <c r="M163" s="222">
        <v>4</v>
      </c>
      <c r="N163" s="222" t="s">
        <v>13</v>
      </c>
      <c r="O163" s="222" t="s">
        <v>9</v>
      </c>
      <c r="P163" s="224"/>
      <c r="Q163" s="224"/>
      <c r="R163" s="224"/>
      <c r="S163" s="224"/>
      <c r="T163" s="224"/>
      <c r="U163" s="224"/>
      <c r="V163" s="224"/>
      <c r="W163" s="224"/>
      <c r="X163" s="224"/>
      <c r="Y163" s="222">
        <v>2</v>
      </c>
      <c r="Z163" s="222">
        <v>4</v>
      </c>
      <c r="AA163" s="224"/>
      <c r="AB163" s="224"/>
      <c r="AC163" s="224"/>
      <c r="AD163" s="224"/>
      <c r="AE163" s="224"/>
      <c r="AF163" s="224"/>
      <c r="AG163" s="224"/>
      <c r="AH163" s="224"/>
      <c r="AI163" s="224"/>
      <c r="AJ163" s="126"/>
      <c r="AK163" s="126"/>
      <c r="AL163" s="126"/>
      <c r="AM163" s="126"/>
      <c r="AN163" s="126"/>
    </row>
    <row r="164" spans="1:40" ht="15.75" customHeight="1">
      <c r="A164" s="221">
        <f t="shared" si="2"/>
        <v>158</v>
      </c>
      <c r="B164" s="222" t="s">
        <v>4905</v>
      </c>
      <c r="C164" s="222" t="s">
        <v>5</v>
      </c>
      <c r="D164" s="222" t="e">
        <f t="array" ref="D164">IF(F164="","",INDEX(#REF!,MATCH(F164,#REF!,0)))</f>
        <v>#REF!</v>
      </c>
      <c r="E164" s="222" t="e">
        <f t="array" ref="E164">IF(F164="","",INDEX(#REF!,MATCH(F164,#REF!,0)))</f>
        <v>#REF!</v>
      </c>
      <c r="F164" s="222" t="s">
        <v>35</v>
      </c>
      <c r="G164" s="222" t="s">
        <v>4499</v>
      </c>
      <c r="H164" s="223">
        <v>5.0999999999999996</v>
      </c>
      <c r="I164" s="222" t="s">
        <v>4956</v>
      </c>
      <c r="J164" s="222" t="s">
        <v>4957</v>
      </c>
      <c r="K164" s="222" t="s">
        <v>4958</v>
      </c>
      <c r="L164" s="222">
        <v>240</v>
      </c>
      <c r="M164" s="222">
        <v>300</v>
      </c>
      <c r="N164" s="222" t="s">
        <v>11</v>
      </c>
      <c r="O164" s="222" t="s">
        <v>9</v>
      </c>
      <c r="P164" s="224"/>
      <c r="Q164" s="224">
        <v>6000</v>
      </c>
      <c r="R164" s="224"/>
      <c r="S164" s="224"/>
      <c r="T164" s="224"/>
      <c r="U164" s="224"/>
      <c r="V164" s="224"/>
      <c r="W164" s="224"/>
      <c r="X164" s="224"/>
      <c r="Y164" s="222">
        <v>28</v>
      </c>
      <c r="Z164" s="222">
        <v>300</v>
      </c>
      <c r="AA164" s="224"/>
      <c r="AB164" s="224">
        <v>0</v>
      </c>
      <c r="AC164" s="224"/>
      <c r="AD164" s="224"/>
      <c r="AE164" s="224"/>
      <c r="AF164" s="224"/>
      <c r="AG164" s="224"/>
      <c r="AH164" s="224"/>
      <c r="AI164" s="224"/>
      <c r="AJ164" s="126"/>
      <c r="AK164" s="126"/>
      <c r="AL164" s="126"/>
      <c r="AM164" s="126"/>
      <c r="AN164" s="126"/>
    </row>
    <row r="165" spans="1:40" ht="15.75" customHeight="1">
      <c r="A165" s="221">
        <f t="shared" si="2"/>
        <v>159</v>
      </c>
      <c r="B165" s="222" t="s">
        <v>4905</v>
      </c>
      <c r="C165" s="222" t="s">
        <v>5</v>
      </c>
      <c r="D165" s="222" t="e">
        <f t="array" ref="D165">IF(F165="","",INDEX(#REF!,MATCH(F165,#REF!,0)))</f>
        <v>#REF!</v>
      </c>
      <c r="E165" s="222" t="e">
        <f t="array" ref="E165">IF(F165="","",INDEX(#REF!,MATCH(F165,#REF!,0)))</f>
        <v>#REF!</v>
      </c>
      <c r="F165" s="222" t="s">
        <v>35</v>
      </c>
      <c r="G165" s="222" t="s">
        <v>4499</v>
      </c>
      <c r="H165" s="223">
        <v>5.2</v>
      </c>
      <c r="I165" s="222" t="s">
        <v>4959</v>
      </c>
      <c r="J165" s="222" t="s">
        <v>4960</v>
      </c>
      <c r="K165" s="222" t="s">
        <v>4961</v>
      </c>
      <c r="L165" s="222">
        <v>160</v>
      </c>
      <c r="M165" s="222">
        <v>200</v>
      </c>
      <c r="N165" s="222" t="s">
        <v>11</v>
      </c>
      <c r="O165" s="222" t="s">
        <v>9</v>
      </c>
      <c r="P165" s="224"/>
      <c r="Q165" s="224"/>
      <c r="R165" s="224"/>
      <c r="S165" s="224">
        <v>0</v>
      </c>
      <c r="T165" s="224"/>
      <c r="U165" s="224"/>
      <c r="V165" s="224"/>
      <c r="W165" s="224"/>
      <c r="X165" s="224"/>
      <c r="Y165" s="222">
        <v>23</v>
      </c>
      <c r="Z165" s="222">
        <v>200</v>
      </c>
      <c r="AA165" s="224"/>
      <c r="AB165" s="224"/>
      <c r="AC165" s="224"/>
      <c r="AD165" s="224">
        <v>0</v>
      </c>
      <c r="AE165" s="224"/>
      <c r="AF165" s="224"/>
      <c r="AG165" s="224"/>
      <c r="AH165" s="224"/>
      <c r="AI165" s="224"/>
      <c r="AJ165" s="126"/>
      <c r="AK165" s="126"/>
      <c r="AL165" s="126"/>
      <c r="AM165" s="126"/>
      <c r="AN165" s="126"/>
    </row>
    <row r="166" spans="1:40" ht="15.75" customHeight="1">
      <c r="A166" s="221">
        <f t="shared" si="2"/>
        <v>160</v>
      </c>
      <c r="B166" s="222" t="s">
        <v>4905</v>
      </c>
      <c r="C166" s="222" t="s">
        <v>5</v>
      </c>
      <c r="D166" s="222" t="e">
        <f t="array" ref="D166">IF(F166="","",INDEX(#REF!,MATCH(F166,#REF!,0)))</f>
        <v>#REF!</v>
      </c>
      <c r="E166" s="222" t="e">
        <f t="array" ref="E166">IF(F166="","",INDEX(#REF!,MATCH(F166,#REF!,0)))</f>
        <v>#REF!</v>
      </c>
      <c r="F166" s="222" t="s">
        <v>35</v>
      </c>
      <c r="G166" s="222" t="s">
        <v>4499</v>
      </c>
      <c r="H166" s="223">
        <v>5.3</v>
      </c>
      <c r="I166" s="222" t="s">
        <v>4962</v>
      </c>
      <c r="J166" s="222" t="s">
        <v>4963</v>
      </c>
      <c r="K166" s="222" t="s">
        <v>4964</v>
      </c>
      <c r="L166" s="222">
        <v>1.8</v>
      </c>
      <c r="M166" s="222">
        <v>2</v>
      </c>
      <c r="N166" s="222" t="s">
        <v>11</v>
      </c>
      <c r="O166" s="222" t="s">
        <v>9</v>
      </c>
      <c r="P166" s="224"/>
      <c r="Q166" s="224"/>
      <c r="R166" s="224">
        <v>60000</v>
      </c>
      <c r="S166" s="224">
        <v>0</v>
      </c>
      <c r="T166" s="224"/>
      <c r="U166" s="224"/>
      <c r="V166" s="224"/>
      <c r="W166" s="224"/>
      <c r="X166" s="224"/>
      <c r="Y166" s="222">
        <v>0.7</v>
      </c>
      <c r="Z166" s="222">
        <v>2</v>
      </c>
      <c r="AA166" s="224"/>
      <c r="AB166" s="224"/>
      <c r="AC166" s="224">
        <v>0</v>
      </c>
      <c r="AD166" s="224">
        <v>0</v>
      </c>
      <c r="AE166" s="224"/>
      <c r="AF166" s="224"/>
      <c r="AG166" s="224"/>
      <c r="AH166" s="224"/>
      <c r="AI166" s="224"/>
      <c r="AJ166" s="126"/>
      <c r="AK166" s="126"/>
      <c r="AL166" s="126"/>
      <c r="AM166" s="126"/>
      <c r="AN166" s="126"/>
    </row>
    <row r="167" spans="1:40" ht="15.75" customHeight="1">
      <c r="A167" s="221">
        <f t="shared" si="2"/>
        <v>161</v>
      </c>
      <c r="B167" s="222" t="s">
        <v>4905</v>
      </c>
      <c r="C167" s="222" t="s">
        <v>5</v>
      </c>
      <c r="D167" s="222" t="e">
        <f t="array" ref="D167">IF(F167="","",INDEX(#REF!,MATCH(F167,#REF!,0)))</f>
        <v>#REF!</v>
      </c>
      <c r="E167" s="222" t="e">
        <f t="array" ref="E167">IF(F167="","",INDEX(#REF!,MATCH(F167,#REF!,0)))</f>
        <v>#REF!</v>
      </c>
      <c r="F167" s="222" t="s">
        <v>35</v>
      </c>
      <c r="G167" s="222" t="s">
        <v>4495</v>
      </c>
      <c r="H167" s="223">
        <v>6</v>
      </c>
      <c r="I167" s="222" t="s">
        <v>4965</v>
      </c>
      <c r="J167" s="222" t="s">
        <v>4966</v>
      </c>
      <c r="K167" s="222" t="s">
        <v>4967</v>
      </c>
      <c r="L167" s="222">
        <v>6</v>
      </c>
      <c r="M167" s="222">
        <v>6</v>
      </c>
      <c r="N167" s="222" t="s">
        <v>11</v>
      </c>
      <c r="O167" s="222" t="s">
        <v>9</v>
      </c>
      <c r="P167" s="224"/>
      <c r="Q167" s="224"/>
      <c r="R167" s="224"/>
      <c r="S167" s="224"/>
      <c r="T167" s="224"/>
      <c r="U167" s="224"/>
      <c r="V167" s="224"/>
      <c r="W167" s="224"/>
      <c r="X167" s="224"/>
      <c r="Y167" s="222">
        <v>0</v>
      </c>
      <c r="Z167" s="222">
        <v>6</v>
      </c>
      <c r="AA167" s="224"/>
      <c r="AB167" s="224"/>
      <c r="AC167" s="224"/>
      <c r="AD167" s="224"/>
      <c r="AE167" s="224"/>
      <c r="AF167" s="224"/>
      <c r="AG167" s="224"/>
      <c r="AH167" s="224"/>
      <c r="AI167" s="224"/>
      <c r="AJ167" s="126"/>
      <c r="AK167" s="126"/>
      <c r="AL167" s="126"/>
      <c r="AM167" s="126"/>
      <c r="AN167" s="126"/>
    </row>
    <row r="168" spans="1:40" ht="15.75" customHeight="1">
      <c r="A168" s="221">
        <f t="shared" si="2"/>
        <v>162</v>
      </c>
      <c r="B168" s="222" t="s">
        <v>4905</v>
      </c>
      <c r="C168" s="222" t="s">
        <v>5</v>
      </c>
      <c r="D168" s="222" t="e">
        <f t="array" ref="D168">IF(F168="","",INDEX(#REF!,MATCH(F168,#REF!,0)))</f>
        <v>#REF!</v>
      </c>
      <c r="E168" s="222" t="e">
        <f t="array" ref="E168">IF(F168="","",INDEX(#REF!,MATCH(F168,#REF!,0)))</f>
        <v>#REF!</v>
      </c>
      <c r="F168" s="222" t="s">
        <v>35</v>
      </c>
      <c r="G168" s="222" t="s">
        <v>4499</v>
      </c>
      <c r="H168" s="223">
        <v>6.1</v>
      </c>
      <c r="I168" s="222" t="s">
        <v>4968</v>
      </c>
      <c r="J168" s="222" t="s">
        <v>4969</v>
      </c>
      <c r="K168" s="222" t="s">
        <v>4970</v>
      </c>
      <c r="L168" s="222">
        <v>6</v>
      </c>
      <c r="M168" s="222">
        <v>6</v>
      </c>
      <c r="N168" s="222" t="s">
        <v>11</v>
      </c>
      <c r="O168" s="222" t="s">
        <v>9</v>
      </c>
      <c r="P168" s="224"/>
      <c r="Q168" s="224"/>
      <c r="R168" s="224">
        <v>0</v>
      </c>
      <c r="S168" s="224"/>
      <c r="T168" s="224"/>
      <c r="U168" s="224"/>
      <c r="V168" s="224"/>
      <c r="W168" s="224"/>
      <c r="X168" s="224"/>
      <c r="Y168" s="222">
        <v>0</v>
      </c>
      <c r="Z168" s="222">
        <v>6</v>
      </c>
      <c r="AA168" s="224"/>
      <c r="AB168" s="224"/>
      <c r="AC168" s="224">
        <v>0</v>
      </c>
      <c r="AD168" s="224"/>
      <c r="AE168" s="224"/>
      <c r="AF168" s="224"/>
      <c r="AG168" s="224"/>
      <c r="AH168" s="224"/>
      <c r="AI168" s="224"/>
      <c r="AJ168" s="126"/>
      <c r="AK168" s="126"/>
      <c r="AL168" s="126"/>
      <c r="AM168" s="126"/>
      <c r="AN168" s="126"/>
    </row>
    <row r="169" spans="1:40" ht="15.75" customHeight="1">
      <c r="A169" s="221">
        <f t="shared" si="2"/>
        <v>163</v>
      </c>
      <c r="B169" s="222" t="s">
        <v>4905</v>
      </c>
      <c r="C169" s="222" t="s">
        <v>5</v>
      </c>
      <c r="D169" s="222" t="e">
        <f t="array" ref="D169">IF(F169="","",INDEX(#REF!,MATCH(F169,#REF!,0)))</f>
        <v>#REF!</v>
      </c>
      <c r="E169" s="222" t="e">
        <f t="array" ref="E169">IF(F169="","",INDEX(#REF!,MATCH(F169,#REF!,0)))</f>
        <v>#REF!</v>
      </c>
      <c r="F169" s="222" t="s">
        <v>35</v>
      </c>
      <c r="G169" s="222" t="s">
        <v>4499</v>
      </c>
      <c r="H169" s="223">
        <v>6.2</v>
      </c>
      <c r="I169" s="222" t="s">
        <v>4971</v>
      </c>
      <c r="J169" s="222" t="s">
        <v>4972</v>
      </c>
      <c r="K169" s="222" t="s">
        <v>4973</v>
      </c>
      <c r="L169" s="222">
        <v>4</v>
      </c>
      <c r="M169" s="222">
        <v>4</v>
      </c>
      <c r="N169" s="222" t="s">
        <v>11</v>
      </c>
      <c r="O169" s="222" t="s">
        <v>9</v>
      </c>
      <c r="P169" s="224"/>
      <c r="Q169" s="224">
        <v>0</v>
      </c>
      <c r="R169" s="224"/>
      <c r="S169" s="224"/>
      <c r="T169" s="224"/>
      <c r="U169" s="224"/>
      <c r="V169" s="224"/>
      <c r="W169" s="224"/>
      <c r="X169" s="224"/>
      <c r="Y169" s="222">
        <v>0</v>
      </c>
      <c r="Z169" s="222">
        <v>4</v>
      </c>
      <c r="AA169" s="224"/>
      <c r="AB169" s="224">
        <v>0</v>
      </c>
      <c r="AC169" s="224"/>
      <c r="AD169" s="224"/>
      <c r="AE169" s="224"/>
      <c r="AF169" s="224"/>
      <c r="AG169" s="224"/>
      <c r="AH169" s="224"/>
      <c r="AI169" s="224"/>
      <c r="AJ169" s="126"/>
      <c r="AK169" s="126"/>
      <c r="AL169" s="126"/>
      <c r="AM169" s="126"/>
      <c r="AN169" s="126"/>
    </row>
    <row r="170" spans="1:40" ht="15.75" customHeight="1">
      <c r="A170" s="221">
        <f t="shared" si="2"/>
        <v>164</v>
      </c>
      <c r="B170" s="222" t="s">
        <v>4905</v>
      </c>
      <c r="C170" s="222" t="s">
        <v>5</v>
      </c>
      <c r="D170" s="222" t="e">
        <f t="array" ref="D170">IF(F170="","",INDEX(#REF!,MATCH(F170,#REF!,0)))</f>
        <v>#REF!</v>
      </c>
      <c r="E170" s="222" t="e">
        <f t="array" ref="E170">IF(F170="","",INDEX(#REF!,MATCH(F170,#REF!,0)))</f>
        <v>#REF!</v>
      </c>
      <c r="F170" s="222" t="s">
        <v>35</v>
      </c>
      <c r="G170" s="222" t="s">
        <v>4495</v>
      </c>
      <c r="H170" s="223">
        <v>7</v>
      </c>
      <c r="I170" s="222" t="s">
        <v>4974</v>
      </c>
      <c r="J170" s="222" t="s">
        <v>4975</v>
      </c>
      <c r="K170" s="222" t="s">
        <v>4976</v>
      </c>
      <c r="L170" s="222">
        <v>4500</v>
      </c>
      <c r="M170" s="222">
        <v>5000</v>
      </c>
      <c r="N170" s="222" t="s">
        <v>13</v>
      </c>
      <c r="O170" s="222" t="s">
        <v>9</v>
      </c>
      <c r="P170" s="224"/>
      <c r="Q170" s="224"/>
      <c r="R170" s="224"/>
      <c r="S170" s="224"/>
      <c r="T170" s="224"/>
      <c r="U170" s="224"/>
      <c r="V170" s="224"/>
      <c r="W170" s="224"/>
      <c r="X170" s="224"/>
      <c r="Y170" s="222">
        <v>1376</v>
      </c>
      <c r="Z170" s="222">
        <v>5000</v>
      </c>
      <c r="AA170" s="224"/>
      <c r="AB170" s="224"/>
      <c r="AC170" s="224"/>
      <c r="AD170" s="224"/>
      <c r="AE170" s="224"/>
      <c r="AF170" s="224"/>
      <c r="AG170" s="224"/>
      <c r="AH170" s="224"/>
      <c r="AI170" s="224"/>
      <c r="AJ170" s="126"/>
      <c r="AK170" s="126"/>
      <c r="AL170" s="126"/>
      <c r="AM170" s="126"/>
      <c r="AN170" s="126"/>
    </row>
    <row r="171" spans="1:40" ht="15.75" customHeight="1">
      <c r="A171" s="221">
        <f t="shared" si="2"/>
        <v>165</v>
      </c>
      <c r="B171" s="222" t="s">
        <v>4905</v>
      </c>
      <c r="C171" s="222" t="s">
        <v>5</v>
      </c>
      <c r="D171" s="222" t="e">
        <f t="array" ref="D171">IF(F171="","",INDEX(#REF!,MATCH(F171,#REF!,0)))</f>
        <v>#REF!</v>
      </c>
      <c r="E171" s="222" t="e">
        <f t="array" ref="E171">IF(F171="","",INDEX(#REF!,MATCH(F171,#REF!,0)))</f>
        <v>#REF!</v>
      </c>
      <c r="F171" s="222" t="s">
        <v>35</v>
      </c>
      <c r="G171" s="222" t="s">
        <v>4499</v>
      </c>
      <c r="H171" s="223">
        <v>7.1</v>
      </c>
      <c r="I171" s="222" t="s">
        <v>4977</v>
      </c>
      <c r="J171" s="222" t="s">
        <v>4978</v>
      </c>
      <c r="K171" s="222" t="s">
        <v>4979</v>
      </c>
      <c r="L171" s="222">
        <v>1.8</v>
      </c>
      <c r="M171" s="222">
        <v>2</v>
      </c>
      <c r="N171" s="222" t="s">
        <v>11</v>
      </c>
      <c r="O171" s="222" t="s">
        <v>9</v>
      </c>
      <c r="P171" s="224">
        <v>102891880.17999998</v>
      </c>
      <c r="Q171" s="224"/>
      <c r="R171" s="224">
        <v>1250000</v>
      </c>
      <c r="S171" s="224"/>
      <c r="T171" s="224"/>
      <c r="U171" s="224"/>
      <c r="V171" s="224"/>
      <c r="W171" s="224"/>
      <c r="X171" s="224"/>
      <c r="Y171" s="222">
        <v>0</v>
      </c>
      <c r="Z171" s="222">
        <v>2</v>
      </c>
      <c r="AA171" s="224">
        <v>4570887.9800000014</v>
      </c>
      <c r="AB171" s="224"/>
      <c r="AC171" s="224">
        <v>0</v>
      </c>
      <c r="AD171" s="224"/>
      <c r="AE171" s="224"/>
      <c r="AF171" s="224"/>
      <c r="AG171" s="224"/>
      <c r="AH171" s="224"/>
      <c r="AI171" s="224"/>
      <c r="AJ171" s="126"/>
      <c r="AK171" s="126"/>
      <c r="AL171" s="126"/>
      <c r="AM171" s="126"/>
      <c r="AN171" s="126"/>
    </row>
    <row r="172" spans="1:40" ht="15.75" customHeight="1">
      <c r="A172" s="221">
        <f t="shared" si="2"/>
        <v>166</v>
      </c>
      <c r="B172" s="222" t="s">
        <v>4905</v>
      </c>
      <c r="C172" s="222" t="s">
        <v>5</v>
      </c>
      <c r="D172" s="222" t="e">
        <f t="array" ref="D172">IF(F172="","",INDEX(#REF!,MATCH(F172,#REF!,0)))</f>
        <v>#REF!</v>
      </c>
      <c r="E172" s="222" t="e">
        <f t="array" ref="E172">IF(F172="","",INDEX(#REF!,MATCH(F172,#REF!,0)))</f>
        <v>#REF!</v>
      </c>
      <c r="F172" s="222" t="s">
        <v>35</v>
      </c>
      <c r="G172" s="222" t="s">
        <v>4499</v>
      </c>
      <c r="H172" s="223">
        <v>7.2</v>
      </c>
      <c r="I172" s="222" t="s">
        <v>4980</v>
      </c>
      <c r="J172" s="222" t="s">
        <v>4981</v>
      </c>
      <c r="K172" s="222" t="s">
        <v>4982</v>
      </c>
      <c r="L172" s="222">
        <v>900</v>
      </c>
      <c r="M172" s="222">
        <v>1000</v>
      </c>
      <c r="N172" s="222" t="s">
        <v>11</v>
      </c>
      <c r="O172" s="222" t="s">
        <v>9</v>
      </c>
      <c r="P172" s="224"/>
      <c r="Q172" s="224"/>
      <c r="R172" s="224">
        <v>50000</v>
      </c>
      <c r="S172" s="224"/>
      <c r="T172" s="224"/>
      <c r="U172" s="224"/>
      <c r="V172" s="224"/>
      <c r="W172" s="224"/>
      <c r="X172" s="224"/>
      <c r="Y172" s="222">
        <v>145</v>
      </c>
      <c r="Z172" s="222">
        <v>1000</v>
      </c>
      <c r="AA172" s="224"/>
      <c r="AB172" s="224"/>
      <c r="AC172" s="224">
        <v>0</v>
      </c>
      <c r="AD172" s="224"/>
      <c r="AE172" s="224"/>
      <c r="AF172" s="224"/>
      <c r="AG172" s="224"/>
      <c r="AH172" s="224"/>
      <c r="AI172" s="224"/>
      <c r="AJ172" s="126"/>
      <c r="AK172" s="126"/>
      <c r="AL172" s="126"/>
      <c r="AM172" s="126"/>
      <c r="AN172" s="126"/>
    </row>
    <row r="173" spans="1:40" ht="15.75" customHeight="1">
      <c r="A173" s="221">
        <f t="shared" si="2"/>
        <v>167</v>
      </c>
      <c r="B173" s="222" t="s">
        <v>4905</v>
      </c>
      <c r="C173" s="222" t="s">
        <v>5</v>
      </c>
      <c r="D173" s="222" t="e">
        <f t="array" ref="D173">IF(F173="","",INDEX(#REF!,MATCH(F173,#REF!,0)))</f>
        <v>#REF!</v>
      </c>
      <c r="E173" s="222" t="e">
        <f t="array" ref="E173">IF(F173="","",INDEX(#REF!,MATCH(F173,#REF!,0)))</f>
        <v>#REF!</v>
      </c>
      <c r="F173" s="222" t="s">
        <v>35</v>
      </c>
      <c r="G173" s="222" t="s">
        <v>4499</v>
      </c>
      <c r="H173" s="223">
        <v>7.3</v>
      </c>
      <c r="I173" s="222" t="s">
        <v>4983</v>
      </c>
      <c r="J173" s="222" t="s">
        <v>4984</v>
      </c>
      <c r="K173" s="222" t="s">
        <v>4985</v>
      </c>
      <c r="L173" s="222">
        <v>1600</v>
      </c>
      <c r="M173" s="222">
        <v>2000</v>
      </c>
      <c r="N173" s="222" t="s">
        <v>11</v>
      </c>
      <c r="O173" s="222" t="s">
        <v>9</v>
      </c>
      <c r="P173" s="224"/>
      <c r="Q173" s="224">
        <v>20000</v>
      </c>
      <c r="R173" s="224"/>
      <c r="S173" s="224"/>
      <c r="T173" s="224"/>
      <c r="U173" s="224"/>
      <c r="V173" s="224"/>
      <c r="W173" s="224"/>
      <c r="X173" s="224"/>
      <c r="Y173" s="222">
        <v>546</v>
      </c>
      <c r="Z173" s="222">
        <v>2000</v>
      </c>
      <c r="AA173" s="224"/>
      <c r="AB173" s="224">
        <v>0</v>
      </c>
      <c r="AC173" s="224"/>
      <c r="AD173" s="224"/>
      <c r="AE173" s="224"/>
      <c r="AF173" s="224"/>
      <c r="AG173" s="224"/>
      <c r="AH173" s="224"/>
      <c r="AI173" s="224"/>
      <c r="AJ173" s="126"/>
      <c r="AK173" s="126"/>
      <c r="AL173" s="126"/>
      <c r="AM173" s="126"/>
      <c r="AN173" s="126"/>
    </row>
    <row r="174" spans="1:40" ht="15.75" customHeight="1">
      <c r="A174" s="221">
        <f t="shared" si="2"/>
        <v>168</v>
      </c>
      <c r="B174" s="222" t="s">
        <v>4905</v>
      </c>
      <c r="C174" s="222" t="s">
        <v>5</v>
      </c>
      <c r="D174" s="222" t="e">
        <f t="array" ref="D174">IF(F174="","",INDEX(#REF!,MATCH(F174,#REF!,0)))</f>
        <v>#REF!</v>
      </c>
      <c r="E174" s="222" t="e">
        <f t="array" ref="E174">IF(F174="","",INDEX(#REF!,MATCH(F174,#REF!,0)))</f>
        <v>#REF!</v>
      </c>
      <c r="F174" s="222" t="s">
        <v>35</v>
      </c>
      <c r="G174" s="222" t="s">
        <v>4499</v>
      </c>
      <c r="H174" s="223">
        <v>7.4</v>
      </c>
      <c r="I174" s="222" t="s">
        <v>4986</v>
      </c>
      <c r="J174" s="222" t="s">
        <v>4987</v>
      </c>
      <c r="K174" s="222" t="s">
        <v>4988</v>
      </c>
      <c r="L174" s="222">
        <v>640</v>
      </c>
      <c r="M174" s="222">
        <v>800</v>
      </c>
      <c r="N174" s="222" t="s">
        <v>11</v>
      </c>
      <c r="O174" s="222" t="s">
        <v>9</v>
      </c>
      <c r="P174" s="224"/>
      <c r="Q174" s="224"/>
      <c r="R174" s="224">
        <v>200000</v>
      </c>
      <c r="S174" s="224"/>
      <c r="T174" s="224"/>
      <c r="U174" s="224"/>
      <c r="V174" s="224"/>
      <c r="W174" s="224"/>
      <c r="X174" s="224"/>
      <c r="Y174" s="222">
        <v>62</v>
      </c>
      <c r="Z174" s="222">
        <v>800</v>
      </c>
      <c r="AA174" s="224"/>
      <c r="AB174" s="224"/>
      <c r="AC174" s="224">
        <v>0</v>
      </c>
      <c r="AD174" s="224"/>
      <c r="AE174" s="224"/>
      <c r="AF174" s="224"/>
      <c r="AG174" s="224"/>
      <c r="AH174" s="224"/>
      <c r="AI174" s="224"/>
      <c r="AJ174" s="126"/>
      <c r="AK174" s="126"/>
      <c r="AL174" s="126"/>
      <c r="AM174" s="126"/>
      <c r="AN174" s="126"/>
    </row>
    <row r="175" spans="1:40" ht="15.75" customHeight="1">
      <c r="A175" s="221">
        <f t="shared" si="2"/>
        <v>169</v>
      </c>
      <c r="B175" s="222" t="s">
        <v>4989</v>
      </c>
      <c r="C175" s="222" t="s">
        <v>5</v>
      </c>
      <c r="D175" s="222" t="e">
        <f t="array" ref="D175">IF(F175="","",INDEX(#REF!,MATCH(F175,#REF!,0)))</f>
        <v>#REF!</v>
      </c>
      <c r="E175" s="222" t="e">
        <f t="array" ref="E175">IF(F175="","",INDEX(#REF!,MATCH(F175,#REF!,0)))</f>
        <v>#REF!</v>
      </c>
      <c r="F175" s="222" t="s">
        <v>35</v>
      </c>
      <c r="G175" s="222" t="s">
        <v>0</v>
      </c>
      <c r="H175" s="223" t="s">
        <v>4487</v>
      </c>
      <c r="I175" s="222" t="s">
        <v>4990</v>
      </c>
      <c r="J175" s="222" t="s">
        <v>4991</v>
      </c>
      <c r="K175" s="222" t="s">
        <v>4992</v>
      </c>
      <c r="L175" s="222">
        <v>96921</v>
      </c>
      <c r="M175" s="222">
        <v>96631</v>
      </c>
      <c r="N175" s="222" t="s">
        <v>15</v>
      </c>
      <c r="O175" s="222" t="s">
        <v>4611</v>
      </c>
      <c r="P175" s="224"/>
      <c r="Q175" s="224"/>
      <c r="R175" s="224"/>
      <c r="S175" s="224"/>
      <c r="T175" s="224"/>
      <c r="U175" s="224"/>
      <c r="V175" s="224"/>
      <c r="W175" s="224"/>
      <c r="X175" s="224"/>
      <c r="Y175" s="222">
        <v>0</v>
      </c>
      <c r="Z175" s="222">
        <v>96631</v>
      </c>
      <c r="AA175" s="224"/>
      <c r="AB175" s="224"/>
      <c r="AC175" s="224"/>
      <c r="AD175" s="224"/>
      <c r="AE175" s="224"/>
      <c r="AF175" s="224"/>
      <c r="AG175" s="224"/>
      <c r="AH175" s="224"/>
      <c r="AI175" s="224"/>
      <c r="AJ175" s="126"/>
      <c r="AK175" s="126"/>
      <c r="AL175" s="126"/>
      <c r="AM175" s="126"/>
      <c r="AN175" s="126"/>
    </row>
    <row r="176" spans="1:40" ht="15.75" customHeight="1">
      <c r="A176" s="221">
        <f t="shared" si="2"/>
        <v>170</v>
      </c>
      <c r="B176" s="222" t="s">
        <v>4989</v>
      </c>
      <c r="C176" s="222" t="s">
        <v>5</v>
      </c>
      <c r="D176" s="222" t="e">
        <f t="array" ref="D176">IF(F176="","",INDEX(#REF!,MATCH(F176,#REF!,0)))</f>
        <v>#REF!</v>
      </c>
      <c r="E176" s="222" t="e">
        <f t="array" ref="E176">IF(F176="","",INDEX(#REF!,MATCH(F176,#REF!,0)))</f>
        <v>#REF!</v>
      </c>
      <c r="F176" s="222" t="s">
        <v>35</v>
      </c>
      <c r="G176" s="222" t="s">
        <v>4491</v>
      </c>
      <c r="H176" s="223" t="s">
        <v>4487</v>
      </c>
      <c r="I176" s="222" t="s">
        <v>4993</v>
      </c>
      <c r="J176" s="222" t="s">
        <v>4994</v>
      </c>
      <c r="K176" s="222" t="s">
        <v>4995</v>
      </c>
      <c r="L176" s="222">
        <v>72</v>
      </c>
      <c r="M176" s="222">
        <v>72</v>
      </c>
      <c r="N176" s="222" t="s">
        <v>15</v>
      </c>
      <c r="O176" s="222" t="s">
        <v>9</v>
      </c>
      <c r="P176" s="224"/>
      <c r="Q176" s="224"/>
      <c r="R176" s="224"/>
      <c r="S176" s="224"/>
      <c r="T176" s="224"/>
      <c r="U176" s="224"/>
      <c r="V176" s="224"/>
      <c r="W176" s="224"/>
      <c r="X176" s="224"/>
      <c r="Y176" s="222">
        <v>0</v>
      </c>
      <c r="Z176" s="222">
        <v>72</v>
      </c>
      <c r="AA176" s="224"/>
      <c r="AB176" s="224"/>
      <c r="AC176" s="224"/>
      <c r="AD176" s="224"/>
      <c r="AE176" s="224"/>
      <c r="AF176" s="224"/>
      <c r="AG176" s="224"/>
      <c r="AH176" s="224"/>
      <c r="AI176" s="224"/>
      <c r="AJ176" s="126"/>
      <c r="AK176" s="126"/>
      <c r="AL176" s="126"/>
      <c r="AM176" s="126"/>
      <c r="AN176" s="126"/>
    </row>
    <row r="177" spans="1:40" ht="15.75" customHeight="1">
      <c r="A177" s="221">
        <f t="shared" si="2"/>
        <v>171</v>
      </c>
      <c r="B177" s="222" t="s">
        <v>4989</v>
      </c>
      <c r="C177" s="222" t="s">
        <v>5</v>
      </c>
      <c r="D177" s="222" t="e">
        <f t="array" ref="D177">IF(F177="","",INDEX(#REF!,MATCH(F177,#REF!,0)))</f>
        <v>#REF!</v>
      </c>
      <c r="E177" s="222" t="e">
        <f t="array" ref="E177">IF(F177="","",INDEX(#REF!,MATCH(F177,#REF!,0)))</f>
        <v>#REF!</v>
      </c>
      <c r="F177" s="222" t="s">
        <v>35</v>
      </c>
      <c r="G177" s="222" t="s">
        <v>4495</v>
      </c>
      <c r="H177" s="223">
        <v>1</v>
      </c>
      <c r="I177" s="222" t="s">
        <v>4996</v>
      </c>
      <c r="J177" s="222" t="s">
        <v>4997</v>
      </c>
      <c r="K177" s="222" t="s">
        <v>4998</v>
      </c>
      <c r="L177" s="222">
        <v>900</v>
      </c>
      <c r="M177" s="222">
        <v>1000</v>
      </c>
      <c r="N177" s="222" t="s">
        <v>13</v>
      </c>
      <c r="O177" s="222" t="s">
        <v>9</v>
      </c>
      <c r="P177" s="224"/>
      <c r="Q177" s="224"/>
      <c r="R177" s="224"/>
      <c r="S177" s="224"/>
      <c r="T177" s="224"/>
      <c r="U177" s="224"/>
      <c r="V177" s="224"/>
      <c r="W177" s="224"/>
      <c r="X177" s="224"/>
      <c r="Y177" s="222">
        <v>404</v>
      </c>
      <c r="Z177" s="222">
        <v>1000</v>
      </c>
      <c r="AA177" s="224"/>
      <c r="AB177" s="224"/>
      <c r="AC177" s="224"/>
      <c r="AD177" s="224"/>
      <c r="AE177" s="224"/>
      <c r="AF177" s="224"/>
      <c r="AG177" s="224"/>
      <c r="AH177" s="224"/>
      <c r="AI177" s="224"/>
      <c r="AJ177" s="126"/>
      <c r="AK177" s="126"/>
      <c r="AL177" s="126"/>
      <c r="AM177" s="126"/>
      <c r="AN177" s="126"/>
    </row>
    <row r="178" spans="1:40" ht="15.75" customHeight="1">
      <c r="A178" s="221">
        <f t="shared" si="2"/>
        <v>172</v>
      </c>
      <c r="B178" s="222" t="s">
        <v>4989</v>
      </c>
      <c r="C178" s="222" t="s">
        <v>5</v>
      </c>
      <c r="D178" s="222" t="e">
        <f t="array" ref="D178">IF(F178="","",INDEX(#REF!,MATCH(F178,#REF!,0)))</f>
        <v>#REF!</v>
      </c>
      <c r="E178" s="222" t="e">
        <f t="array" ref="E178">IF(F178="","",INDEX(#REF!,MATCH(F178,#REF!,0)))</f>
        <v>#REF!</v>
      </c>
      <c r="F178" s="222" t="s">
        <v>35</v>
      </c>
      <c r="G178" s="222" t="s">
        <v>4499</v>
      </c>
      <c r="H178" s="223">
        <v>1.1000000000000001</v>
      </c>
      <c r="I178" s="222" t="s">
        <v>4999</v>
      </c>
      <c r="J178" s="222" t="s">
        <v>5000</v>
      </c>
      <c r="K178" s="222" t="s">
        <v>5001</v>
      </c>
      <c r="L178" s="222">
        <v>800</v>
      </c>
      <c r="M178" s="222">
        <v>1000</v>
      </c>
      <c r="N178" s="222" t="s">
        <v>11</v>
      </c>
      <c r="O178" s="222" t="s">
        <v>9</v>
      </c>
      <c r="P178" s="224">
        <v>98810977.950000018</v>
      </c>
      <c r="Q178" s="224">
        <v>8397700.4400000013</v>
      </c>
      <c r="R178" s="224">
        <v>7600000</v>
      </c>
      <c r="S178" s="224"/>
      <c r="T178" s="224">
        <v>1600000</v>
      </c>
      <c r="U178" s="224"/>
      <c r="V178" s="224"/>
      <c r="W178" s="224"/>
      <c r="X178" s="224"/>
      <c r="Y178" s="222">
        <v>355</v>
      </c>
      <c r="Z178" s="222">
        <v>1000</v>
      </c>
      <c r="AA178" s="224">
        <v>36417698.479999997</v>
      </c>
      <c r="AB178" s="224">
        <v>10759.13</v>
      </c>
      <c r="AC178" s="224">
        <v>0</v>
      </c>
      <c r="AD178" s="224"/>
      <c r="AE178" s="224">
        <v>0</v>
      </c>
      <c r="AF178" s="224"/>
      <c r="AG178" s="224"/>
      <c r="AH178" s="224"/>
      <c r="AI178" s="224"/>
      <c r="AJ178" s="126"/>
      <c r="AK178" s="126"/>
      <c r="AL178" s="126"/>
      <c r="AM178" s="126"/>
      <c r="AN178" s="126"/>
    </row>
    <row r="179" spans="1:40" ht="15.75" customHeight="1">
      <c r="A179" s="221">
        <f t="shared" si="2"/>
        <v>173</v>
      </c>
      <c r="B179" s="222" t="s">
        <v>4989</v>
      </c>
      <c r="C179" s="222" t="s">
        <v>5</v>
      </c>
      <c r="D179" s="222" t="e">
        <f t="array" ref="D179">IF(F179="","",INDEX(#REF!,MATCH(F179,#REF!,0)))</f>
        <v>#REF!</v>
      </c>
      <c r="E179" s="222" t="e">
        <f t="array" ref="E179">IF(F179="","",INDEX(#REF!,MATCH(F179,#REF!,0)))</f>
        <v>#REF!</v>
      </c>
      <c r="F179" s="222" t="s">
        <v>35</v>
      </c>
      <c r="G179" s="222" t="s">
        <v>4499</v>
      </c>
      <c r="H179" s="223">
        <v>1.2</v>
      </c>
      <c r="I179" s="222" t="s">
        <v>5002</v>
      </c>
      <c r="J179" s="222" t="s">
        <v>5003</v>
      </c>
      <c r="K179" s="222" t="s">
        <v>5004</v>
      </c>
      <c r="L179" s="222">
        <v>4</v>
      </c>
      <c r="M179" s="222">
        <v>4</v>
      </c>
      <c r="N179" s="222" t="s">
        <v>11</v>
      </c>
      <c r="O179" s="222" t="s">
        <v>9</v>
      </c>
      <c r="P179" s="224"/>
      <c r="Q179" s="224">
        <v>13873.7</v>
      </c>
      <c r="R179" s="224">
        <v>200000</v>
      </c>
      <c r="S179" s="224"/>
      <c r="T179" s="224"/>
      <c r="U179" s="224"/>
      <c r="V179" s="224"/>
      <c r="W179" s="224"/>
      <c r="X179" s="224"/>
      <c r="Y179" s="222">
        <v>2</v>
      </c>
      <c r="Z179" s="222">
        <v>4</v>
      </c>
      <c r="AA179" s="224"/>
      <c r="AB179" s="224">
        <v>2207.08</v>
      </c>
      <c r="AC179" s="224">
        <v>0</v>
      </c>
      <c r="AD179" s="224"/>
      <c r="AE179" s="224"/>
      <c r="AF179" s="224"/>
      <c r="AG179" s="224"/>
      <c r="AH179" s="224"/>
      <c r="AI179" s="224"/>
      <c r="AJ179" s="126"/>
      <c r="AK179" s="126"/>
      <c r="AL179" s="126"/>
      <c r="AM179" s="126"/>
      <c r="AN179" s="126"/>
    </row>
    <row r="180" spans="1:40" ht="15.75" customHeight="1">
      <c r="A180" s="221">
        <f t="shared" si="2"/>
        <v>174</v>
      </c>
      <c r="B180" s="222" t="s">
        <v>4989</v>
      </c>
      <c r="C180" s="222" t="s">
        <v>5</v>
      </c>
      <c r="D180" s="222" t="e">
        <f t="array" ref="D180">IF(F180="","",INDEX(#REF!,MATCH(F180,#REF!,0)))</f>
        <v>#REF!</v>
      </c>
      <c r="E180" s="222" t="e">
        <f t="array" ref="E180">IF(F180="","",INDEX(#REF!,MATCH(F180,#REF!,0)))</f>
        <v>#REF!</v>
      </c>
      <c r="F180" s="222" t="s">
        <v>35</v>
      </c>
      <c r="G180" s="222" t="s">
        <v>4499</v>
      </c>
      <c r="H180" s="223">
        <v>1.3</v>
      </c>
      <c r="I180" s="222" t="s">
        <v>5005</v>
      </c>
      <c r="J180" s="222" t="s">
        <v>5006</v>
      </c>
      <c r="K180" s="222" t="s">
        <v>5007</v>
      </c>
      <c r="L180" s="222">
        <v>595</v>
      </c>
      <c r="M180" s="222">
        <v>700</v>
      </c>
      <c r="N180" s="222" t="s">
        <v>11</v>
      </c>
      <c r="O180" s="222" t="s">
        <v>9</v>
      </c>
      <c r="P180" s="224"/>
      <c r="Q180" s="224">
        <v>50000</v>
      </c>
      <c r="R180" s="224">
        <v>43333.279999999999</v>
      </c>
      <c r="S180" s="224"/>
      <c r="T180" s="224">
        <v>50000</v>
      </c>
      <c r="U180" s="224"/>
      <c r="V180" s="224"/>
      <c r="W180" s="224"/>
      <c r="X180" s="224"/>
      <c r="Y180" s="222">
        <v>47</v>
      </c>
      <c r="Z180" s="222">
        <v>700</v>
      </c>
      <c r="AA180" s="224"/>
      <c r="AB180" s="224">
        <v>0</v>
      </c>
      <c r="AC180" s="224">
        <v>8970.2800000000007</v>
      </c>
      <c r="AD180" s="224"/>
      <c r="AE180" s="224">
        <v>0</v>
      </c>
      <c r="AF180" s="224"/>
      <c r="AG180" s="224"/>
      <c r="AH180" s="224"/>
      <c r="AI180" s="224"/>
      <c r="AJ180" s="126"/>
      <c r="AK180" s="126"/>
      <c r="AL180" s="126"/>
      <c r="AM180" s="126"/>
      <c r="AN180" s="126"/>
    </row>
    <row r="181" spans="1:40" ht="15.75" customHeight="1">
      <c r="A181" s="221">
        <f t="shared" si="2"/>
        <v>175</v>
      </c>
      <c r="B181" s="222" t="s">
        <v>4989</v>
      </c>
      <c r="C181" s="222" t="s">
        <v>5</v>
      </c>
      <c r="D181" s="222" t="e">
        <f t="array" ref="D181">IF(F181="","",INDEX(#REF!,MATCH(F181,#REF!,0)))</f>
        <v>#REF!</v>
      </c>
      <c r="E181" s="222" t="e">
        <f t="array" ref="E181">IF(F181="","",INDEX(#REF!,MATCH(F181,#REF!,0)))</f>
        <v>#REF!</v>
      </c>
      <c r="F181" s="222" t="s">
        <v>35</v>
      </c>
      <c r="G181" s="222" t="s">
        <v>4495</v>
      </c>
      <c r="H181" s="223">
        <v>2</v>
      </c>
      <c r="I181" s="222" t="s">
        <v>5008</v>
      </c>
      <c r="J181" s="222" t="s">
        <v>5009</v>
      </c>
      <c r="K181" s="222" t="s">
        <v>5010</v>
      </c>
      <c r="L181" s="222">
        <v>166</v>
      </c>
      <c r="M181" s="222">
        <v>166</v>
      </c>
      <c r="N181" s="222" t="s">
        <v>13</v>
      </c>
      <c r="O181" s="222" t="s">
        <v>9</v>
      </c>
      <c r="P181" s="224"/>
      <c r="Q181" s="224"/>
      <c r="R181" s="224"/>
      <c r="S181" s="224"/>
      <c r="T181" s="224"/>
      <c r="U181" s="224"/>
      <c r="V181" s="224"/>
      <c r="W181" s="224"/>
      <c r="X181" s="224"/>
      <c r="Y181" s="222">
        <v>32</v>
      </c>
      <c r="Z181" s="222">
        <v>166</v>
      </c>
      <c r="AA181" s="224"/>
      <c r="AB181" s="224"/>
      <c r="AC181" s="224"/>
      <c r="AD181" s="224"/>
      <c r="AE181" s="224"/>
      <c r="AF181" s="224"/>
      <c r="AG181" s="224"/>
      <c r="AH181" s="224"/>
      <c r="AI181" s="224"/>
      <c r="AJ181" s="126"/>
      <c r="AK181" s="126"/>
      <c r="AL181" s="126"/>
      <c r="AM181" s="126"/>
      <c r="AN181" s="126"/>
    </row>
    <row r="182" spans="1:40" ht="15.75" customHeight="1">
      <c r="A182" s="221">
        <f t="shared" si="2"/>
        <v>176</v>
      </c>
      <c r="B182" s="222" t="s">
        <v>4989</v>
      </c>
      <c r="C182" s="222" t="s">
        <v>5</v>
      </c>
      <c r="D182" s="222" t="e">
        <f t="array" ref="D182">IF(F182="","",INDEX(#REF!,MATCH(F182,#REF!,0)))</f>
        <v>#REF!</v>
      </c>
      <c r="E182" s="222" t="e">
        <f t="array" ref="E182">IF(F182="","",INDEX(#REF!,MATCH(F182,#REF!,0)))</f>
        <v>#REF!</v>
      </c>
      <c r="F182" s="222" t="s">
        <v>35</v>
      </c>
      <c r="G182" s="222" t="s">
        <v>4499</v>
      </c>
      <c r="H182" s="223">
        <v>2.1</v>
      </c>
      <c r="I182" s="222" t="s">
        <v>5011</v>
      </c>
      <c r="J182" s="222" t="s">
        <v>5012</v>
      </c>
      <c r="K182" s="222" t="s">
        <v>5013</v>
      </c>
      <c r="L182" s="222">
        <v>166</v>
      </c>
      <c r="M182" s="222">
        <v>166</v>
      </c>
      <c r="N182" s="222" t="s">
        <v>11</v>
      </c>
      <c r="O182" s="222" t="s">
        <v>9</v>
      </c>
      <c r="P182" s="224">
        <v>29710530.030000001</v>
      </c>
      <c r="Q182" s="224">
        <v>442749.09</v>
      </c>
      <c r="R182" s="224">
        <v>360000</v>
      </c>
      <c r="S182" s="224"/>
      <c r="T182" s="224">
        <v>0</v>
      </c>
      <c r="U182" s="224"/>
      <c r="V182" s="224"/>
      <c r="W182" s="224"/>
      <c r="X182" s="224"/>
      <c r="Y182" s="222">
        <v>31</v>
      </c>
      <c r="Z182" s="222">
        <v>166</v>
      </c>
      <c r="AA182" s="224">
        <v>12110608.740000002</v>
      </c>
      <c r="AB182" s="224">
        <v>3619.2</v>
      </c>
      <c r="AC182" s="224">
        <v>0</v>
      </c>
      <c r="AD182" s="224"/>
      <c r="AE182" s="224">
        <v>0</v>
      </c>
      <c r="AF182" s="224"/>
      <c r="AG182" s="224"/>
      <c r="AH182" s="224"/>
      <c r="AI182" s="224"/>
      <c r="AJ182" s="126"/>
      <c r="AK182" s="126"/>
      <c r="AL182" s="126"/>
      <c r="AM182" s="126"/>
      <c r="AN182" s="126"/>
    </row>
    <row r="183" spans="1:40" ht="15.75" customHeight="1">
      <c r="A183" s="221">
        <f t="shared" si="2"/>
        <v>177</v>
      </c>
      <c r="B183" s="222" t="s">
        <v>4989</v>
      </c>
      <c r="C183" s="222" t="s">
        <v>5</v>
      </c>
      <c r="D183" s="222" t="e">
        <f t="array" ref="D183">IF(F183="","",INDEX(#REF!,MATCH(F183,#REF!,0)))</f>
        <v>#REF!</v>
      </c>
      <c r="E183" s="222" t="e">
        <f t="array" ref="E183">IF(F183="","",INDEX(#REF!,MATCH(F183,#REF!,0)))</f>
        <v>#REF!</v>
      </c>
      <c r="F183" s="222" t="s">
        <v>35</v>
      </c>
      <c r="G183" s="222" t="s">
        <v>4499</v>
      </c>
      <c r="H183" s="223">
        <v>2.2000000000000002</v>
      </c>
      <c r="I183" s="222" t="s">
        <v>5014</v>
      </c>
      <c r="J183" s="222" t="s">
        <v>5015</v>
      </c>
      <c r="K183" s="222" t="s">
        <v>5007</v>
      </c>
      <c r="L183" s="222">
        <v>21000</v>
      </c>
      <c r="M183" s="222">
        <v>21000</v>
      </c>
      <c r="N183" s="222" t="s">
        <v>11</v>
      </c>
      <c r="O183" s="222" t="s">
        <v>9</v>
      </c>
      <c r="P183" s="224"/>
      <c r="Q183" s="224">
        <v>158000</v>
      </c>
      <c r="R183" s="224"/>
      <c r="S183" s="224"/>
      <c r="T183" s="224">
        <v>205000</v>
      </c>
      <c r="U183" s="224"/>
      <c r="V183" s="224"/>
      <c r="W183" s="224"/>
      <c r="X183" s="224"/>
      <c r="Y183" s="222">
        <v>11084</v>
      </c>
      <c r="Z183" s="222">
        <v>21000</v>
      </c>
      <c r="AA183" s="224"/>
      <c r="AB183" s="224">
        <v>1973.91</v>
      </c>
      <c r="AC183" s="224"/>
      <c r="AD183" s="224"/>
      <c r="AE183" s="224">
        <v>0</v>
      </c>
      <c r="AF183" s="224"/>
      <c r="AG183" s="224"/>
      <c r="AH183" s="224"/>
      <c r="AI183" s="224"/>
      <c r="AJ183" s="126"/>
      <c r="AK183" s="126"/>
      <c r="AL183" s="126"/>
      <c r="AM183" s="126"/>
      <c r="AN183" s="126"/>
    </row>
    <row r="184" spans="1:40" ht="15.75" customHeight="1">
      <c r="A184" s="221">
        <f t="shared" si="2"/>
        <v>178</v>
      </c>
      <c r="B184" s="222" t="s">
        <v>4989</v>
      </c>
      <c r="C184" s="222" t="s">
        <v>5</v>
      </c>
      <c r="D184" s="222" t="e">
        <f t="array" ref="D184">IF(F184="","",INDEX(#REF!,MATCH(F184,#REF!,0)))</f>
        <v>#REF!</v>
      </c>
      <c r="E184" s="222" t="e">
        <f t="array" ref="E184">IF(F184="","",INDEX(#REF!,MATCH(F184,#REF!,0)))</f>
        <v>#REF!</v>
      </c>
      <c r="F184" s="222" t="s">
        <v>35</v>
      </c>
      <c r="G184" s="222" t="s">
        <v>4499</v>
      </c>
      <c r="H184" s="223">
        <v>2.2999999999999998</v>
      </c>
      <c r="I184" s="222" t="s">
        <v>5016</v>
      </c>
      <c r="J184" s="222" t="s">
        <v>5017</v>
      </c>
      <c r="K184" s="222" t="s">
        <v>5018</v>
      </c>
      <c r="L184" s="222">
        <v>132</v>
      </c>
      <c r="M184" s="222">
        <v>166</v>
      </c>
      <c r="N184" s="222" t="s">
        <v>11</v>
      </c>
      <c r="O184" s="222" t="s">
        <v>9</v>
      </c>
      <c r="P184" s="224"/>
      <c r="Q184" s="224">
        <v>353000</v>
      </c>
      <c r="R184" s="224">
        <v>0</v>
      </c>
      <c r="S184" s="224"/>
      <c r="T184" s="224">
        <v>60000</v>
      </c>
      <c r="U184" s="224"/>
      <c r="V184" s="224"/>
      <c r="W184" s="224"/>
      <c r="X184" s="224"/>
      <c r="Y184" s="222">
        <v>18</v>
      </c>
      <c r="Z184" s="222">
        <v>166</v>
      </c>
      <c r="AA184" s="224"/>
      <c r="AB184" s="224">
        <v>0</v>
      </c>
      <c r="AC184" s="224">
        <v>0</v>
      </c>
      <c r="AD184" s="224"/>
      <c r="AE184" s="224">
        <v>0</v>
      </c>
      <c r="AF184" s="224"/>
      <c r="AG184" s="224"/>
      <c r="AH184" s="224"/>
      <c r="AI184" s="224"/>
      <c r="AJ184" s="126"/>
      <c r="AK184" s="126"/>
      <c r="AL184" s="126"/>
      <c r="AM184" s="126"/>
      <c r="AN184" s="126"/>
    </row>
    <row r="185" spans="1:40" ht="15.75" customHeight="1">
      <c r="A185" s="221">
        <f t="shared" si="2"/>
        <v>179</v>
      </c>
      <c r="B185" s="222" t="s">
        <v>4989</v>
      </c>
      <c r="C185" s="222" t="s">
        <v>5</v>
      </c>
      <c r="D185" s="222" t="e">
        <f t="array" ref="D185">IF(F185="","",INDEX(#REF!,MATCH(F185,#REF!,0)))</f>
        <v>#REF!</v>
      </c>
      <c r="E185" s="222" t="e">
        <f t="array" ref="E185">IF(F185="","",INDEX(#REF!,MATCH(F185,#REF!,0)))</f>
        <v>#REF!</v>
      </c>
      <c r="F185" s="222" t="s">
        <v>35</v>
      </c>
      <c r="G185" s="222" t="s">
        <v>4495</v>
      </c>
      <c r="H185" s="223">
        <v>3</v>
      </c>
      <c r="I185" s="222" t="s">
        <v>5019</v>
      </c>
      <c r="J185" s="222" t="s">
        <v>5020</v>
      </c>
      <c r="K185" s="222" t="s">
        <v>5021</v>
      </c>
      <c r="L185" s="222">
        <v>6116</v>
      </c>
      <c r="M185" s="222">
        <v>6577</v>
      </c>
      <c r="N185" s="222" t="s">
        <v>13</v>
      </c>
      <c r="O185" s="222" t="s">
        <v>9</v>
      </c>
      <c r="P185" s="224"/>
      <c r="Q185" s="224"/>
      <c r="R185" s="224"/>
      <c r="S185" s="224"/>
      <c r="T185" s="224"/>
      <c r="U185" s="224"/>
      <c r="V185" s="224"/>
      <c r="W185" s="224"/>
      <c r="X185" s="224"/>
      <c r="Y185" s="222">
        <v>2866</v>
      </c>
      <c r="Z185" s="222">
        <v>6577</v>
      </c>
      <c r="AA185" s="224"/>
      <c r="AB185" s="224"/>
      <c r="AC185" s="224"/>
      <c r="AD185" s="224"/>
      <c r="AE185" s="224"/>
      <c r="AF185" s="224"/>
      <c r="AG185" s="224"/>
      <c r="AH185" s="224"/>
      <c r="AI185" s="224"/>
      <c r="AJ185" s="126"/>
      <c r="AK185" s="126"/>
      <c r="AL185" s="126"/>
      <c r="AM185" s="126"/>
      <c r="AN185" s="126"/>
    </row>
    <row r="186" spans="1:40" ht="15.75" customHeight="1">
      <c r="A186" s="221">
        <f t="shared" si="2"/>
        <v>180</v>
      </c>
      <c r="B186" s="222" t="s">
        <v>4989</v>
      </c>
      <c r="C186" s="222" t="s">
        <v>5</v>
      </c>
      <c r="D186" s="222" t="e">
        <f t="array" ref="D186">IF(F186="","",INDEX(#REF!,MATCH(F186,#REF!,0)))</f>
        <v>#REF!</v>
      </c>
      <c r="E186" s="222" t="e">
        <f t="array" ref="E186">IF(F186="","",INDEX(#REF!,MATCH(F186,#REF!,0)))</f>
        <v>#REF!</v>
      </c>
      <c r="F186" s="222" t="s">
        <v>35</v>
      </c>
      <c r="G186" s="222" t="s">
        <v>4499</v>
      </c>
      <c r="H186" s="223">
        <v>3.1</v>
      </c>
      <c r="I186" s="222" t="s">
        <v>5022</v>
      </c>
      <c r="J186" s="222" t="s">
        <v>5023</v>
      </c>
      <c r="K186" s="222" t="s">
        <v>5024</v>
      </c>
      <c r="L186" s="222">
        <v>2388</v>
      </c>
      <c r="M186" s="222">
        <v>2388</v>
      </c>
      <c r="N186" s="222" t="s">
        <v>11</v>
      </c>
      <c r="O186" s="222" t="s">
        <v>9</v>
      </c>
      <c r="P186" s="224">
        <v>29593763.449999999</v>
      </c>
      <c r="Q186" s="224">
        <v>39302</v>
      </c>
      <c r="R186" s="224">
        <v>453186.95999999996</v>
      </c>
      <c r="S186" s="224"/>
      <c r="T186" s="224">
        <v>50000</v>
      </c>
      <c r="U186" s="224"/>
      <c r="V186" s="224"/>
      <c r="W186" s="224"/>
      <c r="X186" s="224"/>
      <c r="Y186" s="222">
        <v>1310</v>
      </c>
      <c r="Z186" s="222">
        <v>2388</v>
      </c>
      <c r="AA186" s="224">
        <v>10578067.549999997</v>
      </c>
      <c r="AB186" s="224">
        <v>4302</v>
      </c>
      <c r="AC186" s="224">
        <v>386.96</v>
      </c>
      <c r="AD186" s="224"/>
      <c r="AE186" s="224">
        <v>0</v>
      </c>
      <c r="AF186" s="224"/>
      <c r="AG186" s="224"/>
      <c r="AH186" s="224"/>
      <c r="AI186" s="224"/>
      <c r="AJ186" s="126"/>
      <c r="AK186" s="126"/>
      <c r="AL186" s="126"/>
      <c r="AM186" s="126"/>
      <c r="AN186" s="126"/>
    </row>
    <row r="187" spans="1:40" ht="15.75" customHeight="1">
      <c r="A187" s="221">
        <f t="shared" si="2"/>
        <v>181</v>
      </c>
      <c r="B187" s="222" t="s">
        <v>4989</v>
      </c>
      <c r="C187" s="222" t="s">
        <v>5</v>
      </c>
      <c r="D187" s="222" t="e">
        <f t="array" ref="D187">IF(F187="","",INDEX(#REF!,MATCH(F187,#REF!,0)))</f>
        <v>#REF!</v>
      </c>
      <c r="E187" s="222" t="e">
        <f t="array" ref="E187">IF(F187="","",INDEX(#REF!,MATCH(F187,#REF!,0)))</f>
        <v>#REF!</v>
      </c>
      <c r="F187" s="222" t="s">
        <v>35</v>
      </c>
      <c r="G187" s="222" t="s">
        <v>4499</v>
      </c>
      <c r="H187" s="223">
        <v>3.2</v>
      </c>
      <c r="I187" s="222" t="s">
        <v>5025</v>
      </c>
      <c r="J187" s="222" t="s">
        <v>5026</v>
      </c>
      <c r="K187" s="222" t="s">
        <v>5027</v>
      </c>
      <c r="L187" s="222">
        <v>2592</v>
      </c>
      <c r="M187" s="222">
        <v>2880</v>
      </c>
      <c r="N187" s="222" t="s">
        <v>11</v>
      </c>
      <c r="O187" s="222" t="s">
        <v>9</v>
      </c>
      <c r="P187" s="224"/>
      <c r="Q187" s="224">
        <v>60000</v>
      </c>
      <c r="R187" s="224"/>
      <c r="S187" s="224"/>
      <c r="T187" s="224"/>
      <c r="U187" s="224"/>
      <c r="V187" s="224"/>
      <c r="W187" s="224"/>
      <c r="X187" s="224"/>
      <c r="Y187" s="222">
        <v>1554</v>
      </c>
      <c r="Z187" s="222">
        <v>2880</v>
      </c>
      <c r="AA187" s="224"/>
      <c r="AB187" s="224">
        <v>0</v>
      </c>
      <c r="AC187" s="224"/>
      <c r="AD187" s="224"/>
      <c r="AE187" s="224"/>
      <c r="AF187" s="224"/>
      <c r="AG187" s="224"/>
      <c r="AH187" s="224"/>
      <c r="AI187" s="224"/>
      <c r="AJ187" s="126"/>
      <c r="AK187" s="126"/>
      <c r="AL187" s="126"/>
      <c r="AM187" s="126"/>
      <c r="AN187" s="126"/>
    </row>
    <row r="188" spans="1:40" ht="15.75" customHeight="1">
      <c r="A188" s="221">
        <f t="shared" si="2"/>
        <v>182</v>
      </c>
      <c r="B188" s="222" t="s">
        <v>4989</v>
      </c>
      <c r="C188" s="222" t="s">
        <v>5</v>
      </c>
      <c r="D188" s="222" t="e">
        <f t="array" ref="D188">IF(F188="","",INDEX(#REF!,MATCH(F188,#REF!,0)))</f>
        <v>#REF!</v>
      </c>
      <c r="E188" s="222" t="e">
        <f t="array" ref="E188">IF(F188="","",INDEX(#REF!,MATCH(F188,#REF!,0)))</f>
        <v>#REF!</v>
      </c>
      <c r="F188" s="222" t="s">
        <v>35</v>
      </c>
      <c r="G188" s="222" t="s">
        <v>4499</v>
      </c>
      <c r="H188" s="223">
        <v>3.3</v>
      </c>
      <c r="I188" s="222" t="s">
        <v>5028</v>
      </c>
      <c r="J188" s="222" t="s">
        <v>5029</v>
      </c>
      <c r="K188" s="222" t="s">
        <v>5030</v>
      </c>
      <c r="L188" s="222">
        <v>2880</v>
      </c>
      <c r="M188" s="222">
        <v>2880</v>
      </c>
      <c r="N188" s="222" t="s">
        <v>11</v>
      </c>
      <c r="O188" s="222" t="s">
        <v>9</v>
      </c>
      <c r="P188" s="224"/>
      <c r="Q188" s="224">
        <v>0</v>
      </c>
      <c r="R188" s="224">
        <v>0</v>
      </c>
      <c r="S188" s="224"/>
      <c r="T188" s="224">
        <v>0</v>
      </c>
      <c r="U188" s="224"/>
      <c r="V188" s="224"/>
      <c r="W188" s="224"/>
      <c r="X188" s="224"/>
      <c r="Y188" s="222">
        <v>1554</v>
      </c>
      <c r="Z188" s="222">
        <v>2880</v>
      </c>
      <c r="AA188" s="224"/>
      <c r="AB188" s="224">
        <v>0</v>
      </c>
      <c r="AC188" s="224">
        <v>0</v>
      </c>
      <c r="AD188" s="224"/>
      <c r="AE188" s="224">
        <v>0</v>
      </c>
      <c r="AF188" s="224"/>
      <c r="AG188" s="224"/>
      <c r="AH188" s="224"/>
      <c r="AI188" s="224"/>
      <c r="AJ188" s="126"/>
      <c r="AK188" s="126"/>
      <c r="AL188" s="126"/>
      <c r="AM188" s="126"/>
      <c r="AN188" s="126"/>
    </row>
    <row r="189" spans="1:40" ht="15.75" customHeight="1">
      <c r="A189" s="221">
        <f t="shared" si="2"/>
        <v>183</v>
      </c>
      <c r="B189" s="222" t="s">
        <v>4989</v>
      </c>
      <c r="C189" s="222" t="s">
        <v>5</v>
      </c>
      <c r="D189" s="222" t="e">
        <f t="array" ref="D189">IF(F189="","",INDEX(#REF!,MATCH(F189,#REF!,0)))</f>
        <v>#REF!</v>
      </c>
      <c r="E189" s="222" t="e">
        <f t="array" ref="E189">IF(F189="","",INDEX(#REF!,MATCH(F189,#REF!,0)))</f>
        <v>#REF!</v>
      </c>
      <c r="F189" s="222" t="s">
        <v>35</v>
      </c>
      <c r="G189" s="222" t="s">
        <v>4495</v>
      </c>
      <c r="H189" s="223">
        <v>4</v>
      </c>
      <c r="I189" s="222" t="s">
        <v>5031</v>
      </c>
      <c r="J189" s="222" t="s">
        <v>5032</v>
      </c>
      <c r="K189" s="222" t="s">
        <v>5033</v>
      </c>
      <c r="L189" s="222">
        <v>84</v>
      </c>
      <c r="M189" s="222">
        <v>84</v>
      </c>
      <c r="N189" s="222" t="s">
        <v>13</v>
      </c>
      <c r="O189" s="222" t="s">
        <v>9</v>
      </c>
      <c r="P189" s="224"/>
      <c r="Q189" s="224"/>
      <c r="R189" s="224"/>
      <c r="S189" s="224"/>
      <c r="T189" s="224"/>
      <c r="U189" s="224"/>
      <c r="V189" s="224"/>
      <c r="W189" s="224"/>
      <c r="X189" s="224"/>
      <c r="Y189" s="222">
        <v>42</v>
      </c>
      <c r="Z189" s="222">
        <v>84</v>
      </c>
      <c r="AA189" s="224"/>
      <c r="AB189" s="224"/>
      <c r="AC189" s="224"/>
      <c r="AD189" s="224"/>
      <c r="AE189" s="224"/>
      <c r="AF189" s="224"/>
      <c r="AG189" s="224"/>
      <c r="AH189" s="224"/>
      <c r="AI189" s="224"/>
      <c r="AJ189" s="126"/>
      <c r="AK189" s="126"/>
      <c r="AL189" s="126"/>
      <c r="AM189" s="126"/>
      <c r="AN189" s="126"/>
    </row>
    <row r="190" spans="1:40" ht="15.75" customHeight="1">
      <c r="A190" s="221">
        <f t="shared" si="2"/>
        <v>184</v>
      </c>
      <c r="B190" s="222" t="s">
        <v>4989</v>
      </c>
      <c r="C190" s="222" t="s">
        <v>5</v>
      </c>
      <c r="D190" s="222" t="e">
        <f t="array" ref="D190">IF(F190="","",INDEX(#REF!,MATCH(F190,#REF!,0)))</f>
        <v>#REF!</v>
      </c>
      <c r="E190" s="222" t="e">
        <f t="array" ref="E190">IF(F190="","",INDEX(#REF!,MATCH(F190,#REF!,0)))</f>
        <v>#REF!</v>
      </c>
      <c r="F190" s="222" t="s">
        <v>35</v>
      </c>
      <c r="G190" s="222" t="s">
        <v>4499</v>
      </c>
      <c r="H190" s="223">
        <v>4.0999999999999996</v>
      </c>
      <c r="I190" s="222" t="s">
        <v>5034</v>
      </c>
      <c r="J190" s="222" t="s">
        <v>5035</v>
      </c>
      <c r="K190" s="222" t="s">
        <v>5036</v>
      </c>
      <c r="L190" s="222">
        <v>36</v>
      </c>
      <c r="M190" s="222">
        <v>36</v>
      </c>
      <c r="N190" s="222" t="s">
        <v>11</v>
      </c>
      <c r="O190" s="222" t="s">
        <v>9</v>
      </c>
      <c r="P190" s="224">
        <v>43782772.07</v>
      </c>
      <c r="Q190" s="224">
        <v>19460.900000000001</v>
      </c>
      <c r="R190" s="224">
        <v>100000</v>
      </c>
      <c r="S190" s="224"/>
      <c r="T190" s="224">
        <v>200000</v>
      </c>
      <c r="U190" s="224"/>
      <c r="V190" s="224"/>
      <c r="W190" s="224"/>
      <c r="X190" s="224"/>
      <c r="Y190" s="222">
        <v>18</v>
      </c>
      <c r="Z190" s="222">
        <v>36</v>
      </c>
      <c r="AA190" s="224">
        <v>14125644.82</v>
      </c>
      <c r="AB190" s="224">
        <v>9193</v>
      </c>
      <c r="AC190" s="224">
        <v>0</v>
      </c>
      <c r="AD190" s="224"/>
      <c r="AE190" s="224">
        <v>0</v>
      </c>
      <c r="AF190" s="224"/>
      <c r="AG190" s="224"/>
      <c r="AH190" s="224"/>
      <c r="AI190" s="224"/>
      <c r="AJ190" s="126"/>
      <c r="AK190" s="126"/>
      <c r="AL190" s="126"/>
      <c r="AM190" s="126"/>
      <c r="AN190" s="126"/>
    </row>
    <row r="191" spans="1:40" ht="15.75" customHeight="1">
      <c r="A191" s="221">
        <f t="shared" si="2"/>
        <v>185</v>
      </c>
      <c r="B191" s="222" t="s">
        <v>4989</v>
      </c>
      <c r="C191" s="222" t="s">
        <v>5</v>
      </c>
      <c r="D191" s="222" t="e">
        <f t="array" ref="D191">IF(F191="","",INDEX(#REF!,MATCH(F191,#REF!,0)))</f>
        <v>#REF!</v>
      </c>
      <c r="E191" s="222" t="e">
        <f t="array" ref="E191">IF(F191="","",INDEX(#REF!,MATCH(F191,#REF!,0)))</f>
        <v>#REF!</v>
      </c>
      <c r="F191" s="222" t="s">
        <v>35</v>
      </c>
      <c r="G191" s="222" t="s">
        <v>4499</v>
      </c>
      <c r="H191" s="223">
        <v>4.2</v>
      </c>
      <c r="I191" s="222" t="s">
        <v>5037</v>
      </c>
      <c r="J191" s="222" t="s">
        <v>5038</v>
      </c>
      <c r="K191" s="222" t="s">
        <v>5039</v>
      </c>
      <c r="L191" s="222">
        <v>48</v>
      </c>
      <c r="M191" s="222">
        <v>12</v>
      </c>
      <c r="N191" s="222" t="s">
        <v>11</v>
      </c>
      <c r="O191" s="222" t="s">
        <v>14</v>
      </c>
      <c r="P191" s="224"/>
      <c r="Q191" s="224">
        <v>138984.76999999999</v>
      </c>
      <c r="R191" s="224">
        <v>0</v>
      </c>
      <c r="S191" s="224"/>
      <c r="T191" s="224">
        <v>50000</v>
      </c>
      <c r="U191" s="224"/>
      <c r="V191" s="224"/>
      <c r="W191" s="224"/>
      <c r="X191" s="224"/>
      <c r="Y191" s="222">
        <v>24</v>
      </c>
      <c r="Z191" s="222">
        <v>12</v>
      </c>
      <c r="AA191" s="224"/>
      <c r="AB191" s="224">
        <v>4261.38</v>
      </c>
      <c r="AC191" s="224">
        <v>0</v>
      </c>
      <c r="AD191" s="224"/>
      <c r="AE191" s="224">
        <v>0</v>
      </c>
      <c r="AF191" s="224"/>
      <c r="AG191" s="224"/>
      <c r="AH191" s="224"/>
      <c r="AI191" s="224"/>
      <c r="AJ191" s="126"/>
      <c r="AK191" s="126"/>
      <c r="AL191" s="126"/>
      <c r="AM191" s="126"/>
      <c r="AN191" s="126"/>
    </row>
    <row r="192" spans="1:40" ht="15.75" customHeight="1">
      <c r="A192" s="221">
        <f t="shared" si="2"/>
        <v>186</v>
      </c>
      <c r="B192" s="222" t="s">
        <v>5040</v>
      </c>
      <c r="C192" s="222" t="s">
        <v>5</v>
      </c>
      <c r="D192" s="222" t="e">
        <f t="array" ref="D192">IF(F192="","",INDEX(#REF!,MATCH(F192,#REF!,0)))</f>
        <v>#REF!</v>
      </c>
      <c r="E192" s="222" t="e">
        <f t="array" ref="E192">IF(F192="","",INDEX(#REF!,MATCH(F192,#REF!,0)))</f>
        <v>#REF!</v>
      </c>
      <c r="F192" s="222" t="s">
        <v>16</v>
      </c>
      <c r="G192" s="222" t="s">
        <v>0</v>
      </c>
      <c r="H192" s="223" t="s">
        <v>4487</v>
      </c>
      <c r="I192" s="222" t="s">
        <v>5041</v>
      </c>
      <c r="J192" s="222" t="s">
        <v>5042</v>
      </c>
      <c r="K192" s="222" t="s">
        <v>5043</v>
      </c>
      <c r="L192" s="222">
        <v>100</v>
      </c>
      <c r="M192" s="222">
        <v>100</v>
      </c>
      <c r="N192" s="222" t="s">
        <v>15</v>
      </c>
      <c r="O192" s="222" t="s">
        <v>9</v>
      </c>
      <c r="P192" s="224"/>
      <c r="Q192" s="224"/>
      <c r="R192" s="224"/>
      <c r="S192" s="224"/>
      <c r="T192" s="224"/>
      <c r="U192" s="224"/>
      <c r="V192" s="224"/>
      <c r="W192" s="224"/>
      <c r="X192" s="224"/>
      <c r="Y192" s="222">
        <v>100</v>
      </c>
      <c r="Z192" s="222">
        <v>100</v>
      </c>
      <c r="AA192" s="224"/>
      <c r="AB192" s="224"/>
      <c r="AC192" s="224"/>
      <c r="AD192" s="224"/>
      <c r="AE192" s="224"/>
      <c r="AF192" s="224"/>
      <c r="AG192" s="224"/>
      <c r="AH192" s="224"/>
      <c r="AI192" s="224"/>
      <c r="AJ192" s="126"/>
      <c r="AK192" s="126"/>
      <c r="AL192" s="126"/>
      <c r="AM192" s="126"/>
      <c r="AN192" s="126"/>
    </row>
    <row r="193" spans="1:40" ht="15.75" customHeight="1">
      <c r="A193" s="221">
        <f t="shared" si="2"/>
        <v>187</v>
      </c>
      <c r="B193" s="222" t="s">
        <v>5040</v>
      </c>
      <c r="C193" s="222" t="s">
        <v>5</v>
      </c>
      <c r="D193" s="222" t="e">
        <f t="array" ref="D193">IF(F193="","",INDEX(#REF!,MATCH(F193,#REF!,0)))</f>
        <v>#REF!</v>
      </c>
      <c r="E193" s="222" t="e">
        <f t="array" ref="E193">IF(F193="","",INDEX(#REF!,MATCH(F193,#REF!,0)))</f>
        <v>#REF!</v>
      </c>
      <c r="F193" s="222" t="s">
        <v>16</v>
      </c>
      <c r="G193" s="222" t="s">
        <v>4491</v>
      </c>
      <c r="H193" s="223" t="s">
        <v>4487</v>
      </c>
      <c r="I193" s="222" t="s">
        <v>5044</v>
      </c>
      <c r="J193" s="222" t="s">
        <v>5045</v>
      </c>
      <c r="K193" s="222" t="s">
        <v>5046</v>
      </c>
      <c r="L193" s="222">
        <v>100</v>
      </c>
      <c r="M193" s="222">
        <v>100</v>
      </c>
      <c r="N193" s="222" t="s">
        <v>15</v>
      </c>
      <c r="O193" s="222" t="s">
        <v>9</v>
      </c>
      <c r="P193" s="224"/>
      <c r="Q193" s="224"/>
      <c r="R193" s="224"/>
      <c r="S193" s="224"/>
      <c r="T193" s="224"/>
      <c r="U193" s="224"/>
      <c r="V193" s="224"/>
      <c r="W193" s="224"/>
      <c r="X193" s="224"/>
      <c r="Y193" s="222">
        <v>200</v>
      </c>
      <c r="Z193" s="222">
        <v>100</v>
      </c>
      <c r="AA193" s="224"/>
      <c r="AB193" s="224"/>
      <c r="AC193" s="224"/>
      <c r="AD193" s="224"/>
      <c r="AE193" s="224"/>
      <c r="AF193" s="224"/>
      <c r="AG193" s="224"/>
      <c r="AH193" s="224"/>
      <c r="AI193" s="224"/>
      <c r="AJ193" s="126"/>
      <c r="AK193" s="126"/>
      <c r="AL193" s="126"/>
      <c r="AM193" s="126"/>
      <c r="AN193" s="126"/>
    </row>
    <row r="194" spans="1:40" ht="15.75" customHeight="1">
      <c r="A194" s="221">
        <f t="shared" si="2"/>
        <v>188</v>
      </c>
      <c r="B194" s="222" t="s">
        <v>5040</v>
      </c>
      <c r="C194" s="222" t="s">
        <v>5</v>
      </c>
      <c r="D194" s="222" t="e">
        <f t="array" ref="D194">IF(F194="","",INDEX(#REF!,MATCH(F194,#REF!,0)))</f>
        <v>#REF!</v>
      </c>
      <c r="E194" s="222" t="e">
        <f t="array" ref="E194">IF(F194="","",INDEX(#REF!,MATCH(F194,#REF!,0)))</f>
        <v>#REF!</v>
      </c>
      <c r="F194" s="222" t="s">
        <v>16</v>
      </c>
      <c r="G194" s="222" t="s">
        <v>4495</v>
      </c>
      <c r="H194" s="223">
        <v>1</v>
      </c>
      <c r="I194" s="222" t="s">
        <v>5047</v>
      </c>
      <c r="J194" s="222" t="s">
        <v>5048</v>
      </c>
      <c r="K194" s="222" t="s">
        <v>5049</v>
      </c>
      <c r="L194" s="222">
        <v>100</v>
      </c>
      <c r="M194" s="222">
        <v>100</v>
      </c>
      <c r="N194" s="222" t="s">
        <v>13</v>
      </c>
      <c r="O194" s="222" t="s">
        <v>9</v>
      </c>
      <c r="P194" s="224"/>
      <c r="Q194" s="224"/>
      <c r="R194" s="224"/>
      <c r="S194" s="224"/>
      <c r="T194" s="224"/>
      <c r="U194" s="224"/>
      <c r="V194" s="224"/>
      <c r="W194" s="224"/>
      <c r="X194" s="224"/>
      <c r="Y194" s="222">
        <v>200</v>
      </c>
      <c r="Z194" s="222">
        <v>100</v>
      </c>
      <c r="AA194" s="224"/>
      <c r="AB194" s="224"/>
      <c r="AC194" s="224"/>
      <c r="AD194" s="224"/>
      <c r="AE194" s="224"/>
      <c r="AF194" s="224"/>
      <c r="AG194" s="224"/>
      <c r="AH194" s="224"/>
      <c r="AI194" s="224"/>
      <c r="AJ194" s="126"/>
      <c r="AK194" s="126"/>
      <c r="AL194" s="126"/>
      <c r="AM194" s="126"/>
      <c r="AN194" s="126"/>
    </row>
    <row r="195" spans="1:40" ht="15.75" customHeight="1">
      <c r="A195" s="221">
        <f t="shared" si="2"/>
        <v>189</v>
      </c>
      <c r="B195" s="222" t="s">
        <v>5040</v>
      </c>
      <c r="C195" s="222" t="s">
        <v>5</v>
      </c>
      <c r="D195" s="222" t="e">
        <f t="array" ref="D195">IF(F195="","",INDEX(#REF!,MATCH(F195,#REF!,0)))</f>
        <v>#REF!</v>
      </c>
      <c r="E195" s="222" t="e">
        <f t="array" ref="E195">IF(F195="","",INDEX(#REF!,MATCH(F195,#REF!,0)))</f>
        <v>#REF!</v>
      </c>
      <c r="F195" s="222" t="s">
        <v>16</v>
      </c>
      <c r="G195" s="222" t="s">
        <v>4499</v>
      </c>
      <c r="H195" s="223">
        <v>1.1000000000000001</v>
      </c>
      <c r="I195" s="222" t="s">
        <v>5050</v>
      </c>
      <c r="J195" s="222" t="s">
        <v>5051</v>
      </c>
      <c r="K195" s="222" t="s">
        <v>5052</v>
      </c>
      <c r="L195" s="222">
        <v>100</v>
      </c>
      <c r="M195" s="222">
        <v>100</v>
      </c>
      <c r="N195" s="222" t="s">
        <v>11</v>
      </c>
      <c r="O195" s="222" t="s">
        <v>9</v>
      </c>
      <c r="P195" s="224"/>
      <c r="Q195" s="224">
        <v>37717</v>
      </c>
      <c r="R195" s="224">
        <v>2320</v>
      </c>
      <c r="S195" s="224"/>
      <c r="T195" s="224">
        <v>3200</v>
      </c>
      <c r="U195" s="224"/>
      <c r="V195" s="224"/>
      <c r="W195" s="224"/>
      <c r="X195" s="224"/>
      <c r="Y195" s="222">
        <v>200</v>
      </c>
      <c r="Z195" s="222">
        <v>100</v>
      </c>
      <c r="AA195" s="224"/>
      <c r="AB195" s="224">
        <v>1167</v>
      </c>
      <c r="AC195" s="224">
        <v>2320</v>
      </c>
      <c r="AD195" s="224"/>
      <c r="AE195" s="224">
        <v>0</v>
      </c>
      <c r="AF195" s="224"/>
      <c r="AG195" s="224"/>
      <c r="AH195" s="224"/>
      <c r="AI195" s="224"/>
      <c r="AJ195" s="126"/>
      <c r="AK195" s="126"/>
      <c r="AL195" s="126"/>
      <c r="AM195" s="126"/>
      <c r="AN195" s="126"/>
    </row>
    <row r="196" spans="1:40" ht="15.75" customHeight="1">
      <c r="A196" s="221">
        <f t="shared" si="2"/>
        <v>190</v>
      </c>
      <c r="B196" s="222" t="s">
        <v>5040</v>
      </c>
      <c r="C196" s="222" t="s">
        <v>5</v>
      </c>
      <c r="D196" s="222" t="e">
        <f t="array" ref="D196">IF(F196="","",INDEX(#REF!,MATCH(F196,#REF!,0)))</f>
        <v>#REF!</v>
      </c>
      <c r="E196" s="222" t="e">
        <f t="array" ref="E196">IF(F196="","",INDEX(#REF!,MATCH(F196,#REF!,0)))</f>
        <v>#REF!</v>
      </c>
      <c r="F196" s="222" t="s">
        <v>16</v>
      </c>
      <c r="G196" s="222" t="s">
        <v>4499</v>
      </c>
      <c r="H196" s="223">
        <v>1.2</v>
      </c>
      <c r="I196" s="222" t="s">
        <v>5053</v>
      </c>
      <c r="J196" s="222" t="s">
        <v>5053</v>
      </c>
      <c r="K196" s="222" t="s">
        <v>5054</v>
      </c>
      <c r="L196" s="222">
        <v>100</v>
      </c>
      <c r="M196" s="222">
        <v>100</v>
      </c>
      <c r="N196" s="222" t="s">
        <v>11</v>
      </c>
      <c r="O196" s="222" t="s">
        <v>9</v>
      </c>
      <c r="P196" s="224"/>
      <c r="Q196" s="224">
        <v>13595</v>
      </c>
      <c r="R196" s="224">
        <v>89205</v>
      </c>
      <c r="S196" s="224"/>
      <c r="T196" s="224"/>
      <c r="U196" s="224"/>
      <c r="V196" s="224"/>
      <c r="W196" s="224"/>
      <c r="X196" s="224"/>
      <c r="Y196" s="222">
        <v>200</v>
      </c>
      <c r="Z196" s="222">
        <v>100</v>
      </c>
      <c r="AA196" s="224"/>
      <c r="AB196" s="224">
        <v>0</v>
      </c>
      <c r="AC196" s="224">
        <v>0</v>
      </c>
      <c r="AD196" s="224"/>
      <c r="AE196" s="224"/>
      <c r="AF196" s="224"/>
      <c r="AG196" s="224"/>
      <c r="AH196" s="224"/>
      <c r="AI196" s="224"/>
      <c r="AJ196" s="126"/>
      <c r="AK196" s="126"/>
      <c r="AL196" s="126"/>
      <c r="AM196" s="126"/>
      <c r="AN196" s="126"/>
    </row>
    <row r="197" spans="1:40" ht="15.75" customHeight="1">
      <c r="A197" s="221">
        <f t="shared" si="2"/>
        <v>191</v>
      </c>
      <c r="B197" s="222" t="s">
        <v>5040</v>
      </c>
      <c r="C197" s="222" t="s">
        <v>5</v>
      </c>
      <c r="D197" s="222" t="e">
        <f t="array" ref="D197">IF(F197="","",INDEX(#REF!,MATCH(F197,#REF!,0)))</f>
        <v>#REF!</v>
      </c>
      <c r="E197" s="222" t="e">
        <f t="array" ref="E197">IF(F197="","",INDEX(#REF!,MATCH(F197,#REF!,0)))</f>
        <v>#REF!</v>
      </c>
      <c r="F197" s="222" t="s">
        <v>16</v>
      </c>
      <c r="G197" s="222" t="s">
        <v>4495</v>
      </c>
      <c r="H197" s="223">
        <v>2</v>
      </c>
      <c r="I197" s="222" t="s">
        <v>5055</v>
      </c>
      <c r="J197" s="222" t="s">
        <v>5056</v>
      </c>
      <c r="K197" s="222" t="s">
        <v>5057</v>
      </c>
      <c r="L197" s="222">
        <v>100</v>
      </c>
      <c r="M197" s="222">
        <v>100</v>
      </c>
      <c r="N197" s="222" t="s">
        <v>13</v>
      </c>
      <c r="O197" s="222" t="s">
        <v>9</v>
      </c>
      <c r="P197" s="224"/>
      <c r="Q197" s="224"/>
      <c r="R197" s="224"/>
      <c r="S197" s="224"/>
      <c r="T197" s="224"/>
      <c r="U197" s="224"/>
      <c r="V197" s="224"/>
      <c r="W197" s="224"/>
      <c r="X197" s="224"/>
      <c r="Y197" s="222">
        <v>0</v>
      </c>
      <c r="Z197" s="222">
        <v>100</v>
      </c>
      <c r="AA197" s="224"/>
      <c r="AB197" s="224"/>
      <c r="AC197" s="224"/>
      <c r="AD197" s="224"/>
      <c r="AE197" s="224"/>
      <c r="AF197" s="224"/>
      <c r="AG197" s="224"/>
      <c r="AH197" s="224"/>
      <c r="AI197" s="224"/>
      <c r="AJ197" s="126"/>
      <c r="AK197" s="126"/>
      <c r="AL197" s="126"/>
      <c r="AM197" s="126"/>
      <c r="AN197" s="126"/>
    </row>
    <row r="198" spans="1:40" ht="15.75" customHeight="1">
      <c r="A198" s="221">
        <f t="shared" si="2"/>
        <v>192</v>
      </c>
      <c r="B198" s="222" t="s">
        <v>5040</v>
      </c>
      <c r="C198" s="222" t="s">
        <v>5</v>
      </c>
      <c r="D198" s="222" t="e">
        <f t="array" ref="D198">IF(F198="","",INDEX(#REF!,MATCH(F198,#REF!,0)))</f>
        <v>#REF!</v>
      </c>
      <c r="E198" s="222" t="e">
        <f t="array" ref="E198">IF(F198="","",INDEX(#REF!,MATCH(F198,#REF!,0)))</f>
        <v>#REF!</v>
      </c>
      <c r="F198" s="222" t="s">
        <v>16</v>
      </c>
      <c r="G198" s="222" t="s">
        <v>4499</v>
      </c>
      <c r="H198" s="223">
        <v>2.1</v>
      </c>
      <c r="I198" s="222" t="s">
        <v>5058</v>
      </c>
      <c r="J198" s="222" t="s">
        <v>5059</v>
      </c>
      <c r="K198" s="222" t="s">
        <v>5060</v>
      </c>
      <c r="L198" s="222">
        <v>100</v>
      </c>
      <c r="M198" s="222">
        <v>100</v>
      </c>
      <c r="N198" s="222" t="s">
        <v>11</v>
      </c>
      <c r="O198" s="222" t="s">
        <v>9</v>
      </c>
      <c r="P198" s="224">
        <v>7147103.1900000004</v>
      </c>
      <c r="Q198" s="224">
        <v>0</v>
      </c>
      <c r="R198" s="224">
        <v>5500</v>
      </c>
      <c r="S198" s="224"/>
      <c r="T198" s="224">
        <v>200000</v>
      </c>
      <c r="U198" s="224"/>
      <c r="V198" s="224"/>
      <c r="W198" s="224"/>
      <c r="X198" s="224"/>
      <c r="Y198" s="222">
        <v>134</v>
      </c>
      <c r="Z198" s="222">
        <v>100</v>
      </c>
      <c r="AA198" s="224">
        <v>400497.71</v>
      </c>
      <c r="AB198" s="224">
        <v>0</v>
      </c>
      <c r="AC198" s="224">
        <v>5440.4</v>
      </c>
      <c r="AD198" s="224"/>
      <c r="AE198" s="224">
        <v>0</v>
      </c>
      <c r="AF198" s="224"/>
      <c r="AG198" s="224"/>
      <c r="AH198" s="224"/>
      <c r="AI198" s="224"/>
      <c r="AJ198" s="126"/>
      <c r="AK198" s="126"/>
      <c r="AL198" s="126"/>
      <c r="AM198" s="126"/>
      <c r="AN198" s="126"/>
    </row>
    <row r="199" spans="1:40" ht="15.75" customHeight="1">
      <c r="A199" s="221">
        <f t="shared" si="2"/>
        <v>193</v>
      </c>
      <c r="B199" s="222" t="s">
        <v>5040</v>
      </c>
      <c r="C199" s="222" t="s">
        <v>5</v>
      </c>
      <c r="D199" s="222" t="e">
        <f t="array" ref="D199">IF(F199="","",INDEX(#REF!,MATCH(F199,#REF!,0)))</f>
        <v>#REF!</v>
      </c>
      <c r="E199" s="222" t="e">
        <f t="array" ref="E199">IF(F199="","",INDEX(#REF!,MATCH(F199,#REF!,0)))</f>
        <v>#REF!</v>
      </c>
      <c r="F199" s="222" t="s">
        <v>16</v>
      </c>
      <c r="G199" s="222" t="s">
        <v>4499</v>
      </c>
      <c r="H199" s="223">
        <v>2.2000000000000002</v>
      </c>
      <c r="I199" s="222" t="s">
        <v>5061</v>
      </c>
      <c r="J199" s="222" t="s">
        <v>5062</v>
      </c>
      <c r="K199" s="222" t="s">
        <v>5063</v>
      </c>
      <c r="L199" s="222">
        <v>100</v>
      </c>
      <c r="M199" s="222">
        <v>100</v>
      </c>
      <c r="N199" s="222" t="s">
        <v>11</v>
      </c>
      <c r="O199" s="222" t="s">
        <v>9</v>
      </c>
      <c r="P199" s="224">
        <v>1825699.9600000002</v>
      </c>
      <c r="Q199" s="224">
        <v>0</v>
      </c>
      <c r="R199" s="224"/>
      <c r="S199" s="224"/>
      <c r="T199" s="224"/>
      <c r="U199" s="224"/>
      <c r="V199" s="224"/>
      <c r="W199" s="224"/>
      <c r="X199" s="224"/>
      <c r="Y199" s="222">
        <v>200</v>
      </c>
      <c r="Z199" s="222">
        <v>100</v>
      </c>
      <c r="AA199" s="224">
        <v>151690.36000000002</v>
      </c>
      <c r="AB199" s="224">
        <v>0</v>
      </c>
      <c r="AC199" s="224"/>
      <c r="AD199" s="224"/>
      <c r="AE199" s="224"/>
      <c r="AF199" s="224"/>
      <c r="AG199" s="224"/>
      <c r="AH199" s="224"/>
      <c r="AI199" s="224"/>
      <c r="AJ199" s="126"/>
      <c r="AK199" s="126"/>
      <c r="AL199" s="126"/>
      <c r="AM199" s="126"/>
      <c r="AN199" s="126"/>
    </row>
    <row r="200" spans="1:40" ht="15.75" customHeight="1">
      <c r="A200" s="221">
        <f t="shared" si="2"/>
        <v>194</v>
      </c>
      <c r="B200" s="222" t="s">
        <v>5040</v>
      </c>
      <c r="C200" s="222" t="s">
        <v>5</v>
      </c>
      <c r="D200" s="222" t="e">
        <f t="array" ref="D200">IF(F200="","",INDEX(#REF!,MATCH(F200,#REF!,0)))</f>
        <v>#REF!</v>
      </c>
      <c r="E200" s="222" t="e">
        <f t="array" ref="E200">IF(F200="","",INDEX(#REF!,MATCH(F200,#REF!,0)))</f>
        <v>#REF!</v>
      </c>
      <c r="F200" s="222" t="s">
        <v>16</v>
      </c>
      <c r="G200" s="222" t="s">
        <v>4495</v>
      </c>
      <c r="H200" s="223">
        <v>3</v>
      </c>
      <c r="I200" s="222" t="s">
        <v>5064</v>
      </c>
      <c r="J200" s="222" t="s">
        <v>5065</v>
      </c>
      <c r="K200" s="222" t="s">
        <v>5066</v>
      </c>
      <c r="L200" s="222">
        <v>100</v>
      </c>
      <c r="M200" s="222">
        <v>100</v>
      </c>
      <c r="N200" s="222" t="s">
        <v>13</v>
      </c>
      <c r="O200" s="222" t="s">
        <v>9</v>
      </c>
      <c r="P200" s="224"/>
      <c r="Q200" s="224"/>
      <c r="R200" s="224"/>
      <c r="S200" s="224"/>
      <c r="T200" s="224"/>
      <c r="U200" s="224"/>
      <c r="V200" s="224"/>
      <c r="W200" s="224"/>
      <c r="X200" s="224"/>
      <c r="Y200" s="222">
        <v>200</v>
      </c>
      <c r="Z200" s="222">
        <v>100</v>
      </c>
      <c r="AA200" s="224"/>
      <c r="AB200" s="224"/>
      <c r="AC200" s="224"/>
      <c r="AD200" s="224"/>
      <c r="AE200" s="224"/>
      <c r="AF200" s="224"/>
      <c r="AG200" s="224"/>
      <c r="AH200" s="224"/>
      <c r="AI200" s="224"/>
      <c r="AJ200" s="126"/>
      <c r="AK200" s="126"/>
      <c r="AL200" s="126"/>
      <c r="AM200" s="126"/>
      <c r="AN200" s="126"/>
    </row>
    <row r="201" spans="1:40" ht="15.75" customHeight="1">
      <c r="A201" s="221">
        <f t="shared" si="2"/>
        <v>195</v>
      </c>
      <c r="B201" s="222" t="s">
        <v>5040</v>
      </c>
      <c r="C201" s="222" t="s">
        <v>5</v>
      </c>
      <c r="D201" s="222" t="e">
        <f t="array" ref="D201">IF(F201="","",INDEX(#REF!,MATCH(F201,#REF!,0)))</f>
        <v>#REF!</v>
      </c>
      <c r="E201" s="222" t="e">
        <f t="array" ref="E201">IF(F201="","",INDEX(#REF!,MATCH(F201,#REF!,0)))</f>
        <v>#REF!</v>
      </c>
      <c r="F201" s="222" t="s">
        <v>16</v>
      </c>
      <c r="G201" s="222" t="s">
        <v>4499</v>
      </c>
      <c r="H201" s="223">
        <v>3.1</v>
      </c>
      <c r="I201" s="222" t="s">
        <v>5067</v>
      </c>
      <c r="J201" s="222" t="s">
        <v>5068</v>
      </c>
      <c r="K201" s="222" t="s">
        <v>5069</v>
      </c>
      <c r="L201" s="222">
        <v>100</v>
      </c>
      <c r="M201" s="222">
        <v>100</v>
      </c>
      <c r="N201" s="222" t="s">
        <v>11</v>
      </c>
      <c r="O201" s="222" t="s">
        <v>9</v>
      </c>
      <c r="P201" s="224">
        <v>30372389.899999995</v>
      </c>
      <c r="Q201" s="224">
        <v>0</v>
      </c>
      <c r="R201" s="224"/>
      <c r="S201" s="224">
        <v>15000000</v>
      </c>
      <c r="T201" s="224"/>
      <c r="U201" s="224"/>
      <c r="V201" s="224"/>
      <c r="W201" s="224"/>
      <c r="X201" s="224"/>
      <c r="Y201" s="222">
        <v>200</v>
      </c>
      <c r="Z201" s="222">
        <v>100</v>
      </c>
      <c r="AA201" s="224">
        <v>11926445.759999998</v>
      </c>
      <c r="AB201" s="224">
        <v>0</v>
      </c>
      <c r="AC201" s="224"/>
      <c r="AD201" s="224">
        <v>15000000</v>
      </c>
      <c r="AE201" s="224"/>
      <c r="AF201" s="224"/>
      <c r="AG201" s="224"/>
      <c r="AH201" s="224"/>
      <c r="AI201" s="224"/>
      <c r="AJ201" s="126"/>
      <c r="AK201" s="126"/>
      <c r="AL201" s="126"/>
      <c r="AM201" s="126"/>
      <c r="AN201" s="126"/>
    </row>
    <row r="202" spans="1:40" ht="15.75" customHeight="1">
      <c r="A202" s="221">
        <f t="shared" si="2"/>
        <v>196</v>
      </c>
      <c r="B202" s="222" t="s">
        <v>5040</v>
      </c>
      <c r="C202" s="222" t="s">
        <v>5</v>
      </c>
      <c r="D202" s="222" t="e">
        <f t="array" ref="D202">IF(F202="","",INDEX(#REF!,MATCH(F202,#REF!,0)))</f>
        <v>#REF!</v>
      </c>
      <c r="E202" s="222" t="e">
        <f t="array" ref="E202">IF(F202="","",INDEX(#REF!,MATCH(F202,#REF!,0)))</f>
        <v>#REF!</v>
      </c>
      <c r="F202" s="222" t="s">
        <v>16</v>
      </c>
      <c r="G202" s="222" t="s">
        <v>4499</v>
      </c>
      <c r="H202" s="223">
        <v>3.2</v>
      </c>
      <c r="I202" s="222" t="s">
        <v>5070</v>
      </c>
      <c r="J202" s="222" t="s">
        <v>5071</v>
      </c>
      <c r="K202" s="222" t="s">
        <v>5072</v>
      </c>
      <c r="L202" s="222">
        <v>100</v>
      </c>
      <c r="M202" s="222">
        <v>100</v>
      </c>
      <c r="N202" s="222" t="s">
        <v>11</v>
      </c>
      <c r="O202" s="222" t="s">
        <v>9</v>
      </c>
      <c r="P202" s="224"/>
      <c r="Q202" s="224"/>
      <c r="R202" s="224"/>
      <c r="S202" s="224">
        <v>7910363.7599999998</v>
      </c>
      <c r="T202" s="224"/>
      <c r="U202" s="224"/>
      <c r="V202" s="224"/>
      <c r="W202" s="224"/>
      <c r="X202" s="224"/>
      <c r="Y202" s="222">
        <v>200</v>
      </c>
      <c r="Z202" s="222">
        <v>100</v>
      </c>
      <c r="AA202" s="224"/>
      <c r="AB202" s="224"/>
      <c r="AC202" s="224"/>
      <c r="AD202" s="224">
        <v>3328000</v>
      </c>
      <c r="AE202" s="224"/>
      <c r="AF202" s="224"/>
      <c r="AG202" s="224"/>
      <c r="AH202" s="224"/>
      <c r="AI202" s="224"/>
      <c r="AJ202" s="126"/>
      <c r="AK202" s="126"/>
      <c r="AL202" s="126"/>
      <c r="AM202" s="126"/>
      <c r="AN202" s="126"/>
    </row>
    <row r="203" spans="1:40" ht="15.75" customHeight="1">
      <c r="A203" s="221">
        <f t="shared" si="2"/>
        <v>197</v>
      </c>
      <c r="B203" s="222" t="s">
        <v>5040</v>
      </c>
      <c r="C203" s="222" t="s">
        <v>5</v>
      </c>
      <c r="D203" s="222" t="e">
        <f t="array" ref="D203">IF(F203="","",INDEX(#REF!,MATCH(F203,#REF!,0)))</f>
        <v>#REF!</v>
      </c>
      <c r="E203" s="222" t="e">
        <f t="array" ref="E203">IF(F203="","",INDEX(#REF!,MATCH(F203,#REF!,0)))</f>
        <v>#REF!</v>
      </c>
      <c r="F203" s="222" t="s">
        <v>16</v>
      </c>
      <c r="G203" s="222" t="s">
        <v>4499</v>
      </c>
      <c r="H203" s="223">
        <v>3.3</v>
      </c>
      <c r="I203" s="222" t="s">
        <v>5073</v>
      </c>
      <c r="J203" s="222" t="s">
        <v>5074</v>
      </c>
      <c r="K203" s="222" t="s">
        <v>5075</v>
      </c>
      <c r="L203" s="222">
        <v>100</v>
      </c>
      <c r="M203" s="222">
        <v>100</v>
      </c>
      <c r="N203" s="222" t="s">
        <v>11</v>
      </c>
      <c r="O203" s="222" t="s">
        <v>9</v>
      </c>
      <c r="P203" s="224"/>
      <c r="Q203" s="224"/>
      <c r="R203" s="224"/>
      <c r="S203" s="224">
        <v>20685000</v>
      </c>
      <c r="T203" s="224"/>
      <c r="U203" s="224"/>
      <c r="V203" s="224"/>
      <c r="W203" s="224"/>
      <c r="X203" s="224"/>
      <c r="Y203" s="222">
        <v>0</v>
      </c>
      <c r="Z203" s="222">
        <v>100</v>
      </c>
      <c r="AA203" s="224"/>
      <c r="AB203" s="224"/>
      <c r="AC203" s="224"/>
      <c r="AD203" s="224">
        <v>2468152.02</v>
      </c>
      <c r="AE203" s="224"/>
      <c r="AF203" s="224"/>
      <c r="AG203" s="224"/>
      <c r="AH203" s="224"/>
      <c r="AI203" s="224"/>
      <c r="AJ203" s="126"/>
      <c r="AK203" s="126"/>
      <c r="AL203" s="126"/>
      <c r="AM203" s="126"/>
      <c r="AN203" s="126"/>
    </row>
    <row r="204" spans="1:40" ht="15.75" customHeight="1">
      <c r="A204" s="221">
        <f t="shared" si="2"/>
        <v>198</v>
      </c>
      <c r="B204" s="222" t="s">
        <v>5040</v>
      </c>
      <c r="C204" s="222" t="s">
        <v>5</v>
      </c>
      <c r="D204" s="222" t="e">
        <f t="array" ref="D204">IF(F204="","",INDEX(#REF!,MATCH(F204,#REF!,0)))</f>
        <v>#REF!</v>
      </c>
      <c r="E204" s="222" t="e">
        <f t="array" ref="E204">IF(F204="","",INDEX(#REF!,MATCH(F204,#REF!,0)))</f>
        <v>#REF!</v>
      </c>
      <c r="F204" s="222" t="s">
        <v>16</v>
      </c>
      <c r="G204" s="222" t="s">
        <v>4495</v>
      </c>
      <c r="H204" s="223">
        <v>4</v>
      </c>
      <c r="I204" s="222" t="s">
        <v>5076</v>
      </c>
      <c r="J204" s="222" t="s">
        <v>5077</v>
      </c>
      <c r="K204" s="222" t="s">
        <v>5078</v>
      </c>
      <c r="L204" s="222">
        <v>100</v>
      </c>
      <c r="M204" s="222">
        <v>100</v>
      </c>
      <c r="N204" s="222" t="s">
        <v>13</v>
      </c>
      <c r="O204" s="222" t="s">
        <v>9</v>
      </c>
      <c r="P204" s="224"/>
      <c r="Q204" s="224"/>
      <c r="R204" s="224"/>
      <c r="S204" s="224"/>
      <c r="T204" s="224"/>
      <c r="U204" s="224"/>
      <c r="V204" s="224"/>
      <c r="W204" s="224"/>
      <c r="X204" s="224"/>
      <c r="Y204" s="222">
        <v>3178.51</v>
      </c>
      <c r="Z204" s="222">
        <v>100</v>
      </c>
      <c r="AA204" s="224"/>
      <c r="AB204" s="224"/>
      <c r="AC204" s="224"/>
      <c r="AD204" s="224"/>
      <c r="AE204" s="224"/>
      <c r="AF204" s="224"/>
      <c r="AG204" s="224"/>
      <c r="AH204" s="224"/>
      <c r="AI204" s="224"/>
      <c r="AJ204" s="126"/>
      <c r="AK204" s="126"/>
      <c r="AL204" s="126"/>
      <c r="AM204" s="126"/>
      <c r="AN204" s="126"/>
    </row>
    <row r="205" spans="1:40" ht="15.75" customHeight="1">
      <c r="A205" s="221">
        <f t="shared" si="2"/>
        <v>199</v>
      </c>
      <c r="B205" s="222" t="s">
        <v>5040</v>
      </c>
      <c r="C205" s="222" t="s">
        <v>5</v>
      </c>
      <c r="D205" s="222" t="e">
        <f t="array" ref="D205">IF(F205="","",INDEX(#REF!,MATCH(F205,#REF!,0)))</f>
        <v>#REF!</v>
      </c>
      <c r="E205" s="222" t="e">
        <f t="array" ref="E205">IF(F205="","",INDEX(#REF!,MATCH(F205,#REF!,0)))</f>
        <v>#REF!</v>
      </c>
      <c r="F205" s="222" t="s">
        <v>16</v>
      </c>
      <c r="G205" s="222" t="s">
        <v>4499</v>
      </c>
      <c r="H205" s="223">
        <v>4.0999999999999996</v>
      </c>
      <c r="I205" s="222" t="s">
        <v>5079</v>
      </c>
      <c r="J205" s="222" t="s">
        <v>5080</v>
      </c>
      <c r="K205" s="222" t="s">
        <v>5081</v>
      </c>
      <c r="L205" s="222">
        <v>100</v>
      </c>
      <c r="M205" s="222">
        <v>100</v>
      </c>
      <c r="N205" s="222" t="s">
        <v>11</v>
      </c>
      <c r="O205" s="222" t="s">
        <v>9</v>
      </c>
      <c r="P205" s="224">
        <v>70669435.019999996</v>
      </c>
      <c r="Q205" s="224">
        <v>185000</v>
      </c>
      <c r="R205" s="224">
        <v>1083928</v>
      </c>
      <c r="S205" s="224"/>
      <c r="T205" s="224">
        <v>200000</v>
      </c>
      <c r="U205" s="224"/>
      <c r="V205" s="224"/>
      <c r="W205" s="224"/>
      <c r="X205" s="224"/>
      <c r="Y205" s="222">
        <v>3178.85</v>
      </c>
      <c r="Z205" s="222">
        <v>100</v>
      </c>
      <c r="AA205" s="224">
        <v>11699500.07</v>
      </c>
      <c r="AB205" s="224">
        <v>0</v>
      </c>
      <c r="AC205" s="224">
        <v>0</v>
      </c>
      <c r="AD205" s="224"/>
      <c r="AE205" s="224">
        <v>0</v>
      </c>
      <c r="AF205" s="224"/>
      <c r="AG205" s="224"/>
      <c r="AH205" s="224"/>
      <c r="AI205" s="224"/>
      <c r="AJ205" s="126"/>
      <c r="AK205" s="126"/>
      <c r="AL205" s="126"/>
      <c r="AM205" s="126"/>
      <c r="AN205" s="126"/>
    </row>
    <row r="206" spans="1:40" ht="15.75" customHeight="1">
      <c r="A206" s="221">
        <f t="shared" si="2"/>
        <v>200</v>
      </c>
      <c r="B206" s="222" t="s">
        <v>5040</v>
      </c>
      <c r="C206" s="222" t="s">
        <v>5</v>
      </c>
      <c r="D206" s="222" t="e">
        <f t="array" ref="D206">IF(F206="","",INDEX(#REF!,MATCH(F206,#REF!,0)))</f>
        <v>#REF!</v>
      </c>
      <c r="E206" s="222" t="e">
        <f t="array" ref="E206">IF(F206="","",INDEX(#REF!,MATCH(F206,#REF!,0)))</f>
        <v>#REF!</v>
      </c>
      <c r="F206" s="222" t="s">
        <v>16</v>
      </c>
      <c r="G206" s="222" t="s">
        <v>4499</v>
      </c>
      <c r="H206" s="223">
        <v>4.2</v>
      </c>
      <c r="I206" s="222" t="s">
        <v>5082</v>
      </c>
      <c r="J206" s="222" t="s">
        <v>5083</v>
      </c>
      <c r="K206" s="222" t="s">
        <v>5084</v>
      </c>
      <c r="L206" s="222">
        <v>100</v>
      </c>
      <c r="M206" s="222">
        <v>100</v>
      </c>
      <c r="N206" s="222" t="s">
        <v>11</v>
      </c>
      <c r="O206" s="222" t="s">
        <v>9</v>
      </c>
      <c r="P206" s="224"/>
      <c r="Q206" s="224">
        <v>1528865.26</v>
      </c>
      <c r="R206" s="224">
        <v>941572</v>
      </c>
      <c r="S206" s="224"/>
      <c r="T206" s="224">
        <v>200500</v>
      </c>
      <c r="U206" s="224"/>
      <c r="V206" s="224"/>
      <c r="W206" s="224"/>
      <c r="X206" s="224"/>
      <c r="Y206" s="222">
        <v>2015.46</v>
      </c>
      <c r="Z206" s="222">
        <v>100</v>
      </c>
      <c r="AA206" s="224"/>
      <c r="AB206" s="224">
        <v>0</v>
      </c>
      <c r="AC206" s="224">
        <v>0</v>
      </c>
      <c r="AD206" s="224"/>
      <c r="AE206" s="224">
        <v>0</v>
      </c>
      <c r="AF206" s="224"/>
      <c r="AG206" s="224"/>
      <c r="AH206" s="224"/>
      <c r="AI206" s="224"/>
      <c r="AJ206" s="126"/>
      <c r="AK206" s="126"/>
      <c r="AL206" s="126"/>
      <c r="AM206" s="126"/>
      <c r="AN206" s="126"/>
    </row>
    <row r="207" spans="1:40" ht="15.75" customHeight="1">
      <c r="A207" s="221">
        <f t="shared" si="2"/>
        <v>201</v>
      </c>
      <c r="B207" s="222" t="s">
        <v>5040</v>
      </c>
      <c r="C207" s="222" t="s">
        <v>5</v>
      </c>
      <c r="D207" s="222" t="e">
        <f t="array" ref="D207">IF(F207="","",INDEX(#REF!,MATCH(F207,#REF!,0)))</f>
        <v>#REF!</v>
      </c>
      <c r="E207" s="222" t="e">
        <f t="array" ref="E207">IF(F207="","",INDEX(#REF!,MATCH(F207,#REF!,0)))</f>
        <v>#REF!</v>
      </c>
      <c r="F207" s="222" t="s">
        <v>16</v>
      </c>
      <c r="G207" s="222" t="s">
        <v>4499</v>
      </c>
      <c r="H207" s="223">
        <v>4.3</v>
      </c>
      <c r="I207" s="222" t="s">
        <v>5085</v>
      </c>
      <c r="J207" s="222" t="s">
        <v>5086</v>
      </c>
      <c r="K207" s="222" t="s">
        <v>5087</v>
      </c>
      <c r="L207" s="222">
        <v>100</v>
      </c>
      <c r="M207" s="222">
        <v>100</v>
      </c>
      <c r="N207" s="222" t="s">
        <v>11</v>
      </c>
      <c r="O207" s="222" t="s">
        <v>9</v>
      </c>
      <c r="P207" s="224"/>
      <c r="Q207" s="224">
        <v>50000</v>
      </c>
      <c r="R207" s="224"/>
      <c r="S207" s="224"/>
      <c r="T207" s="224"/>
      <c r="U207" s="224"/>
      <c r="V207" s="224"/>
      <c r="W207" s="224"/>
      <c r="X207" s="224"/>
      <c r="Y207" s="222">
        <v>106.22</v>
      </c>
      <c r="Z207" s="222">
        <v>100</v>
      </c>
      <c r="AA207" s="224"/>
      <c r="AB207" s="224">
        <v>0</v>
      </c>
      <c r="AC207" s="224"/>
      <c r="AD207" s="224"/>
      <c r="AE207" s="224"/>
      <c r="AF207" s="224"/>
      <c r="AG207" s="224"/>
      <c r="AH207" s="224"/>
      <c r="AI207" s="224"/>
      <c r="AJ207" s="126"/>
      <c r="AK207" s="126"/>
      <c r="AL207" s="126"/>
      <c r="AM207" s="126"/>
      <c r="AN207" s="126"/>
    </row>
    <row r="208" spans="1:40" ht="15.75" customHeight="1">
      <c r="A208" s="221">
        <f t="shared" si="2"/>
        <v>202</v>
      </c>
      <c r="B208" s="222" t="s">
        <v>5088</v>
      </c>
      <c r="C208" s="222" t="s">
        <v>5</v>
      </c>
      <c r="D208" s="222" t="e">
        <f t="array" ref="D208">IF(F208="","",INDEX(#REF!,MATCH(F208,#REF!,0)))</f>
        <v>#REF!</v>
      </c>
      <c r="E208" s="222" t="e">
        <f t="array" ref="E208">IF(F208="","",INDEX(#REF!,MATCH(F208,#REF!,0)))</f>
        <v>#REF!</v>
      </c>
      <c r="F208" s="222" t="s">
        <v>16</v>
      </c>
      <c r="G208" s="222" t="s">
        <v>0</v>
      </c>
      <c r="H208" s="223" t="s">
        <v>4487</v>
      </c>
      <c r="I208" s="222" t="s">
        <v>5089</v>
      </c>
      <c r="J208" s="222" t="s">
        <v>5090</v>
      </c>
      <c r="K208" s="222" t="s">
        <v>5091</v>
      </c>
      <c r="L208" s="222">
        <v>104</v>
      </c>
      <c r="M208" s="222">
        <v>104</v>
      </c>
      <c r="N208" s="222" t="s">
        <v>15</v>
      </c>
      <c r="O208" s="222" t="s">
        <v>9</v>
      </c>
      <c r="P208" s="224"/>
      <c r="Q208" s="224"/>
      <c r="R208" s="224"/>
      <c r="S208" s="224"/>
      <c r="T208" s="224"/>
      <c r="U208" s="224"/>
      <c r="V208" s="224"/>
      <c r="W208" s="224"/>
      <c r="X208" s="224"/>
      <c r="Y208" s="222">
        <v>51</v>
      </c>
      <c r="Z208" s="222">
        <v>104</v>
      </c>
      <c r="AA208" s="224"/>
      <c r="AB208" s="224"/>
      <c r="AC208" s="224"/>
      <c r="AD208" s="224"/>
      <c r="AE208" s="224"/>
      <c r="AF208" s="224"/>
      <c r="AG208" s="224"/>
      <c r="AH208" s="224"/>
      <c r="AI208" s="224"/>
      <c r="AJ208" s="126"/>
      <c r="AK208" s="126"/>
      <c r="AL208" s="126"/>
      <c r="AM208" s="126"/>
      <c r="AN208" s="126"/>
    </row>
    <row r="209" spans="1:40" ht="15.75" customHeight="1">
      <c r="A209" s="221">
        <f t="shared" si="2"/>
        <v>203</v>
      </c>
      <c r="B209" s="222" t="s">
        <v>5088</v>
      </c>
      <c r="C209" s="222" t="s">
        <v>5</v>
      </c>
      <c r="D209" s="222" t="e">
        <f t="array" ref="D209">IF(F209="","",INDEX(#REF!,MATCH(F209,#REF!,0)))</f>
        <v>#REF!</v>
      </c>
      <c r="E209" s="222" t="e">
        <f t="array" ref="E209">IF(F209="","",INDEX(#REF!,MATCH(F209,#REF!,0)))</f>
        <v>#REF!</v>
      </c>
      <c r="F209" s="222" t="s">
        <v>16</v>
      </c>
      <c r="G209" s="222" t="s">
        <v>4491</v>
      </c>
      <c r="H209" s="223" t="s">
        <v>4487</v>
      </c>
      <c r="I209" s="222" t="s">
        <v>5092</v>
      </c>
      <c r="J209" s="222" t="s">
        <v>5093</v>
      </c>
      <c r="K209" s="222" t="s">
        <v>5094</v>
      </c>
      <c r="L209" s="222">
        <v>0</v>
      </c>
      <c r="M209" s="222">
        <v>0</v>
      </c>
      <c r="N209" s="222" t="s">
        <v>15</v>
      </c>
      <c r="O209" s="222" t="s">
        <v>9</v>
      </c>
      <c r="P209" s="224"/>
      <c r="Q209" s="224"/>
      <c r="R209" s="224"/>
      <c r="S209" s="224"/>
      <c r="T209" s="224"/>
      <c r="U209" s="224"/>
      <c r="V209" s="224"/>
      <c r="W209" s="224"/>
      <c r="X209" s="224"/>
      <c r="Y209" s="222">
        <v>0</v>
      </c>
      <c r="Z209" s="222">
        <v>0</v>
      </c>
      <c r="AA209" s="224"/>
      <c r="AB209" s="224"/>
      <c r="AC209" s="224"/>
      <c r="AD209" s="224"/>
      <c r="AE209" s="224"/>
      <c r="AF209" s="224"/>
      <c r="AG209" s="224"/>
      <c r="AH209" s="224"/>
      <c r="AI209" s="224"/>
      <c r="AJ209" s="126"/>
      <c r="AK209" s="126"/>
      <c r="AL209" s="126"/>
      <c r="AM209" s="126"/>
      <c r="AN209" s="126"/>
    </row>
    <row r="210" spans="1:40" ht="15.75" customHeight="1">
      <c r="A210" s="221">
        <f t="shared" si="2"/>
        <v>204</v>
      </c>
      <c r="B210" s="222" t="s">
        <v>5088</v>
      </c>
      <c r="C210" s="222" t="s">
        <v>5</v>
      </c>
      <c r="D210" s="222" t="e">
        <f t="array" ref="D210">IF(F210="","",INDEX(#REF!,MATCH(F210,#REF!,0)))</f>
        <v>#REF!</v>
      </c>
      <c r="E210" s="222" t="e">
        <f t="array" ref="E210">IF(F210="","",INDEX(#REF!,MATCH(F210,#REF!,0)))</f>
        <v>#REF!</v>
      </c>
      <c r="F210" s="222" t="s">
        <v>16</v>
      </c>
      <c r="G210" s="222" t="s">
        <v>4495</v>
      </c>
      <c r="H210" s="223">
        <v>1</v>
      </c>
      <c r="I210" s="222" t="s">
        <v>5095</v>
      </c>
      <c r="J210" s="222" t="s">
        <v>5096</v>
      </c>
      <c r="K210" s="222" t="s">
        <v>5097</v>
      </c>
      <c r="L210" s="222">
        <v>5890</v>
      </c>
      <c r="M210" s="222">
        <v>5890</v>
      </c>
      <c r="N210" s="222" t="s">
        <v>13</v>
      </c>
      <c r="O210" s="222" t="s">
        <v>9</v>
      </c>
      <c r="P210" s="224"/>
      <c r="Q210" s="224"/>
      <c r="R210" s="224"/>
      <c r="S210" s="224"/>
      <c r="T210" s="224"/>
      <c r="U210" s="224"/>
      <c r="V210" s="224"/>
      <c r="W210" s="224"/>
      <c r="X210" s="224"/>
      <c r="Y210" s="222">
        <v>0</v>
      </c>
      <c r="Z210" s="222">
        <v>5890</v>
      </c>
      <c r="AA210" s="224"/>
      <c r="AB210" s="224"/>
      <c r="AC210" s="224"/>
      <c r="AD210" s="224"/>
      <c r="AE210" s="224"/>
      <c r="AF210" s="224"/>
      <c r="AG210" s="224"/>
      <c r="AH210" s="224"/>
      <c r="AI210" s="224"/>
      <c r="AJ210" s="126"/>
      <c r="AK210" s="126"/>
      <c r="AL210" s="126"/>
      <c r="AM210" s="126"/>
      <c r="AN210" s="126"/>
    </row>
    <row r="211" spans="1:40" ht="15.75" customHeight="1">
      <c r="A211" s="221">
        <f t="shared" si="2"/>
        <v>205</v>
      </c>
      <c r="B211" s="222" t="s">
        <v>5088</v>
      </c>
      <c r="C211" s="222" t="s">
        <v>5</v>
      </c>
      <c r="D211" s="222" t="e">
        <f t="array" ref="D211">IF(F211="","",INDEX(#REF!,MATCH(F211,#REF!,0)))</f>
        <v>#REF!</v>
      </c>
      <c r="E211" s="222" t="e">
        <f t="array" ref="E211">IF(F211="","",INDEX(#REF!,MATCH(F211,#REF!,0)))</f>
        <v>#REF!</v>
      </c>
      <c r="F211" s="222" t="s">
        <v>16</v>
      </c>
      <c r="G211" s="222" t="s">
        <v>4499</v>
      </c>
      <c r="H211" s="223">
        <v>1.1000000000000001</v>
      </c>
      <c r="I211" s="222" t="s">
        <v>5098</v>
      </c>
      <c r="J211" s="222" t="s">
        <v>5099</v>
      </c>
      <c r="K211" s="222" t="s">
        <v>5100</v>
      </c>
      <c r="L211" s="222">
        <v>5890</v>
      </c>
      <c r="M211" s="222">
        <v>5890</v>
      </c>
      <c r="N211" s="222" t="s">
        <v>13</v>
      </c>
      <c r="O211" s="222" t="s">
        <v>9</v>
      </c>
      <c r="P211" s="224">
        <v>24597882.390000001</v>
      </c>
      <c r="Q211" s="224">
        <v>507161.63</v>
      </c>
      <c r="R211" s="224">
        <v>662270</v>
      </c>
      <c r="S211" s="224"/>
      <c r="T211" s="224"/>
      <c r="U211" s="224"/>
      <c r="V211" s="224"/>
      <c r="W211" s="224"/>
      <c r="X211" s="224"/>
      <c r="Y211" s="222">
        <v>2947</v>
      </c>
      <c r="Z211" s="222">
        <v>5890</v>
      </c>
      <c r="AA211" s="224">
        <v>9718313.8299999982</v>
      </c>
      <c r="AB211" s="224">
        <v>101638.92</v>
      </c>
      <c r="AC211" s="224">
        <v>2381.1999999999998</v>
      </c>
      <c r="AD211" s="224"/>
      <c r="AE211" s="224"/>
      <c r="AF211" s="224"/>
      <c r="AG211" s="224"/>
      <c r="AH211" s="224"/>
      <c r="AI211" s="224"/>
      <c r="AJ211" s="126"/>
      <c r="AK211" s="126"/>
      <c r="AL211" s="126"/>
      <c r="AM211" s="126"/>
      <c r="AN211" s="126"/>
    </row>
    <row r="212" spans="1:40" ht="15.75" customHeight="1">
      <c r="A212" s="221">
        <f t="shared" si="2"/>
        <v>206</v>
      </c>
      <c r="B212" s="222" t="s">
        <v>5088</v>
      </c>
      <c r="C212" s="222" t="s">
        <v>5</v>
      </c>
      <c r="D212" s="222" t="e">
        <f t="array" ref="D212">IF(F212="","",INDEX(#REF!,MATCH(F212,#REF!,0)))</f>
        <v>#REF!</v>
      </c>
      <c r="E212" s="222" t="e">
        <f t="array" ref="E212">IF(F212="","",INDEX(#REF!,MATCH(F212,#REF!,0)))</f>
        <v>#REF!</v>
      </c>
      <c r="F212" s="222" t="s">
        <v>16</v>
      </c>
      <c r="G212" s="222" t="s">
        <v>4499</v>
      </c>
      <c r="H212" s="223">
        <v>1.2</v>
      </c>
      <c r="I212" s="222" t="s">
        <v>5101</v>
      </c>
      <c r="J212" s="222" t="s">
        <v>5102</v>
      </c>
      <c r="K212" s="222" t="s">
        <v>5103</v>
      </c>
      <c r="L212" s="222">
        <v>3560</v>
      </c>
      <c r="M212" s="222">
        <v>3560</v>
      </c>
      <c r="N212" s="222" t="s">
        <v>11</v>
      </c>
      <c r="O212" s="222" t="s">
        <v>9</v>
      </c>
      <c r="P212" s="224">
        <v>10715954.5</v>
      </c>
      <c r="Q212" s="224">
        <v>0</v>
      </c>
      <c r="R212" s="224">
        <v>150000</v>
      </c>
      <c r="S212" s="224"/>
      <c r="T212" s="224">
        <v>155000</v>
      </c>
      <c r="U212" s="224"/>
      <c r="V212" s="224"/>
      <c r="W212" s="224"/>
      <c r="X212" s="224"/>
      <c r="Y212" s="222">
        <v>1776</v>
      </c>
      <c r="Z212" s="222">
        <v>3560</v>
      </c>
      <c r="AA212" s="224">
        <v>1797502.9100000001</v>
      </c>
      <c r="AB212" s="224">
        <v>0</v>
      </c>
      <c r="AC212" s="224">
        <v>0</v>
      </c>
      <c r="AD212" s="224"/>
      <c r="AE212" s="224">
        <v>0</v>
      </c>
      <c r="AF212" s="224"/>
      <c r="AG212" s="224"/>
      <c r="AH212" s="224"/>
      <c r="AI212" s="224"/>
      <c r="AJ212" s="126"/>
      <c r="AK212" s="126"/>
      <c r="AL212" s="126"/>
      <c r="AM212" s="126"/>
      <c r="AN212" s="126"/>
    </row>
    <row r="213" spans="1:40" ht="15.75" customHeight="1">
      <c r="A213" s="221">
        <f t="shared" si="2"/>
        <v>207</v>
      </c>
      <c r="B213" s="222" t="s">
        <v>5088</v>
      </c>
      <c r="C213" s="222" t="s">
        <v>5</v>
      </c>
      <c r="D213" s="222" t="e">
        <f t="array" ref="D213">IF(F213="","",INDEX(#REF!,MATCH(F213,#REF!,0)))</f>
        <v>#REF!</v>
      </c>
      <c r="E213" s="222" t="e">
        <f t="array" ref="E213">IF(F213="","",INDEX(#REF!,MATCH(F213,#REF!,0)))</f>
        <v>#REF!</v>
      </c>
      <c r="F213" s="222" t="s">
        <v>16</v>
      </c>
      <c r="G213" s="222" t="s">
        <v>4495</v>
      </c>
      <c r="H213" s="223">
        <v>2</v>
      </c>
      <c r="I213" s="222" t="s">
        <v>5104</v>
      </c>
      <c r="J213" s="222" t="s">
        <v>5105</v>
      </c>
      <c r="K213" s="222" t="s">
        <v>5106</v>
      </c>
      <c r="L213" s="222">
        <v>60</v>
      </c>
      <c r="M213" s="222">
        <v>60</v>
      </c>
      <c r="N213" s="222" t="s">
        <v>13</v>
      </c>
      <c r="O213" s="222" t="s">
        <v>9</v>
      </c>
      <c r="P213" s="224"/>
      <c r="Q213" s="224"/>
      <c r="R213" s="224"/>
      <c r="S213" s="224"/>
      <c r="T213" s="224"/>
      <c r="U213" s="224"/>
      <c r="V213" s="224"/>
      <c r="W213" s="224"/>
      <c r="X213" s="224"/>
      <c r="Y213" s="222">
        <v>33</v>
      </c>
      <c r="Z213" s="222">
        <v>60</v>
      </c>
      <c r="AA213" s="224"/>
      <c r="AB213" s="224"/>
      <c r="AC213" s="224"/>
      <c r="AD213" s="224"/>
      <c r="AE213" s="224"/>
      <c r="AF213" s="224"/>
      <c r="AG213" s="224"/>
      <c r="AH213" s="224"/>
      <c r="AI213" s="224"/>
      <c r="AJ213" s="126"/>
      <c r="AK213" s="126"/>
      <c r="AL213" s="126"/>
      <c r="AM213" s="126"/>
      <c r="AN213" s="126"/>
    </row>
    <row r="214" spans="1:40" ht="15.75" customHeight="1">
      <c r="A214" s="221">
        <f t="shared" si="2"/>
        <v>208</v>
      </c>
      <c r="B214" s="222" t="s">
        <v>5088</v>
      </c>
      <c r="C214" s="222" t="s">
        <v>5</v>
      </c>
      <c r="D214" s="222" t="e">
        <f t="array" ref="D214">IF(F214="","",INDEX(#REF!,MATCH(F214,#REF!,0)))</f>
        <v>#REF!</v>
      </c>
      <c r="E214" s="222" t="e">
        <f t="array" ref="E214">IF(F214="","",INDEX(#REF!,MATCH(F214,#REF!,0)))</f>
        <v>#REF!</v>
      </c>
      <c r="F214" s="222" t="s">
        <v>16</v>
      </c>
      <c r="G214" s="222" t="s">
        <v>4499</v>
      </c>
      <c r="H214" s="223">
        <v>2.1</v>
      </c>
      <c r="I214" s="222" t="s">
        <v>5107</v>
      </c>
      <c r="J214" s="222" t="s">
        <v>5108</v>
      </c>
      <c r="K214" s="222" t="s">
        <v>5109</v>
      </c>
      <c r="L214" s="222">
        <v>96000</v>
      </c>
      <c r="M214" s="222">
        <v>96000</v>
      </c>
      <c r="N214" s="222" t="s">
        <v>11</v>
      </c>
      <c r="O214" s="222" t="s">
        <v>9</v>
      </c>
      <c r="P214" s="224"/>
      <c r="Q214" s="224">
        <v>56944</v>
      </c>
      <c r="R214" s="224">
        <v>7000</v>
      </c>
      <c r="S214" s="224"/>
      <c r="T214" s="224">
        <v>150000</v>
      </c>
      <c r="U214" s="224"/>
      <c r="V214" s="224"/>
      <c r="W214" s="224"/>
      <c r="X214" s="224"/>
      <c r="Y214" s="222">
        <v>47640</v>
      </c>
      <c r="Z214" s="222">
        <v>96000</v>
      </c>
      <c r="AA214" s="224"/>
      <c r="AB214" s="224">
        <v>0</v>
      </c>
      <c r="AC214" s="224">
        <v>0</v>
      </c>
      <c r="AD214" s="224"/>
      <c r="AE214" s="224">
        <v>0</v>
      </c>
      <c r="AF214" s="224"/>
      <c r="AG214" s="224"/>
      <c r="AH214" s="224"/>
      <c r="AI214" s="224"/>
      <c r="AJ214" s="126"/>
      <c r="AK214" s="126"/>
      <c r="AL214" s="126"/>
      <c r="AM214" s="126"/>
      <c r="AN214" s="126"/>
    </row>
    <row r="215" spans="1:40" ht="15.75" customHeight="1">
      <c r="A215" s="221">
        <f t="shared" si="2"/>
        <v>209</v>
      </c>
      <c r="B215" s="222" t="s">
        <v>5088</v>
      </c>
      <c r="C215" s="222" t="s">
        <v>5</v>
      </c>
      <c r="D215" s="222" t="e">
        <f t="array" ref="D215">IF(F215="","",INDEX(#REF!,MATCH(F215,#REF!,0)))</f>
        <v>#REF!</v>
      </c>
      <c r="E215" s="222" t="e">
        <f t="array" ref="E215">IF(F215="","",INDEX(#REF!,MATCH(F215,#REF!,0)))</f>
        <v>#REF!</v>
      </c>
      <c r="F215" s="222" t="s">
        <v>16</v>
      </c>
      <c r="G215" s="222" t="s">
        <v>4499</v>
      </c>
      <c r="H215" s="223">
        <v>2.2000000000000002</v>
      </c>
      <c r="I215" s="222" t="s">
        <v>5110</v>
      </c>
      <c r="J215" s="222" t="s">
        <v>5111</v>
      </c>
      <c r="K215" s="222" t="s">
        <v>5112</v>
      </c>
      <c r="L215" s="222">
        <v>204</v>
      </c>
      <c r="M215" s="222">
        <v>204</v>
      </c>
      <c r="N215" s="222" t="s">
        <v>11</v>
      </c>
      <c r="O215" s="222" t="s">
        <v>9</v>
      </c>
      <c r="P215" s="224">
        <v>17327128.719999999</v>
      </c>
      <c r="Q215" s="224">
        <v>263413</v>
      </c>
      <c r="R215" s="224">
        <v>10983683</v>
      </c>
      <c r="S215" s="224"/>
      <c r="T215" s="224">
        <v>0</v>
      </c>
      <c r="U215" s="224"/>
      <c r="V215" s="224"/>
      <c r="W215" s="224"/>
      <c r="X215" s="224"/>
      <c r="Y215" s="222">
        <v>101</v>
      </c>
      <c r="Z215" s="222">
        <v>204</v>
      </c>
      <c r="AA215" s="224">
        <v>3034862.7100000004</v>
      </c>
      <c r="AB215" s="224">
        <v>72168.14</v>
      </c>
      <c r="AC215" s="224">
        <v>3440438.31</v>
      </c>
      <c r="AD215" s="224"/>
      <c r="AE215" s="224">
        <v>0</v>
      </c>
      <c r="AF215" s="224"/>
      <c r="AG215" s="224"/>
      <c r="AH215" s="224"/>
      <c r="AI215" s="224"/>
      <c r="AJ215" s="126"/>
      <c r="AK215" s="126"/>
      <c r="AL215" s="126"/>
      <c r="AM215" s="126"/>
      <c r="AN215" s="126"/>
    </row>
    <row r="216" spans="1:40" ht="15.75" customHeight="1">
      <c r="A216" s="221">
        <f t="shared" si="2"/>
        <v>210</v>
      </c>
      <c r="B216" s="222" t="s">
        <v>5088</v>
      </c>
      <c r="C216" s="222" t="s">
        <v>5</v>
      </c>
      <c r="D216" s="222" t="e">
        <f t="array" ref="D216">IF(F216="","",INDEX(#REF!,MATCH(F216,#REF!,0)))</f>
        <v>#REF!</v>
      </c>
      <c r="E216" s="222" t="e">
        <f t="array" ref="E216">IF(F216="","",INDEX(#REF!,MATCH(F216,#REF!,0)))</f>
        <v>#REF!</v>
      </c>
      <c r="F216" s="222" t="s">
        <v>16</v>
      </c>
      <c r="G216" s="222" t="s">
        <v>4499</v>
      </c>
      <c r="H216" s="223">
        <v>2.2999999999999998</v>
      </c>
      <c r="I216" s="222" t="s">
        <v>5113</v>
      </c>
      <c r="J216" s="222" t="s">
        <v>5114</v>
      </c>
      <c r="K216" s="222" t="s">
        <v>5115</v>
      </c>
      <c r="L216" s="222">
        <v>0</v>
      </c>
      <c r="M216" s="222">
        <v>0</v>
      </c>
      <c r="N216" s="222" t="s">
        <v>11</v>
      </c>
      <c r="O216" s="222" t="s">
        <v>9</v>
      </c>
      <c r="P216" s="224"/>
      <c r="Q216" s="224">
        <v>14800.4</v>
      </c>
      <c r="R216" s="224"/>
      <c r="S216" s="224"/>
      <c r="T216" s="224"/>
      <c r="U216" s="224"/>
      <c r="V216" s="224"/>
      <c r="W216" s="224"/>
      <c r="X216" s="224"/>
      <c r="Y216" s="222">
        <v>0</v>
      </c>
      <c r="Z216" s="222">
        <v>0</v>
      </c>
      <c r="AA216" s="224"/>
      <c r="AB216" s="224">
        <v>800.4</v>
      </c>
      <c r="AC216" s="224"/>
      <c r="AD216" s="224"/>
      <c r="AE216" s="224"/>
      <c r="AF216" s="224"/>
      <c r="AG216" s="224"/>
      <c r="AH216" s="224"/>
      <c r="AI216" s="224"/>
      <c r="AJ216" s="126"/>
      <c r="AK216" s="126"/>
      <c r="AL216" s="126"/>
      <c r="AM216" s="126"/>
      <c r="AN216" s="126"/>
    </row>
    <row r="217" spans="1:40" ht="15.75" customHeight="1">
      <c r="A217" s="221">
        <f t="shared" si="2"/>
        <v>211</v>
      </c>
      <c r="B217" s="222" t="s">
        <v>5116</v>
      </c>
      <c r="C217" s="222" t="s">
        <v>5</v>
      </c>
      <c r="D217" s="222" t="e">
        <f t="array" ref="D217">IF(F217="","",INDEX(#REF!,MATCH(F217,#REF!,0)))</f>
        <v>#REF!</v>
      </c>
      <c r="E217" s="222" t="e">
        <f t="array" ref="E217">IF(F217="","",INDEX(#REF!,MATCH(F217,#REF!,0)))</f>
        <v>#REF!</v>
      </c>
      <c r="F217" s="222" t="s">
        <v>22</v>
      </c>
      <c r="G217" s="222" t="s">
        <v>0</v>
      </c>
      <c r="H217" s="223" t="s">
        <v>4487</v>
      </c>
      <c r="I217" s="222" t="s">
        <v>5117</v>
      </c>
      <c r="J217" s="222" t="s">
        <v>5118</v>
      </c>
      <c r="K217" s="222" t="s">
        <v>5119</v>
      </c>
      <c r="L217" s="222">
        <v>901711</v>
      </c>
      <c r="M217" s="222">
        <v>1385629</v>
      </c>
      <c r="N217" s="222" t="s">
        <v>15</v>
      </c>
      <c r="O217" s="222" t="s">
        <v>9</v>
      </c>
      <c r="P217" s="224"/>
      <c r="Q217" s="224"/>
      <c r="R217" s="224"/>
      <c r="S217" s="224"/>
      <c r="T217" s="224"/>
      <c r="U217" s="224"/>
      <c r="V217" s="224"/>
      <c r="W217" s="224"/>
      <c r="X217" s="224"/>
      <c r="Y217" s="222">
        <v>0</v>
      </c>
      <c r="Z217" s="222">
        <v>1385629</v>
      </c>
      <c r="AA217" s="224"/>
      <c r="AB217" s="224"/>
      <c r="AC217" s="224"/>
      <c r="AD217" s="224"/>
      <c r="AE217" s="224"/>
      <c r="AF217" s="224"/>
      <c r="AG217" s="224"/>
      <c r="AH217" s="224"/>
      <c r="AI217" s="224"/>
      <c r="AJ217" s="126"/>
      <c r="AK217" s="126"/>
      <c r="AL217" s="126"/>
      <c r="AM217" s="126"/>
      <c r="AN217" s="126"/>
    </row>
    <row r="218" spans="1:40" ht="15.75" customHeight="1">
      <c r="A218" s="221">
        <f t="shared" si="2"/>
        <v>212</v>
      </c>
      <c r="B218" s="222" t="s">
        <v>5116</v>
      </c>
      <c r="C218" s="222" t="s">
        <v>5</v>
      </c>
      <c r="D218" s="222" t="e">
        <f t="array" ref="D218">IF(F218="","",INDEX(#REF!,MATCH(F218,#REF!,0)))</f>
        <v>#REF!</v>
      </c>
      <c r="E218" s="222" t="e">
        <f t="array" ref="E218">IF(F218="","",INDEX(#REF!,MATCH(F218,#REF!,0)))</f>
        <v>#REF!</v>
      </c>
      <c r="F218" s="222" t="s">
        <v>22</v>
      </c>
      <c r="G218" s="222" t="s">
        <v>4491</v>
      </c>
      <c r="H218" s="223" t="s">
        <v>4487</v>
      </c>
      <c r="I218" s="222" t="s">
        <v>5120</v>
      </c>
      <c r="J218" s="222" t="s">
        <v>5121</v>
      </c>
      <c r="K218" s="222" t="s">
        <v>5122</v>
      </c>
      <c r="L218" s="222">
        <v>2980000</v>
      </c>
      <c r="M218" s="222">
        <v>2977905</v>
      </c>
      <c r="N218" s="222" t="s">
        <v>15</v>
      </c>
      <c r="O218" s="222" t="s">
        <v>4611</v>
      </c>
      <c r="P218" s="224"/>
      <c r="Q218" s="224"/>
      <c r="R218" s="224"/>
      <c r="S218" s="224"/>
      <c r="T218" s="224"/>
      <c r="U218" s="224"/>
      <c r="V218" s="224"/>
      <c r="W218" s="224"/>
      <c r="X218" s="224"/>
      <c r="Y218" s="222">
        <v>0</v>
      </c>
      <c r="Z218" s="222">
        <v>2977905</v>
      </c>
      <c r="AA218" s="224"/>
      <c r="AB218" s="224"/>
      <c r="AC218" s="224"/>
      <c r="AD218" s="224"/>
      <c r="AE218" s="224"/>
      <c r="AF218" s="224"/>
      <c r="AG218" s="224"/>
      <c r="AH218" s="224"/>
      <c r="AI218" s="224"/>
      <c r="AJ218" s="126"/>
      <c r="AK218" s="126"/>
      <c r="AL218" s="126"/>
      <c r="AM218" s="126"/>
      <c r="AN218" s="126"/>
    </row>
    <row r="219" spans="1:40" ht="15.75" customHeight="1">
      <c r="A219" s="221">
        <f t="shared" si="2"/>
        <v>213</v>
      </c>
      <c r="B219" s="222" t="s">
        <v>5116</v>
      </c>
      <c r="C219" s="222" t="s">
        <v>5</v>
      </c>
      <c r="D219" s="222" t="e">
        <f t="array" ref="D219">IF(F219="","",INDEX(#REF!,MATCH(F219,#REF!,0)))</f>
        <v>#REF!</v>
      </c>
      <c r="E219" s="222" t="e">
        <f t="array" ref="E219">IF(F219="","",INDEX(#REF!,MATCH(F219,#REF!,0)))</f>
        <v>#REF!</v>
      </c>
      <c r="F219" s="222" t="s">
        <v>22</v>
      </c>
      <c r="G219" s="222" t="s">
        <v>4495</v>
      </c>
      <c r="H219" s="223" t="s">
        <v>5123</v>
      </c>
      <c r="I219" s="222" t="s">
        <v>5124</v>
      </c>
      <c r="J219" s="222" t="s">
        <v>5125</v>
      </c>
      <c r="K219" s="222" t="s">
        <v>5126</v>
      </c>
      <c r="L219" s="222">
        <v>6482</v>
      </c>
      <c r="M219" s="222">
        <v>6482</v>
      </c>
      <c r="N219" s="222" t="s">
        <v>11</v>
      </c>
      <c r="O219" s="222" t="s">
        <v>9</v>
      </c>
      <c r="P219" s="224"/>
      <c r="Q219" s="224"/>
      <c r="R219" s="224"/>
      <c r="S219" s="224"/>
      <c r="T219" s="224"/>
      <c r="U219" s="224"/>
      <c r="V219" s="224"/>
      <c r="W219" s="224"/>
      <c r="X219" s="224"/>
      <c r="Y219" s="222">
        <v>3749</v>
      </c>
      <c r="Z219" s="222">
        <v>6482</v>
      </c>
      <c r="AA219" s="224"/>
      <c r="AB219" s="224"/>
      <c r="AC219" s="224"/>
      <c r="AD219" s="224"/>
      <c r="AE219" s="224"/>
      <c r="AF219" s="224"/>
      <c r="AG219" s="224"/>
      <c r="AH219" s="224"/>
      <c r="AI219" s="224"/>
      <c r="AJ219" s="126"/>
      <c r="AK219" s="126"/>
      <c r="AL219" s="126"/>
      <c r="AM219" s="126"/>
      <c r="AN219" s="126"/>
    </row>
    <row r="220" spans="1:40" ht="15.75" customHeight="1">
      <c r="A220" s="221">
        <f t="shared" si="2"/>
        <v>214</v>
      </c>
      <c r="B220" s="222" t="s">
        <v>5116</v>
      </c>
      <c r="C220" s="222" t="s">
        <v>5</v>
      </c>
      <c r="D220" s="222" t="e">
        <f t="array" ref="D220">IF(F220="","",INDEX(#REF!,MATCH(F220,#REF!,0)))</f>
        <v>#REF!</v>
      </c>
      <c r="E220" s="222" t="e">
        <f t="array" ref="E220">IF(F220="","",INDEX(#REF!,MATCH(F220,#REF!,0)))</f>
        <v>#REF!</v>
      </c>
      <c r="F220" s="222" t="s">
        <v>22</v>
      </c>
      <c r="G220" s="222" t="s">
        <v>4499</v>
      </c>
      <c r="H220" s="223">
        <v>1.1000000000000001</v>
      </c>
      <c r="I220" s="222" t="s">
        <v>5127</v>
      </c>
      <c r="J220" s="222" t="s">
        <v>5128</v>
      </c>
      <c r="K220" s="222" t="s">
        <v>5129</v>
      </c>
      <c r="L220" s="222">
        <v>9095</v>
      </c>
      <c r="M220" s="222">
        <v>4</v>
      </c>
      <c r="N220" s="222" t="s">
        <v>11</v>
      </c>
      <c r="O220" s="222" t="s">
        <v>14</v>
      </c>
      <c r="P220" s="224">
        <v>49652084.819999993</v>
      </c>
      <c r="Q220" s="224">
        <v>1123000</v>
      </c>
      <c r="R220" s="224">
        <v>1283651</v>
      </c>
      <c r="S220" s="224"/>
      <c r="T220" s="224">
        <v>1690000</v>
      </c>
      <c r="U220" s="224"/>
      <c r="V220" s="224"/>
      <c r="W220" s="224"/>
      <c r="X220" s="224"/>
      <c r="Y220" s="222">
        <v>5679</v>
      </c>
      <c r="Z220" s="222">
        <v>4</v>
      </c>
      <c r="AA220" s="224">
        <v>41086764.729999989</v>
      </c>
      <c r="AB220" s="224">
        <v>0</v>
      </c>
      <c r="AC220" s="224">
        <v>199566.66</v>
      </c>
      <c r="AD220" s="224"/>
      <c r="AE220" s="224">
        <v>0</v>
      </c>
      <c r="AF220" s="224"/>
      <c r="AG220" s="224"/>
      <c r="AH220" s="224"/>
      <c r="AI220" s="224"/>
      <c r="AJ220" s="126"/>
      <c r="AK220" s="126"/>
      <c r="AL220" s="126"/>
      <c r="AM220" s="126"/>
      <c r="AN220" s="126"/>
    </row>
    <row r="221" spans="1:40" ht="15.75" customHeight="1">
      <c r="A221" s="221">
        <f t="shared" si="2"/>
        <v>215</v>
      </c>
      <c r="B221" s="222" t="s">
        <v>5116</v>
      </c>
      <c r="C221" s="222" t="s">
        <v>5</v>
      </c>
      <c r="D221" s="222" t="e">
        <f t="array" ref="D221">IF(F221="","",INDEX(#REF!,MATCH(F221,#REF!,0)))</f>
        <v>#REF!</v>
      </c>
      <c r="E221" s="222" t="e">
        <f t="array" ref="E221">IF(F221="","",INDEX(#REF!,MATCH(F221,#REF!,0)))</f>
        <v>#REF!</v>
      </c>
      <c r="F221" s="222" t="s">
        <v>22</v>
      </c>
      <c r="G221" s="222" t="s">
        <v>4499</v>
      </c>
      <c r="H221" s="223">
        <v>1.2</v>
      </c>
      <c r="I221" s="222" t="s">
        <v>5130</v>
      </c>
      <c r="J221" s="222" t="s">
        <v>5131</v>
      </c>
      <c r="K221" s="222" t="s">
        <v>5132</v>
      </c>
      <c r="L221" s="222">
        <v>2066</v>
      </c>
      <c r="M221" s="222">
        <v>4</v>
      </c>
      <c r="N221" s="222" t="s">
        <v>11</v>
      </c>
      <c r="O221" s="222" t="s">
        <v>14</v>
      </c>
      <c r="P221" s="224"/>
      <c r="Q221" s="224">
        <v>4200</v>
      </c>
      <c r="R221" s="224">
        <v>257000</v>
      </c>
      <c r="S221" s="224"/>
      <c r="T221" s="224">
        <v>492000</v>
      </c>
      <c r="U221" s="224"/>
      <c r="V221" s="224"/>
      <c r="W221" s="224"/>
      <c r="X221" s="224"/>
      <c r="Y221" s="222">
        <v>1299</v>
      </c>
      <c r="Z221" s="222">
        <v>4</v>
      </c>
      <c r="AA221" s="224"/>
      <c r="AB221" s="224">
        <v>0</v>
      </c>
      <c r="AC221" s="224">
        <v>0</v>
      </c>
      <c r="AD221" s="224"/>
      <c r="AE221" s="224">
        <v>0</v>
      </c>
      <c r="AF221" s="224"/>
      <c r="AG221" s="224"/>
      <c r="AH221" s="224"/>
      <c r="AI221" s="224"/>
      <c r="AJ221" s="126"/>
      <c r="AK221" s="126"/>
      <c r="AL221" s="126"/>
      <c r="AM221" s="126"/>
      <c r="AN221" s="126"/>
    </row>
    <row r="222" spans="1:40" ht="15.75" customHeight="1">
      <c r="A222" s="221">
        <f t="shared" si="2"/>
        <v>216</v>
      </c>
      <c r="B222" s="222" t="s">
        <v>5116</v>
      </c>
      <c r="C222" s="222" t="s">
        <v>5</v>
      </c>
      <c r="D222" s="222" t="e">
        <f t="array" ref="D222">IF(F222="","",INDEX(#REF!,MATCH(F222,#REF!,0)))</f>
        <v>#REF!</v>
      </c>
      <c r="E222" s="222" t="e">
        <f t="array" ref="E222">IF(F222="","",INDEX(#REF!,MATCH(F222,#REF!,0)))</f>
        <v>#REF!</v>
      </c>
      <c r="F222" s="222" t="s">
        <v>22</v>
      </c>
      <c r="G222" s="222" t="s">
        <v>4499</v>
      </c>
      <c r="H222" s="223">
        <v>1.3</v>
      </c>
      <c r="I222" s="222" t="s">
        <v>5133</v>
      </c>
      <c r="J222" s="222" t="s">
        <v>5134</v>
      </c>
      <c r="K222" s="222" t="s">
        <v>5135</v>
      </c>
      <c r="L222" s="222">
        <v>10860</v>
      </c>
      <c r="M222" s="222">
        <v>4</v>
      </c>
      <c r="N222" s="222" t="s">
        <v>11</v>
      </c>
      <c r="O222" s="222" t="s">
        <v>14</v>
      </c>
      <c r="P222" s="224"/>
      <c r="Q222" s="224">
        <v>50000</v>
      </c>
      <c r="R222" s="224">
        <v>800000</v>
      </c>
      <c r="S222" s="224"/>
      <c r="T222" s="224">
        <v>230000</v>
      </c>
      <c r="U222" s="224"/>
      <c r="V222" s="224"/>
      <c r="W222" s="224"/>
      <c r="X222" s="224"/>
      <c r="Y222" s="222">
        <v>6279</v>
      </c>
      <c r="Z222" s="222">
        <v>4</v>
      </c>
      <c r="AA222" s="224"/>
      <c r="AB222" s="224">
        <v>0</v>
      </c>
      <c r="AC222" s="224">
        <v>0</v>
      </c>
      <c r="AD222" s="224"/>
      <c r="AE222" s="224">
        <v>0</v>
      </c>
      <c r="AF222" s="224"/>
      <c r="AG222" s="224"/>
      <c r="AH222" s="224"/>
      <c r="AI222" s="224"/>
      <c r="AJ222" s="126"/>
      <c r="AK222" s="126"/>
      <c r="AL222" s="126"/>
      <c r="AM222" s="126"/>
      <c r="AN222" s="126"/>
    </row>
    <row r="223" spans="1:40" ht="15.75" customHeight="1">
      <c r="A223" s="221">
        <f t="shared" si="2"/>
        <v>217</v>
      </c>
      <c r="B223" s="222" t="s">
        <v>5116</v>
      </c>
      <c r="C223" s="222" t="s">
        <v>5</v>
      </c>
      <c r="D223" s="222" t="e">
        <f t="array" ref="D223">IF(F223="","",INDEX(#REF!,MATCH(F223,#REF!,0)))</f>
        <v>#REF!</v>
      </c>
      <c r="E223" s="222" t="e">
        <f t="array" ref="E223">IF(F223="","",INDEX(#REF!,MATCH(F223,#REF!,0)))</f>
        <v>#REF!</v>
      </c>
      <c r="F223" s="222" t="s">
        <v>22</v>
      </c>
      <c r="G223" s="222" t="s">
        <v>4499</v>
      </c>
      <c r="H223" s="223">
        <v>1.4</v>
      </c>
      <c r="I223" s="222" t="s">
        <v>5136</v>
      </c>
      <c r="J223" s="222" t="s">
        <v>5137</v>
      </c>
      <c r="K223" s="222" t="s">
        <v>5138</v>
      </c>
      <c r="L223" s="222">
        <v>200</v>
      </c>
      <c r="M223" s="222">
        <v>4</v>
      </c>
      <c r="N223" s="222" t="s">
        <v>11</v>
      </c>
      <c r="O223" s="222" t="s">
        <v>14</v>
      </c>
      <c r="P223" s="224"/>
      <c r="Q223" s="224">
        <v>1000000</v>
      </c>
      <c r="R223" s="224"/>
      <c r="S223" s="224"/>
      <c r="T223" s="224">
        <v>0</v>
      </c>
      <c r="U223" s="224"/>
      <c r="V223" s="224"/>
      <c r="W223" s="224"/>
      <c r="X223" s="224"/>
      <c r="Y223" s="222">
        <v>132</v>
      </c>
      <c r="Z223" s="222">
        <v>4</v>
      </c>
      <c r="AA223" s="224"/>
      <c r="AB223" s="224">
        <v>0</v>
      </c>
      <c r="AC223" s="224"/>
      <c r="AD223" s="224"/>
      <c r="AE223" s="224">
        <v>0</v>
      </c>
      <c r="AF223" s="224"/>
      <c r="AG223" s="224"/>
      <c r="AH223" s="224"/>
      <c r="AI223" s="224"/>
      <c r="AJ223" s="126"/>
      <c r="AK223" s="126"/>
      <c r="AL223" s="126"/>
      <c r="AM223" s="126"/>
      <c r="AN223" s="126"/>
    </row>
    <row r="224" spans="1:40" ht="15.75" customHeight="1">
      <c r="A224" s="221">
        <f t="shared" si="2"/>
        <v>218</v>
      </c>
      <c r="B224" s="222" t="s">
        <v>5116</v>
      </c>
      <c r="C224" s="222" t="s">
        <v>5</v>
      </c>
      <c r="D224" s="222" t="e">
        <f t="array" ref="D224">IF(F224="","",INDEX(#REF!,MATCH(F224,#REF!,0)))</f>
        <v>#REF!</v>
      </c>
      <c r="E224" s="222" t="e">
        <f t="array" ref="E224">IF(F224="","",INDEX(#REF!,MATCH(F224,#REF!,0)))</f>
        <v>#REF!</v>
      </c>
      <c r="F224" s="222" t="s">
        <v>22</v>
      </c>
      <c r="G224" s="222" t="s">
        <v>4499</v>
      </c>
      <c r="H224" s="223">
        <v>1.5</v>
      </c>
      <c r="I224" s="222" t="s">
        <v>5139</v>
      </c>
      <c r="J224" s="222" t="s">
        <v>5140</v>
      </c>
      <c r="K224" s="222" t="s">
        <v>5141</v>
      </c>
      <c r="L224" s="222">
        <v>12</v>
      </c>
      <c r="M224" s="222">
        <v>4</v>
      </c>
      <c r="N224" s="222" t="s">
        <v>11</v>
      </c>
      <c r="O224" s="222" t="s">
        <v>14</v>
      </c>
      <c r="P224" s="224"/>
      <c r="Q224" s="224">
        <v>338366</v>
      </c>
      <c r="R224" s="224">
        <v>2000000</v>
      </c>
      <c r="S224" s="224"/>
      <c r="T224" s="224"/>
      <c r="U224" s="224"/>
      <c r="V224" s="224"/>
      <c r="W224" s="224"/>
      <c r="X224" s="224"/>
      <c r="Y224" s="222">
        <v>7</v>
      </c>
      <c r="Z224" s="222">
        <v>4</v>
      </c>
      <c r="AA224" s="224"/>
      <c r="AB224" s="224">
        <v>0</v>
      </c>
      <c r="AC224" s="224">
        <v>0</v>
      </c>
      <c r="AD224" s="224"/>
      <c r="AE224" s="224"/>
      <c r="AF224" s="224"/>
      <c r="AG224" s="224"/>
      <c r="AH224" s="224"/>
      <c r="AI224" s="224"/>
      <c r="AJ224" s="126"/>
      <c r="AK224" s="126"/>
      <c r="AL224" s="126"/>
      <c r="AM224" s="126"/>
      <c r="AN224" s="126"/>
    </row>
    <row r="225" spans="1:40" ht="15.75" customHeight="1">
      <c r="A225" s="221">
        <f t="shared" si="2"/>
        <v>219</v>
      </c>
      <c r="B225" s="222" t="s">
        <v>5116</v>
      </c>
      <c r="C225" s="222" t="s">
        <v>5</v>
      </c>
      <c r="D225" s="222" t="e">
        <f t="array" ref="D225">IF(F225="","",INDEX(#REF!,MATCH(F225,#REF!,0)))</f>
        <v>#REF!</v>
      </c>
      <c r="E225" s="222" t="e">
        <f t="array" ref="E225">IF(F225="","",INDEX(#REF!,MATCH(F225,#REF!,0)))</f>
        <v>#REF!</v>
      </c>
      <c r="F225" s="222" t="s">
        <v>22</v>
      </c>
      <c r="G225" s="222" t="s">
        <v>4499</v>
      </c>
      <c r="H225" s="223">
        <v>1.6</v>
      </c>
      <c r="I225" s="222" t="s">
        <v>5142</v>
      </c>
      <c r="J225" s="222" t="s">
        <v>5143</v>
      </c>
      <c r="K225" s="222" t="s">
        <v>5144</v>
      </c>
      <c r="L225" s="222">
        <v>1500</v>
      </c>
      <c r="M225" s="222">
        <v>4</v>
      </c>
      <c r="N225" s="222" t="s">
        <v>11</v>
      </c>
      <c r="O225" s="222" t="s">
        <v>14</v>
      </c>
      <c r="P225" s="224"/>
      <c r="Q225" s="224"/>
      <c r="R225" s="224"/>
      <c r="S225" s="224"/>
      <c r="T225" s="224">
        <v>900000</v>
      </c>
      <c r="U225" s="224"/>
      <c r="V225" s="224"/>
      <c r="W225" s="224"/>
      <c r="X225" s="224"/>
      <c r="Y225" s="222">
        <v>712</v>
      </c>
      <c r="Z225" s="222">
        <v>4</v>
      </c>
      <c r="AA225" s="224"/>
      <c r="AB225" s="224"/>
      <c r="AC225" s="224"/>
      <c r="AD225" s="224"/>
      <c r="AE225" s="224">
        <v>0</v>
      </c>
      <c r="AF225" s="224"/>
      <c r="AG225" s="224"/>
      <c r="AH225" s="224"/>
      <c r="AI225" s="224"/>
      <c r="AJ225" s="126"/>
      <c r="AK225" s="126"/>
      <c r="AL225" s="126"/>
      <c r="AM225" s="126"/>
      <c r="AN225" s="126"/>
    </row>
    <row r="226" spans="1:40" ht="15.75" customHeight="1">
      <c r="A226" s="221">
        <f t="shared" si="2"/>
        <v>220</v>
      </c>
      <c r="B226" s="222" t="s">
        <v>5116</v>
      </c>
      <c r="C226" s="222" t="s">
        <v>5</v>
      </c>
      <c r="D226" s="222" t="e">
        <f t="array" ref="D226">IF(F226="","",INDEX(#REF!,MATCH(F226,#REF!,0)))</f>
        <v>#REF!</v>
      </c>
      <c r="E226" s="222" t="e">
        <f t="array" ref="E226">IF(F226="","",INDEX(#REF!,MATCH(F226,#REF!,0)))</f>
        <v>#REF!</v>
      </c>
      <c r="F226" s="222" t="s">
        <v>22</v>
      </c>
      <c r="G226" s="222" t="s">
        <v>4495</v>
      </c>
      <c r="H226" s="223" t="s">
        <v>5145</v>
      </c>
      <c r="I226" s="222" t="s">
        <v>5146</v>
      </c>
      <c r="J226" s="222" t="s">
        <v>5147</v>
      </c>
      <c r="K226" s="222" t="s">
        <v>5148</v>
      </c>
      <c r="L226" s="222">
        <v>15041</v>
      </c>
      <c r="M226" s="222">
        <v>14893</v>
      </c>
      <c r="N226" s="222" t="s">
        <v>11</v>
      </c>
      <c r="O226" s="222" t="s">
        <v>9</v>
      </c>
      <c r="P226" s="224"/>
      <c r="Q226" s="224"/>
      <c r="R226" s="224"/>
      <c r="S226" s="224"/>
      <c r="T226" s="224"/>
      <c r="U226" s="224"/>
      <c r="V226" s="224"/>
      <c r="W226" s="224"/>
      <c r="X226" s="224"/>
      <c r="Y226" s="222">
        <v>9228</v>
      </c>
      <c r="Z226" s="222">
        <v>14893</v>
      </c>
      <c r="AA226" s="224"/>
      <c r="AB226" s="224"/>
      <c r="AC226" s="224"/>
      <c r="AD226" s="224"/>
      <c r="AE226" s="224"/>
      <c r="AF226" s="224"/>
      <c r="AG226" s="224"/>
      <c r="AH226" s="224"/>
      <c r="AI226" s="224"/>
      <c r="AJ226" s="126"/>
      <c r="AK226" s="126"/>
      <c r="AL226" s="126"/>
      <c r="AM226" s="126"/>
      <c r="AN226" s="126"/>
    </row>
    <row r="227" spans="1:40" ht="15.75" customHeight="1">
      <c r="A227" s="221">
        <f t="shared" si="2"/>
        <v>221</v>
      </c>
      <c r="B227" s="222" t="s">
        <v>5116</v>
      </c>
      <c r="C227" s="222" t="s">
        <v>5</v>
      </c>
      <c r="D227" s="222" t="e">
        <f t="array" ref="D227">IF(F227="","",INDEX(#REF!,MATCH(F227,#REF!,0)))</f>
        <v>#REF!</v>
      </c>
      <c r="E227" s="222" t="e">
        <f t="array" ref="E227">IF(F227="","",INDEX(#REF!,MATCH(F227,#REF!,0)))</f>
        <v>#REF!</v>
      </c>
      <c r="F227" s="222" t="s">
        <v>22</v>
      </c>
      <c r="G227" s="222" t="s">
        <v>4499</v>
      </c>
      <c r="H227" s="223">
        <v>2.1</v>
      </c>
      <c r="I227" s="222" t="s">
        <v>5149</v>
      </c>
      <c r="J227" s="222" t="s">
        <v>5150</v>
      </c>
      <c r="K227" s="222" t="s">
        <v>5151</v>
      </c>
      <c r="L227" s="222">
        <v>36461</v>
      </c>
      <c r="M227" s="222">
        <v>4</v>
      </c>
      <c r="N227" s="222" t="s">
        <v>11</v>
      </c>
      <c r="O227" s="222" t="s">
        <v>14</v>
      </c>
      <c r="P227" s="224"/>
      <c r="Q227" s="224">
        <v>11343925</v>
      </c>
      <c r="R227" s="224">
        <v>1150000</v>
      </c>
      <c r="S227" s="224"/>
      <c r="T227" s="224">
        <v>3000000</v>
      </c>
      <c r="U227" s="224"/>
      <c r="V227" s="224"/>
      <c r="W227" s="224"/>
      <c r="X227" s="224"/>
      <c r="Y227" s="222">
        <v>23161</v>
      </c>
      <c r="Z227" s="222">
        <v>4</v>
      </c>
      <c r="AA227" s="224"/>
      <c r="AB227" s="224">
        <v>2096366.7</v>
      </c>
      <c r="AC227" s="224">
        <v>149999.6</v>
      </c>
      <c r="AD227" s="224"/>
      <c r="AE227" s="224">
        <v>0</v>
      </c>
      <c r="AF227" s="224"/>
      <c r="AG227" s="224"/>
      <c r="AH227" s="224"/>
      <c r="AI227" s="224"/>
      <c r="AJ227" s="126"/>
      <c r="AK227" s="126"/>
      <c r="AL227" s="126"/>
      <c r="AM227" s="126"/>
      <c r="AN227" s="126"/>
    </row>
    <row r="228" spans="1:40" ht="15.75" customHeight="1">
      <c r="A228" s="221">
        <f t="shared" si="2"/>
        <v>222</v>
      </c>
      <c r="B228" s="222" t="s">
        <v>5116</v>
      </c>
      <c r="C228" s="222" t="s">
        <v>5</v>
      </c>
      <c r="D228" s="222" t="e">
        <f t="array" ref="D228">IF(F228="","",INDEX(#REF!,MATCH(F228,#REF!,0)))</f>
        <v>#REF!</v>
      </c>
      <c r="E228" s="222" t="e">
        <f t="array" ref="E228">IF(F228="","",INDEX(#REF!,MATCH(F228,#REF!,0)))</f>
        <v>#REF!</v>
      </c>
      <c r="F228" s="222" t="s">
        <v>22</v>
      </c>
      <c r="G228" s="222" t="s">
        <v>4499</v>
      </c>
      <c r="H228" s="223">
        <v>2.2000000000000002</v>
      </c>
      <c r="I228" s="222" t="s">
        <v>5152</v>
      </c>
      <c r="J228" s="222" t="s">
        <v>5153</v>
      </c>
      <c r="K228" s="222" t="s">
        <v>5154</v>
      </c>
      <c r="L228" s="222">
        <v>97942730</v>
      </c>
      <c r="M228" s="222">
        <v>4</v>
      </c>
      <c r="N228" s="222" t="s">
        <v>11</v>
      </c>
      <c r="O228" s="222" t="s">
        <v>14</v>
      </c>
      <c r="P228" s="224">
        <v>203180060.75999999</v>
      </c>
      <c r="Q228" s="224">
        <v>9155000</v>
      </c>
      <c r="R228" s="224"/>
      <c r="S228" s="224"/>
      <c r="T228" s="224">
        <v>18467325.559999999</v>
      </c>
      <c r="U228" s="224"/>
      <c r="V228" s="224"/>
      <c r="W228" s="224"/>
      <c r="X228" s="224"/>
      <c r="Y228" s="222">
        <v>89867293</v>
      </c>
      <c r="Z228" s="222">
        <v>4</v>
      </c>
      <c r="AA228" s="224">
        <v>22423072.77</v>
      </c>
      <c r="AB228" s="224">
        <v>85000</v>
      </c>
      <c r="AC228" s="224"/>
      <c r="AD228" s="224"/>
      <c r="AE228" s="224">
        <v>0</v>
      </c>
      <c r="AF228" s="224"/>
      <c r="AG228" s="224"/>
      <c r="AH228" s="224"/>
      <c r="AI228" s="224"/>
      <c r="AJ228" s="126"/>
      <c r="AK228" s="126"/>
      <c r="AL228" s="126"/>
      <c r="AM228" s="126"/>
      <c r="AN228" s="126"/>
    </row>
    <row r="229" spans="1:40" ht="15.75" customHeight="1">
      <c r="A229" s="221">
        <f t="shared" si="2"/>
        <v>223</v>
      </c>
      <c r="B229" s="222" t="s">
        <v>5116</v>
      </c>
      <c r="C229" s="222" t="s">
        <v>5</v>
      </c>
      <c r="D229" s="222" t="e">
        <f t="array" ref="D229">IF(F229="","",INDEX(#REF!,MATCH(F229,#REF!,0)))</f>
        <v>#REF!</v>
      </c>
      <c r="E229" s="222" t="e">
        <f t="array" ref="E229">IF(F229="","",INDEX(#REF!,MATCH(F229,#REF!,0)))</f>
        <v>#REF!</v>
      </c>
      <c r="F229" s="222" t="s">
        <v>22</v>
      </c>
      <c r="G229" s="222" t="s">
        <v>4495</v>
      </c>
      <c r="H229" s="223" t="s">
        <v>5155</v>
      </c>
      <c r="I229" s="222" t="s">
        <v>5156</v>
      </c>
      <c r="J229" s="222" t="s">
        <v>5157</v>
      </c>
      <c r="K229" s="222" t="s">
        <v>5158</v>
      </c>
      <c r="L229" s="222">
        <v>2315</v>
      </c>
      <c r="M229" s="222">
        <v>2315</v>
      </c>
      <c r="N229" s="222" t="s">
        <v>11</v>
      </c>
      <c r="O229" s="222" t="s">
        <v>9</v>
      </c>
      <c r="P229" s="224"/>
      <c r="Q229" s="224"/>
      <c r="R229" s="224"/>
      <c r="S229" s="224"/>
      <c r="T229" s="224"/>
      <c r="U229" s="224"/>
      <c r="V229" s="224"/>
      <c r="W229" s="224"/>
      <c r="X229" s="224"/>
      <c r="Y229" s="222">
        <v>1236</v>
      </c>
      <c r="Z229" s="222">
        <v>2315</v>
      </c>
      <c r="AA229" s="224"/>
      <c r="AB229" s="224"/>
      <c r="AC229" s="224"/>
      <c r="AD229" s="224"/>
      <c r="AE229" s="224"/>
      <c r="AF229" s="224"/>
      <c r="AG229" s="224"/>
      <c r="AH229" s="224"/>
      <c r="AI229" s="224"/>
      <c r="AJ229" s="126"/>
      <c r="AK229" s="126"/>
      <c r="AL229" s="126"/>
      <c r="AM229" s="126"/>
      <c r="AN229" s="126"/>
    </row>
    <row r="230" spans="1:40" ht="15.75" customHeight="1">
      <c r="A230" s="221">
        <f t="shared" si="2"/>
        <v>224</v>
      </c>
      <c r="B230" s="222" t="s">
        <v>5116</v>
      </c>
      <c r="C230" s="222" t="s">
        <v>5</v>
      </c>
      <c r="D230" s="222" t="e">
        <f t="array" ref="D230">IF(F230="","",INDEX(#REF!,MATCH(F230,#REF!,0)))</f>
        <v>#REF!</v>
      </c>
      <c r="E230" s="222" t="e">
        <f t="array" ref="E230">IF(F230="","",INDEX(#REF!,MATCH(F230,#REF!,0)))</f>
        <v>#REF!</v>
      </c>
      <c r="F230" s="222" t="s">
        <v>22</v>
      </c>
      <c r="G230" s="222" t="s">
        <v>4499</v>
      </c>
      <c r="H230" s="223">
        <v>3.1</v>
      </c>
      <c r="I230" s="222" t="s">
        <v>5159</v>
      </c>
      <c r="J230" s="222" t="s">
        <v>5160</v>
      </c>
      <c r="K230" s="222" t="s">
        <v>5161</v>
      </c>
      <c r="L230" s="222">
        <v>50</v>
      </c>
      <c r="M230" s="222">
        <v>4</v>
      </c>
      <c r="N230" s="222" t="s">
        <v>11</v>
      </c>
      <c r="O230" s="222" t="s">
        <v>14</v>
      </c>
      <c r="P230" s="224"/>
      <c r="Q230" s="224">
        <v>4598275</v>
      </c>
      <c r="R230" s="224"/>
      <c r="S230" s="224"/>
      <c r="T230" s="224">
        <v>250000</v>
      </c>
      <c r="U230" s="224"/>
      <c r="V230" s="224"/>
      <c r="W230" s="224"/>
      <c r="X230" s="224"/>
      <c r="Y230" s="222">
        <v>22</v>
      </c>
      <c r="Z230" s="222">
        <v>4</v>
      </c>
      <c r="AA230" s="224"/>
      <c r="AB230" s="224">
        <v>0</v>
      </c>
      <c r="AC230" s="224"/>
      <c r="AD230" s="224"/>
      <c r="AE230" s="224">
        <v>0</v>
      </c>
      <c r="AF230" s="224"/>
      <c r="AG230" s="224"/>
      <c r="AH230" s="224"/>
      <c r="AI230" s="224"/>
      <c r="AJ230" s="126"/>
      <c r="AK230" s="126"/>
      <c r="AL230" s="126"/>
      <c r="AM230" s="126"/>
      <c r="AN230" s="126"/>
    </row>
    <row r="231" spans="1:40" ht="15.75" customHeight="1">
      <c r="A231" s="221">
        <f t="shared" si="2"/>
        <v>225</v>
      </c>
      <c r="B231" s="222" t="s">
        <v>5116</v>
      </c>
      <c r="C231" s="222" t="s">
        <v>5</v>
      </c>
      <c r="D231" s="222" t="e">
        <f t="array" ref="D231">IF(F231="","",INDEX(#REF!,MATCH(F231,#REF!,0)))</f>
        <v>#REF!</v>
      </c>
      <c r="E231" s="222" t="e">
        <f t="array" ref="E231">IF(F231="","",INDEX(#REF!,MATCH(F231,#REF!,0)))</f>
        <v>#REF!</v>
      </c>
      <c r="F231" s="222" t="s">
        <v>22</v>
      </c>
      <c r="G231" s="222" t="s">
        <v>4499</v>
      </c>
      <c r="H231" s="223">
        <v>3.2</v>
      </c>
      <c r="I231" s="222" t="s">
        <v>5162</v>
      </c>
      <c r="J231" s="222" t="s">
        <v>5163</v>
      </c>
      <c r="K231" s="222" t="s">
        <v>5164</v>
      </c>
      <c r="L231" s="222">
        <v>394</v>
      </c>
      <c r="M231" s="222">
        <v>4</v>
      </c>
      <c r="N231" s="222" t="s">
        <v>11</v>
      </c>
      <c r="O231" s="222" t="s">
        <v>14</v>
      </c>
      <c r="P231" s="224"/>
      <c r="Q231" s="224">
        <v>298000</v>
      </c>
      <c r="R231" s="224">
        <v>96350</v>
      </c>
      <c r="S231" s="224"/>
      <c r="T231" s="224">
        <v>800000</v>
      </c>
      <c r="U231" s="224"/>
      <c r="V231" s="224"/>
      <c r="W231" s="224"/>
      <c r="X231" s="224"/>
      <c r="Y231" s="222">
        <v>198</v>
      </c>
      <c r="Z231" s="222">
        <v>4</v>
      </c>
      <c r="AA231" s="224"/>
      <c r="AB231" s="224">
        <v>0</v>
      </c>
      <c r="AC231" s="224">
        <v>0</v>
      </c>
      <c r="AD231" s="224"/>
      <c r="AE231" s="224">
        <v>0</v>
      </c>
      <c r="AF231" s="224"/>
      <c r="AG231" s="224"/>
      <c r="AH231" s="224"/>
      <c r="AI231" s="224"/>
      <c r="AJ231" s="126"/>
      <c r="AK231" s="126"/>
      <c r="AL231" s="126"/>
      <c r="AM231" s="126"/>
      <c r="AN231" s="126"/>
    </row>
    <row r="232" spans="1:40" ht="15.75" customHeight="1">
      <c r="A232" s="221">
        <f t="shared" si="2"/>
        <v>226</v>
      </c>
      <c r="B232" s="222" t="s">
        <v>5116</v>
      </c>
      <c r="C232" s="222" t="s">
        <v>5</v>
      </c>
      <c r="D232" s="222" t="e">
        <f t="array" ref="D232">IF(F232="","",INDEX(#REF!,MATCH(F232,#REF!,0)))</f>
        <v>#REF!</v>
      </c>
      <c r="E232" s="222" t="e">
        <f t="array" ref="E232">IF(F232="","",INDEX(#REF!,MATCH(F232,#REF!,0)))</f>
        <v>#REF!</v>
      </c>
      <c r="F232" s="222" t="s">
        <v>22</v>
      </c>
      <c r="G232" s="222" t="s">
        <v>4495</v>
      </c>
      <c r="H232" s="223" t="s">
        <v>5165</v>
      </c>
      <c r="I232" s="222" t="s">
        <v>5166</v>
      </c>
      <c r="J232" s="222" t="s">
        <v>5167</v>
      </c>
      <c r="K232" s="222" t="s">
        <v>5168</v>
      </c>
      <c r="L232" s="222">
        <v>4500</v>
      </c>
      <c r="M232" s="222">
        <v>4500</v>
      </c>
      <c r="N232" s="222" t="s">
        <v>11</v>
      </c>
      <c r="O232" s="222" t="s">
        <v>9</v>
      </c>
      <c r="P232" s="224"/>
      <c r="Q232" s="224"/>
      <c r="R232" s="224"/>
      <c r="S232" s="224"/>
      <c r="T232" s="224"/>
      <c r="U232" s="224"/>
      <c r="V232" s="224"/>
      <c r="W232" s="224"/>
      <c r="X232" s="224"/>
      <c r="Y232" s="222">
        <v>1979</v>
      </c>
      <c r="Z232" s="222">
        <v>4500</v>
      </c>
      <c r="AA232" s="224"/>
      <c r="AB232" s="224"/>
      <c r="AC232" s="224"/>
      <c r="AD232" s="224"/>
      <c r="AE232" s="224"/>
      <c r="AF232" s="224"/>
      <c r="AG232" s="224"/>
      <c r="AH232" s="224"/>
      <c r="AI232" s="224"/>
      <c r="AJ232" s="126"/>
      <c r="AK232" s="126"/>
      <c r="AL232" s="126"/>
      <c r="AM232" s="126"/>
      <c r="AN232" s="126"/>
    </row>
    <row r="233" spans="1:40" ht="15.75" customHeight="1">
      <c r="A233" s="221">
        <f t="shared" si="2"/>
        <v>227</v>
      </c>
      <c r="B233" s="222" t="s">
        <v>5116</v>
      </c>
      <c r="C233" s="222" t="s">
        <v>5</v>
      </c>
      <c r="D233" s="222" t="e">
        <f t="array" ref="D233">IF(F233="","",INDEX(#REF!,MATCH(F233,#REF!,0)))</f>
        <v>#REF!</v>
      </c>
      <c r="E233" s="222" t="e">
        <f t="array" ref="E233">IF(F233="","",INDEX(#REF!,MATCH(F233,#REF!,0)))</f>
        <v>#REF!</v>
      </c>
      <c r="F233" s="222" t="s">
        <v>22</v>
      </c>
      <c r="G233" s="222" t="s">
        <v>4499</v>
      </c>
      <c r="H233" s="223">
        <v>4.0999999999999996</v>
      </c>
      <c r="I233" s="222" t="s">
        <v>5169</v>
      </c>
      <c r="J233" s="222" t="s">
        <v>5170</v>
      </c>
      <c r="K233" s="222" t="s">
        <v>5171</v>
      </c>
      <c r="L233" s="222">
        <v>36</v>
      </c>
      <c r="M233" s="222">
        <v>4</v>
      </c>
      <c r="N233" s="222" t="s">
        <v>11</v>
      </c>
      <c r="O233" s="222" t="s">
        <v>14</v>
      </c>
      <c r="P233" s="224"/>
      <c r="Q233" s="224">
        <v>1496600</v>
      </c>
      <c r="R233" s="224">
        <v>578000</v>
      </c>
      <c r="S233" s="224"/>
      <c r="T233" s="224">
        <v>0</v>
      </c>
      <c r="U233" s="224"/>
      <c r="V233" s="224"/>
      <c r="W233" s="224"/>
      <c r="X233" s="224"/>
      <c r="Y233" s="222">
        <v>17</v>
      </c>
      <c r="Z233" s="222">
        <v>4</v>
      </c>
      <c r="AA233" s="224"/>
      <c r="AB233" s="224">
        <v>0</v>
      </c>
      <c r="AC233" s="224">
        <v>0</v>
      </c>
      <c r="AD233" s="224"/>
      <c r="AE233" s="224">
        <v>0</v>
      </c>
      <c r="AF233" s="224"/>
      <c r="AG233" s="224"/>
      <c r="AH233" s="224"/>
      <c r="AI233" s="224"/>
      <c r="AJ233" s="126"/>
      <c r="AK233" s="126"/>
      <c r="AL233" s="126"/>
      <c r="AM233" s="126"/>
      <c r="AN233" s="126"/>
    </row>
    <row r="234" spans="1:40" ht="15.75" customHeight="1">
      <c r="A234" s="221">
        <f t="shared" si="2"/>
        <v>228</v>
      </c>
      <c r="B234" s="222" t="s">
        <v>5116</v>
      </c>
      <c r="C234" s="222" t="s">
        <v>5</v>
      </c>
      <c r="D234" s="222" t="e">
        <f t="array" ref="D234">IF(F234="","",INDEX(#REF!,MATCH(F234,#REF!,0)))</f>
        <v>#REF!</v>
      </c>
      <c r="E234" s="222" t="e">
        <f t="array" ref="E234">IF(F234="","",INDEX(#REF!,MATCH(F234,#REF!,0)))</f>
        <v>#REF!</v>
      </c>
      <c r="F234" s="222" t="s">
        <v>22</v>
      </c>
      <c r="G234" s="222" t="s">
        <v>4499</v>
      </c>
      <c r="H234" s="223">
        <v>4.2</v>
      </c>
      <c r="I234" s="222" t="s">
        <v>5172</v>
      </c>
      <c r="J234" s="222" t="s">
        <v>5173</v>
      </c>
      <c r="K234" s="222" t="s">
        <v>5174</v>
      </c>
      <c r="L234" s="222">
        <v>1650</v>
      </c>
      <c r="M234" s="222">
        <v>4</v>
      </c>
      <c r="N234" s="222" t="s">
        <v>11</v>
      </c>
      <c r="O234" s="222" t="s">
        <v>14</v>
      </c>
      <c r="P234" s="224"/>
      <c r="Q234" s="224">
        <v>800000</v>
      </c>
      <c r="R234" s="224"/>
      <c r="S234" s="224"/>
      <c r="T234" s="224">
        <v>100000</v>
      </c>
      <c r="U234" s="224"/>
      <c r="V234" s="224"/>
      <c r="W234" s="224"/>
      <c r="X234" s="224"/>
      <c r="Y234" s="222">
        <v>1062</v>
      </c>
      <c r="Z234" s="222">
        <v>4</v>
      </c>
      <c r="AA234" s="224"/>
      <c r="AB234" s="224">
        <v>0</v>
      </c>
      <c r="AC234" s="224"/>
      <c r="AD234" s="224"/>
      <c r="AE234" s="224">
        <v>0</v>
      </c>
      <c r="AF234" s="224"/>
      <c r="AG234" s="224"/>
      <c r="AH234" s="224"/>
      <c r="AI234" s="224"/>
      <c r="AJ234" s="126"/>
      <c r="AK234" s="126"/>
      <c r="AL234" s="126"/>
      <c r="AM234" s="126"/>
      <c r="AN234" s="126"/>
    </row>
    <row r="235" spans="1:40" ht="15.75" customHeight="1">
      <c r="A235" s="221">
        <f t="shared" si="2"/>
        <v>229</v>
      </c>
      <c r="B235" s="222" t="s">
        <v>5116</v>
      </c>
      <c r="C235" s="222" t="s">
        <v>5</v>
      </c>
      <c r="D235" s="222" t="e">
        <f t="array" ref="D235">IF(F235="","",INDEX(#REF!,MATCH(F235,#REF!,0)))</f>
        <v>#REF!</v>
      </c>
      <c r="E235" s="222" t="e">
        <f t="array" ref="E235">IF(F235="","",INDEX(#REF!,MATCH(F235,#REF!,0)))</f>
        <v>#REF!</v>
      </c>
      <c r="F235" s="222" t="s">
        <v>22</v>
      </c>
      <c r="G235" s="222" t="s">
        <v>4499</v>
      </c>
      <c r="H235" s="223">
        <v>4.3</v>
      </c>
      <c r="I235" s="222" t="s">
        <v>5175</v>
      </c>
      <c r="J235" s="222" t="s">
        <v>5176</v>
      </c>
      <c r="K235" s="222" t="s">
        <v>5177</v>
      </c>
      <c r="L235" s="222">
        <v>27000</v>
      </c>
      <c r="M235" s="222">
        <v>4</v>
      </c>
      <c r="N235" s="222" t="s">
        <v>11</v>
      </c>
      <c r="O235" s="222" t="s">
        <v>14</v>
      </c>
      <c r="P235" s="224"/>
      <c r="Q235" s="224"/>
      <c r="R235" s="224"/>
      <c r="S235" s="224"/>
      <c r="T235" s="224">
        <v>225000</v>
      </c>
      <c r="U235" s="224"/>
      <c r="V235" s="224"/>
      <c r="W235" s="224"/>
      <c r="X235" s="224"/>
      <c r="Y235" s="222">
        <v>2557</v>
      </c>
      <c r="Z235" s="222">
        <v>4</v>
      </c>
      <c r="AA235" s="224"/>
      <c r="AB235" s="224"/>
      <c r="AC235" s="224"/>
      <c r="AD235" s="224"/>
      <c r="AE235" s="224">
        <v>0</v>
      </c>
      <c r="AF235" s="224"/>
      <c r="AG235" s="224"/>
      <c r="AH235" s="224"/>
      <c r="AI235" s="224"/>
      <c r="AJ235" s="126"/>
      <c r="AK235" s="126"/>
      <c r="AL235" s="126"/>
      <c r="AM235" s="126"/>
      <c r="AN235" s="126"/>
    </row>
    <row r="236" spans="1:40" ht="15.75" customHeight="1">
      <c r="A236" s="221">
        <f t="shared" si="2"/>
        <v>230</v>
      </c>
      <c r="B236" s="222" t="s">
        <v>5116</v>
      </c>
      <c r="C236" s="222" t="s">
        <v>5</v>
      </c>
      <c r="D236" s="222" t="e">
        <f t="array" ref="D236">IF(F236="","",INDEX(#REF!,MATCH(F236,#REF!,0)))</f>
        <v>#REF!</v>
      </c>
      <c r="E236" s="222" t="e">
        <f t="array" ref="E236">IF(F236="","",INDEX(#REF!,MATCH(F236,#REF!,0)))</f>
        <v>#REF!</v>
      </c>
      <c r="F236" s="222" t="s">
        <v>22</v>
      </c>
      <c r="G236" s="222" t="s">
        <v>4499</v>
      </c>
      <c r="H236" s="223">
        <v>4.4000000000000004</v>
      </c>
      <c r="I236" s="222" t="s">
        <v>5178</v>
      </c>
      <c r="J236" s="222" t="s">
        <v>5179</v>
      </c>
      <c r="K236" s="222" t="s">
        <v>5180</v>
      </c>
      <c r="L236" s="222">
        <v>215</v>
      </c>
      <c r="M236" s="222">
        <v>4</v>
      </c>
      <c r="N236" s="222" t="s">
        <v>11</v>
      </c>
      <c r="O236" s="222" t="s">
        <v>14</v>
      </c>
      <c r="P236" s="224"/>
      <c r="Q236" s="224">
        <v>37740</v>
      </c>
      <c r="R236" s="224"/>
      <c r="S236" s="224"/>
      <c r="T236" s="224">
        <v>692000</v>
      </c>
      <c r="U236" s="224"/>
      <c r="V236" s="224"/>
      <c r="W236" s="224"/>
      <c r="X236" s="224"/>
      <c r="Y236" s="222">
        <v>196</v>
      </c>
      <c r="Z236" s="222">
        <v>4</v>
      </c>
      <c r="AA236" s="224"/>
      <c r="AB236" s="224">
        <v>0</v>
      </c>
      <c r="AC236" s="224"/>
      <c r="AD236" s="224"/>
      <c r="AE236" s="224">
        <v>0</v>
      </c>
      <c r="AF236" s="224"/>
      <c r="AG236" s="224"/>
      <c r="AH236" s="224"/>
      <c r="AI236" s="224"/>
      <c r="AJ236" s="126"/>
      <c r="AK236" s="126"/>
      <c r="AL236" s="126"/>
      <c r="AM236" s="126"/>
      <c r="AN236" s="126"/>
    </row>
    <row r="237" spans="1:40" ht="15.75" customHeight="1">
      <c r="A237" s="221">
        <f t="shared" si="2"/>
        <v>231</v>
      </c>
      <c r="B237" s="222" t="s">
        <v>5116</v>
      </c>
      <c r="C237" s="222" t="s">
        <v>5</v>
      </c>
      <c r="D237" s="222" t="e">
        <f t="array" ref="D237">IF(F237="","",INDEX(#REF!,MATCH(F237,#REF!,0)))</f>
        <v>#REF!</v>
      </c>
      <c r="E237" s="222" t="e">
        <f t="array" ref="E237">IF(F237="","",INDEX(#REF!,MATCH(F237,#REF!,0)))</f>
        <v>#REF!</v>
      </c>
      <c r="F237" s="222" t="s">
        <v>22</v>
      </c>
      <c r="G237" s="222" t="s">
        <v>4495</v>
      </c>
      <c r="H237" s="223" t="s">
        <v>5181</v>
      </c>
      <c r="I237" s="222" t="s">
        <v>5182</v>
      </c>
      <c r="J237" s="222" t="s">
        <v>5183</v>
      </c>
      <c r="K237" s="222" t="s">
        <v>5184</v>
      </c>
      <c r="L237" s="222">
        <v>22</v>
      </c>
      <c r="M237" s="222">
        <v>4</v>
      </c>
      <c r="N237" s="222" t="s">
        <v>11</v>
      </c>
      <c r="O237" s="222" t="s">
        <v>14</v>
      </c>
      <c r="P237" s="224"/>
      <c r="Q237" s="224"/>
      <c r="R237" s="224"/>
      <c r="S237" s="224"/>
      <c r="T237" s="224"/>
      <c r="U237" s="224"/>
      <c r="V237" s="224"/>
      <c r="W237" s="224"/>
      <c r="X237" s="224"/>
      <c r="Y237" s="222">
        <v>11</v>
      </c>
      <c r="Z237" s="222">
        <v>4</v>
      </c>
      <c r="AA237" s="224"/>
      <c r="AB237" s="224"/>
      <c r="AC237" s="224"/>
      <c r="AD237" s="224"/>
      <c r="AE237" s="224"/>
      <c r="AF237" s="224"/>
      <c r="AG237" s="224"/>
      <c r="AH237" s="224"/>
      <c r="AI237" s="224"/>
      <c r="AJ237" s="126"/>
      <c r="AK237" s="126"/>
      <c r="AL237" s="126"/>
      <c r="AM237" s="126"/>
      <c r="AN237" s="126"/>
    </row>
    <row r="238" spans="1:40" ht="15.75" customHeight="1">
      <c r="A238" s="221">
        <f t="shared" si="2"/>
        <v>232</v>
      </c>
      <c r="B238" s="222" t="s">
        <v>5116</v>
      </c>
      <c r="C238" s="222" t="s">
        <v>5</v>
      </c>
      <c r="D238" s="222" t="e">
        <f t="array" ref="D238">IF(F238="","",INDEX(#REF!,MATCH(F238,#REF!,0)))</f>
        <v>#REF!</v>
      </c>
      <c r="E238" s="222" t="e">
        <f t="array" ref="E238">IF(F238="","",INDEX(#REF!,MATCH(F238,#REF!,0)))</f>
        <v>#REF!</v>
      </c>
      <c r="F238" s="222" t="s">
        <v>22</v>
      </c>
      <c r="G238" s="222" t="s">
        <v>4499</v>
      </c>
      <c r="H238" s="223">
        <v>5.0999999999999996</v>
      </c>
      <c r="I238" s="222" t="s">
        <v>5185</v>
      </c>
      <c r="J238" s="222" t="s">
        <v>5186</v>
      </c>
      <c r="K238" s="222" t="s">
        <v>5187</v>
      </c>
      <c r="L238" s="222">
        <v>8</v>
      </c>
      <c r="M238" s="222">
        <v>4</v>
      </c>
      <c r="N238" s="222" t="s">
        <v>11</v>
      </c>
      <c r="O238" s="222" t="s">
        <v>14</v>
      </c>
      <c r="P238" s="224"/>
      <c r="Q238" s="224">
        <v>650000</v>
      </c>
      <c r="R238" s="224"/>
      <c r="S238" s="224">
        <v>50000</v>
      </c>
      <c r="T238" s="224"/>
      <c r="U238" s="224"/>
      <c r="V238" s="224"/>
      <c r="W238" s="224"/>
      <c r="X238" s="224"/>
      <c r="Y238" s="222">
        <v>7</v>
      </c>
      <c r="Z238" s="222">
        <v>4</v>
      </c>
      <c r="AA238" s="224"/>
      <c r="AB238" s="224">
        <v>0</v>
      </c>
      <c r="AC238" s="224"/>
      <c r="AD238" s="224">
        <v>0</v>
      </c>
      <c r="AE238" s="224"/>
      <c r="AF238" s="224"/>
      <c r="AG238" s="224"/>
      <c r="AH238" s="224"/>
      <c r="AI238" s="224"/>
      <c r="AJ238" s="126"/>
      <c r="AK238" s="126"/>
      <c r="AL238" s="126"/>
      <c r="AM238" s="126"/>
      <c r="AN238" s="126"/>
    </row>
    <row r="239" spans="1:40" ht="15.75" customHeight="1">
      <c r="A239" s="221">
        <f t="shared" si="2"/>
        <v>233</v>
      </c>
      <c r="B239" s="222" t="s">
        <v>5116</v>
      </c>
      <c r="C239" s="222" t="s">
        <v>5</v>
      </c>
      <c r="D239" s="222" t="e">
        <f t="array" ref="D239">IF(F239="","",INDEX(#REF!,MATCH(F239,#REF!,0)))</f>
        <v>#REF!</v>
      </c>
      <c r="E239" s="222" t="e">
        <f t="array" ref="E239">IF(F239="","",INDEX(#REF!,MATCH(F239,#REF!,0)))</f>
        <v>#REF!</v>
      </c>
      <c r="F239" s="222" t="s">
        <v>22</v>
      </c>
      <c r="G239" s="222" t="s">
        <v>4499</v>
      </c>
      <c r="H239" s="223">
        <v>5.2</v>
      </c>
      <c r="I239" s="222" t="s">
        <v>5188</v>
      </c>
      <c r="J239" s="222" t="s">
        <v>5189</v>
      </c>
      <c r="K239" s="222" t="s">
        <v>5190</v>
      </c>
      <c r="L239" s="222">
        <v>14</v>
      </c>
      <c r="M239" s="222">
        <v>4</v>
      </c>
      <c r="N239" s="222" t="s">
        <v>11</v>
      </c>
      <c r="O239" s="222" t="s">
        <v>14</v>
      </c>
      <c r="P239" s="224"/>
      <c r="Q239" s="224">
        <v>50000</v>
      </c>
      <c r="R239" s="224">
        <v>595000</v>
      </c>
      <c r="S239" s="224"/>
      <c r="T239" s="224"/>
      <c r="U239" s="224"/>
      <c r="V239" s="224"/>
      <c r="W239" s="224"/>
      <c r="X239" s="224"/>
      <c r="Y239" s="222">
        <v>7</v>
      </c>
      <c r="Z239" s="222">
        <v>4</v>
      </c>
      <c r="AA239" s="224"/>
      <c r="AB239" s="224">
        <v>0</v>
      </c>
      <c r="AC239" s="224">
        <v>4574</v>
      </c>
      <c r="AD239" s="224"/>
      <c r="AE239" s="224"/>
      <c r="AF239" s="224"/>
      <c r="AG239" s="224"/>
      <c r="AH239" s="224"/>
      <c r="AI239" s="224"/>
      <c r="AJ239" s="126"/>
      <c r="AK239" s="126"/>
      <c r="AL239" s="126"/>
      <c r="AM239" s="126"/>
      <c r="AN239" s="126"/>
    </row>
    <row r="240" spans="1:40" ht="15.75" customHeight="1">
      <c r="A240" s="221">
        <f t="shared" si="2"/>
        <v>234</v>
      </c>
      <c r="B240" s="222" t="s">
        <v>5191</v>
      </c>
      <c r="C240" s="222" t="s">
        <v>5</v>
      </c>
      <c r="D240" s="222" t="e">
        <f t="array" ref="D240">IF(F240="","",INDEX(#REF!,MATCH(F240,#REF!,0)))</f>
        <v>#REF!</v>
      </c>
      <c r="E240" s="222" t="e">
        <f t="array" ref="E240">IF(F240="","",INDEX(#REF!,MATCH(F240,#REF!,0)))</f>
        <v>#REF!</v>
      </c>
      <c r="F240" s="222" t="s">
        <v>23</v>
      </c>
      <c r="G240" s="222" t="s">
        <v>0</v>
      </c>
      <c r="H240" s="223" t="s">
        <v>4487</v>
      </c>
      <c r="I240" s="222" t="s">
        <v>5192</v>
      </c>
      <c r="J240" s="222" t="s">
        <v>5193</v>
      </c>
      <c r="K240" s="222" t="s">
        <v>5194</v>
      </c>
      <c r="L240" s="222">
        <v>356</v>
      </c>
      <c r="M240" s="222">
        <v>356</v>
      </c>
      <c r="N240" s="222" t="s">
        <v>15</v>
      </c>
      <c r="O240" s="222" t="s">
        <v>9</v>
      </c>
      <c r="P240" s="224"/>
      <c r="Q240" s="224"/>
      <c r="R240" s="224"/>
      <c r="S240" s="224"/>
      <c r="T240" s="224"/>
      <c r="U240" s="224"/>
      <c r="V240" s="224"/>
      <c r="W240" s="224"/>
      <c r="X240" s="224"/>
      <c r="Y240" s="222">
        <v>165</v>
      </c>
      <c r="Z240" s="222">
        <v>356</v>
      </c>
      <c r="AA240" s="224"/>
      <c r="AB240" s="224"/>
      <c r="AC240" s="224"/>
      <c r="AD240" s="224"/>
      <c r="AE240" s="224"/>
      <c r="AF240" s="224"/>
      <c r="AG240" s="224"/>
      <c r="AH240" s="224"/>
      <c r="AI240" s="224"/>
      <c r="AJ240" s="126"/>
      <c r="AK240" s="126"/>
      <c r="AL240" s="126"/>
      <c r="AM240" s="126"/>
      <c r="AN240" s="126"/>
    </row>
    <row r="241" spans="1:40" ht="15.75" customHeight="1">
      <c r="A241" s="221">
        <f t="shared" si="2"/>
        <v>235</v>
      </c>
      <c r="B241" s="222" t="s">
        <v>5191</v>
      </c>
      <c r="C241" s="222" t="s">
        <v>5</v>
      </c>
      <c r="D241" s="222" t="e">
        <f t="array" ref="D241">IF(F241="","",INDEX(#REF!,MATCH(F241,#REF!,0)))</f>
        <v>#REF!</v>
      </c>
      <c r="E241" s="222" t="e">
        <f t="array" ref="E241">IF(F241="","",INDEX(#REF!,MATCH(F241,#REF!,0)))</f>
        <v>#REF!</v>
      </c>
      <c r="F241" s="222" t="s">
        <v>23</v>
      </c>
      <c r="G241" s="222" t="s">
        <v>4491</v>
      </c>
      <c r="H241" s="223" t="s">
        <v>4487</v>
      </c>
      <c r="I241" s="222" t="s">
        <v>5195</v>
      </c>
      <c r="J241" s="222" t="s">
        <v>5193</v>
      </c>
      <c r="K241" s="222" t="s">
        <v>5194</v>
      </c>
      <c r="L241" s="222">
        <v>583641</v>
      </c>
      <c r="M241" s="222">
        <v>583641</v>
      </c>
      <c r="N241" s="222" t="s">
        <v>15</v>
      </c>
      <c r="O241" s="222" t="s">
        <v>9</v>
      </c>
      <c r="P241" s="224"/>
      <c r="Q241" s="224"/>
      <c r="R241" s="224"/>
      <c r="S241" s="224"/>
      <c r="T241" s="224"/>
      <c r="U241" s="224"/>
      <c r="V241" s="224"/>
      <c r="W241" s="224"/>
      <c r="X241" s="224"/>
      <c r="Y241" s="222">
        <v>244655</v>
      </c>
      <c r="Z241" s="222">
        <v>583641</v>
      </c>
      <c r="AA241" s="224"/>
      <c r="AB241" s="224"/>
      <c r="AC241" s="224"/>
      <c r="AD241" s="224"/>
      <c r="AE241" s="224"/>
      <c r="AF241" s="224"/>
      <c r="AG241" s="224"/>
      <c r="AH241" s="224"/>
      <c r="AI241" s="224"/>
      <c r="AJ241" s="126"/>
      <c r="AK241" s="126"/>
      <c r="AL241" s="126"/>
      <c r="AM241" s="126"/>
      <c r="AN241" s="126"/>
    </row>
    <row r="242" spans="1:40" ht="15.75" customHeight="1">
      <c r="A242" s="221">
        <f t="shared" si="2"/>
        <v>236</v>
      </c>
      <c r="B242" s="222" t="s">
        <v>5191</v>
      </c>
      <c r="C242" s="222" t="s">
        <v>5</v>
      </c>
      <c r="D242" s="222" t="e">
        <f t="array" ref="D242">IF(F242="","",INDEX(#REF!,MATCH(F242,#REF!,0)))</f>
        <v>#REF!</v>
      </c>
      <c r="E242" s="222" t="e">
        <f t="array" ref="E242">IF(F242="","",INDEX(#REF!,MATCH(F242,#REF!,0)))</f>
        <v>#REF!</v>
      </c>
      <c r="F242" s="222" t="s">
        <v>23</v>
      </c>
      <c r="G242" s="222" t="s">
        <v>4495</v>
      </c>
      <c r="H242" s="223">
        <v>1</v>
      </c>
      <c r="I242" s="222" t="s">
        <v>5196</v>
      </c>
      <c r="J242" s="222" t="s">
        <v>5197</v>
      </c>
      <c r="K242" s="222" t="s">
        <v>5198</v>
      </c>
      <c r="L242" s="222">
        <v>240</v>
      </c>
      <c r="M242" s="222">
        <v>240</v>
      </c>
      <c r="N242" s="222" t="s">
        <v>11</v>
      </c>
      <c r="O242" s="222" t="s">
        <v>9</v>
      </c>
      <c r="P242" s="224"/>
      <c r="Q242" s="224"/>
      <c r="R242" s="224"/>
      <c r="S242" s="224"/>
      <c r="T242" s="224"/>
      <c r="U242" s="224"/>
      <c r="V242" s="224"/>
      <c r="W242" s="224"/>
      <c r="X242" s="224"/>
      <c r="Y242" s="222">
        <v>117</v>
      </c>
      <c r="Z242" s="222">
        <v>240</v>
      </c>
      <c r="AA242" s="224"/>
      <c r="AB242" s="224"/>
      <c r="AC242" s="224"/>
      <c r="AD242" s="224"/>
      <c r="AE242" s="224"/>
      <c r="AF242" s="224"/>
      <c r="AG242" s="224"/>
      <c r="AH242" s="224"/>
      <c r="AI242" s="224"/>
      <c r="AJ242" s="126"/>
      <c r="AK242" s="126"/>
      <c r="AL242" s="126"/>
      <c r="AM242" s="126"/>
      <c r="AN242" s="126"/>
    </row>
    <row r="243" spans="1:40" ht="15.75" customHeight="1">
      <c r="A243" s="221">
        <f t="shared" si="2"/>
        <v>237</v>
      </c>
      <c r="B243" s="222" t="s">
        <v>5191</v>
      </c>
      <c r="C243" s="222" t="s">
        <v>5</v>
      </c>
      <c r="D243" s="222" t="e">
        <f t="array" ref="D243">IF(F243="","",INDEX(#REF!,MATCH(F243,#REF!,0)))</f>
        <v>#REF!</v>
      </c>
      <c r="E243" s="222" t="e">
        <f t="array" ref="E243">IF(F243="","",INDEX(#REF!,MATCH(F243,#REF!,0)))</f>
        <v>#REF!</v>
      </c>
      <c r="F243" s="222" t="s">
        <v>23</v>
      </c>
      <c r="G243" s="222" t="s">
        <v>4499</v>
      </c>
      <c r="H243" s="223">
        <v>1.1000000000000001</v>
      </c>
      <c r="I243" s="222" t="s">
        <v>5199</v>
      </c>
      <c r="J243" s="222" t="s">
        <v>5200</v>
      </c>
      <c r="K243" s="222" t="s">
        <v>5201</v>
      </c>
      <c r="L243" s="222">
        <v>1000</v>
      </c>
      <c r="M243" s="222">
        <v>4</v>
      </c>
      <c r="N243" s="222" t="s">
        <v>11</v>
      </c>
      <c r="O243" s="222" t="s">
        <v>14</v>
      </c>
      <c r="P243" s="224">
        <v>26706474.110000007</v>
      </c>
      <c r="Q243" s="224">
        <v>154375.76</v>
      </c>
      <c r="R243" s="224">
        <v>1018011</v>
      </c>
      <c r="S243" s="224"/>
      <c r="T243" s="224"/>
      <c r="U243" s="224"/>
      <c r="V243" s="224"/>
      <c r="W243" s="224"/>
      <c r="X243" s="224"/>
      <c r="Y243" s="222">
        <v>152</v>
      </c>
      <c r="Z243" s="222">
        <v>4</v>
      </c>
      <c r="AA243" s="224">
        <v>14623430.210000005</v>
      </c>
      <c r="AB243" s="224">
        <v>0</v>
      </c>
      <c r="AC243" s="224">
        <v>0</v>
      </c>
      <c r="AD243" s="224"/>
      <c r="AE243" s="224"/>
      <c r="AF243" s="224"/>
      <c r="AG243" s="224"/>
      <c r="AH243" s="224"/>
      <c r="AI243" s="224"/>
      <c r="AJ243" s="126"/>
      <c r="AK243" s="126"/>
      <c r="AL243" s="126"/>
      <c r="AM243" s="126"/>
      <c r="AN243" s="126"/>
    </row>
    <row r="244" spans="1:40" ht="15.75" customHeight="1">
      <c r="A244" s="221">
        <f t="shared" si="2"/>
        <v>238</v>
      </c>
      <c r="B244" s="222" t="s">
        <v>5191</v>
      </c>
      <c r="C244" s="222" t="s">
        <v>5</v>
      </c>
      <c r="D244" s="222" t="e">
        <f t="array" ref="D244">IF(F244="","",INDEX(#REF!,MATCH(F244,#REF!,0)))</f>
        <v>#REF!</v>
      </c>
      <c r="E244" s="222" t="e">
        <f t="array" ref="E244">IF(F244="","",INDEX(#REF!,MATCH(F244,#REF!,0)))</f>
        <v>#REF!</v>
      </c>
      <c r="F244" s="222" t="s">
        <v>23</v>
      </c>
      <c r="G244" s="222" t="s">
        <v>4499</v>
      </c>
      <c r="H244" s="223">
        <v>1.2</v>
      </c>
      <c r="I244" s="222" t="s">
        <v>5202</v>
      </c>
      <c r="J244" s="222" t="s">
        <v>5203</v>
      </c>
      <c r="K244" s="222" t="s">
        <v>5204</v>
      </c>
      <c r="L244" s="222">
        <v>8256</v>
      </c>
      <c r="M244" s="222">
        <v>7863</v>
      </c>
      <c r="N244" s="222" t="s">
        <v>15</v>
      </c>
      <c r="O244" s="222" t="s">
        <v>4611</v>
      </c>
      <c r="P244" s="224"/>
      <c r="Q244" s="224"/>
      <c r="R244" s="224">
        <v>227332</v>
      </c>
      <c r="S244" s="224"/>
      <c r="T244" s="224">
        <v>114145.19</v>
      </c>
      <c r="U244" s="224"/>
      <c r="V244" s="224"/>
      <c r="W244" s="224"/>
      <c r="X244" s="224"/>
      <c r="Y244" s="222">
        <v>0</v>
      </c>
      <c r="Z244" s="222">
        <v>7863</v>
      </c>
      <c r="AA244" s="224"/>
      <c r="AB244" s="224"/>
      <c r="AC244" s="224">
        <v>0</v>
      </c>
      <c r="AD244" s="224"/>
      <c r="AE244" s="224">
        <v>0</v>
      </c>
      <c r="AF244" s="224"/>
      <c r="AG244" s="224"/>
      <c r="AH244" s="224"/>
      <c r="AI244" s="224"/>
      <c r="AJ244" s="126"/>
      <c r="AK244" s="126"/>
      <c r="AL244" s="126"/>
      <c r="AM244" s="126"/>
      <c r="AN244" s="126"/>
    </row>
    <row r="245" spans="1:40" ht="15.75" customHeight="1">
      <c r="A245" s="221">
        <f t="shared" si="2"/>
        <v>239</v>
      </c>
      <c r="B245" s="222" t="s">
        <v>5191</v>
      </c>
      <c r="C245" s="222" t="s">
        <v>5</v>
      </c>
      <c r="D245" s="222" t="e">
        <f t="array" ref="D245">IF(F245="","",INDEX(#REF!,MATCH(F245,#REF!,0)))</f>
        <v>#REF!</v>
      </c>
      <c r="E245" s="222" t="e">
        <f t="array" ref="E245">IF(F245="","",INDEX(#REF!,MATCH(F245,#REF!,0)))</f>
        <v>#REF!</v>
      </c>
      <c r="F245" s="222" t="s">
        <v>23</v>
      </c>
      <c r="G245" s="222" t="s">
        <v>4495</v>
      </c>
      <c r="H245" s="223">
        <v>2</v>
      </c>
      <c r="I245" s="222" t="s">
        <v>5205</v>
      </c>
      <c r="J245" s="222" t="s">
        <v>5206</v>
      </c>
      <c r="K245" s="222" t="s">
        <v>5207</v>
      </c>
      <c r="L245" s="222">
        <v>600000</v>
      </c>
      <c r="M245" s="222">
        <v>4</v>
      </c>
      <c r="N245" s="222" t="s">
        <v>11</v>
      </c>
      <c r="O245" s="222" t="s">
        <v>14</v>
      </c>
      <c r="P245" s="224"/>
      <c r="Q245" s="224"/>
      <c r="R245" s="224"/>
      <c r="S245" s="224"/>
      <c r="T245" s="224"/>
      <c r="U245" s="224"/>
      <c r="V245" s="224"/>
      <c r="W245" s="224"/>
      <c r="X245" s="224"/>
      <c r="Y245" s="222">
        <v>234100</v>
      </c>
      <c r="Z245" s="222">
        <v>4</v>
      </c>
      <c r="AA245" s="224"/>
      <c r="AB245" s="224"/>
      <c r="AC245" s="224"/>
      <c r="AD245" s="224"/>
      <c r="AE245" s="224"/>
      <c r="AF245" s="224"/>
      <c r="AG245" s="224"/>
      <c r="AH245" s="224"/>
      <c r="AI245" s="224"/>
      <c r="AJ245" s="126"/>
      <c r="AK245" s="126"/>
      <c r="AL245" s="126"/>
      <c r="AM245" s="126"/>
      <c r="AN245" s="126"/>
    </row>
    <row r="246" spans="1:40" ht="15.75" customHeight="1">
      <c r="A246" s="221">
        <f t="shared" si="2"/>
        <v>240</v>
      </c>
      <c r="B246" s="222" t="s">
        <v>5191</v>
      </c>
      <c r="C246" s="222" t="s">
        <v>5</v>
      </c>
      <c r="D246" s="222" t="e">
        <f t="array" ref="D246">IF(F246="","",INDEX(#REF!,MATCH(F246,#REF!,0)))</f>
        <v>#REF!</v>
      </c>
      <c r="E246" s="222" t="e">
        <f t="array" ref="E246">IF(F246="","",INDEX(#REF!,MATCH(F246,#REF!,0)))</f>
        <v>#REF!</v>
      </c>
      <c r="F246" s="222" t="s">
        <v>23</v>
      </c>
      <c r="G246" s="222" t="s">
        <v>4499</v>
      </c>
      <c r="H246" s="223">
        <v>2.1</v>
      </c>
      <c r="I246" s="222" t="s">
        <v>5208</v>
      </c>
      <c r="J246" s="222" t="s">
        <v>5209</v>
      </c>
      <c r="K246" s="222" t="s">
        <v>5210</v>
      </c>
      <c r="L246" s="222">
        <v>30000</v>
      </c>
      <c r="M246" s="222">
        <v>4</v>
      </c>
      <c r="N246" s="222" t="s">
        <v>11</v>
      </c>
      <c r="O246" s="222" t="s">
        <v>14</v>
      </c>
      <c r="P246" s="224">
        <v>29167898.489999998</v>
      </c>
      <c r="Q246" s="224">
        <v>4000</v>
      </c>
      <c r="R246" s="224">
        <v>919000</v>
      </c>
      <c r="S246" s="224"/>
      <c r="T246" s="224"/>
      <c r="U246" s="224"/>
      <c r="V246" s="224"/>
      <c r="W246" s="224"/>
      <c r="X246" s="224"/>
      <c r="Y246" s="222">
        <v>10908</v>
      </c>
      <c r="Z246" s="222">
        <v>4</v>
      </c>
      <c r="AA246" s="224">
        <v>14964866.970000004</v>
      </c>
      <c r="AB246" s="224">
        <v>0</v>
      </c>
      <c r="AC246" s="224">
        <v>689000</v>
      </c>
      <c r="AD246" s="224"/>
      <c r="AE246" s="224"/>
      <c r="AF246" s="224"/>
      <c r="AG246" s="224"/>
      <c r="AH246" s="224"/>
      <c r="AI246" s="224"/>
      <c r="AJ246" s="126"/>
      <c r="AK246" s="126"/>
      <c r="AL246" s="126"/>
      <c r="AM246" s="126"/>
      <c r="AN246" s="126"/>
    </row>
    <row r="247" spans="1:40" ht="15.75" customHeight="1">
      <c r="A247" s="221">
        <f t="shared" si="2"/>
        <v>241</v>
      </c>
      <c r="B247" s="222" t="s">
        <v>5191</v>
      </c>
      <c r="C247" s="222" t="s">
        <v>5</v>
      </c>
      <c r="D247" s="222" t="e">
        <f t="array" ref="D247">IF(F247="","",INDEX(#REF!,MATCH(F247,#REF!,0)))</f>
        <v>#REF!</v>
      </c>
      <c r="E247" s="222" t="e">
        <f t="array" ref="E247">IF(F247="","",INDEX(#REF!,MATCH(F247,#REF!,0)))</f>
        <v>#REF!</v>
      </c>
      <c r="F247" s="222" t="s">
        <v>23</v>
      </c>
      <c r="G247" s="222" t="s">
        <v>4499</v>
      </c>
      <c r="H247" s="223">
        <v>2.2000000000000002</v>
      </c>
      <c r="I247" s="222" t="s">
        <v>5211</v>
      </c>
      <c r="J247" s="222" t="s">
        <v>5212</v>
      </c>
      <c r="K247" s="222" t="s">
        <v>5213</v>
      </c>
      <c r="L247" s="222">
        <v>42000</v>
      </c>
      <c r="M247" s="222">
        <v>4</v>
      </c>
      <c r="N247" s="222" t="s">
        <v>11</v>
      </c>
      <c r="O247" s="222" t="s">
        <v>14</v>
      </c>
      <c r="P247" s="224">
        <v>2675948.9399999995</v>
      </c>
      <c r="Q247" s="224">
        <v>15000</v>
      </c>
      <c r="R247" s="224">
        <v>171000</v>
      </c>
      <c r="S247" s="224"/>
      <c r="T247" s="224"/>
      <c r="U247" s="224"/>
      <c r="V247" s="224"/>
      <c r="W247" s="224"/>
      <c r="X247" s="224"/>
      <c r="Y247" s="222">
        <v>22755</v>
      </c>
      <c r="Z247" s="222">
        <v>4</v>
      </c>
      <c r="AA247" s="224">
        <v>1389252.2099999997</v>
      </c>
      <c r="AB247" s="224">
        <v>0</v>
      </c>
      <c r="AC247" s="224">
        <v>0</v>
      </c>
      <c r="AD247" s="224"/>
      <c r="AE247" s="224"/>
      <c r="AF247" s="224"/>
      <c r="AG247" s="224"/>
      <c r="AH247" s="224"/>
      <c r="AI247" s="224"/>
      <c r="AJ247" s="126"/>
      <c r="AK247" s="126"/>
      <c r="AL247" s="126"/>
      <c r="AM247" s="126"/>
      <c r="AN247" s="126"/>
    </row>
    <row r="248" spans="1:40" ht="15.75" customHeight="1">
      <c r="A248" s="221">
        <f t="shared" si="2"/>
        <v>242</v>
      </c>
      <c r="B248" s="222" t="s">
        <v>5191</v>
      </c>
      <c r="C248" s="222" t="s">
        <v>5</v>
      </c>
      <c r="D248" s="222" t="e">
        <f t="array" ref="D248">IF(F248="","",INDEX(#REF!,MATCH(F248,#REF!,0)))</f>
        <v>#REF!</v>
      </c>
      <c r="E248" s="222" t="e">
        <f t="array" ref="E248">IF(F248="","",INDEX(#REF!,MATCH(F248,#REF!,0)))</f>
        <v>#REF!</v>
      </c>
      <c r="F248" s="222" t="s">
        <v>23</v>
      </c>
      <c r="G248" s="222" t="s">
        <v>4499</v>
      </c>
      <c r="H248" s="223">
        <v>2.2999999999999998</v>
      </c>
      <c r="I248" s="222" t="s">
        <v>5214</v>
      </c>
      <c r="J248" s="222" t="s">
        <v>5215</v>
      </c>
      <c r="K248" s="222" t="s">
        <v>5216</v>
      </c>
      <c r="L248" s="222">
        <v>20000</v>
      </c>
      <c r="M248" s="222">
        <v>4</v>
      </c>
      <c r="N248" s="222" t="s">
        <v>11</v>
      </c>
      <c r="O248" s="222" t="s">
        <v>14</v>
      </c>
      <c r="P248" s="224"/>
      <c r="Q248" s="224"/>
      <c r="R248" s="224">
        <v>200000</v>
      </c>
      <c r="S248" s="224"/>
      <c r="T248" s="224"/>
      <c r="U248" s="224"/>
      <c r="V248" s="224"/>
      <c r="W248" s="224"/>
      <c r="X248" s="224"/>
      <c r="Y248" s="222">
        <v>11904</v>
      </c>
      <c r="Z248" s="222">
        <v>4</v>
      </c>
      <c r="AA248" s="224"/>
      <c r="AB248" s="224"/>
      <c r="AC248" s="224">
        <v>0</v>
      </c>
      <c r="AD248" s="224"/>
      <c r="AE248" s="224"/>
      <c r="AF248" s="224"/>
      <c r="AG248" s="224"/>
      <c r="AH248" s="224"/>
      <c r="AI248" s="224"/>
      <c r="AJ248" s="126"/>
      <c r="AK248" s="126"/>
      <c r="AL248" s="126"/>
      <c r="AM248" s="126"/>
      <c r="AN248" s="126"/>
    </row>
    <row r="249" spans="1:40" ht="15.75" customHeight="1">
      <c r="A249" s="221">
        <f t="shared" si="2"/>
        <v>243</v>
      </c>
      <c r="B249" s="222" t="s">
        <v>5191</v>
      </c>
      <c r="C249" s="222" t="s">
        <v>5</v>
      </c>
      <c r="D249" s="222" t="e">
        <f t="array" ref="D249">IF(F249="","",INDEX(#REF!,MATCH(F249,#REF!,0)))</f>
        <v>#REF!</v>
      </c>
      <c r="E249" s="222" t="e">
        <f t="array" ref="E249">IF(F249="","",INDEX(#REF!,MATCH(F249,#REF!,0)))</f>
        <v>#REF!</v>
      </c>
      <c r="F249" s="222" t="s">
        <v>23</v>
      </c>
      <c r="G249" s="222" t="s">
        <v>4499</v>
      </c>
      <c r="H249" s="223">
        <v>2.4</v>
      </c>
      <c r="I249" s="222" t="s">
        <v>5217</v>
      </c>
      <c r="J249" s="222" t="s">
        <v>5218</v>
      </c>
      <c r="K249" s="222" t="s">
        <v>5219</v>
      </c>
      <c r="L249" s="222">
        <v>1600000</v>
      </c>
      <c r="M249" s="222">
        <v>4</v>
      </c>
      <c r="N249" s="222" t="s">
        <v>11</v>
      </c>
      <c r="O249" s="222" t="s">
        <v>14</v>
      </c>
      <c r="P249" s="224"/>
      <c r="Q249" s="224">
        <v>30000</v>
      </c>
      <c r="R249" s="224"/>
      <c r="S249" s="224"/>
      <c r="T249" s="224"/>
      <c r="U249" s="224"/>
      <c r="V249" s="224"/>
      <c r="W249" s="224"/>
      <c r="X249" s="224"/>
      <c r="Y249" s="222">
        <v>188533</v>
      </c>
      <c r="Z249" s="222">
        <v>4</v>
      </c>
      <c r="AA249" s="224"/>
      <c r="AB249" s="224">
        <v>0</v>
      </c>
      <c r="AC249" s="224"/>
      <c r="AD249" s="224"/>
      <c r="AE249" s="224"/>
      <c r="AF249" s="224"/>
      <c r="AG249" s="224"/>
      <c r="AH249" s="224"/>
      <c r="AI249" s="224"/>
      <c r="AJ249" s="126"/>
      <c r="AK249" s="126"/>
      <c r="AL249" s="126"/>
      <c r="AM249" s="126"/>
      <c r="AN249" s="126"/>
    </row>
    <row r="250" spans="1:40" ht="15.75" customHeight="1">
      <c r="A250" s="221">
        <f t="shared" si="2"/>
        <v>244</v>
      </c>
      <c r="B250" s="222" t="s">
        <v>5191</v>
      </c>
      <c r="C250" s="222" t="s">
        <v>5</v>
      </c>
      <c r="D250" s="222" t="e">
        <f t="array" ref="D250">IF(F250="","",INDEX(#REF!,MATCH(F250,#REF!,0)))</f>
        <v>#REF!</v>
      </c>
      <c r="E250" s="222" t="e">
        <f t="array" ref="E250">IF(F250="","",INDEX(#REF!,MATCH(F250,#REF!,0)))</f>
        <v>#REF!</v>
      </c>
      <c r="F250" s="222" t="s">
        <v>23</v>
      </c>
      <c r="G250" s="222" t="s">
        <v>4495</v>
      </c>
      <c r="H250" s="223">
        <v>3</v>
      </c>
      <c r="I250" s="222" t="s">
        <v>5220</v>
      </c>
      <c r="J250" s="222" t="s">
        <v>5221</v>
      </c>
      <c r="K250" s="222" t="s">
        <v>5222</v>
      </c>
      <c r="L250" s="222">
        <v>15573</v>
      </c>
      <c r="M250" s="222">
        <v>15573</v>
      </c>
      <c r="N250" s="222" t="s">
        <v>11</v>
      </c>
      <c r="O250" s="222" t="s">
        <v>9</v>
      </c>
      <c r="P250" s="224"/>
      <c r="Q250" s="224"/>
      <c r="R250" s="224"/>
      <c r="S250" s="224"/>
      <c r="T250" s="224"/>
      <c r="U250" s="224"/>
      <c r="V250" s="224"/>
      <c r="W250" s="224"/>
      <c r="X250" s="224"/>
      <c r="Y250" s="222">
        <v>9880</v>
      </c>
      <c r="Z250" s="222">
        <v>15573</v>
      </c>
      <c r="AA250" s="224"/>
      <c r="AB250" s="224"/>
      <c r="AC250" s="224"/>
      <c r="AD250" s="224"/>
      <c r="AE250" s="224"/>
      <c r="AF250" s="224"/>
      <c r="AG250" s="224"/>
      <c r="AH250" s="224"/>
      <c r="AI250" s="224"/>
      <c r="AJ250" s="126"/>
      <c r="AK250" s="126"/>
      <c r="AL250" s="126"/>
      <c r="AM250" s="126"/>
      <c r="AN250" s="126"/>
    </row>
    <row r="251" spans="1:40" ht="15.75" customHeight="1">
      <c r="A251" s="221">
        <f t="shared" si="2"/>
        <v>245</v>
      </c>
      <c r="B251" s="222" t="s">
        <v>5191</v>
      </c>
      <c r="C251" s="222" t="s">
        <v>5</v>
      </c>
      <c r="D251" s="222" t="e">
        <f t="array" ref="D251">IF(F251="","",INDEX(#REF!,MATCH(F251,#REF!,0)))</f>
        <v>#REF!</v>
      </c>
      <c r="E251" s="222" t="e">
        <f t="array" ref="E251">IF(F251="","",INDEX(#REF!,MATCH(F251,#REF!,0)))</f>
        <v>#REF!</v>
      </c>
      <c r="F251" s="222" t="s">
        <v>23</v>
      </c>
      <c r="G251" s="222" t="s">
        <v>4499</v>
      </c>
      <c r="H251" s="223">
        <v>3.1</v>
      </c>
      <c r="I251" s="222" t="s">
        <v>5223</v>
      </c>
      <c r="J251" s="222" t="s">
        <v>5224</v>
      </c>
      <c r="K251" s="222" t="s">
        <v>5225</v>
      </c>
      <c r="L251" s="222">
        <v>1660</v>
      </c>
      <c r="M251" s="222">
        <v>1660</v>
      </c>
      <c r="N251" s="222" t="s">
        <v>11</v>
      </c>
      <c r="O251" s="222" t="s">
        <v>9</v>
      </c>
      <c r="P251" s="224"/>
      <c r="Q251" s="224">
        <v>16094</v>
      </c>
      <c r="R251" s="224">
        <v>70000</v>
      </c>
      <c r="S251" s="224"/>
      <c r="T251" s="224"/>
      <c r="U251" s="224"/>
      <c r="V251" s="224"/>
      <c r="W251" s="224"/>
      <c r="X251" s="224"/>
      <c r="Y251" s="222">
        <v>893</v>
      </c>
      <c r="Z251" s="222">
        <v>1660</v>
      </c>
      <c r="AA251" s="224"/>
      <c r="AB251" s="224">
        <v>294</v>
      </c>
      <c r="AC251" s="224">
        <v>0</v>
      </c>
      <c r="AD251" s="224"/>
      <c r="AE251" s="224"/>
      <c r="AF251" s="224"/>
      <c r="AG251" s="224"/>
      <c r="AH251" s="224"/>
      <c r="AI251" s="224"/>
      <c r="AJ251" s="126"/>
      <c r="AK251" s="126"/>
      <c r="AL251" s="126"/>
      <c r="AM251" s="126"/>
      <c r="AN251" s="126"/>
    </row>
    <row r="252" spans="1:40" ht="15.75" customHeight="1">
      <c r="A252" s="221">
        <f t="shared" si="2"/>
        <v>246</v>
      </c>
      <c r="B252" s="222" t="s">
        <v>5191</v>
      </c>
      <c r="C252" s="222" t="s">
        <v>5</v>
      </c>
      <c r="D252" s="222" t="e">
        <f t="array" ref="D252">IF(F252="","",INDEX(#REF!,MATCH(F252,#REF!,0)))</f>
        <v>#REF!</v>
      </c>
      <c r="E252" s="222" t="e">
        <f t="array" ref="E252">IF(F252="","",INDEX(#REF!,MATCH(F252,#REF!,0)))</f>
        <v>#REF!</v>
      </c>
      <c r="F252" s="222" t="s">
        <v>23</v>
      </c>
      <c r="G252" s="222" t="s">
        <v>4499</v>
      </c>
      <c r="H252" s="223">
        <v>3.2</v>
      </c>
      <c r="I252" s="222" t="s">
        <v>5226</v>
      </c>
      <c r="J252" s="222" t="s">
        <v>5227</v>
      </c>
      <c r="K252" s="222" t="s">
        <v>5228</v>
      </c>
      <c r="L252" s="222">
        <v>12000</v>
      </c>
      <c r="M252" s="222">
        <v>12000</v>
      </c>
      <c r="N252" s="222" t="s">
        <v>11</v>
      </c>
      <c r="O252" s="222" t="s">
        <v>9</v>
      </c>
      <c r="P252" s="224">
        <v>52086118.230000004</v>
      </c>
      <c r="Q252" s="224">
        <v>48997</v>
      </c>
      <c r="R252" s="224">
        <v>1181740</v>
      </c>
      <c r="S252" s="224"/>
      <c r="T252" s="224">
        <v>3260</v>
      </c>
      <c r="U252" s="224"/>
      <c r="V252" s="224"/>
      <c r="W252" s="224"/>
      <c r="X252" s="224"/>
      <c r="Y252" s="222">
        <v>7993</v>
      </c>
      <c r="Z252" s="222">
        <v>12000</v>
      </c>
      <c r="AA252" s="224">
        <v>32419491.740000002</v>
      </c>
      <c r="AB252" s="224">
        <v>0</v>
      </c>
      <c r="AC252" s="224">
        <v>0</v>
      </c>
      <c r="AD252" s="224"/>
      <c r="AE252" s="224">
        <v>0</v>
      </c>
      <c r="AF252" s="224"/>
      <c r="AG252" s="224"/>
      <c r="AH252" s="224"/>
      <c r="AI252" s="224"/>
      <c r="AJ252" s="126"/>
      <c r="AK252" s="126"/>
      <c r="AL252" s="126"/>
      <c r="AM252" s="126"/>
      <c r="AN252" s="126"/>
    </row>
    <row r="253" spans="1:40" ht="15.75" customHeight="1">
      <c r="A253" s="221">
        <f t="shared" si="2"/>
        <v>247</v>
      </c>
      <c r="B253" s="222" t="s">
        <v>5191</v>
      </c>
      <c r="C253" s="222" t="s">
        <v>5</v>
      </c>
      <c r="D253" s="222" t="e">
        <f t="array" ref="D253">IF(F253="","",INDEX(#REF!,MATCH(F253,#REF!,0)))</f>
        <v>#REF!</v>
      </c>
      <c r="E253" s="222" t="e">
        <f t="array" ref="E253">IF(F253="","",INDEX(#REF!,MATCH(F253,#REF!,0)))</f>
        <v>#REF!</v>
      </c>
      <c r="F253" s="222" t="s">
        <v>23</v>
      </c>
      <c r="G253" s="222" t="s">
        <v>4499</v>
      </c>
      <c r="H253" s="223">
        <v>3.3</v>
      </c>
      <c r="I253" s="222" t="s">
        <v>5229</v>
      </c>
      <c r="J253" s="222" t="s">
        <v>5230</v>
      </c>
      <c r="K253" s="222" t="s">
        <v>5231</v>
      </c>
      <c r="L253" s="222">
        <v>2000</v>
      </c>
      <c r="M253" s="222">
        <v>2000</v>
      </c>
      <c r="N253" s="222" t="s">
        <v>11</v>
      </c>
      <c r="O253" s="222" t="s">
        <v>9</v>
      </c>
      <c r="P253" s="224">
        <v>1205514.4600000002</v>
      </c>
      <c r="Q253" s="224">
        <v>5561.7</v>
      </c>
      <c r="R253" s="224">
        <v>0</v>
      </c>
      <c r="S253" s="224"/>
      <c r="T253" s="224"/>
      <c r="U253" s="224"/>
      <c r="V253" s="224"/>
      <c r="W253" s="224"/>
      <c r="X253" s="224"/>
      <c r="Y253" s="222">
        <v>994</v>
      </c>
      <c r="Z253" s="222">
        <v>2000</v>
      </c>
      <c r="AA253" s="224">
        <v>153148.92999999996</v>
      </c>
      <c r="AB253" s="224">
        <v>5358.7</v>
      </c>
      <c r="AC253" s="224">
        <v>0</v>
      </c>
      <c r="AD253" s="224"/>
      <c r="AE253" s="224"/>
      <c r="AF253" s="224"/>
      <c r="AG253" s="224"/>
      <c r="AH253" s="224"/>
      <c r="AI253" s="224"/>
      <c r="AJ253" s="126"/>
      <c r="AK253" s="126"/>
      <c r="AL253" s="126"/>
      <c r="AM253" s="126"/>
      <c r="AN253" s="126"/>
    </row>
    <row r="254" spans="1:40" ht="15.75" customHeight="1">
      <c r="A254" s="221">
        <f t="shared" si="2"/>
        <v>248</v>
      </c>
      <c r="B254" s="222" t="s">
        <v>5191</v>
      </c>
      <c r="C254" s="222" t="s">
        <v>5</v>
      </c>
      <c r="D254" s="222" t="e">
        <f t="array" ref="D254">IF(F254="","",INDEX(#REF!,MATCH(F254,#REF!,0)))</f>
        <v>#REF!</v>
      </c>
      <c r="E254" s="222" t="e">
        <f t="array" ref="E254">IF(F254="","",INDEX(#REF!,MATCH(F254,#REF!,0)))</f>
        <v>#REF!</v>
      </c>
      <c r="F254" s="222" t="s">
        <v>23</v>
      </c>
      <c r="G254" s="222" t="s">
        <v>4495</v>
      </c>
      <c r="H254" s="223">
        <v>4</v>
      </c>
      <c r="I254" s="222" t="s">
        <v>5232</v>
      </c>
      <c r="J254" s="222" t="s">
        <v>5233</v>
      </c>
      <c r="K254" s="222" t="s">
        <v>5234</v>
      </c>
      <c r="L254" s="222">
        <v>741</v>
      </c>
      <c r="M254" s="222">
        <v>741</v>
      </c>
      <c r="N254" s="222" t="s">
        <v>11</v>
      </c>
      <c r="O254" s="222" t="s">
        <v>9</v>
      </c>
      <c r="P254" s="224"/>
      <c r="Q254" s="224"/>
      <c r="R254" s="224"/>
      <c r="S254" s="224"/>
      <c r="T254" s="224"/>
      <c r="U254" s="224"/>
      <c r="V254" s="224"/>
      <c r="W254" s="224"/>
      <c r="X254" s="224"/>
      <c r="Y254" s="222">
        <v>675</v>
      </c>
      <c r="Z254" s="222">
        <v>741</v>
      </c>
      <c r="AA254" s="224"/>
      <c r="AB254" s="224"/>
      <c r="AC254" s="224"/>
      <c r="AD254" s="224"/>
      <c r="AE254" s="224"/>
      <c r="AF254" s="224"/>
      <c r="AG254" s="224"/>
      <c r="AH254" s="224"/>
      <c r="AI254" s="224"/>
      <c r="AJ254" s="126"/>
      <c r="AK254" s="126"/>
      <c r="AL254" s="126"/>
      <c r="AM254" s="126"/>
      <c r="AN254" s="126"/>
    </row>
    <row r="255" spans="1:40" ht="15.75" customHeight="1">
      <c r="A255" s="221">
        <f t="shared" si="2"/>
        <v>249</v>
      </c>
      <c r="B255" s="222" t="s">
        <v>5191</v>
      </c>
      <c r="C255" s="222" t="s">
        <v>5</v>
      </c>
      <c r="D255" s="222" t="e">
        <f t="array" ref="D255">IF(F255="","",INDEX(#REF!,MATCH(F255,#REF!,0)))</f>
        <v>#REF!</v>
      </c>
      <c r="E255" s="222" t="e">
        <f t="array" ref="E255">IF(F255="","",INDEX(#REF!,MATCH(F255,#REF!,0)))</f>
        <v>#REF!</v>
      </c>
      <c r="F255" s="222" t="s">
        <v>23</v>
      </c>
      <c r="G255" s="222" t="s">
        <v>4499</v>
      </c>
      <c r="H255" s="223">
        <v>4.0999999999999996</v>
      </c>
      <c r="I255" s="222" t="s">
        <v>5229</v>
      </c>
      <c r="J255" s="222" t="s">
        <v>5230</v>
      </c>
      <c r="K255" s="222" t="s">
        <v>5231</v>
      </c>
      <c r="L255" s="222">
        <v>300</v>
      </c>
      <c r="M255" s="222">
        <v>300</v>
      </c>
      <c r="N255" s="222" t="s">
        <v>11</v>
      </c>
      <c r="O255" s="222" t="s">
        <v>9</v>
      </c>
      <c r="P255" s="224">
        <v>59905235.229999997</v>
      </c>
      <c r="Q255" s="224">
        <v>1196000</v>
      </c>
      <c r="R255" s="224"/>
      <c r="S255" s="224"/>
      <c r="T255" s="224">
        <v>6358.41</v>
      </c>
      <c r="U255" s="224"/>
      <c r="V255" s="224"/>
      <c r="W255" s="224"/>
      <c r="X255" s="224"/>
      <c r="Y255" s="222">
        <v>324</v>
      </c>
      <c r="Z255" s="222">
        <v>300</v>
      </c>
      <c r="AA255" s="224">
        <v>28085608.490000006</v>
      </c>
      <c r="AB255" s="224">
        <v>166935.93</v>
      </c>
      <c r="AC255" s="224"/>
      <c r="AD255" s="224"/>
      <c r="AE255" s="224">
        <v>6358.41</v>
      </c>
      <c r="AF255" s="224"/>
      <c r="AG255" s="224"/>
      <c r="AH255" s="224"/>
      <c r="AI255" s="224"/>
      <c r="AJ255" s="126"/>
      <c r="AK255" s="126"/>
      <c r="AL255" s="126"/>
      <c r="AM255" s="126"/>
      <c r="AN255" s="126"/>
    </row>
    <row r="256" spans="1:40" ht="15.75" customHeight="1">
      <c r="A256" s="221">
        <f t="shared" si="2"/>
        <v>250</v>
      </c>
      <c r="B256" s="222" t="s">
        <v>5191</v>
      </c>
      <c r="C256" s="222" t="s">
        <v>5</v>
      </c>
      <c r="D256" s="222" t="e">
        <f t="array" ref="D256">IF(F256="","",INDEX(#REF!,MATCH(F256,#REF!,0)))</f>
        <v>#REF!</v>
      </c>
      <c r="E256" s="222" t="e">
        <f t="array" ref="E256">IF(F256="","",INDEX(#REF!,MATCH(F256,#REF!,0)))</f>
        <v>#REF!</v>
      </c>
      <c r="F256" s="222" t="s">
        <v>23</v>
      </c>
      <c r="G256" s="222" t="s">
        <v>4499</v>
      </c>
      <c r="H256" s="223">
        <v>4.2</v>
      </c>
      <c r="I256" s="222" t="s">
        <v>5235</v>
      </c>
      <c r="J256" s="222" t="s">
        <v>5236</v>
      </c>
      <c r="K256" s="222" t="s">
        <v>5237</v>
      </c>
      <c r="L256" s="222">
        <v>500</v>
      </c>
      <c r="M256" s="222">
        <v>500</v>
      </c>
      <c r="N256" s="222" t="s">
        <v>11</v>
      </c>
      <c r="O256" s="222" t="s">
        <v>9</v>
      </c>
      <c r="P256" s="224"/>
      <c r="Q256" s="224">
        <v>43602.96</v>
      </c>
      <c r="R256" s="224">
        <v>83000</v>
      </c>
      <c r="S256" s="224"/>
      <c r="T256" s="224">
        <v>400000</v>
      </c>
      <c r="U256" s="224"/>
      <c r="V256" s="224"/>
      <c r="W256" s="224"/>
      <c r="X256" s="224"/>
      <c r="Y256" s="222">
        <v>351</v>
      </c>
      <c r="Z256" s="222">
        <v>500</v>
      </c>
      <c r="AA256" s="224"/>
      <c r="AB256" s="224">
        <v>4860.5999999999995</v>
      </c>
      <c r="AC256" s="224">
        <v>0</v>
      </c>
      <c r="AD256" s="224"/>
      <c r="AE256" s="224">
        <v>0</v>
      </c>
      <c r="AF256" s="224"/>
      <c r="AG256" s="224"/>
      <c r="AH256" s="224"/>
      <c r="AI256" s="224"/>
      <c r="AJ256" s="126"/>
      <c r="AK256" s="126"/>
      <c r="AL256" s="126"/>
      <c r="AM256" s="126"/>
      <c r="AN256" s="126"/>
    </row>
    <row r="257" spans="1:40" ht="15.75" customHeight="1">
      <c r="A257" s="221">
        <f t="shared" si="2"/>
        <v>251</v>
      </c>
      <c r="B257" s="222" t="s">
        <v>5191</v>
      </c>
      <c r="C257" s="222" t="s">
        <v>5</v>
      </c>
      <c r="D257" s="222" t="e">
        <f t="array" ref="D257">IF(F257="","",INDEX(#REF!,MATCH(F257,#REF!,0)))</f>
        <v>#REF!</v>
      </c>
      <c r="E257" s="222" t="e">
        <f t="array" ref="E257">IF(F257="","",INDEX(#REF!,MATCH(F257,#REF!,0)))</f>
        <v>#REF!</v>
      </c>
      <c r="F257" s="222" t="s">
        <v>23</v>
      </c>
      <c r="G257" s="222" t="s">
        <v>4495</v>
      </c>
      <c r="H257" s="223">
        <v>6</v>
      </c>
      <c r="I257" s="222" t="s">
        <v>5238</v>
      </c>
      <c r="J257" s="222" t="s">
        <v>5239</v>
      </c>
      <c r="K257" s="222" t="s">
        <v>5240</v>
      </c>
      <c r="L257" s="222">
        <v>365</v>
      </c>
      <c r="M257" s="222">
        <v>365</v>
      </c>
      <c r="N257" s="222" t="s">
        <v>11</v>
      </c>
      <c r="O257" s="222" t="s">
        <v>9</v>
      </c>
      <c r="P257" s="224"/>
      <c r="Q257" s="224"/>
      <c r="R257" s="224"/>
      <c r="S257" s="224"/>
      <c r="T257" s="224"/>
      <c r="U257" s="224"/>
      <c r="V257" s="224"/>
      <c r="W257" s="224"/>
      <c r="X257" s="224"/>
      <c r="Y257" s="222">
        <v>260</v>
      </c>
      <c r="Z257" s="222">
        <v>365</v>
      </c>
      <c r="AA257" s="224"/>
      <c r="AB257" s="224"/>
      <c r="AC257" s="224"/>
      <c r="AD257" s="224"/>
      <c r="AE257" s="224"/>
      <c r="AF257" s="224"/>
      <c r="AG257" s="224"/>
      <c r="AH257" s="224"/>
      <c r="AI257" s="224"/>
      <c r="AJ257" s="126"/>
      <c r="AK257" s="126"/>
      <c r="AL257" s="126"/>
      <c r="AM257" s="126"/>
      <c r="AN257" s="126"/>
    </row>
    <row r="258" spans="1:40" ht="15.75" customHeight="1">
      <c r="A258" s="221">
        <f t="shared" si="2"/>
        <v>252</v>
      </c>
      <c r="B258" s="222" t="s">
        <v>5191</v>
      </c>
      <c r="C258" s="222" t="s">
        <v>5</v>
      </c>
      <c r="D258" s="222" t="e">
        <f t="array" ref="D258">IF(F258="","",INDEX(#REF!,MATCH(F258,#REF!,0)))</f>
        <v>#REF!</v>
      </c>
      <c r="E258" s="222" t="e">
        <f t="array" ref="E258">IF(F258="","",INDEX(#REF!,MATCH(F258,#REF!,0)))</f>
        <v>#REF!</v>
      </c>
      <c r="F258" s="222" t="s">
        <v>23</v>
      </c>
      <c r="G258" s="222" t="s">
        <v>4499</v>
      </c>
      <c r="H258" s="223">
        <v>6.1</v>
      </c>
      <c r="I258" s="222" t="s">
        <v>5241</v>
      </c>
      <c r="J258" s="222" t="s">
        <v>5242</v>
      </c>
      <c r="K258" s="222" t="s">
        <v>5243</v>
      </c>
      <c r="L258" s="222">
        <v>38</v>
      </c>
      <c r="M258" s="222">
        <v>38</v>
      </c>
      <c r="N258" s="222" t="s">
        <v>11</v>
      </c>
      <c r="O258" s="222" t="s">
        <v>9</v>
      </c>
      <c r="P258" s="224">
        <v>82834951.090000004</v>
      </c>
      <c r="Q258" s="224">
        <v>10000</v>
      </c>
      <c r="R258" s="224">
        <v>120200</v>
      </c>
      <c r="S258" s="224"/>
      <c r="T258" s="224"/>
      <c r="U258" s="224"/>
      <c r="V258" s="224"/>
      <c r="W258" s="224"/>
      <c r="X258" s="224"/>
      <c r="Y258" s="222">
        <v>27</v>
      </c>
      <c r="Z258" s="222">
        <v>38</v>
      </c>
      <c r="AA258" s="224">
        <v>55309002.459999986</v>
      </c>
      <c r="AB258" s="224">
        <v>800</v>
      </c>
      <c r="AC258" s="224">
        <v>0</v>
      </c>
      <c r="AD258" s="224"/>
      <c r="AE258" s="224"/>
      <c r="AF258" s="224"/>
      <c r="AG258" s="224"/>
      <c r="AH258" s="224"/>
      <c r="AI258" s="224"/>
      <c r="AJ258" s="126"/>
      <c r="AK258" s="126"/>
      <c r="AL258" s="126"/>
      <c r="AM258" s="126"/>
      <c r="AN258" s="126"/>
    </row>
    <row r="259" spans="1:40" ht="15.75" customHeight="1">
      <c r="A259" s="221">
        <f t="shared" si="2"/>
        <v>253</v>
      </c>
      <c r="B259" s="222" t="s">
        <v>5191</v>
      </c>
      <c r="C259" s="222" t="s">
        <v>5</v>
      </c>
      <c r="D259" s="222" t="e">
        <f t="array" ref="D259">IF(F259="","",INDEX(#REF!,MATCH(F259,#REF!,0)))</f>
        <v>#REF!</v>
      </c>
      <c r="E259" s="222" t="e">
        <f t="array" ref="E259">IF(F259="","",INDEX(#REF!,MATCH(F259,#REF!,0)))</f>
        <v>#REF!</v>
      </c>
      <c r="F259" s="222" t="s">
        <v>23</v>
      </c>
      <c r="G259" s="222" t="s">
        <v>4499</v>
      </c>
      <c r="H259" s="223">
        <v>6.2</v>
      </c>
      <c r="I259" s="222" t="s">
        <v>5244</v>
      </c>
      <c r="J259" s="222" t="s">
        <v>5245</v>
      </c>
      <c r="K259" s="222" t="s">
        <v>5246</v>
      </c>
      <c r="L259" s="222">
        <v>158</v>
      </c>
      <c r="M259" s="222">
        <v>158</v>
      </c>
      <c r="N259" s="222" t="s">
        <v>11</v>
      </c>
      <c r="O259" s="222" t="s">
        <v>9</v>
      </c>
      <c r="P259" s="224"/>
      <c r="Q259" s="224">
        <v>108000</v>
      </c>
      <c r="R259" s="224">
        <v>0</v>
      </c>
      <c r="S259" s="224"/>
      <c r="T259" s="224"/>
      <c r="U259" s="224"/>
      <c r="V259" s="224"/>
      <c r="W259" s="224"/>
      <c r="X259" s="224"/>
      <c r="Y259" s="222">
        <v>98</v>
      </c>
      <c r="Z259" s="222">
        <v>158</v>
      </c>
      <c r="AA259" s="224"/>
      <c r="AB259" s="224">
        <v>27419.4</v>
      </c>
      <c r="AC259" s="224">
        <v>0</v>
      </c>
      <c r="AD259" s="224"/>
      <c r="AE259" s="224"/>
      <c r="AF259" s="224"/>
      <c r="AG259" s="224"/>
      <c r="AH259" s="224"/>
      <c r="AI259" s="224"/>
      <c r="AJ259" s="126"/>
      <c r="AK259" s="126"/>
      <c r="AL259" s="126"/>
      <c r="AM259" s="126"/>
      <c r="AN259" s="126"/>
    </row>
    <row r="260" spans="1:40" ht="15.75" customHeight="1">
      <c r="A260" s="221">
        <f t="shared" si="2"/>
        <v>254</v>
      </c>
      <c r="B260" s="222" t="s">
        <v>5191</v>
      </c>
      <c r="C260" s="222" t="s">
        <v>5</v>
      </c>
      <c r="D260" s="222" t="e">
        <f t="array" ref="D260">IF(F260="","",INDEX(#REF!,MATCH(F260,#REF!,0)))</f>
        <v>#REF!</v>
      </c>
      <c r="E260" s="222" t="e">
        <f t="array" ref="E260">IF(F260="","",INDEX(#REF!,MATCH(F260,#REF!,0)))</f>
        <v>#REF!</v>
      </c>
      <c r="F260" s="222" t="s">
        <v>23</v>
      </c>
      <c r="G260" s="222" t="s">
        <v>4499</v>
      </c>
      <c r="H260" s="223">
        <v>6.3</v>
      </c>
      <c r="I260" s="222" t="s">
        <v>5247</v>
      </c>
      <c r="J260" s="222" t="s">
        <v>5248</v>
      </c>
      <c r="K260" s="222" t="s">
        <v>5249</v>
      </c>
      <c r="L260" s="222">
        <v>5648</v>
      </c>
      <c r="M260" s="222">
        <v>5648</v>
      </c>
      <c r="N260" s="222" t="s">
        <v>11</v>
      </c>
      <c r="O260" s="222" t="s">
        <v>9</v>
      </c>
      <c r="P260" s="224"/>
      <c r="Q260" s="224">
        <v>0</v>
      </c>
      <c r="R260" s="224">
        <v>0</v>
      </c>
      <c r="S260" s="224"/>
      <c r="T260" s="224"/>
      <c r="U260" s="224"/>
      <c r="V260" s="224"/>
      <c r="W260" s="224"/>
      <c r="X260" s="224"/>
      <c r="Y260" s="222">
        <v>3527</v>
      </c>
      <c r="Z260" s="222">
        <v>5648</v>
      </c>
      <c r="AA260" s="224"/>
      <c r="AB260" s="224">
        <v>0</v>
      </c>
      <c r="AC260" s="224">
        <v>0</v>
      </c>
      <c r="AD260" s="224"/>
      <c r="AE260" s="224"/>
      <c r="AF260" s="224"/>
      <c r="AG260" s="224"/>
      <c r="AH260" s="224"/>
      <c r="AI260" s="224"/>
      <c r="AJ260" s="126"/>
      <c r="AK260" s="126"/>
      <c r="AL260" s="126"/>
      <c r="AM260" s="126"/>
      <c r="AN260" s="126"/>
    </row>
    <row r="261" spans="1:40" ht="15.75" customHeight="1">
      <c r="A261" s="221">
        <f t="shared" si="2"/>
        <v>255</v>
      </c>
      <c r="B261" s="222" t="s">
        <v>5191</v>
      </c>
      <c r="C261" s="222" t="s">
        <v>5</v>
      </c>
      <c r="D261" s="222" t="e">
        <f t="array" ref="D261">IF(F261="","",INDEX(#REF!,MATCH(F261,#REF!,0)))</f>
        <v>#REF!</v>
      </c>
      <c r="E261" s="222" t="e">
        <f t="array" ref="E261">IF(F261="","",INDEX(#REF!,MATCH(F261,#REF!,0)))</f>
        <v>#REF!</v>
      </c>
      <c r="F261" s="222" t="s">
        <v>23</v>
      </c>
      <c r="G261" s="222" t="s">
        <v>4499</v>
      </c>
      <c r="H261" s="223">
        <v>6.4</v>
      </c>
      <c r="I261" s="222" t="s">
        <v>5250</v>
      </c>
      <c r="J261" s="222" t="s">
        <v>5251</v>
      </c>
      <c r="K261" s="222" t="s">
        <v>5249</v>
      </c>
      <c r="L261" s="222">
        <v>12</v>
      </c>
      <c r="M261" s="222">
        <v>12</v>
      </c>
      <c r="N261" s="222" t="s">
        <v>11</v>
      </c>
      <c r="O261" s="222" t="s">
        <v>9</v>
      </c>
      <c r="P261" s="224"/>
      <c r="Q261" s="224">
        <v>130399.3</v>
      </c>
      <c r="R261" s="224"/>
      <c r="S261" s="224"/>
      <c r="T261" s="224">
        <v>50000</v>
      </c>
      <c r="U261" s="224"/>
      <c r="V261" s="224"/>
      <c r="W261" s="224"/>
      <c r="X261" s="224"/>
      <c r="Y261" s="222">
        <v>1</v>
      </c>
      <c r="Z261" s="222">
        <v>12</v>
      </c>
      <c r="AA261" s="224"/>
      <c r="AB261" s="224">
        <v>399.3</v>
      </c>
      <c r="AC261" s="224"/>
      <c r="AD261" s="224"/>
      <c r="AE261" s="224">
        <v>0</v>
      </c>
      <c r="AF261" s="224"/>
      <c r="AG261" s="224"/>
      <c r="AH261" s="224"/>
      <c r="AI261" s="224"/>
      <c r="AJ261" s="126"/>
      <c r="AK261" s="126"/>
      <c r="AL261" s="126"/>
      <c r="AM261" s="126"/>
      <c r="AN261" s="126"/>
    </row>
    <row r="262" spans="1:40" ht="15.75" customHeight="1">
      <c r="A262" s="221">
        <f t="shared" si="2"/>
        <v>256</v>
      </c>
      <c r="B262" s="222" t="s">
        <v>5191</v>
      </c>
      <c r="C262" s="222" t="s">
        <v>5</v>
      </c>
      <c r="D262" s="222" t="e">
        <f t="array" ref="D262">IF(F262="","",INDEX(#REF!,MATCH(F262,#REF!,0)))</f>
        <v>#REF!</v>
      </c>
      <c r="E262" s="222" t="e">
        <f t="array" ref="E262">IF(F262="","",INDEX(#REF!,MATCH(F262,#REF!,0)))</f>
        <v>#REF!</v>
      </c>
      <c r="F262" s="222" t="s">
        <v>23</v>
      </c>
      <c r="G262" s="222" t="s">
        <v>4499</v>
      </c>
      <c r="H262" s="223">
        <v>6.5</v>
      </c>
      <c r="I262" s="222" t="s">
        <v>5252</v>
      </c>
      <c r="J262" s="222" t="s">
        <v>5253</v>
      </c>
      <c r="K262" s="222" t="s">
        <v>5254</v>
      </c>
      <c r="L262" s="222">
        <v>2</v>
      </c>
      <c r="M262" s="222">
        <v>2</v>
      </c>
      <c r="N262" s="222" t="s">
        <v>11</v>
      </c>
      <c r="O262" s="222" t="s">
        <v>9</v>
      </c>
      <c r="P262" s="224"/>
      <c r="Q262" s="224">
        <v>13000</v>
      </c>
      <c r="R262" s="224"/>
      <c r="S262" s="224"/>
      <c r="T262" s="224"/>
      <c r="U262" s="224"/>
      <c r="V262" s="224"/>
      <c r="W262" s="224"/>
      <c r="X262" s="224"/>
      <c r="Y262" s="222">
        <v>2</v>
      </c>
      <c r="Z262" s="222">
        <v>2</v>
      </c>
      <c r="AA262" s="224"/>
      <c r="AB262" s="224">
        <v>0</v>
      </c>
      <c r="AC262" s="224"/>
      <c r="AD262" s="224"/>
      <c r="AE262" s="224"/>
      <c r="AF262" s="224"/>
      <c r="AG262" s="224"/>
      <c r="AH262" s="224"/>
      <c r="AI262" s="224"/>
      <c r="AJ262" s="126"/>
      <c r="AK262" s="126"/>
      <c r="AL262" s="126"/>
      <c r="AM262" s="126"/>
      <c r="AN262" s="126"/>
    </row>
    <row r="263" spans="1:40" ht="15.75" customHeight="1">
      <c r="A263" s="221">
        <f t="shared" si="2"/>
        <v>257</v>
      </c>
      <c r="B263" s="222" t="s">
        <v>5191</v>
      </c>
      <c r="C263" s="222" t="s">
        <v>5</v>
      </c>
      <c r="D263" s="222" t="e">
        <f t="array" ref="D263">IF(F263="","",INDEX(#REF!,MATCH(F263,#REF!,0)))</f>
        <v>#REF!</v>
      </c>
      <c r="E263" s="222" t="e">
        <f t="array" ref="E263">IF(F263="","",INDEX(#REF!,MATCH(F263,#REF!,0)))</f>
        <v>#REF!</v>
      </c>
      <c r="F263" s="222" t="s">
        <v>23</v>
      </c>
      <c r="G263" s="222" t="s">
        <v>4495</v>
      </c>
      <c r="H263" s="223">
        <v>7</v>
      </c>
      <c r="I263" s="222" t="s">
        <v>5255</v>
      </c>
      <c r="J263" s="222" t="s">
        <v>5256</v>
      </c>
      <c r="K263" s="222" t="s">
        <v>5257</v>
      </c>
      <c r="L263" s="222">
        <v>462</v>
      </c>
      <c r="M263" s="222">
        <v>462</v>
      </c>
      <c r="N263" s="222" t="s">
        <v>11</v>
      </c>
      <c r="O263" s="222" t="s">
        <v>9</v>
      </c>
      <c r="P263" s="224"/>
      <c r="Q263" s="224"/>
      <c r="R263" s="224"/>
      <c r="S263" s="224"/>
      <c r="T263" s="224"/>
      <c r="U263" s="224"/>
      <c r="V263" s="224"/>
      <c r="W263" s="224"/>
      <c r="X263" s="224"/>
      <c r="Y263" s="222">
        <v>480</v>
      </c>
      <c r="Z263" s="222">
        <v>462</v>
      </c>
      <c r="AA263" s="224"/>
      <c r="AB263" s="224"/>
      <c r="AC263" s="224"/>
      <c r="AD263" s="224"/>
      <c r="AE263" s="224"/>
      <c r="AF263" s="224"/>
      <c r="AG263" s="224"/>
      <c r="AH263" s="224"/>
      <c r="AI263" s="224"/>
      <c r="AJ263" s="126"/>
      <c r="AK263" s="126"/>
      <c r="AL263" s="126"/>
      <c r="AM263" s="126"/>
      <c r="AN263" s="126"/>
    </row>
    <row r="264" spans="1:40" ht="15.75" customHeight="1">
      <c r="A264" s="221">
        <f t="shared" si="2"/>
        <v>258</v>
      </c>
      <c r="B264" s="222" t="s">
        <v>5191</v>
      </c>
      <c r="C264" s="222" t="s">
        <v>5</v>
      </c>
      <c r="D264" s="222" t="e">
        <f t="array" ref="D264">IF(F264="","",INDEX(#REF!,MATCH(F264,#REF!,0)))</f>
        <v>#REF!</v>
      </c>
      <c r="E264" s="222" t="e">
        <f t="array" ref="E264">IF(F264="","",INDEX(#REF!,MATCH(F264,#REF!,0)))</f>
        <v>#REF!</v>
      </c>
      <c r="F264" s="222" t="s">
        <v>23</v>
      </c>
      <c r="G264" s="222" t="s">
        <v>4499</v>
      </c>
      <c r="H264" s="223">
        <v>7.1</v>
      </c>
      <c r="I264" s="222" t="s">
        <v>5258</v>
      </c>
      <c r="J264" s="222" t="s">
        <v>5259</v>
      </c>
      <c r="K264" s="222" t="s">
        <v>5260</v>
      </c>
      <c r="L264" s="222">
        <v>40</v>
      </c>
      <c r="M264" s="222">
        <v>40</v>
      </c>
      <c r="N264" s="222" t="s">
        <v>11</v>
      </c>
      <c r="O264" s="222" t="s">
        <v>9</v>
      </c>
      <c r="P264" s="224"/>
      <c r="Q264" s="224"/>
      <c r="R264" s="224"/>
      <c r="S264" s="224"/>
      <c r="T264" s="224">
        <v>62500</v>
      </c>
      <c r="U264" s="224"/>
      <c r="V264" s="224"/>
      <c r="W264" s="224"/>
      <c r="X264" s="224"/>
      <c r="Y264" s="222">
        <v>74</v>
      </c>
      <c r="Z264" s="222">
        <v>40</v>
      </c>
      <c r="AA264" s="224"/>
      <c r="AB264" s="224"/>
      <c r="AC264" s="224"/>
      <c r="AD264" s="224"/>
      <c r="AE264" s="224">
        <v>0</v>
      </c>
      <c r="AF264" s="224"/>
      <c r="AG264" s="224"/>
      <c r="AH264" s="224"/>
      <c r="AI264" s="224"/>
      <c r="AJ264" s="126"/>
      <c r="AK264" s="126"/>
      <c r="AL264" s="126"/>
      <c r="AM264" s="126"/>
      <c r="AN264" s="126"/>
    </row>
    <row r="265" spans="1:40" ht="15.75" customHeight="1">
      <c r="A265" s="221">
        <f t="shared" si="2"/>
        <v>259</v>
      </c>
      <c r="B265" s="222" t="s">
        <v>5191</v>
      </c>
      <c r="C265" s="222" t="s">
        <v>5</v>
      </c>
      <c r="D265" s="222" t="e">
        <f t="array" ref="D265">IF(F265="","",INDEX(#REF!,MATCH(F265,#REF!,0)))</f>
        <v>#REF!</v>
      </c>
      <c r="E265" s="222" t="e">
        <f t="array" ref="E265">IF(F265="","",INDEX(#REF!,MATCH(F265,#REF!,0)))</f>
        <v>#REF!</v>
      </c>
      <c r="F265" s="222" t="s">
        <v>23</v>
      </c>
      <c r="G265" s="222" t="s">
        <v>4499</v>
      </c>
      <c r="H265" s="223">
        <v>7.2</v>
      </c>
      <c r="I265" s="222" t="s">
        <v>5261</v>
      </c>
      <c r="J265" s="222" t="s">
        <v>5262</v>
      </c>
      <c r="K265" s="222" t="s">
        <v>5263</v>
      </c>
      <c r="L265" s="222">
        <v>1113</v>
      </c>
      <c r="M265" s="222">
        <v>1113</v>
      </c>
      <c r="N265" s="222" t="s">
        <v>11</v>
      </c>
      <c r="O265" s="222" t="s">
        <v>9</v>
      </c>
      <c r="P265" s="224"/>
      <c r="Q265" s="224">
        <v>0</v>
      </c>
      <c r="R265" s="224"/>
      <c r="S265" s="224"/>
      <c r="T265" s="224"/>
      <c r="U265" s="224"/>
      <c r="V265" s="224"/>
      <c r="W265" s="224"/>
      <c r="X265" s="224"/>
      <c r="Y265" s="222">
        <v>606</v>
      </c>
      <c r="Z265" s="222">
        <v>1113</v>
      </c>
      <c r="AA265" s="224"/>
      <c r="AB265" s="224">
        <v>0</v>
      </c>
      <c r="AC265" s="224"/>
      <c r="AD265" s="224"/>
      <c r="AE265" s="224"/>
      <c r="AF265" s="224"/>
      <c r="AG265" s="224"/>
      <c r="AH265" s="224"/>
      <c r="AI265" s="224"/>
      <c r="AJ265" s="126"/>
      <c r="AK265" s="126"/>
      <c r="AL265" s="126"/>
      <c r="AM265" s="126"/>
      <c r="AN265" s="126"/>
    </row>
    <row r="266" spans="1:40" ht="15.75" customHeight="1">
      <c r="A266" s="221">
        <f t="shared" si="2"/>
        <v>260</v>
      </c>
      <c r="B266" s="222" t="s">
        <v>5264</v>
      </c>
      <c r="C266" s="222" t="s">
        <v>5</v>
      </c>
      <c r="D266" s="222" t="e">
        <f t="array" ref="D266">IF(F266="","",INDEX(#REF!,MATCH(F266,#REF!,0)))</f>
        <v>#REF!</v>
      </c>
      <c r="E266" s="222" t="e">
        <f t="array" ref="E266">IF(F266="","",INDEX(#REF!,MATCH(F266,#REF!,0)))</f>
        <v>#REF!</v>
      </c>
      <c r="F266" s="222" t="s">
        <v>25</v>
      </c>
      <c r="G266" s="222" t="s">
        <v>0</v>
      </c>
      <c r="H266" s="223" t="s">
        <v>4487</v>
      </c>
      <c r="I266" s="222" t="s">
        <v>5265</v>
      </c>
      <c r="J266" s="222" t="s">
        <v>5266</v>
      </c>
      <c r="K266" s="222" t="s">
        <v>5267</v>
      </c>
      <c r="L266" s="222">
        <v>5</v>
      </c>
      <c r="M266" s="222">
        <v>5</v>
      </c>
      <c r="N266" s="222" t="s">
        <v>15</v>
      </c>
      <c r="O266" s="222" t="s">
        <v>4611</v>
      </c>
      <c r="P266" s="224"/>
      <c r="Q266" s="224"/>
      <c r="R266" s="224"/>
      <c r="S266" s="224"/>
      <c r="T266" s="224"/>
      <c r="U266" s="224"/>
      <c r="V266" s="224"/>
      <c r="W266" s="224"/>
      <c r="X266" s="224"/>
      <c r="Y266" s="222">
        <v>0</v>
      </c>
      <c r="Z266" s="222">
        <v>5</v>
      </c>
      <c r="AA266" s="224"/>
      <c r="AB266" s="224"/>
      <c r="AC266" s="224"/>
      <c r="AD266" s="224"/>
      <c r="AE266" s="224"/>
      <c r="AF266" s="224"/>
      <c r="AG266" s="224"/>
      <c r="AH266" s="224"/>
      <c r="AI266" s="224"/>
      <c r="AJ266" s="126"/>
      <c r="AK266" s="126"/>
      <c r="AL266" s="126"/>
      <c r="AM266" s="126"/>
      <c r="AN266" s="126"/>
    </row>
    <row r="267" spans="1:40" ht="15.75" customHeight="1">
      <c r="A267" s="221">
        <f t="shared" si="2"/>
        <v>261</v>
      </c>
      <c r="B267" s="222" t="s">
        <v>5264</v>
      </c>
      <c r="C267" s="222" t="s">
        <v>5</v>
      </c>
      <c r="D267" s="222" t="e">
        <f t="array" ref="D267">IF(F267="","",INDEX(#REF!,MATCH(F267,#REF!,0)))</f>
        <v>#REF!</v>
      </c>
      <c r="E267" s="222" t="e">
        <f t="array" ref="E267">IF(F267="","",INDEX(#REF!,MATCH(F267,#REF!,0)))</f>
        <v>#REF!</v>
      </c>
      <c r="F267" s="222" t="s">
        <v>25</v>
      </c>
      <c r="G267" s="222" t="s">
        <v>4491</v>
      </c>
      <c r="H267" s="223" t="s">
        <v>4487</v>
      </c>
      <c r="I267" s="222" t="s">
        <v>5268</v>
      </c>
      <c r="J267" s="222" t="s">
        <v>5269</v>
      </c>
      <c r="K267" s="222" t="s">
        <v>5270</v>
      </c>
      <c r="L267" s="222">
        <v>117</v>
      </c>
      <c r="M267" s="222">
        <v>100</v>
      </c>
      <c r="N267" s="222" t="s">
        <v>15</v>
      </c>
      <c r="O267" s="222" t="s">
        <v>4611</v>
      </c>
      <c r="P267" s="224"/>
      <c r="Q267" s="224"/>
      <c r="R267" s="224"/>
      <c r="S267" s="224"/>
      <c r="T267" s="224"/>
      <c r="U267" s="224"/>
      <c r="V267" s="224"/>
      <c r="W267" s="224"/>
      <c r="X267" s="224"/>
      <c r="Y267" s="222">
        <v>234</v>
      </c>
      <c r="Z267" s="222">
        <v>100</v>
      </c>
      <c r="AA267" s="224"/>
      <c r="AB267" s="224"/>
      <c r="AC267" s="224"/>
      <c r="AD267" s="224"/>
      <c r="AE267" s="224"/>
      <c r="AF267" s="224"/>
      <c r="AG267" s="224"/>
      <c r="AH267" s="224"/>
      <c r="AI267" s="224"/>
      <c r="AJ267" s="126"/>
      <c r="AK267" s="126"/>
      <c r="AL267" s="126"/>
      <c r="AM267" s="126"/>
      <c r="AN267" s="126"/>
    </row>
    <row r="268" spans="1:40" ht="15.75" customHeight="1">
      <c r="A268" s="221">
        <f t="shared" si="2"/>
        <v>262</v>
      </c>
      <c r="B268" s="222" t="s">
        <v>5264</v>
      </c>
      <c r="C268" s="222" t="s">
        <v>5</v>
      </c>
      <c r="D268" s="222" t="e">
        <f t="array" ref="D268">IF(F268="","",INDEX(#REF!,MATCH(F268,#REF!,0)))</f>
        <v>#REF!</v>
      </c>
      <c r="E268" s="222" t="e">
        <f t="array" ref="E268">IF(F268="","",INDEX(#REF!,MATCH(F268,#REF!,0)))</f>
        <v>#REF!</v>
      </c>
      <c r="F268" s="222" t="s">
        <v>25</v>
      </c>
      <c r="G268" s="222" t="s">
        <v>4495</v>
      </c>
      <c r="H268" s="223">
        <v>1</v>
      </c>
      <c r="I268" s="222" t="s">
        <v>5271</v>
      </c>
      <c r="J268" s="222" t="s">
        <v>5272</v>
      </c>
      <c r="K268" s="222" t="s">
        <v>5273</v>
      </c>
      <c r="L268" s="222">
        <v>12000</v>
      </c>
      <c r="M268" s="222">
        <v>12000</v>
      </c>
      <c r="N268" s="222" t="s">
        <v>6</v>
      </c>
      <c r="O268" s="222" t="s">
        <v>14</v>
      </c>
      <c r="P268" s="224"/>
      <c r="Q268" s="224"/>
      <c r="R268" s="224"/>
      <c r="S268" s="224"/>
      <c r="T268" s="224"/>
      <c r="U268" s="224"/>
      <c r="V268" s="224"/>
      <c r="W268" s="224"/>
      <c r="X268" s="224"/>
      <c r="Y268" s="222">
        <v>6295</v>
      </c>
      <c r="Z268" s="222">
        <v>12000</v>
      </c>
      <c r="AA268" s="224"/>
      <c r="AB268" s="224"/>
      <c r="AC268" s="224"/>
      <c r="AD268" s="224"/>
      <c r="AE268" s="224"/>
      <c r="AF268" s="224"/>
      <c r="AG268" s="224"/>
      <c r="AH268" s="224"/>
      <c r="AI268" s="224"/>
      <c r="AJ268" s="126"/>
      <c r="AK268" s="126"/>
      <c r="AL268" s="126"/>
      <c r="AM268" s="126"/>
      <c r="AN268" s="126"/>
    </row>
    <row r="269" spans="1:40" ht="15.75" customHeight="1">
      <c r="A269" s="221">
        <f t="shared" si="2"/>
        <v>263</v>
      </c>
      <c r="B269" s="222" t="s">
        <v>5264</v>
      </c>
      <c r="C269" s="222" t="s">
        <v>5</v>
      </c>
      <c r="D269" s="222" t="e">
        <f t="array" ref="D269">IF(F269="","",INDEX(#REF!,MATCH(F269,#REF!,0)))</f>
        <v>#REF!</v>
      </c>
      <c r="E269" s="222" t="e">
        <f t="array" ref="E269">IF(F269="","",INDEX(#REF!,MATCH(F269,#REF!,0)))</f>
        <v>#REF!</v>
      </c>
      <c r="F269" s="222" t="s">
        <v>25</v>
      </c>
      <c r="G269" s="222" t="s">
        <v>4499</v>
      </c>
      <c r="H269" s="223">
        <v>1.1000000000000001</v>
      </c>
      <c r="I269" s="222" t="s">
        <v>5274</v>
      </c>
      <c r="J269" s="222" t="s">
        <v>5275</v>
      </c>
      <c r="K269" s="222" t="s">
        <v>5276</v>
      </c>
      <c r="L269" s="222">
        <v>12000</v>
      </c>
      <c r="M269" s="222">
        <v>12000</v>
      </c>
      <c r="N269" s="222" t="s">
        <v>11</v>
      </c>
      <c r="O269" s="222" t="s">
        <v>9</v>
      </c>
      <c r="P269" s="224">
        <v>8025112.21</v>
      </c>
      <c r="Q269" s="224">
        <v>0</v>
      </c>
      <c r="R269" s="224">
        <v>0</v>
      </c>
      <c r="S269" s="224"/>
      <c r="T269" s="224">
        <v>660250</v>
      </c>
      <c r="U269" s="224"/>
      <c r="V269" s="224"/>
      <c r="W269" s="224"/>
      <c r="X269" s="224"/>
      <c r="Y269" s="222">
        <v>5163</v>
      </c>
      <c r="Z269" s="222">
        <v>12000</v>
      </c>
      <c r="AA269" s="224">
        <v>4956185.6700000009</v>
      </c>
      <c r="AB269" s="224">
        <v>0</v>
      </c>
      <c r="AC269" s="224">
        <v>0</v>
      </c>
      <c r="AD269" s="224"/>
      <c r="AE269" s="224">
        <v>0</v>
      </c>
      <c r="AF269" s="224"/>
      <c r="AG269" s="224"/>
      <c r="AH269" s="224"/>
      <c r="AI269" s="224"/>
      <c r="AJ269" s="126"/>
      <c r="AK269" s="126"/>
      <c r="AL269" s="126"/>
      <c r="AM269" s="126"/>
      <c r="AN269" s="126"/>
    </row>
    <row r="270" spans="1:40" ht="15.75" customHeight="1">
      <c r="A270" s="221">
        <f t="shared" si="2"/>
        <v>264</v>
      </c>
      <c r="B270" s="222" t="s">
        <v>5264</v>
      </c>
      <c r="C270" s="222" t="s">
        <v>5</v>
      </c>
      <c r="D270" s="222" t="e">
        <f t="array" ref="D270">IF(F270="","",INDEX(#REF!,MATCH(F270,#REF!,0)))</f>
        <v>#REF!</v>
      </c>
      <c r="E270" s="222" t="e">
        <f t="array" ref="E270">IF(F270="","",INDEX(#REF!,MATCH(F270,#REF!,0)))</f>
        <v>#REF!</v>
      </c>
      <c r="F270" s="222" t="s">
        <v>25</v>
      </c>
      <c r="G270" s="222" t="s">
        <v>4499</v>
      </c>
      <c r="H270" s="223">
        <v>1.2</v>
      </c>
      <c r="I270" s="222" t="s">
        <v>5277</v>
      </c>
      <c r="J270" s="222" t="s">
        <v>5278</v>
      </c>
      <c r="K270" s="222" t="s">
        <v>5279</v>
      </c>
      <c r="L270" s="222">
        <v>3</v>
      </c>
      <c r="M270" s="222">
        <v>3</v>
      </c>
      <c r="N270" s="222" t="s">
        <v>11</v>
      </c>
      <c r="O270" s="222" t="s">
        <v>9</v>
      </c>
      <c r="P270" s="224"/>
      <c r="Q270" s="224"/>
      <c r="R270" s="224">
        <v>0</v>
      </c>
      <c r="S270" s="224"/>
      <c r="T270" s="224"/>
      <c r="U270" s="224"/>
      <c r="V270" s="224"/>
      <c r="W270" s="224"/>
      <c r="X270" s="224"/>
      <c r="Y270" s="222">
        <v>1</v>
      </c>
      <c r="Z270" s="222">
        <v>3</v>
      </c>
      <c r="AA270" s="224"/>
      <c r="AB270" s="224"/>
      <c r="AC270" s="224">
        <v>0</v>
      </c>
      <c r="AD270" s="224"/>
      <c r="AE270" s="224"/>
      <c r="AF270" s="224"/>
      <c r="AG270" s="224"/>
      <c r="AH270" s="224"/>
      <c r="AI270" s="224"/>
      <c r="AJ270" s="126"/>
      <c r="AK270" s="126"/>
      <c r="AL270" s="126"/>
      <c r="AM270" s="126"/>
      <c r="AN270" s="126"/>
    </row>
    <row r="271" spans="1:40" ht="15.75" customHeight="1">
      <c r="A271" s="221">
        <f t="shared" si="2"/>
        <v>265</v>
      </c>
      <c r="B271" s="222" t="s">
        <v>5264</v>
      </c>
      <c r="C271" s="222" t="s">
        <v>5</v>
      </c>
      <c r="D271" s="222" t="e">
        <f t="array" ref="D271">IF(F271="","",INDEX(#REF!,MATCH(F271,#REF!,0)))</f>
        <v>#REF!</v>
      </c>
      <c r="E271" s="222" t="e">
        <f t="array" ref="E271">IF(F271="","",INDEX(#REF!,MATCH(F271,#REF!,0)))</f>
        <v>#REF!</v>
      </c>
      <c r="F271" s="222" t="s">
        <v>25</v>
      </c>
      <c r="G271" s="222" t="s">
        <v>4499</v>
      </c>
      <c r="H271" s="223">
        <v>1.3</v>
      </c>
      <c r="I271" s="222" t="s">
        <v>5280</v>
      </c>
      <c r="J271" s="222" t="s">
        <v>5281</v>
      </c>
      <c r="K271" s="222" t="s">
        <v>5282</v>
      </c>
      <c r="L271" s="222">
        <v>154</v>
      </c>
      <c r="M271" s="222">
        <v>154</v>
      </c>
      <c r="N271" s="222" t="s">
        <v>11</v>
      </c>
      <c r="O271" s="222" t="s">
        <v>9</v>
      </c>
      <c r="P271" s="224"/>
      <c r="Q271" s="224">
        <v>10000</v>
      </c>
      <c r="R271" s="224"/>
      <c r="S271" s="224"/>
      <c r="T271" s="224"/>
      <c r="U271" s="224"/>
      <c r="V271" s="224"/>
      <c r="W271" s="224"/>
      <c r="X271" s="224"/>
      <c r="Y271" s="222">
        <v>52</v>
      </c>
      <c r="Z271" s="222">
        <v>154</v>
      </c>
      <c r="AA271" s="224"/>
      <c r="AB271" s="224">
        <v>0</v>
      </c>
      <c r="AC271" s="224"/>
      <c r="AD271" s="224"/>
      <c r="AE271" s="224"/>
      <c r="AF271" s="224"/>
      <c r="AG271" s="224"/>
      <c r="AH271" s="224"/>
      <c r="AI271" s="224"/>
      <c r="AJ271" s="126"/>
      <c r="AK271" s="126"/>
      <c r="AL271" s="126"/>
      <c r="AM271" s="126"/>
      <c r="AN271" s="126"/>
    </row>
    <row r="272" spans="1:40" ht="15.75" customHeight="1">
      <c r="A272" s="221">
        <f t="shared" si="2"/>
        <v>266</v>
      </c>
      <c r="B272" s="222" t="s">
        <v>5264</v>
      </c>
      <c r="C272" s="222" t="s">
        <v>5</v>
      </c>
      <c r="D272" s="222" t="e">
        <f t="array" ref="D272">IF(F272="","",INDEX(#REF!,MATCH(F272,#REF!,0)))</f>
        <v>#REF!</v>
      </c>
      <c r="E272" s="222" t="e">
        <f t="array" ref="E272">IF(F272="","",INDEX(#REF!,MATCH(F272,#REF!,0)))</f>
        <v>#REF!</v>
      </c>
      <c r="F272" s="222" t="s">
        <v>25</v>
      </c>
      <c r="G272" s="222" t="s">
        <v>4495</v>
      </c>
      <c r="H272" s="223">
        <v>2</v>
      </c>
      <c r="I272" s="222" t="s">
        <v>5283</v>
      </c>
      <c r="J272" s="222" t="s">
        <v>5284</v>
      </c>
      <c r="K272" s="222" t="s">
        <v>5285</v>
      </c>
      <c r="L272" s="222">
        <v>117</v>
      </c>
      <c r="M272" s="222">
        <v>117</v>
      </c>
      <c r="N272" s="222" t="s">
        <v>13</v>
      </c>
      <c r="O272" s="222" t="s">
        <v>9</v>
      </c>
      <c r="P272" s="224"/>
      <c r="Q272" s="224"/>
      <c r="R272" s="224"/>
      <c r="S272" s="224"/>
      <c r="T272" s="224"/>
      <c r="U272" s="224"/>
      <c r="V272" s="224"/>
      <c r="W272" s="224"/>
      <c r="X272" s="224"/>
      <c r="Y272" s="222">
        <v>234</v>
      </c>
      <c r="Z272" s="222">
        <v>117</v>
      </c>
      <c r="AA272" s="224"/>
      <c r="AB272" s="224"/>
      <c r="AC272" s="224"/>
      <c r="AD272" s="224"/>
      <c r="AE272" s="224"/>
      <c r="AF272" s="224"/>
      <c r="AG272" s="224"/>
      <c r="AH272" s="224"/>
      <c r="AI272" s="224"/>
      <c r="AJ272" s="126"/>
      <c r="AK272" s="126"/>
      <c r="AL272" s="126"/>
      <c r="AM272" s="126"/>
      <c r="AN272" s="126"/>
    </row>
    <row r="273" spans="1:40" ht="15.75" customHeight="1">
      <c r="A273" s="221">
        <f t="shared" si="2"/>
        <v>267</v>
      </c>
      <c r="B273" s="222" t="s">
        <v>5264</v>
      </c>
      <c r="C273" s="222" t="s">
        <v>5</v>
      </c>
      <c r="D273" s="222" t="e">
        <f t="array" ref="D273">IF(F273="","",INDEX(#REF!,MATCH(F273,#REF!,0)))</f>
        <v>#REF!</v>
      </c>
      <c r="E273" s="222" t="e">
        <f t="array" ref="E273">IF(F273="","",INDEX(#REF!,MATCH(F273,#REF!,0)))</f>
        <v>#REF!</v>
      </c>
      <c r="F273" s="222" t="s">
        <v>25</v>
      </c>
      <c r="G273" s="222" t="s">
        <v>4499</v>
      </c>
      <c r="H273" s="223">
        <v>2.1</v>
      </c>
      <c r="I273" s="222" t="s">
        <v>5286</v>
      </c>
      <c r="J273" s="222" t="s">
        <v>5287</v>
      </c>
      <c r="K273" s="222" t="s">
        <v>5288</v>
      </c>
      <c r="L273" s="222">
        <v>117</v>
      </c>
      <c r="M273" s="222">
        <v>117</v>
      </c>
      <c r="N273" s="222" t="s">
        <v>11</v>
      </c>
      <c r="O273" s="222" t="s">
        <v>9</v>
      </c>
      <c r="P273" s="224"/>
      <c r="Q273" s="224"/>
      <c r="R273" s="224">
        <v>0</v>
      </c>
      <c r="S273" s="224"/>
      <c r="T273" s="224"/>
      <c r="U273" s="224"/>
      <c r="V273" s="224"/>
      <c r="W273" s="224"/>
      <c r="X273" s="224"/>
      <c r="Y273" s="222">
        <v>234</v>
      </c>
      <c r="Z273" s="222">
        <v>117</v>
      </c>
      <c r="AA273" s="224"/>
      <c r="AB273" s="224"/>
      <c r="AC273" s="224">
        <v>0</v>
      </c>
      <c r="AD273" s="224"/>
      <c r="AE273" s="224"/>
      <c r="AF273" s="224"/>
      <c r="AG273" s="224"/>
      <c r="AH273" s="224"/>
      <c r="AI273" s="224"/>
      <c r="AJ273" s="126"/>
      <c r="AK273" s="126"/>
      <c r="AL273" s="126"/>
      <c r="AM273" s="126"/>
      <c r="AN273" s="126"/>
    </row>
    <row r="274" spans="1:40" ht="15.75" customHeight="1">
      <c r="A274" s="221">
        <f t="shared" si="2"/>
        <v>268</v>
      </c>
      <c r="B274" s="222" t="s">
        <v>5264</v>
      </c>
      <c r="C274" s="222" t="s">
        <v>5</v>
      </c>
      <c r="D274" s="222" t="e">
        <f t="array" ref="D274">IF(F274="","",INDEX(#REF!,MATCH(F274,#REF!,0)))</f>
        <v>#REF!</v>
      </c>
      <c r="E274" s="222" t="e">
        <f t="array" ref="E274">IF(F274="","",INDEX(#REF!,MATCH(F274,#REF!,0)))</f>
        <v>#REF!</v>
      </c>
      <c r="F274" s="222" t="s">
        <v>25</v>
      </c>
      <c r="G274" s="222" t="s">
        <v>4499</v>
      </c>
      <c r="H274" s="223">
        <v>2.2000000000000002</v>
      </c>
      <c r="I274" s="222" t="s">
        <v>5289</v>
      </c>
      <c r="J274" s="222" t="s">
        <v>5290</v>
      </c>
      <c r="K274" s="222" t="s">
        <v>5291</v>
      </c>
      <c r="L274" s="222">
        <v>156</v>
      </c>
      <c r="M274" s="222">
        <v>156</v>
      </c>
      <c r="N274" s="222" t="s">
        <v>11</v>
      </c>
      <c r="O274" s="222" t="s">
        <v>9</v>
      </c>
      <c r="P274" s="224"/>
      <c r="Q274" s="224"/>
      <c r="R274" s="224">
        <v>10000</v>
      </c>
      <c r="S274" s="224"/>
      <c r="T274" s="224">
        <v>0</v>
      </c>
      <c r="U274" s="224"/>
      <c r="V274" s="224"/>
      <c r="W274" s="224"/>
      <c r="X274" s="224"/>
      <c r="Y274" s="222">
        <v>312</v>
      </c>
      <c r="Z274" s="222">
        <v>156</v>
      </c>
      <c r="AA274" s="224"/>
      <c r="AB274" s="224"/>
      <c r="AC274" s="224">
        <v>0</v>
      </c>
      <c r="AD274" s="224"/>
      <c r="AE274" s="224">
        <v>0</v>
      </c>
      <c r="AF274" s="224"/>
      <c r="AG274" s="224"/>
      <c r="AH274" s="224"/>
      <c r="AI274" s="224"/>
      <c r="AJ274" s="126"/>
      <c r="AK274" s="126"/>
      <c r="AL274" s="126"/>
      <c r="AM274" s="126"/>
      <c r="AN274" s="126"/>
    </row>
    <row r="275" spans="1:40" ht="15.75" customHeight="1">
      <c r="A275" s="221">
        <f t="shared" si="2"/>
        <v>269</v>
      </c>
      <c r="B275" s="222" t="s">
        <v>5264</v>
      </c>
      <c r="C275" s="222" t="s">
        <v>5</v>
      </c>
      <c r="D275" s="222" t="e">
        <f t="array" ref="D275">IF(F275="","",INDEX(#REF!,MATCH(F275,#REF!,0)))</f>
        <v>#REF!</v>
      </c>
      <c r="E275" s="222" t="e">
        <f t="array" ref="E275">IF(F275="","",INDEX(#REF!,MATCH(F275,#REF!,0)))</f>
        <v>#REF!</v>
      </c>
      <c r="F275" s="222" t="s">
        <v>25</v>
      </c>
      <c r="G275" s="222" t="s">
        <v>4495</v>
      </c>
      <c r="H275" s="223">
        <v>3</v>
      </c>
      <c r="I275" s="222" t="s">
        <v>5292</v>
      </c>
      <c r="J275" s="222" t="s">
        <v>5293</v>
      </c>
      <c r="K275" s="222" t="s">
        <v>5294</v>
      </c>
      <c r="L275" s="222">
        <v>300</v>
      </c>
      <c r="M275" s="222">
        <v>100</v>
      </c>
      <c r="N275" s="222" t="s">
        <v>13</v>
      </c>
      <c r="O275" s="222" t="s">
        <v>9</v>
      </c>
      <c r="P275" s="224"/>
      <c r="Q275" s="224"/>
      <c r="R275" s="224"/>
      <c r="S275" s="224"/>
      <c r="T275" s="224"/>
      <c r="U275" s="224"/>
      <c r="V275" s="224"/>
      <c r="W275" s="224"/>
      <c r="X275" s="224"/>
      <c r="Y275" s="222">
        <v>252</v>
      </c>
      <c r="Z275" s="222">
        <v>100</v>
      </c>
      <c r="AA275" s="224"/>
      <c r="AB275" s="224">
        <v>0</v>
      </c>
      <c r="AC275" s="224"/>
      <c r="AD275" s="224"/>
      <c r="AE275" s="224"/>
      <c r="AF275" s="224"/>
      <c r="AG275" s="224"/>
      <c r="AH275" s="224"/>
      <c r="AI275" s="224"/>
      <c r="AJ275" s="126"/>
      <c r="AK275" s="126"/>
      <c r="AL275" s="126"/>
      <c r="AM275" s="126"/>
      <c r="AN275" s="126"/>
    </row>
    <row r="276" spans="1:40" ht="15.75" customHeight="1">
      <c r="A276" s="221">
        <f t="shared" si="2"/>
        <v>270</v>
      </c>
      <c r="B276" s="222" t="s">
        <v>5264</v>
      </c>
      <c r="C276" s="222" t="s">
        <v>5</v>
      </c>
      <c r="D276" s="222" t="e">
        <f t="array" ref="D276">IF(F276="","",INDEX(#REF!,MATCH(F276,#REF!,0)))</f>
        <v>#REF!</v>
      </c>
      <c r="E276" s="222" t="e">
        <f t="array" ref="E276">IF(F276="","",INDEX(#REF!,MATCH(F276,#REF!,0)))</f>
        <v>#REF!</v>
      </c>
      <c r="F276" s="222" t="s">
        <v>25</v>
      </c>
      <c r="G276" s="222" t="s">
        <v>4499</v>
      </c>
      <c r="H276" s="223">
        <v>3.1</v>
      </c>
      <c r="I276" s="222" t="s">
        <v>5295</v>
      </c>
      <c r="J276" s="222" t="s">
        <v>5296</v>
      </c>
      <c r="K276" s="222" t="s">
        <v>5297</v>
      </c>
      <c r="L276" s="222">
        <v>300</v>
      </c>
      <c r="M276" s="222">
        <v>300</v>
      </c>
      <c r="N276" s="222" t="s">
        <v>11</v>
      </c>
      <c r="O276" s="222" t="s">
        <v>9</v>
      </c>
      <c r="P276" s="224"/>
      <c r="Q276" s="224">
        <v>0</v>
      </c>
      <c r="R276" s="224"/>
      <c r="S276" s="224"/>
      <c r="T276" s="224"/>
      <c r="U276" s="224"/>
      <c r="V276" s="224"/>
      <c r="W276" s="224"/>
      <c r="X276" s="224"/>
      <c r="Y276" s="222">
        <v>252</v>
      </c>
      <c r="Z276" s="222">
        <v>300</v>
      </c>
      <c r="AA276" s="224"/>
      <c r="AB276" s="224">
        <v>0</v>
      </c>
      <c r="AC276" s="224"/>
      <c r="AD276" s="224"/>
      <c r="AE276" s="224"/>
      <c r="AF276" s="224"/>
      <c r="AG276" s="224"/>
      <c r="AH276" s="224"/>
      <c r="AI276" s="224"/>
      <c r="AJ276" s="126"/>
      <c r="AK276" s="126"/>
      <c r="AL276" s="126"/>
      <c r="AM276" s="126"/>
      <c r="AN276" s="126"/>
    </row>
    <row r="277" spans="1:40" ht="15.75" customHeight="1">
      <c r="A277" s="221">
        <f t="shared" si="2"/>
        <v>271</v>
      </c>
      <c r="B277" s="222" t="s">
        <v>5264</v>
      </c>
      <c r="C277" s="222" t="s">
        <v>5</v>
      </c>
      <c r="D277" s="222" t="e">
        <f t="array" ref="D277">IF(F277="","",INDEX(#REF!,MATCH(F277,#REF!,0)))</f>
        <v>#REF!</v>
      </c>
      <c r="E277" s="222" t="e">
        <f t="array" ref="E277">IF(F277="","",INDEX(#REF!,MATCH(F277,#REF!,0)))</f>
        <v>#REF!</v>
      </c>
      <c r="F277" s="222" t="s">
        <v>25</v>
      </c>
      <c r="G277" s="222" t="s">
        <v>4499</v>
      </c>
      <c r="H277" s="223">
        <v>3.2</v>
      </c>
      <c r="I277" s="222" t="s">
        <v>5298</v>
      </c>
      <c r="J277" s="222" t="s">
        <v>5299</v>
      </c>
      <c r="K277" s="222" t="s">
        <v>5300</v>
      </c>
      <c r="L277" s="222">
        <v>300</v>
      </c>
      <c r="M277" s="222">
        <v>300</v>
      </c>
      <c r="N277" s="222" t="s">
        <v>11</v>
      </c>
      <c r="O277" s="222" t="s">
        <v>9</v>
      </c>
      <c r="P277" s="224"/>
      <c r="Q277" s="224">
        <v>33448.82</v>
      </c>
      <c r="R277" s="224"/>
      <c r="S277" s="224"/>
      <c r="T277" s="224"/>
      <c r="U277" s="224"/>
      <c r="V277" s="224"/>
      <c r="W277" s="224"/>
      <c r="X277" s="224"/>
      <c r="Y277" s="222">
        <v>252</v>
      </c>
      <c r="Z277" s="222">
        <v>300</v>
      </c>
      <c r="AA277" s="224"/>
      <c r="AB277" s="224">
        <v>5961.15</v>
      </c>
      <c r="AC277" s="224"/>
      <c r="AD277" s="224"/>
      <c r="AE277" s="224"/>
      <c r="AF277" s="224"/>
      <c r="AG277" s="224"/>
      <c r="AH277" s="224"/>
      <c r="AI277" s="224"/>
      <c r="AJ277" s="126"/>
      <c r="AK277" s="126"/>
      <c r="AL277" s="126"/>
      <c r="AM277" s="126"/>
      <c r="AN277" s="126"/>
    </row>
    <row r="278" spans="1:40" ht="15.75" customHeight="1">
      <c r="A278" s="221">
        <f t="shared" si="2"/>
        <v>272</v>
      </c>
      <c r="B278" s="222" t="s">
        <v>5264</v>
      </c>
      <c r="C278" s="222" t="s">
        <v>5</v>
      </c>
      <c r="D278" s="222" t="e">
        <f t="array" ref="D278">IF(F278="","",INDEX(#REF!,MATCH(F278,#REF!,0)))</f>
        <v>#REF!</v>
      </c>
      <c r="E278" s="222" t="e">
        <f t="array" ref="E278">IF(F278="","",INDEX(#REF!,MATCH(F278,#REF!,0)))</f>
        <v>#REF!</v>
      </c>
      <c r="F278" s="222" t="s">
        <v>25</v>
      </c>
      <c r="G278" s="222" t="s">
        <v>4499</v>
      </c>
      <c r="H278" s="223">
        <v>3.3</v>
      </c>
      <c r="I278" s="222" t="s">
        <v>5301</v>
      </c>
      <c r="J278" s="222" t="s">
        <v>5302</v>
      </c>
      <c r="K278" s="222" t="s">
        <v>5294</v>
      </c>
      <c r="L278" s="222">
        <v>300</v>
      </c>
      <c r="M278" s="222">
        <v>300</v>
      </c>
      <c r="N278" s="222" t="s">
        <v>15</v>
      </c>
      <c r="O278" s="222" t="s">
        <v>14</v>
      </c>
      <c r="P278" s="224"/>
      <c r="Q278" s="224"/>
      <c r="R278" s="224"/>
      <c r="S278" s="224"/>
      <c r="T278" s="224">
        <v>10000</v>
      </c>
      <c r="U278" s="224"/>
      <c r="V278" s="224"/>
      <c r="W278" s="224"/>
      <c r="X278" s="224"/>
      <c r="Y278" s="222">
        <v>252</v>
      </c>
      <c r="Z278" s="222">
        <v>300</v>
      </c>
      <c r="AA278" s="224"/>
      <c r="AB278" s="224"/>
      <c r="AC278" s="224"/>
      <c r="AD278" s="224"/>
      <c r="AE278" s="224">
        <v>0</v>
      </c>
      <c r="AF278" s="224"/>
      <c r="AG278" s="224"/>
      <c r="AH278" s="224"/>
      <c r="AI278" s="224"/>
      <c r="AJ278" s="126"/>
      <c r="AK278" s="126"/>
      <c r="AL278" s="126"/>
      <c r="AM278" s="126"/>
      <c r="AN278" s="126"/>
    </row>
    <row r="279" spans="1:40" ht="15.75" customHeight="1">
      <c r="A279" s="221">
        <f t="shared" si="2"/>
        <v>273</v>
      </c>
      <c r="B279" s="222" t="s">
        <v>5303</v>
      </c>
      <c r="C279" s="222" t="s">
        <v>5</v>
      </c>
      <c r="D279" s="222" t="e">
        <f t="array" ref="D279">IF(F279="","",INDEX(#REF!,MATCH(F279,#REF!,0)))</f>
        <v>#REF!</v>
      </c>
      <c r="E279" s="222" t="e">
        <f t="array" ref="E279">IF(F279="","",INDEX(#REF!,MATCH(F279,#REF!,0)))</f>
        <v>#REF!</v>
      </c>
      <c r="F279" s="222" t="s">
        <v>12</v>
      </c>
      <c r="G279" s="222" t="s">
        <v>0</v>
      </c>
      <c r="H279" s="223" t="s">
        <v>4487</v>
      </c>
      <c r="I279" s="222" t="s">
        <v>5304</v>
      </c>
      <c r="J279" s="222" t="s">
        <v>5305</v>
      </c>
      <c r="K279" s="222" t="s">
        <v>5306</v>
      </c>
      <c r="L279" s="222">
        <v>71057</v>
      </c>
      <c r="M279" s="222">
        <v>71057</v>
      </c>
      <c r="N279" s="222" t="s">
        <v>15</v>
      </c>
      <c r="O279" s="222" t="s">
        <v>9</v>
      </c>
      <c r="P279" s="224"/>
      <c r="Q279" s="224"/>
      <c r="R279" s="224"/>
      <c r="S279" s="224"/>
      <c r="T279" s="224"/>
      <c r="U279" s="224"/>
      <c r="V279" s="224"/>
      <c r="W279" s="224"/>
      <c r="X279" s="224"/>
      <c r="Y279" s="222">
        <v>0</v>
      </c>
      <c r="Z279" s="222">
        <v>71057</v>
      </c>
      <c r="AA279" s="224"/>
      <c r="AB279" s="224"/>
      <c r="AC279" s="224"/>
      <c r="AD279" s="224"/>
      <c r="AE279" s="224"/>
      <c r="AF279" s="224"/>
      <c r="AG279" s="224"/>
      <c r="AH279" s="224"/>
      <c r="AI279" s="224"/>
      <c r="AJ279" s="126"/>
      <c r="AK279" s="126"/>
      <c r="AL279" s="126"/>
      <c r="AM279" s="126"/>
      <c r="AN279" s="126"/>
    </row>
    <row r="280" spans="1:40" ht="15.75" customHeight="1">
      <c r="A280" s="221">
        <f t="shared" si="2"/>
        <v>274</v>
      </c>
      <c r="B280" s="222" t="s">
        <v>5303</v>
      </c>
      <c r="C280" s="222" t="s">
        <v>5</v>
      </c>
      <c r="D280" s="222" t="e">
        <f t="array" ref="D280">IF(F280="","",INDEX(#REF!,MATCH(F280,#REF!,0)))</f>
        <v>#REF!</v>
      </c>
      <c r="E280" s="222" t="e">
        <f t="array" ref="E280">IF(F280="","",INDEX(#REF!,MATCH(F280,#REF!,0)))</f>
        <v>#REF!</v>
      </c>
      <c r="F280" s="222" t="s">
        <v>12</v>
      </c>
      <c r="G280" s="222" t="s">
        <v>4491</v>
      </c>
      <c r="H280" s="223" t="s">
        <v>4487</v>
      </c>
      <c r="I280" s="222" t="s">
        <v>5307</v>
      </c>
      <c r="J280" s="222" t="s">
        <v>5308</v>
      </c>
      <c r="K280" s="222" t="s">
        <v>5309</v>
      </c>
      <c r="L280" s="222">
        <v>21335031.579999998</v>
      </c>
      <c r="M280" s="222">
        <v>22401783.149999999</v>
      </c>
      <c r="N280" s="222" t="s">
        <v>15</v>
      </c>
      <c r="O280" s="222" t="s">
        <v>4611</v>
      </c>
      <c r="P280" s="224"/>
      <c r="Q280" s="224"/>
      <c r="R280" s="224"/>
      <c r="S280" s="224"/>
      <c r="T280" s="224"/>
      <c r="U280" s="224"/>
      <c r="V280" s="224"/>
      <c r="W280" s="224"/>
      <c r="X280" s="224"/>
      <c r="Y280" s="222">
        <v>0</v>
      </c>
      <c r="Z280" s="222">
        <v>22401783.149999999</v>
      </c>
      <c r="AA280" s="224"/>
      <c r="AB280" s="224"/>
      <c r="AC280" s="224"/>
      <c r="AD280" s="224"/>
      <c r="AE280" s="224"/>
      <c r="AF280" s="224"/>
      <c r="AG280" s="224"/>
      <c r="AH280" s="224"/>
      <c r="AI280" s="224"/>
      <c r="AJ280" s="126"/>
      <c r="AK280" s="126"/>
      <c r="AL280" s="126"/>
      <c r="AM280" s="126"/>
      <c r="AN280" s="126"/>
    </row>
    <row r="281" spans="1:40" ht="15.75" customHeight="1">
      <c r="A281" s="221">
        <f t="shared" si="2"/>
        <v>275</v>
      </c>
      <c r="B281" s="222" t="s">
        <v>5303</v>
      </c>
      <c r="C281" s="222" t="s">
        <v>5</v>
      </c>
      <c r="D281" s="222" t="e">
        <f t="array" ref="D281">IF(F281="","",INDEX(#REF!,MATCH(F281,#REF!,0)))</f>
        <v>#REF!</v>
      </c>
      <c r="E281" s="222" t="e">
        <f t="array" ref="E281">IF(F281="","",INDEX(#REF!,MATCH(F281,#REF!,0)))</f>
        <v>#REF!</v>
      </c>
      <c r="F281" s="222" t="s">
        <v>12</v>
      </c>
      <c r="G281" s="222" t="s">
        <v>4495</v>
      </c>
      <c r="H281" s="223">
        <v>1</v>
      </c>
      <c r="I281" s="222" t="s">
        <v>5310</v>
      </c>
      <c r="J281" s="222" t="s">
        <v>5311</v>
      </c>
      <c r="K281" s="222" t="s">
        <v>5312</v>
      </c>
      <c r="L281" s="222">
        <v>70328</v>
      </c>
      <c r="M281" s="222">
        <v>70328</v>
      </c>
      <c r="N281" s="222" t="s">
        <v>11</v>
      </c>
      <c r="O281" s="222" t="s">
        <v>9</v>
      </c>
      <c r="P281" s="224"/>
      <c r="Q281" s="224"/>
      <c r="R281" s="224"/>
      <c r="S281" s="224"/>
      <c r="T281" s="224"/>
      <c r="U281" s="224"/>
      <c r="V281" s="224"/>
      <c r="W281" s="224"/>
      <c r="X281" s="224"/>
      <c r="Y281" s="222">
        <v>23792</v>
      </c>
      <c r="Z281" s="222">
        <v>70328</v>
      </c>
      <c r="AA281" s="224"/>
      <c r="AB281" s="224"/>
      <c r="AC281" s="224"/>
      <c r="AD281" s="224"/>
      <c r="AE281" s="224"/>
      <c r="AF281" s="224"/>
      <c r="AG281" s="224"/>
      <c r="AH281" s="224"/>
      <c r="AI281" s="224"/>
      <c r="AJ281" s="126"/>
      <c r="AK281" s="126"/>
      <c r="AL281" s="126"/>
      <c r="AM281" s="126"/>
      <c r="AN281" s="126"/>
    </row>
    <row r="282" spans="1:40" ht="15.75" customHeight="1">
      <c r="A282" s="221">
        <f t="shared" si="2"/>
        <v>276</v>
      </c>
      <c r="B282" s="222" t="s">
        <v>5303</v>
      </c>
      <c r="C282" s="222" t="s">
        <v>5</v>
      </c>
      <c r="D282" s="222" t="e">
        <f t="array" ref="D282">IF(F282="","",INDEX(#REF!,MATCH(F282,#REF!,0)))</f>
        <v>#REF!</v>
      </c>
      <c r="E282" s="222" t="e">
        <f t="array" ref="E282">IF(F282="","",INDEX(#REF!,MATCH(F282,#REF!,0)))</f>
        <v>#REF!</v>
      </c>
      <c r="F282" s="222" t="s">
        <v>12</v>
      </c>
      <c r="G282" s="222" t="s">
        <v>4499</v>
      </c>
      <c r="H282" s="223">
        <v>1.1000000000000001</v>
      </c>
      <c r="I282" s="222" t="s">
        <v>5313</v>
      </c>
      <c r="J282" s="222" t="s">
        <v>5314</v>
      </c>
      <c r="K282" s="222" t="s">
        <v>5315</v>
      </c>
      <c r="L282" s="222">
        <v>90</v>
      </c>
      <c r="M282" s="222">
        <v>90</v>
      </c>
      <c r="N282" s="222" t="s">
        <v>11</v>
      </c>
      <c r="O282" s="222" t="s">
        <v>9</v>
      </c>
      <c r="P282" s="224">
        <v>9058554.2299999986</v>
      </c>
      <c r="Q282" s="224">
        <v>344.01</v>
      </c>
      <c r="R282" s="224">
        <v>2302834.5</v>
      </c>
      <c r="S282" s="224"/>
      <c r="T282" s="224"/>
      <c r="U282" s="224"/>
      <c r="V282" s="224"/>
      <c r="W282" s="224"/>
      <c r="X282" s="224"/>
      <c r="Y282" s="222">
        <v>50</v>
      </c>
      <c r="Z282" s="222">
        <v>90</v>
      </c>
      <c r="AA282" s="224">
        <v>3147565.22</v>
      </c>
      <c r="AB282" s="224">
        <v>344.01</v>
      </c>
      <c r="AC282" s="224">
        <v>780667.85000000009</v>
      </c>
      <c r="AD282" s="224"/>
      <c r="AE282" s="224"/>
      <c r="AF282" s="224"/>
      <c r="AG282" s="224"/>
      <c r="AH282" s="224"/>
      <c r="AI282" s="224"/>
      <c r="AJ282" s="126"/>
      <c r="AK282" s="126"/>
      <c r="AL282" s="126"/>
      <c r="AM282" s="126"/>
      <c r="AN282" s="126"/>
    </row>
    <row r="283" spans="1:40" ht="15.75" customHeight="1">
      <c r="A283" s="221">
        <f t="shared" si="2"/>
        <v>277</v>
      </c>
      <c r="B283" s="222" t="s">
        <v>5303</v>
      </c>
      <c r="C283" s="222" t="s">
        <v>5</v>
      </c>
      <c r="D283" s="222" t="e">
        <f t="array" ref="D283">IF(F283="","",INDEX(#REF!,MATCH(F283,#REF!,0)))</f>
        <v>#REF!</v>
      </c>
      <c r="E283" s="222" t="e">
        <f t="array" ref="E283">IF(F283="","",INDEX(#REF!,MATCH(F283,#REF!,0)))</f>
        <v>#REF!</v>
      </c>
      <c r="F283" s="222" t="s">
        <v>12</v>
      </c>
      <c r="G283" s="222" t="s">
        <v>4499</v>
      </c>
      <c r="H283" s="223">
        <v>1.2</v>
      </c>
      <c r="I283" s="222" t="s">
        <v>5316</v>
      </c>
      <c r="J283" s="222" t="s">
        <v>5317</v>
      </c>
      <c r="K283" s="222" t="s">
        <v>5318</v>
      </c>
      <c r="L283" s="222">
        <v>67918</v>
      </c>
      <c r="M283" s="222">
        <v>67918</v>
      </c>
      <c r="N283" s="222" t="s">
        <v>11</v>
      </c>
      <c r="O283" s="222" t="s">
        <v>9</v>
      </c>
      <c r="P283" s="224">
        <v>17784692.350000001</v>
      </c>
      <c r="Q283" s="224">
        <v>11000</v>
      </c>
      <c r="R283" s="224">
        <v>830503.46</v>
      </c>
      <c r="S283" s="224"/>
      <c r="T283" s="224"/>
      <c r="U283" s="224"/>
      <c r="V283" s="224"/>
      <c r="W283" s="224"/>
      <c r="X283" s="224"/>
      <c r="Y283" s="222">
        <v>21448</v>
      </c>
      <c r="Z283" s="222">
        <v>67918</v>
      </c>
      <c r="AA283" s="224">
        <v>7497440.6100000022</v>
      </c>
      <c r="AB283" s="224">
        <v>0</v>
      </c>
      <c r="AC283" s="224">
        <v>290653.46000000002</v>
      </c>
      <c r="AD283" s="224"/>
      <c r="AE283" s="224"/>
      <c r="AF283" s="224"/>
      <c r="AG283" s="224"/>
      <c r="AH283" s="224"/>
      <c r="AI283" s="224"/>
      <c r="AJ283" s="126"/>
      <c r="AK283" s="126"/>
      <c r="AL283" s="126"/>
      <c r="AM283" s="126"/>
      <c r="AN283" s="126"/>
    </row>
    <row r="284" spans="1:40" ht="15.75" customHeight="1">
      <c r="A284" s="221">
        <f t="shared" si="2"/>
        <v>278</v>
      </c>
      <c r="B284" s="222" t="s">
        <v>5303</v>
      </c>
      <c r="C284" s="222" t="s">
        <v>5</v>
      </c>
      <c r="D284" s="222" t="e">
        <f t="array" ref="D284">IF(F284="","",INDEX(#REF!,MATCH(F284,#REF!,0)))</f>
        <v>#REF!</v>
      </c>
      <c r="E284" s="222" t="e">
        <f t="array" ref="E284">IF(F284="","",INDEX(#REF!,MATCH(F284,#REF!,0)))</f>
        <v>#REF!</v>
      </c>
      <c r="F284" s="222" t="s">
        <v>12</v>
      </c>
      <c r="G284" s="222" t="s">
        <v>4499</v>
      </c>
      <c r="H284" s="223">
        <v>1.3</v>
      </c>
      <c r="I284" s="222" t="s">
        <v>5319</v>
      </c>
      <c r="J284" s="222" t="s">
        <v>5320</v>
      </c>
      <c r="K284" s="222" t="s">
        <v>5321</v>
      </c>
      <c r="L284" s="222">
        <v>2320</v>
      </c>
      <c r="M284" s="222">
        <v>2320</v>
      </c>
      <c r="N284" s="222" t="s">
        <v>11</v>
      </c>
      <c r="O284" s="222" t="s">
        <v>9</v>
      </c>
      <c r="P284" s="224">
        <v>35676994.760000013</v>
      </c>
      <c r="Q284" s="224">
        <v>0</v>
      </c>
      <c r="R284" s="224">
        <v>640731</v>
      </c>
      <c r="S284" s="224"/>
      <c r="T284" s="224"/>
      <c r="U284" s="224"/>
      <c r="V284" s="224"/>
      <c r="W284" s="224"/>
      <c r="X284" s="224"/>
      <c r="Y284" s="222">
        <v>3062</v>
      </c>
      <c r="Z284" s="222">
        <v>2320</v>
      </c>
      <c r="AA284" s="224">
        <v>13930270.589999991</v>
      </c>
      <c r="AB284" s="224">
        <v>0</v>
      </c>
      <c r="AC284" s="224">
        <v>0</v>
      </c>
      <c r="AD284" s="224"/>
      <c r="AE284" s="224"/>
      <c r="AF284" s="224"/>
      <c r="AG284" s="224"/>
      <c r="AH284" s="224"/>
      <c r="AI284" s="224"/>
      <c r="AJ284" s="126"/>
      <c r="AK284" s="126"/>
      <c r="AL284" s="126"/>
      <c r="AM284" s="126"/>
      <c r="AN284" s="126"/>
    </row>
    <row r="285" spans="1:40" ht="15.75" customHeight="1">
      <c r="A285" s="221">
        <f t="shared" si="2"/>
        <v>279</v>
      </c>
      <c r="B285" s="222" t="s">
        <v>5303</v>
      </c>
      <c r="C285" s="222" t="s">
        <v>5</v>
      </c>
      <c r="D285" s="222" t="e">
        <f t="array" ref="D285">IF(F285="","",INDEX(#REF!,MATCH(F285,#REF!,0)))</f>
        <v>#REF!</v>
      </c>
      <c r="E285" s="222" t="e">
        <f t="array" ref="E285">IF(F285="","",INDEX(#REF!,MATCH(F285,#REF!,0)))</f>
        <v>#REF!</v>
      </c>
      <c r="F285" s="222" t="s">
        <v>12</v>
      </c>
      <c r="G285" s="222" t="s">
        <v>4495</v>
      </c>
      <c r="H285" s="223">
        <v>2</v>
      </c>
      <c r="I285" s="222" t="s">
        <v>5322</v>
      </c>
      <c r="J285" s="222" t="s">
        <v>5323</v>
      </c>
      <c r="K285" s="222" t="s">
        <v>5324</v>
      </c>
      <c r="L285" s="222">
        <v>726</v>
      </c>
      <c r="M285" s="222">
        <v>726</v>
      </c>
      <c r="N285" s="222" t="s">
        <v>11</v>
      </c>
      <c r="O285" s="222" t="s">
        <v>9</v>
      </c>
      <c r="P285" s="224"/>
      <c r="Q285" s="224"/>
      <c r="R285" s="224"/>
      <c r="S285" s="224"/>
      <c r="T285" s="224"/>
      <c r="U285" s="224"/>
      <c r="V285" s="224"/>
      <c r="W285" s="224"/>
      <c r="X285" s="224"/>
      <c r="Y285" s="222">
        <v>5539</v>
      </c>
      <c r="Z285" s="222">
        <v>726</v>
      </c>
      <c r="AA285" s="224"/>
      <c r="AB285" s="224"/>
      <c r="AC285" s="224"/>
      <c r="AD285" s="224"/>
      <c r="AE285" s="224"/>
      <c r="AF285" s="224"/>
      <c r="AG285" s="224"/>
      <c r="AH285" s="224"/>
      <c r="AI285" s="224"/>
      <c r="AJ285" s="126"/>
      <c r="AK285" s="126"/>
      <c r="AL285" s="126"/>
      <c r="AM285" s="126"/>
      <c r="AN285" s="126"/>
    </row>
    <row r="286" spans="1:40" ht="15.75" customHeight="1">
      <c r="A286" s="221">
        <f t="shared" si="2"/>
        <v>280</v>
      </c>
      <c r="B286" s="222" t="s">
        <v>5303</v>
      </c>
      <c r="C286" s="222" t="s">
        <v>5</v>
      </c>
      <c r="D286" s="222" t="e">
        <f t="array" ref="D286">IF(F286="","",INDEX(#REF!,MATCH(F286,#REF!,0)))</f>
        <v>#REF!</v>
      </c>
      <c r="E286" s="222" t="e">
        <f t="array" ref="E286">IF(F286="","",INDEX(#REF!,MATCH(F286,#REF!,0)))</f>
        <v>#REF!</v>
      </c>
      <c r="F286" s="222" t="s">
        <v>12</v>
      </c>
      <c r="G286" s="222" t="s">
        <v>4499</v>
      </c>
      <c r="H286" s="223">
        <v>2.1</v>
      </c>
      <c r="I286" s="222" t="s">
        <v>5325</v>
      </c>
      <c r="J286" s="222" t="s">
        <v>5326</v>
      </c>
      <c r="K286" s="222" t="s">
        <v>5327</v>
      </c>
      <c r="L286" s="222">
        <v>97</v>
      </c>
      <c r="M286" s="222">
        <v>238</v>
      </c>
      <c r="N286" s="222" t="s">
        <v>11</v>
      </c>
      <c r="O286" s="222" t="s">
        <v>9</v>
      </c>
      <c r="P286" s="224"/>
      <c r="Q286" s="224"/>
      <c r="R286" s="224">
        <v>5088</v>
      </c>
      <c r="S286" s="224"/>
      <c r="T286" s="224"/>
      <c r="U286" s="224"/>
      <c r="V286" s="224"/>
      <c r="W286" s="224"/>
      <c r="X286" s="224"/>
      <c r="Y286" s="222">
        <v>50</v>
      </c>
      <c r="Z286" s="222">
        <v>238</v>
      </c>
      <c r="AA286" s="224"/>
      <c r="AB286" s="224"/>
      <c r="AC286" s="224">
        <v>2088</v>
      </c>
      <c r="AD286" s="224"/>
      <c r="AE286" s="224"/>
      <c r="AF286" s="224"/>
      <c r="AG286" s="224"/>
      <c r="AH286" s="224"/>
      <c r="AI286" s="224"/>
      <c r="AJ286" s="126"/>
      <c r="AK286" s="126"/>
      <c r="AL286" s="126"/>
      <c r="AM286" s="126"/>
      <c r="AN286" s="126"/>
    </row>
    <row r="287" spans="1:40" ht="15.75" customHeight="1">
      <c r="A287" s="221">
        <f t="shared" si="2"/>
        <v>281</v>
      </c>
      <c r="B287" s="222" t="s">
        <v>5303</v>
      </c>
      <c r="C287" s="222" t="s">
        <v>5</v>
      </c>
      <c r="D287" s="222" t="e">
        <f t="array" ref="D287">IF(F287="","",INDEX(#REF!,MATCH(F287,#REF!,0)))</f>
        <v>#REF!</v>
      </c>
      <c r="E287" s="222" t="e">
        <f t="array" ref="E287">IF(F287="","",INDEX(#REF!,MATCH(F287,#REF!,0)))</f>
        <v>#REF!</v>
      </c>
      <c r="F287" s="222" t="s">
        <v>12</v>
      </c>
      <c r="G287" s="222" t="s">
        <v>4499</v>
      </c>
      <c r="H287" s="223">
        <v>2.2000000000000002</v>
      </c>
      <c r="I287" s="222" t="s">
        <v>5328</v>
      </c>
      <c r="J287" s="222" t="s">
        <v>5329</v>
      </c>
      <c r="K287" s="222" t="s">
        <v>5330</v>
      </c>
      <c r="L287" s="222">
        <v>574</v>
      </c>
      <c r="M287" s="222">
        <v>5000</v>
      </c>
      <c r="N287" s="222" t="s">
        <v>11</v>
      </c>
      <c r="O287" s="222" t="s">
        <v>9</v>
      </c>
      <c r="P287" s="224">
        <v>3033394.93</v>
      </c>
      <c r="Q287" s="224">
        <v>68193</v>
      </c>
      <c r="R287" s="224">
        <v>127962.57</v>
      </c>
      <c r="S287" s="224"/>
      <c r="T287" s="224">
        <v>14537.43</v>
      </c>
      <c r="U287" s="224"/>
      <c r="V287" s="224"/>
      <c r="W287" s="224"/>
      <c r="X287" s="224"/>
      <c r="Y287" s="222">
        <v>7610</v>
      </c>
      <c r="Z287" s="222">
        <v>5000</v>
      </c>
      <c r="AA287" s="224">
        <v>893333.71000000008</v>
      </c>
      <c r="AB287" s="224">
        <v>27821.49</v>
      </c>
      <c r="AC287" s="224">
        <v>0</v>
      </c>
      <c r="AD287" s="224"/>
      <c r="AE287" s="224">
        <v>0</v>
      </c>
      <c r="AF287" s="224"/>
      <c r="AG287" s="224"/>
      <c r="AH287" s="224"/>
      <c r="AI287" s="224"/>
      <c r="AJ287" s="126"/>
      <c r="AK287" s="126"/>
      <c r="AL287" s="126"/>
      <c r="AM287" s="126"/>
      <c r="AN287" s="126"/>
    </row>
    <row r="288" spans="1:40" ht="15.75" customHeight="1">
      <c r="A288" s="221">
        <f t="shared" si="2"/>
        <v>282</v>
      </c>
      <c r="B288" s="222" t="s">
        <v>5303</v>
      </c>
      <c r="C288" s="222" t="s">
        <v>5</v>
      </c>
      <c r="D288" s="222" t="e">
        <f t="array" ref="D288">IF(F288="","",INDEX(#REF!,MATCH(F288,#REF!,0)))</f>
        <v>#REF!</v>
      </c>
      <c r="E288" s="222" t="e">
        <f t="array" ref="E288">IF(F288="","",INDEX(#REF!,MATCH(F288,#REF!,0)))</f>
        <v>#REF!</v>
      </c>
      <c r="F288" s="222" t="s">
        <v>12</v>
      </c>
      <c r="G288" s="222" t="s">
        <v>4499</v>
      </c>
      <c r="H288" s="223">
        <v>2.2999999999999998</v>
      </c>
      <c r="I288" s="222" t="s">
        <v>5331</v>
      </c>
      <c r="J288" s="222" t="s">
        <v>5332</v>
      </c>
      <c r="K288" s="222" t="s">
        <v>5333</v>
      </c>
      <c r="L288" s="222">
        <v>7</v>
      </c>
      <c r="M288" s="222">
        <v>7</v>
      </c>
      <c r="N288" s="222" t="s">
        <v>11</v>
      </c>
      <c r="O288" s="222" t="s">
        <v>9</v>
      </c>
      <c r="P288" s="224"/>
      <c r="Q288" s="224"/>
      <c r="R288" s="224">
        <v>50000</v>
      </c>
      <c r="S288" s="224"/>
      <c r="T288" s="224"/>
      <c r="U288" s="224"/>
      <c r="V288" s="224"/>
      <c r="W288" s="224"/>
      <c r="X288" s="224"/>
      <c r="Y288" s="222">
        <v>22</v>
      </c>
      <c r="Z288" s="222">
        <v>7</v>
      </c>
      <c r="AA288" s="224"/>
      <c r="AB288" s="224"/>
      <c r="AC288" s="224">
        <v>0</v>
      </c>
      <c r="AD288" s="224"/>
      <c r="AE288" s="224"/>
      <c r="AF288" s="224"/>
      <c r="AG288" s="224"/>
      <c r="AH288" s="224"/>
      <c r="AI288" s="224"/>
      <c r="AJ288" s="126"/>
      <c r="AK288" s="126"/>
      <c r="AL288" s="126"/>
      <c r="AM288" s="126"/>
      <c r="AN288" s="126"/>
    </row>
    <row r="289" spans="1:40" ht="15.75" customHeight="1">
      <c r="A289" s="221">
        <f t="shared" si="2"/>
        <v>283</v>
      </c>
      <c r="B289" s="222" t="s">
        <v>5303</v>
      </c>
      <c r="C289" s="222" t="s">
        <v>5</v>
      </c>
      <c r="D289" s="222" t="e">
        <f t="array" ref="D289">IF(F289="","",INDEX(#REF!,MATCH(F289,#REF!,0)))</f>
        <v>#REF!</v>
      </c>
      <c r="E289" s="222" t="e">
        <f t="array" ref="E289">IF(F289="","",INDEX(#REF!,MATCH(F289,#REF!,0)))</f>
        <v>#REF!</v>
      </c>
      <c r="F289" s="222" t="s">
        <v>12</v>
      </c>
      <c r="G289" s="222" t="s">
        <v>4499</v>
      </c>
      <c r="H289" s="223">
        <v>2.4</v>
      </c>
      <c r="I289" s="222" t="s">
        <v>5334</v>
      </c>
      <c r="J289" s="222" t="s">
        <v>5335</v>
      </c>
      <c r="K289" s="222" t="s">
        <v>5336</v>
      </c>
      <c r="L289" s="222">
        <v>48</v>
      </c>
      <c r="M289" s="222">
        <v>20</v>
      </c>
      <c r="N289" s="222" t="s">
        <v>11</v>
      </c>
      <c r="O289" s="222" t="s">
        <v>9</v>
      </c>
      <c r="P289" s="224"/>
      <c r="Q289" s="224"/>
      <c r="R289" s="224">
        <v>30000</v>
      </c>
      <c r="S289" s="224"/>
      <c r="T289" s="224"/>
      <c r="U289" s="224"/>
      <c r="V289" s="224"/>
      <c r="W289" s="224"/>
      <c r="X289" s="224"/>
      <c r="Y289" s="222">
        <v>5</v>
      </c>
      <c r="Z289" s="222">
        <v>20</v>
      </c>
      <c r="AA289" s="224"/>
      <c r="AB289" s="224"/>
      <c r="AC289" s="224">
        <v>0</v>
      </c>
      <c r="AD289" s="224"/>
      <c r="AE289" s="224"/>
      <c r="AF289" s="224"/>
      <c r="AG289" s="224"/>
      <c r="AH289" s="224"/>
      <c r="AI289" s="224"/>
      <c r="AJ289" s="126"/>
      <c r="AK289" s="126"/>
      <c r="AL289" s="126"/>
      <c r="AM289" s="126"/>
      <c r="AN289" s="126"/>
    </row>
    <row r="290" spans="1:40" ht="15.75" customHeight="1">
      <c r="A290" s="221">
        <f t="shared" si="2"/>
        <v>284</v>
      </c>
      <c r="B290" s="222" t="s">
        <v>5337</v>
      </c>
      <c r="C290" s="222" t="s">
        <v>5</v>
      </c>
      <c r="D290" s="222" t="e">
        <f t="array" ref="D290">IF(F290="","",INDEX(#REF!,MATCH(F290,#REF!,0)))</f>
        <v>#REF!</v>
      </c>
      <c r="E290" s="222" t="e">
        <f t="array" ref="E290">IF(F290="","",INDEX(#REF!,MATCH(F290,#REF!,0)))</f>
        <v>#REF!</v>
      </c>
      <c r="F290" s="222" t="s">
        <v>23</v>
      </c>
      <c r="G290" s="222" t="s">
        <v>0</v>
      </c>
      <c r="H290" s="223" t="s">
        <v>4487</v>
      </c>
      <c r="I290" s="222" t="s">
        <v>5338</v>
      </c>
      <c r="J290" s="222" t="s">
        <v>5339</v>
      </c>
      <c r="K290" s="222" t="s">
        <v>5340</v>
      </c>
      <c r="L290" s="222">
        <v>676535819</v>
      </c>
      <c r="M290" s="222">
        <v>676535819</v>
      </c>
      <c r="N290" s="222" t="s">
        <v>15</v>
      </c>
      <c r="O290" s="222" t="s">
        <v>9</v>
      </c>
      <c r="P290" s="224"/>
      <c r="Q290" s="224"/>
      <c r="R290" s="224"/>
      <c r="S290" s="224"/>
      <c r="T290" s="224"/>
      <c r="U290" s="224"/>
      <c r="V290" s="224"/>
      <c r="W290" s="224"/>
      <c r="X290" s="224"/>
      <c r="Y290" s="222">
        <v>0</v>
      </c>
      <c r="Z290" s="222">
        <v>676535819</v>
      </c>
      <c r="AA290" s="224"/>
      <c r="AB290" s="224"/>
      <c r="AC290" s="224"/>
      <c r="AD290" s="224"/>
      <c r="AE290" s="224"/>
      <c r="AF290" s="224"/>
      <c r="AG290" s="224"/>
      <c r="AH290" s="224"/>
      <c r="AI290" s="224"/>
      <c r="AJ290" s="126"/>
      <c r="AK290" s="126"/>
      <c r="AL290" s="126"/>
      <c r="AM290" s="126"/>
      <c r="AN290" s="126"/>
    </row>
    <row r="291" spans="1:40" ht="15.75" customHeight="1">
      <c r="A291" s="221">
        <f t="shared" si="2"/>
        <v>285</v>
      </c>
      <c r="B291" s="222" t="s">
        <v>5337</v>
      </c>
      <c r="C291" s="222" t="s">
        <v>5</v>
      </c>
      <c r="D291" s="222" t="e">
        <f t="array" ref="D291">IF(F291="","",INDEX(#REF!,MATCH(F291,#REF!,0)))</f>
        <v>#REF!</v>
      </c>
      <c r="E291" s="222" t="e">
        <f t="array" ref="E291">IF(F291="","",INDEX(#REF!,MATCH(F291,#REF!,0)))</f>
        <v>#REF!</v>
      </c>
      <c r="F291" s="222" t="s">
        <v>23</v>
      </c>
      <c r="G291" s="222" t="s">
        <v>4491</v>
      </c>
      <c r="H291" s="223" t="s">
        <v>4487</v>
      </c>
      <c r="I291" s="222" t="s">
        <v>5341</v>
      </c>
      <c r="J291" s="222" t="s">
        <v>5342</v>
      </c>
      <c r="K291" s="222" t="s">
        <v>5343</v>
      </c>
      <c r="L291" s="222">
        <v>2200</v>
      </c>
      <c r="M291" s="222">
        <v>1999</v>
      </c>
      <c r="N291" s="222" t="s">
        <v>15</v>
      </c>
      <c r="O291" s="222" t="s">
        <v>9</v>
      </c>
      <c r="P291" s="224"/>
      <c r="Q291" s="224"/>
      <c r="R291" s="224"/>
      <c r="S291" s="224"/>
      <c r="T291" s="224"/>
      <c r="U291" s="224"/>
      <c r="V291" s="224"/>
      <c r="W291" s="224"/>
      <c r="X291" s="224"/>
      <c r="Y291" s="222">
        <v>0</v>
      </c>
      <c r="Z291" s="222">
        <v>1999</v>
      </c>
      <c r="AA291" s="224"/>
      <c r="AB291" s="224"/>
      <c r="AC291" s="224"/>
      <c r="AD291" s="224"/>
      <c r="AE291" s="224"/>
      <c r="AF291" s="224"/>
      <c r="AG291" s="224"/>
      <c r="AH291" s="224"/>
      <c r="AI291" s="224"/>
      <c r="AJ291" s="126"/>
      <c r="AK291" s="126"/>
      <c r="AL291" s="126"/>
      <c r="AM291" s="126"/>
      <c r="AN291" s="126"/>
    </row>
    <row r="292" spans="1:40" ht="15.75" customHeight="1">
      <c r="A292" s="221">
        <f t="shared" si="2"/>
        <v>286</v>
      </c>
      <c r="B292" s="222" t="s">
        <v>5337</v>
      </c>
      <c r="C292" s="222" t="s">
        <v>5</v>
      </c>
      <c r="D292" s="222" t="e">
        <f t="array" ref="D292">IF(F292="","",INDEX(#REF!,MATCH(F292,#REF!,0)))</f>
        <v>#REF!</v>
      </c>
      <c r="E292" s="222" t="e">
        <f t="array" ref="E292">IF(F292="","",INDEX(#REF!,MATCH(F292,#REF!,0)))</f>
        <v>#REF!</v>
      </c>
      <c r="F292" s="222" t="s">
        <v>23</v>
      </c>
      <c r="G292" s="222" t="s">
        <v>4495</v>
      </c>
      <c r="H292" s="223">
        <v>1</v>
      </c>
      <c r="I292" s="222" t="s">
        <v>5344</v>
      </c>
      <c r="J292" s="222" t="s">
        <v>5345</v>
      </c>
      <c r="K292" s="222" t="s">
        <v>5346</v>
      </c>
      <c r="L292" s="222">
        <v>1200</v>
      </c>
      <c r="M292" s="222">
        <v>1000</v>
      </c>
      <c r="N292" s="222" t="s">
        <v>13</v>
      </c>
      <c r="O292" s="222" t="s">
        <v>9</v>
      </c>
      <c r="P292" s="224"/>
      <c r="Q292" s="224"/>
      <c r="R292" s="224"/>
      <c r="S292" s="224"/>
      <c r="T292" s="224"/>
      <c r="U292" s="224"/>
      <c r="V292" s="224"/>
      <c r="W292" s="224"/>
      <c r="X292" s="224"/>
      <c r="Y292" s="222">
        <v>511</v>
      </c>
      <c r="Z292" s="222">
        <v>1000</v>
      </c>
      <c r="AA292" s="224"/>
      <c r="AB292" s="224"/>
      <c r="AC292" s="224"/>
      <c r="AD292" s="224"/>
      <c r="AE292" s="224"/>
      <c r="AF292" s="224"/>
      <c r="AG292" s="224"/>
      <c r="AH292" s="224"/>
      <c r="AI292" s="224"/>
      <c r="AJ292" s="126"/>
      <c r="AK292" s="126"/>
      <c r="AL292" s="126"/>
      <c r="AM292" s="126"/>
      <c r="AN292" s="126"/>
    </row>
    <row r="293" spans="1:40" ht="15.75" customHeight="1">
      <c r="A293" s="221">
        <f t="shared" si="2"/>
        <v>287</v>
      </c>
      <c r="B293" s="222" t="s">
        <v>5337</v>
      </c>
      <c r="C293" s="222" t="s">
        <v>5</v>
      </c>
      <c r="D293" s="222" t="e">
        <f t="array" ref="D293">IF(F293="","",INDEX(#REF!,MATCH(F293,#REF!,0)))</f>
        <v>#REF!</v>
      </c>
      <c r="E293" s="222" t="e">
        <f t="array" ref="E293">IF(F293="","",INDEX(#REF!,MATCH(F293,#REF!,0)))</f>
        <v>#REF!</v>
      </c>
      <c r="F293" s="222" t="s">
        <v>23</v>
      </c>
      <c r="G293" s="222" t="s">
        <v>4499</v>
      </c>
      <c r="H293" s="223">
        <v>1.1000000000000001</v>
      </c>
      <c r="I293" s="222" t="s">
        <v>5347</v>
      </c>
      <c r="J293" s="222" t="s">
        <v>5348</v>
      </c>
      <c r="K293" s="222" t="s">
        <v>5346</v>
      </c>
      <c r="L293" s="222">
        <v>900</v>
      </c>
      <c r="M293" s="222">
        <v>820</v>
      </c>
      <c r="N293" s="222" t="s">
        <v>11</v>
      </c>
      <c r="O293" s="222" t="s">
        <v>9</v>
      </c>
      <c r="P293" s="224">
        <v>16904810.82</v>
      </c>
      <c r="Q293" s="224">
        <v>54792.000000000007</v>
      </c>
      <c r="R293" s="224">
        <v>0</v>
      </c>
      <c r="S293" s="224"/>
      <c r="T293" s="224">
        <v>0</v>
      </c>
      <c r="U293" s="224"/>
      <c r="V293" s="224"/>
      <c r="W293" s="224"/>
      <c r="X293" s="224"/>
      <c r="Y293" s="222">
        <v>511</v>
      </c>
      <c r="Z293" s="222">
        <v>820</v>
      </c>
      <c r="AA293" s="224">
        <v>13308310.52</v>
      </c>
      <c r="AB293" s="224">
        <v>7674.54</v>
      </c>
      <c r="AC293" s="224">
        <v>0</v>
      </c>
      <c r="AD293" s="224"/>
      <c r="AE293" s="224">
        <v>0</v>
      </c>
      <c r="AF293" s="224"/>
      <c r="AG293" s="224"/>
      <c r="AH293" s="224"/>
      <c r="AI293" s="224"/>
      <c r="AJ293" s="126"/>
      <c r="AK293" s="126"/>
      <c r="AL293" s="126"/>
      <c r="AM293" s="126"/>
      <c r="AN293" s="126"/>
    </row>
    <row r="294" spans="1:40" ht="15.75" customHeight="1">
      <c r="A294" s="221">
        <f t="shared" si="2"/>
        <v>288</v>
      </c>
      <c r="B294" s="222" t="s">
        <v>5337</v>
      </c>
      <c r="C294" s="222" t="s">
        <v>5</v>
      </c>
      <c r="D294" s="222" t="e">
        <f t="array" ref="D294">IF(F294="","",INDEX(#REF!,MATCH(F294,#REF!,0)))</f>
        <v>#REF!</v>
      </c>
      <c r="E294" s="222" t="e">
        <f t="array" ref="E294">IF(F294="","",INDEX(#REF!,MATCH(F294,#REF!,0)))</f>
        <v>#REF!</v>
      </c>
      <c r="F294" s="222" t="s">
        <v>23</v>
      </c>
      <c r="G294" s="222" t="s">
        <v>4499</v>
      </c>
      <c r="H294" s="223">
        <v>1.2</v>
      </c>
      <c r="I294" s="222" t="s">
        <v>5349</v>
      </c>
      <c r="J294" s="222" t="s">
        <v>5350</v>
      </c>
      <c r="K294" s="222" t="s">
        <v>5351</v>
      </c>
      <c r="L294" s="222">
        <v>19</v>
      </c>
      <c r="M294" s="222">
        <v>15</v>
      </c>
      <c r="N294" s="222" t="s">
        <v>11</v>
      </c>
      <c r="O294" s="222" t="s">
        <v>9</v>
      </c>
      <c r="P294" s="224"/>
      <c r="Q294" s="224">
        <v>5000</v>
      </c>
      <c r="R294" s="224"/>
      <c r="S294" s="224"/>
      <c r="T294" s="224">
        <v>260708</v>
      </c>
      <c r="U294" s="224"/>
      <c r="V294" s="224"/>
      <c r="W294" s="224"/>
      <c r="X294" s="224"/>
      <c r="Y294" s="222">
        <v>9</v>
      </c>
      <c r="Z294" s="222">
        <v>15</v>
      </c>
      <c r="AA294" s="224"/>
      <c r="AB294" s="224">
        <v>0</v>
      </c>
      <c r="AC294" s="224"/>
      <c r="AD294" s="224"/>
      <c r="AE294" s="224">
        <v>8818.32</v>
      </c>
      <c r="AF294" s="224"/>
      <c r="AG294" s="224"/>
      <c r="AH294" s="224"/>
      <c r="AI294" s="224"/>
      <c r="AJ294" s="126"/>
      <c r="AK294" s="126"/>
      <c r="AL294" s="126"/>
      <c r="AM294" s="126"/>
      <c r="AN294" s="126"/>
    </row>
    <row r="295" spans="1:40" ht="15.75" customHeight="1">
      <c r="A295" s="221">
        <f t="shared" si="2"/>
        <v>289</v>
      </c>
      <c r="B295" s="222" t="s">
        <v>5337</v>
      </c>
      <c r="C295" s="222" t="s">
        <v>5</v>
      </c>
      <c r="D295" s="222" t="e">
        <f t="array" ref="D295">IF(F295="","",INDEX(#REF!,MATCH(F295,#REF!,0)))</f>
        <v>#REF!</v>
      </c>
      <c r="E295" s="222" t="e">
        <f t="array" ref="E295">IF(F295="","",INDEX(#REF!,MATCH(F295,#REF!,0)))</f>
        <v>#REF!</v>
      </c>
      <c r="F295" s="222" t="s">
        <v>23</v>
      </c>
      <c r="G295" s="222" t="s">
        <v>4495</v>
      </c>
      <c r="H295" s="223">
        <v>2</v>
      </c>
      <c r="I295" s="222" t="s">
        <v>5352</v>
      </c>
      <c r="J295" s="222" t="s">
        <v>5353</v>
      </c>
      <c r="K295" s="222" t="s">
        <v>5354</v>
      </c>
      <c r="L295" s="222">
        <v>126991</v>
      </c>
      <c r="M295" s="222">
        <v>126991</v>
      </c>
      <c r="N295" s="222" t="s">
        <v>13</v>
      </c>
      <c r="O295" s="222" t="s">
        <v>9</v>
      </c>
      <c r="P295" s="224"/>
      <c r="Q295" s="224"/>
      <c r="R295" s="224"/>
      <c r="S295" s="224"/>
      <c r="T295" s="224"/>
      <c r="U295" s="224"/>
      <c r="V295" s="224"/>
      <c r="W295" s="224"/>
      <c r="X295" s="224"/>
      <c r="Y295" s="222">
        <v>10521</v>
      </c>
      <c r="Z295" s="222">
        <v>126991</v>
      </c>
      <c r="AA295" s="224"/>
      <c r="AB295" s="224"/>
      <c r="AC295" s="224"/>
      <c r="AD295" s="224"/>
      <c r="AE295" s="224"/>
      <c r="AF295" s="224"/>
      <c r="AG295" s="224"/>
      <c r="AH295" s="224"/>
      <c r="AI295" s="224"/>
      <c r="AJ295" s="126"/>
      <c r="AK295" s="126"/>
      <c r="AL295" s="126"/>
      <c r="AM295" s="126"/>
      <c r="AN295" s="126"/>
    </row>
    <row r="296" spans="1:40" ht="15.75" customHeight="1">
      <c r="A296" s="221">
        <f t="shared" si="2"/>
        <v>290</v>
      </c>
      <c r="B296" s="222" t="s">
        <v>5337</v>
      </c>
      <c r="C296" s="222" t="s">
        <v>5</v>
      </c>
      <c r="D296" s="222" t="e">
        <f t="array" ref="D296">IF(F296="","",INDEX(#REF!,MATCH(F296,#REF!,0)))</f>
        <v>#REF!</v>
      </c>
      <c r="E296" s="222" t="e">
        <f t="array" ref="E296">IF(F296="","",INDEX(#REF!,MATCH(F296,#REF!,0)))</f>
        <v>#REF!</v>
      </c>
      <c r="F296" s="222" t="s">
        <v>23</v>
      </c>
      <c r="G296" s="222" t="s">
        <v>4499</v>
      </c>
      <c r="H296" s="223">
        <v>2.1</v>
      </c>
      <c r="I296" s="222" t="s">
        <v>5355</v>
      </c>
      <c r="J296" s="222" t="s">
        <v>5356</v>
      </c>
      <c r="K296" s="222" t="s">
        <v>5357</v>
      </c>
      <c r="L296" s="222">
        <v>2912</v>
      </c>
      <c r="M296" s="222">
        <v>2912</v>
      </c>
      <c r="N296" s="222" t="s">
        <v>11</v>
      </c>
      <c r="O296" s="222" t="s">
        <v>9</v>
      </c>
      <c r="P296" s="224"/>
      <c r="Q296" s="224">
        <v>13664.26</v>
      </c>
      <c r="R296" s="224">
        <v>1700000</v>
      </c>
      <c r="S296" s="224"/>
      <c r="T296" s="224"/>
      <c r="U296" s="224"/>
      <c r="V296" s="224"/>
      <c r="W296" s="224"/>
      <c r="X296" s="224"/>
      <c r="Y296" s="222">
        <v>493</v>
      </c>
      <c r="Z296" s="222">
        <v>2912</v>
      </c>
      <c r="AA296" s="224"/>
      <c r="AB296" s="224">
        <v>13664.26</v>
      </c>
      <c r="AC296" s="224">
        <v>0</v>
      </c>
      <c r="AD296" s="224"/>
      <c r="AE296" s="224"/>
      <c r="AF296" s="224"/>
      <c r="AG296" s="224"/>
      <c r="AH296" s="224"/>
      <c r="AI296" s="224"/>
      <c r="AJ296" s="126"/>
      <c r="AK296" s="126"/>
      <c r="AL296" s="126"/>
      <c r="AM296" s="126"/>
      <c r="AN296" s="126"/>
    </row>
    <row r="297" spans="1:40" ht="15.75" customHeight="1">
      <c r="A297" s="221">
        <f t="shared" si="2"/>
        <v>291</v>
      </c>
      <c r="B297" s="222" t="s">
        <v>5337</v>
      </c>
      <c r="C297" s="222" t="s">
        <v>5</v>
      </c>
      <c r="D297" s="222" t="e">
        <f t="array" ref="D297">IF(F297="","",INDEX(#REF!,MATCH(F297,#REF!,0)))</f>
        <v>#REF!</v>
      </c>
      <c r="E297" s="222" t="e">
        <f t="array" ref="E297">IF(F297="","",INDEX(#REF!,MATCH(F297,#REF!,0)))</f>
        <v>#REF!</v>
      </c>
      <c r="F297" s="222" t="s">
        <v>23</v>
      </c>
      <c r="G297" s="222" t="s">
        <v>4499</v>
      </c>
      <c r="H297" s="223">
        <v>2.2000000000000002</v>
      </c>
      <c r="I297" s="222" t="s">
        <v>5358</v>
      </c>
      <c r="J297" s="222" t="s">
        <v>5359</v>
      </c>
      <c r="K297" s="222" t="s">
        <v>5360</v>
      </c>
      <c r="L297" s="222">
        <v>119549</v>
      </c>
      <c r="M297" s="222">
        <v>119549</v>
      </c>
      <c r="N297" s="222" t="s">
        <v>11</v>
      </c>
      <c r="O297" s="222" t="s">
        <v>9</v>
      </c>
      <c r="P297" s="224"/>
      <c r="Q297" s="224">
        <v>111569.29000000001</v>
      </c>
      <c r="R297" s="224">
        <v>0</v>
      </c>
      <c r="S297" s="224"/>
      <c r="T297" s="224">
        <v>501500</v>
      </c>
      <c r="U297" s="224"/>
      <c r="V297" s="224"/>
      <c r="W297" s="224"/>
      <c r="X297" s="224"/>
      <c r="Y297" s="222">
        <v>6600</v>
      </c>
      <c r="Z297" s="222">
        <v>119549</v>
      </c>
      <c r="AA297" s="224"/>
      <c r="AB297" s="224">
        <v>780</v>
      </c>
      <c r="AC297" s="224">
        <v>0</v>
      </c>
      <c r="AD297" s="224"/>
      <c r="AE297" s="224">
        <v>0</v>
      </c>
      <c r="AF297" s="224"/>
      <c r="AG297" s="224"/>
      <c r="AH297" s="224"/>
      <c r="AI297" s="224"/>
      <c r="AJ297" s="126"/>
      <c r="AK297" s="126"/>
      <c r="AL297" s="126"/>
      <c r="AM297" s="126"/>
      <c r="AN297" s="126"/>
    </row>
    <row r="298" spans="1:40" ht="15.75" customHeight="1">
      <c r="A298" s="221">
        <f t="shared" si="2"/>
        <v>292</v>
      </c>
      <c r="B298" s="222" t="s">
        <v>5337</v>
      </c>
      <c r="C298" s="222" t="s">
        <v>5</v>
      </c>
      <c r="D298" s="222" t="e">
        <f t="array" ref="D298">IF(F298="","",INDEX(#REF!,MATCH(F298,#REF!,0)))</f>
        <v>#REF!</v>
      </c>
      <c r="E298" s="222" t="e">
        <f t="array" ref="E298">IF(F298="","",INDEX(#REF!,MATCH(F298,#REF!,0)))</f>
        <v>#REF!</v>
      </c>
      <c r="F298" s="222" t="s">
        <v>23</v>
      </c>
      <c r="G298" s="222" t="s">
        <v>4499</v>
      </c>
      <c r="H298" s="223">
        <v>2.2999999999999998</v>
      </c>
      <c r="I298" s="222" t="s">
        <v>5361</v>
      </c>
      <c r="J298" s="222" t="s">
        <v>5362</v>
      </c>
      <c r="K298" s="222" t="s">
        <v>5363</v>
      </c>
      <c r="L298" s="222">
        <v>1660</v>
      </c>
      <c r="M298" s="222">
        <v>1660</v>
      </c>
      <c r="N298" s="222" t="s">
        <v>11</v>
      </c>
      <c r="O298" s="222" t="s">
        <v>9</v>
      </c>
      <c r="P298" s="224"/>
      <c r="Q298" s="224"/>
      <c r="R298" s="224">
        <v>40000</v>
      </c>
      <c r="S298" s="224"/>
      <c r="T298" s="224">
        <v>60000</v>
      </c>
      <c r="U298" s="224"/>
      <c r="V298" s="224"/>
      <c r="W298" s="224"/>
      <c r="X298" s="224"/>
      <c r="Y298" s="222">
        <v>550</v>
      </c>
      <c r="Z298" s="222">
        <v>1660</v>
      </c>
      <c r="AA298" s="224"/>
      <c r="AB298" s="224"/>
      <c r="AC298" s="224">
        <v>0</v>
      </c>
      <c r="AD298" s="224"/>
      <c r="AE298" s="224">
        <v>0</v>
      </c>
      <c r="AF298" s="224"/>
      <c r="AG298" s="224"/>
      <c r="AH298" s="224"/>
      <c r="AI298" s="224"/>
      <c r="AJ298" s="126"/>
      <c r="AK298" s="126"/>
      <c r="AL298" s="126"/>
      <c r="AM298" s="126"/>
      <c r="AN298" s="126"/>
    </row>
    <row r="299" spans="1:40" ht="15.75" customHeight="1">
      <c r="A299" s="221">
        <f t="shared" si="2"/>
        <v>293</v>
      </c>
      <c r="B299" s="222" t="s">
        <v>5337</v>
      </c>
      <c r="C299" s="222" t="s">
        <v>5</v>
      </c>
      <c r="D299" s="222" t="e">
        <f t="array" ref="D299">IF(F299="","",INDEX(#REF!,MATCH(F299,#REF!,0)))</f>
        <v>#REF!</v>
      </c>
      <c r="E299" s="222" t="e">
        <f t="array" ref="E299">IF(F299="","",INDEX(#REF!,MATCH(F299,#REF!,0)))</f>
        <v>#REF!</v>
      </c>
      <c r="F299" s="222" t="s">
        <v>23</v>
      </c>
      <c r="G299" s="222" t="s">
        <v>4499</v>
      </c>
      <c r="H299" s="223">
        <v>2.4</v>
      </c>
      <c r="I299" s="222" t="s">
        <v>5364</v>
      </c>
      <c r="J299" s="222" t="s">
        <v>5365</v>
      </c>
      <c r="K299" s="222" t="s">
        <v>5366</v>
      </c>
      <c r="L299" s="222">
        <v>2870</v>
      </c>
      <c r="M299" s="222">
        <v>2870</v>
      </c>
      <c r="N299" s="222" t="s">
        <v>11</v>
      </c>
      <c r="O299" s="222" t="s">
        <v>9</v>
      </c>
      <c r="P299" s="224">
        <v>16700709.76</v>
      </c>
      <c r="Q299" s="224"/>
      <c r="R299" s="224">
        <v>4500000</v>
      </c>
      <c r="S299" s="224"/>
      <c r="T299" s="224"/>
      <c r="U299" s="224"/>
      <c r="V299" s="224"/>
      <c r="W299" s="224"/>
      <c r="X299" s="224"/>
      <c r="Y299" s="222">
        <v>2855</v>
      </c>
      <c r="Z299" s="222">
        <v>2870</v>
      </c>
      <c r="AA299" s="224">
        <v>6549808.5599999968</v>
      </c>
      <c r="AB299" s="224"/>
      <c r="AC299" s="224">
        <v>2605733</v>
      </c>
      <c r="AD299" s="224"/>
      <c r="AE299" s="224"/>
      <c r="AF299" s="224"/>
      <c r="AG299" s="224"/>
      <c r="AH299" s="224"/>
      <c r="AI299" s="224"/>
      <c r="AJ299" s="126"/>
      <c r="AK299" s="126"/>
      <c r="AL299" s="126"/>
      <c r="AM299" s="126"/>
      <c r="AN299" s="126"/>
    </row>
    <row r="300" spans="1:40" ht="15.75" customHeight="1">
      <c r="A300" s="221">
        <f t="shared" si="2"/>
        <v>294</v>
      </c>
      <c r="B300" s="222" t="s">
        <v>5337</v>
      </c>
      <c r="C300" s="222" t="s">
        <v>5</v>
      </c>
      <c r="D300" s="222" t="e">
        <f t="array" ref="D300">IF(F300="","",INDEX(#REF!,MATCH(F300,#REF!,0)))</f>
        <v>#REF!</v>
      </c>
      <c r="E300" s="222" t="e">
        <f t="array" ref="E300">IF(F300="","",INDEX(#REF!,MATCH(F300,#REF!,0)))</f>
        <v>#REF!</v>
      </c>
      <c r="F300" s="222" t="s">
        <v>23</v>
      </c>
      <c r="G300" s="222" t="s">
        <v>4495</v>
      </c>
      <c r="H300" s="223">
        <v>3</v>
      </c>
      <c r="I300" s="222" t="s">
        <v>5367</v>
      </c>
      <c r="J300" s="222" t="s">
        <v>5368</v>
      </c>
      <c r="K300" s="222" t="s">
        <v>5369</v>
      </c>
      <c r="L300" s="222">
        <v>235200000</v>
      </c>
      <c r="M300" s="222">
        <v>268511409</v>
      </c>
      <c r="N300" s="222" t="s">
        <v>13</v>
      </c>
      <c r="O300" s="222" t="s">
        <v>4611</v>
      </c>
      <c r="P300" s="224"/>
      <c r="Q300" s="224"/>
      <c r="R300" s="224"/>
      <c r="S300" s="224"/>
      <c r="T300" s="224"/>
      <c r="U300" s="224"/>
      <c r="V300" s="224"/>
      <c r="W300" s="224"/>
      <c r="X300" s="224"/>
      <c r="Y300" s="222">
        <v>140459984.28999999</v>
      </c>
      <c r="Z300" s="222">
        <v>268511409</v>
      </c>
      <c r="AA300" s="224"/>
      <c r="AB300" s="224"/>
      <c r="AC300" s="224"/>
      <c r="AD300" s="224"/>
      <c r="AE300" s="224"/>
      <c r="AF300" s="224"/>
      <c r="AG300" s="224"/>
      <c r="AH300" s="224"/>
      <c r="AI300" s="224"/>
      <c r="AJ300" s="126"/>
      <c r="AK300" s="126"/>
      <c r="AL300" s="126"/>
      <c r="AM300" s="126"/>
      <c r="AN300" s="126"/>
    </row>
    <row r="301" spans="1:40" ht="15.75" customHeight="1">
      <c r="A301" s="221">
        <f t="shared" si="2"/>
        <v>295</v>
      </c>
      <c r="B301" s="222" t="s">
        <v>5337</v>
      </c>
      <c r="C301" s="222" t="s">
        <v>5</v>
      </c>
      <c r="D301" s="222" t="e">
        <f t="array" ref="D301">IF(F301="","",INDEX(#REF!,MATCH(F301,#REF!,0)))</f>
        <v>#REF!</v>
      </c>
      <c r="E301" s="222" t="e">
        <f t="array" ref="E301">IF(F301="","",INDEX(#REF!,MATCH(F301,#REF!,0)))</f>
        <v>#REF!</v>
      </c>
      <c r="F301" s="222" t="s">
        <v>23</v>
      </c>
      <c r="G301" s="222" t="s">
        <v>4499</v>
      </c>
      <c r="H301" s="223">
        <v>3.1</v>
      </c>
      <c r="I301" s="222" t="s">
        <v>5370</v>
      </c>
      <c r="J301" s="222" t="s">
        <v>5371</v>
      </c>
      <c r="K301" s="222" t="s">
        <v>5372</v>
      </c>
      <c r="L301" s="222">
        <v>780</v>
      </c>
      <c r="M301" s="222">
        <v>780</v>
      </c>
      <c r="N301" s="222" t="s">
        <v>6</v>
      </c>
      <c r="O301" s="222" t="s">
        <v>9</v>
      </c>
      <c r="P301" s="224"/>
      <c r="Q301" s="224">
        <v>52343224.950000003</v>
      </c>
      <c r="R301" s="224">
        <v>150861665</v>
      </c>
      <c r="S301" s="224"/>
      <c r="T301" s="224">
        <v>1038005.39</v>
      </c>
      <c r="U301" s="224"/>
      <c r="V301" s="224"/>
      <c r="W301" s="224"/>
      <c r="X301" s="224"/>
      <c r="Y301" s="222">
        <v>524</v>
      </c>
      <c r="Z301" s="222">
        <v>780</v>
      </c>
      <c r="AA301" s="224"/>
      <c r="AB301" s="224">
        <v>1206555</v>
      </c>
      <c r="AC301" s="224">
        <v>106552392.31999999</v>
      </c>
      <c r="AD301" s="224"/>
      <c r="AE301" s="224">
        <v>0</v>
      </c>
      <c r="AF301" s="224"/>
      <c r="AG301" s="224"/>
      <c r="AH301" s="224"/>
      <c r="AI301" s="224"/>
      <c r="AJ301" s="126"/>
      <c r="AK301" s="126"/>
      <c r="AL301" s="126"/>
      <c r="AM301" s="126"/>
      <c r="AN301" s="126"/>
    </row>
    <row r="302" spans="1:40" ht="15.75" customHeight="1">
      <c r="A302" s="221">
        <f t="shared" si="2"/>
        <v>296</v>
      </c>
      <c r="B302" s="222" t="s">
        <v>5337</v>
      </c>
      <c r="C302" s="222" t="s">
        <v>5</v>
      </c>
      <c r="D302" s="222" t="e">
        <f t="array" ref="D302">IF(F302="","",INDEX(#REF!,MATCH(F302,#REF!,0)))</f>
        <v>#REF!</v>
      </c>
      <c r="E302" s="222" t="e">
        <f t="array" ref="E302">IF(F302="","",INDEX(#REF!,MATCH(F302,#REF!,0)))</f>
        <v>#REF!</v>
      </c>
      <c r="F302" s="222" t="s">
        <v>23</v>
      </c>
      <c r="G302" s="222" t="s">
        <v>4499</v>
      </c>
      <c r="H302" s="223">
        <v>3.2</v>
      </c>
      <c r="I302" s="222" t="s">
        <v>5373</v>
      </c>
      <c r="J302" s="222" t="s">
        <v>5374</v>
      </c>
      <c r="K302" s="222" t="s">
        <v>5375</v>
      </c>
      <c r="L302" s="222">
        <v>14350000</v>
      </c>
      <c r="M302" s="222">
        <v>14784984</v>
      </c>
      <c r="N302" s="222" t="s">
        <v>8</v>
      </c>
      <c r="O302" s="222" t="s">
        <v>14</v>
      </c>
      <c r="P302" s="224"/>
      <c r="Q302" s="224"/>
      <c r="R302" s="224">
        <v>66250000</v>
      </c>
      <c r="S302" s="224"/>
      <c r="T302" s="224"/>
      <c r="U302" s="224"/>
      <c r="V302" s="224"/>
      <c r="W302" s="224"/>
      <c r="X302" s="224"/>
      <c r="Y302" s="222">
        <v>6162251</v>
      </c>
      <c r="Z302" s="222">
        <v>14784984</v>
      </c>
      <c r="AA302" s="224"/>
      <c r="AB302" s="224"/>
      <c r="AC302" s="224">
        <v>28510702</v>
      </c>
      <c r="AD302" s="224"/>
      <c r="AE302" s="224"/>
      <c r="AF302" s="224"/>
      <c r="AG302" s="224"/>
      <c r="AH302" s="224"/>
      <c r="AI302" s="224"/>
      <c r="AJ302" s="126"/>
      <c r="AK302" s="126"/>
      <c r="AL302" s="126"/>
      <c r="AM302" s="126"/>
      <c r="AN302" s="126"/>
    </row>
    <row r="303" spans="1:40" ht="15.75" customHeight="1">
      <c r="A303" s="221">
        <f t="shared" si="2"/>
        <v>297</v>
      </c>
      <c r="B303" s="222" t="s">
        <v>5337</v>
      </c>
      <c r="C303" s="222" t="s">
        <v>5</v>
      </c>
      <c r="D303" s="222" t="e">
        <f t="array" ref="D303">IF(F303="","",INDEX(#REF!,MATCH(F303,#REF!,0)))</f>
        <v>#REF!</v>
      </c>
      <c r="E303" s="222" t="e">
        <f t="array" ref="E303">IF(F303="","",INDEX(#REF!,MATCH(F303,#REF!,0)))</f>
        <v>#REF!</v>
      </c>
      <c r="F303" s="222" t="s">
        <v>23</v>
      </c>
      <c r="G303" s="222" t="s">
        <v>4499</v>
      </c>
      <c r="H303" s="223">
        <v>3.3</v>
      </c>
      <c r="I303" s="222" t="s">
        <v>5376</v>
      </c>
      <c r="J303" s="222" t="s">
        <v>5377</v>
      </c>
      <c r="K303" s="222" t="s">
        <v>5378</v>
      </c>
      <c r="L303" s="222">
        <v>10250000</v>
      </c>
      <c r="M303" s="222">
        <v>10250000</v>
      </c>
      <c r="N303" s="222" t="s">
        <v>11</v>
      </c>
      <c r="O303" s="222" t="s">
        <v>9</v>
      </c>
      <c r="P303" s="224"/>
      <c r="Q303" s="224">
        <v>277099999.35000002</v>
      </c>
      <c r="R303" s="224">
        <v>4000000</v>
      </c>
      <c r="S303" s="224"/>
      <c r="T303" s="224"/>
      <c r="U303" s="224"/>
      <c r="V303" s="224"/>
      <c r="W303" s="224"/>
      <c r="X303" s="224"/>
      <c r="Y303" s="222">
        <v>4398241.5200000005</v>
      </c>
      <c r="Z303" s="222">
        <v>10250000</v>
      </c>
      <c r="AA303" s="224"/>
      <c r="AB303" s="224">
        <v>110618344.98999999</v>
      </c>
      <c r="AC303" s="224">
        <v>939369.8600000001</v>
      </c>
      <c r="AD303" s="224"/>
      <c r="AE303" s="224"/>
      <c r="AF303" s="224"/>
      <c r="AG303" s="224"/>
      <c r="AH303" s="224"/>
      <c r="AI303" s="224"/>
      <c r="AJ303" s="126"/>
      <c r="AK303" s="126"/>
      <c r="AL303" s="126"/>
      <c r="AM303" s="126"/>
      <c r="AN303" s="126"/>
    </row>
    <row r="304" spans="1:40" ht="15.75" customHeight="1">
      <c r="A304" s="221">
        <f t="shared" si="2"/>
        <v>298</v>
      </c>
      <c r="B304" s="222" t="s">
        <v>5337</v>
      </c>
      <c r="C304" s="222" t="s">
        <v>5</v>
      </c>
      <c r="D304" s="222" t="e">
        <f t="array" ref="D304">IF(F304="","",INDEX(#REF!,MATCH(F304,#REF!,0)))</f>
        <v>#REF!</v>
      </c>
      <c r="E304" s="222" t="e">
        <f t="array" ref="E304">IF(F304="","",INDEX(#REF!,MATCH(F304,#REF!,0)))</f>
        <v>#REF!</v>
      </c>
      <c r="F304" s="222" t="s">
        <v>23</v>
      </c>
      <c r="G304" s="222" t="s">
        <v>4495</v>
      </c>
      <c r="H304" s="223">
        <v>4</v>
      </c>
      <c r="I304" s="222" t="s">
        <v>5379</v>
      </c>
      <c r="J304" s="222" t="s">
        <v>5380</v>
      </c>
      <c r="K304" s="222" t="s">
        <v>5381</v>
      </c>
      <c r="L304" s="222">
        <v>3964</v>
      </c>
      <c r="M304" s="222">
        <v>3964</v>
      </c>
      <c r="N304" s="222" t="s">
        <v>13</v>
      </c>
      <c r="O304" s="222" t="s">
        <v>9</v>
      </c>
      <c r="P304" s="224"/>
      <c r="Q304" s="224"/>
      <c r="R304" s="224"/>
      <c r="S304" s="224"/>
      <c r="T304" s="224"/>
      <c r="U304" s="224"/>
      <c r="V304" s="224"/>
      <c r="W304" s="224"/>
      <c r="X304" s="224"/>
      <c r="Y304" s="222">
        <v>1918</v>
      </c>
      <c r="Z304" s="222">
        <v>3964</v>
      </c>
      <c r="AA304" s="224"/>
      <c r="AB304" s="224"/>
      <c r="AC304" s="224"/>
      <c r="AD304" s="224"/>
      <c r="AE304" s="224"/>
      <c r="AF304" s="224"/>
      <c r="AG304" s="224"/>
      <c r="AH304" s="224"/>
      <c r="AI304" s="224"/>
      <c r="AJ304" s="126"/>
      <c r="AK304" s="126"/>
      <c r="AL304" s="126"/>
      <c r="AM304" s="126"/>
      <c r="AN304" s="126"/>
    </row>
    <row r="305" spans="1:40" ht="15.75" customHeight="1">
      <c r="A305" s="221">
        <f t="shared" si="2"/>
        <v>299</v>
      </c>
      <c r="B305" s="222" t="s">
        <v>5337</v>
      </c>
      <c r="C305" s="222" t="s">
        <v>5</v>
      </c>
      <c r="D305" s="222" t="e">
        <f t="array" ref="D305">IF(F305="","",INDEX(#REF!,MATCH(F305,#REF!,0)))</f>
        <v>#REF!</v>
      </c>
      <c r="E305" s="222" t="e">
        <f t="array" ref="E305">IF(F305="","",INDEX(#REF!,MATCH(F305,#REF!,0)))</f>
        <v>#REF!</v>
      </c>
      <c r="F305" s="222" t="s">
        <v>23</v>
      </c>
      <c r="G305" s="222" t="s">
        <v>4499</v>
      </c>
      <c r="H305" s="223">
        <v>4.0999999999999996</v>
      </c>
      <c r="I305" s="222" t="s">
        <v>5382</v>
      </c>
      <c r="J305" s="222" t="s">
        <v>5383</v>
      </c>
      <c r="K305" s="222" t="s">
        <v>5384</v>
      </c>
      <c r="L305" s="222">
        <v>3950</v>
      </c>
      <c r="M305" s="222">
        <v>3950</v>
      </c>
      <c r="N305" s="222" t="s">
        <v>11</v>
      </c>
      <c r="O305" s="222" t="s">
        <v>9</v>
      </c>
      <c r="P305" s="224"/>
      <c r="Q305" s="224">
        <v>25810858.329999998</v>
      </c>
      <c r="R305" s="224"/>
      <c r="S305" s="224"/>
      <c r="T305" s="224">
        <v>3090000</v>
      </c>
      <c r="U305" s="224"/>
      <c r="V305" s="224"/>
      <c r="W305" s="224"/>
      <c r="X305" s="224"/>
      <c r="Y305" s="222">
        <v>1918</v>
      </c>
      <c r="Z305" s="222">
        <v>3950</v>
      </c>
      <c r="AA305" s="224"/>
      <c r="AB305" s="224">
        <v>12992.970000000001</v>
      </c>
      <c r="AC305" s="224"/>
      <c r="AD305" s="224"/>
      <c r="AE305" s="224">
        <v>0</v>
      </c>
      <c r="AF305" s="224"/>
      <c r="AG305" s="224"/>
      <c r="AH305" s="224"/>
      <c r="AI305" s="224"/>
      <c r="AJ305" s="126"/>
      <c r="AK305" s="126"/>
      <c r="AL305" s="126"/>
      <c r="AM305" s="126"/>
      <c r="AN305" s="126"/>
    </row>
    <row r="306" spans="1:40" ht="15.75" customHeight="1">
      <c r="A306" s="221">
        <f t="shared" si="2"/>
        <v>300</v>
      </c>
      <c r="B306" s="222" t="s">
        <v>5337</v>
      </c>
      <c r="C306" s="222" t="s">
        <v>5</v>
      </c>
      <c r="D306" s="222" t="e">
        <f t="array" ref="D306">IF(F306="","",INDEX(#REF!,MATCH(F306,#REF!,0)))</f>
        <v>#REF!</v>
      </c>
      <c r="E306" s="222" t="e">
        <f t="array" ref="E306">IF(F306="","",INDEX(#REF!,MATCH(F306,#REF!,0)))</f>
        <v>#REF!</v>
      </c>
      <c r="F306" s="222" t="s">
        <v>23</v>
      </c>
      <c r="G306" s="222" t="s">
        <v>4499</v>
      </c>
      <c r="H306" s="223">
        <v>4.2</v>
      </c>
      <c r="I306" s="222" t="s">
        <v>5385</v>
      </c>
      <c r="J306" s="222" t="s">
        <v>5386</v>
      </c>
      <c r="K306" s="222" t="s">
        <v>5387</v>
      </c>
      <c r="L306" s="222">
        <v>14</v>
      </c>
      <c r="M306" s="222">
        <v>14</v>
      </c>
      <c r="N306" s="222" t="s">
        <v>11</v>
      </c>
      <c r="O306" s="222" t="s">
        <v>9</v>
      </c>
      <c r="P306" s="224"/>
      <c r="Q306" s="224">
        <v>20000</v>
      </c>
      <c r="R306" s="224">
        <v>20600000</v>
      </c>
      <c r="S306" s="224"/>
      <c r="T306" s="224">
        <v>5400000</v>
      </c>
      <c r="U306" s="224"/>
      <c r="V306" s="224"/>
      <c r="W306" s="224"/>
      <c r="X306" s="224"/>
      <c r="Y306" s="222">
        <v>0</v>
      </c>
      <c r="Z306" s="222">
        <v>14</v>
      </c>
      <c r="AA306" s="224"/>
      <c r="AB306" s="224">
        <v>0</v>
      </c>
      <c r="AC306" s="224">
        <v>0</v>
      </c>
      <c r="AD306" s="224"/>
      <c r="AE306" s="224">
        <v>0</v>
      </c>
      <c r="AF306" s="224"/>
      <c r="AG306" s="224"/>
      <c r="AH306" s="224"/>
      <c r="AI306" s="224"/>
      <c r="AJ306" s="126"/>
      <c r="AK306" s="126"/>
      <c r="AL306" s="126"/>
      <c r="AM306" s="126"/>
      <c r="AN306" s="126"/>
    </row>
    <row r="307" spans="1:40" ht="15.75" customHeight="1">
      <c r="A307" s="221">
        <f t="shared" si="2"/>
        <v>301</v>
      </c>
      <c r="B307" s="222" t="s">
        <v>5337</v>
      </c>
      <c r="C307" s="222" t="s">
        <v>5</v>
      </c>
      <c r="D307" s="222" t="e">
        <f t="array" ref="D307">IF(F307="","",INDEX(#REF!,MATCH(F307,#REF!,0)))</f>
        <v>#REF!</v>
      </c>
      <c r="E307" s="222" t="e">
        <f t="array" ref="E307">IF(F307="","",INDEX(#REF!,MATCH(F307,#REF!,0)))</f>
        <v>#REF!</v>
      </c>
      <c r="F307" s="222" t="s">
        <v>23</v>
      </c>
      <c r="G307" s="222" t="s">
        <v>4495</v>
      </c>
      <c r="H307" s="223">
        <v>5</v>
      </c>
      <c r="I307" s="222" t="s">
        <v>5388</v>
      </c>
      <c r="J307" s="222" t="s">
        <v>5389</v>
      </c>
      <c r="K307" s="222" t="s">
        <v>5390</v>
      </c>
      <c r="L307" s="222">
        <v>4500</v>
      </c>
      <c r="M307" s="222">
        <v>4500</v>
      </c>
      <c r="N307" s="222" t="s">
        <v>13</v>
      </c>
      <c r="O307" s="222" t="s">
        <v>9</v>
      </c>
      <c r="P307" s="224"/>
      <c r="Q307" s="224"/>
      <c r="R307" s="224"/>
      <c r="S307" s="224"/>
      <c r="T307" s="224"/>
      <c r="U307" s="224"/>
      <c r="V307" s="224"/>
      <c r="W307" s="224"/>
      <c r="X307" s="224"/>
      <c r="Y307" s="222">
        <v>887</v>
      </c>
      <c r="Z307" s="222">
        <v>4500</v>
      </c>
      <c r="AA307" s="224"/>
      <c r="AB307" s="224"/>
      <c r="AC307" s="224"/>
      <c r="AD307" s="224"/>
      <c r="AE307" s="224"/>
      <c r="AF307" s="224"/>
      <c r="AG307" s="224"/>
      <c r="AH307" s="224"/>
      <c r="AI307" s="224"/>
      <c r="AJ307" s="126"/>
      <c r="AK307" s="126"/>
      <c r="AL307" s="126"/>
      <c r="AM307" s="126"/>
      <c r="AN307" s="126"/>
    </row>
    <row r="308" spans="1:40" ht="15.75" customHeight="1">
      <c r="A308" s="221">
        <f t="shared" si="2"/>
        <v>302</v>
      </c>
      <c r="B308" s="222" t="s">
        <v>5337</v>
      </c>
      <c r="C308" s="222" t="s">
        <v>5</v>
      </c>
      <c r="D308" s="222" t="e">
        <f t="array" ref="D308">IF(F308="","",INDEX(#REF!,MATCH(F308,#REF!,0)))</f>
        <v>#REF!</v>
      </c>
      <c r="E308" s="222" t="e">
        <f t="array" ref="E308">IF(F308="","",INDEX(#REF!,MATCH(F308,#REF!,0)))</f>
        <v>#REF!</v>
      </c>
      <c r="F308" s="222" t="s">
        <v>23</v>
      </c>
      <c r="G308" s="222" t="s">
        <v>4499</v>
      </c>
      <c r="H308" s="223">
        <v>5.0999999999999996</v>
      </c>
      <c r="I308" s="222" t="s">
        <v>5391</v>
      </c>
      <c r="J308" s="222" t="s">
        <v>5392</v>
      </c>
      <c r="K308" s="222" t="s">
        <v>5393</v>
      </c>
      <c r="L308" s="222">
        <v>3200</v>
      </c>
      <c r="M308" s="222">
        <v>3200</v>
      </c>
      <c r="N308" s="222" t="s">
        <v>11</v>
      </c>
      <c r="O308" s="222" t="s">
        <v>9</v>
      </c>
      <c r="P308" s="224">
        <v>40645550.050000004</v>
      </c>
      <c r="Q308" s="224">
        <v>17153067.600000001</v>
      </c>
      <c r="R308" s="224">
        <v>80394992</v>
      </c>
      <c r="S308" s="224"/>
      <c r="T308" s="224">
        <v>39002690.060000002</v>
      </c>
      <c r="U308" s="224"/>
      <c r="V308" s="224"/>
      <c r="W308" s="224"/>
      <c r="X308" s="224"/>
      <c r="Y308" s="222">
        <v>813</v>
      </c>
      <c r="Z308" s="222">
        <v>3200</v>
      </c>
      <c r="AA308" s="224">
        <v>20850623.969999991</v>
      </c>
      <c r="AB308" s="224">
        <v>0</v>
      </c>
      <c r="AC308" s="224">
        <v>0</v>
      </c>
      <c r="AD308" s="224"/>
      <c r="AE308" s="224">
        <v>26989199.48</v>
      </c>
      <c r="AF308" s="224"/>
      <c r="AG308" s="224"/>
      <c r="AH308" s="224"/>
      <c r="AI308" s="224"/>
      <c r="AJ308" s="126"/>
      <c r="AK308" s="126"/>
      <c r="AL308" s="126"/>
      <c r="AM308" s="126"/>
      <c r="AN308" s="126"/>
    </row>
    <row r="309" spans="1:40" ht="15.75" customHeight="1">
      <c r="A309" s="221">
        <f t="shared" si="2"/>
        <v>303</v>
      </c>
      <c r="B309" s="222" t="s">
        <v>5337</v>
      </c>
      <c r="C309" s="222" t="s">
        <v>5</v>
      </c>
      <c r="D309" s="222" t="e">
        <f t="array" ref="D309">IF(F309="","",INDEX(#REF!,MATCH(F309,#REF!,0)))</f>
        <v>#REF!</v>
      </c>
      <c r="E309" s="222" t="e">
        <f t="array" ref="E309">IF(F309="","",INDEX(#REF!,MATCH(F309,#REF!,0)))</f>
        <v>#REF!</v>
      </c>
      <c r="F309" s="222" t="s">
        <v>23</v>
      </c>
      <c r="G309" s="222" t="s">
        <v>4499</v>
      </c>
      <c r="H309" s="223">
        <v>5.2</v>
      </c>
      <c r="I309" s="222" t="s">
        <v>5394</v>
      </c>
      <c r="J309" s="222" t="s">
        <v>5395</v>
      </c>
      <c r="K309" s="222" t="s">
        <v>5396</v>
      </c>
      <c r="L309" s="222">
        <v>1300</v>
      </c>
      <c r="M309" s="222">
        <v>1300</v>
      </c>
      <c r="N309" s="222" t="s">
        <v>11</v>
      </c>
      <c r="O309" s="222" t="s">
        <v>9</v>
      </c>
      <c r="P309" s="224"/>
      <c r="Q309" s="224"/>
      <c r="R309" s="224"/>
      <c r="S309" s="224"/>
      <c r="T309" s="224">
        <v>550000</v>
      </c>
      <c r="U309" s="224"/>
      <c r="V309" s="224"/>
      <c r="W309" s="224"/>
      <c r="X309" s="224"/>
      <c r="Y309" s="222">
        <v>74</v>
      </c>
      <c r="Z309" s="222">
        <v>1300</v>
      </c>
      <c r="AA309" s="224"/>
      <c r="AB309" s="224"/>
      <c r="AC309" s="224"/>
      <c r="AD309" s="224"/>
      <c r="AE309" s="224">
        <v>0</v>
      </c>
      <c r="AF309" s="224"/>
      <c r="AG309" s="224"/>
      <c r="AH309" s="224"/>
      <c r="AI309" s="224"/>
      <c r="AJ309" s="126"/>
      <c r="AK309" s="126"/>
      <c r="AL309" s="126"/>
      <c r="AM309" s="126"/>
      <c r="AN309" s="126"/>
    </row>
    <row r="310" spans="1:40" ht="15.75" customHeight="1">
      <c r="A310" s="221">
        <f t="shared" si="2"/>
        <v>304</v>
      </c>
      <c r="B310" s="222" t="s">
        <v>5337</v>
      </c>
      <c r="C310" s="222" t="s">
        <v>5</v>
      </c>
      <c r="D310" s="222" t="e">
        <f t="array" ref="D310">IF(F310="","",INDEX(#REF!,MATCH(F310,#REF!,0)))</f>
        <v>#REF!</v>
      </c>
      <c r="E310" s="222" t="e">
        <f t="array" ref="E310">IF(F310="","",INDEX(#REF!,MATCH(F310,#REF!,0)))</f>
        <v>#REF!</v>
      </c>
      <c r="F310" s="222" t="s">
        <v>23</v>
      </c>
      <c r="G310" s="222" t="s">
        <v>4495</v>
      </c>
      <c r="H310" s="223">
        <v>6</v>
      </c>
      <c r="I310" s="222" t="s">
        <v>5397</v>
      </c>
      <c r="J310" s="222" t="s">
        <v>5398</v>
      </c>
      <c r="K310" s="222" t="s">
        <v>5399</v>
      </c>
      <c r="L310" s="222">
        <v>780</v>
      </c>
      <c r="M310" s="222">
        <v>780</v>
      </c>
      <c r="N310" s="222" t="s">
        <v>13</v>
      </c>
      <c r="O310" s="222" t="s">
        <v>9</v>
      </c>
      <c r="P310" s="224"/>
      <c r="Q310" s="224"/>
      <c r="R310" s="224"/>
      <c r="S310" s="224"/>
      <c r="T310" s="224"/>
      <c r="U310" s="224"/>
      <c r="V310" s="224"/>
      <c r="W310" s="224"/>
      <c r="X310" s="224"/>
      <c r="Y310" s="222">
        <v>161</v>
      </c>
      <c r="Z310" s="222">
        <v>780</v>
      </c>
      <c r="AA310" s="224"/>
      <c r="AB310" s="224"/>
      <c r="AC310" s="224"/>
      <c r="AD310" s="224"/>
      <c r="AE310" s="224"/>
      <c r="AF310" s="224"/>
      <c r="AG310" s="224"/>
      <c r="AH310" s="224"/>
      <c r="AI310" s="224"/>
      <c r="AJ310" s="126"/>
      <c r="AK310" s="126"/>
      <c r="AL310" s="126"/>
      <c r="AM310" s="126"/>
      <c r="AN310" s="126"/>
    </row>
    <row r="311" spans="1:40" ht="15.75" customHeight="1">
      <c r="A311" s="221">
        <f t="shared" si="2"/>
        <v>305</v>
      </c>
      <c r="B311" s="222" t="s">
        <v>5337</v>
      </c>
      <c r="C311" s="222" t="s">
        <v>5</v>
      </c>
      <c r="D311" s="222" t="e">
        <f t="array" ref="D311">IF(F311="","",INDEX(#REF!,MATCH(F311,#REF!,0)))</f>
        <v>#REF!</v>
      </c>
      <c r="E311" s="222" t="e">
        <f t="array" ref="E311">IF(F311="","",INDEX(#REF!,MATCH(F311,#REF!,0)))</f>
        <v>#REF!</v>
      </c>
      <c r="F311" s="222" t="s">
        <v>23</v>
      </c>
      <c r="G311" s="222" t="s">
        <v>4499</v>
      </c>
      <c r="H311" s="223">
        <v>6.1</v>
      </c>
      <c r="I311" s="222" t="s">
        <v>5400</v>
      </c>
      <c r="J311" s="222" t="s">
        <v>5401</v>
      </c>
      <c r="K311" s="222" t="s">
        <v>5402</v>
      </c>
      <c r="L311" s="222">
        <v>560</v>
      </c>
      <c r="M311" s="222">
        <v>560</v>
      </c>
      <c r="N311" s="222" t="s">
        <v>11</v>
      </c>
      <c r="O311" s="222" t="s">
        <v>9</v>
      </c>
      <c r="P311" s="224">
        <v>36648050.519999996</v>
      </c>
      <c r="Q311" s="224"/>
      <c r="R311" s="224">
        <v>0</v>
      </c>
      <c r="S311" s="224"/>
      <c r="T311" s="224">
        <v>428489.76</v>
      </c>
      <c r="U311" s="224"/>
      <c r="V311" s="224"/>
      <c r="W311" s="224"/>
      <c r="X311" s="224"/>
      <c r="Y311" s="222">
        <v>511</v>
      </c>
      <c r="Z311" s="222">
        <v>560</v>
      </c>
      <c r="AA311" s="224">
        <v>29297541.990000006</v>
      </c>
      <c r="AB311" s="224"/>
      <c r="AC311" s="224">
        <v>0</v>
      </c>
      <c r="AD311" s="224"/>
      <c r="AE311" s="224">
        <v>0</v>
      </c>
      <c r="AF311" s="224"/>
      <c r="AG311" s="224"/>
      <c r="AH311" s="224"/>
      <c r="AI311" s="224"/>
      <c r="AJ311" s="126"/>
      <c r="AK311" s="126"/>
      <c r="AL311" s="126"/>
      <c r="AM311" s="126"/>
      <c r="AN311" s="126"/>
    </row>
    <row r="312" spans="1:40" ht="15.75" customHeight="1">
      <c r="A312" s="221">
        <f t="shared" si="2"/>
        <v>306</v>
      </c>
      <c r="B312" s="222" t="s">
        <v>5337</v>
      </c>
      <c r="C312" s="222" t="s">
        <v>5</v>
      </c>
      <c r="D312" s="222" t="e">
        <f t="array" ref="D312">IF(F312="","",INDEX(#REF!,MATCH(F312,#REF!,0)))</f>
        <v>#REF!</v>
      </c>
      <c r="E312" s="222" t="e">
        <f t="array" ref="E312">IF(F312="","",INDEX(#REF!,MATCH(F312,#REF!,0)))</f>
        <v>#REF!</v>
      </c>
      <c r="F312" s="222" t="s">
        <v>23</v>
      </c>
      <c r="G312" s="222" t="s">
        <v>4499</v>
      </c>
      <c r="H312" s="223">
        <v>6.2</v>
      </c>
      <c r="I312" s="222" t="s">
        <v>5403</v>
      </c>
      <c r="J312" s="222" t="s">
        <v>5404</v>
      </c>
      <c r="K312" s="222" t="s">
        <v>5405</v>
      </c>
      <c r="L312" s="222">
        <v>730</v>
      </c>
      <c r="M312" s="222">
        <v>730</v>
      </c>
      <c r="N312" s="222" t="s">
        <v>11</v>
      </c>
      <c r="O312" s="222" t="s">
        <v>9</v>
      </c>
      <c r="P312" s="224"/>
      <c r="Q312" s="224">
        <v>8000</v>
      </c>
      <c r="R312" s="224">
        <v>55000</v>
      </c>
      <c r="S312" s="224"/>
      <c r="T312" s="224"/>
      <c r="U312" s="224"/>
      <c r="V312" s="224"/>
      <c r="W312" s="224"/>
      <c r="X312" s="224"/>
      <c r="Y312" s="222">
        <v>124</v>
      </c>
      <c r="Z312" s="222">
        <v>730</v>
      </c>
      <c r="AA312" s="224"/>
      <c r="AB312" s="224">
        <v>0</v>
      </c>
      <c r="AC312" s="224">
        <v>0</v>
      </c>
      <c r="AD312" s="224"/>
      <c r="AE312" s="224"/>
      <c r="AF312" s="224"/>
      <c r="AG312" s="224"/>
      <c r="AH312" s="224"/>
      <c r="AI312" s="224"/>
      <c r="AJ312" s="126"/>
      <c r="AK312" s="126"/>
      <c r="AL312" s="126"/>
      <c r="AM312" s="126"/>
      <c r="AN312" s="126"/>
    </row>
    <row r="313" spans="1:40" ht="15.75" customHeight="1">
      <c r="A313" s="221">
        <f t="shared" si="2"/>
        <v>307</v>
      </c>
      <c r="B313" s="222" t="s">
        <v>5337</v>
      </c>
      <c r="C313" s="222" t="s">
        <v>5</v>
      </c>
      <c r="D313" s="222" t="e">
        <f t="array" ref="D313">IF(F313="","",INDEX(#REF!,MATCH(F313,#REF!,0)))</f>
        <v>#REF!</v>
      </c>
      <c r="E313" s="222" t="e">
        <f t="array" ref="E313">IF(F313="","",INDEX(#REF!,MATCH(F313,#REF!,0)))</f>
        <v>#REF!</v>
      </c>
      <c r="F313" s="222" t="s">
        <v>23</v>
      </c>
      <c r="G313" s="222" t="s">
        <v>4495</v>
      </c>
      <c r="H313" s="223">
        <v>7</v>
      </c>
      <c r="I313" s="222" t="s">
        <v>5406</v>
      </c>
      <c r="J313" s="222" t="s">
        <v>5407</v>
      </c>
      <c r="K313" s="222" t="s">
        <v>5408</v>
      </c>
      <c r="L313" s="222">
        <v>10943</v>
      </c>
      <c r="M313" s="222">
        <v>12669</v>
      </c>
      <c r="N313" s="222" t="s">
        <v>13</v>
      </c>
      <c r="O313" s="222" t="s">
        <v>9</v>
      </c>
      <c r="P313" s="224"/>
      <c r="Q313" s="224"/>
      <c r="R313" s="224"/>
      <c r="S313" s="224"/>
      <c r="T313" s="224"/>
      <c r="U313" s="224"/>
      <c r="V313" s="224"/>
      <c r="W313" s="224"/>
      <c r="X313" s="224"/>
      <c r="Y313" s="222">
        <v>21856</v>
      </c>
      <c r="Z313" s="222">
        <v>12669</v>
      </c>
      <c r="AA313" s="224"/>
      <c r="AB313" s="224"/>
      <c r="AC313" s="224"/>
      <c r="AD313" s="224"/>
      <c r="AE313" s="224"/>
      <c r="AF313" s="224"/>
      <c r="AG313" s="224"/>
      <c r="AH313" s="224"/>
      <c r="AI313" s="224"/>
      <c r="AJ313" s="126"/>
      <c r="AK313" s="126"/>
      <c r="AL313" s="126"/>
      <c r="AM313" s="126"/>
      <c r="AN313" s="126"/>
    </row>
    <row r="314" spans="1:40" ht="15.75" customHeight="1">
      <c r="A314" s="221">
        <f t="shared" si="2"/>
        <v>308</v>
      </c>
      <c r="B314" s="222" t="s">
        <v>5337</v>
      </c>
      <c r="C314" s="222" t="s">
        <v>5</v>
      </c>
      <c r="D314" s="222" t="e">
        <f t="array" ref="D314">IF(F314="","",INDEX(#REF!,MATCH(F314,#REF!,0)))</f>
        <v>#REF!</v>
      </c>
      <c r="E314" s="222" t="e">
        <f t="array" ref="E314">IF(F314="","",INDEX(#REF!,MATCH(F314,#REF!,0)))</f>
        <v>#REF!</v>
      </c>
      <c r="F314" s="222" t="s">
        <v>23</v>
      </c>
      <c r="G314" s="222" t="s">
        <v>4499</v>
      </c>
      <c r="H314" s="223">
        <v>7.1</v>
      </c>
      <c r="I314" s="222" t="s">
        <v>5409</v>
      </c>
      <c r="J314" s="222" t="s">
        <v>5410</v>
      </c>
      <c r="K314" s="222" t="s">
        <v>5411</v>
      </c>
      <c r="L314" s="222">
        <v>3880</v>
      </c>
      <c r="M314" s="222">
        <v>10943</v>
      </c>
      <c r="N314" s="222" t="s">
        <v>11</v>
      </c>
      <c r="O314" s="222" t="s">
        <v>9</v>
      </c>
      <c r="P314" s="224">
        <v>125740041.05000001</v>
      </c>
      <c r="Q314" s="224">
        <v>44780</v>
      </c>
      <c r="R314" s="224">
        <v>1449741.66</v>
      </c>
      <c r="S314" s="224"/>
      <c r="T314" s="224">
        <v>850000</v>
      </c>
      <c r="U314" s="224"/>
      <c r="V314" s="224"/>
      <c r="W314" s="224"/>
      <c r="X314" s="224"/>
      <c r="Y314" s="222">
        <v>7753</v>
      </c>
      <c r="Z314" s="222">
        <v>10943</v>
      </c>
      <c r="AA314" s="224">
        <v>33705365.760000005</v>
      </c>
      <c r="AB314" s="224">
        <v>0</v>
      </c>
      <c r="AC314" s="224">
        <v>0</v>
      </c>
      <c r="AD314" s="224"/>
      <c r="AE314" s="224">
        <v>0</v>
      </c>
      <c r="AF314" s="224"/>
      <c r="AG314" s="224"/>
      <c r="AH314" s="224"/>
      <c r="AI314" s="224"/>
      <c r="AJ314" s="126"/>
      <c r="AK314" s="126"/>
      <c r="AL314" s="126"/>
      <c r="AM314" s="126"/>
      <c r="AN314" s="126"/>
    </row>
    <row r="315" spans="1:40" ht="15.75" customHeight="1">
      <c r="A315" s="221">
        <f t="shared" si="2"/>
        <v>309</v>
      </c>
      <c r="B315" s="222" t="s">
        <v>5337</v>
      </c>
      <c r="C315" s="222" t="s">
        <v>5</v>
      </c>
      <c r="D315" s="222" t="e">
        <f t="array" ref="D315">IF(F315="","",INDEX(#REF!,MATCH(F315,#REF!,0)))</f>
        <v>#REF!</v>
      </c>
      <c r="E315" s="222" t="e">
        <f t="array" ref="E315">IF(F315="","",INDEX(#REF!,MATCH(F315,#REF!,0)))</f>
        <v>#REF!</v>
      </c>
      <c r="F315" s="222" t="s">
        <v>23</v>
      </c>
      <c r="G315" s="222" t="s">
        <v>4499</v>
      </c>
      <c r="H315" s="223">
        <v>7.2</v>
      </c>
      <c r="I315" s="222" t="s">
        <v>5412</v>
      </c>
      <c r="J315" s="222" t="s">
        <v>5413</v>
      </c>
      <c r="K315" s="222" t="s">
        <v>5414</v>
      </c>
      <c r="L315" s="222">
        <v>672</v>
      </c>
      <c r="M315" s="222">
        <v>10943</v>
      </c>
      <c r="N315" s="222" t="s">
        <v>11</v>
      </c>
      <c r="O315" s="222" t="s">
        <v>9</v>
      </c>
      <c r="P315" s="224">
        <v>13386946.620000001</v>
      </c>
      <c r="Q315" s="224">
        <v>30000</v>
      </c>
      <c r="R315" s="224">
        <v>85000</v>
      </c>
      <c r="S315" s="224">
        <v>3960000</v>
      </c>
      <c r="T315" s="224"/>
      <c r="U315" s="224"/>
      <c r="V315" s="224"/>
      <c r="W315" s="224"/>
      <c r="X315" s="224"/>
      <c r="Y315" s="222">
        <v>1198</v>
      </c>
      <c r="Z315" s="222">
        <v>10943</v>
      </c>
      <c r="AA315" s="224">
        <v>4561278.5699999994</v>
      </c>
      <c r="AB315" s="224">
        <v>0</v>
      </c>
      <c r="AC315" s="224">
        <v>0</v>
      </c>
      <c r="AD315" s="224">
        <v>0</v>
      </c>
      <c r="AE315" s="224"/>
      <c r="AF315" s="224"/>
      <c r="AG315" s="224"/>
      <c r="AH315" s="224"/>
      <c r="AI315" s="224"/>
      <c r="AJ315" s="126"/>
      <c r="AK315" s="126"/>
      <c r="AL315" s="126"/>
      <c r="AM315" s="126"/>
      <c r="AN315" s="126"/>
    </row>
    <row r="316" spans="1:40" ht="15.75" customHeight="1">
      <c r="A316" s="221">
        <f t="shared" si="2"/>
        <v>310</v>
      </c>
      <c r="B316" s="222" t="s">
        <v>5337</v>
      </c>
      <c r="C316" s="222" t="s">
        <v>5</v>
      </c>
      <c r="D316" s="222" t="e">
        <f t="array" ref="D316">IF(F316="","",INDEX(#REF!,MATCH(F316,#REF!,0)))</f>
        <v>#REF!</v>
      </c>
      <c r="E316" s="222" t="e">
        <f t="array" ref="E316">IF(F316="","",INDEX(#REF!,MATCH(F316,#REF!,0)))</f>
        <v>#REF!</v>
      </c>
      <c r="F316" s="222" t="s">
        <v>23</v>
      </c>
      <c r="G316" s="222" t="s">
        <v>4495</v>
      </c>
      <c r="H316" s="223">
        <v>8</v>
      </c>
      <c r="I316" s="222" t="s">
        <v>5415</v>
      </c>
      <c r="J316" s="222" t="s">
        <v>5416</v>
      </c>
      <c r="K316" s="222" t="s">
        <v>5417</v>
      </c>
      <c r="L316" s="222">
        <v>5040</v>
      </c>
      <c r="M316" s="222">
        <v>10943</v>
      </c>
      <c r="N316" s="222" t="s">
        <v>13</v>
      </c>
      <c r="O316" s="222" t="s">
        <v>9</v>
      </c>
      <c r="P316" s="224"/>
      <c r="Q316" s="224"/>
      <c r="R316" s="224"/>
      <c r="S316" s="224"/>
      <c r="T316" s="224"/>
      <c r="U316" s="224"/>
      <c r="V316" s="224"/>
      <c r="W316" s="224"/>
      <c r="X316" s="224"/>
      <c r="Y316" s="222">
        <v>1840</v>
      </c>
      <c r="Z316" s="222">
        <v>10943</v>
      </c>
      <c r="AA316" s="224"/>
      <c r="AB316" s="224"/>
      <c r="AC316" s="224"/>
      <c r="AD316" s="224"/>
      <c r="AE316" s="224"/>
      <c r="AF316" s="224"/>
      <c r="AG316" s="224"/>
      <c r="AH316" s="224"/>
      <c r="AI316" s="224"/>
      <c r="AJ316" s="126"/>
      <c r="AK316" s="126"/>
      <c r="AL316" s="126"/>
      <c r="AM316" s="126"/>
      <c r="AN316" s="126"/>
    </row>
    <row r="317" spans="1:40" ht="15.75" customHeight="1">
      <c r="A317" s="221">
        <f t="shared" si="2"/>
        <v>311</v>
      </c>
      <c r="B317" s="222" t="s">
        <v>5337</v>
      </c>
      <c r="C317" s="222" t="s">
        <v>5</v>
      </c>
      <c r="D317" s="222" t="e">
        <f t="array" ref="D317">IF(F317="","",INDEX(#REF!,MATCH(F317,#REF!,0)))</f>
        <v>#REF!</v>
      </c>
      <c r="E317" s="222" t="e">
        <f t="array" ref="E317">IF(F317="","",INDEX(#REF!,MATCH(F317,#REF!,0)))</f>
        <v>#REF!</v>
      </c>
      <c r="F317" s="222" t="s">
        <v>23</v>
      </c>
      <c r="G317" s="222" t="s">
        <v>4499</v>
      </c>
      <c r="H317" s="223">
        <v>8.1</v>
      </c>
      <c r="I317" s="222" t="s">
        <v>5418</v>
      </c>
      <c r="J317" s="222" t="s">
        <v>5419</v>
      </c>
      <c r="K317" s="222" t="s">
        <v>5420</v>
      </c>
      <c r="L317" s="222">
        <v>220</v>
      </c>
      <c r="M317" s="222">
        <v>220</v>
      </c>
      <c r="N317" s="222" t="s">
        <v>11</v>
      </c>
      <c r="O317" s="222" t="s">
        <v>9</v>
      </c>
      <c r="P317" s="224"/>
      <c r="Q317" s="224">
        <v>362420</v>
      </c>
      <c r="R317" s="224">
        <v>1950000</v>
      </c>
      <c r="S317" s="224"/>
      <c r="T317" s="224">
        <v>40000</v>
      </c>
      <c r="U317" s="224"/>
      <c r="V317" s="224"/>
      <c r="W317" s="224"/>
      <c r="X317" s="224"/>
      <c r="Y317" s="222">
        <v>440</v>
      </c>
      <c r="Z317" s="222">
        <v>220</v>
      </c>
      <c r="AA317" s="224"/>
      <c r="AB317" s="224">
        <v>5220</v>
      </c>
      <c r="AC317" s="224">
        <v>0</v>
      </c>
      <c r="AD317" s="224"/>
      <c r="AE317" s="224">
        <v>0</v>
      </c>
      <c r="AF317" s="224"/>
      <c r="AG317" s="224"/>
      <c r="AH317" s="224"/>
      <c r="AI317" s="224"/>
      <c r="AJ317" s="126"/>
      <c r="AK317" s="126"/>
      <c r="AL317" s="126"/>
      <c r="AM317" s="126"/>
      <c r="AN317" s="126"/>
    </row>
    <row r="318" spans="1:40" ht="15.75" customHeight="1">
      <c r="A318" s="221">
        <f t="shared" si="2"/>
        <v>312</v>
      </c>
      <c r="B318" s="222" t="s">
        <v>5337</v>
      </c>
      <c r="C318" s="222" t="s">
        <v>5</v>
      </c>
      <c r="D318" s="222" t="e">
        <f t="array" ref="D318">IF(F318="","",INDEX(#REF!,MATCH(F318,#REF!,0)))</f>
        <v>#REF!</v>
      </c>
      <c r="E318" s="222" t="e">
        <f t="array" ref="E318">IF(F318="","",INDEX(#REF!,MATCH(F318,#REF!,0)))</f>
        <v>#REF!</v>
      </c>
      <c r="F318" s="222" t="s">
        <v>23</v>
      </c>
      <c r="G318" s="222" t="s">
        <v>4499</v>
      </c>
      <c r="H318" s="223">
        <v>8.1999999999999993</v>
      </c>
      <c r="I318" s="222" t="s">
        <v>5421</v>
      </c>
      <c r="J318" s="222" t="s">
        <v>5422</v>
      </c>
      <c r="K318" s="222" t="s">
        <v>5423</v>
      </c>
      <c r="L318" s="222">
        <v>20</v>
      </c>
      <c r="M318" s="222">
        <v>20</v>
      </c>
      <c r="N318" s="222" t="s">
        <v>11</v>
      </c>
      <c r="O318" s="222" t="s">
        <v>9</v>
      </c>
      <c r="P318" s="224"/>
      <c r="Q318" s="224">
        <v>50000</v>
      </c>
      <c r="R318" s="224">
        <v>126000</v>
      </c>
      <c r="S318" s="224">
        <v>200000</v>
      </c>
      <c r="T318" s="224">
        <v>40000</v>
      </c>
      <c r="U318" s="224"/>
      <c r="V318" s="224"/>
      <c r="W318" s="224"/>
      <c r="X318" s="224"/>
      <c r="Y318" s="222">
        <v>19</v>
      </c>
      <c r="Z318" s="222">
        <v>20</v>
      </c>
      <c r="AA318" s="224"/>
      <c r="AB318" s="224">
        <v>0</v>
      </c>
      <c r="AC318" s="224">
        <v>0</v>
      </c>
      <c r="AD318" s="224">
        <v>0</v>
      </c>
      <c r="AE318" s="224">
        <v>0</v>
      </c>
      <c r="AF318" s="224"/>
      <c r="AG318" s="224"/>
      <c r="AH318" s="224"/>
      <c r="AI318" s="224"/>
      <c r="AJ318" s="126"/>
      <c r="AK318" s="126"/>
      <c r="AL318" s="126"/>
      <c r="AM318" s="126"/>
      <c r="AN318" s="126"/>
    </row>
    <row r="319" spans="1:40" ht="15.75" customHeight="1">
      <c r="A319" s="221">
        <f t="shared" si="2"/>
        <v>313</v>
      </c>
      <c r="B319" s="222" t="s">
        <v>5424</v>
      </c>
      <c r="C319" s="222" t="s">
        <v>5</v>
      </c>
      <c r="D319" s="222" t="e">
        <f t="array" ref="D319">IF(F319="","",INDEX(#REF!,MATCH(F319,#REF!,0)))</f>
        <v>#REF!</v>
      </c>
      <c r="E319" s="222" t="e">
        <f t="array" ref="E319">IF(F319="","",INDEX(#REF!,MATCH(F319,#REF!,0)))</f>
        <v>#REF!</v>
      </c>
      <c r="F319" s="222" t="s">
        <v>36</v>
      </c>
      <c r="G319" s="222" t="s">
        <v>0</v>
      </c>
      <c r="H319" s="223" t="s">
        <v>4487</v>
      </c>
      <c r="I319" s="222" t="s">
        <v>5425</v>
      </c>
      <c r="J319" s="222" t="s">
        <v>5426</v>
      </c>
      <c r="K319" s="222" t="s">
        <v>5427</v>
      </c>
      <c r="L319" s="222">
        <v>6500</v>
      </c>
      <c r="M319" s="222">
        <v>6500</v>
      </c>
      <c r="N319" s="222" t="s">
        <v>15</v>
      </c>
      <c r="O319" s="222" t="s">
        <v>9</v>
      </c>
      <c r="P319" s="224"/>
      <c r="Q319" s="224"/>
      <c r="R319" s="224"/>
      <c r="S319" s="224"/>
      <c r="T319" s="224"/>
      <c r="U319" s="224"/>
      <c r="V319" s="224"/>
      <c r="W319" s="224"/>
      <c r="X319" s="224"/>
      <c r="Y319" s="222">
        <v>0</v>
      </c>
      <c r="Z319" s="222">
        <v>6500</v>
      </c>
      <c r="AA319" s="224"/>
      <c r="AB319" s="224"/>
      <c r="AC319" s="224"/>
      <c r="AD319" s="224"/>
      <c r="AE319" s="224"/>
      <c r="AF319" s="224"/>
      <c r="AG319" s="224"/>
      <c r="AH319" s="224"/>
      <c r="AI319" s="224"/>
      <c r="AJ319" s="126"/>
      <c r="AK319" s="126"/>
      <c r="AL319" s="126"/>
      <c r="AM319" s="126"/>
      <c r="AN319" s="126"/>
    </row>
    <row r="320" spans="1:40" ht="15.75" customHeight="1">
      <c r="A320" s="221">
        <f t="shared" si="2"/>
        <v>314</v>
      </c>
      <c r="B320" s="222" t="s">
        <v>5424</v>
      </c>
      <c r="C320" s="222" t="s">
        <v>5</v>
      </c>
      <c r="D320" s="222" t="e">
        <f t="array" ref="D320">IF(F320="","",INDEX(#REF!,MATCH(F320,#REF!,0)))</f>
        <v>#REF!</v>
      </c>
      <c r="E320" s="222" t="e">
        <f t="array" ref="E320">IF(F320="","",INDEX(#REF!,MATCH(F320,#REF!,0)))</f>
        <v>#REF!</v>
      </c>
      <c r="F320" s="222" t="s">
        <v>36</v>
      </c>
      <c r="G320" s="222" t="s">
        <v>4491</v>
      </c>
      <c r="H320" s="223" t="s">
        <v>4487</v>
      </c>
      <c r="I320" s="222" t="s">
        <v>5428</v>
      </c>
      <c r="J320" s="222" t="s">
        <v>5429</v>
      </c>
      <c r="K320" s="222" t="s">
        <v>5430</v>
      </c>
      <c r="L320" s="222">
        <v>400</v>
      </c>
      <c r="M320" s="222">
        <v>400</v>
      </c>
      <c r="N320" s="222" t="s">
        <v>15</v>
      </c>
      <c r="O320" s="222" t="s">
        <v>9</v>
      </c>
      <c r="P320" s="224"/>
      <c r="Q320" s="224"/>
      <c r="R320" s="224"/>
      <c r="S320" s="224"/>
      <c r="T320" s="224"/>
      <c r="U320" s="224"/>
      <c r="V320" s="224"/>
      <c r="W320" s="224"/>
      <c r="X320" s="224"/>
      <c r="Y320" s="222">
        <v>0</v>
      </c>
      <c r="Z320" s="222">
        <v>400</v>
      </c>
      <c r="AA320" s="224"/>
      <c r="AB320" s="224"/>
      <c r="AC320" s="224"/>
      <c r="AD320" s="224"/>
      <c r="AE320" s="224"/>
      <c r="AF320" s="224"/>
      <c r="AG320" s="224"/>
      <c r="AH320" s="224"/>
      <c r="AI320" s="224"/>
      <c r="AJ320" s="126"/>
      <c r="AK320" s="126"/>
      <c r="AL320" s="126"/>
      <c r="AM320" s="126"/>
      <c r="AN320" s="126"/>
    </row>
    <row r="321" spans="1:40" ht="15.75" customHeight="1">
      <c r="A321" s="221">
        <f t="shared" si="2"/>
        <v>315</v>
      </c>
      <c r="B321" s="222" t="s">
        <v>5424</v>
      </c>
      <c r="C321" s="222" t="s">
        <v>5</v>
      </c>
      <c r="D321" s="222" t="e">
        <f t="array" ref="D321">IF(F321="","",INDEX(#REF!,MATCH(F321,#REF!,0)))</f>
        <v>#REF!</v>
      </c>
      <c r="E321" s="222" t="e">
        <f t="array" ref="E321">IF(F321="","",INDEX(#REF!,MATCH(F321,#REF!,0)))</f>
        <v>#REF!</v>
      </c>
      <c r="F321" s="222" t="s">
        <v>36</v>
      </c>
      <c r="G321" s="222" t="s">
        <v>4495</v>
      </c>
      <c r="H321" s="223">
        <v>1</v>
      </c>
      <c r="I321" s="222" t="s">
        <v>5431</v>
      </c>
      <c r="J321" s="222" t="s">
        <v>5432</v>
      </c>
      <c r="K321" s="222" t="s">
        <v>5433</v>
      </c>
      <c r="L321" s="222">
        <v>6500</v>
      </c>
      <c r="M321" s="222">
        <v>6500</v>
      </c>
      <c r="N321" s="222" t="s">
        <v>13</v>
      </c>
      <c r="O321" s="222" t="s">
        <v>9</v>
      </c>
      <c r="P321" s="224"/>
      <c r="Q321" s="224"/>
      <c r="R321" s="224"/>
      <c r="S321" s="224"/>
      <c r="T321" s="224"/>
      <c r="U321" s="224"/>
      <c r="V321" s="224"/>
      <c r="W321" s="224"/>
      <c r="X321" s="224"/>
      <c r="Y321" s="222">
        <v>4300</v>
      </c>
      <c r="Z321" s="222">
        <v>6500</v>
      </c>
      <c r="AA321" s="224"/>
      <c r="AB321" s="224"/>
      <c r="AC321" s="224"/>
      <c r="AD321" s="224"/>
      <c r="AE321" s="224"/>
      <c r="AF321" s="224"/>
      <c r="AG321" s="224"/>
      <c r="AH321" s="224"/>
      <c r="AI321" s="224"/>
      <c r="AJ321" s="126"/>
      <c r="AK321" s="126"/>
      <c r="AL321" s="126"/>
      <c r="AM321" s="126"/>
      <c r="AN321" s="126"/>
    </row>
    <row r="322" spans="1:40" ht="15.75" customHeight="1">
      <c r="A322" s="221">
        <f t="shared" si="2"/>
        <v>316</v>
      </c>
      <c r="B322" s="222" t="s">
        <v>5424</v>
      </c>
      <c r="C322" s="222" t="s">
        <v>5</v>
      </c>
      <c r="D322" s="222" t="e">
        <f t="array" ref="D322">IF(F322="","",INDEX(#REF!,MATCH(F322,#REF!,0)))</f>
        <v>#REF!</v>
      </c>
      <c r="E322" s="222" t="e">
        <f t="array" ref="E322">IF(F322="","",INDEX(#REF!,MATCH(F322,#REF!,0)))</f>
        <v>#REF!</v>
      </c>
      <c r="F322" s="222" t="s">
        <v>36</v>
      </c>
      <c r="G322" s="222" t="s">
        <v>4499</v>
      </c>
      <c r="H322" s="223">
        <v>1.1000000000000001</v>
      </c>
      <c r="I322" s="222" t="s">
        <v>5434</v>
      </c>
      <c r="J322" s="222" t="s">
        <v>5435</v>
      </c>
      <c r="K322" s="222" t="s">
        <v>5436</v>
      </c>
      <c r="L322" s="222">
        <v>6200</v>
      </c>
      <c r="M322" s="222">
        <v>5500</v>
      </c>
      <c r="N322" s="222" t="s">
        <v>11</v>
      </c>
      <c r="O322" s="222" t="s">
        <v>9</v>
      </c>
      <c r="P322" s="224">
        <v>19051141.02</v>
      </c>
      <c r="Q322" s="224"/>
      <c r="R322" s="224">
        <v>41349878.160000004</v>
      </c>
      <c r="S322" s="224"/>
      <c r="T322" s="224"/>
      <c r="U322" s="224"/>
      <c r="V322" s="224"/>
      <c r="W322" s="224"/>
      <c r="X322" s="224"/>
      <c r="Y322" s="222">
        <v>4133</v>
      </c>
      <c r="Z322" s="222">
        <v>5500</v>
      </c>
      <c r="AA322" s="224">
        <v>10145664.939999998</v>
      </c>
      <c r="AB322" s="224"/>
      <c r="AC322" s="224">
        <v>0</v>
      </c>
      <c r="AD322" s="224"/>
      <c r="AE322" s="224"/>
      <c r="AF322" s="224"/>
      <c r="AG322" s="224"/>
      <c r="AH322" s="224"/>
      <c r="AI322" s="224"/>
      <c r="AJ322" s="126"/>
      <c r="AK322" s="126"/>
      <c r="AL322" s="126"/>
      <c r="AM322" s="126"/>
      <c r="AN322" s="126"/>
    </row>
    <row r="323" spans="1:40" ht="15.75" customHeight="1">
      <c r="A323" s="221">
        <f t="shared" si="2"/>
        <v>317</v>
      </c>
      <c r="B323" s="222" t="s">
        <v>5424</v>
      </c>
      <c r="C323" s="222" t="s">
        <v>5</v>
      </c>
      <c r="D323" s="222" t="e">
        <f t="array" ref="D323">IF(F323="","",INDEX(#REF!,MATCH(F323,#REF!,0)))</f>
        <v>#REF!</v>
      </c>
      <c r="E323" s="222" t="e">
        <f t="array" ref="E323">IF(F323="","",INDEX(#REF!,MATCH(F323,#REF!,0)))</f>
        <v>#REF!</v>
      </c>
      <c r="F323" s="222" t="s">
        <v>36</v>
      </c>
      <c r="G323" s="222" t="s">
        <v>4499</v>
      </c>
      <c r="H323" s="223">
        <v>1.2</v>
      </c>
      <c r="I323" s="222" t="s">
        <v>5437</v>
      </c>
      <c r="J323" s="222" t="s">
        <v>5438</v>
      </c>
      <c r="K323" s="222" t="s">
        <v>5439</v>
      </c>
      <c r="L323" s="222">
        <v>300</v>
      </c>
      <c r="M323" s="222">
        <v>300</v>
      </c>
      <c r="N323" s="222" t="s">
        <v>11</v>
      </c>
      <c r="O323" s="222" t="s">
        <v>9</v>
      </c>
      <c r="P323" s="224"/>
      <c r="Q323" s="224"/>
      <c r="R323" s="224">
        <v>47756686.210000001</v>
      </c>
      <c r="S323" s="224"/>
      <c r="T323" s="224">
        <v>19728622.98</v>
      </c>
      <c r="U323" s="224"/>
      <c r="V323" s="224"/>
      <c r="W323" s="224"/>
      <c r="X323" s="224"/>
      <c r="Y323" s="222">
        <v>167</v>
      </c>
      <c r="Z323" s="222">
        <v>300</v>
      </c>
      <c r="AA323" s="224"/>
      <c r="AB323" s="224"/>
      <c r="AC323" s="224">
        <v>15261323.530000001</v>
      </c>
      <c r="AD323" s="224"/>
      <c r="AE323" s="224">
        <v>0</v>
      </c>
      <c r="AF323" s="224"/>
      <c r="AG323" s="224"/>
      <c r="AH323" s="224"/>
      <c r="AI323" s="224"/>
      <c r="AJ323" s="126"/>
      <c r="AK323" s="126"/>
      <c r="AL323" s="126"/>
      <c r="AM323" s="126"/>
      <c r="AN323" s="126"/>
    </row>
    <row r="324" spans="1:40" ht="15.75" customHeight="1">
      <c r="A324" s="221">
        <f t="shared" si="2"/>
        <v>318</v>
      </c>
      <c r="B324" s="222" t="s">
        <v>5424</v>
      </c>
      <c r="C324" s="222" t="s">
        <v>5</v>
      </c>
      <c r="D324" s="222" t="e">
        <f t="array" ref="D324">IF(F324="","",INDEX(#REF!,MATCH(F324,#REF!,0)))</f>
        <v>#REF!</v>
      </c>
      <c r="E324" s="222" t="e">
        <f t="array" ref="E324">IF(F324="","",INDEX(#REF!,MATCH(F324,#REF!,0)))</f>
        <v>#REF!</v>
      </c>
      <c r="F324" s="222" t="s">
        <v>36</v>
      </c>
      <c r="G324" s="222" t="s">
        <v>4495</v>
      </c>
      <c r="H324" s="223">
        <v>2</v>
      </c>
      <c r="I324" s="222" t="s">
        <v>5440</v>
      </c>
      <c r="J324" s="222" t="s">
        <v>5441</v>
      </c>
      <c r="K324" s="222" t="s">
        <v>5442</v>
      </c>
      <c r="L324" s="222">
        <v>400</v>
      </c>
      <c r="M324" s="222">
        <v>400</v>
      </c>
      <c r="N324" s="222" t="s">
        <v>13</v>
      </c>
      <c r="O324" s="222" t="s">
        <v>9</v>
      </c>
      <c r="P324" s="224"/>
      <c r="Q324" s="224"/>
      <c r="R324" s="224"/>
      <c r="S324" s="224"/>
      <c r="T324" s="224"/>
      <c r="U324" s="224"/>
      <c r="V324" s="224"/>
      <c r="W324" s="224"/>
      <c r="X324" s="224"/>
      <c r="Y324" s="222">
        <v>79</v>
      </c>
      <c r="Z324" s="222">
        <v>400</v>
      </c>
      <c r="AA324" s="224"/>
      <c r="AB324" s="224"/>
      <c r="AC324" s="224"/>
      <c r="AD324" s="224"/>
      <c r="AE324" s="224"/>
      <c r="AF324" s="224"/>
      <c r="AG324" s="224"/>
      <c r="AH324" s="224"/>
      <c r="AI324" s="224"/>
      <c r="AJ324" s="126"/>
      <c r="AK324" s="126"/>
      <c r="AL324" s="126"/>
      <c r="AM324" s="126"/>
      <c r="AN324" s="126"/>
    </row>
    <row r="325" spans="1:40" ht="15.75" customHeight="1">
      <c r="A325" s="221">
        <f t="shared" si="2"/>
        <v>319</v>
      </c>
      <c r="B325" s="222" t="s">
        <v>5424</v>
      </c>
      <c r="C325" s="222" t="s">
        <v>5</v>
      </c>
      <c r="D325" s="222" t="e">
        <f t="array" ref="D325">IF(F325="","",INDEX(#REF!,MATCH(F325,#REF!,0)))</f>
        <v>#REF!</v>
      </c>
      <c r="E325" s="222" t="e">
        <f t="array" ref="E325">IF(F325="","",INDEX(#REF!,MATCH(F325,#REF!,0)))</f>
        <v>#REF!</v>
      </c>
      <c r="F325" s="222" t="s">
        <v>36</v>
      </c>
      <c r="G325" s="222" t="s">
        <v>4499</v>
      </c>
      <c r="H325" s="223">
        <v>2.1</v>
      </c>
      <c r="I325" s="222" t="s">
        <v>5443</v>
      </c>
      <c r="J325" s="222" t="s">
        <v>5444</v>
      </c>
      <c r="K325" s="222" t="s">
        <v>5445</v>
      </c>
      <c r="L325" s="222">
        <v>300</v>
      </c>
      <c r="M325" s="222">
        <v>300</v>
      </c>
      <c r="N325" s="222" t="s">
        <v>11</v>
      </c>
      <c r="O325" s="222" t="s">
        <v>9</v>
      </c>
      <c r="P325" s="224"/>
      <c r="Q325" s="224">
        <v>0</v>
      </c>
      <c r="R325" s="224"/>
      <c r="S325" s="224"/>
      <c r="T325" s="224"/>
      <c r="U325" s="224"/>
      <c r="V325" s="224"/>
      <c r="W325" s="224"/>
      <c r="X325" s="224"/>
      <c r="Y325" s="222">
        <v>75</v>
      </c>
      <c r="Z325" s="222">
        <v>300</v>
      </c>
      <c r="AA325" s="224"/>
      <c r="AB325" s="224">
        <v>0</v>
      </c>
      <c r="AC325" s="224"/>
      <c r="AD325" s="224"/>
      <c r="AE325" s="224"/>
      <c r="AF325" s="224"/>
      <c r="AG325" s="224"/>
      <c r="AH325" s="224"/>
      <c r="AI325" s="224"/>
      <c r="AJ325" s="126"/>
      <c r="AK325" s="126"/>
      <c r="AL325" s="126"/>
      <c r="AM325" s="126"/>
      <c r="AN325" s="126"/>
    </row>
    <row r="326" spans="1:40" ht="15.75" customHeight="1">
      <c r="A326" s="221">
        <f t="shared" si="2"/>
        <v>320</v>
      </c>
      <c r="B326" s="222" t="s">
        <v>5424</v>
      </c>
      <c r="C326" s="222" t="s">
        <v>5</v>
      </c>
      <c r="D326" s="222" t="e">
        <f t="array" ref="D326">IF(F326="","",INDEX(#REF!,MATCH(F326,#REF!,0)))</f>
        <v>#REF!</v>
      </c>
      <c r="E326" s="222" t="e">
        <f t="array" ref="E326">IF(F326="","",INDEX(#REF!,MATCH(F326,#REF!,0)))</f>
        <v>#REF!</v>
      </c>
      <c r="F326" s="222" t="s">
        <v>36</v>
      </c>
      <c r="G326" s="222" t="s">
        <v>4499</v>
      </c>
      <c r="H326" s="223">
        <v>2.2000000000000002</v>
      </c>
      <c r="I326" s="222" t="s">
        <v>5446</v>
      </c>
      <c r="J326" s="222" t="s">
        <v>5447</v>
      </c>
      <c r="K326" s="222" t="s">
        <v>5448</v>
      </c>
      <c r="L326" s="222">
        <v>100</v>
      </c>
      <c r="M326" s="222">
        <v>100</v>
      </c>
      <c r="N326" s="222" t="s">
        <v>11</v>
      </c>
      <c r="O326" s="222" t="s">
        <v>9</v>
      </c>
      <c r="P326" s="224"/>
      <c r="Q326" s="224">
        <v>845000</v>
      </c>
      <c r="R326" s="224">
        <v>0</v>
      </c>
      <c r="S326" s="224"/>
      <c r="T326" s="224"/>
      <c r="U326" s="224"/>
      <c r="V326" s="224"/>
      <c r="W326" s="224"/>
      <c r="X326" s="224"/>
      <c r="Y326" s="222">
        <v>4</v>
      </c>
      <c r="Z326" s="222">
        <v>100</v>
      </c>
      <c r="AA326" s="224"/>
      <c r="AB326" s="224">
        <v>0</v>
      </c>
      <c r="AC326" s="224">
        <v>0</v>
      </c>
      <c r="AD326" s="224"/>
      <c r="AE326" s="224"/>
      <c r="AF326" s="224"/>
      <c r="AG326" s="224"/>
      <c r="AH326" s="224"/>
      <c r="AI326" s="224"/>
      <c r="AJ326" s="126"/>
      <c r="AK326" s="126"/>
      <c r="AL326" s="126"/>
      <c r="AM326" s="126"/>
      <c r="AN326" s="126"/>
    </row>
    <row r="327" spans="1:40" ht="15.75" customHeight="1">
      <c r="A327" s="221">
        <f t="shared" si="2"/>
        <v>321</v>
      </c>
      <c r="B327" s="222" t="s">
        <v>5449</v>
      </c>
      <c r="C327" s="222" t="s">
        <v>5</v>
      </c>
      <c r="D327" s="222" t="e">
        <f t="array" ref="D327">IF(F327="","",INDEX(#REF!,MATCH(F327,#REF!,0)))</f>
        <v>#REF!</v>
      </c>
      <c r="E327" s="222" t="e">
        <f t="array" ref="E327">IF(F327="","",INDEX(#REF!,MATCH(F327,#REF!,0)))</f>
        <v>#REF!</v>
      </c>
      <c r="F327" s="222" t="s">
        <v>7</v>
      </c>
      <c r="G327" s="222" t="s">
        <v>0</v>
      </c>
      <c r="H327" s="223" t="s">
        <v>4487</v>
      </c>
      <c r="I327" s="222" t="s">
        <v>5450</v>
      </c>
      <c r="J327" s="222" t="s">
        <v>5451</v>
      </c>
      <c r="K327" s="222" t="s">
        <v>5452</v>
      </c>
      <c r="L327" s="222">
        <v>106900</v>
      </c>
      <c r="M327" s="222">
        <v>10480048</v>
      </c>
      <c r="N327" s="222" t="s">
        <v>17</v>
      </c>
      <c r="O327" s="222" t="s">
        <v>9</v>
      </c>
      <c r="P327" s="224"/>
      <c r="Q327" s="224"/>
      <c r="R327" s="224"/>
      <c r="S327" s="224"/>
      <c r="T327" s="224"/>
      <c r="U327" s="224"/>
      <c r="V327" s="224"/>
      <c r="W327" s="224"/>
      <c r="X327" s="224"/>
      <c r="Y327" s="222">
        <v>213800</v>
      </c>
      <c r="Z327" s="222">
        <v>10480048</v>
      </c>
      <c r="AA327" s="224"/>
      <c r="AB327" s="224"/>
      <c r="AC327" s="224"/>
      <c r="AD327" s="224"/>
      <c r="AE327" s="224"/>
      <c r="AF327" s="224"/>
      <c r="AG327" s="224"/>
      <c r="AH327" s="224"/>
      <c r="AI327" s="224"/>
      <c r="AJ327" s="126"/>
      <c r="AK327" s="126"/>
      <c r="AL327" s="126"/>
      <c r="AM327" s="126"/>
      <c r="AN327" s="126"/>
    </row>
    <row r="328" spans="1:40" ht="15.75" customHeight="1">
      <c r="A328" s="221">
        <f t="shared" si="2"/>
        <v>322</v>
      </c>
      <c r="B328" s="222" t="s">
        <v>5449</v>
      </c>
      <c r="C328" s="222" t="s">
        <v>5</v>
      </c>
      <c r="D328" s="222" t="e">
        <f t="array" ref="D328">IF(F328="","",INDEX(#REF!,MATCH(F328,#REF!,0)))</f>
        <v>#REF!</v>
      </c>
      <c r="E328" s="222" t="e">
        <f t="array" ref="E328">IF(F328="","",INDEX(#REF!,MATCH(F328,#REF!,0)))</f>
        <v>#REF!</v>
      </c>
      <c r="F328" s="222" t="s">
        <v>7</v>
      </c>
      <c r="G328" s="222" t="s">
        <v>4491</v>
      </c>
      <c r="H328" s="223" t="s">
        <v>4487</v>
      </c>
      <c r="I328" s="222" t="s">
        <v>5453</v>
      </c>
      <c r="J328" s="222" t="s">
        <v>5454</v>
      </c>
      <c r="K328" s="222" t="s">
        <v>5455</v>
      </c>
      <c r="L328" s="222">
        <v>127</v>
      </c>
      <c r="M328" s="222">
        <v>127</v>
      </c>
      <c r="N328" s="222" t="s">
        <v>15</v>
      </c>
      <c r="O328" s="222" t="s">
        <v>9</v>
      </c>
      <c r="P328" s="224"/>
      <c r="Q328" s="224"/>
      <c r="R328" s="224"/>
      <c r="S328" s="224"/>
      <c r="T328" s="224"/>
      <c r="U328" s="224"/>
      <c r="V328" s="224"/>
      <c r="W328" s="224"/>
      <c r="X328" s="224"/>
      <c r="Y328" s="222">
        <v>115</v>
      </c>
      <c r="Z328" s="222">
        <v>127</v>
      </c>
      <c r="AA328" s="224"/>
      <c r="AB328" s="224"/>
      <c r="AC328" s="224"/>
      <c r="AD328" s="224"/>
      <c r="AE328" s="224"/>
      <c r="AF328" s="224"/>
      <c r="AG328" s="224"/>
      <c r="AH328" s="224"/>
      <c r="AI328" s="224"/>
      <c r="AJ328" s="126"/>
      <c r="AK328" s="126"/>
      <c r="AL328" s="126"/>
      <c r="AM328" s="126"/>
      <c r="AN328" s="126"/>
    </row>
    <row r="329" spans="1:40" ht="15.75" customHeight="1">
      <c r="A329" s="221">
        <f t="shared" si="2"/>
        <v>323</v>
      </c>
      <c r="B329" s="222" t="s">
        <v>5449</v>
      </c>
      <c r="C329" s="222" t="s">
        <v>5</v>
      </c>
      <c r="D329" s="222" t="e">
        <f t="array" ref="D329">IF(F329="","",INDEX(#REF!,MATCH(F329,#REF!,0)))</f>
        <v>#REF!</v>
      </c>
      <c r="E329" s="222" t="e">
        <f t="array" ref="E329">IF(F329="","",INDEX(#REF!,MATCH(F329,#REF!,0)))</f>
        <v>#REF!</v>
      </c>
      <c r="F329" s="222" t="s">
        <v>7</v>
      </c>
      <c r="G329" s="222" t="s">
        <v>4495</v>
      </c>
      <c r="H329" s="223">
        <v>1</v>
      </c>
      <c r="I329" s="222" t="s">
        <v>5456</v>
      </c>
      <c r="J329" s="222" t="s">
        <v>5457</v>
      </c>
      <c r="K329" s="222" t="s">
        <v>5458</v>
      </c>
      <c r="L329" s="222">
        <v>5</v>
      </c>
      <c r="M329" s="222">
        <v>80</v>
      </c>
      <c r="N329" s="222" t="s">
        <v>11</v>
      </c>
      <c r="O329" s="222" t="s">
        <v>9</v>
      </c>
      <c r="P329" s="224"/>
      <c r="Q329" s="224"/>
      <c r="R329" s="224"/>
      <c r="S329" s="224"/>
      <c r="T329" s="224"/>
      <c r="U329" s="224"/>
      <c r="V329" s="224"/>
      <c r="W329" s="224"/>
      <c r="X329" s="224"/>
      <c r="Y329" s="222">
        <v>34</v>
      </c>
      <c r="Z329" s="222">
        <v>80</v>
      </c>
      <c r="AA329" s="224"/>
      <c r="AB329" s="224"/>
      <c r="AC329" s="224"/>
      <c r="AD329" s="224"/>
      <c r="AE329" s="224"/>
      <c r="AF329" s="224"/>
      <c r="AG329" s="224"/>
      <c r="AH329" s="224"/>
      <c r="AI329" s="224"/>
      <c r="AJ329" s="126"/>
      <c r="AK329" s="126"/>
      <c r="AL329" s="126"/>
      <c r="AM329" s="126"/>
      <c r="AN329" s="126"/>
    </row>
    <row r="330" spans="1:40" ht="15.75" customHeight="1">
      <c r="A330" s="221">
        <f t="shared" si="2"/>
        <v>324</v>
      </c>
      <c r="B330" s="222" t="s">
        <v>5449</v>
      </c>
      <c r="C330" s="222" t="s">
        <v>5</v>
      </c>
      <c r="D330" s="222" t="e">
        <f t="array" ref="D330">IF(F330="","",INDEX(#REF!,MATCH(F330,#REF!,0)))</f>
        <v>#REF!</v>
      </c>
      <c r="E330" s="222" t="e">
        <f t="array" ref="E330">IF(F330="","",INDEX(#REF!,MATCH(F330,#REF!,0)))</f>
        <v>#REF!</v>
      </c>
      <c r="F330" s="222" t="s">
        <v>7</v>
      </c>
      <c r="G330" s="222" t="s">
        <v>4499</v>
      </c>
      <c r="H330" s="223">
        <v>1.1000000000000001</v>
      </c>
      <c r="I330" s="222" t="s">
        <v>5459</v>
      </c>
      <c r="J330" s="222" t="s">
        <v>5460</v>
      </c>
      <c r="K330" s="222" t="s">
        <v>5461</v>
      </c>
      <c r="L330" s="222">
        <v>14</v>
      </c>
      <c r="M330" s="222">
        <v>80</v>
      </c>
      <c r="N330" s="222" t="s">
        <v>11</v>
      </c>
      <c r="O330" s="222" t="s">
        <v>9</v>
      </c>
      <c r="P330" s="224">
        <v>63505</v>
      </c>
      <c r="Q330" s="224">
        <v>5102</v>
      </c>
      <c r="R330" s="224"/>
      <c r="S330" s="224"/>
      <c r="T330" s="224"/>
      <c r="U330" s="224"/>
      <c r="V330" s="224"/>
      <c r="W330" s="224"/>
      <c r="X330" s="224"/>
      <c r="Y330" s="222">
        <v>16</v>
      </c>
      <c r="Z330" s="222">
        <v>80</v>
      </c>
      <c r="AA330" s="224">
        <v>63505</v>
      </c>
      <c r="AB330" s="224">
        <v>102</v>
      </c>
      <c r="AC330" s="224"/>
      <c r="AD330" s="224"/>
      <c r="AE330" s="224"/>
      <c r="AF330" s="224"/>
      <c r="AG330" s="224"/>
      <c r="AH330" s="224"/>
      <c r="AI330" s="224"/>
      <c r="AJ330" s="126"/>
      <c r="AK330" s="126"/>
      <c r="AL330" s="126"/>
      <c r="AM330" s="126"/>
      <c r="AN330" s="126"/>
    </row>
    <row r="331" spans="1:40" ht="15.75" customHeight="1">
      <c r="A331" s="221">
        <f t="shared" si="2"/>
        <v>325</v>
      </c>
      <c r="B331" s="222" t="s">
        <v>5449</v>
      </c>
      <c r="C331" s="222" t="s">
        <v>5</v>
      </c>
      <c r="D331" s="222" t="e">
        <f t="array" ref="D331">IF(F331="","",INDEX(#REF!,MATCH(F331,#REF!,0)))</f>
        <v>#REF!</v>
      </c>
      <c r="E331" s="222" t="e">
        <f t="array" ref="E331">IF(F331="","",INDEX(#REF!,MATCH(F331,#REF!,0)))</f>
        <v>#REF!</v>
      </c>
      <c r="F331" s="222" t="s">
        <v>7</v>
      </c>
      <c r="G331" s="222" t="s">
        <v>4499</v>
      </c>
      <c r="H331" s="223">
        <v>1.2</v>
      </c>
      <c r="I331" s="222" t="s">
        <v>5462</v>
      </c>
      <c r="J331" s="222" t="s">
        <v>5463</v>
      </c>
      <c r="K331" s="222" t="s">
        <v>5464</v>
      </c>
      <c r="L331" s="222">
        <v>3</v>
      </c>
      <c r="M331" s="222">
        <v>51</v>
      </c>
      <c r="N331" s="222" t="s">
        <v>11</v>
      </c>
      <c r="O331" s="222" t="s">
        <v>9</v>
      </c>
      <c r="P331" s="224">
        <v>8688995.3200000003</v>
      </c>
      <c r="Q331" s="224">
        <v>3385.95</v>
      </c>
      <c r="R331" s="224">
        <v>291000</v>
      </c>
      <c r="S331" s="224"/>
      <c r="T331" s="224">
        <v>77500</v>
      </c>
      <c r="U331" s="224"/>
      <c r="V331" s="224"/>
      <c r="W331" s="224"/>
      <c r="X331" s="224"/>
      <c r="Y331" s="222">
        <v>15</v>
      </c>
      <c r="Z331" s="222">
        <v>51</v>
      </c>
      <c r="AA331" s="224">
        <v>4321259.0199999996</v>
      </c>
      <c r="AB331" s="224">
        <v>2385.9499999999998</v>
      </c>
      <c r="AC331" s="224">
        <v>2832.84</v>
      </c>
      <c r="AD331" s="224"/>
      <c r="AE331" s="224">
        <v>0</v>
      </c>
      <c r="AF331" s="224"/>
      <c r="AG331" s="224"/>
      <c r="AH331" s="224"/>
      <c r="AI331" s="224"/>
      <c r="AJ331" s="126"/>
      <c r="AK331" s="126"/>
      <c r="AL331" s="126"/>
      <c r="AM331" s="126"/>
      <c r="AN331" s="126"/>
    </row>
    <row r="332" spans="1:40" ht="15.75" customHeight="1">
      <c r="A332" s="221">
        <f t="shared" si="2"/>
        <v>326</v>
      </c>
      <c r="B332" s="222" t="s">
        <v>5449</v>
      </c>
      <c r="C332" s="222" t="s">
        <v>5</v>
      </c>
      <c r="D332" s="222" t="e">
        <f t="array" ref="D332">IF(F332="","",INDEX(#REF!,MATCH(F332,#REF!,0)))</f>
        <v>#REF!</v>
      </c>
      <c r="E332" s="222" t="e">
        <f t="array" ref="E332">IF(F332="","",INDEX(#REF!,MATCH(F332,#REF!,0)))</f>
        <v>#REF!</v>
      </c>
      <c r="F332" s="222" t="s">
        <v>7</v>
      </c>
      <c r="G332" s="222" t="s">
        <v>4495</v>
      </c>
      <c r="H332" s="223">
        <v>2</v>
      </c>
      <c r="I332" s="222" t="s">
        <v>5465</v>
      </c>
      <c r="J332" s="222" t="s">
        <v>5466</v>
      </c>
      <c r="K332" s="222" t="s">
        <v>5467</v>
      </c>
      <c r="L332" s="222">
        <v>12250</v>
      </c>
      <c r="M332" s="222">
        <v>12500</v>
      </c>
      <c r="N332" s="222" t="s">
        <v>11</v>
      </c>
      <c r="O332" s="222" t="s">
        <v>9</v>
      </c>
      <c r="P332" s="224"/>
      <c r="Q332" s="224"/>
      <c r="R332" s="224"/>
      <c r="S332" s="224"/>
      <c r="T332" s="224"/>
      <c r="U332" s="224"/>
      <c r="V332" s="224"/>
      <c r="W332" s="224"/>
      <c r="X332" s="224"/>
      <c r="Y332" s="222">
        <v>12094</v>
      </c>
      <c r="Z332" s="222">
        <v>12500</v>
      </c>
      <c r="AA332" s="224"/>
      <c r="AB332" s="224"/>
      <c r="AC332" s="224"/>
      <c r="AD332" s="224"/>
      <c r="AE332" s="224"/>
      <c r="AF332" s="224"/>
      <c r="AG332" s="224"/>
      <c r="AH332" s="224"/>
      <c r="AI332" s="224"/>
      <c r="AJ332" s="126"/>
      <c r="AK332" s="126"/>
      <c r="AL332" s="126"/>
      <c r="AM332" s="126"/>
      <c r="AN332" s="126"/>
    </row>
    <row r="333" spans="1:40" ht="15.75" customHeight="1">
      <c r="A333" s="221">
        <f t="shared" si="2"/>
        <v>327</v>
      </c>
      <c r="B333" s="222" t="s">
        <v>5449</v>
      </c>
      <c r="C333" s="222" t="s">
        <v>5</v>
      </c>
      <c r="D333" s="222" t="e">
        <f t="array" ref="D333">IF(F333="","",INDEX(#REF!,MATCH(F333,#REF!,0)))</f>
        <v>#REF!</v>
      </c>
      <c r="E333" s="222" t="e">
        <f t="array" ref="E333">IF(F333="","",INDEX(#REF!,MATCH(F333,#REF!,0)))</f>
        <v>#REF!</v>
      </c>
      <c r="F333" s="222" t="s">
        <v>7</v>
      </c>
      <c r="G333" s="222" t="s">
        <v>4499</v>
      </c>
      <c r="H333" s="223">
        <v>2.1</v>
      </c>
      <c r="I333" s="222" t="s">
        <v>5468</v>
      </c>
      <c r="J333" s="222" t="s">
        <v>5469</v>
      </c>
      <c r="K333" s="222" t="s">
        <v>5470</v>
      </c>
      <c r="L333" s="222">
        <v>1400</v>
      </c>
      <c r="M333" s="222">
        <v>1400</v>
      </c>
      <c r="N333" s="222" t="s">
        <v>11</v>
      </c>
      <c r="O333" s="222" t="s">
        <v>9</v>
      </c>
      <c r="P333" s="224"/>
      <c r="Q333" s="224">
        <v>2997.08</v>
      </c>
      <c r="R333" s="224">
        <v>1500</v>
      </c>
      <c r="S333" s="224"/>
      <c r="T333" s="224"/>
      <c r="U333" s="224"/>
      <c r="V333" s="224"/>
      <c r="W333" s="224"/>
      <c r="X333" s="224"/>
      <c r="Y333" s="222">
        <v>5147</v>
      </c>
      <c r="Z333" s="222">
        <v>1400</v>
      </c>
      <c r="AA333" s="224"/>
      <c r="AB333" s="224">
        <v>1997.08</v>
      </c>
      <c r="AC333" s="224">
        <v>0</v>
      </c>
      <c r="AD333" s="224"/>
      <c r="AE333" s="224"/>
      <c r="AF333" s="224"/>
      <c r="AG333" s="224"/>
      <c r="AH333" s="224"/>
      <c r="AI333" s="224"/>
      <c r="AJ333" s="126"/>
      <c r="AK333" s="126"/>
      <c r="AL333" s="126"/>
      <c r="AM333" s="126"/>
      <c r="AN333" s="126"/>
    </row>
    <row r="334" spans="1:40" ht="15.75" customHeight="1">
      <c r="A334" s="221">
        <f t="shared" si="2"/>
        <v>328</v>
      </c>
      <c r="B334" s="222" t="s">
        <v>5449</v>
      </c>
      <c r="C334" s="222" t="s">
        <v>5</v>
      </c>
      <c r="D334" s="222" t="e">
        <f t="array" ref="D334">IF(F334="","",INDEX(#REF!,MATCH(F334,#REF!,0)))</f>
        <v>#REF!</v>
      </c>
      <c r="E334" s="222" t="e">
        <f t="array" ref="E334">IF(F334="","",INDEX(#REF!,MATCH(F334,#REF!,0)))</f>
        <v>#REF!</v>
      </c>
      <c r="F334" s="222" t="s">
        <v>7</v>
      </c>
      <c r="G334" s="222" t="s">
        <v>4499</v>
      </c>
      <c r="H334" s="223">
        <v>2.2000000000000002</v>
      </c>
      <c r="I334" s="222" t="s">
        <v>5471</v>
      </c>
      <c r="J334" s="222" t="s">
        <v>5472</v>
      </c>
      <c r="K334" s="222" t="s">
        <v>5473</v>
      </c>
      <c r="L334" s="222">
        <v>12</v>
      </c>
      <c r="M334" s="222">
        <v>610</v>
      </c>
      <c r="N334" s="222" t="s">
        <v>11</v>
      </c>
      <c r="O334" s="222" t="s">
        <v>9</v>
      </c>
      <c r="P334" s="224"/>
      <c r="Q334" s="224">
        <v>5456.33</v>
      </c>
      <c r="R334" s="224">
        <v>30000</v>
      </c>
      <c r="S334" s="224"/>
      <c r="T334" s="224"/>
      <c r="U334" s="224"/>
      <c r="V334" s="224"/>
      <c r="W334" s="224"/>
      <c r="X334" s="224"/>
      <c r="Y334" s="222">
        <v>1297</v>
      </c>
      <c r="Z334" s="222">
        <v>610</v>
      </c>
      <c r="AA334" s="224"/>
      <c r="AB334" s="224">
        <v>3456.33</v>
      </c>
      <c r="AC334" s="224">
        <v>0</v>
      </c>
      <c r="AD334" s="224"/>
      <c r="AE334" s="224"/>
      <c r="AF334" s="224"/>
      <c r="AG334" s="224"/>
      <c r="AH334" s="224"/>
      <c r="AI334" s="224"/>
      <c r="AJ334" s="126"/>
      <c r="AK334" s="126"/>
      <c r="AL334" s="126"/>
      <c r="AM334" s="126"/>
      <c r="AN334" s="126"/>
    </row>
    <row r="335" spans="1:40" ht="15.75" customHeight="1">
      <c r="A335" s="221">
        <f t="shared" si="2"/>
        <v>329</v>
      </c>
      <c r="B335" s="222" t="s">
        <v>5449</v>
      </c>
      <c r="C335" s="222" t="s">
        <v>5</v>
      </c>
      <c r="D335" s="222" t="e">
        <f t="array" ref="D335">IF(F335="","",INDEX(#REF!,MATCH(F335,#REF!,0)))</f>
        <v>#REF!</v>
      </c>
      <c r="E335" s="222" t="e">
        <f t="array" ref="E335">IF(F335="","",INDEX(#REF!,MATCH(F335,#REF!,0)))</f>
        <v>#REF!</v>
      </c>
      <c r="F335" s="222" t="s">
        <v>7</v>
      </c>
      <c r="G335" s="222" t="s">
        <v>4495</v>
      </c>
      <c r="H335" s="223">
        <v>3</v>
      </c>
      <c r="I335" s="222" t="s">
        <v>5474</v>
      </c>
      <c r="J335" s="222" t="s">
        <v>5475</v>
      </c>
      <c r="K335" s="222" t="s">
        <v>5476</v>
      </c>
      <c r="L335" s="222">
        <v>15</v>
      </c>
      <c r="M335" s="222">
        <v>15</v>
      </c>
      <c r="N335" s="222" t="s">
        <v>11</v>
      </c>
      <c r="O335" s="222" t="s">
        <v>9</v>
      </c>
      <c r="P335" s="224"/>
      <c r="Q335" s="224"/>
      <c r="R335" s="224"/>
      <c r="S335" s="224"/>
      <c r="T335" s="224"/>
      <c r="U335" s="224"/>
      <c r="V335" s="224"/>
      <c r="W335" s="224"/>
      <c r="X335" s="224"/>
      <c r="Y335" s="222">
        <v>20</v>
      </c>
      <c r="Z335" s="222">
        <v>15</v>
      </c>
      <c r="AA335" s="224"/>
      <c r="AB335" s="224"/>
      <c r="AC335" s="224"/>
      <c r="AD335" s="224"/>
      <c r="AE335" s="224"/>
      <c r="AF335" s="224"/>
      <c r="AG335" s="224"/>
      <c r="AH335" s="224"/>
      <c r="AI335" s="224"/>
      <c r="AJ335" s="126"/>
      <c r="AK335" s="126"/>
      <c r="AL335" s="126"/>
      <c r="AM335" s="126"/>
      <c r="AN335" s="126"/>
    </row>
    <row r="336" spans="1:40" ht="15.75" customHeight="1">
      <c r="A336" s="221">
        <f t="shared" si="2"/>
        <v>330</v>
      </c>
      <c r="B336" s="222" t="s">
        <v>5449</v>
      </c>
      <c r="C336" s="222" t="s">
        <v>5</v>
      </c>
      <c r="D336" s="222" t="e">
        <f t="array" ref="D336">IF(F336="","",INDEX(#REF!,MATCH(F336,#REF!,0)))</f>
        <v>#REF!</v>
      </c>
      <c r="E336" s="222" t="e">
        <f t="array" ref="E336">IF(F336="","",INDEX(#REF!,MATCH(F336,#REF!,0)))</f>
        <v>#REF!</v>
      </c>
      <c r="F336" s="222" t="s">
        <v>7</v>
      </c>
      <c r="G336" s="222" t="s">
        <v>4499</v>
      </c>
      <c r="H336" s="223">
        <v>3.1</v>
      </c>
      <c r="I336" s="222" t="s">
        <v>5477</v>
      </c>
      <c r="J336" s="222" t="s">
        <v>5478</v>
      </c>
      <c r="K336" s="222" t="s">
        <v>5479</v>
      </c>
      <c r="L336" s="222">
        <v>625</v>
      </c>
      <c r="M336" s="222">
        <v>12500</v>
      </c>
      <c r="N336" s="222" t="s">
        <v>11</v>
      </c>
      <c r="O336" s="222" t="s">
        <v>9</v>
      </c>
      <c r="P336" s="224">
        <v>19616998.82</v>
      </c>
      <c r="Q336" s="224">
        <v>1000</v>
      </c>
      <c r="R336" s="224">
        <v>0</v>
      </c>
      <c r="S336" s="224"/>
      <c r="T336" s="224">
        <v>213750</v>
      </c>
      <c r="U336" s="224"/>
      <c r="V336" s="224"/>
      <c r="W336" s="224"/>
      <c r="X336" s="224"/>
      <c r="Y336" s="222">
        <v>1476</v>
      </c>
      <c r="Z336" s="222">
        <v>12500</v>
      </c>
      <c r="AA336" s="224">
        <v>5944402.8499999996</v>
      </c>
      <c r="AB336" s="224">
        <v>0</v>
      </c>
      <c r="AC336" s="224">
        <v>0</v>
      </c>
      <c r="AD336" s="224"/>
      <c r="AE336" s="224">
        <v>0</v>
      </c>
      <c r="AF336" s="224"/>
      <c r="AG336" s="224"/>
      <c r="AH336" s="224"/>
      <c r="AI336" s="224"/>
      <c r="AJ336" s="126"/>
      <c r="AK336" s="126"/>
      <c r="AL336" s="126"/>
      <c r="AM336" s="126"/>
      <c r="AN336" s="126"/>
    </row>
    <row r="337" spans="1:40" ht="15.75" customHeight="1">
      <c r="A337" s="221">
        <f t="shared" si="2"/>
        <v>331</v>
      </c>
      <c r="B337" s="222" t="s">
        <v>5449</v>
      </c>
      <c r="C337" s="222" t="s">
        <v>5</v>
      </c>
      <c r="D337" s="222" t="e">
        <f t="array" ref="D337">IF(F337="","",INDEX(#REF!,MATCH(F337,#REF!,0)))</f>
        <v>#REF!</v>
      </c>
      <c r="E337" s="222" t="e">
        <f t="array" ref="E337">IF(F337="","",INDEX(#REF!,MATCH(F337,#REF!,0)))</f>
        <v>#REF!</v>
      </c>
      <c r="F337" s="222" t="s">
        <v>7</v>
      </c>
      <c r="G337" s="222" t="s">
        <v>4499</v>
      </c>
      <c r="H337" s="223">
        <v>3.2</v>
      </c>
      <c r="I337" s="222" t="s">
        <v>5480</v>
      </c>
      <c r="J337" s="222" t="s">
        <v>5481</v>
      </c>
      <c r="K337" s="222" t="s">
        <v>5482</v>
      </c>
      <c r="L337" s="222">
        <v>2</v>
      </c>
      <c r="M337" s="222">
        <v>2</v>
      </c>
      <c r="N337" s="222" t="s">
        <v>13</v>
      </c>
      <c r="O337" s="222" t="s">
        <v>9</v>
      </c>
      <c r="P337" s="224"/>
      <c r="Q337" s="224"/>
      <c r="R337" s="224">
        <v>65047.199999999997</v>
      </c>
      <c r="S337" s="224"/>
      <c r="T337" s="224"/>
      <c r="U337" s="224"/>
      <c r="V337" s="224"/>
      <c r="W337" s="224"/>
      <c r="X337" s="224"/>
      <c r="Y337" s="222">
        <v>5</v>
      </c>
      <c r="Z337" s="222">
        <v>2</v>
      </c>
      <c r="AA337" s="224"/>
      <c r="AB337" s="224"/>
      <c r="AC337" s="224">
        <v>1641.2</v>
      </c>
      <c r="AD337" s="224"/>
      <c r="AE337" s="224"/>
      <c r="AF337" s="224"/>
      <c r="AG337" s="224"/>
      <c r="AH337" s="224"/>
      <c r="AI337" s="224"/>
      <c r="AJ337" s="126"/>
      <c r="AK337" s="126"/>
      <c r="AL337" s="126"/>
      <c r="AM337" s="126"/>
      <c r="AN337" s="126"/>
    </row>
    <row r="338" spans="1:40" ht="15.75" customHeight="1">
      <c r="A338" s="221">
        <f t="shared" si="2"/>
        <v>332</v>
      </c>
      <c r="B338" s="222" t="s">
        <v>5449</v>
      </c>
      <c r="C338" s="222" t="s">
        <v>5</v>
      </c>
      <c r="D338" s="222" t="e">
        <f t="array" ref="D338">IF(F338="","",INDEX(#REF!,MATCH(F338,#REF!,0)))</f>
        <v>#REF!</v>
      </c>
      <c r="E338" s="222" t="e">
        <f t="array" ref="E338">IF(F338="","",INDEX(#REF!,MATCH(F338,#REF!,0)))</f>
        <v>#REF!</v>
      </c>
      <c r="F338" s="222" t="s">
        <v>7</v>
      </c>
      <c r="G338" s="222" t="s">
        <v>4495</v>
      </c>
      <c r="H338" s="223">
        <v>4</v>
      </c>
      <c r="I338" s="222" t="s">
        <v>5483</v>
      </c>
      <c r="J338" s="222" t="s">
        <v>5484</v>
      </c>
      <c r="K338" s="222" t="s">
        <v>5485</v>
      </c>
      <c r="L338" s="222">
        <v>32</v>
      </c>
      <c r="M338" s="222">
        <v>40</v>
      </c>
      <c r="N338" s="222" t="s">
        <v>11</v>
      </c>
      <c r="O338" s="222" t="s">
        <v>9</v>
      </c>
      <c r="P338" s="224"/>
      <c r="Q338" s="224"/>
      <c r="R338" s="224"/>
      <c r="S338" s="224"/>
      <c r="T338" s="224"/>
      <c r="U338" s="224"/>
      <c r="V338" s="224"/>
      <c r="W338" s="224"/>
      <c r="X338" s="224"/>
      <c r="Y338" s="222">
        <v>106</v>
      </c>
      <c r="Z338" s="222">
        <v>40</v>
      </c>
      <c r="AA338" s="224"/>
      <c r="AB338" s="224"/>
      <c r="AC338" s="224"/>
      <c r="AD338" s="224"/>
      <c r="AE338" s="224"/>
      <c r="AF338" s="224"/>
      <c r="AG338" s="224"/>
      <c r="AH338" s="224"/>
      <c r="AI338" s="224"/>
      <c r="AJ338" s="126"/>
      <c r="AK338" s="126"/>
      <c r="AL338" s="126"/>
      <c r="AM338" s="126"/>
      <c r="AN338" s="126"/>
    </row>
    <row r="339" spans="1:40" ht="15.75" customHeight="1">
      <c r="A339" s="221">
        <f t="shared" si="2"/>
        <v>333</v>
      </c>
      <c r="B339" s="222" t="s">
        <v>5449</v>
      </c>
      <c r="C339" s="222" t="s">
        <v>5</v>
      </c>
      <c r="D339" s="222" t="e">
        <f t="array" ref="D339">IF(F339="","",INDEX(#REF!,MATCH(F339,#REF!,0)))</f>
        <v>#REF!</v>
      </c>
      <c r="E339" s="222" t="e">
        <f t="array" ref="E339">IF(F339="","",INDEX(#REF!,MATCH(F339,#REF!,0)))</f>
        <v>#REF!</v>
      </c>
      <c r="F339" s="222" t="s">
        <v>7</v>
      </c>
      <c r="G339" s="222" t="s">
        <v>4499</v>
      </c>
      <c r="H339" s="223">
        <v>4.0999999999999996</v>
      </c>
      <c r="I339" s="222" t="s">
        <v>5486</v>
      </c>
      <c r="J339" s="222" t="s">
        <v>5487</v>
      </c>
      <c r="K339" s="222" t="s">
        <v>5488</v>
      </c>
      <c r="L339" s="222">
        <v>7</v>
      </c>
      <c r="M339" s="222">
        <v>7</v>
      </c>
      <c r="N339" s="222" t="s">
        <v>11</v>
      </c>
      <c r="O339" s="222" t="s">
        <v>14</v>
      </c>
      <c r="P339" s="224">
        <v>8150419.8399999989</v>
      </c>
      <c r="Q339" s="224"/>
      <c r="R339" s="224"/>
      <c r="S339" s="224"/>
      <c r="T339" s="224">
        <v>210000</v>
      </c>
      <c r="U339" s="224"/>
      <c r="V339" s="224"/>
      <c r="W339" s="224"/>
      <c r="X339" s="224"/>
      <c r="Y339" s="222">
        <v>14</v>
      </c>
      <c r="Z339" s="222">
        <v>7</v>
      </c>
      <c r="AA339" s="224">
        <v>3695980.6999999997</v>
      </c>
      <c r="AB339" s="224"/>
      <c r="AC339" s="224"/>
      <c r="AD339" s="224"/>
      <c r="AE339" s="224">
        <v>0</v>
      </c>
      <c r="AF339" s="224"/>
      <c r="AG339" s="224"/>
      <c r="AH339" s="224"/>
      <c r="AI339" s="224"/>
      <c r="AJ339" s="126"/>
      <c r="AK339" s="126"/>
      <c r="AL339" s="126"/>
      <c r="AM339" s="126"/>
      <c r="AN339" s="126"/>
    </row>
    <row r="340" spans="1:40" ht="15.75" customHeight="1">
      <c r="A340" s="221">
        <f t="shared" si="2"/>
        <v>334</v>
      </c>
      <c r="B340" s="222" t="s">
        <v>5449</v>
      </c>
      <c r="C340" s="222" t="s">
        <v>5</v>
      </c>
      <c r="D340" s="222" t="e">
        <f t="array" ref="D340">IF(F340="","",INDEX(#REF!,MATCH(F340,#REF!,0)))</f>
        <v>#REF!</v>
      </c>
      <c r="E340" s="222" t="e">
        <f t="array" ref="E340">IF(F340="","",INDEX(#REF!,MATCH(F340,#REF!,0)))</f>
        <v>#REF!</v>
      </c>
      <c r="F340" s="222" t="s">
        <v>7</v>
      </c>
      <c r="G340" s="222" t="s">
        <v>4499</v>
      </c>
      <c r="H340" s="223">
        <v>4.2</v>
      </c>
      <c r="I340" s="222" t="s">
        <v>5489</v>
      </c>
      <c r="J340" s="222" t="s">
        <v>5490</v>
      </c>
      <c r="K340" s="222" t="s">
        <v>5491</v>
      </c>
      <c r="L340" s="222">
        <v>40</v>
      </c>
      <c r="M340" s="222">
        <v>80</v>
      </c>
      <c r="N340" s="222" t="s">
        <v>11</v>
      </c>
      <c r="O340" s="222" t="s">
        <v>9</v>
      </c>
      <c r="P340" s="224">
        <v>3877477.7299999995</v>
      </c>
      <c r="Q340" s="224"/>
      <c r="R340" s="224"/>
      <c r="S340" s="224"/>
      <c r="T340" s="224">
        <v>125000</v>
      </c>
      <c r="U340" s="224"/>
      <c r="V340" s="224"/>
      <c r="W340" s="224"/>
      <c r="X340" s="224"/>
      <c r="Y340" s="222">
        <v>73</v>
      </c>
      <c r="Z340" s="222">
        <v>80</v>
      </c>
      <c r="AA340" s="224">
        <v>1203138.1600000004</v>
      </c>
      <c r="AB340" s="224"/>
      <c r="AC340" s="224"/>
      <c r="AD340" s="224"/>
      <c r="AE340" s="224">
        <v>0</v>
      </c>
      <c r="AF340" s="224"/>
      <c r="AG340" s="224"/>
      <c r="AH340" s="224"/>
      <c r="AI340" s="224"/>
      <c r="AJ340" s="126"/>
      <c r="AK340" s="126"/>
      <c r="AL340" s="126"/>
      <c r="AM340" s="126"/>
      <c r="AN340" s="126"/>
    </row>
    <row r="341" spans="1:40" ht="15.75" customHeight="1">
      <c r="A341" s="221">
        <f t="shared" si="2"/>
        <v>335</v>
      </c>
      <c r="B341" s="222" t="s">
        <v>5449</v>
      </c>
      <c r="C341" s="222" t="s">
        <v>5</v>
      </c>
      <c r="D341" s="222" t="e">
        <f t="array" ref="D341">IF(F341="","",INDEX(#REF!,MATCH(F341,#REF!,0)))</f>
        <v>#REF!</v>
      </c>
      <c r="E341" s="222" t="e">
        <f t="array" ref="E341">IF(F341="","",INDEX(#REF!,MATCH(F341,#REF!,0)))</f>
        <v>#REF!</v>
      </c>
      <c r="F341" s="222" t="s">
        <v>7</v>
      </c>
      <c r="G341" s="222" t="s">
        <v>4499</v>
      </c>
      <c r="H341" s="223">
        <v>4.3</v>
      </c>
      <c r="I341" s="222" t="s">
        <v>5492</v>
      </c>
      <c r="J341" s="222" t="s">
        <v>5493</v>
      </c>
      <c r="K341" s="222" t="s">
        <v>5494</v>
      </c>
      <c r="L341" s="222">
        <v>56</v>
      </c>
      <c r="M341" s="222">
        <v>160</v>
      </c>
      <c r="N341" s="222" t="s">
        <v>11</v>
      </c>
      <c r="O341" s="222" t="s">
        <v>9</v>
      </c>
      <c r="P341" s="224"/>
      <c r="Q341" s="224"/>
      <c r="R341" s="224">
        <v>0</v>
      </c>
      <c r="S341" s="224"/>
      <c r="T341" s="224"/>
      <c r="U341" s="224"/>
      <c r="V341" s="224"/>
      <c r="W341" s="224"/>
      <c r="X341" s="224"/>
      <c r="Y341" s="222">
        <v>106</v>
      </c>
      <c r="Z341" s="222">
        <v>160</v>
      </c>
      <c r="AA341" s="224"/>
      <c r="AB341" s="224"/>
      <c r="AC341" s="224">
        <v>0</v>
      </c>
      <c r="AD341" s="224"/>
      <c r="AE341" s="224"/>
      <c r="AF341" s="224"/>
      <c r="AG341" s="224"/>
      <c r="AH341" s="224"/>
      <c r="AI341" s="224"/>
      <c r="AJ341" s="126"/>
      <c r="AK341" s="126"/>
      <c r="AL341" s="126"/>
      <c r="AM341" s="126"/>
      <c r="AN341" s="126"/>
    </row>
    <row r="342" spans="1:40" ht="15.75" customHeight="1">
      <c r="A342" s="221">
        <f t="shared" si="2"/>
        <v>336</v>
      </c>
      <c r="B342" s="222" t="s">
        <v>5449</v>
      </c>
      <c r="C342" s="222" t="s">
        <v>5</v>
      </c>
      <c r="D342" s="222" t="e">
        <f t="array" ref="D342">IF(F342="","",INDEX(#REF!,MATCH(F342,#REF!,0)))</f>
        <v>#REF!</v>
      </c>
      <c r="E342" s="222" t="e">
        <f t="array" ref="E342">IF(F342="","",INDEX(#REF!,MATCH(F342,#REF!,0)))</f>
        <v>#REF!</v>
      </c>
      <c r="F342" s="222" t="s">
        <v>7</v>
      </c>
      <c r="G342" s="222" t="s">
        <v>4499</v>
      </c>
      <c r="H342" s="223">
        <v>4.4000000000000004</v>
      </c>
      <c r="I342" s="222" t="s">
        <v>5495</v>
      </c>
      <c r="J342" s="222" t="s">
        <v>5496</v>
      </c>
      <c r="K342" s="222" t="s">
        <v>5497</v>
      </c>
      <c r="L342" s="222">
        <v>40</v>
      </c>
      <c r="M342" s="222">
        <v>40</v>
      </c>
      <c r="N342" s="222" t="s">
        <v>11</v>
      </c>
      <c r="O342" s="222" t="s">
        <v>9</v>
      </c>
      <c r="P342" s="224"/>
      <c r="Q342" s="224"/>
      <c r="R342" s="224"/>
      <c r="S342" s="224"/>
      <c r="T342" s="224">
        <v>30000</v>
      </c>
      <c r="U342" s="224"/>
      <c r="V342" s="224"/>
      <c r="W342" s="224"/>
      <c r="X342" s="224"/>
      <c r="Y342" s="222">
        <v>18</v>
      </c>
      <c r="Z342" s="222">
        <v>40</v>
      </c>
      <c r="AA342" s="224"/>
      <c r="AB342" s="224"/>
      <c r="AC342" s="224"/>
      <c r="AD342" s="224"/>
      <c r="AE342" s="224">
        <v>2049.5</v>
      </c>
      <c r="AF342" s="224"/>
      <c r="AG342" s="224"/>
      <c r="AH342" s="224"/>
      <c r="AI342" s="224"/>
      <c r="AJ342" s="126"/>
      <c r="AK342" s="126"/>
      <c r="AL342" s="126"/>
      <c r="AM342" s="126"/>
      <c r="AN342" s="126"/>
    </row>
    <row r="343" spans="1:40" ht="15.75" customHeight="1">
      <c r="A343" s="221">
        <f t="shared" si="2"/>
        <v>337</v>
      </c>
      <c r="B343" s="222" t="s">
        <v>5449</v>
      </c>
      <c r="C343" s="222" t="s">
        <v>5</v>
      </c>
      <c r="D343" s="222" t="e">
        <f t="array" ref="D343">IF(F343="","",INDEX(#REF!,MATCH(F343,#REF!,0)))</f>
        <v>#REF!</v>
      </c>
      <c r="E343" s="222" t="e">
        <f t="array" ref="E343">IF(F343="","",INDEX(#REF!,MATCH(F343,#REF!,0)))</f>
        <v>#REF!</v>
      </c>
      <c r="F343" s="222" t="s">
        <v>7</v>
      </c>
      <c r="G343" s="222" t="s">
        <v>4499</v>
      </c>
      <c r="H343" s="223">
        <v>4.5</v>
      </c>
      <c r="I343" s="222" t="s">
        <v>5498</v>
      </c>
      <c r="J343" s="222" t="s">
        <v>5499</v>
      </c>
      <c r="K343" s="222" t="s">
        <v>5500</v>
      </c>
      <c r="L343" s="222">
        <v>30</v>
      </c>
      <c r="M343" s="222">
        <v>30</v>
      </c>
      <c r="N343" s="222" t="s">
        <v>11</v>
      </c>
      <c r="O343" s="222" t="s">
        <v>9</v>
      </c>
      <c r="P343" s="224"/>
      <c r="Q343" s="224">
        <v>0</v>
      </c>
      <c r="R343" s="224"/>
      <c r="S343" s="224"/>
      <c r="T343" s="224"/>
      <c r="U343" s="224"/>
      <c r="V343" s="224"/>
      <c r="W343" s="224"/>
      <c r="X343" s="224"/>
      <c r="Y343" s="222">
        <v>23</v>
      </c>
      <c r="Z343" s="222">
        <v>30</v>
      </c>
      <c r="AA343" s="224"/>
      <c r="AB343" s="224">
        <v>0</v>
      </c>
      <c r="AC343" s="224"/>
      <c r="AD343" s="224"/>
      <c r="AE343" s="224"/>
      <c r="AF343" s="224"/>
      <c r="AG343" s="224"/>
      <c r="AH343" s="224"/>
      <c r="AI343" s="224"/>
      <c r="AJ343" s="126"/>
      <c r="AK343" s="126"/>
      <c r="AL343" s="126"/>
      <c r="AM343" s="126"/>
      <c r="AN343" s="126"/>
    </row>
    <row r="344" spans="1:40" ht="15.75" customHeight="1">
      <c r="A344" s="221">
        <f t="shared" si="2"/>
        <v>338</v>
      </c>
      <c r="B344" s="222" t="s">
        <v>5449</v>
      </c>
      <c r="C344" s="222" t="s">
        <v>5</v>
      </c>
      <c r="D344" s="222" t="e">
        <f t="array" ref="D344">IF(F344="","",INDEX(#REF!,MATCH(F344,#REF!,0)))</f>
        <v>#REF!</v>
      </c>
      <c r="E344" s="222" t="e">
        <f t="array" ref="E344">IF(F344="","",INDEX(#REF!,MATCH(F344,#REF!,0)))</f>
        <v>#REF!</v>
      </c>
      <c r="F344" s="222" t="s">
        <v>7</v>
      </c>
      <c r="G344" s="222" t="s">
        <v>4495</v>
      </c>
      <c r="H344" s="223">
        <v>5</v>
      </c>
      <c r="I344" s="222" t="s">
        <v>5501</v>
      </c>
      <c r="J344" s="222" t="s">
        <v>5502</v>
      </c>
      <c r="K344" s="222" t="s">
        <v>5503</v>
      </c>
      <c r="L344" s="222">
        <v>6</v>
      </c>
      <c r="M344" s="222">
        <v>6</v>
      </c>
      <c r="N344" s="222" t="s">
        <v>11</v>
      </c>
      <c r="O344" s="222" t="s">
        <v>9</v>
      </c>
      <c r="P344" s="224"/>
      <c r="Q344" s="224"/>
      <c r="R344" s="224"/>
      <c r="S344" s="224"/>
      <c r="T344" s="224"/>
      <c r="U344" s="224"/>
      <c r="V344" s="224"/>
      <c r="W344" s="224"/>
      <c r="X344" s="224"/>
      <c r="Y344" s="222">
        <v>3</v>
      </c>
      <c r="Z344" s="222">
        <v>6</v>
      </c>
      <c r="AA344" s="224"/>
      <c r="AB344" s="224"/>
      <c r="AC344" s="224"/>
      <c r="AD344" s="224"/>
      <c r="AE344" s="224"/>
      <c r="AF344" s="224"/>
      <c r="AG344" s="224"/>
      <c r="AH344" s="224"/>
      <c r="AI344" s="224"/>
      <c r="AJ344" s="126"/>
      <c r="AK344" s="126"/>
      <c r="AL344" s="126"/>
      <c r="AM344" s="126"/>
      <c r="AN344" s="126"/>
    </row>
    <row r="345" spans="1:40" ht="15.75" customHeight="1">
      <c r="A345" s="221">
        <f t="shared" si="2"/>
        <v>339</v>
      </c>
      <c r="B345" s="222" t="s">
        <v>5449</v>
      </c>
      <c r="C345" s="222" t="s">
        <v>5</v>
      </c>
      <c r="D345" s="222" t="e">
        <f t="array" ref="D345">IF(F345="","",INDEX(#REF!,MATCH(F345,#REF!,0)))</f>
        <v>#REF!</v>
      </c>
      <c r="E345" s="222" t="e">
        <f t="array" ref="E345">IF(F345="","",INDEX(#REF!,MATCH(F345,#REF!,0)))</f>
        <v>#REF!</v>
      </c>
      <c r="F345" s="222" t="s">
        <v>7</v>
      </c>
      <c r="G345" s="222" t="s">
        <v>4499</v>
      </c>
      <c r="H345" s="223">
        <v>5.0999999999999996</v>
      </c>
      <c r="I345" s="222" t="s">
        <v>5504</v>
      </c>
      <c r="J345" s="222" t="s">
        <v>5505</v>
      </c>
      <c r="K345" s="222" t="s">
        <v>5506</v>
      </c>
      <c r="L345" s="222">
        <v>3</v>
      </c>
      <c r="M345" s="222">
        <v>3</v>
      </c>
      <c r="N345" s="222" t="s">
        <v>11</v>
      </c>
      <c r="O345" s="222" t="s">
        <v>9</v>
      </c>
      <c r="P345" s="224"/>
      <c r="Q345" s="224">
        <v>4321.63</v>
      </c>
      <c r="R345" s="224"/>
      <c r="S345" s="224"/>
      <c r="T345" s="224">
        <v>7000</v>
      </c>
      <c r="U345" s="224"/>
      <c r="V345" s="224"/>
      <c r="W345" s="224"/>
      <c r="X345" s="224"/>
      <c r="Y345" s="222">
        <v>1</v>
      </c>
      <c r="Z345" s="222">
        <v>3</v>
      </c>
      <c r="AA345" s="224"/>
      <c r="AB345" s="224">
        <v>321.63</v>
      </c>
      <c r="AC345" s="224"/>
      <c r="AD345" s="224"/>
      <c r="AE345" s="224">
        <v>0</v>
      </c>
      <c r="AF345" s="224"/>
      <c r="AG345" s="224"/>
      <c r="AH345" s="224"/>
      <c r="AI345" s="224"/>
      <c r="AJ345" s="126"/>
      <c r="AK345" s="126"/>
      <c r="AL345" s="126"/>
      <c r="AM345" s="126"/>
      <c r="AN345" s="126"/>
    </row>
    <row r="346" spans="1:40" ht="15.75" customHeight="1">
      <c r="A346" s="221">
        <f t="shared" si="2"/>
        <v>340</v>
      </c>
      <c r="B346" s="222" t="s">
        <v>5449</v>
      </c>
      <c r="C346" s="222" t="s">
        <v>5</v>
      </c>
      <c r="D346" s="222" t="e">
        <f t="array" ref="D346">IF(F346="","",INDEX(#REF!,MATCH(F346,#REF!,0)))</f>
        <v>#REF!</v>
      </c>
      <c r="E346" s="222" t="e">
        <f t="array" ref="E346">IF(F346="","",INDEX(#REF!,MATCH(F346,#REF!,0)))</f>
        <v>#REF!</v>
      </c>
      <c r="F346" s="222" t="s">
        <v>7</v>
      </c>
      <c r="G346" s="222" t="s">
        <v>4499</v>
      </c>
      <c r="H346" s="223">
        <v>5.2</v>
      </c>
      <c r="I346" s="222" t="s">
        <v>5507</v>
      </c>
      <c r="J346" s="222" t="s">
        <v>5508</v>
      </c>
      <c r="K346" s="222" t="s">
        <v>5509</v>
      </c>
      <c r="L346" s="222">
        <v>1</v>
      </c>
      <c r="M346" s="222">
        <v>1</v>
      </c>
      <c r="N346" s="222" t="s">
        <v>11</v>
      </c>
      <c r="O346" s="222" t="s">
        <v>9</v>
      </c>
      <c r="P346" s="224"/>
      <c r="Q346" s="224">
        <v>2000</v>
      </c>
      <c r="R346" s="224">
        <v>32929.26</v>
      </c>
      <c r="S346" s="224"/>
      <c r="T346" s="224"/>
      <c r="U346" s="224"/>
      <c r="V346" s="224"/>
      <c r="W346" s="224"/>
      <c r="X346" s="224"/>
      <c r="Y346" s="222">
        <v>3</v>
      </c>
      <c r="Z346" s="222">
        <v>1</v>
      </c>
      <c r="AA346" s="224"/>
      <c r="AB346" s="224">
        <v>0</v>
      </c>
      <c r="AC346" s="224">
        <v>2929.26</v>
      </c>
      <c r="AD346" s="224"/>
      <c r="AE346" s="224"/>
      <c r="AF346" s="224"/>
      <c r="AG346" s="224"/>
      <c r="AH346" s="224"/>
      <c r="AI346" s="224"/>
      <c r="AJ346" s="126"/>
      <c r="AK346" s="126"/>
      <c r="AL346" s="126"/>
      <c r="AM346" s="126"/>
      <c r="AN346" s="126"/>
    </row>
    <row r="347" spans="1:40" ht="15.75" customHeight="1">
      <c r="A347" s="221">
        <f t="shared" si="2"/>
        <v>341</v>
      </c>
      <c r="B347" s="222" t="s">
        <v>5510</v>
      </c>
      <c r="C347" s="222" t="s">
        <v>5</v>
      </c>
      <c r="D347" s="222" t="e">
        <f t="array" ref="D347">IF(F347="","",INDEX(#REF!,MATCH(F347,#REF!,0)))</f>
        <v>#REF!</v>
      </c>
      <c r="E347" s="222" t="e">
        <f t="array" ref="E347">IF(F347="","",INDEX(#REF!,MATCH(F347,#REF!,0)))</f>
        <v>#REF!</v>
      </c>
      <c r="F347" s="222" t="s">
        <v>26</v>
      </c>
      <c r="G347" s="222" t="s">
        <v>0</v>
      </c>
      <c r="H347" s="223" t="s">
        <v>4487</v>
      </c>
      <c r="I347" s="222" t="s">
        <v>5511</v>
      </c>
      <c r="J347" s="222" t="s">
        <v>5512</v>
      </c>
      <c r="K347" s="222" t="s">
        <v>5513</v>
      </c>
      <c r="L347" s="222">
        <v>73440</v>
      </c>
      <c r="M347" s="222">
        <v>73440</v>
      </c>
      <c r="N347" s="222" t="s">
        <v>11</v>
      </c>
      <c r="O347" s="222" t="s">
        <v>9</v>
      </c>
      <c r="P347" s="224"/>
      <c r="Q347" s="224"/>
      <c r="R347" s="224"/>
      <c r="S347" s="224"/>
      <c r="T347" s="224"/>
      <c r="U347" s="224"/>
      <c r="V347" s="224"/>
      <c r="W347" s="224"/>
      <c r="X347" s="224"/>
      <c r="Y347" s="222">
        <v>24103</v>
      </c>
      <c r="Z347" s="222">
        <v>73440</v>
      </c>
      <c r="AA347" s="224"/>
      <c r="AB347" s="224"/>
      <c r="AC347" s="224"/>
      <c r="AD347" s="224"/>
      <c r="AE347" s="224"/>
      <c r="AF347" s="224"/>
      <c r="AG347" s="224"/>
      <c r="AH347" s="224"/>
      <c r="AI347" s="224"/>
      <c r="AJ347" s="126"/>
      <c r="AK347" s="126"/>
      <c r="AL347" s="126"/>
      <c r="AM347" s="126"/>
      <c r="AN347" s="126"/>
    </row>
    <row r="348" spans="1:40" ht="15.75" customHeight="1">
      <c r="A348" s="221">
        <f t="shared" si="2"/>
        <v>342</v>
      </c>
      <c r="B348" s="222" t="s">
        <v>5510</v>
      </c>
      <c r="C348" s="222" t="s">
        <v>5</v>
      </c>
      <c r="D348" s="222" t="e">
        <f t="array" ref="D348">IF(F348="","",INDEX(#REF!,MATCH(F348,#REF!,0)))</f>
        <v>#REF!</v>
      </c>
      <c r="E348" s="222" t="e">
        <f t="array" ref="E348">IF(F348="","",INDEX(#REF!,MATCH(F348,#REF!,0)))</f>
        <v>#REF!</v>
      </c>
      <c r="F348" s="222" t="s">
        <v>26</v>
      </c>
      <c r="G348" s="222" t="s">
        <v>4491</v>
      </c>
      <c r="H348" s="223" t="s">
        <v>4487</v>
      </c>
      <c r="I348" s="222" t="s">
        <v>5514</v>
      </c>
      <c r="J348" s="222" t="s">
        <v>5515</v>
      </c>
      <c r="K348" s="222" t="s">
        <v>5516</v>
      </c>
      <c r="L348" s="222">
        <v>119666</v>
      </c>
      <c r="M348" s="222">
        <v>119666</v>
      </c>
      <c r="N348" s="222" t="s">
        <v>15</v>
      </c>
      <c r="O348" s="222" t="s">
        <v>9</v>
      </c>
      <c r="P348" s="224"/>
      <c r="Q348" s="224"/>
      <c r="R348" s="224"/>
      <c r="S348" s="224"/>
      <c r="T348" s="224"/>
      <c r="U348" s="224"/>
      <c r="V348" s="224"/>
      <c r="W348" s="224"/>
      <c r="X348" s="224"/>
      <c r="Y348" s="222">
        <v>58912</v>
      </c>
      <c r="Z348" s="222">
        <v>119666</v>
      </c>
      <c r="AA348" s="224"/>
      <c r="AB348" s="224"/>
      <c r="AC348" s="224"/>
      <c r="AD348" s="224"/>
      <c r="AE348" s="224"/>
      <c r="AF348" s="224"/>
      <c r="AG348" s="224"/>
      <c r="AH348" s="224"/>
      <c r="AI348" s="224"/>
      <c r="AJ348" s="126"/>
      <c r="AK348" s="126"/>
      <c r="AL348" s="126"/>
      <c r="AM348" s="126"/>
      <c r="AN348" s="126"/>
    </row>
    <row r="349" spans="1:40" ht="15.75" customHeight="1">
      <c r="A349" s="221">
        <f t="shared" si="2"/>
        <v>343</v>
      </c>
      <c r="B349" s="222" t="s">
        <v>5510</v>
      </c>
      <c r="C349" s="222" t="s">
        <v>5</v>
      </c>
      <c r="D349" s="222" t="e">
        <f t="array" ref="D349">IF(F349="","",INDEX(#REF!,MATCH(F349,#REF!,0)))</f>
        <v>#REF!</v>
      </c>
      <c r="E349" s="222" t="e">
        <f t="array" ref="E349">IF(F349="","",INDEX(#REF!,MATCH(F349,#REF!,0)))</f>
        <v>#REF!</v>
      </c>
      <c r="F349" s="222" t="s">
        <v>26</v>
      </c>
      <c r="G349" s="222" t="s">
        <v>4495</v>
      </c>
      <c r="H349" s="223">
        <v>1</v>
      </c>
      <c r="I349" s="222" t="s">
        <v>5517</v>
      </c>
      <c r="J349" s="222" t="s">
        <v>5517</v>
      </c>
      <c r="K349" s="222" t="s">
        <v>5518</v>
      </c>
      <c r="L349" s="222">
        <v>1084661</v>
      </c>
      <c r="M349" s="222">
        <v>1084661</v>
      </c>
      <c r="N349" s="222" t="s">
        <v>11</v>
      </c>
      <c r="O349" s="222" t="s">
        <v>9</v>
      </c>
      <c r="P349" s="224"/>
      <c r="Q349" s="224"/>
      <c r="R349" s="224"/>
      <c r="S349" s="224"/>
      <c r="T349" s="224"/>
      <c r="U349" s="224"/>
      <c r="V349" s="224"/>
      <c r="W349" s="224"/>
      <c r="X349" s="224"/>
      <c r="Y349" s="222">
        <v>1076631</v>
      </c>
      <c r="Z349" s="222">
        <v>1084661</v>
      </c>
      <c r="AA349" s="224"/>
      <c r="AB349" s="224"/>
      <c r="AC349" s="224"/>
      <c r="AD349" s="224"/>
      <c r="AE349" s="224"/>
      <c r="AF349" s="224"/>
      <c r="AG349" s="224"/>
      <c r="AH349" s="224"/>
      <c r="AI349" s="224"/>
      <c r="AJ349" s="126"/>
      <c r="AK349" s="126"/>
      <c r="AL349" s="126"/>
      <c r="AM349" s="126"/>
      <c r="AN349" s="126"/>
    </row>
    <row r="350" spans="1:40" ht="15.75" customHeight="1">
      <c r="A350" s="221">
        <f t="shared" si="2"/>
        <v>344</v>
      </c>
      <c r="B350" s="222" t="s">
        <v>5510</v>
      </c>
      <c r="C350" s="222" t="s">
        <v>5</v>
      </c>
      <c r="D350" s="222" t="e">
        <f t="array" ref="D350">IF(F350="","",INDEX(#REF!,MATCH(F350,#REF!,0)))</f>
        <v>#REF!</v>
      </c>
      <c r="E350" s="222" t="e">
        <f t="array" ref="E350">IF(F350="","",INDEX(#REF!,MATCH(F350,#REF!,0)))</f>
        <v>#REF!</v>
      </c>
      <c r="F350" s="222" t="s">
        <v>26</v>
      </c>
      <c r="G350" s="222" t="s">
        <v>4499</v>
      </c>
      <c r="H350" s="223">
        <v>1.1000000000000001</v>
      </c>
      <c r="I350" s="222" t="s">
        <v>5519</v>
      </c>
      <c r="J350" s="222" t="s">
        <v>5519</v>
      </c>
      <c r="K350" s="222" t="s">
        <v>5520</v>
      </c>
      <c r="L350" s="222">
        <v>4500</v>
      </c>
      <c r="M350" s="222">
        <v>4500</v>
      </c>
      <c r="N350" s="222" t="s">
        <v>11</v>
      </c>
      <c r="O350" s="222" t="s">
        <v>9</v>
      </c>
      <c r="P350" s="224">
        <v>53194218.590000011</v>
      </c>
      <c r="Q350" s="224">
        <v>646680</v>
      </c>
      <c r="R350" s="224"/>
      <c r="S350" s="224"/>
      <c r="T350" s="224">
        <v>350000</v>
      </c>
      <c r="U350" s="224"/>
      <c r="V350" s="224"/>
      <c r="W350" s="224"/>
      <c r="X350" s="224"/>
      <c r="Y350" s="222">
        <v>6176</v>
      </c>
      <c r="Z350" s="222">
        <v>4500</v>
      </c>
      <c r="AA350" s="224">
        <v>22912725.520000003</v>
      </c>
      <c r="AB350" s="224">
        <v>10343.91</v>
      </c>
      <c r="AC350" s="224"/>
      <c r="AD350" s="224"/>
      <c r="AE350" s="224">
        <v>0</v>
      </c>
      <c r="AF350" s="224"/>
      <c r="AG350" s="224"/>
      <c r="AH350" s="224"/>
      <c r="AI350" s="224"/>
      <c r="AJ350" s="126"/>
      <c r="AK350" s="126"/>
      <c r="AL350" s="126"/>
      <c r="AM350" s="126"/>
      <c r="AN350" s="126"/>
    </row>
    <row r="351" spans="1:40" ht="15.75" customHeight="1">
      <c r="A351" s="221">
        <f t="shared" si="2"/>
        <v>345</v>
      </c>
      <c r="B351" s="222" t="s">
        <v>5510</v>
      </c>
      <c r="C351" s="222" t="s">
        <v>5</v>
      </c>
      <c r="D351" s="222" t="e">
        <f t="array" ref="D351">IF(F351="","",INDEX(#REF!,MATCH(F351,#REF!,0)))</f>
        <v>#REF!</v>
      </c>
      <c r="E351" s="222" t="e">
        <f t="array" ref="E351">IF(F351="","",INDEX(#REF!,MATCH(F351,#REF!,0)))</f>
        <v>#REF!</v>
      </c>
      <c r="F351" s="222" t="s">
        <v>26</v>
      </c>
      <c r="G351" s="222" t="s">
        <v>4499</v>
      </c>
      <c r="H351" s="223">
        <v>1.2</v>
      </c>
      <c r="I351" s="222" t="s">
        <v>5521</v>
      </c>
      <c r="J351" s="222" t="s">
        <v>5521</v>
      </c>
      <c r="K351" s="222" t="s">
        <v>5522</v>
      </c>
      <c r="L351" s="222">
        <v>20000</v>
      </c>
      <c r="M351" s="222">
        <v>20000</v>
      </c>
      <c r="N351" s="222" t="s">
        <v>11</v>
      </c>
      <c r="O351" s="222" t="s">
        <v>9</v>
      </c>
      <c r="P351" s="224"/>
      <c r="Q351" s="224">
        <v>197463.67999999999</v>
      </c>
      <c r="R351" s="224">
        <v>2350.8599999999997</v>
      </c>
      <c r="S351" s="224"/>
      <c r="T351" s="224">
        <v>1049301.2000000002</v>
      </c>
      <c r="U351" s="224"/>
      <c r="V351" s="224"/>
      <c r="W351" s="224"/>
      <c r="X351" s="224"/>
      <c r="Y351" s="222">
        <v>12241</v>
      </c>
      <c r="Z351" s="222">
        <v>20000</v>
      </c>
      <c r="AA351" s="224"/>
      <c r="AB351" s="224">
        <v>0</v>
      </c>
      <c r="AC351" s="224">
        <v>0</v>
      </c>
      <c r="AD351" s="224"/>
      <c r="AE351" s="224">
        <v>0</v>
      </c>
      <c r="AF351" s="224"/>
      <c r="AG351" s="224"/>
      <c r="AH351" s="224"/>
      <c r="AI351" s="224"/>
      <c r="AJ351" s="126"/>
      <c r="AK351" s="126"/>
      <c r="AL351" s="126"/>
      <c r="AM351" s="126"/>
      <c r="AN351" s="126"/>
    </row>
    <row r="352" spans="1:40" ht="15.75" customHeight="1">
      <c r="A352" s="221">
        <f t="shared" si="2"/>
        <v>346</v>
      </c>
      <c r="B352" s="222" t="s">
        <v>5510</v>
      </c>
      <c r="C352" s="222" t="s">
        <v>5</v>
      </c>
      <c r="D352" s="222" t="e">
        <f t="array" ref="D352">IF(F352="","",INDEX(#REF!,MATCH(F352,#REF!,0)))</f>
        <v>#REF!</v>
      </c>
      <c r="E352" s="222" t="e">
        <f t="array" ref="E352">IF(F352="","",INDEX(#REF!,MATCH(F352,#REF!,0)))</f>
        <v>#REF!</v>
      </c>
      <c r="F352" s="222" t="s">
        <v>26</v>
      </c>
      <c r="G352" s="222" t="s">
        <v>4499</v>
      </c>
      <c r="H352" s="223">
        <v>1.3</v>
      </c>
      <c r="I352" s="222" t="s">
        <v>5523</v>
      </c>
      <c r="J352" s="222" t="s">
        <v>5523</v>
      </c>
      <c r="K352" s="222" t="s">
        <v>5524</v>
      </c>
      <c r="L352" s="222">
        <v>4000</v>
      </c>
      <c r="M352" s="222">
        <v>4000</v>
      </c>
      <c r="N352" s="222" t="s">
        <v>11</v>
      </c>
      <c r="O352" s="222" t="s">
        <v>9</v>
      </c>
      <c r="P352" s="224"/>
      <c r="Q352" s="224">
        <v>220320.27000000002</v>
      </c>
      <c r="R352" s="224">
        <v>4650</v>
      </c>
      <c r="S352" s="224"/>
      <c r="T352" s="224">
        <v>178400</v>
      </c>
      <c r="U352" s="224"/>
      <c r="V352" s="224"/>
      <c r="W352" s="224"/>
      <c r="X352" s="224"/>
      <c r="Y352" s="222">
        <v>2743</v>
      </c>
      <c r="Z352" s="222">
        <v>4000</v>
      </c>
      <c r="AA352" s="224"/>
      <c r="AB352" s="224">
        <v>0</v>
      </c>
      <c r="AC352" s="224">
        <v>0</v>
      </c>
      <c r="AD352" s="224"/>
      <c r="AE352" s="224">
        <v>0</v>
      </c>
      <c r="AF352" s="224"/>
      <c r="AG352" s="224"/>
      <c r="AH352" s="224"/>
      <c r="AI352" s="224"/>
      <c r="AJ352" s="126"/>
      <c r="AK352" s="126"/>
      <c r="AL352" s="126"/>
      <c r="AM352" s="126"/>
      <c r="AN352" s="126"/>
    </row>
    <row r="353" spans="1:40" ht="15.75" customHeight="1">
      <c r="A353" s="221">
        <f t="shared" si="2"/>
        <v>347</v>
      </c>
      <c r="B353" s="222" t="s">
        <v>5510</v>
      </c>
      <c r="C353" s="222" t="s">
        <v>5</v>
      </c>
      <c r="D353" s="222" t="e">
        <f t="array" ref="D353">IF(F353="","",INDEX(#REF!,MATCH(F353,#REF!,0)))</f>
        <v>#REF!</v>
      </c>
      <c r="E353" s="222" t="e">
        <f t="array" ref="E353">IF(F353="","",INDEX(#REF!,MATCH(F353,#REF!,0)))</f>
        <v>#REF!</v>
      </c>
      <c r="F353" s="222" t="s">
        <v>26</v>
      </c>
      <c r="G353" s="222" t="s">
        <v>4495</v>
      </c>
      <c r="H353" s="223">
        <v>2</v>
      </c>
      <c r="I353" s="222" t="s">
        <v>5525</v>
      </c>
      <c r="J353" s="222" t="s">
        <v>5526</v>
      </c>
      <c r="K353" s="222" t="s">
        <v>5527</v>
      </c>
      <c r="L353" s="222">
        <v>25500</v>
      </c>
      <c r="M353" s="222">
        <v>25500</v>
      </c>
      <c r="N353" s="222" t="s">
        <v>11</v>
      </c>
      <c r="O353" s="222" t="s">
        <v>9</v>
      </c>
      <c r="P353" s="224"/>
      <c r="Q353" s="224"/>
      <c r="R353" s="224"/>
      <c r="S353" s="224"/>
      <c r="T353" s="224"/>
      <c r="U353" s="224"/>
      <c r="V353" s="224"/>
      <c r="W353" s="224"/>
      <c r="X353" s="224"/>
      <c r="Y353" s="222">
        <v>8339.9500000000007</v>
      </c>
      <c r="Z353" s="222">
        <v>25500</v>
      </c>
      <c r="AA353" s="224"/>
      <c r="AB353" s="224"/>
      <c r="AC353" s="224"/>
      <c r="AD353" s="224"/>
      <c r="AE353" s="224"/>
      <c r="AF353" s="224"/>
      <c r="AG353" s="224"/>
      <c r="AH353" s="224"/>
      <c r="AI353" s="224"/>
      <c r="AJ353" s="126"/>
      <c r="AK353" s="126"/>
      <c r="AL353" s="126"/>
      <c r="AM353" s="126"/>
      <c r="AN353" s="126"/>
    </row>
    <row r="354" spans="1:40" ht="15.75" customHeight="1">
      <c r="A354" s="221">
        <f t="shared" si="2"/>
        <v>348</v>
      </c>
      <c r="B354" s="222" t="s">
        <v>5510</v>
      </c>
      <c r="C354" s="222" t="s">
        <v>5</v>
      </c>
      <c r="D354" s="222" t="e">
        <f t="array" ref="D354">IF(F354="","",INDEX(#REF!,MATCH(F354,#REF!,0)))</f>
        <v>#REF!</v>
      </c>
      <c r="E354" s="222" t="e">
        <f t="array" ref="E354">IF(F354="","",INDEX(#REF!,MATCH(F354,#REF!,0)))</f>
        <v>#REF!</v>
      </c>
      <c r="F354" s="222" t="s">
        <v>26</v>
      </c>
      <c r="G354" s="222" t="s">
        <v>4499</v>
      </c>
      <c r="H354" s="223">
        <v>2.1</v>
      </c>
      <c r="I354" s="222" t="s">
        <v>5528</v>
      </c>
      <c r="J354" s="222" t="s">
        <v>5528</v>
      </c>
      <c r="K354" s="222" t="s">
        <v>5529</v>
      </c>
      <c r="L354" s="222">
        <v>15500</v>
      </c>
      <c r="M354" s="222">
        <v>15500</v>
      </c>
      <c r="N354" s="222" t="s">
        <v>11</v>
      </c>
      <c r="O354" s="222" t="s">
        <v>9</v>
      </c>
      <c r="P354" s="224"/>
      <c r="Q354" s="224">
        <v>131771.51999999999</v>
      </c>
      <c r="R354" s="224">
        <v>1399170</v>
      </c>
      <c r="S354" s="224"/>
      <c r="T354" s="224">
        <v>5316215</v>
      </c>
      <c r="U354" s="224"/>
      <c r="V354" s="224"/>
      <c r="W354" s="224"/>
      <c r="X354" s="224"/>
      <c r="Y354" s="222">
        <v>4144</v>
      </c>
      <c r="Z354" s="222">
        <v>15500</v>
      </c>
      <c r="AA354" s="224"/>
      <c r="AB354" s="224">
        <v>300</v>
      </c>
      <c r="AC354" s="224">
        <v>74182</v>
      </c>
      <c r="AD354" s="224"/>
      <c r="AE354" s="224">
        <v>4560540</v>
      </c>
      <c r="AF354" s="224"/>
      <c r="AG354" s="224"/>
      <c r="AH354" s="224"/>
      <c r="AI354" s="224"/>
      <c r="AJ354" s="126"/>
      <c r="AK354" s="126"/>
      <c r="AL354" s="126"/>
      <c r="AM354" s="126"/>
      <c r="AN354" s="126"/>
    </row>
    <row r="355" spans="1:40" ht="15.75" customHeight="1">
      <c r="A355" s="221">
        <f t="shared" si="2"/>
        <v>349</v>
      </c>
      <c r="B355" s="222" t="s">
        <v>5510</v>
      </c>
      <c r="C355" s="222" t="s">
        <v>5</v>
      </c>
      <c r="D355" s="222" t="e">
        <f t="array" ref="D355">IF(F355="","",INDEX(#REF!,MATCH(F355,#REF!,0)))</f>
        <v>#REF!</v>
      </c>
      <c r="E355" s="222" t="e">
        <f t="array" ref="E355">IF(F355="","",INDEX(#REF!,MATCH(F355,#REF!,0)))</f>
        <v>#REF!</v>
      </c>
      <c r="F355" s="222" t="s">
        <v>26</v>
      </c>
      <c r="G355" s="222" t="s">
        <v>4499</v>
      </c>
      <c r="H355" s="223">
        <v>2.2000000000000002</v>
      </c>
      <c r="I355" s="222" t="s">
        <v>5530</v>
      </c>
      <c r="J355" s="222" t="s">
        <v>5530</v>
      </c>
      <c r="K355" s="222" t="s">
        <v>5531</v>
      </c>
      <c r="L355" s="222">
        <v>10000</v>
      </c>
      <c r="M355" s="222">
        <v>10000</v>
      </c>
      <c r="N355" s="222" t="s">
        <v>11</v>
      </c>
      <c r="O355" s="222" t="s">
        <v>9</v>
      </c>
      <c r="P355" s="224"/>
      <c r="Q355" s="224">
        <v>55639.08</v>
      </c>
      <c r="R355" s="224">
        <v>1133900</v>
      </c>
      <c r="S355" s="224"/>
      <c r="T355" s="224">
        <v>10500</v>
      </c>
      <c r="U355" s="224"/>
      <c r="V355" s="224"/>
      <c r="W355" s="224"/>
      <c r="X355" s="224"/>
      <c r="Y355" s="222">
        <v>4195.95</v>
      </c>
      <c r="Z355" s="222">
        <v>10000</v>
      </c>
      <c r="AA355" s="224"/>
      <c r="AB355" s="224">
        <v>1900</v>
      </c>
      <c r="AC355" s="224">
        <v>6757</v>
      </c>
      <c r="AD355" s="224"/>
      <c r="AE355" s="224">
        <v>0</v>
      </c>
      <c r="AF355" s="224"/>
      <c r="AG355" s="224"/>
      <c r="AH355" s="224"/>
      <c r="AI355" s="224"/>
      <c r="AJ355" s="126"/>
      <c r="AK355" s="126"/>
      <c r="AL355" s="126"/>
      <c r="AM355" s="126"/>
      <c r="AN355" s="126"/>
    </row>
    <row r="356" spans="1:40" ht="15.75" customHeight="1">
      <c r="A356" s="221">
        <f t="shared" si="2"/>
        <v>350</v>
      </c>
      <c r="B356" s="222" t="s">
        <v>5510</v>
      </c>
      <c r="C356" s="222" t="s">
        <v>5</v>
      </c>
      <c r="D356" s="222" t="e">
        <f t="array" ref="D356">IF(F356="","",INDEX(#REF!,MATCH(F356,#REF!,0)))</f>
        <v>#REF!</v>
      </c>
      <c r="E356" s="222" t="e">
        <f t="array" ref="E356">IF(F356="","",INDEX(#REF!,MATCH(F356,#REF!,0)))</f>
        <v>#REF!</v>
      </c>
      <c r="F356" s="222" t="s">
        <v>26</v>
      </c>
      <c r="G356" s="222" t="s">
        <v>4495</v>
      </c>
      <c r="H356" s="223">
        <v>3</v>
      </c>
      <c r="I356" s="222" t="s">
        <v>5532</v>
      </c>
      <c r="J356" s="222" t="s">
        <v>5532</v>
      </c>
      <c r="K356" s="222" t="s">
        <v>5533</v>
      </c>
      <c r="L356" s="222">
        <v>100000</v>
      </c>
      <c r="M356" s="222">
        <v>100000</v>
      </c>
      <c r="N356" s="222" t="s">
        <v>11</v>
      </c>
      <c r="O356" s="222" t="s">
        <v>9</v>
      </c>
      <c r="P356" s="224"/>
      <c r="Q356" s="224"/>
      <c r="R356" s="224"/>
      <c r="S356" s="224"/>
      <c r="T356" s="224"/>
      <c r="U356" s="224"/>
      <c r="V356" s="224"/>
      <c r="W356" s="224"/>
      <c r="X356" s="224"/>
      <c r="Y356" s="222">
        <v>42767</v>
      </c>
      <c r="Z356" s="222">
        <v>100000</v>
      </c>
      <c r="AA356" s="224"/>
      <c r="AB356" s="224"/>
      <c r="AC356" s="224"/>
      <c r="AD356" s="224"/>
      <c r="AE356" s="224"/>
      <c r="AF356" s="224"/>
      <c r="AG356" s="224"/>
      <c r="AH356" s="224"/>
      <c r="AI356" s="224"/>
      <c r="AJ356" s="126"/>
      <c r="AK356" s="126"/>
      <c r="AL356" s="126"/>
      <c r="AM356" s="126"/>
      <c r="AN356" s="126"/>
    </row>
    <row r="357" spans="1:40" ht="15.75" customHeight="1">
      <c r="A357" s="221">
        <f t="shared" si="2"/>
        <v>351</v>
      </c>
      <c r="B357" s="222" t="s">
        <v>5510</v>
      </c>
      <c r="C357" s="222" t="s">
        <v>5</v>
      </c>
      <c r="D357" s="222" t="e">
        <f t="array" ref="D357">IF(F357="","",INDEX(#REF!,MATCH(F357,#REF!,0)))</f>
        <v>#REF!</v>
      </c>
      <c r="E357" s="222" t="e">
        <f t="array" ref="E357">IF(F357="","",INDEX(#REF!,MATCH(F357,#REF!,0)))</f>
        <v>#REF!</v>
      </c>
      <c r="F357" s="222" t="s">
        <v>26</v>
      </c>
      <c r="G357" s="222" t="s">
        <v>4499</v>
      </c>
      <c r="H357" s="223">
        <v>3.1</v>
      </c>
      <c r="I357" s="222" t="s">
        <v>5534</v>
      </c>
      <c r="J357" s="222" t="s">
        <v>5534</v>
      </c>
      <c r="K357" s="222" t="s">
        <v>5535</v>
      </c>
      <c r="L357" s="222">
        <v>90000</v>
      </c>
      <c r="M357" s="222">
        <v>90000</v>
      </c>
      <c r="N357" s="222" t="s">
        <v>11</v>
      </c>
      <c r="O357" s="222" t="s">
        <v>9</v>
      </c>
      <c r="P357" s="224"/>
      <c r="Q357" s="224">
        <v>1424321.5</v>
      </c>
      <c r="R357" s="224">
        <v>70000</v>
      </c>
      <c r="S357" s="224"/>
      <c r="T357" s="224">
        <v>57000</v>
      </c>
      <c r="U357" s="224"/>
      <c r="V357" s="224"/>
      <c r="W357" s="224"/>
      <c r="X357" s="224"/>
      <c r="Y357" s="222">
        <v>38530</v>
      </c>
      <c r="Z357" s="222">
        <v>90000</v>
      </c>
      <c r="AA357" s="224"/>
      <c r="AB357" s="224">
        <v>0</v>
      </c>
      <c r="AC357" s="224">
        <v>0</v>
      </c>
      <c r="AD357" s="224"/>
      <c r="AE357" s="224">
        <v>0</v>
      </c>
      <c r="AF357" s="224"/>
      <c r="AG357" s="224"/>
      <c r="AH357" s="224"/>
      <c r="AI357" s="224"/>
      <c r="AJ357" s="126"/>
      <c r="AK357" s="126"/>
      <c r="AL357" s="126"/>
      <c r="AM357" s="126"/>
      <c r="AN357" s="126"/>
    </row>
    <row r="358" spans="1:40" ht="15.75" customHeight="1">
      <c r="A358" s="221">
        <f t="shared" si="2"/>
        <v>352</v>
      </c>
      <c r="B358" s="222" t="s">
        <v>5510</v>
      </c>
      <c r="C358" s="222" t="s">
        <v>5</v>
      </c>
      <c r="D358" s="222" t="e">
        <f t="array" ref="D358">IF(F358="","",INDEX(#REF!,MATCH(F358,#REF!,0)))</f>
        <v>#REF!</v>
      </c>
      <c r="E358" s="222" t="e">
        <f t="array" ref="E358">IF(F358="","",INDEX(#REF!,MATCH(F358,#REF!,0)))</f>
        <v>#REF!</v>
      </c>
      <c r="F358" s="222" t="s">
        <v>26</v>
      </c>
      <c r="G358" s="222" t="s">
        <v>4499</v>
      </c>
      <c r="H358" s="223">
        <v>3.2</v>
      </c>
      <c r="I358" s="222" t="s">
        <v>5536</v>
      </c>
      <c r="J358" s="222" t="s">
        <v>5536</v>
      </c>
      <c r="K358" s="222" t="s">
        <v>5537</v>
      </c>
      <c r="L358" s="222">
        <v>350</v>
      </c>
      <c r="M358" s="222">
        <v>350</v>
      </c>
      <c r="N358" s="222" t="s">
        <v>11</v>
      </c>
      <c r="O358" s="222" t="s">
        <v>9</v>
      </c>
      <c r="P358" s="224"/>
      <c r="Q358" s="224">
        <v>112784.62</v>
      </c>
      <c r="R358" s="224"/>
      <c r="S358" s="224"/>
      <c r="T358" s="224">
        <v>158000</v>
      </c>
      <c r="U358" s="224"/>
      <c r="V358" s="224"/>
      <c r="W358" s="224"/>
      <c r="X358" s="224"/>
      <c r="Y358" s="222">
        <v>329</v>
      </c>
      <c r="Z358" s="222">
        <v>350</v>
      </c>
      <c r="AA358" s="224"/>
      <c r="AB358" s="224">
        <v>0</v>
      </c>
      <c r="AC358" s="224"/>
      <c r="AD358" s="224"/>
      <c r="AE358" s="224">
        <v>0</v>
      </c>
      <c r="AF358" s="224"/>
      <c r="AG358" s="224"/>
      <c r="AH358" s="224"/>
      <c r="AI358" s="224"/>
      <c r="AJ358" s="126"/>
      <c r="AK358" s="126"/>
      <c r="AL358" s="126"/>
      <c r="AM358" s="126"/>
      <c r="AN358" s="126"/>
    </row>
    <row r="359" spans="1:40" ht="15.75" customHeight="1">
      <c r="A359" s="221">
        <f t="shared" si="2"/>
        <v>353</v>
      </c>
      <c r="B359" s="222" t="s">
        <v>5510</v>
      </c>
      <c r="C359" s="222" t="s">
        <v>5</v>
      </c>
      <c r="D359" s="222" t="e">
        <f t="array" ref="D359">IF(F359="","",INDEX(#REF!,MATCH(F359,#REF!,0)))</f>
        <v>#REF!</v>
      </c>
      <c r="E359" s="222" t="e">
        <f t="array" ref="E359">IF(F359="","",INDEX(#REF!,MATCH(F359,#REF!,0)))</f>
        <v>#REF!</v>
      </c>
      <c r="F359" s="222" t="s">
        <v>26</v>
      </c>
      <c r="G359" s="222" t="s">
        <v>4499</v>
      </c>
      <c r="H359" s="223">
        <v>3.3</v>
      </c>
      <c r="I359" s="222" t="s">
        <v>5538</v>
      </c>
      <c r="J359" s="222" t="s">
        <v>5538</v>
      </c>
      <c r="K359" s="222" t="s">
        <v>5539</v>
      </c>
      <c r="L359" s="222">
        <v>30</v>
      </c>
      <c r="M359" s="222">
        <v>30</v>
      </c>
      <c r="N359" s="222" t="s">
        <v>11</v>
      </c>
      <c r="O359" s="222" t="s">
        <v>9</v>
      </c>
      <c r="P359" s="224"/>
      <c r="Q359" s="224">
        <v>187273.56</v>
      </c>
      <c r="R359" s="224"/>
      <c r="S359" s="224"/>
      <c r="T359" s="224">
        <v>15200</v>
      </c>
      <c r="U359" s="224"/>
      <c r="V359" s="224"/>
      <c r="W359" s="224"/>
      <c r="X359" s="224"/>
      <c r="Y359" s="222">
        <v>10</v>
      </c>
      <c r="Z359" s="222">
        <v>30</v>
      </c>
      <c r="AA359" s="224"/>
      <c r="AB359" s="224">
        <v>0</v>
      </c>
      <c r="AC359" s="224"/>
      <c r="AD359" s="224"/>
      <c r="AE359" s="224">
        <v>0</v>
      </c>
      <c r="AF359" s="224"/>
      <c r="AG359" s="224"/>
      <c r="AH359" s="224"/>
      <c r="AI359" s="224"/>
      <c r="AJ359" s="126"/>
      <c r="AK359" s="126"/>
      <c r="AL359" s="126"/>
      <c r="AM359" s="126"/>
      <c r="AN359" s="126"/>
    </row>
    <row r="360" spans="1:40" ht="15.75" customHeight="1">
      <c r="A360" s="221">
        <f t="shared" si="2"/>
        <v>354</v>
      </c>
      <c r="B360" s="222" t="s">
        <v>5510</v>
      </c>
      <c r="C360" s="222" t="s">
        <v>5</v>
      </c>
      <c r="D360" s="222" t="e">
        <f t="array" ref="D360">IF(F360="","",INDEX(#REF!,MATCH(F360,#REF!,0)))</f>
        <v>#REF!</v>
      </c>
      <c r="E360" s="222" t="e">
        <f t="array" ref="E360">IF(F360="","",INDEX(#REF!,MATCH(F360,#REF!,0)))</f>
        <v>#REF!</v>
      </c>
      <c r="F360" s="222" t="s">
        <v>26</v>
      </c>
      <c r="G360" s="222" t="s">
        <v>4495</v>
      </c>
      <c r="H360" s="223">
        <v>4</v>
      </c>
      <c r="I360" s="222" t="s">
        <v>5540</v>
      </c>
      <c r="J360" s="222" t="s">
        <v>5540</v>
      </c>
      <c r="K360" s="222" t="s">
        <v>5541</v>
      </c>
      <c r="L360" s="222">
        <v>19666</v>
      </c>
      <c r="M360" s="222">
        <v>19666</v>
      </c>
      <c r="N360" s="222" t="s">
        <v>11</v>
      </c>
      <c r="O360" s="222" t="s">
        <v>9</v>
      </c>
      <c r="P360" s="224"/>
      <c r="Q360" s="224"/>
      <c r="R360" s="224"/>
      <c r="S360" s="224"/>
      <c r="T360" s="224"/>
      <c r="U360" s="224"/>
      <c r="V360" s="224"/>
      <c r="W360" s="224"/>
      <c r="X360" s="224"/>
      <c r="Y360" s="222">
        <v>16145</v>
      </c>
      <c r="Z360" s="222">
        <v>19666</v>
      </c>
      <c r="AA360" s="224"/>
      <c r="AB360" s="224"/>
      <c r="AC360" s="224"/>
      <c r="AD360" s="224"/>
      <c r="AE360" s="224"/>
      <c r="AF360" s="224"/>
      <c r="AG360" s="224"/>
      <c r="AH360" s="224"/>
      <c r="AI360" s="224"/>
      <c r="AJ360" s="126"/>
      <c r="AK360" s="126"/>
      <c r="AL360" s="126"/>
      <c r="AM360" s="126"/>
      <c r="AN360" s="126"/>
    </row>
    <row r="361" spans="1:40" ht="15.75" customHeight="1">
      <c r="A361" s="221">
        <f t="shared" si="2"/>
        <v>355</v>
      </c>
      <c r="B361" s="222" t="s">
        <v>5510</v>
      </c>
      <c r="C361" s="222" t="s">
        <v>5</v>
      </c>
      <c r="D361" s="222" t="e">
        <f t="array" ref="D361">IF(F361="","",INDEX(#REF!,MATCH(F361,#REF!,0)))</f>
        <v>#REF!</v>
      </c>
      <c r="E361" s="222" t="e">
        <f t="array" ref="E361">IF(F361="","",INDEX(#REF!,MATCH(F361,#REF!,0)))</f>
        <v>#REF!</v>
      </c>
      <c r="F361" s="222" t="s">
        <v>26</v>
      </c>
      <c r="G361" s="222" t="s">
        <v>4499</v>
      </c>
      <c r="H361" s="223">
        <v>4.0999999999999996</v>
      </c>
      <c r="I361" s="222" t="s">
        <v>5542</v>
      </c>
      <c r="J361" s="222" t="s">
        <v>5542</v>
      </c>
      <c r="K361" s="222" t="s">
        <v>5543</v>
      </c>
      <c r="L361" s="222">
        <v>17606</v>
      </c>
      <c r="M361" s="222">
        <v>17606</v>
      </c>
      <c r="N361" s="222" t="s">
        <v>11</v>
      </c>
      <c r="O361" s="222" t="s">
        <v>9</v>
      </c>
      <c r="P361" s="224"/>
      <c r="Q361" s="224">
        <v>49694.400000000001</v>
      </c>
      <c r="R361" s="224"/>
      <c r="S361" s="224"/>
      <c r="T361" s="224">
        <v>147710</v>
      </c>
      <c r="U361" s="224"/>
      <c r="V361" s="224"/>
      <c r="W361" s="224"/>
      <c r="X361" s="224"/>
      <c r="Y361" s="222">
        <v>15349</v>
      </c>
      <c r="Z361" s="222">
        <v>17606</v>
      </c>
      <c r="AA361" s="224"/>
      <c r="AB361" s="224">
        <v>0</v>
      </c>
      <c r="AC361" s="224"/>
      <c r="AD361" s="224"/>
      <c r="AE361" s="224">
        <v>0</v>
      </c>
      <c r="AF361" s="224"/>
      <c r="AG361" s="224"/>
      <c r="AH361" s="224"/>
      <c r="AI361" s="224"/>
      <c r="AJ361" s="126"/>
      <c r="AK361" s="126"/>
      <c r="AL361" s="126"/>
      <c r="AM361" s="126"/>
      <c r="AN361" s="126"/>
    </row>
    <row r="362" spans="1:40" ht="15.75" customHeight="1">
      <c r="A362" s="221">
        <f t="shared" si="2"/>
        <v>356</v>
      </c>
      <c r="B362" s="222" t="s">
        <v>5510</v>
      </c>
      <c r="C362" s="222" t="s">
        <v>5</v>
      </c>
      <c r="D362" s="222" t="e">
        <f t="array" ref="D362">IF(F362="","",INDEX(#REF!,MATCH(F362,#REF!,0)))</f>
        <v>#REF!</v>
      </c>
      <c r="E362" s="222" t="e">
        <f t="array" ref="E362">IF(F362="","",INDEX(#REF!,MATCH(F362,#REF!,0)))</f>
        <v>#REF!</v>
      </c>
      <c r="F362" s="222" t="s">
        <v>26</v>
      </c>
      <c r="G362" s="222" t="s">
        <v>4499</v>
      </c>
      <c r="H362" s="223">
        <v>4.2</v>
      </c>
      <c r="I362" s="222" t="s">
        <v>5544</v>
      </c>
      <c r="J362" s="222" t="s">
        <v>5544</v>
      </c>
      <c r="K362" s="222" t="s">
        <v>5545</v>
      </c>
      <c r="L362" s="222">
        <v>1560</v>
      </c>
      <c r="M362" s="222">
        <v>1560</v>
      </c>
      <c r="N362" s="222" t="s">
        <v>11</v>
      </c>
      <c r="O362" s="222" t="s">
        <v>9</v>
      </c>
      <c r="P362" s="224"/>
      <c r="Q362" s="224">
        <v>49593.46</v>
      </c>
      <c r="R362" s="224"/>
      <c r="S362" s="224"/>
      <c r="T362" s="224">
        <v>149000</v>
      </c>
      <c r="U362" s="224"/>
      <c r="V362" s="224"/>
      <c r="W362" s="224"/>
      <c r="X362" s="224"/>
      <c r="Y362" s="222">
        <v>706</v>
      </c>
      <c r="Z362" s="222">
        <v>1560</v>
      </c>
      <c r="AA362" s="224"/>
      <c r="AB362" s="224">
        <v>0</v>
      </c>
      <c r="AC362" s="224"/>
      <c r="AD362" s="224"/>
      <c r="AE362" s="224">
        <v>0</v>
      </c>
      <c r="AF362" s="224"/>
      <c r="AG362" s="224"/>
      <c r="AH362" s="224"/>
      <c r="AI362" s="224"/>
      <c r="AJ362" s="126"/>
      <c r="AK362" s="126"/>
      <c r="AL362" s="126"/>
      <c r="AM362" s="126"/>
      <c r="AN362" s="126"/>
    </row>
    <row r="363" spans="1:40" ht="15.75" customHeight="1">
      <c r="A363" s="221">
        <f t="shared" si="2"/>
        <v>357</v>
      </c>
      <c r="B363" s="222" t="s">
        <v>5510</v>
      </c>
      <c r="C363" s="222" t="s">
        <v>5</v>
      </c>
      <c r="D363" s="222" t="e">
        <f t="array" ref="D363">IF(F363="","",INDEX(#REF!,MATCH(F363,#REF!,0)))</f>
        <v>#REF!</v>
      </c>
      <c r="E363" s="222" t="e">
        <f t="array" ref="E363">IF(F363="","",INDEX(#REF!,MATCH(F363,#REF!,0)))</f>
        <v>#REF!</v>
      </c>
      <c r="F363" s="222" t="s">
        <v>26</v>
      </c>
      <c r="G363" s="222" t="s">
        <v>4499</v>
      </c>
      <c r="H363" s="223">
        <v>4.3</v>
      </c>
      <c r="I363" s="222" t="s">
        <v>5546</v>
      </c>
      <c r="J363" s="222" t="s">
        <v>5546</v>
      </c>
      <c r="K363" s="222" t="s">
        <v>5547</v>
      </c>
      <c r="L363" s="222">
        <v>390</v>
      </c>
      <c r="M363" s="222">
        <v>390</v>
      </c>
      <c r="N363" s="222" t="s">
        <v>11</v>
      </c>
      <c r="O363" s="222" t="s">
        <v>9</v>
      </c>
      <c r="P363" s="224"/>
      <c r="Q363" s="224">
        <v>147729.46</v>
      </c>
      <c r="R363" s="224"/>
      <c r="S363" s="224"/>
      <c r="T363" s="224">
        <v>23250</v>
      </c>
      <c r="U363" s="224"/>
      <c r="V363" s="224"/>
      <c r="W363" s="224"/>
      <c r="X363" s="224"/>
      <c r="Y363" s="222">
        <v>68</v>
      </c>
      <c r="Z363" s="222">
        <v>390</v>
      </c>
      <c r="AA363" s="224"/>
      <c r="AB363" s="224">
        <v>0</v>
      </c>
      <c r="AC363" s="224"/>
      <c r="AD363" s="224"/>
      <c r="AE363" s="224">
        <v>0</v>
      </c>
      <c r="AF363" s="224"/>
      <c r="AG363" s="224"/>
      <c r="AH363" s="224"/>
      <c r="AI363" s="224"/>
      <c r="AJ363" s="126"/>
      <c r="AK363" s="126"/>
      <c r="AL363" s="126"/>
      <c r="AM363" s="126"/>
      <c r="AN363" s="126"/>
    </row>
    <row r="364" spans="1:40" ht="15.75" customHeight="1">
      <c r="A364" s="221">
        <f t="shared" si="2"/>
        <v>358</v>
      </c>
      <c r="B364" s="222" t="s">
        <v>5510</v>
      </c>
      <c r="C364" s="222" t="s">
        <v>5</v>
      </c>
      <c r="D364" s="222" t="e">
        <f t="array" ref="D364">IF(F364="","",INDEX(#REF!,MATCH(F364,#REF!,0)))</f>
        <v>#REF!</v>
      </c>
      <c r="E364" s="222" t="e">
        <f t="array" ref="E364">IF(F364="","",INDEX(#REF!,MATCH(F364,#REF!,0)))</f>
        <v>#REF!</v>
      </c>
      <c r="F364" s="222" t="s">
        <v>26</v>
      </c>
      <c r="G364" s="222" t="s">
        <v>4499</v>
      </c>
      <c r="H364" s="223">
        <v>4.4000000000000004</v>
      </c>
      <c r="I364" s="222" t="s">
        <v>5548</v>
      </c>
      <c r="J364" s="222" t="s">
        <v>5548</v>
      </c>
      <c r="K364" s="222" t="s">
        <v>5549</v>
      </c>
      <c r="L364" s="222">
        <v>110</v>
      </c>
      <c r="M364" s="222">
        <v>110</v>
      </c>
      <c r="N364" s="222" t="s">
        <v>11</v>
      </c>
      <c r="O364" s="222" t="s">
        <v>9</v>
      </c>
      <c r="P364" s="224"/>
      <c r="Q364" s="224">
        <v>72734.319999999992</v>
      </c>
      <c r="R364" s="224">
        <v>100000</v>
      </c>
      <c r="S364" s="224"/>
      <c r="T364" s="224">
        <v>219455</v>
      </c>
      <c r="U364" s="224"/>
      <c r="V364" s="224"/>
      <c r="W364" s="224"/>
      <c r="X364" s="224"/>
      <c r="Y364" s="222">
        <v>22</v>
      </c>
      <c r="Z364" s="222">
        <v>110</v>
      </c>
      <c r="AA364" s="224"/>
      <c r="AB364" s="224">
        <v>0</v>
      </c>
      <c r="AC364" s="224">
        <v>0</v>
      </c>
      <c r="AD364" s="224"/>
      <c r="AE364" s="224">
        <v>0</v>
      </c>
      <c r="AF364" s="224"/>
      <c r="AG364" s="224"/>
      <c r="AH364" s="224"/>
      <c r="AI364" s="224"/>
      <c r="AJ364" s="126"/>
      <c r="AK364" s="126"/>
      <c r="AL364" s="126"/>
      <c r="AM364" s="126"/>
      <c r="AN364" s="126"/>
    </row>
    <row r="365" spans="1:40" ht="15.75" customHeight="1">
      <c r="A365" s="221">
        <f t="shared" si="2"/>
        <v>359</v>
      </c>
      <c r="B365" s="222" t="s">
        <v>5550</v>
      </c>
      <c r="C365" s="222" t="s">
        <v>5</v>
      </c>
      <c r="D365" s="222" t="e">
        <f t="array" ref="D365">IF(F365="","",INDEX(#REF!,MATCH(F365,#REF!,0)))</f>
        <v>#REF!</v>
      </c>
      <c r="E365" s="222" t="e">
        <f t="array" ref="E365">IF(F365="","",INDEX(#REF!,MATCH(F365,#REF!,0)))</f>
        <v>#REF!</v>
      </c>
      <c r="F365" s="222" t="s">
        <v>29</v>
      </c>
      <c r="G365" s="222" t="s">
        <v>0</v>
      </c>
      <c r="H365" s="223" t="s">
        <v>4487</v>
      </c>
      <c r="I365" s="222" t="s">
        <v>5551</v>
      </c>
      <c r="J365" s="222" t="s">
        <v>5552</v>
      </c>
      <c r="K365" s="222" t="s">
        <v>5553</v>
      </c>
      <c r="L365" s="222">
        <v>4568</v>
      </c>
      <c r="M365" s="222">
        <v>4660</v>
      </c>
      <c r="N365" s="222" t="s">
        <v>15</v>
      </c>
      <c r="O365" s="222" t="s">
        <v>9</v>
      </c>
      <c r="P365" s="224"/>
      <c r="Q365" s="224"/>
      <c r="R365" s="224"/>
      <c r="S365" s="224"/>
      <c r="T365" s="224"/>
      <c r="U365" s="224"/>
      <c r="V365" s="224"/>
      <c r="W365" s="224"/>
      <c r="X365" s="224"/>
      <c r="Y365" s="222">
        <v>2128</v>
      </c>
      <c r="Z365" s="222">
        <v>4660</v>
      </c>
      <c r="AA365" s="224"/>
      <c r="AB365" s="224"/>
      <c r="AC365" s="224"/>
      <c r="AD365" s="224"/>
      <c r="AE365" s="224"/>
      <c r="AF365" s="224"/>
      <c r="AG365" s="224"/>
      <c r="AH365" s="224"/>
      <c r="AI365" s="224"/>
      <c r="AJ365" s="126"/>
      <c r="AK365" s="126"/>
      <c r="AL365" s="126"/>
      <c r="AM365" s="126"/>
      <c r="AN365" s="126"/>
    </row>
    <row r="366" spans="1:40" ht="15.75" customHeight="1">
      <c r="A366" s="221">
        <f t="shared" si="2"/>
        <v>360</v>
      </c>
      <c r="B366" s="222" t="s">
        <v>5550</v>
      </c>
      <c r="C366" s="222" t="s">
        <v>5</v>
      </c>
      <c r="D366" s="222" t="e">
        <f t="array" ref="D366">IF(F366="","",INDEX(#REF!,MATCH(F366,#REF!,0)))</f>
        <v>#REF!</v>
      </c>
      <c r="E366" s="222" t="e">
        <f t="array" ref="E366">IF(F366="","",INDEX(#REF!,MATCH(F366,#REF!,0)))</f>
        <v>#REF!</v>
      </c>
      <c r="F366" s="222" t="s">
        <v>29</v>
      </c>
      <c r="G366" s="222" t="s">
        <v>4491</v>
      </c>
      <c r="H366" s="223" t="s">
        <v>4487</v>
      </c>
      <c r="I366" s="222" t="s">
        <v>5554</v>
      </c>
      <c r="J366" s="222" t="s">
        <v>5555</v>
      </c>
      <c r="K366" s="222" t="s">
        <v>5556</v>
      </c>
      <c r="L366" s="222">
        <v>5838</v>
      </c>
      <c r="M366" s="222">
        <v>5855</v>
      </c>
      <c r="N366" s="222" t="s">
        <v>15</v>
      </c>
      <c r="O366" s="222" t="s">
        <v>9</v>
      </c>
      <c r="P366" s="224"/>
      <c r="Q366" s="224"/>
      <c r="R366" s="224"/>
      <c r="S366" s="224"/>
      <c r="T366" s="224"/>
      <c r="U366" s="224"/>
      <c r="V366" s="224"/>
      <c r="W366" s="224"/>
      <c r="X366" s="224"/>
      <c r="Y366" s="222">
        <v>3473</v>
      </c>
      <c r="Z366" s="222">
        <v>5855</v>
      </c>
      <c r="AA366" s="224"/>
      <c r="AB366" s="224"/>
      <c r="AC366" s="224"/>
      <c r="AD366" s="224"/>
      <c r="AE366" s="224"/>
      <c r="AF366" s="224"/>
      <c r="AG366" s="224"/>
      <c r="AH366" s="224"/>
      <c r="AI366" s="224"/>
      <c r="AJ366" s="126"/>
      <c r="AK366" s="126"/>
      <c r="AL366" s="126"/>
      <c r="AM366" s="126"/>
      <c r="AN366" s="126"/>
    </row>
    <row r="367" spans="1:40" ht="15.75" customHeight="1">
      <c r="A367" s="221">
        <f t="shared" si="2"/>
        <v>361</v>
      </c>
      <c r="B367" s="222" t="s">
        <v>5550</v>
      </c>
      <c r="C367" s="222" t="s">
        <v>5</v>
      </c>
      <c r="D367" s="222" t="e">
        <f t="array" ref="D367">IF(F367="","",INDEX(#REF!,MATCH(F367,#REF!,0)))</f>
        <v>#REF!</v>
      </c>
      <c r="E367" s="222" t="e">
        <f t="array" ref="E367">IF(F367="","",INDEX(#REF!,MATCH(F367,#REF!,0)))</f>
        <v>#REF!</v>
      </c>
      <c r="F367" s="222" t="s">
        <v>29</v>
      </c>
      <c r="G367" s="222" t="s">
        <v>4495</v>
      </c>
      <c r="H367" s="223">
        <v>1</v>
      </c>
      <c r="I367" s="222" t="s">
        <v>5557</v>
      </c>
      <c r="J367" s="222" t="s">
        <v>5558</v>
      </c>
      <c r="K367" s="222" t="s">
        <v>5559</v>
      </c>
      <c r="L367" s="222">
        <v>775</v>
      </c>
      <c r="M367" s="222">
        <v>790</v>
      </c>
      <c r="N367" s="222" t="s">
        <v>13</v>
      </c>
      <c r="O367" s="222" t="s">
        <v>9</v>
      </c>
      <c r="P367" s="224"/>
      <c r="Q367" s="224"/>
      <c r="R367" s="224"/>
      <c r="S367" s="224"/>
      <c r="T367" s="224"/>
      <c r="U367" s="224"/>
      <c r="V367" s="224"/>
      <c r="W367" s="224"/>
      <c r="X367" s="224"/>
      <c r="Y367" s="222">
        <v>475</v>
      </c>
      <c r="Z367" s="222">
        <v>790</v>
      </c>
      <c r="AA367" s="224"/>
      <c r="AB367" s="224"/>
      <c r="AC367" s="224"/>
      <c r="AD367" s="224"/>
      <c r="AE367" s="224"/>
      <c r="AF367" s="224"/>
      <c r="AG367" s="224"/>
      <c r="AH367" s="224"/>
      <c r="AI367" s="224"/>
      <c r="AJ367" s="126"/>
      <c r="AK367" s="126"/>
      <c r="AL367" s="126"/>
      <c r="AM367" s="126"/>
      <c r="AN367" s="126"/>
    </row>
    <row r="368" spans="1:40" ht="15.75" customHeight="1">
      <c r="A368" s="221">
        <f t="shared" si="2"/>
        <v>362</v>
      </c>
      <c r="B368" s="222" t="s">
        <v>5550</v>
      </c>
      <c r="C368" s="222" t="s">
        <v>5</v>
      </c>
      <c r="D368" s="222" t="e">
        <f t="array" ref="D368">IF(F368="","",INDEX(#REF!,MATCH(F368,#REF!,0)))</f>
        <v>#REF!</v>
      </c>
      <c r="E368" s="222" t="e">
        <f t="array" ref="E368">IF(F368="","",INDEX(#REF!,MATCH(F368,#REF!,0)))</f>
        <v>#REF!</v>
      </c>
      <c r="F368" s="222" t="s">
        <v>29</v>
      </c>
      <c r="G368" s="222" t="s">
        <v>4499</v>
      </c>
      <c r="H368" s="223">
        <v>1.1000000000000001</v>
      </c>
      <c r="I368" s="222" t="s">
        <v>5560</v>
      </c>
      <c r="J368" s="222" t="s">
        <v>5561</v>
      </c>
      <c r="K368" s="222" t="s">
        <v>5562</v>
      </c>
      <c r="L368" s="222">
        <v>601</v>
      </c>
      <c r="M368" s="222">
        <v>613</v>
      </c>
      <c r="N368" s="222" t="s">
        <v>11</v>
      </c>
      <c r="O368" s="222" t="s">
        <v>9</v>
      </c>
      <c r="P368" s="224"/>
      <c r="Q368" s="224"/>
      <c r="R368" s="224">
        <v>0</v>
      </c>
      <c r="S368" s="224"/>
      <c r="T368" s="224">
        <v>125000</v>
      </c>
      <c r="U368" s="224"/>
      <c r="V368" s="224"/>
      <c r="W368" s="224"/>
      <c r="X368" s="224"/>
      <c r="Y368" s="222">
        <v>225</v>
      </c>
      <c r="Z368" s="222">
        <v>613</v>
      </c>
      <c r="AA368" s="224"/>
      <c r="AB368" s="224"/>
      <c r="AC368" s="224">
        <v>0</v>
      </c>
      <c r="AD368" s="224"/>
      <c r="AE368" s="224">
        <v>0</v>
      </c>
      <c r="AF368" s="224"/>
      <c r="AG368" s="224"/>
      <c r="AH368" s="224"/>
      <c r="AI368" s="224"/>
      <c r="AJ368" s="126"/>
      <c r="AK368" s="126"/>
      <c r="AL368" s="126"/>
      <c r="AM368" s="126"/>
      <c r="AN368" s="126"/>
    </row>
    <row r="369" spans="1:40" ht="15.75" customHeight="1">
      <c r="A369" s="221">
        <f t="shared" si="2"/>
        <v>363</v>
      </c>
      <c r="B369" s="222" t="s">
        <v>5550</v>
      </c>
      <c r="C369" s="222" t="s">
        <v>5</v>
      </c>
      <c r="D369" s="222" t="e">
        <f t="array" ref="D369">IF(F369="","",INDEX(#REF!,MATCH(F369,#REF!,0)))</f>
        <v>#REF!</v>
      </c>
      <c r="E369" s="222" t="e">
        <f t="array" ref="E369">IF(F369="","",INDEX(#REF!,MATCH(F369,#REF!,0)))</f>
        <v>#REF!</v>
      </c>
      <c r="F369" s="222" t="s">
        <v>29</v>
      </c>
      <c r="G369" s="222" t="s">
        <v>4499</v>
      </c>
      <c r="H369" s="223">
        <v>1.2</v>
      </c>
      <c r="I369" s="222" t="s">
        <v>5563</v>
      </c>
      <c r="J369" s="222" t="s">
        <v>5564</v>
      </c>
      <c r="K369" s="222" t="s">
        <v>5565</v>
      </c>
      <c r="L369" s="222">
        <v>53</v>
      </c>
      <c r="M369" s="222">
        <v>55</v>
      </c>
      <c r="N369" s="222" t="s">
        <v>11</v>
      </c>
      <c r="O369" s="222" t="s">
        <v>9</v>
      </c>
      <c r="P369" s="224"/>
      <c r="Q369" s="224">
        <v>300000</v>
      </c>
      <c r="R369" s="224"/>
      <c r="S369" s="224"/>
      <c r="T369" s="224"/>
      <c r="U369" s="224"/>
      <c r="V369" s="224"/>
      <c r="W369" s="224"/>
      <c r="X369" s="224"/>
      <c r="Y369" s="222">
        <v>17</v>
      </c>
      <c r="Z369" s="222">
        <v>55</v>
      </c>
      <c r="AA369" s="224"/>
      <c r="AB369" s="224">
        <v>0</v>
      </c>
      <c r="AC369" s="224"/>
      <c r="AD369" s="224"/>
      <c r="AE369" s="224"/>
      <c r="AF369" s="224"/>
      <c r="AG369" s="224"/>
      <c r="AH369" s="224"/>
      <c r="AI369" s="224"/>
      <c r="AJ369" s="126"/>
      <c r="AK369" s="126"/>
      <c r="AL369" s="126"/>
      <c r="AM369" s="126"/>
      <c r="AN369" s="126"/>
    </row>
    <row r="370" spans="1:40" ht="15.75" customHeight="1">
      <c r="A370" s="221">
        <f t="shared" si="2"/>
        <v>364</v>
      </c>
      <c r="B370" s="222" t="s">
        <v>5550</v>
      </c>
      <c r="C370" s="222" t="s">
        <v>5</v>
      </c>
      <c r="D370" s="222" t="e">
        <f t="array" ref="D370">IF(F370="","",INDEX(#REF!,MATCH(F370,#REF!,0)))</f>
        <v>#REF!</v>
      </c>
      <c r="E370" s="222" t="e">
        <f t="array" ref="E370">IF(F370="","",INDEX(#REF!,MATCH(F370,#REF!,0)))</f>
        <v>#REF!</v>
      </c>
      <c r="F370" s="222" t="s">
        <v>29</v>
      </c>
      <c r="G370" s="222" t="s">
        <v>4499</v>
      </c>
      <c r="H370" s="223">
        <v>1.3</v>
      </c>
      <c r="I370" s="222" t="s">
        <v>5566</v>
      </c>
      <c r="J370" s="222" t="s">
        <v>5567</v>
      </c>
      <c r="K370" s="222" t="s">
        <v>5568</v>
      </c>
      <c r="L370" s="222">
        <v>81</v>
      </c>
      <c r="M370" s="222">
        <v>83</v>
      </c>
      <c r="N370" s="222" t="s">
        <v>11</v>
      </c>
      <c r="O370" s="222" t="s">
        <v>9</v>
      </c>
      <c r="P370" s="224"/>
      <c r="Q370" s="224"/>
      <c r="R370" s="224">
        <v>250000</v>
      </c>
      <c r="S370" s="224"/>
      <c r="T370" s="224">
        <v>125000</v>
      </c>
      <c r="U370" s="224"/>
      <c r="V370" s="224"/>
      <c r="W370" s="224"/>
      <c r="X370" s="224"/>
      <c r="Y370" s="222">
        <v>60</v>
      </c>
      <c r="Z370" s="222">
        <v>83</v>
      </c>
      <c r="AA370" s="224"/>
      <c r="AB370" s="224"/>
      <c r="AC370" s="224">
        <v>0</v>
      </c>
      <c r="AD370" s="224"/>
      <c r="AE370" s="224">
        <v>0</v>
      </c>
      <c r="AF370" s="224"/>
      <c r="AG370" s="224"/>
      <c r="AH370" s="224"/>
      <c r="AI370" s="224"/>
      <c r="AJ370" s="126"/>
      <c r="AK370" s="126"/>
      <c r="AL370" s="126"/>
      <c r="AM370" s="126"/>
      <c r="AN370" s="126"/>
    </row>
    <row r="371" spans="1:40" ht="15.75" customHeight="1">
      <c r="A371" s="221">
        <f t="shared" si="2"/>
        <v>365</v>
      </c>
      <c r="B371" s="222" t="s">
        <v>5550</v>
      </c>
      <c r="C371" s="222" t="s">
        <v>5</v>
      </c>
      <c r="D371" s="222" t="e">
        <f t="array" ref="D371">IF(F371="","",INDEX(#REF!,MATCH(F371,#REF!,0)))</f>
        <v>#REF!</v>
      </c>
      <c r="E371" s="222" t="e">
        <f t="array" ref="E371">IF(F371="","",INDEX(#REF!,MATCH(F371,#REF!,0)))</f>
        <v>#REF!</v>
      </c>
      <c r="F371" s="222" t="s">
        <v>29</v>
      </c>
      <c r="G371" s="222" t="s">
        <v>4499</v>
      </c>
      <c r="H371" s="223">
        <v>1.4</v>
      </c>
      <c r="I371" s="222" t="s">
        <v>5569</v>
      </c>
      <c r="J371" s="222" t="s">
        <v>5570</v>
      </c>
      <c r="K371" s="222" t="s">
        <v>5571</v>
      </c>
      <c r="L371" s="222">
        <v>40</v>
      </c>
      <c r="M371" s="222">
        <v>41</v>
      </c>
      <c r="N371" s="222" t="s">
        <v>11</v>
      </c>
      <c r="O371" s="222" t="s">
        <v>9</v>
      </c>
      <c r="P371" s="224"/>
      <c r="Q371" s="224"/>
      <c r="R371" s="224">
        <v>77760</v>
      </c>
      <c r="S371" s="224"/>
      <c r="T371" s="224"/>
      <c r="U371" s="224"/>
      <c r="V371" s="224"/>
      <c r="W371" s="224"/>
      <c r="X371" s="224"/>
      <c r="Y371" s="222">
        <v>15</v>
      </c>
      <c r="Z371" s="222">
        <v>41</v>
      </c>
      <c r="AA371" s="224"/>
      <c r="AB371" s="224"/>
      <c r="AC371" s="224">
        <v>0</v>
      </c>
      <c r="AD371" s="224"/>
      <c r="AE371" s="224"/>
      <c r="AF371" s="224"/>
      <c r="AG371" s="224"/>
      <c r="AH371" s="224"/>
      <c r="AI371" s="224"/>
      <c r="AJ371" s="126"/>
      <c r="AK371" s="126"/>
      <c r="AL371" s="126"/>
      <c r="AM371" s="126"/>
      <c r="AN371" s="126"/>
    </row>
    <row r="372" spans="1:40" ht="15.75" customHeight="1">
      <c r="A372" s="221">
        <f t="shared" si="2"/>
        <v>366</v>
      </c>
      <c r="B372" s="222" t="s">
        <v>5550</v>
      </c>
      <c r="C372" s="222" t="s">
        <v>5</v>
      </c>
      <c r="D372" s="222" t="e">
        <f t="array" ref="D372">IF(F372="","",INDEX(#REF!,MATCH(F372,#REF!,0)))</f>
        <v>#REF!</v>
      </c>
      <c r="E372" s="222" t="e">
        <f t="array" ref="E372">IF(F372="","",INDEX(#REF!,MATCH(F372,#REF!,0)))</f>
        <v>#REF!</v>
      </c>
      <c r="F372" s="222" t="s">
        <v>29</v>
      </c>
      <c r="G372" s="222" t="s">
        <v>4499</v>
      </c>
      <c r="H372" s="223">
        <v>1.5</v>
      </c>
      <c r="I372" s="222" t="s">
        <v>5572</v>
      </c>
      <c r="J372" s="222" t="s">
        <v>5573</v>
      </c>
      <c r="K372" s="222" t="s">
        <v>5574</v>
      </c>
      <c r="L372" s="222">
        <v>412</v>
      </c>
      <c r="M372" s="222">
        <v>412</v>
      </c>
      <c r="N372" s="222" t="s">
        <v>11</v>
      </c>
      <c r="O372" s="222" t="s">
        <v>9</v>
      </c>
      <c r="P372" s="224"/>
      <c r="Q372" s="224">
        <v>36000</v>
      </c>
      <c r="R372" s="224"/>
      <c r="S372" s="224"/>
      <c r="T372" s="224">
        <v>0</v>
      </c>
      <c r="U372" s="224"/>
      <c r="V372" s="224"/>
      <c r="W372" s="224"/>
      <c r="X372" s="224"/>
      <c r="Y372" s="222">
        <v>131</v>
      </c>
      <c r="Z372" s="222">
        <v>412</v>
      </c>
      <c r="AA372" s="224"/>
      <c r="AB372" s="224">
        <v>0</v>
      </c>
      <c r="AC372" s="224"/>
      <c r="AD372" s="224"/>
      <c r="AE372" s="224">
        <v>0</v>
      </c>
      <c r="AF372" s="224"/>
      <c r="AG372" s="224"/>
      <c r="AH372" s="224"/>
      <c r="AI372" s="224"/>
      <c r="AJ372" s="126"/>
      <c r="AK372" s="126"/>
      <c r="AL372" s="126"/>
      <c r="AM372" s="126"/>
      <c r="AN372" s="126"/>
    </row>
    <row r="373" spans="1:40" ht="15.75" customHeight="1">
      <c r="A373" s="221">
        <f t="shared" si="2"/>
        <v>367</v>
      </c>
      <c r="B373" s="222" t="s">
        <v>5550</v>
      </c>
      <c r="C373" s="222" t="s">
        <v>5</v>
      </c>
      <c r="D373" s="222" t="e">
        <f t="array" ref="D373">IF(F373="","",INDEX(#REF!,MATCH(F373,#REF!,0)))</f>
        <v>#REF!</v>
      </c>
      <c r="E373" s="222" t="e">
        <f t="array" ref="E373">IF(F373="","",INDEX(#REF!,MATCH(F373,#REF!,0)))</f>
        <v>#REF!</v>
      </c>
      <c r="F373" s="222" t="s">
        <v>29</v>
      </c>
      <c r="G373" s="222" t="s">
        <v>4495</v>
      </c>
      <c r="H373" s="223">
        <v>2</v>
      </c>
      <c r="I373" s="222" t="s">
        <v>5575</v>
      </c>
      <c r="J373" s="222" t="s">
        <v>5576</v>
      </c>
      <c r="K373" s="222" t="s">
        <v>5577</v>
      </c>
      <c r="L373" s="222">
        <v>4697</v>
      </c>
      <c r="M373" s="222">
        <v>4790</v>
      </c>
      <c r="N373" s="222" t="s">
        <v>13</v>
      </c>
      <c r="O373" s="222" t="s">
        <v>9</v>
      </c>
      <c r="P373" s="224"/>
      <c r="Q373" s="224"/>
      <c r="R373" s="224"/>
      <c r="S373" s="224"/>
      <c r="T373" s="224"/>
      <c r="U373" s="224"/>
      <c r="V373" s="224"/>
      <c r="W373" s="224"/>
      <c r="X373" s="224"/>
      <c r="Y373" s="222">
        <v>2838</v>
      </c>
      <c r="Z373" s="222">
        <v>4790</v>
      </c>
      <c r="AA373" s="224"/>
      <c r="AB373" s="224"/>
      <c r="AC373" s="224"/>
      <c r="AD373" s="224"/>
      <c r="AE373" s="224"/>
      <c r="AF373" s="224"/>
      <c r="AG373" s="224"/>
      <c r="AH373" s="224"/>
      <c r="AI373" s="224"/>
      <c r="AJ373" s="126"/>
      <c r="AK373" s="126"/>
      <c r="AL373" s="126"/>
      <c r="AM373" s="126"/>
      <c r="AN373" s="126"/>
    </row>
    <row r="374" spans="1:40" ht="15.75" customHeight="1">
      <c r="A374" s="221">
        <f t="shared" si="2"/>
        <v>368</v>
      </c>
      <c r="B374" s="222" t="s">
        <v>5550</v>
      </c>
      <c r="C374" s="222" t="s">
        <v>5</v>
      </c>
      <c r="D374" s="222" t="e">
        <f t="array" ref="D374">IF(F374="","",INDEX(#REF!,MATCH(F374,#REF!,0)))</f>
        <v>#REF!</v>
      </c>
      <c r="E374" s="222" t="e">
        <f t="array" ref="E374">IF(F374="","",INDEX(#REF!,MATCH(F374,#REF!,0)))</f>
        <v>#REF!</v>
      </c>
      <c r="F374" s="222" t="s">
        <v>29</v>
      </c>
      <c r="G374" s="222" t="s">
        <v>4499</v>
      </c>
      <c r="H374" s="223">
        <v>2.1</v>
      </c>
      <c r="I374" s="222" t="s">
        <v>5578</v>
      </c>
      <c r="J374" s="222" t="s">
        <v>5579</v>
      </c>
      <c r="K374" s="222" t="s">
        <v>5580</v>
      </c>
      <c r="L374" s="222">
        <v>694</v>
      </c>
      <c r="M374" s="222">
        <v>708</v>
      </c>
      <c r="N374" s="222" t="s">
        <v>11</v>
      </c>
      <c r="O374" s="222" t="s">
        <v>9</v>
      </c>
      <c r="P374" s="224">
        <v>59452362.829999998</v>
      </c>
      <c r="Q374" s="224">
        <v>36000</v>
      </c>
      <c r="R374" s="224">
        <v>15000000</v>
      </c>
      <c r="S374" s="224"/>
      <c r="T374" s="224"/>
      <c r="U374" s="224"/>
      <c r="V374" s="224"/>
      <c r="W374" s="224"/>
      <c r="X374" s="224"/>
      <c r="Y374" s="222">
        <v>360</v>
      </c>
      <c r="Z374" s="222">
        <v>708</v>
      </c>
      <c r="AA374" s="224">
        <v>27803443.5</v>
      </c>
      <c r="AB374" s="224">
        <v>18270</v>
      </c>
      <c r="AC374" s="224">
        <v>128959.52</v>
      </c>
      <c r="AD374" s="224"/>
      <c r="AE374" s="224"/>
      <c r="AF374" s="224"/>
      <c r="AG374" s="224"/>
      <c r="AH374" s="224"/>
      <c r="AI374" s="224"/>
      <c r="AJ374" s="126"/>
      <c r="AK374" s="126"/>
      <c r="AL374" s="126"/>
      <c r="AM374" s="126"/>
      <c r="AN374" s="126"/>
    </row>
    <row r="375" spans="1:40" ht="15.75" customHeight="1">
      <c r="A375" s="221">
        <f t="shared" si="2"/>
        <v>369</v>
      </c>
      <c r="B375" s="222" t="s">
        <v>5550</v>
      </c>
      <c r="C375" s="222" t="s">
        <v>5</v>
      </c>
      <c r="D375" s="222" t="e">
        <f t="array" ref="D375">IF(F375="","",INDEX(#REF!,MATCH(F375,#REF!,0)))</f>
        <v>#REF!</v>
      </c>
      <c r="E375" s="222" t="e">
        <f t="array" ref="E375">IF(F375="","",INDEX(#REF!,MATCH(F375,#REF!,0)))</f>
        <v>#REF!</v>
      </c>
      <c r="F375" s="222" t="s">
        <v>29</v>
      </c>
      <c r="G375" s="222" t="s">
        <v>4499</v>
      </c>
      <c r="H375" s="223">
        <v>2.2000000000000002</v>
      </c>
      <c r="I375" s="222" t="s">
        <v>5581</v>
      </c>
      <c r="J375" s="222" t="s">
        <v>5582</v>
      </c>
      <c r="K375" s="222" t="s">
        <v>5583</v>
      </c>
      <c r="L375" s="222">
        <v>976</v>
      </c>
      <c r="M375" s="222">
        <v>996</v>
      </c>
      <c r="N375" s="222" t="s">
        <v>11</v>
      </c>
      <c r="O375" s="222" t="s">
        <v>9</v>
      </c>
      <c r="P375" s="224"/>
      <c r="Q375" s="224"/>
      <c r="R375" s="224">
        <v>675000</v>
      </c>
      <c r="S375" s="224"/>
      <c r="T375" s="224"/>
      <c r="U375" s="224"/>
      <c r="V375" s="224"/>
      <c r="W375" s="224"/>
      <c r="X375" s="224"/>
      <c r="Y375" s="222">
        <v>368</v>
      </c>
      <c r="Z375" s="222">
        <v>996</v>
      </c>
      <c r="AA375" s="224"/>
      <c r="AB375" s="224"/>
      <c r="AC375" s="224">
        <v>0</v>
      </c>
      <c r="AD375" s="224"/>
      <c r="AE375" s="224"/>
      <c r="AF375" s="224"/>
      <c r="AG375" s="224"/>
      <c r="AH375" s="224"/>
      <c r="AI375" s="224"/>
      <c r="AJ375" s="126"/>
      <c r="AK375" s="126"/>
      <c r="AL375" s="126"/>
      <c r="AM375" s="126"/>
      <c r="AN375" s="126"/>
    </row>
    <row r="376" spans="1:40" ht="15.75" customHeight="1">
      <c r="A376" s="221">
        <f t="shared" si="2"/>
        <v>370</v>
      </c>
      <c r="B376" s="222" t="s">
        <v>5550</v>
      </c>
      <c r="C376" s="222" t="s">
        <v>5</v>
      </c>
      <c r="D376" s="222" t="e">
        <f t="array" ref="D376">IF(F376="","",INDEX(#REF!,MATCH(F376,#REF!,0)))</f>
        <v>#REF!</v>
      </c>
      <c r="E376" s="222" t="e">
        <f t="array" ref="E376">IF(F376="","",INDEX(#REF!,MATCH(F376,#REF!,0)))</f>
        <v>#REF!</v>
      </c>
      <c r="F376" s="222" t="s">
        <v>29</v>
      </c>
      <c r="G376" s="222" t="s">
        <v>4499</v>
      </c>
      <c r="H376" s="223">
        <v>2.2999999999999998</v>
      </c>
      <c r="I376" s="222" t="s">
        <v>5584</v>
      </c>
      <c r="J376" s="222" t="s">
        <v>5585</v>
      </c>
      <c r="K376" s="222" t="s">
        <v>5586</v>
      </c>
      <c r="L376" s="222">
        <v>3027</v>
      </c>
      <c r="M376" s="222">
        <v>3088</v>
      </c>
      <c r="N376" s="222" t="s">
        <v>11</v>
      </c>
      <c r="O376" s="222" t="s">
        <v>9</v>
      </c>
      <c r="P376" s="224"/>
      <c r="Q376" s="224">
        <v>670331.25</v>
      </c>
      <c r="R376" s="224"/>
      <c r="S376" s="224"/>
      <c r="T376" s="224"/>
      <c r="U376" s="224"/>
      <c r="V376" s="224"/>
      <c r="W376" s="224"/>
      <c r="X376" s="224"/>
      <c r="Y376" s="222">
        <v>2110</v>
      </c>
      <c r="Z376" s="222">
        <v>3088</v>
      </c>
      <c r="AA376" s="224"/>
      <c r="AB376" s="224">
        <v>0</v>
      </c>
      <c r="AC376" s="224"/>
      <c r="AD376" s="224"/>
      <c r="AE376" s="224"/>
      <c r="AF376" s="224"/>
      <c r="AG376" s="224"/>
      <c r="AH376" s="224"/>
      <c r="AI376" s="224"/>
      <c r="AJ376" s="126"/>
      <c r="AK376" s="126"/>
      <c r="AL376" s="126"/>
      <c r="AM376" s="126"/>
      <c r="AN376" s="126"/>
    </row>
    <row r="377" spans="1:40" ht="15.75" customHeight="1">
      <c r="A377" s="221">
        <f t="shared" si="2"/>
        <v>371</v>
      </c>
      <c r="B377" s="222" t="s">
        <v>5550</v>
      </c>
      <c r="C377" s="222" t="s">
        <v>5</v>
      </c>
      <c r="D377" s="222" t="e">
        <f t="array" ref="D377">IF(F377="","",INDEX(#REF!,MATCH(F377,#REF!,0)))</f>
        <v>#REF!</v>
      </c>
      <c r="E377" s="222" t="e">
        <f t="array" ref="E377">IF(F377="","",INDEX(#REF!,MATCH(F377,#REF!,0)))</f>
        <v>#REF!</v>
      </c>
      <c r="F377" s="222" t="s">
        <v>29</v>
      </c>
      <c r="G377" s="222" t="s">
        <v>4495</v>
      </c>
      <c r="H377" s="223">
        <v>3</v>
      </c>
      <c r="I377" s="222" t="s">
        <v>5587</v>
      </c>
      <c r="J377" s="222" t="s">
        <v>5588</v>
      </c>
      <c r="K377" s="222" t="s">
        <v>5589</v>
      </c>
      <c r="L377" s="222">
        <v>4638</v>
      </c>
      <c r="M377" s="222">
        <v>4730</v>
      </c>
      <c r="N377" s="222" t="s">
        <v>13</v>
      </c>
      <c r="O377" s="222" t="s">
        <v>9</v>
      </c>
      <c r="P377" s="224"/>
      <c r="Q377" s="224"/>
      <c r="R377" s="224"/>
      <c r="S377" s="224"/>
      <c r="T377" s="224"/>
      <c r="U377" s="224"/>
      <c r="V377" s="224"/>
      <c r="W377" s="224"/>
      <c r="X377" s="224"/>
      <c r="Y377" s="222">
        <v>160</v>
      </c>
      <c r="Z377" s="222">
        <v>4730</v>
      </c>
      <c r="AA377" s="224"/>
      <c r="AB377" s="224"/>
      <c r="AC377" s="224"/>
      <c r="AD377" s="224"/>
      <c r="AE377" s="224"/>
      <c r="AF377" s="224"/>
      <c r="AG377" s="224"/>
      <c r="AH377" s="224"/>
      <c r="AI377" s="224"/>
      <c r="AJ377" s="126"/>
      <c r="AK377" s="126"/>
      <c r="AL377" s="126"/>
      <c r="AM377" s="126"/>
      <c r="AN377" s="126"/>
    </row>
    <row r="378" spans="1:40" ht="15.75" customHeight="1">
      <c r="A378" s="221">
        <f t="shared" si="2"/>
        <v>372</v>
      </c>
      <c r="B378" s="222" t="s">
        <v>5550</v>
      </c>
      <c r="C378" s="222" t="s">
        <v>5</v>
      </c>
      <c r="D378" s="222" t="e">
        <f t="array" ref="D378">IF(F378="","",INDEX(#REF!,MATCH(F378,#REF!,0)))</f>
        <v>#REF!</v>
      </c>
      <c r="E378" s="222" t="e">
        <f t="array" ref="E378">IF(F378="","",INDEX(#REF!,MATCH(F378,#REF!,0)))</f>
        <v>#REF!</v>
      </c>
      <c r="F378" s="222" t="s">
        <v>29</v>
      </c>
      <c r="G378" s="222" t="s">
        <v>4499</v>
      </c>
      <c r="H378" s="223">
        <v>3.1</v>
      </c>
      <c r="I378" s="222" t="s">
        <v>5590</v>
      </c>
      <c r="J378" s="222" t="s">
        <v>5591</v>
      </c>
      <c r="K378" s="222" t="s">
        <v>5592</v>
      </c>
      <c r="L378" s="222">
        <v>3327</v>
      </c>
      <c r="M378" s="222">
        <v>3994</v>
      </c>
      <c r="N378" s="222" t="s">
        <v>11</v>
      </c>
      <c r="O378" s="222" t="s">
        <v>9</v>
      </c>
      <c r="P378" s="224"/>
      <c r="Q378" s="224"/>
      <c r="R378" s="224">
        <v>800000</v>
      </c>
      <c r="S378" s="224"/>
      <c r="T378" s="224"/>
      <c r="U378" s="224"/>
      <c r="V378" s="224"/>
      <c r="W378" s="224"/>
      <c r="X378" s="224"/>
      <c r="Y378" s="222">
        <v>1176</v>
      </c>
      <c r="Z378" s="222">
        <v>3994</v>
      </c>
      <c r="AA378" s="224"/>
      <c r="AB378" s="224"/>
      <c r="AC378" s="224">
        <v>0</v>
      </c>
      <c r="AD378" s="224"/>
      <c r="AE378" s="224"/>
      <c r="AF378" s="224"/>
      <c r="AG378" s="224"/>
      <c r="AH378" s="224"/>
      <c r="AI378" s="224"/>
      <c r="AJ378" s="126"/>
      <c r="AK378" s="126"/>
      <c r="AL378" s="126"/>
      <c r="AM378" s="126"/>
      <c r="AN378" s="126"/>
    </row>
    <row r="379" spans="1:40" ht="15.75" customHeight="1">
      <c r="A379" s="221">
        <f t="shared" si="2"/>
        <v>373</v>
      </c>
      <c r="B379" s="222" t="s">
        <v>5550</v>
      </c>
      <c r="C379" s="222" t="s">
        <v>5</v>
      </c>
      <c r="D379" s="222" t="e">
        <f t="array" ref="D379">IF(F379="","",INDEX(#REF!,MATCH(F379,#REF!,0)))</f>
        <v>#REF!</v>
      </c>
      <c r="E379" s="222" t="e">
        <f t="array" ref="E379">IF(F379="","",INDEX(#REF!,MATCH(F379,#REF!,0)))</f>
        <v>#REF!</v>
      </c>
      <c r="F379" s="222" t="s">
        <v>29</v>
      </c>
      <c r="G379" s="222" t="s">
        <v>4499</v>
      </c>
      <c r="H379" s="223">
        <v>3.2</v>
      </c>
      <c r="I379" s="222" t="s">
        <v>5593</v>
      </c>
      <c r="J379" s="222" t="s">
        <v>5594</v>
      </c>
      <c r="K379" s="222" t="s">
        <v>5595</v>
      </c>
      <c r="L379" s="222">
        <v>46</v>
      </c>
      <c r="M379" s="222">
        <v>47</v>
      </c>
      <c r="N379" s="222" t="s">
        <v>11</v>
      </c>
      <c r="O379" s="222" t="s">
        <v>9</v>
      </c>
      <c r="P379" s="224"/>
      <c r="Q379" s="224"/>
      <c r="R379" s="224">
        <v>150000</v>
      </c>
      <c r="S379" s="224"/>
      <c r="T379" s="224"/>
      <c r="U379" s="224"/>
      <c r="V379" s="224"/>
      <c r="W379" s="224"/>
      <c r="X379" s="224"/>
      <c r="Y379" s="222">
        <v>23</v>
      </c>
      <c r="Z379" s="222">
        <v>47</v>
      </c>
      <c r="AA379" s="224"/>
      <c r="AB379" s="224"/>
      <c r="AC379" s="224">
        <v>0</v>
      </c>
      <c r="AD379" s="224"/>
      <c r="AE379" s="224"/>
      <c r="AF379" s="224"/>
      <c r="AG379" s="224"/>
      <c r="AH379" s="224"/>
      <c r="AI379" s="224"/>
      <c r="AJ379" s="126"/>
      <c r="AK379" s="126"/>
      <c r="AL379" s="126"/>
      <c r="AM379" s="126"/>
      <c r="AN379" s="126"/>
    </row>
    <row r="380" spans="1:40" ht="15.75" customHeight="1">
      <c r="A380" s="221">
        <f t="shared" si="2"/>
        <v>374</v>
      </c>
      <c r="B380" s="222" t="s">
        <v>5550</v>
      </c>
      <c r="C380" s="222" t="s">
        <v>5</v>
      </c>
      <c r="D380" s="222" t="e">
        <f t="array" ref="D380">IF(F380="","",INDEX(#REF!,MATCH(F380,#REF!,0)))</f>
        <v>#REF!</v>
      </c>
      <c r="E380" s="222" t="e">
        <f t="array" ref="E380">IF(F380="","",INDEX(#REF!,MATCH(F380,#REF!,0)))</f>
        <v>#REF!</v>
      </c>
      <c r="F380" s="222" t="s">
        <v>29</v>
      </c>
      <c r="G380" s="222" t="s">
        <v>4499</v>
      </c>
      <c r="H380" s="223">
        <v>3.3</v>
      </c>
      <c r="I380" s="222" t="s">
        <v>5596</v>
      </c>
      <c r="J380" s="222" t="s">
        <v>5597</v>
      </c>
      <c r="K380" s="222" t="s">
        <v>5598</v>
      </c>
      <c r="L380" s="222">
        <v>24</v>
      </c>
      <c r="M380" s="222">
        <v>25</v>
      </c>
      <c r="N380" s="222" t="s">
        <v>11</v>
      </c>
      <c r="O380" s="222" t="s">
        <v>9</v>
      </c>
      <c r="P380" s="224"/>
      <c r="Q380" s="224"/>
      <c r="R380" s="224"/>
      <c r="S380" s="224"/>
      <c r="T380" s="224">
        <v>157765</v>
      </c>
      <c r="U380" s="224"/>
      <c r="V380" s="224"/>
      <c r="W380" s="224"/>
      <c r="X380" s="224"/>
      <c r="Y380" s="222">
        <v>23</v>
      </c>
      <c r="Z380" s="222">
        <v>25</v>
      </c>
      <c r="AA380" s="224"/>
      <c r="AB380" s="224"/>
      <c r="AC380" s="224"/>
      <c r="AD380" s="224"/>
      <c r="AE380" s="224">
        <v>0</v>
      </c>
      <c r="AF380" s="224"/>
      <c r="AG380" s="224"/>
      <c r="AH380" s="224"/>
      <c r="AI380" s="224"/>
      <c r="AJ380" s="126"/>
      <c r="AK380" s="126"/>
      <c r="AL380" s="126"/>
      <c r="AM380" s="126"/>
      <c r="AN380" s="126"/>
    </row>
    <row r="381" spans="1:40" ht="15.75" customHeight="1">
      <c r="A381" s="221">
        <f t="shared" si="2"/>
        <v>375</v>
      </c>
      <c r="B381" s="222" t="s">
        <v>5550</v>
      </c>
      <c r="C381" s="222" t="s">
        <v>5</v>
      </c>
      <c r="D381" s="222" t="e">
        <f t="array" ref="D381">IF(F381="","",INDEX(#REF!,MATCH(F381,#REF!,0)))</f>
        <v>#REF!</v>
      </c>
      <c r="E381" s="222" t="e">
        <f t="array" ref="E381">IF(F381="","",INDEX(#REF!,MATCH(F381,#REF!,0)))</f>
        <v>#REF!</v>
      </c>
      <c r="F381" s="222" t="s">
        <v>29</v>
      </c>
      <c r="G381" s="222" t="s">
        <v>4499</v>
      </c>
      <c r="H381" s="223">
        <v>3.4</v>
      </c>
      <c r="I381" s="222" t="s">
        <v>5599</v>
      </c>
      <c r="J381" s="222" t="s">
        <v>5600</v>
      </c>
      <c r="K381" s="222" t="s">
        <v>5601</v>
      </c>
      <c r="L381" s="222">
        <v>1241</v>
      </c>
      <c r="M381" s="222">
        <v>1266</v>
      </c>
      <c r="N381" s="222" t="s">
        <v>11</v>
      </c>
      <c r="O381" s="222" t="s">
        <v>9</v>
      </c>
      <c r="P381" s="224"/>
      <c r="Q381" s="224">
        <v>0</v>
      </c>
      <c r="R381" s="224">
        <v>60000</v>
      </c>
      <c r="S381" s="224"/>
      <c r="T381" s="224">
        <v>20000</v>
      </c>
      <c r="U381" s="224"/>
      <c r="V381" s="224"/>
      <c r="W381" s="224"/>
      <c r="X381" s="224"/>
      <c r="Y381" s="222">
        <v>952</v>
      </c>
      <c r="Z381" s="222">
        <v>1266</v>
      </c>
      <c r="AA381" s="224"/>
      <c r="AB381" s="224">
        <v>0</v>
      </c>
      <c r="AC381" s="224">
        <v>0</v>
      </c>
      <c r="AD381" s="224"/>
      <c r="AE381" s="224">
        <v>0</v>
      </c>
      <c r="AF381" s="224"/>
      <c r="AG381" s="224"/>
      <c r="AH381" s="224"/>
      <c r="AI381" s="224"/>
      <c r="AJ381" s="126"/>
      <c r="AK381" s="126"/>
      <c r="AL381" s="126"/>
      <c r="AM381" s="126"/>
      <c r="AN381" s="126"/>
    </row>
    <row r="382" spans="1:40" ht="15.75" customHeight="1">
      <c r="A382" s="221">
        <f t="shared" si="2"/>
        <v>376</v>
      </c>
      <c r="B382" s="222" t="s">
        <v>5602</v>
      </c>
      <c r="C382" s="222" t="s">
        <v>5</v>
      </c>
      <c r="D382" s="222" t="e">
        <f t="array" ref="D382">IF(F382="","",INDEX(#REF!,MATCH(F382,#REF!,0)))</f>
        <v>#REF!</v>
      </c>
      <c r="E382" s="222" t="e">
        <f t="array" ref="E382">IF(F382="","",INDEX(#REF!,MATCH(F382,#REF!,0)))</f>
        <v>#REF!</v>
      </c>
      <c r="F382" s="222" t="s">
        <v>27</v>
      </c>
      <c r="G382" s="222" t="s">
        <v>0</v>
      </c>
      <c r="H382" s="223" t="s">
        <v>4487</v>
      </c>
      <c r="I382" s="222" t="s">
        <v>5603</v>
      </c>
      <c r="J382" s="222" t="s">
        <v>5603</v>
      </c>
      <c r="K382" s="222" t="s">
        <v>5604</v>
      </c>
      <c r="L382" s="222">
        <v>1385629</v>
      </c>
      <c r="M382" s="222">
        <v>1385629</v>
      </c>
      <c r="N382" s="222" t="s">
        <v>11</v>
      </c>
      <c r="O382" s="222" t="s">
        <v>9</v>
      </c>
      <c r="P382" s="224"/>
      <c r="Q382" s="224"/>
      <c r="R382" s="224"/>
      <c r="S382" s="224"/>
      <c r="T382" s="224"/>
      <c r="U382" s="224"/>
      <c r="V382" s="224"/>
      <c r="W382" s="224"/>
      <c r="X382" s="224"/>
      <c r="Y382" s="222">
        <v>2568124.7799999998</v>
      </c>
      <c r="Z382" s="222">
        <v>1385629</v>
      </c>
      <c r="AA382" s="224"/>
      <c r="AB382" s="224"/>
      <c r="AC382" s="224"/>
      <c r="AD382" s="224"/>
      <c r="AE382" s="224"/>
      <c r="AF382" s="224"/>
      <c r="AG382" s="224"/>
      <c r="AH382" s="224"/>
      <c r="AI382" s="224"/>
      <c r="AJ382" s="126"/>
      <c r="AK382" s="126"/>
      <c r="AL382" s="126"/>
      <c r="AM382" s="126"/>
      <c r="AN382" s="126"/>
    </row>
    <row r="383" spans="1:40" ht="15.75" customHeight="1">
      <c r="A383" s="221">
        <f t="shared" si="2"/>
        <v>377</v>
      </c>
      <c r="B383" s="222" t="s">
        <v>5602</v>
      </c>
      <c r="C383" s="222" t="s">
        <v>5</v>
      </c>
      <c r="D383" s="222" t="e">
        <f t="array" ref="D383">IF(F383="","",INDEX(#REF!,MATCH(F383,#REF!,0)))</f>
        <v>#REF!</v>
      </c>
      <c r="E383" s="222" t="e">
        <f t="array" ref="E383">IF(F383="","",INDEX(#REF!,MATCH(F383,#REF!,0)))</f>
        <v>#REF!</v>
      </c>
      <c r="F383" s="222" t="s">
        <v>27</v>
      </c>
      <c r="G383" s="222" t="s">
        <v>4491</v>
      </c>
      <c r="H383" s="223" t="s">
        <v>4487</v>
      </c>
      <c r="I383" s="222" t="s">
        <v>5605</v>
      </c>
      <c r="J383" s="222" t="s">
        <v>5606</v>
      </c>
      <c r="K383" s="222" t="s">
        <v>5607</v>
      </c>
      <c r="L383" s="222">
        <v>120</v>
      </c>
      <c r="M383" s="222">
        <v>120</v>
      </c>
      <c r="N383" s="222" t="s">
        <v>13</v>
      </c>
      <c r="O383" s="222" t="s">
        <v>9</v>
      </c>
      <c r="P383" s="224"/>
      <c r="Q383" s="224"/>
      <c r="R383" s="224"/>
      <c r="S383" s="224"/>
      <c r="T383" s="224"/>
      <c r="U383" s="224"/>
      <c r="V383" s="224"/>
      <c r="W383" s="224"/>
      <c r="X383" s="224"/>
      <c r="Y383" s="222">
        <v>9300954.8900000006</v>
      </c>
      <c r="Z383" s="222">
        <v>120</v>
      </c>
      <c r="AA383" s="224"/>
      <c r="AB383" s="224"/>
      <c r="AC383" s="224"/>
      <c r="AD383" s="224"/>
      <c r="AE383" s="224"/>
      <c r="AF383" s="224"/>
      <c r="AG383" s="224"/>
      <c r="AH383" s="224"/>
      <c r="AI383" s="224"/>
      <c r="AJ383" s="126"/>
      <c r="AK383" s="126"/>
      <c r="AL383" s="126"/>
      <c r="AM383" s="126"/>
      <c r="AN383" s="126"/>
    </row>
    <row r="384" spans="1:40" ht="15.75" customHeight="1">
      <c r="A384" s="221">
        <f t="shared" si="2"/>
        <v>378</v>
      </c>
      <c r="B384" s="222" t="s">
        <v>5602</v>
      </c>
      <c r="C384" s="222" t="s">
        <v>5</v>
      </c>
      <c r="D384" s="222" t="e">
        <f t="array" ref="D384">IF(F384="","",INDEX(#REF!,MATCH(F384,#REF!,0)))</f>
        <v>#REF!</v>
      </c>
      <c r="E384" s="222" t="e">
        <f t="array" ref="E384">IF(F384="","",INDEX(#REF!,MATCH(F384,#REF!,0)))</f>
        <v>#REF!</v>
      </c>
      <c r="F384" s="222" t="s">
        <v>27</v>
      </c>
      <c r="G384" s="222" t="s">
        <v>4495</v>
      </c>
      <c r="H384" s="223">
        <v>1</v>
      </c>
      <c r="I384" s="222" t="s">
        <v>5608</v>
      </c>
      <c r="J384" s="222" t="s">
        <v>5609</v>
      </c>
      <c r="K384" s="222" t="s">
        <v>5610</v>
      </c>
      <c r="L384" s="222">
        <v>33</v>
      </c>
      <c r="M384" s="222">
        <v>33</v>
      </c>
      <c r="N384" s="222" t="s">
        <v>11</v>
      </c>
      <c r="O384" s="222" t="s">
        <v>9</v>
      </c>
      <c r="P384" s="224"/>
      <c r="Q384" s="224"/>
      <c r="R384" s="224"/>
      <c r="S384" s="224"/>
      <c r="T384" s="224"/>
      <c r="U384" s="224"/>
      <c r="V384" s="224"/>
      <c r="W384" s="224"/>
      <c r="X384" s="224"/>
      <c r="Y384" s="222">
        <v>9300954.8900000006</v>
      </c>
      <c r="Z384" s="222">
        <v>33</v>
      </c>
      <c r="AA384" s="224"/>
      <c r="AB384" s="224"/>
      <c r="AC384" s="224"/>
      <c r="AD384" s="224"/>
      <c r="AE384" s="224"/>
      <c r="AF384" s="224"/>
      <c r="AG384" s="224"/>
      <c r="AH384" s="224"/>
      <c r="AI384" s="224"/>
      <c r="AJ384" s="126"/>
      <c r="AK384" s="126"/>
      <c r="AL384" s="126"/>
      <c r="AM384" s="126"/>
      <c r="AN384" s="126"/>
    </row>
    <row r="385" spans="1:40" ht="15.75" customHeight="1">
      <c r="A385" s="221">
        <f t="shared" si="2"/>
        <v>379</v>
      </c>
      <c r="B385" s="222" t="s">
        <v>5602</v>
      </c>
      <c r="C385" s="222" t="s">
        <v>5</v>
      </c>
      <c r="D385" s="222" t="e">
        <f t="array" ref="D385">IF(F385="","",INDEX(#REF!,MATCH(F385,#REF!,0)))</f>
        <v>#REF!</v>
      </c>
      <c r="E385" s="222" t="e">
        <f t="array" ref="E385">IF(F385="","",INDEX(#REF!,MATCH(F385,#REF!,0)))</f>
        <v>#REF!</v>
      </c>
      <c r="F385" s="222" t="s">
        <v>27</v>
      </c>
      <c r="G385" s="222" t="s">
        <v>4499</v>
      </c>
      <c r="H385" s="223">
        <v>1.1000000000000001</v>
      </c>
      <c r="I385" s="222" t="s">
        <v>5611</v>
      </c>
      <c r="J385" s="222" t="s">
        <v>5612</v>
      </c>
      <c r="K385" s="222" t="s">
        <v>5613</v>
      </c>
      <c r="L385" s="222">
        <v>15</v>
      </c>
      <c r="M385" s="222">
        <v>15</v>
      </c>
      <c r="N385" s="222" t="s">
        <v>11</v>
      </c>
      <c r="O385" s="222" t="s">
        <v>9</v>
      </c>
      <c r="P385" s="224">
        <v>66362765.479999997</v>
      </c>
      <c r="Q385" s="224"/>
      <c r="R385" s="224"/>
      <c r="S385" s="224"/>
      <c r="T385" s="224"/>
      <c r="U385" s="224">
        <v>83471057.00999999</v>
      </c>
      <c r="V385" s="224"/>
      <c r="W385" s="224"/>
      <c r="X385" s="224"/>
      <c r="Y385" s="222">
        <v>1</v>
      </c>
      <c r="Z385" s="222">
        <v>15</v>
      </c>
      <c r="AA385" s="224">
        <v>33180151.950000007</v>
      </c>
      <c r="AB385" s="224"/>
      <c r="AC385" s="224"/>
      <c r="AD385" s="224"/>
      <c r="AE385" s="224"/>
      <c r="AF385" s="224">
        <v>14316639.4</v>
      </c>
      <c r="AG385" s="224"/>
      <c r="AH385" s="224"/>
      <c r="AI385" s="224"/>
      <c r="AJ385" s="126"/>
      <c r="AK385" s="126"/>
      <c r="AL385" s="126"/>
      <c r="AM385" s="126"/>
      <c r="AN385" s="126"/>
    </row>
    <row r="386" spans="1:40" ht="15.75" customHeight="1">
      <c r="A386" s="221">
        <f t="shared" si="2"/>
        <v>380</v>
      </c>
      <c r="B386" s="222" t="s">
        <v>5602</v>
      </c>
      <c r="C386" s="222" t="s">
        <v>5</v>
      </c>
      <c r="D386" s="222" t="e">
        <f t="array" ref="D386">IF(F386="","",INDEX(#REF!,MATCH(F386,#REF!,0)))</f>
        <v>#REF!</v>
      </c>
      <c r="E386" s="222" t="e">
        <f t="array" ref="E386">IF(F386="","",INDEX(#REF!,MATCH(F386,#REF!,0)))</f>
        <v>#REF!</v>
      </c>
      <c r="F386" s="222" t="s">
        <v>27</v>
      </c>
      <c r="G386" s="222" t="s">
        <v>4499</v>
      </c>
      <c r="H386" s="223">
        <v>1.2</v>
      </c>
      <c r="I386" s="222" t="s">
        <v>5614</v>
      </c>
      <c r="J386" s="222" t="s">
        <v>5615</v>
      </c>
      <c r="K386" s="222" t="s">
        <v>5616</v>
      </c>
      <c r="L386" s="222">
        <v>0</v>
      </c>
      <c r="M386" s="222">
        <v>0</v>
      </c>
      <c r="N386" s="222" t="s">
        <v>11</v>
      </c>
      <c r="O386" s="222" t="s">
        <v>9</v>
      </c>
      <c r="P386" s="224"/>
      <c r="Q386" s="224"/>
      <c r="R386" s="224"/>
      <c r="S386" s="224"/>
      <c r="T386" s="224"/>
      <c r="U386" s="224">
        <v>83319357.400000006</v>
      </c>
      <c r="V386" s="224"/>
      <c r="W386" s="224"/>
      <c r="X386" s="224"/>
      <c r="Y386" s="222">
        <v>0</v>
      </c>
      <c r="Z386" s="222">
        <v>0</v>
      </c>
      <c r="AA386" s="224"/>
      <c r="AB386" s="224"/>
      <c r="AC386" s="224"/>
      <c r="AD386" s="224"/>
      <c r="AE386" s="224"/>
      <c r="AF386" s="224">
        <v>72367641.909999996</v>
      </c>
      <c r="AG386" s="224"/>
      <c r="AH386" s="224"/>
      <c r="AI386" s="224"/>
      <c r="AJ386" s="126"/>
      <c r="AK386" s="126"/>
      <c r="AL386" s="126"/>
      <c r="AM386" s="126"/>
      <c r="AN386" s="126"/>
    </row>
    <row r="387" spans="1:40" ht="15.75" customHeight="1">
      <c r="A387" s="221">
        <f t="shared" si="2"/>
        <v>381</v>
      </c>
      <c r="B387" s="222" t="s">
        <v>5602</v>
      </c>
      <c r="C387" s="222" t="s">
        <v>5</v>
      </c>
      <c r="D387" s="222" t="e">
        <f t="array" ref="D387">IF(F387="","",INDEX(#REF!,MATCH(F387,#REF!,0)))</f>
        <v>#REF!</v>
      </c>
      <c r="E387" s="222" t="e">
        <f t="array" ref="E387">IF(F387="","",INDEX(#REF!,MATCH(F387,#REF!,0)))</f>
        <v>#REF!</v>
      </c>
      <c r="F387" s="222" t="s">
        <v>27</v>
      </c>
      <c r="G387" s="222" t="s">
        <v>4499</v>
      </c>
      <c r="H387" s="223">
        <v>1.3</v>
      </c>
      <c r="I387" s="222" t="s">
        <v>5617</v>
      </c>
      <c r="J387" s="222" t="s">
        <v>5618</v>
      </c>
      <c r="K387" s="222" t="s">
        <v>5619</v>
      </c>
      <c r="L387" s="222">
        <v>15</v>
      </c>
      <c r="M387" s="222">
        <v>15</v>
      </c>
      <c r="N387" s="222" t="s">
        <v>11</v>
      </c>
      <c r="O387" s="222" t="s">
        <v>9</v>
      </c>
      <c r="P387" s="224"/>
      <c r="Q387" s="224"/>
      <c r="R387" s="224"/>
      <c r="S387" s="224"/>
      <c r="T387" s="224"/>
      <c r="U387" s="224">
        <v>101083593.17</v>
      </c>
      <c r="V387" s="224"/>
      <c r="W387" s="224"/>
      <c r="X387" s="224"/>
      <c r="Y387" s="222">
        <v>1</v>
      </c>
      <c r="Z387" s="222">
        <v>15</v>
      </c>
      <c r="AA387" s="224"/>
      <c r="AB387" s="224"/>
      <c r="AC387" s="224"/>
      <c r="AD387" s="224"/>
      <c r="AE387" s="224"/>
      <c r="AF387" s="224">
        <v>44810119.619999997</v>
      </c>
      <c r="AG387" s="224"/>
      <c r="AH387" s="224"/>
      <c r="AI387" s="224"/>
      <c r="AJ387" s="126"/>
      <c r="AK387" s="126"/>
      <c r="AL387" s="126"/>
      <c r="AM387" s="126"/>
      <c r="AN387" s="126"/>
    </row>
    <row r="388" spans="1:40" ht="15.75" customHeight="1">
      <c r="A388" s="221">
        <f t="shared" si="2"/>
        <v>382</v>
      </c>
      <c r="B388" s="222" t="s">
        <v>5602</v>
      </c>
      <c r="C388" s="222" t="s">
        <v>5</v>
      </c>
      <c r="D388" s="222" t="e">
        <f t="array" ref="D388">IF(F388="","",INDEX(#REF!,MATCH(F388,#REF!,0)))</f>
        <v>#REF!</v>
      </c>
      <c r="E388" s="222" t="e">
        <f t="array" ref="E388">IF(F388="","",INDEX(#REF!,MATCH(F388,#REF!,0)))</f>
        <v>#REF!</v>
      </c>
      <c r="F388" s="222" t="s">
        <v>27</v>
      </c>
      <c r="G388" s="222" t="s">
        <v>4499</v>
      </c>
      <c r="H388" s="223">
        <v>1.4</v>
      </c>
      <c r="I388" s="222" t="s">
        <v>5620</v>
      </c>
      <c r="J388" s="222" t="s">
        <v>5621</v>
      </c>
      <c r="K388" s="222" t="s">
        <v>5622</v>
      </c>
      <c r="L388" s="222">
        <v>3</v>
      </c>
      <c r="M388" s="222">
        <v>3</v>
      </c>
      <c r="N388" s="222" t="s">
        <v>11</v>
      </c>
      <c r="O388" s="222" t="s">
        <v>9</v>
      </c>
      <c r="P388" s="224"/>
      <c r="Q388" s="224"/>
      <c r="R388" s="224"/>
      <c r="S388" s="224"/>
      <c r="T388" s="224"/>
      <c r="U388" s="224">
        <v>30124011.280000001</v>
      </c>
      <c r="V388" s="224"/>
      <c r="W388" s="224"/>
      <c r="X388" s="224"/>
      <c r="Y388" s="222">
        <v>3551470.05</v>
      </c>
      <c r="Z388" s="222">
        <v>3</v>
      </c>
      <c r="AA388" s="224"/>
      <c r="AB388" s="224"/>
      <c r="AC388" s="224"/>
      <c r="AD388" s="224"/>
      <c r="AE388" s="224"/>
      <c r="AF388" s="224">
        <v>3550935.51</v>
      </c>
      <c r="AG388" s="224"/>
      <c r="AH388" s="224"/>
      <c r="AI388" s="224"/>
      <c r="AJ388" s="126"/>
      <c r="AK388" s="126"/>
      <c r="AL388" s="126"/>
      <c r="AM388" s="126"/>
      <c r="AN388" s="126"/>
    </row>
    <row r="389" spans="1:40" ht="15.75" customHeight="1">
      <c r="A389" s="221">
        <f t="shared" si="2"/>
        <v>383</v>
      </c>
      <c r="B389" s="222" t="s">
        <v>5602</v>
      </c>
      <c r="C389" s="222" t="s">
        <v>5</v>
      </c>
      <c r="D389" s="222" t="e">
        <f t="array" ref="D389">IF(F389="","",INDEX(#REF!,MATCH(F389,#REF!,0)))</f>
        <v>#REF!</v>
      </c>
      <c r="E389" s="222" t="e">
        <f t="array" ref="E389">IF(F389="","",INDEX(#REF!,MATCH(F389,#REF!,0)))</f>
        <v>#REF!</v>
      </c>
      <c r="F389" s="222" t="s">
        <v>27</v>
      </c>
      <c r="G389" s="222" t="s">
        <v>4495</v>
      </c>
      <c r="H389" s="223">
        <v>2</v>
      </c>
      <c r="I389" s="222" t="s">
        <v>5623</v>
      </c>
      <c r="J389" s="222" t="s">
        <v>5624</v>
      </c>
      <c r="K389" s="222" t="s">
        <v>5625</v>
      </c>
      <c r="L389" s="222">
        <v>430</v>
      </c>
      <c r="M389" s="222">
        <v>430</v>
      </c>
      <c r="N389" s="222" t="s">
        <v>11</v>
      </c>
      <c r="O389" s="222" t="s">
        <v>9</v>
      </c>
      <c r="P389" s="224"/>
      <c r="Q389" s="224"/>
      <c r="R389" s="224"/>
      <c r="S389" s="224"/>
      <c r="T389" s="224"/>
      <c r="U389" s="224"/>
      <c r="V389" s="224"/>
      <c r="W389" s="224"/>
      <c r="X389" s="224"/>
      <c r="Y389" s="222">
        <v>322</v>
      </c>
      <c r="Z389" s="222">
        <v>430</v>
      </c>
      <c r="AA389" s="224"/>
      <c r="AB389" s="224"/>
      <c r="AC389" s="224"/>
      <c r="AD389" s="224"/>
      <c r="AE389" s="224"/>
      <c r="AF389" s="224"/>
      <c r="AG389" s="224"/>
      <c r="AH389" s="224"/>
      <c r="AI389" s="224"/>
      <c r="AJ389" s="126"/>
      <c r="AK389" s="126"/>
      <c r="AL389" s="126"/>
      <c r="AM389" s="126"/>
      <c r="AN389" s="126"/>
    </row>
    <row r="390" spans="1:40" ht="15.75" customHeight="1">
      <c r="A390" s="221">
        <f t="shared" si="2"/>
        <v>384</v>
      </c>
      <c r="B390" s="222" t="s">
        <v>5602</v>
      </c>
      <c r="C390" s="222" t="s">
        <v>5</v>
      </c>
      <c r="D390" s="222" t="e">
        <f t="array" ref="D390">IF(F390="","",INDEX(#REF!,MATCH(F390,#REF!,0)))</f>
        <v>#REF!</v>
      </c>
      <c r="E390" s="222" t="e">
        <f t="array" ref="E390">IF(F390="","",INDEX(#REF!,MATCH(F390,#REF!,0)))</f>
        <v>#REF!</v>
      </c>
      <c r="F390" s="222" t="s">
        <v>27</v>
      </c>
      <c r="G390" s="222" t="s">
        <v>4499</v>
      </c>
      <c r="H390" s="223">
        <v>2.1</v>
      </c>
      <c r="I390" s="222" t="s">
        <v>5626</v>
      </c>
      <c r="J390" s="222" t="s">
        <v>5627</v>
      </c>
      <c r="K390" s="222" t="s">
        <v>5628</v>
      </c>
      <c r="L390" s="222">
        <v>400</v>
      </c>
      <c r="M390" s="222">
        <v>400</v>
      </c>
      <c r="N390" s="222" t="s">
        <v>11</v>
      </c>
      <c r="O390" s="222" t="s">
        <v>9</v>
      </c>
      <c r="P390" s="224"/>
      <c r="Q390" s="224"/>
      <c r="R390" s="224"/>
      <c r="S390" s="224"/>
      <c r="T390" s="224"/>
      <c r="U390" s="224">
        <v>6500000</v>
      </c>
      <c r="V390" s="224"/>
      <c r="W390" s="224"/>
      <c r="X390" s="224"/>
      <c r="Y390" s="222">
        <v>313</v>
      </c>
      <c r="Z390" s="222">
        <v>400</v>
      </c>
      <c r="AA390" s="224"/>
      <c r="AB390" s="224"/>
      <c r="AC390" s="224"/>
      <c r="AD390" s="224"/>
      <c r="AE390" s="224"/>
      <c r="AF390" s="224">
        <v>1642558.92</v>
      </c>
      <c r="AG390" s="224"/>
      <c r="AH390" s="224"/>
      <c r="AI390" s="224"/>
      <c r="AJ390" s="126"/>
      <c r="AK390" s="126"/>
      <c r="AL390" s="126"/>
      <c r="AM390" s="126"/>
      <c r="AN390" s="126"/>
    </row>
    <row r="391" spans="1:40" ht="15.75" customHeight="1">
      <c r="A391" s="221">
        <f t="shared" si="2"/>
        <v>385</v>
      </c>
      <c r="B391" s="222" t="s">
        <v>5602</v>
      </c>
      <c r="C391" s="222" t="s">
        <v>5</v>
      </c>
      <c r="D391" s="222" t="e">
        <f t="array" ref="D391">IF(F391="","",INDEX(#REF!,MATCH(F391,#REF!,0)))</f>
        <v>#REF!</v>
      </c>
      <c r="E391" s="222" t="e">
        <f t="array" ref="E391">IF(F391="","",INDEX(#REF!,MATCH(F391,#REF!,0)))</f>
        <v>#REF!</v>
      </c>
      <c r="F391" s="222" t="s">
        <v>27</v>
      </c>
      <c r="G391" s="222" t="s">
        <v>4499</v>
      </c>
      <c r="H391" s="223">
        <v>2.2000000000000002</v>
      </c>
      <c r="I391" s="222" t="s">
        <v>5629</v>
      </c>
      <c r="J391" s="222" t="s">
        <v>5630</v>
      </c>
      <c r="K391" s="222" t="s">
        <v>5631</v>
      </c>
      <c r="L391" s="222">
        <v>30</v>
      </c>
      <c r="M391" s="222">
        <v>30</v>
      </c>
      <c r="N391" s="222" t="s">
        <v>11</v>
      </c>
      <c r="O391" s="222" t="s">
        <v>9</v>
      </c>
      <c r="P391" s="224"/>
      <c r="Q391" s="224"/>
      <c r="R391" s="224"/>
      <c r="S391" s="224"/>
      <c r="T391" s="224"/>
      <c r="U391" s="224">
        <v>24000000</v>
      </c>
      <c r="V391" s="224"/>
      <c r="W391" s="224"/>
      <c r="X391" s="224"/>
      <c r="Y391" s="222">
        <v>9</v>
      </c>
      <c r="Z391" s="222">
        <v>30</v>
      </c>
      <c r="AA391" s="224"/>
      <c r="AB391" s="224"/>
      <c r="AC391" s="224"/>
      <c r="AD391" s="224"/>
      <c r="AE391" s="224"/>
      <c r="AF391" s="224">
        <v>12494416.559999999</v>
      </c>
      <c r="AG391" s="224"/>
      <c r="AH391" s="224"/>
      <c r="AI391" s="224"/>
      <c r="AJ391" s="126"/>
      <c r="AK391" s="126"/>
      <c r="AL391" s="126"/>
      <c r="AM391" s="126"/>
      <c r="AN391" s="126"/>
    </row>
    <row r="392" spans="1:40" ht="15.75" customHeight="1">
      <c r="A392" s="221">
        <f t="shared" si="2"/>
        <v>386</v>
      </c>
      <c r="B392" s="222" t="s">
        <v>5602</v>
      </c>
      <c r="C392" s="222" t="s">
        <v>5</v>
      </c>
      <c r="D392" s="222" t="e">
        <f t="array" ref="D392">IF(F392="","",INDEX(#REF!,MATCH(F392,#REF!,0)))</f>
        <v>#REF!</v>
      </c>
      <c r="E392" s="222" t="e">
        <f t="array" ref="E392">IF(F392="","",INDEX(#REF!,MATCH(F392,#REF!,0)))</f>
        <v>#REF!</v>
      </c>
      <c r="F392" s="222" t="s">
        <v>27</v>
      </c>
      <c r="G392" s="222" t="s">
        <v>4499</v>
      </c>
      <c r="H392" s="223">
        <v>2.2999999999999998</v>
      </c>
      <c r="I392" s="222" t="s">
        <v>5632</v>
      </c>
      <c r="J392" s="222" t="s">
        <v>5633</v>
      </c>
      <c r="K392" s="222" t="s">
        <v>5634</v>
      </c>
      <c r="L392" s="222">
        <v>14840985.390000001</v>
      </c>
      <c r="M392" s="222">
        <v>14840985.390000001</v>
      </c>
      <c r="N392" s="222" t="s">
        <v>11</v>
      </c>
      <c r="O392" s="222" t="s">
        <v>9</v>
      </c>
      <c r="P392" s="224"/>
      <c r="Q392" s="224">
        <v>690485.39</v>
      </c>
      <c r="R392" s="224">
        <v>4615890.2699999996</v>
      </c>
      <c r="S392" s="224"/>
      <c r="T392" s="224">
        <v>1457789.76</v>
      </c>
      <c r="U392" s="224">
        <v>5000000</v>
      </c>
      <c r="V392" s="224"/>
      <c r="W392" s="224"/>
      <c r="X392" s="224"/>
      <c r="Y392" s="222">
        <v>1917761.05</v>
      </c>
      <c r="Z392" s="222">
        <v>14840985.390000001</v>
      </c>
      <c r="AA392" s="224"/>
      <c r="AB392" s="224">
        <v>977.05</v>
      </c>
      <c r="AC392" s="224">
        <v>0</v>
      </c>
      <c r="AD392" s="224"/>
      <c r="AE392" s="224">
        <v>0</v>
      </c>
      <c r="AF392" s="224">
        <v>0</v>
      </c>
      <c r="AG392" s="224"/>
      <c r="AH392" s="224"/>
      <c r="AI392" s="224"/>
      <c r="AJ392" s="126"/>
      <c r="AK392" s="126"/>
      <c r="AL392" s="126"/>
      <c r="AM392" s="126"/>
      <c r="AN392" s="126"/>
    </row>
    <row r="393" spans="1:40" ht="15.75" customHeight="1">
      <c r="A393" s="221">
        <f t="shared" si="2"/>
        <v>387</v>
      </c>
      <c r="B393" s="222" t="s">
        <v>5602</v>
      </c>
      <c r="C393" s="222" t="s">
        <v>5</v>
      </c>
      <c r="D393" s="222" t="e">
        <f t="array" ref="D393">IF(F393="","",INDEX(#REF!,MATCH(F393,#REF!,0)))</f>
        <v>#REF!</v>
      </c>
      <c r="E393" s="222" t="e">
        <f t="array" ref="E393">IF(F393="","",INDEX(#REF!,MATCH(F393,#REF!,0)))</f>
        <v>#REF!</v>
      </c>
      <c r="F393" s="222" t="s">
        <v>27</v>
      </c>
      <c r="G393" s="222" t="s">
        <v>4495</v>
      </c>
      <c r="H393" s="223">
        <v>3</v>
      </c>
      <c r="I393" s="222" t="s">
        <v>5635</v>
      </c>
      <c r="J393" s="222" t="s">
        <v>5636</v>
      </c>
      <c r="K393" s="222" t="s">
        <v>5637</v>
      </c>
      <c r="L393" s="222">
        <v>0</v>
      </c>
      <c r="M393" s="222">
        <v>0</v>
      </c>
      <c r="N393" s="222" t="s">
        <v>11</v>
      </c>
      <c r="O393" s="222" t="s">
        <v>9</v>
      </c>
      <c r="P393" s="224"/>
      <c r="Q393" s="224"/>
      <c r="R393" s="224"/>
      <c r="S393" s="224"/>
      <c r="T393" s="224"/>
      <c r="U393" s="224"/>
      <c r="V393" s="224"/>
      <c r="W393" s="224"/>
      <c r="X393" s="224"/>
      <c r="Y393" s="222">
        <v>0</v>
      </c>
      <c r="Z393" s="222">
        <v>0</v>
      </c>
      <c r="AA393" s="224"/>
      <c r="AB393" s="224"/>
      <c r="AC393" s="224"/>
      <c r="AD393" s="224"/>
      <c r="AE393" s="224"/>
      <c r="AF393" s="224"/>
      <c r="AG393" s="224"/>
      <c r="AH393" s="224"/>
      <c r="AI393" s="224"/>
      <c r="AJ393" s="126"/>
      <c r="AK393" s="126"/>
      <c r="AL393" s="126"/>
      <c r="AM393" s="126"/>
      <c r="AN393" s="126"/>
    </row>
    <row r="394" spans="1:40" ht="15.75" customHeight="1">
      <c r="A394" s="221">
        <f t="shared" si="2"/>
        <v>388</v>
      </c>
      <c r="B394" s="222" t="s">
        <v>5602</v>
      </c>
      <c r="C394" s="222" t="s">
        <v>5</v>
      </c>
      <c r="D394" s="222" t="e">
        <f t="array" ref="D394">IF(F394="","",INDEX(#REF!,MATCH(F394,#REF!,0)))</f>
        <v>#REF!</v>
      </c>
      <c r="E394" s="222" t="e">
        <f t="array" ref="E394">IF(F394="","",INDEX(#REF!,MATCH(F394,#REF!,0)))</f>
        <v>#REF!</v>
      </c>
      <c r="F394" s="222" t="s">
        <v>27</v>
      </c>
      <c r="G394" s="222" t="s">
        <v>4499</v>
      </c>
      <c r="H394" s="223">
        <v>3.1</v>
      </c>
      <c r="I394" s="222" t="s">
        <v>5638</v>
      </c>
      <c r="J394" s="222" t="s">
        <v>5639</v>
      </c>
      <c r="K394" s="222" t="s">
        <v>5640</v>
      </c>
      <c r="L394" s="222">
        <v>0</v>
      </c>
      <c r="M394" s="222">
        <v>0</v>
      </c>
      <c r="N394" s="222" t="s">
        <v>11</v>
      </c>
      <c r="O394" s="222" t="s">
        <v>9</v>
      </c>
      <c r="P394" s="224"/>
      <c r="Q394" s="224"/>
      <c r="R394" s="224"/>
      <c r="S394" s="224"/>
      <c r="T394" s="224"/>
      <c r="U394" s="224">
        <v>10956867.970000001</v>
      </c>
      <c r="V394" s="224"/>
      <c r="W394" s="224"/>
      <c r="X394" s="224"/>
      <c r="Y394" s="222">
        <v>0</v>
      </c>
      <c r="Z394" s="222">
        <v>0</v>
      </c>
      <c r="AA394" s="224"/>
      <c r="AB394" s="224"/>
      <c r="AC394" s="224"/>
      <c r="AD394" s="224"/>
      <c r="AE394" s="224"/>
      <c r="AF394" s="224">
        <v>10956852.98</v>
      </c>
      <c r="AG394" s="224"/>
      <c r="AH394" s="224"/>
      <c r="AI394" s="224"/>
      <c r="AJ394" s="126"/>
      <c r="AK394" s="126"/>
      <c r="AL394" s="126"/>
      <c r="AM394" s="126"/>
      <c r="AN394" s="126"/>
    </row>
    <row r="395" spans="1:40" ht="15.75" customHeight="1">
      <c r="A395" s="221">
        <f t="shared" si="2"/>
        <v>389</v>
      </c>
      <c r="B395" s="222" t="s">
        <v>5602</v>
      </c>
      <c r="C395" s="222" t="s">
        <v>5</v>
      </c>
      <c r="D395" s="222" t="e">
        <f t="array" ref="D395">IF(F395="","",INDEX(#REF!,MATCH(F395,#REF!,0)))</f>
        <v>#REF!</v>
      </c>
      <c r="E395" s="222" t="e">
        <f t="array" ref="E395">IF(F395="","",INDEX(#REF!,MATCH(F395,#REF!,0)))</f>
        <v>#REF!</v>
      </c>
      <c r="F395" s="222" t="s">
        <v>27</v>
      </c>
      <c r="G395" s="222" t="s">
        <v>4499</v>
      </c>
      <c r="H395" s="223">
        <v>3.2</v>
      </c>
      <c r="I395" s="222" t="s">
        <v>5641</v>
      </c>
      <c r="J395" s="222" t="s">
        <v>5642</v>
      </c>
      <c r="K395" s="222" t="s">
        <v>5643</v>
      </c>
      <c r="L395" s="222">
        <v>0</v>
      </c>
      <c r="M395" s="222">
        <v>0</v>
      </c>
      <c r="N395" s="222" t="s">
        <v>11</v>
      </c>
      <c r="O395" s="222" t="s">
        <v>9</v>
      </c>
      <c r="P395" s="224"/>
      <c r="Q395" s="224"/>
      <c r="R395" s="224"/>
      <c r="S395" s="224"/>
      <c r="T395" s="224"/>
      <c r="U395" s="224">
        <v>62617063.390000001</v>
      </c>
      <c r="V395" s="224"/>
      <c r="W395" s="224"/>
      <c r="X395" s="224"/>
      <c r="Y395" s="222">
        <v>0</v>
      </c>
      <c r="Z395" s="222">
        <v>0</v>
      </c>
      <c r="AA395" s="224"/>
      <c r="AB395" s="224"/>
      <c r="AC395" s="224"/>
      <c r="AD395" s="224"/>
      <c r="AE395" s="224"/>
      <c r="AF395" s="224">
        <v>9982046.5099999998</v>
      </c>
      <c r="AG395" s="224"/>
      <c r="AH395" s="224"/>
      <c r="AI395" s="224"/>
      <c r="AJ395" s="126"/>
      <c r="AK395" s="126"/>
      <c r="AL395" s="126"/>
      <c r="AM395" s="126"/>
      <c r="AN395" s="126"/>
    </row>
    <row r="396" spans="1:40" ht="15.75" customHeight="1">
      <c r="A396" s="221">
        <f t="shared" si="2"/>
        <v>390</v>
      </c>
      <c r="B396" s="222" t="s">
        <v>5602</v>
      </c>
      <c r="C396" s="222" t="s">
        <v>5</v>
      </c>
      <c r="D396" s="222" t="e">
        <f t="array" ref="D396">IF(F396="","",INDEX(#REF!,MATCH(F396,#REF!,0)))</f>
        <v>#REF!</v>
      </c>
      <c r="E396" s="222" t="e">
        <f t="array" ref="E396">IF(F396="","",INDEX(#REF!,MATCH(F396,#REF!,0)))</f>
        <v>#REF!</v>
      </c>
      <c r="F396" s="222" t="s">
        <v>27</v>
      </c>
      <c r="G396" s="222" t="s">
        <v>4499</v>
      </c>
      <c r="H396" s="223">
        <v>3.3</v>
      </c>
      <c r="I396" s="222" t="s">
        <v>5644</v>
      </c>
      <c r="J396" s="222" t="s">
        <v>5645</v>
      </c>
      <c r="K396" s="222" t="s">
        <v>5646</v>
      </c>
      <c r="L396" s="222">
        <v>0</v>
      </c>
      <c r="M396" s="222">
        <v>0</v>
      </c>
      <c r="N396" s="222" t="s">
        <v>11</v>
      </c>
      <c r="O396" s="222" t="s">
        <v>9</v>
      </c>
      <c r="P396" s="224"/>
      <c r="Q396" s="224"/>
      <c r="R396" s="224"/>
      <c r="S396" s="224"/>
      <c r="T396" s="224"/>
      <c r="U396" s="224">
        <v>54314908.299999997</v>
      </c>
      <c r="V396" s="224"/>
      <c r="W396" s="224"/>
      <c r="X396" s="224"/>
      <c r="Y396" s="222">
        <v>0</v>
      </c>
      <c r="Z396" s="222">
        <v>0</v>
      </c>
      <c r="AA396" s="224"/>
      <c r="AB396" s="224"/>
      <c r="AC396" s="224"/>
      <c r="AD396" s="224"/>
      <c r="AE396" s="224"/>
      <c r="AF396" s="224">
        <v>1747510</v>
      </c>
      <c r="AG396" s="224"/>
      <c r="AH396" s="224"/>
      <c r="AI396" s="224"/>
      <c r="AJ396" s="126"/>
      <c r="AK396" s="126"/>
      <c r="AL396" s="126"/>
      <c r="AM396" s="126"/>
      <c r="AN396" s="126"/>
    </row>
    <row r="397" spans="1:40" ht="15.75" customHeight="1">
      <c r="A397" s="221">
        <f t="shared" si="2"/>
        <v>391</v>
      </c>
      <c r="B397" s="222" t="s">
        <v>5602</v>
      </c>
      <c r="C397" s="222" t="s">
        <v>5</v>
      </c>
      <c r="D397" s="222" t="e">
        <f t="array" ref="D397">IF(F397="","",INDEX(#REF!,MATCH(F397,#REF!,0)))</f>
        <v>#REF!</v>
      </c>
      <c r="E397" s="222" t="e">
        <f t="array" ref="E397">IF(F397="","",INDEX(#REF!,MATCH(F397,#REF!,0)))</f>
        <v>#REF!</v>
      </c>
      <c r="F397" s="222" t="s">
        <v>27</v>
      </c>
      <c r="G397" s="222" t="s">
        <v>4499</v>
      </c>
      <c r="H397" s="223">
        <v>3.4</v>
      </c>
      <c r="I397" s="222" t="s">
        <v>5647</v>
      </c>
      <c r="J397" s="222" t="s">
        <v>5648</v>
      </c>
      <c r="K397" s="222" t="s">
        <v>5649</v>
      </c>
      <c r="L397" s="222">
        <v>0</v>
      </c>
      <c r="M397" s="222">
        <v>0</v>
      </c>
      <c r="N397" s="222" t="s">
        <v>11</v>
      </c>
      <c r="O397" s="222" t="s">
        <v>9</v>
      </c>
      <c r="P397" s="224"/>
      <c r="Q397" s="224"/>
      <c r="R397" s="224"/>
      <c r="S397" s="224"/>
      <c r="T397" s="224"/>
      <c r="U397" s="224">
        <v>23208286.59</v>
      </c>
      <c r="V397" s="224"/>
      <c r="W397" s="224"/>
      <c r="X397" s="224"/>
      <c r="Y397" s="222">
        <v>0</v>
      </c>
      <c r="Z397" s="222">
        <v>0</v>
      </c>
      <c r="AA397" s="224"/>
      <c r="AB397" s="224"/>
      <c r="AC397" s="224"/>
      <c r="AD397" s="224"/>
      <c r="AE397" s="224"/>
      <c r="AF397" s="224">
        <v>1403470.4</v>
      </c>
      <c r="AG397" s="224"/>
      <c r="AH397" s="224"/>
      <c r="AI397" s="224"/>
      <c r="AJ397" s="126"/>
      <c r="AK397" s="126"/>
      <c r="AL397" s="126"/>
      <c r="AM397" s="126"/>
      <c r="AN397" s="126"/>
    </row>
    <row r="398" spans="1:40" ht="15.75" customHeight="1">
      <c r="A398" s="221">
        <f t="shared" si="2"/>
        <v>392</v>
      </c>
      <c r="B398" s="222" t="s">
        <v>5602</v>
      </c>
      <c r="C398" s="222" t="s">
        <v>5</v>
      </c>
      <c r="D398" s="222" t="e">
        <f t="array" ref="D398">IF(F398="","",INDEX(#REF!,MATCH(F398,#REF!,0)))</f>
        <v>#REF!</v>
      </c>
      <c r="E398" s="222" t="e">
        <f t="array" ref="E398">IF(F398="","",INDEX(#REF!,MATCH(F398,#REF!,0)))</f>
        <v>#REF!</v>
      </c>
      <c r="F398" s="222" t="s">
        <v>27</v>
      </c>
      <c r="G398" s="222" t="s">
        <v>4495</v>
      </c>
      <c r="H398" s="223">
        <v>4</v>
      </c>
      <c r="I398" s="222" t="s">
        <v>5650</v>
      </c>
      <c r="J398" s="222" t="s">
        <v>5651</v>
      </c>
      <c r="K398" s="222" t="s">
        <v>5652</v>
      </c>
      <c r="L398" s="222">
        <v>22</v>
      </c>
      <c r="M398" s="222">
        <v>22</v>
      </c>
      <c r="N398" s="222" t="s">
        <v>11</v>
      </c>
      <c r="O398" s="222" t="s">
        <v>9</v>
      </c>
      <c r="P398" s="224"/>
      <c r="Q398" s="224"/>
      <c r="R398" s="224"/>
      <c r="S398" s="224"/>
      <c r="T398" s="224"/>
      <c r="U398" s="224"/>
      <c r="V398" s="224"/>
      <c r="W398" s="224"/>
      <c r="X398" s="224"/>
      <c r="Y398" s="222">
        <v>0</v>
      </c>
      <c r="Z398" s="222">
        <v>22</v>
      </c>
      <c r="AA398" s="224"/>
      <c r="AB398" s="224"/>
      <c r="AC398" s="224"/>
      <c r="AD398" s="224"/>
      <c r="AE398" s="224"/>
      <c r="AF398" s="224"/>
      <c r="AG398" s="224"/>
      <c r="AH398" s="224"/>
      <c r="AI398" s="224"/>
      <c r="AJ398" s="126"/>
      <c r="AK398" s="126"/>
      <c r="AL398" s="126"/>
      <c r="AM398" s="126"/>
      <c r="AN398" s="126"/>
    </row>
    <row r="399" spans="1:40" ht="15.75" customHeight="1">
      <c r="A399" s="221">
        <f t="shared" si="2"/>
        <v>393</v>
      </c>
      <c r="B399" s="222" t="s">
        <v>5602</v>
      </c>
      <c r="C399" s="222" t="s">
        <v>5</v>
      </c>
      <c r="D399" s="222" t="e">
        <f t="array" ref="D399">IF(F399="","",INDEX(#REF!,MATCH(F399,#REF!,0)))</f>
        <v>#REF!</v>
      </c>
      <c r="E399" s="222" t="e">
        <f t="array" ref="E399">IF(F399="","",INDEX(#REF!,MATCH(F399,#REF!,0)))</f>
        <v>#REF!</v>
      </c>
      <c r="F399" s="222" t="s">
        <v>27</v>
      </c>
      <c r="G399" s="222" t="s">
        <v>4499</v>
      </c>
      <c r="H399" s="223">
        <v>4.0999999999999996</v>
      </c>
      <c r="I399" s="222" t="s">
        <v>5653</v>
      </c>
      <c r="J399" s="222" t="s">
        <v>5654</v>
      </c>
      <c r="K399" s="222" t="s">
        <v>5655</v>
      </c>
      <c r="L399" s="222">
        <v>16</v>
      </c>
      <c r="M399" s="222">
        <v>16</v>
      </c>
      <c r="N399" s="222" t="s">
        <v>11</v>
      </c>
      <c r="O399" s="222" t="s">
        <v>9</v>
      </c>
      <c r="P399" s="224"/>
      <c r="Q399" s="224"/>
      <c r="R399" s="224"/>
      <c r="S399" s="224"/>
      <c r="T399" s="224"/>
      <c r="U399" s="224">
        <v>234708837.93000001</v>
      </c>
      <c r="V399" s="224"/>
      <c r="W399" s="224"/>
      <c r="X399" s="224"/>
      <c r="Y399" s="222">
        <v>0</v>
      </c>
      <c r="Z399" s="222">
        <v>16</v>
      </c>
      <c r="AA399" s="224"/>
      <c r="AB399" s="224"/>
      <c r="AC399" s="224"/>
      <c r="AD399" s="224"/>
      <c r="AE399" s="224"/>
      <c r="AF399" s="224">
        <v>8836489.5999999996</v>
      </c>
      <c r="AG399" s="224"/>
      <c r="AH399" s="224"/>
      <c r="AI399" s="224"/>
      <c r="AJ399" s="126"/>
      <c r="AK399" s="126"/>
      <c r="AL399" s="126"/>
      <c r="AM399" s="126"/>
      <c r="AN399" s="126"/>
    </row>
    <row r="400" spans="1:40" ht="15.75" customHeight="1">
      <c r="A400" s="221">
        <f t="shared" si="2"/>
        <v>394</v>
      </c>
      <c r="B400" s="222" t="s">
        <v>5602</v>
      </c>
      <c r="C400" s="222" t="s">
        <v>5</v>
      </c>
      <c r="D400" s="222" t="e">
        <f t="array" ref="D400">IF(F400="","",INDEX(#REF!,MATCH(F400,#REF!,0)))</f>
        <v>#REF!</v>
      </c>
      <c r="E400" s="222" t="e">
        <f t="array" ref="E400">IF(F400="","",INDEX(#REF!,MATCH(F400,#REF!,0)))</f>
        <v>#REF!</v>
      </c>
      <c r="F400" s="222" t="s">
        <v>27</v>
      </c>
      <c r="G400" s="222" t="s">
        <v>4499</v>
      </c>
      <c r="H400" s="223">
        <v>4.2</v>
      </c>
      <c r="I400" s="222" t="s">
        <v>5656</v>
      </c>
      <c r="J400" s="222" t="s">
        <v>5657</v>
      </c>
      <c r="K400" s="222" t="s">
        <v>5658</v>
      </c>
      <c r="L400" s="222">
        <v>6</v>
      </c>
      <c r="M400" s="222">
        <v>6</v>
      </c>
      <c r="N400" s="222" t="s">
        <v>11</v>
      </c>
      <c r="O400" s="222" t="s">
        <v>9</v>
      </c>
      <c r="P400" s="224"/>
      <c r="Q400" s="224"/>
      <c r="R400" s="224"/>
      <c r="S400" s="224"/>
      <c r="T400" s="224"/>
      <c r="U400" s="224">
        <v>55559586.560000002</v>
      </c>
      <c r="V400" s="224"/>
      <c r="W400" s="224"/>
      <c r="X400" s="224"/>
      <c r="Y400" s="222">
        <v>0</v>
      </c>
      <c r="Z400" s="222">
        <v>6</v>
      </c>
      <c r="AA400" s="224"/>
      <c r="AB400" s="224"/>
      <c r="AC400" s="224"/>
      <c r="AD400" s="224"/>
      <c r="AE400" s="224"/>
      <c r="AF400" s="224">
        <v>449945.97</v>
      </c>
      <c r="AG400" s="224"/>
      <c r="AH400" s="224"/>
      <c r="AI400" s="224"/>
      <c r="AJ400" s="126"/>
      <c r="AK400" s="126"/>
      <c r="AL400" s="126"/>
      <c r="AM400" s="126"/>
      <c r="AN400" s="126"/>
    </row>
    <row r="401" spans="1:40" ht="15.75" customHeight="1">
      <c r="A401" s="221">
        <f t="shared" si="2"/>
        <v>395</v>
      </c>
      <c r="B401" s="222" t="s">
        <v>5602</v>
      </c>
      <c r="C401" s="222" t="s">
        <v>5</v>
      </c>
      <c r="D401" s="222" t="e">
        <f t="array" ref="D401">IF(F401="","",INDEX(#REF!,MATCH(F401,#REF!,0)))</f>
        <v>#REF!</v>
      </c>
      <c r="E401" s="222" t="e">
        <f t="array" ref="E401">IF(F401="","",INDEX(#REF!,MATCH(F401,#REF!,0)))</f>
        <v>#REF!</v>
      </c>
      <c r="F401" s="222" t="s">
        <v>27</v>
      </c>
      <c r="G401" s="222" t="s">
        <v>4499</v>
      </c>
      <c r="H401" s="223">
        <v>4.3</v>
      </c>
      <c r="I401" s="222" t="s">
        <v>5659</v>
      </c>
      <c r="J401" s="222" t="s">
        <v>5660</v>
      </c>
      <c r="K401" s="222" t="s">
        <v>5661</v>
      </c>
      <c r="L401" s="222">
        <v>0</v>
      </c>
      <c r="M401" s="222">
        <v>0</v>
      </c>
      <c r="N401" s="222" t="s">
        <v>11</v>
      </c>
      <c r="O401" s="222" t="s">
        <v>9</v>
      </c>
      <c r="P401" s="224"/>
      <c r="Q401" s="224"/>
      <c r="R401" s="224"/>
      <c r="S401" s="224"/>
      <c r="T401" s="224"/>
      <c r="U401" s="224">
        <v>15000000</v>
      </c>
      <c r="V401" s="224"/>
      <c r="W401" s="224"/>
      <c r="X401" s="224"/>
      <c r="Y401" s="222">
        <v>0</v>
      </c>
      <c r="Z401" s="222">
        <v>0</v>
      </c>
      <c r="AA401" s="224"/>
      <c r="AB401" s="224"/>
      <c r="AC401" s="224"/>
      <c r="AD401" s="224"/>
      <c r="AE401" s="224"/>
      <c r="AF401" s="224">
        <v>0</v>
      </c>
      <c r="AG401" s="224"/>
      <c r="AH401" s="224"/>
      <c r="AI401" s="224"/>
      <c r="AJ401" s="126"/>
      <c r="AK401" s="126"/>
      <c r="AL401" s="126"/>
      <c r="AM401" s="126"/>
      <c r="AN401" s="126"/>
    </row>
    <row r="402" spans="1:40" ht="15.75" customHeight="1">
      <c r="A402" s="221">
        <f t="shared" si="2"/>
        <v>396</v>
      </c>
      <c r="B402" s="222" t="s">
        <v>5602</v>
      </c>
      <c r="C402" s="222" t="s">
        <v>5</v>
      </c>
      <c r="D402" s="222" t="e">
        <f t="array" ref="D402">IF(F402="","",INDEX(#REF!,MATCH(F402,#REF!,0)))</f>
        <v>#REF!</v>
      </c>
      <c r="E402" s="222" t="e">
        <f t="array" ref="E402">IF(F402="","",INDEX(#REF!,MATCH(F402,#REF!,0)))</f>
        <v>#REF!</v>
      </c>
      <c r="F402" s="222" t="s">
        <v>27</v>
      </c>
      <c r="G402" s="222" t="s">
        <v>4499</v>
      </c>
      <c r="H402" s="223">
        <v>4.4000000000000004</v>
      </c>
      <c r="I402" s="222" t="s">
        <v>5662</v>
      </c>
      <c r="J402" s="222" t="s">
        <v>5663</v>
      </c>
      <c r="K402" s="222" t="s">
        <v>5664</v>
      </c>
      <c r="L402" s="222">
        <v>0</v>
      </c>
      <c r="M402" s="222">
        <v>0</v>
      </c>
      <c r="N402" s="222" t="s">
        <v>11</v>
      </c>
      <c r="O402" s="222" t="s">
        <v>9</v>
      </c>
      <c r="P402" s="224"/>
      <c r="Q402" s="224"/>
      <c r="R402" s="224"/>
      <c r="S402" s="224"/>
      <c r="T402" s="224"/>
      <c r="U402" s="224">
        <v>59774164</v>
      </c>
      <c r="V402" s="224"/>
      <c r="W402" s="224"/>
      <c r="X402" s="224"/>
      <c r="Y402" s="222">
        <v>0</v>
      </c>
      <c r="Z402" s="222">
        <v>0</v>
      </c>
      <c r="AA402" s="224"/>
      <c r="AB402" s="224"/>
      <c r="AC402" s="224"/>
      <c r="AD402" s="224"/>
      <c r="AE402" s="224"/>
      <c r="AF402" s="224">
        <v>8138047.6199999992</v>
      </c>
      <c r="AG402" s="224"/>
      <c r="AH402" s="224"/>
      <c r="AI402" s="224"/>
      <c r="AJ402" s="126"/>
      <c r="AK402" s="126"/>
      <c r="AL402" s="126"/>
      <c r="AM402" s="126"/>
      <c r="AN402" s="126"/>
    </row>
    <row r="403" spans="1:40" ht="15.75" customHeight="1">
      <c r="A403" s="221">
        <f t="shared" si="2"/>
        <v>397</v>
      </c>
      <c r="B403" s="222" t="s">
        <v>5602</v>
      </c>
      <c r="C403" s="222" t="s">
        <v>5</v>
      </c>
      <c r="D403" s="222" t="e">
        <f t="array" ref="D403">IF(F403="","",INDEX(#REF!,MATCH(F403,#REF!,0)))</f>
        <v>#REF!</v>
      </c>
      <c r="E403" s="222" t="e">
        <f t="array" ref="E403">IF(F403="","",INDEX(#REF!,MATCH(F403,#REF!,0)))</f>
        <v>#REF!</v>
      </c>
      <c r="F403" s="222" t="s">
        <v>27</v>
      </c>
      <c r="G403" s="222" t="s">
        <v>4499</v>
      </c>
      <c r="H403" s="223">
        <v>4.5</v>
      </c>
      <c r="I403" s="222" t="s">
        <v>5665</v>
      </c>
      <c r="J403" s="222" t="s">
        <v>5666</v>
      </c>
      <c r="K403" s="222" t="s">
        <v>5667</v>
      </c>
      <c r="L403" s="222">
        <v>0</v>
      </c>
      <c r="M403" s="222">
        <v>0</v>
      </c>
      <c r="N403" s="222" t="s">
        <v>11</v>
      </c>
      <c r="O403" s="222" t="s">
        <v>9</v>
      </c>
      <c r="P403" s="224"/>
      <c r="Q403" s="224"/>
      <c r="R403" s="224"/>
      <c r="S403" s="224"/>
      <c r="T403" s="224"/>
      <c r="U403" s="224">
        <v>81996248.400000006</v>
      </c>
      <c r="V403" s="224"/>
      <c r="W403" s="224"/>
      <c r="X403" s="224"/>
      <c r="Y403" s="222">
        <v>0</v>
      </c>
      <c r="Z403" s="222">
        <v>0</v>
      </c>
      <c r="AA403" s="224"/>
      <c r="AB403" s="224"/>
      <c r="AC403" s="224"/>
      <c r="AD403" s="224"/>
      <c r="AE403" s="224"/>
      <c r="AF403" s="224">
        <v>27533619.469999999</v>
      </c>
      <c r="AG403" s="224"/>
      <c r="AH403" s="224"/>
      <c r="AI403" s="224"/>
      <c r="AJ403" s="126"/>
      <c r="AK403" s="126"/>
      <c r="AL403" s="126"/>
      <c r="AM403" s="126"/>
      <c r="AN403" s="126"/>
    </row>
    <row r="404" spans="1:40" ht="15.75" customHeight="1">
      <c r="A404" s="221">
        <f t="shared" si="2"/>
        <v>398</v>
      </c>
      <c r="B404" s="222" t="s">
        <v>5668</v>
      </c>
      <c r="C404" s="222" t="s">
        <v>5</v>
      </c>
      <c r="D404" s="222" t="e">
        <f t="array" ref="D404">IF(F404="","",INDEX(#REF!,MATCH(F404,#REF!,0)))</f>
        <v>#REF!</v>
      </c>
      <c r="E404" s="222" t="e">
        <f t="array" ref="E404">IF(F404="","",INDEX(#REF!,MATCH(F404,#REF!,0)))</f>
        <v>#REF!</v>
      </c>
      <c r="F404" s="222" t="s">
        <v>30</v>
      </c>
      <c r="G404" s="222" t="s">
        <v>0</v>
      </c>
      <c r="H404" s="223" t="s">
        <v>4487</v>
      </c>
      <c r="I404" s="222" t="s">
        <v>5669</v>
      </c>
      <c r="J404" s="222" t="s">
        <v>5670</v>
      </c>
      <c r="K404" s="222" t="s">
        <v>5671</v>
      </c>
      <c r="L404" s="222">
        <v>1</v>
      </c>
      <c r="M404" s="222">
        <v>2</v>
      </c>
      <c r="N404" s="222" t="s">
        <v>17</v>
      </c>
      <c r="O404" s="222" t="s">
        <v>9</v>
      </c>
      <c r="P404" s="224"/>
      <c r="Q404" s="224"/>
      <c r="R404" s="224"/>
      <c r="S404" s="224"/>
      <c r="T404" s="224"/>
      <c r="U404" s="224"/>
      <c r="V404" s="224"/>
      <c r="W404" s="224"/>
      <c r="X404" s="224"/>
      <c r="Y404" s="222">
        <v>0</v>
      </c>
      <c r="Z404" s="222">
        <v>2</v>
      </c>
      <c r="AA404" s="224"/>
      <c r="AB404" s="224"/>
      <c r="AC404" s="224"/>
      <c r="AD404" s="224"/>
      <c r="AE404" s="224"/>
      <c r="AF404" s="224"/>
      <c r="AG404" s="224"/>
      <c r="AH404" s="224"/>
      <c r="AI404" s="224"/>
      <c r="AJ404" s="126"/>
      <c r="AK404" s="126"/>
      <c r="AL404" s="126"/>
      <c r="AM404" s="126"/>
      <c r="AN404" s="126"/>
    </row>
    <row r="405" spans="1:40" ht="15.75" customHeight="1">
      <c r="A405" s="221">
        <f t="shared" si="2"/>
        <v>399</v>
      </c>
      <c r="B405" s="222" t="s">
        <v>5668</v>
      </c>
      <c r="C405" s="222" t="s">
        <v>5</v>
      </c>
      <c r="D405" s="222" t="e">
        <f t="array" ref="D405">IF(F405="","",INDEX(#REF!,MATCH(F405,#REF!,0)))</f>
        <v>#REF!</v>
      </c>
      <c r="E405" s="222" t="e">
        <f t="array" ref="E405">IF(F405="","",INDEX(#REF!,MATCH(F405,#REF!,0)))</f>
        <v>#REF!</v>
      </c>
      <c r="F405" s="222" t="s">
        <v>30</v>
      </c>
      <c r="G405" s="222" t="s">
        <v>4491</v>
      </c>
      <c r="H405" s="223" t="s">
        <v>4487</v>
      </c>
      <c r="I405" s="222" t="s">
        <v>5672</v>
      </c>
      <c r="J405" s="222" t="s">
        <v>5672</v>
      </c>
      <c r="K405" s="222" t="s">
        <v>5673</v>
      </c>
      <c r="L405" s="222">
        <v>2500</v>
      </c>
      <c r="M405" s="222">
        <v>2500</v>
      </c>
      <c r="N405" s="222" t="s">
        <v>11</v>
      </c>
      <c r="O405" s="222" t="s">
        <v>9</v>
      </c>
      <c r="P405" s="224"/>
      <c r="Q405" s="224"/>
      <c r="R405" s="224"/>
      <c r="S405" s="224"/>
      <c r="T405" s="224"/>
      <c r="U405" s="224"/>
      <c r="V405" s="224"/>
      <c r="W405" s="224"/>
      <c r="X405" s="224"/>
      <c r="Y405" s="222">
        <v>1401</v>
      </c>
      <c r="Z405" s="222">
        <v>2500</v>
      </c>
      <c r="AA405" s="224"/>
      <c r="AB405" s="224"/>
      <c r="AC405" s="224"/>
      <c r="AD405" s="224"/>
      <c r="AE405" s="224"/>
      <c r="AF405" s="224"/>
      <c r="AG405" s="224"/>
      <c r="AH405" s="224"/>
      <c r="AI405" s="224"/>
      <c r="AJ405" s="126"/>
      <c r="AK405" s="126"/>
      <c r="AL405" s="126"/>
      <c r="AM405" s="126"/>
      <c r="AN405" s="126"/>
    </row>
    <row r="406" spans="1:40" ht="15.75" customHeight="1">
      <c r="A406" s="221">
        <f t="shared" si="2"/>
        <v>400</v>
      </c>
      <c r="B406" s="222" t="s">
        <v>5668</v>
      </c>
      <c r="C406" s="222" t="s">
        <v>5</v>
      </c>
      <c r="D406" s="222" t="e">
        <f t="array" ref="D406">IF(F406="","",INDEX(#REF!,MATCH(F406,#REF!,0)))</f>
        <v>#REF!</v>
      </c>
      <c r="E406" s="222" t="e">
        <f t="array" ref="E406">IF(F406="","",INDEX(#REF!,MATCH(F406,#REF!,0)))</f>
        <v>#REF!</v>
      </c>
      <c r="F406" s="222" t="s">
        <v>30</v>
      </c>
      <c r="G406" s="222" t="s">
        <v>4495</v>
      </c>
      <c r="H406" s="223">
        <v>1</v>
      </c>
      <c r="I406" s="222" t="s">
        <v>5674</v>
      </c>
      <c r="J406" s="222" t="s">
        <v>5675</v>
      </c>
      <c r="K406" s="222" t="s">
        <v>5676</v>
      </c>
      <c r="L406" s="222">
        <v>2500</v>
      </c>
      <c r="M406" s="222">
        <v>2500</v>
      </c>
      <c r="N406" s="222" t="s">
        <v>11</v>
      </c>
      <c r="O406" s="222" t="s">
        <v>9</v>
      </c>
      <c r="P406" s="224"/>
      <c r="Q406" s="224"/>
      <c r="R406" s="224"/>
      <c r="S406" s="224"/>
      <c r="T406" s="224"/>
      <c r="U406" s="224"/>
      <c r="V406" s="224"/>
      <c r="W406" s="224"/>
      <c r="X406" s="224"/>
      <c r="Y406" s="222">
        <v>1373</v>
      </c>
      <c r="Z406" s="222">
        <v>2500</v>
      </c>
      <c r="AA406" s="224"/>
      <c r="AB406" s="224"/>
      <c r="AC406" s="224"/>
      <c r="AD406" s="224"/>
      <c r="AE406" s="224"/>
      <c r="AF406" s="224"/>
      <c r="AG406" s="224"/>
      <c r="AH406" s="224"/>
      <c r="AI406" s="224"/>
      <c r="AJ406" s="126"/>
      <c r="AK406" s="126"/>
      <c r="AL406" s="126"/>
      <c r="AM406" s="126"/>
      <c r="AN406" s="126"/>
    </row>
    <row r="407" spans="1:40" ht="15.75" customHeight="1">
      <c r="A407" s="221">
        <f t="shared" si="2"/>
        <v>401</v>
      </c>
      <c r="B407" s="222" t="s">
        <v>5668</v>
      </c>
      <c r="C407" s="222" t="s">
        <v>5</v>
      </c>
      <c r="D407" s="222" t="e">
        <f t="array" ref="D407">IF(F407="","",INDEX(#REF!,MATCH(F407,#REF!,0)))</f>
        <v>#REF!</v>
      </c>
      <c r="E407" s="222" t="e">
        <f t="array" ref="E407">IF(F407="","",INDEX(#REF!,MATCH(F407,#REF!,0)))</f>
        <v>#REF!</v>
      </c>
      <c r="F407" s="222" t="s">
        <v>30</v>
      </c>
      <c r="G407" s="222" t="s">
        <v>4499</v>
      </c>
      <c r="H407" s="223">
        <v>1.2</v>
      </c>
      <c r="I407" s="222" t="s">
        <v>5677</v>
      </c>
      <c r="J407" s="222" t="s">
        <v>5678</v>
      </c>
      <c r="K407" s="222" t="s">
        <v>5679</v>
      </c>
      <c r="L407" s="222">
        <v>16</v>
      </c>
      <c r="M407" s="222">
        <v>100</v>
      </c>
      <c r="N407" s="222" t="s">
        <v>11</v>
      </c>
      <c r="O407" s="222" t="s">
        <v>9</v>
      </c>
      <c r="P407" s="224">
        <v>22773232</v>
      </c>
      <c r="Q407" s="224">
        <v>100500</v>
      </c>
      <c r="R407" s="224">
        <v>48720</v>
      </c>
      <c r="S407" s="224"/>
      <c r="T407" s="224"/>
      <c r="U407" s="224"/>
      <c r="V407" s="224"/>
      <c r="W407" s="224"/>
      <c r="X407" s="224"/>
      <c r="Y407" s="222">
        <v>42</v>
      </c>
      <c r="Z407" s="222">
        <v>100</v>
      </c>
      <c r="AA407" s="224">
        <v>10582712.099999996</v>
      </c>
      <c r="AB407" s="224">
        <v>0</v>
      </c>
      <c r="AC407" s="224">
        <v>0</v>
      </c>
      <c r="AD407" s="224"/>
      <c r="AE407" s="224"/>
      <c r="AF407" s="224"/>
      <c r="AG407" s="224"/>
      <c r="AH407" s="224"/>
      <c r="AI407" s="224"/>
      <c r="AJ407" s="126"/>
      <c r="AK407" s="126"/>
      <c r="AL407" s="126"/>
      <c r="AM407" s="126"/>
      <c r="AN407" s="126"/>
    </row>
    <row r="408" spans="1:40" ht="15.75" customHeight="1">
      <c r="A408" s="221">
        <f t="shared" si="2"/>
        <v>402</v>
      </c>
      <c r="B408" s="222" t="s">
        <v>5668</v>
      </c>
      <c r="C408" s="222" t="s">
        <v>5</v>
      </c>
      <c r="D408" s="222" t="e">
        <f t="array" ref="D408">IF(F408="","",INDEX(#REF!,MATCH(F408,#REF!,0)))</f>
        <v>#REF!</v>
      </c>
      <c r="E408" s="222" t="e">
        <f t="array" ref="E408">IF(F408="","",INDEX(#REF!,MATCH(F408,#REF!,0)))</f>
        <v>#REF!</v>
      </c>
      <c r="F408" s="222" t="s">
        <v>30</v>
      </c>
      <c r="G408" s="222" t="s">
        <v>4499</v>
      </c>
      <c r="H408" s="223">
        <v>1.1000000000000001</v>
      </c>
      <c r="I408" s="222" t="s">
        <v>5680</v>
      </c>
      <c r="J408" s="222" t="s">
        <v>5681</v>
      </c>
      <c r="K408" s="222" t="s">
        <v>5682</v>
      </c>
      <c r="L408" s="222">
        <v>2500</v>
      </c>
      <c r="M408" s="222">
        <v>2500</v>
      </c>
      <c r="N408" s="222" t="s">
        <v>11</v>
      </c>
      <c r="O408" s="222" t="s">
        <v>9</v>
      </c>
      <c r="P408" s="224">
        <v>16542404.789999999</v>
      </c>
      <c r="Q408" s="224">
        <v>290934.51</v>
      </c>
      <c r="R408" s="224">
        <v>2783089.49</v>
      </c>
      <c r="S408" s="224">
        <v>4055000</v>
      </c>
      <c r="T408" s="224">
        <v>860000</v>
      </c>
      <c r="U408" s="224"/>
      <c r="V408" s="224"/>
      <c r="W408" s="224"/>
      <c r="X408" s="224"/>
      <c r="Y408" s="222">
        <v>1347</v>
      </c>
      <c r="Z408" s="222">
        <v>2500</v>
      </c>
      <c r="AA408" s="224">
        <v>1497444.0000000002</v>
      </c>
      <c r="AB408" s="224">
        <v>212.5</v>
      </c>
      <c r="AC408" s="224">
        <v>5327.96</v>
      </c>
      <c r="AD408" s="224">
        <v>315660.59999999998</v>
      </c>
      <c r="AE408" s="224">
        <v>0</v>
      </c>
      <c r="AF408" s="224"/>
      <c r="AG408" s="224"/>
      <c r="AH408" s="224"/>
      <c r="AI408" s="224"/>
      <c r="AJ408" s="126"/>
      <c r="AK408" s="126"/>
      <c r="AL408" s="126"/>
      <c r="AM408" s="126"/>
      <c r="AN408" s="126"/>
    </row>
    <row r="409" spans="1:40" ht="15.75" customHeight="1">
      <c r="A409" s="221">
        <f t="shared" si="2"/>
        <v>403</v>
      </c>
      <c r="B409" s="222" t="s">
        <v>5668</v>
      </c>
      <c r="C409" s="222" t="s">
        <v>5</v>
      </c>
      <c r="D409" s="222" t="e">
        <f t="array" ref="D409">IF(F409="","",INDEX(#REF!,MATCH(F409,#REF!,0)))</f>
        <v>#REF!</v>
      </c>
      <c r="E409" s="222" t="e">
        <f t="array" ref="E409">IF(F409="","",INDEX(#REF!,MATCH(F409,#REF!,0)))</f>
        <v>#REF!</v>
      </c>
      <c r="F409" s="222" t="s">
        <v>30</v>
      </c>
      <c r="G409" s="222" t="s">
        <v>4499</v>
      </c>
      <c r="H409" s="223">
        <v>1.3</v>
      </c>
      <c r="I409" s="222" t="s">
        <v>5683</v>
      </c>
      <c r="J409" s="222" t="s">
        <v>5684</v>
      </c>
      <c r="K409" s="222" t="s">
        <v>5685</v>
      </c>
      <c r="L409" s="222">
        <v>70</v>
      </c>
      <c r="M409" s="222">
        <v>70</v>
      </c>
      <c r="N409" s="222" t="s">
        <v>11</v>
      </c>
      <c r="O409" s="222" t="s">
        <v>9</v>
      </c>
      <c r="P409" s="224"/>
      <c r="Q409" s="224">
        <v>0</v>
      </c>
      <c r="R409" s="224"/>
      <c r="S409" s="224"/>
      <c r="T409" s="224"/>
      <c r="U409" s="224"/>
      <c r="V409" s="224"/>
      <c r="W409" s="224"/>
      <c r="X409" s="224"/>
      <c r="Y409" s="222">
        <v>32</v>
      </c>
      <c r="Z409" s="222">
        <v>70</v>
      </c>
      <c r="AA409" s="224"/>
      <c r="AB409" s="224">
        <v>0</v>
      </c>
      <c r="AC409" s="224"/>
      <c r="AD409" s="224"/>
      <c r="AE409" s="224"/>
      <c r="AF409" s="224"/>
      <c r="AG409" s="224"/>
      <c r="AH409" s="224"/>
      <c r="AI409" s="224"/>
      <c r="AJ409" s="126"/>
      <c r="AK409" s="126"/>
      <c r="AL409" s="126"/>
      <c r="AM409" s="126"/>
      <c r="AN409" s="126"/>
    </row>
    <row r="410" spans="1:40" ht="15.75" customHeight="1">
      <c r="A410" s="221">
        <f t="shared" si="2"/>
        <v>404</v>
      </c>
      <c r="B410" s="222" t="s">
        <v>5668</v>
      </c>
      <c r="C410" s="222" t="s">
        <v>5</v>
      </c>
      <c r="D410" s="222" t="e">
        <f t="array" ref="D410">IF(F410="","",INDEX(#REF!,MATCH(F410,#REF!,0)))</f>
        <v>#REF!</v>
      </c>
      <c r="E410" s="222" t="e">
        <f t="array" ref="E410">IF(F410="","",INDEX(#REF!,MATCH(F410,#REF!,0)))</f>
        <v>#REF!</v>
      </c>
      <c r="F410" s="222" t="s">
        <v>30</v>
      </c>
      <c r="G410" s="222" t="s">
        <v>4499</v>
      </c>
      <c r="H410" s="223">
        <v>1.4</v>
      </c>
      <c r="I410" s="222" t="s">
        <v>5686</v>
      </c>
      <c r="J410" s="222" t="s">
        <v>5687</v>
      </c>
      <c r="K410" s="222" t="s">
        <v>5688</v>
      </c>
      <c r="L410" s="222">
        <v>120</v>
      </c>
      <c r="M410" s="222">
        <v>120</v>
      </c>
      <c r="N410" s="222" t="s">
        <v>11</v>
      </c>
      <c r="O410" s="222" t="s">
        <v>9</v>
      </c>
      <c r="P410" s="224"/>
      <c r="Q410" s="224">
        <v>0</v>
      </c>
      <c r="R410" s="224"/>
      <c r="S410" s="224"/>
      <c r="T410" s="224"/>
      <c r="U410" s="224"/>
      <c r="V410" s="224"/>
      <c r="W410" s="224"/>
      <c r="X410" s="224"/>
      <c r="Y410" s="222">
        <v>0</v>
      </c>
      <c r="Z410" s="222">
        <v>120</v>
      </c>
      <c r="AA410" s="224"/>
      <c r="AB410" s="224">
        <v>0</v>
      </c>
      <c r="AC410" s="224"/>
      <c r="AD410" s="224"/>
      <c r="AE410" s="224"/>
      <c r="AF410" s="224"/>
      <c r="AG410" s="224"/>
      <c r="AH410" s="224"/>
      <c r="AI410" s="224"/>
      <c r="AJ410" s="126"/>
      <c r="AK410" s="126"/>
      <c r="AL410" s="126"/>
      <c r="AM410" s="126"/>
      <c r="AN410" s="126"/>
    </row>
    <row r="411" spans="1:40" ht="15.75" customHeight="1">
      <c r="A411" s="221">
        <f t="shared" si="2"/>
        <v>405</v>
      </c>
      <c r="B411" s="222" t="s">
        <v>5668</v>
      </c>
      <c r="C411" s="222" t="s">
        <v>5</v>
      </c>
      <c r="D411" s="222" t="e">
        <f t="array" ref="D411">IF(F411="","",INDEX(#REF!,MATCH(F411,#REF!,0)))</f>
        <v>#REF!</v>
      </c>
      <c r="E411" s="222" t="e">
        <f t="array" ref="E411">IF(F411="","",INDEX(#REF!,MATCH(F411,#REF!,0)))</f>
        <v>#REF!</v>
      </c>
      <c r="F411" s="222" t="s">
        <v>30</v>
      </c>
      <c r="G411" s="222" t="s">
        <v>4499</v>
      </c>
      <c r="H411" s="223">
        <v>1.5</v>
      </c>
      <c r="I411" s="222" t="s">
        <v>5689</v>
      </c>
      <c r="J411" s="222" t="s">
        <v>5690</v>
      </c>
      <c r="K411" s="222" t="s">
        <v>5691</v>
      </c>
      <c r="L411" s="222">
        <v>16</v>
      </c>
      <c r="M411" s="222">
        <v>16</v>
      </c>
      <c r="N411" s="222" t="s">
        <v>11</v>
      </c>
      <c r="O411" s="222" t="s">
        <v>9</v>
      </c>
      <c r="P411" s="224"/>
      <c r="Q411" s="224"/>
      <c r="R411" s="224"/>
      <c r="S411" s="224"/>
      <c r="T411" s="224">
        <v>220000</v>
      </c>
      <c r="U411" s="224"/>
      <c r="V411" s="224"/>
      <c r="W411" s="224"/>
      <c r="X411" s="224"/>
      <c r="Y411" s="222">
        <v>14</v>
      </c>
      <c r="Z411" s="222">
        <v>16</v>
      </c>
      <c r="AA411" s="224"/>
      <c r="AB411" s="224"/>
      <c r="AC411" s="224"/>
      <c r="AD411" s="224"/>
      <c r="AE411" s="224">
        <v>0</v>
      </c>
      <c r="AF411" s="224"/>
      <c r="AG411" s="224"/>
      <c r="AH411" s="224"/>
      <c r="AI411" s="224"/>
      <c r="AJ411" s="126"/>
      <c r="AK411" s="126"/>
      <c r="AL411" s="126"/>
      <c r="AM411" s="126"/>
      <c r="AN411" s="126"/>
    </row>
    <row r="412" spans="1:40" ht="15.75" customHeight="1">
      <c r="A412" s="221">
        <f t="shared" si="2"/>
        <v>406</v>
      </c>
      <c r="B412" s="222" t="s">
        <v>5668</v>
      </c>
      <c r="C412" s="222" t="s">
        <v>5</v>
      </c>
      <c r="D412" s="222" t="e">
        <f t="array" ref="D412">IF(F412="","",INDEX(#REF!,MATCH(F412,#REF!,0)))</f>
        <v>#REF!</v>
      </c>
      <c r="E412" s="222" t="e">
        <f t="array" ref="E412">IF(F412="","",INDEX(#REF!,MATCH(F412,#REF!,0)))</f>
        <v>#REF!</v>
      </c>
      <c r="F412" s="222" t="s">
        <v>30</v>
      </c>
      <c r="G412" s="222" t="s">
        <v>4495</v>
      </c>
      <c r="H412" s="223">
        <v>2</v>
      </c>
      <c r="I412" s="222" t="s">
        <v>5692</v>
      </c>
      <c r="J412" s="222" t="s">
        <v>5693</v>
      </c>
      <c r="K412" s="222" t="s">
        <v>5694</v>
      </c>
      <c r="L412" s="222">
        <v>1</v>
      </c>
      <c r="M412" s="222">
        <v>1</v>
      </c>
      <c r="N412" s="222" t="s">
        <v>11</v>
      </c>
      <c r="O412" s="222" t="s">
        <v>9</v>
      </c>
      <c r="P412" s="224"/>
      <c r="Q412" s="224"/>
      <c r="R412" s="224"/>
      <c r="S412" s="224"/>
      <c r="T412" s="224"/>
      <c r="U412" s="224"/>
      <c r="V412" s="224"/>
      <c r="W412" s="224"/>
      <c r="X412" s="224"/>
      <c r="Y412" s="222">
        <v>0</v>
      </c>
      <c r="Z412" s="222">
        <v>1</v>
      </c>
      <c r="AA412" s="224"/>
      <c r="AB412" s="224"/>
      <c r="AC412" s="224"/>
      <c r="AD412" s="224"/>
      <c r="AE412" s="224"/>
      <c r="AF412" s="224"/>
      <c r="AG412" s="224"/>
      <c r="AH412" s="224"/>
      <c r="AI412" s="224"/>
      <c r="AJ412" s="126"/>
      <c r="AK412" s="126"/>
      <c r="AL412" s="126"/>
      <c r="AM412" s="126"/>
      <c r="AN412" s="126"/>
    </row>
    <row r="413" spans="1:40" ht="15.75" customHeight="1">
      <c r="A413" s="221">
        <f t="shared" si="2"/>
        <v>407</v>
      </c>
      <c r="B413" s="222" t="s">
        <v>5668</v>
      </c>
      <c r="C413" s="222" t="s">
        <v>5</v>
      </c>
      <c r="D413" s="222" t="e">
        <f t="array" ref="D413">IF(F413="","",INDEX(#REF!,MATCH(F413,#REF!,0)))</f>
        <v>#REF!</v>
      </c>
      <c r="E413" s="222" t="e">
        <f t="array" ref="E413">IF(F413="","",INDEX(#REF!,MATCH(F413,#REF!,0)))</f>
        <v>#REF!</v>
      </c>
      <c r="F413" s="222" t="s">
        <v>30</v>
      </c>
      <c r="G413" s="222" t="s">
        <v>4499</v>
      </c>
      <c r="H413" s="223">
        <v>2.1</v>
      </c>
      <c r="I413" s="222" t="s">
        <v>5695</v>
      </c>
      <c r="J413" s="222" t="s">
        <v>5696</v>
      </c>
      <c r="K413" s="222" t="s">
        <v>5697</v>
      </c>
      <c r="L413" s="222">
        <v>64</v>
      </c>
      <c r="M413" s="222">
        <v>64</v>
      </c>
      <c r="N413" s="222" t="s">
        <v>15</v>
      </c>
      <c r="O413" s="222" t="s">
        <v>9</v>
      </c>
      <c r="P413" s="224"/>
      <c r="Q413" s="224"/>
      <c r="R413" s="224"/>
      <c r="S413" s="224"/>
      <c r="T413" s="224">
        <v>0</v>
      </c>
      <c r="U413" s="224"/>
      <c r="V413" s="224"/>
      <c r="W413" s="224"/>
      <c r="X413" s="224"/>
      <c r="Y413" s="222">
        <v>1</v>
      </c>
      <c r="Z413" s="222">
        <v>64</v>
      </c>
      <c r="AA413" s="224"/>
      <c r="AB413" s="224"/>
      <c r="AC413" s="224"/>
      <c r="AD413" s="224"/>
      <c r="AE413" s="224">
        <v>0</v>
      </c>
      <c r="AF413" s="224"/>
      <c r="AG413" s="224"/>
      <c r="AH413" s="224"/>
      <c r="AI413" s="224"/>
      <c r="AJ413" s="126"/>
      <c r="AK413" s="126"/>
      <c r="AL413" s="126"/>
      <c r="AM413" s="126"/>
      <c r="AN413" s="126"/>
    </row>
    <row r="414" spans="1:40" ht="15.75" customHeight="1">
      <c r="A414" s="221">
        <f t="shared" si="2"/>
        <v>408</v>
      </c>
      <c r="B414" s="222" t="s">
        <v>5668</v>
      </c>
      <c r="C414" s="222" t="s">
        <v>5</v>
      </c>
      <c r="D414" s="222" t="e">
        <f t="array" ref="D414">IF(F414="","",INDEX(#REF!,MATCH(F414,#REF!,0)))</f>
        <v>#REF!</v>
      </c>
      <c r="E414" s="222" t="e">
        <f t="array" ref="E414">IF(F414="","",INDEX(#REF!,MATCH(F414,#REF!,0)))</f>
        <v>#REF!</v>
      </c>
      <c r="F414" s="222" t="s">
        <v>30</v>
      </c>
      <c r="G414" s="222" t="s">
        <v>4499</v>
      </c>
      <c r="H414" s="223">
        <v>2.2000000000000002</v>
      </c>
      <c r="I414" s="222" t="s">
        <v>5698</v>
      </c>
      <c r="J414" s="222" t="s">
        <v>5699</v>
      </c>
      <c r="K414" s="222" t="s">
        <v>5700</v>
      </c>
      <c r="L414" s="222">
        <v>60</v>
      </c>
      <c r="M414" s="222">
        <v>60</v>
      </c>
      <c r="N414" s="222" t="s">
        <v>15</v>
      </c>
      <c r="O414" s="222" t="s">
        <v>9</v>
      </c>
      <c r="P414" s="224"/>
      <c r="Q414" s="224">
        <v>67500</v>
      </c>
      <c r="R414" s="224">
        <v>8370000</v>
      </c>
      <c r="S414" s="224"/>
      <c r="T414" s="224">
        <v>2567512</v>
      </c>
      <c r="U414" s="224"/>
      <c r="V414" s="224"/>
      <c r="W414" s="224"/>
      <c r="X414" s="224"/>
      <c r="Y414" s="222">
        <v>30</v>
      </c>
      <c r="Z414" s="222">
        <v>60</v>
      </c>
      <c r="AA414" s="224"/>
      <c r="AB414" s="224">
        <v>0</v>
      </c>
      <c r="AC414" s="224">
        <v>0</v>
      </c>
      <c r="AD414" s="224"/>
      <c r="AE414" s="224">
        <v>0</v>
      </c>
      <c r="AF414" s="224"/>
      <c r="AG414" s="224"/>
      <c r="AH414" s="224"/>
      <c r="AI414" s="224"/>
      <c r="AJ414" s="126"/>
      <c r="AK414" s="126"/>
      <c r="AL414" s="126"/>
      <c r="AM414" s="126"/>
      <c r="AN414" s="126"/>
    </row>
    <row r="415" spans="1:40" ht="15.75" customHeight="1">
      <c r="A415" s="221">
        <f t="shared" si="2"/>
        <v>409</v>
      </c>
      <c r="B415" s="222" t="s">
        <v>5668</v>
      </c>
      <c r="C415" s="222" t="s">
        <v>5</v>
      </c>
      <c r="D415" s="222" t="e">
        <f t="array" ref="D415">IF(F415="","",INDEX(#REF!,MATCH(F415,#REF!,0)))</f>
        <v>#REF!</v>
      </c>
      <c r="E415" s="222" t="e">
        <f t="array" ref="E415">IF(F415="","",INDEX(#REF!,MATCH(F415,#REF!,0)))</f>
        <v>#REF!</v>
      </c>
      <c r="F415" s="222" t="s">
        <v>30</v>
      </c>
      <c r="G415" s="222" t="s">
        <v>4495</v>
      </c>
      <c r="H415" s="223">
        <v>3</v>
      </c>
      <c r="I415" s="222" t="s">
        <v>5701</v>
      </c>
      <c r="J415" s="222" t="s">
        <v>5702</v>
      </c>
      <c r="K415" s="222" t="s">
        <v>5703</v>
      </c>
      <c r="L415" s="222">
        <v>1850</v>
      </c>
      <c r="M415" s="222">
        <v>1850</v>
      </c>
      <c r="N415" s="222" t="s">
        <v>11</v>
      </c>
      <c r="O415" s="222" t="s">
        <v>9</v>
      </c>
      <c r="P415" s="224"/>
      <c r="Q415" s="224"/>
      <c r="R415" s="224"/>
      <c r="S415" s="224"/>
      <c r="T415" s="224"/>
      <c r="U415" s="224"/>
      <c r="V415" s="224"/>
      <c r="W415" s="224"/>
      <c r="X415" s="224"/>
      <c r="Y415" s="222">
        <v>753</v>
      </c>
      <c r="Z415" s="222">
        <v>1850</v>
      </c>
      <c r="AA415" s="224"/>
      <c r="AB415" s="224"/>
      <c r="AC415" s="224"/>
      <c r="AD415" s="224"/>
      <c r="AE415" s="224"/>
      <c r="AF415" s="224"/>
      <c r="AG415" s="224"/>
      <c r="AH415" s="224"/>
      <c r="AI415" s="224"/>
      <c r="AJ415" s="126"/>
      <c r="AK415" s="126"/>
      <c r="AL415" s="126"/>
      <c r="AM415" s="126"/>
      <c r="AN415" s="126"/>
    </row>
    <row r="416" spans="1:40" ht="15.75" customHeight="1">
      <c r="A416" s="221">
        <f t="shared" si="2"/>
        <v>410</v>
      </c>
      <c r="B416" s="222" t="s">
        <v>5668</v>
      </c>
      <c r="C416" s="222" t="s">
        <v>5</v>
      </c>
      <c r="D416" s="222" t="e">
        <f t="array" ref="D416">IF(F416="","",INDEX(#REF!,MATCH(F416,#REF!,0)))</f>
        <v>#REF!</v>
      </c>
      <c r="E416" s="222" t="e">
        <f t="array" ref="E416">IF(F416="","",INDEX(#REF!,MATCH(F416,#REF!,0)))</f>
        <v>#REF!</v>
      </c>
      <c r="F416" s="222" t="s">
        <v>30</v>
      </c>
      <c r="G416" s="222" t="s">
        <v>4499</v>
      </c>
      <c r="H416" s="223">
        <v>3.1</v>
      </c>
      <c r="I416" s="222" t="s">
        <v>5704</v>
      </c>
      <c r="J416" s="222" t="s">
        <v>5705</v>
      </c>
      <c r="K416" s="222" t="s">
        <v>5706</v>
      </c>
      <c r="L416" s="222">
        <v>700</v>
      </c>
      <c r="M416" s="222">
        <v>700</v>
      </c>
      <c r="N416" s="222" t="s">
        <v>11</v>
      </c>
      <c r="O416" s="222" t="s">
        <v>9</v>
      </c>
      <c r="P416" s="224">
        <v>32005346.480000004</v>
      </c>
      <c r="Q416" s="224">
        <v>30000</v>
      </c>
      <c r="R416" s="224">
        <v>250000</v>
      </c>
      <c r="S416" s="224"/>
      <c r="T416" s="224">
        <v>1245000</v>
      </c>
      <c r="U416" s="224"/>
      <c r="V416" s="224"/>
      <c r="W416" s="224"/>
      <c r="X416" s="224"/>
      <c r="Y416" s="222">
        <v>420</v>
      </c>
      <c r="Z416" s="222">
        <v>700</v>
      </c>
      <c r="AA416" s="224">
        <v>7618482.5899999989</v>
      </c>
      <c r="AB416" s="224">
        <v>0</v>
      </c>
      <c r="AC416" s="224">
        <v>0</v>
      </c>
      <c r="AD416" s="224"/>
      <c r="AE416" s="224">
        <v>0</v>
      </c>
      <c r="AF416" s="224"/>
      <c r="AG416" s="224"/>
      <c r="AH416" s="224"/>
      <c r="AI416" s="224"/>
      <c r="AJ416" s="126"/>
      <c r="AK416" s="126"/>
      <c r="AL416" s="126"/>
      <c r="AM416" s="126"/>
      <c r="AN416" s="126"/>
    </row>
    <row r="417" spans="1:40" ht="15.75" customHeight="1">
      <c r="A417" s="221">
        <f t="shared" si="2"/>
        <v>411</v>
      </c>
      <c r="B417" s="222" t="s">
        <v>5668</v>
      </c>
      <c r="C417" s="222" t="s">
        <v>5</v>
      </c>
      <c r="D417" s="222" t="e">
        <f t="array" ref="D417">IF(F417="","",INDEX(#REF!,MATCH(F417,#REF!,0)))</f>
        <v>#REF!</v>
      </c>
      <c r="E417" s="222" t="e">
        <f t="array" ref="E417">IF(F417="","",INDEX(#REF!,MATCH(F417,#REF!,0)))</f>
        <v>#REF!</v>
      </c>
      <c r="F417" s="222" t="s">
        <v>30</v>
      </c>
      <c r="G417" s="222" t="s">
        <v>4499</v>
      </c>
      <c r="H417" s="223">
        <v>3.2</v>
      </c>
      <c r="I417" s="222" t="s">
        <v>5707</v>
      </c>
      <c r="J417" s="222" t="s">
        <v>5708</v>
      </c>
      <c r="K417" s="222" t="s">
        <v>5709</v>
      </c>
      <c r="L417" s="222">
        <v>350</v>
      </c>
      <c r="M417" s="222">
        <v>350</v>
      </c>
      <c r="N417" s="222" t="s">
        <v>11</v>
      </c>
      <c r="O417" s="222" t="s">
        <v>9</v>
      </c>
      <c r="P417" s="224"/>
      <c r="Q417" s="224">
        <v>0</v>
      </c>
      <c r="R417" s="224"/>
      <c r="S417" s="224"/>
      <c r="T417" s="224"/>
      <c r="U417" s="224"/>
      <c r="V417" s="224"/>
      <c r="W417" s="224"/>
      <c r="X417" s="224"/>
      <c r="Y417" s="222">
        <v>224</v>
      </c>
      <c r="Z417" s="222">
        <v>350</v>
      </c>
      <c r="AA417" s="224"/>
      <c r="AB417" s="224">
        <v>0</v>
      </c>
      <c r="AC417" s="224"/>
      <c r="AD417" s="224"/>
      <c r="AE417" s="224"/>
      <c r="AF417" s="224"/>
      <c r="AG417" s="224"/>
      <c r="AH417" s="224"/>
      <c r="AI417" s="224"/>
      <c r="AJ417" s="126"/>
      <c r="AK417" s="126"/>
      <c r="AL417" s="126"/>
      <c r="AM417" s="126"/>
      <c r="AN417" s="126"/>
    </row>
    <row r="418" spans="1:40" ht="15.75" customHeight="1">
      <c r="A418" s="221">
        <f t="shared" si="2"/>
        <v>412</v>
      </c>
      <c r="B418" s="222" t="s">
        <v>5668</v>
      </c>
      <c r="C418" s="222" t="s">
        <v>5</v>
      </c>
      <c r="D418" s="222" t="e">
        <f t="array" ref="D418">IF(F418="","",INDEX(#REF!,MATCH(F418,#REF!,0)))</f>
        <v>#REF!</v>
      </c>
      <c r="E418" s="222" t="e">
        <f t="array" ref="E418">IF(F418="","",INDEX(#REF!,MATCH(F418,#REF!,0)))</f>
        <v>#REF!</v>
      </c>
      <c r="F418" s="222" t="s">
        <v>30</v>
      </c>
      <c r="G418" s="222" t="s">
        <v>4499</v>
      </c>
      <c r="H418" s="223">
        <v>3.3</v>
      </c>
      <c r="I418" s="222" t="s">
        <v>5710</v>
      </c>
      <c r="J418" s="222" t="s">
        <v>5711</v>
      </c>
      <c r="K418" s="222" t="s">
        <v>5712</v>
      </c>
      <c r="L418" s="222">
        <v>800</v>
      </c>
      <c r="M418" s="222">
        <v>800</v>
      </c>
      <c r="N418" s="222" t="s">
        <v>11</v>
      </c>
      <c r="O418" s="222" t="s">
        <v>9</v>
      </c>
      <c r="P418" s="224"/>
      <c r="Q418" s="224">
        <v>0</v>
      </c>
      <c r="R418" s="224"/>
      <c r="S418" s="224"/>
      <c r="T418" s="224"/>
      <c r="U418" s="224"/>
      <c r="V418" s="224"/>
      <c r="W418" s="224"/>
      <c r="X418" s="224"/>
      <c r="Y418" s="222">
        <v>109</v>
      </c>
      <c r="Z418" s="222">
        <v>800</v>
      </c>
      <c r="AA418" s="224"/>
      <c r="AB418" s="224">
        <v>0</v>
      </c>
      <c r="AC418" s="224"/>
      <c r="AD418" s="224"/>
      <c r="AE418" s="224"/>
      <c r="AF418" s="224"/>
      <c r="AG418" s="224"/>
      <c r="AH418" s="224"/>
      <c r="AI418" s="224"/>
      <c r="AJ418" s="126"/>
      <c r="AK418" s="126"/>
      <c r="AL418" s="126"/>
      <c r="AM418" s="126"/>
      <c r="AN418" s="126"/>
    </row>
    <row r="419" spans="1:40" ht="15.75" customHeight="1">
      <c r="A419" s="221">
        <f t="shared" si="2"/>
        <v>413</v>
      </c>
      <c r="B419" s="222" t="s">
        <v>5668</v>
      </c>
      <c r="C419" s="222" t="s">
        <v>5</v>
      </c>
      <c r="D419" s="222" t="e">
        <f t="array" ref="D419">IF(F419="","",INDEX(#REF!,MATCH(F419,#REF!,0)))</f>
        <v>#REF!</v>
      </c>
      <c r="E419" s="222" t="e">
        <f t="array" ref="E419">IF(F419="","",INDEX(#REF!,MATCH(F419,#REF!,0)))</f>
        <v>#REF!</v>
      </c>
      <c r="F419" s="222" t="s">
        <v>30</v>
      </c>
      <c r="G419" s="222" t="s">
        <v>4495</v>
      </c>
      <c r="H419" s="223">
        <v>4</v>
      </c>
      <c r="I419" s="222" t="s">
        <v>5713</v>
      </c>
      <c r="J419" s="222" t="s">
        <v>5714</v>
      </c>
      <c r="K419" s="222" t="s">
        <v>5715</v>
      </c>
      <c r="L419" s="222">
        <v>850</v>
      </c>
      <c r="M419" s="222">
        <v>850</v>
      </c>
      <c r="N419" s="222" t="s">
        <v>11</v>
      </c>
      <c r="O419" s="222" t="s">
        <v>9</v>
      </c>
      <c r="P419" s="224"/>
      <c r="Q419" s="224"/>
      <c r="R419" s="224"/>
      <c r="S419" s="224"/>
      <c r="T419" s="224"/>
      <c r="U419" s="224"/>
      <c r="V419" s="224"/>
      <c r="W419" s="224"/>
      <c r="X419" s="224"/>
      <c r="Y419" s="222">
        <v>380</v>
      </c>
      <c r="Z419" s="222">
        <v>850</v>
      </c>
      <c r="AA419" s="224"/>
      <c r="AB419" s="224"/>
      <c r="AC419" s="224"/>
      <c r="AD419" s="224"/>
      <c r="AE419" s="224"/>
      <c r="AF419" s="224"/>
      <c r="AG419" s="224"/>
      <c r="AH419" s="224"/>
      <c r="AI419" s="224"/>
      <c r="AJ419" s="126"/>
      <c r="AK419" s="126"/>
      <c r="AL419" s="126"/>
      <c r="AM419" s="126"/>
      <c r="AN419" s="126"/>
    </row>
    <row r="420" spans="1:40" ht="15.75" customHeight="1">
      <c r="A420" s="221">
        <f t="shared" si="2"/>
        <v>414</v>
      </c>
      <c r="B420" s="222" t="s">
        <v>5668</v>
      </c>
      <c r="C420" s="222" t="s">
        <v>5</v>
      </c>
      <c r="D420" s="222" t="e">
        <f t="array" ref="D420">IF(F420="","",INDEX(#REF!,MATCH(F420,#REF!,0)))</f>
        <v>#REF!</v>
      </c>
      <c r="E420" s="222" t="e">
        <f t="array" ref="E420">IF(F420="","",INDEX(#REF!,MATCH(F420,#REF!,0)))</f>
        <v>#REF!</v>
      </c>
      <c r="F420" s="222" t="s">
        <v>30</v>
      </c>
      <c r="G420" s="222" t="s">
        <v>4499</v>
      </c>
      <c r="H420" s="223">
        <v>4.0999999999999996</v>
      </c>
      <c r="I420" s="222" t="s">
        <v>5716</v>
      </c>
      <c r="J420" s="222" t="s">
        <v>5717</v>
      </c>
      <c r="K420" s="222" t="s">
        <v>5718</v>
      </c>
      <c r="L420" s="222">
        <v>300</v>
      </c>
      <c r="M420" s="222">
        <v>300</v>
      </c>
      <c r="N420" s="222" t="s">
        <v>11</v>
      </c>
      <c r="O420" s="222" t="s">
        <v>9</v>
      </c>
      <c r="P420" s="224"/>
      <c r="Q420" s="224">
        <v>23000</v>
      </c>
      <c r="R420" s="224">
        <v>7000</v>
      </c>
      <c r="S420" s="224"/>
      <c r="T420" s="224"/>
      <c r="U420" s="224"/>
      <c r="V420" s="224"/>
      <c r="W420" s="224"/>
      <c r="X420" s="224"/>
      <c r="Y420" s="222">
        <v>167</v>
      </c>
      <c r="Z420" s="222">
        <v>300</v>
      </c>
      <c r="AA420" s="224"/>
      <c r="AB420" s="224">
        <v>0</v>
      </c>
      <c r="AC420" s="224">
        <v>0</v>
      </c>
      <c r="AD420" s="224"/>
      <c r="AE420" s="224"/>
      <c r="AF420" s="224"/>
      <c r="AG420" s="224"/>
      <c r="AH420" s="224"/>
      <c r="AI420" s="224"/>
      <c r="AJ420" s="126"/>
      <c r="AK420" s="126"/>
      <c r="AL420" s="126"/>
      <c r="AM420" s="126"/>
      <c r="AN420" s="126"/>
    </row>
    <row r="421" spans="1:40" ht="15.75" customHeight="1">
      <c r="A421" s="221">
        <f t="shared" si="2"/>
        <v>415</v>
      </c>
      <c r="B421" s="222" t="s">
        <v>5668</v>
      </c>
      <c r="C421" s="222" t="s">
        <v>5</v>
      </c>
      <c r="D421" s="222" t="e">
        <f t="array" ref="D421">IF(F421="","",INDEX(#REF!,MATCH(F421,#REF!,0)))</f>
        <v>#REF!</v>
      </c>
      <c r="E421" s="222" t="e">
        <f t="array" ref="E421">IF(F421="","",INDEX(#REF!,MATCH(F421,#REF!,0)))</f>
        <v>#REF!</v>
      </c>
      <c r="F421" s="222" t="s">
        <v>30</v>
      </c>
      <c r="G421" s="222" t="s">
        <v>4499</v>
      </c>
      <c r="H421" s="223">
        <v>4.2</v>
      </c>
      <c r="I421" s="222" t="s">
        <v>5719</v>
      </c>
      <c r="J421" s="222" t="s">
        <v>5720</v>
      </c>
      <c r="K421" s="222" t="s">
        <v>5721</v>
      </c>
      <c r="L421" s="222">
        <v>350</v>
      </c>
      <c r="M421" s="222">
        <v>350</v>
      </c>
      <c r="N421" s="222" t="s">
        <v>11</v>
      </c>
      <c r="O421" s="222" t="s">
        <v>9</v>
      </c>
      <c r="P421" s="224"/>
      <c r="Q421" s="224">
        <v>20000</v>
      </c>
      <c r="R421" s="224"/>
      <c r="S421" s="224"/>
      <c r="T421" s="224">
        <v>30000</v>
      </c>
      <c r="U421" s="224"/>
      <c r="V421" s="224"/>
      <c r="W421" s="224"/>
      <c r="X421" s="224"/>
      <c r="Y421" s="222">
        <v>167</v>
      </c>
      <c r="Z421" s="222">
        <v>350</v>
      </c>
      <c r="AA421" s="224"/>
      <c r="AB421" s="224">
        <v>0</v>
      </c>
      <c r="AC421" s="224"/>
      <c r="AD421" s="224"/>
      <c r="AE421" s="224">
        <v>0</v>
      </c>
      <c r="AF421" s="224"/>
      <c r="AG421" s="224"/>
      <c r="AH421" s="224"/>
      <c r="AI421" s="224"/>
      <c r="AJ421" s="126"/>
      <c r="AK421" s="126"/>
      <c r="AL421" s="126"/>
      <c r="AM421" s="126"/>
      <c r="AN421" s="126"/>
    </row>
    <row r="422" spans="1:40" ht="15.75" customHeight="1">
      <c r="A422" s="221">
        <f t="shared" si="2"/>
        <v>416</v>
      </c>
      <c r="B422" s="222" t="s">
        <v>5668</v>
      </c>
      <c r="C422" s="222" t="s">
        <v>5</v>
      </c>
      <c r="D422" s="222" t="e">
        <f t="array" ref="D422">IF(F422="","",INDEX(#REF!,MATCH(F422,#REF!,0)))</f>
        <v>#REF!</v>
      </c>
      <c r="E422" s="222" t="e">
        <f t="array" ref="E422">IF(F422="","",INDEX(#REF!,MATCH(F422,#REF!,0)))</f>
        <v>#REF!</v>
      </c>
      <c r="F422" s="222" t="s">
        <v>30</v>
      </c>
      <c r="G422" s="222" t="s">
        <v>4499</v>
      </c>
      <c r="H422" s="223">
        <v>4.3</v>
      </c>
      <c r="I422" s="222" t="s">
        <v>5722</v>
      </c>
      <c r="J422" s="222" t="s">
        <v>5723</v>
      </c>
      <c r="K422" s="222" t="s">
        <v>5724</v>
      </c>
      <c r="L422" s="222">
        <v>200</v>
      </c>
      <c r="M422" s="222">
        <v>200</v>
      </c>
      <c r="N422" s="222" t="s">
        <v>11</v>
      </c>
      <c r="O422" s="222" t="s">
        <v>9</v>
      </c>
      <c r="P422" s="224"/>
      <c r="Q422" s="224"/>
      <c r="R422" s="224"/>
      <c r="S422" s="224"/>
      <c r="T422" s="224">
        <v>200000</v>
      </c>
      <c r="U422" s="224"/>
      <c r="V422" s="224"/>
      <c r="W422" s="224"/>
      <c r="X422" s="224"/>
      <c r="Y422" s="222">
        <v>46</v>
      </c>
      <c r="Z422" s="222">
        <v>200</v>
      </c>
      <c r="AA422" s="224"/>
      <c r="AB422" s="224"/>
      <c r="AC422" s="224"/>
      <c r="AD422" s="224"/>
      <c r="AE422" s="224">
        <v>0</v>
      </c>
      <c r="AF422" s="224"/>
      <c r="AG422" s="224"/>
      <c r="AH422" s="224"/>
      <c r="AI422" s="224"/>
      <c r="AJ422" s="126"/>
      <c r="AK422" s="126"/>
      <c r="AL422" s="126"/>
      <c r="AM422" s="126"/>
      <c r="AN422" s="126"/>
    </row>
    <row r="423" spans="1:40" ht="15.75" customHeight="1">
      <c r="A423" s="221">
        <f t="shared" si="2"/>
        <v>417</v>
      </c>
      <c r="B423" s="222" t="s">
        <v>5725</v>
      </c>
      <c r="C423" s="222" t="s">
        <v>5</v>
      </c>
      <c r="D423" s="222" t="e">
        <f t="array" ref="D423">IF(F423="","",INDEX(#REF!,MATCH(F423,#REF!,0)))</f>
        <v>#REF!</v>
      </c>
      <c r="E423" s="222" t="e">
        <f t="array" ref="E423">IF(F423="","",INDEX(#REF!,MATCH(F423,#REF!,0)))</f>
        <v>#REF!</v>
      </c>
      <c r="F423" s="222" t="s">
        <v>28</v>
      </c>
      <c r="G423" s="222" t="s">
        <v>0</v>
      </c>
      <c r="H423" s="223" t="s">
        <v>4487</v>
      </c>
      <c r="I423" s="222" t="s">
        <v>5726</v>
      </c>
      <c r="J423" s="222" t="s">
        <v>5727</v>
      </c>
      <c r="K423" s="222" t="s">
        <v>5728</v>
      </c>
      <c r="L423" s="222">
        <v>30000</v>
      </c>
      <c r="M423" s="222">
        <v>0</v>
      </c>
      <c r="N423" s="222" t="s">
        <v>15</v>
      </c>
      <c r="O423" s="222" t="s">
        <v>9</v>
      </c>
      <c r="P423" s="224"/>
      <c r="Q423" s="224"/>
      <c r="R423" s="224"/>
      <c r="S423" s="224"/>
      <c r="T423" s="224"/>
      <c r="U423" s="224"/>
      <c r="V423" s="224"/>
      <c r="W423" s="224"/>
      <c r="X423" s="224"/>
      <c r="Y423" s="222">
        <v>0</v>
      </c>
      <c r="Z423" s="222">
        <v>0</v>
      </c>
      <c r="AA423" s="224"/>
      <c r="AB423" s="224"/>
      <c r="AC423" s="224"/>
      <c r="AD423" s="224"/>
      <c r="AE423" s="224"/>
      <c r="AF423" s="224"/>
      <c r="AG423" s="224"/>
      <c r="AH423" s="224"/>
      <c r="AI423" s="224"/>
      <c r="AJ423" s="126"/>
      <c r="AK423" s="126"/>
      <c r="AL423" s="126"/>
      <c r="AM423" s="126"/>
      <c r="AN423" s="126"/>
    </row>
    <row r="424" spans="1:40" ht="15.75" customHeight="1">
      <c r="A424" s="221">
        <f t="shared" si="2"/>
        <v>418</v>
      </c>
      <c r="B424" s="222" t="s">
        <v>5725</v>
      </c>
      <c r="C424" s="222" t="s">
        <v>5</v>
      </c>
      <c r="D424" s="222" t="e">
        <f t="array" ref="D424">IF(F424="","",INDEX(#REF!,MATCH(F424,#REF!,0)))</f>
        <v>#REF!</v>
      </c>
      <c r="E424" s="222" t="e">
        <f t="array" ref="E424">IF(F424="","",INDEX(#REF!,MATCH(F424,#REF!,0)))</f>
        <v>#REF!</v>
      </c>
      <c r="F424" s="222" t="s">
        <v>28</v>
      </c>
      <c r="G424" s="222" t="s">
        <v>4491</v>
      </c>
      <c r="H424" s="223" t="s">
        <v>4487</v>
      </c>
      <c r="I424" s="222" t="s">
        <v>5729</v>
      </c>
      <c r="J424" s="222" t="s">
        <v>5730</v>
      </c>
      <c r="K424" s="222" t="s">
        <v>5731</v>
      </c>
      <c r="L424" s="222">
        <v>6</v>
      </c>
      <c r="M424" s="222">
        <v>6</v>
      </c>
      <c r="N424" s="222" t="s">
        <v>15</v>
      </c>
      <c r="O424" s="222" t="s">
        <v>9</v>
      </c>
      <c r="P424" s="224"/>
      <c r="Q424" s="224"/>
      <c r="R424" s="224"/>
      <c r="S424" s="224"/>
      <c r="T424" s="224"/>
      <c r="U424" s="224"/>
      <c r="V424" s="224"/>
      <c r="W424" s="224"/>
      <c r="X424" s="224"/>
      <c r="Y424" s="222">
        <v>6</v>
      </c>
      <c r="Z424" s="222">
        <v>6</v>
      </c>
      <c r="AA424" s="224"/>
      <c r="AB424" s="224"/>
      <c r="AC424" s="224"/>
      <c r="AD424" s="224"/>
      <c r="AE424" s="224"/>
      <c r="AF424" s="224"/>
      <c r="AG424" s="224"/>
      <c r="AH424" s="224"/>
      <c r="AI424" s="224"/>
      <c r="AJ424" s="126"/>
      <c r="AK424" s="126"/>
      <c r="AL424" s="126"/>
      <c r="AM424" s="126"/>
      <c r="AN424" s="126"/>
    </row>
    <row r="425" spans="1:40" ht="15.75" customHeight="1">
      <c r="A425" s="221">
        <f t="shared" si="2"/>
        <v>419</v>
      </c>
      <c r="B425" s="222" t="s">
        <v>5725</v>
      </c>
      <c r="C425" s="222" t="s">
        <v>5</v>
      </c>
      <c r="D425" s="222" t="e">
        <f t="array" ref="D425">IF(F425="","",INDEX(#REF!,MATCH(F425,#REF!,0)))</f>
        <v>#REF!</v>
      </c>
      <c r="E425" s="222" t="e">
        <f t="array" ref="E425">IF(F425="","",INDEX(#REF!,MATCH(F425,#REF!,0)))</f>
        <v>#REF!</v>
      </c>
      <c r="F425" s="222" t="s">
        <v>28</v>
      </c>
      <c r="G425" s="222" t="s">
        <v>4495</v>
      </c>
      <c r="H425" s="223">
        <v>1</v>
      </c>
      <c r="I425" s="222" t="s">
        <v>5732</v>
      </c>
      <c r="J425" s="222" t="s">
        <v>5733</v>
      </c>
      <c r="K425" s="222" t="s">
        <v>5734</v>
      </c>
      <c r="L425" s="222">
        <v>1635</v>
      </c>
      <c r="M425" s="222">
        <v>1635</v>
      </c>
      <c r="N425" s="222" t="s">
        <v>13</v>
      </c>
      <c r="O425" s="222" t="s">
        <v>9</v>
      </c>
      <c r="P425" s="224"/>
      <c r="Q425" s="224"/>
      <c r="R425" s="224"/>
      <c r="S425" s="224"/>
      <c r="T425" s="224"/>
      <c r="U425" s="224"/>
      <c r="V425" s="224"/>
      <c r="W425" s="224"/>
      <c r="X425" s="224"/>
      <c r="Y425" s="222">
        <v>904</v>
      </c>
      <c r="Z425" s="222">
        <v>1635</v>
      </c>
      <c r="AA425" s="224"/>
      <c r="AB425" s="224"/>
      <c r="AC425" s="224"/>
      <c r="AD425" s="224"/>
      <c r="AE425" s="224"/>
      <c r="AF425" s="224"/>
      <c r="AG425" s="224"/>
      <c r="AH425" s="224"/>
      <c r="AI425" s="224"/>
      <c r="AJ425" s="126"/>
      <c r="AK425" s="126"/>
      <c r="AL425" s="126"/>
      <c r="AM425" s="126"/>
      <c r="AN425" s="126"/>
    </row>
    <row r="426" spans="1:40" ht="15.75" customHeight="1">
      <c r="A426" s="221">
        <f t="shared" si="2"/>
        <v>420</v>
      </c>
      <c r="B426" s="222" t="s">
        <v>5725</v>
      </c>
      <c r="C426" s="222" t="s">
        <v>5</v>
      </c>
      <c r="D426" s="222" t="e">
        <f t="array" ref="D426">IF(F426="","",INDEX(#REF!,MATCH(F426,#REF!,0)))</f>
        <v>#REF!</v>
      </c>
      <c r="E426" s="222" t="e">
        <f t="array" ref="E426">IF(F426="","",INDEX(#REF!,MATCH(F426,#REF!,0)))</f>
        <v>#REF!</v>
      </c>
      <c r="F426" s="222" t="s">
        <v>28</v>
      </c>
      <c r="G426" s="222" t="s">
        <v>4499</v>
      </c>
      <c r="H426" s="223">
        <v>1.1000000000000001</v>
      </c>
      <c r="I426" s="222" t="s">
        <v>5735</v>
      </c>
      <c r="J426" s="222" t="s">
        <v>5736</v>
      </c>
      <c r="K426" s="222" t="s">
        <v>5737</v>
      </c>
      <c r="L426" s="222">
        <v>1541</v>
      </c>
      <c r="M426" s="222">
        <v>1541</v>
      </c>
      <c r="N426" s="222" t="s">
        <v>11</v>
      </c>
      <c r="O426" s="222" t="s">
        <v>9</v>
      </c>
      <c r="P426" s="224"/>
      <c r="Q426" s="224">
        <v>516988.43999999994</v>
      </c>
      <c r="R426" s="224"/>
      <c r="S426" s="224"/>
      <c r="T426" s="224">
        <v>549000</v>
      </c>
      <c r="U426" s="224"/>
      <c r="V426" s="224"/>
      <c r="W426" s="224"/>
      <c r="X426" s="224"/>
      <c r="Y426" s="222">
        <v>870</v>
      </c>
      <c r="Z426" s="222">
        <v>1541</v>
      </c>
      <c r="AA426" s="224"/>
      <c r="AB426" s="224">
        <v>0</v>
      </c>
      <c r="AC426" s="224"/>
      <c r="AD426" s="224"/>
      <c r="AE426" s="224">
        <v>0</v>
      </c>
      <c r="AF426" s="224"/>
      <c r="AG426" s="224"/>
      <c r="AH426" s="224"/>
      <c r="AI426" s="224"/>
      <c r="AJ426" s="126"/>
      <c r="AK426" s="126"/>
      <c r="AL426" s="126"/>
      <c r="AM426" s="126"/>
      <c r="AN426" s="126"/>
    </row>
    <row r="427" spans="1:40" ht="15.75" customHeight="1">
      <c r="A427" s="221">
        <f t="shared" si="2"/>
        <v>421</v>
      </c>
      <c r="B427" s="222" t="s">
        <v>5725</v>
      </c>
      <c r="C427" s="222" t="s">
        <v>5</v>
      </c>
      <c r="D427" s="222" t="e">
        <f t="array" ref="D427">IF(F427="","",INDEX(#REF!,MATCH(F427,#REF!,0)))</f>
        <v>#REF!</v>
      </c>
      <c r="E427" s="222" t="e">
        <f t="array" ref="E427">IF(F427="","",INDEX(#REF!,MATCH(F427,#REF!,0)))</f>
        <v>#REF!</v>
      </c>
      <c r="F427" s="222" t="s">
        <v>28</v>
      </c>
      <c r="G427" s="222" t="s">
        <v>4499</v>
      </c>
      <c r="H427" s="223">
        <v>1.2</v>
      </c>
      <c r="I427" s="222" t="s">
        <v>5738</v>
      </c>
      <c r="J427" s="222" t="s">
        <v>5739</v>
      </c>
      <c r="K427" s="222" t="s">
        <v>5740</v>
      </c>
      <c r="L427" s="222">
        <v>4531</v>
      </c>
      <c r="M427" s="222">
        <v>4531</v>
      </c>
      <c r="N427" s="222" t="s">
        <v>11</v>
      </c>
      <c r="O427" s="222" t="s">
        <v>9</v>
      </c>
      <c r="P427" s="224"/>
      <c r="Q427" s="224">
        <v>200000</v>
      </c>
      <c r="R427" s="224">
        <v>0</v>
      </c>
      <c r="S427" s="224"/>
      <c r="T427" s="224">
        <v>0</v>
      </c>
      <c r="U427" s="224"/>
      <c r="V427" s="224"/>
      <c r="W427" s="224"/>
      <c r="X427" s="224"/>
      <c r="Y427" s="222">
        <v>2656</v>
      </c>
      <c r="Z427" s="222">
        <v>4531</v>
      </c>
      <c r="AA427" s="224"/>
      <c r="AB427" s="224">
        <v>0</v>
      </c>
      <c r="AC427" s="224">
        <v>0</v>
      </c>
      <c r="AD427" s="224"/>
      <c r="AE427" s="224">
        <v>0</v>
      </c>
      <c r="AF427" s="224"/>
      <c r="AG427" s="224"/>
      <c r="AH427" s="224"/>
      <c r="AI427" s="224"/>
      <c r="AJ427" s="126"/>
      <c r="AK427" s="126"/>
      <c r="AL427" s="126"/>
      <c r="AM427" s="126"/>
      <c r="AN427" s="126"/>
    </row>
    <row r="428" spans="1:40" ht="15.75" customHeight="1">
      <c r="A428" s="221">
        <f t="shared" si="2"/>
        <v>422</v>
      </c>
      <c r="B428" s="222" t="s">
        <v>5725</v>
      </c>
      <c r="C428" s="222" t="s">
        <v>5</v>
      </c>
      <c r="D428" s="222" t="e">
        <f t="array" ref="D428">IF(F428="","",INDEX(#REF!,MATCH(F428,#REF!,0)))</f>
        <v>#REF!</v>
      </c>
      <c r="E428" s="222" t="e">
        <f t="array" ref="E428">IF(F428="","",INDEX(#REF!,MATCH(F428,#REF!,0)))</f>
        <v>#REF!</v>
      </c>
      <c r="F428" s="222" t="s">
        <v>28</v>
      </c>
      <c r="G428" s="222" t="s">
        <v>4499</v>
      </c>
      <c r="H428" s="223">
        <v>1.3</v>
      </c>
      <c r="I428" s="222" t="s">
        <v>5741</v>
      </c>
      <c r="J428" s="222" t="s">
        <v>5742</v>
      </c>
      <c r="K428" s="222" t="s">
        <v>5743</v>
      </c>
      <c r="L428" s="222">
        <v>94</v>
      </c>
      <c r="M428" s="222">
        <v>94</v>
      </c>
      <c r="N428" s="222" t="s">
        <v>11</v>
      </c>
      <c r="O428" s="222" t="s">
        <v>9</v>
      </c>
      <c r="P428" s="224"/>
      <c r="Q428" s="224">
        <v>80000</v>
      </c>
      <c r="R428" s="224"/>
      <c r="S428" s="224"/>
      <c r="T428" s="224">
        <v>0</v>
      </c>
      <c r="U428" s="224"/>
      <c r="V428" s="224"/>
      <c r="W428" s="224"/>
      <c r="X428" s="224"/>
      <c r="Y428" s="222">
        <v>65</v>
      </c>
      <c r="Z428" s="222">
        <v>94</v>
      </c>
      <c r="AA428" s="224"/>
      <c r="AB428" s="224">
        <v>0</v>
      </c>
      <c r="AC428" s="224"/>
      <c r="AD428" s="224"/>
      <c r="AE428" s="224">
        <v>0</v>
      </c>
      <c r="AF428" s="224"/>
      <c r="AG428" s="224"/>
      <c r="AH428" s="224"/>
      <c r="AI428" s="224"/>
      <c r="AJ428" s="126"/>
      <c r="AK428" s="126"/>
      <c r="AL428" s="126"/>
      <c r="AM428" s="126"/>
      <c r="AN428" s="126"/>
    </row>
    <row r="429" spans="1:40" ht="15.75" customHeight="1">
      <c r="A429" s="221">
        <f t="shared" si="2"/>
        <v>423</v>
      </c>
      <c r="B429" s="222" t="s">
        <v>5725</v>
      </c>
      <c r="C429" s="222" t="s">
        <v>5</v>
      </c>
      <c r="D429" s="222" t="e">
        <f t="array" ref="D429">IF(F429="","",INDEX(#REF!,MATCH(F429,#REF!,0)))</f>
        <v>#REF!</v>
      </c>
      <c r="E429" s="222" t="e">
        <f t="array" ref="E429">IF(F429="","",INDEX(#REF!,MATCH(F429,#REF!,0)))</f>
        <v>#REF!</v>
      </c>
      <c r="F429" s="222" t="s">
        <v>28</v>
      </c>
      <c r="G429" s="222" t="s">
        <v>4499</v>
      </c>
      <c r="H429" s="223">
        <v>1.4</v>
      </c>
      <c r="I429" s="222" t="s">
        <v>5744</v>
      </c>
      <c r="J429" s="222" t="s">
        <v>5745</v>
      </c>
      <c r="K429" s="222" t="s">
        <v>5746</v>
      </c>
      <c r="L429" s="222">
        <v>3088500</v>
      </c>
      <c r="M429" s="222">
        <v>3088500</v>
      </c>
      <c r="N429" s="222" t="s">
        <v>11</v>
      </c>
      <c r="O429" s="222" t="s">
        <v>9</v>
      </c>
      <c r="P429" s="224">
        <v>18439462.690000001</v>
      </c>
      <c r="Q429" s="224">
        <v>270000</v>
      </c>
      <c r="R429" s="224">
        <v>20000</v>
      </c>
      <c r="S429" s="224"/>
      <c r="T429" s="224">
        <v>1448500</v>
      </c>
      <c r="U429" s="224"/>
      <c r="V429" s="224"/>
      <c r="W429" s="224"/>
      <c r="X429" s="224"/>
      <c r="Y429" s="222">
        <v>0</v>
      </c>
      <c r="Z429" s="222">
        <v>3088500</v>
      </c>
      <c r="AA429" s="224">
        <v>5470326.5099999998</v>
      </c>
      <c r="AB429" s="224">
        <v>0</v>
      </c>
      <c r="AC429" s="224">
        <v>0</v>
      </c>
      <c r="AD429" s="224"/>
      <c r="AE429" s="224">
        <v>0</v>
      </c>
      <c r="AF429" s="224"/>
      <c r="AG429" s="224"/>
      <c r="AH429" s="224"/>
      <c r="AI429" s="224"/>
      <c r="AJ429" s="126"/>
      <c r="AK429" s="126"/>
      <c r="AL429" s="126"/>
      <c r="AM429" s="126"/>
      <c r="AN429" s="126"/>
    </row>
    <row r="430" spans="1:40" ht="15.75" customHeight="1">
      <c r="A430" s="221">
        <f t="shared" si="2"/>
        <v>424</v>
      </c>
      <c r="B430" s="222" t="s">
        <v>5725</v>
      </c>
      <c r="C430" s="222" t="s">
        <v>5</v>
      </c>
      <c r="D430" s="222" t="e">
        <f t="array" ref="D430">IF(F430="","",INDEX(#REF!,MATCH(F430,#REF!,0)))</f>
        <v>#REF!</v>
      </c>
      <c r="E430" s="222" t="e">
        <f t="array" ref="E430">IF(F430="","",INDEX(#REF!,MATCH(F430,#REF!,0)))</f>
        <v>#REF!</v>
      </c>
      <c r="F430" s="222" t="s">
        <v>28</v>
      </c>
      <c r="G430" s="222" t="s">
        <v>4495</v>
      </c>
      <c r="H430" s="223">
        <v>2</v>
      </c>
      <c r="I430" s="222" t="s">
        <v>5747</v>
      </c>
      <c r="J430" s="222" t="s">
        <v>5748</v>
      </c>
      <c r="K430" s="222" t="s">
        <v>5749</v>
      </c>
      <c r="L430" s="222">
        <v>35000</v>
      </c>
      <c r="M430" s="222">
        <v>33250</v>
      </c>
      <c r="N430" s="222" t="s">
        <v>13</v>
      </c>
      <c r="O430" s="222" t="s">
        <v>9</v>
      </c>
      <c r="P430" s="224"/>
      <c r="Q430" s="224"/>
      <c r="R430" s="224"/>
      <c r="S430" s="224"/>
      <c r="T430" s="224"/>
      <c r="U430" s="224"/>
      <c r="V430" s="224"/>
      <c r="W430" s="224"/>
      <c r="X430" s="224"/>
      <c r="Y430" s="222">
        <v>18996</v>
      </c>
      <c r="Z430" s="222">
        <v>33250</v>
      </c>
      <c r="AA430" s="224"/>
      <c r="AB430" s="224"/>
      <c r="AC430" s="224"/>
      <c r="AD430" s="224"/>
      <c r="AE430" s="224"/>
      <c r="AF430" s="224"/>
      <c r="AG430" s="224"/>
      <c r="AH430" s="224"/>
      <c r="AI430" s="224"/>
      <c r="AJ430" s="126"/>
      <c r="AK430" s="126"/>
      <c r="AL430" s="126"/>
      <c r="AM430" s="126"/>
      <c r="AN430" s="126"/>
    </row>
    <row r="431" spans="1:40" ht="15.75" customHeight="1">
      <c r="A431" s="221">
        <f t="shared" si="2"/>
        <v>425</v>
      </c>
      <c r="B431" s="222" t="s">
        <v>5725</v>
      </c>
      <c r="C431" s="222" t="s">
        <v>5</v>
      </c>
      <c r="D431" s="222" t="e">
        <f t="array" ref="D431">IF(F431="","",INDEX(#REF!,MATCH(F431,#REF!,0)))</f>
        <v>#REF!</v>
      </c>
      <c r="E431" s="222" t="e">
        <f t="array" ref="E431">IF(F431="","",INDEX(#REF!,MATCH(F431,#REF!,0)))</f>
        <v>#REF!</v>
      </c>
      <c r="F431" s="222" t="s">
        <v>28</v>
      </c>
      <c r="G431" s="222" t="s">
        <v>4499</v>
      </c>
      <c r="H431" s="223">
        <v>2.1</v>
      </c>
      <c r="I431" s="222" t="s">
        <v>5750</v>
      </c>
      <c r="J431" s="222" t="s">
        <v>5751</v>
      </c>
      <c r="K431" s="222" t="s">
        <v>5752</v>
      </c>
      <c r="L431" s="222">
        <v>72</v>
      </c>
      <c r="M431" s="222">
        <v>69</v>
      </c>
      <c r="N431" s="222" t="s">
        <v>11</v>
      </c>
      <c r="O431" s="222" t="s">
        <v>9</v>
      </c>
      <c r="P431" s="224"/>
      <c r="Q431" s="224">
        <v>7112.63</v>
      </c>
      <c r="R431" s="224">
        <v>12500</v>
      </c>
      <c r="S431" s="224"/>
      <c r="T431" s="224"/>
      <c r="U431" s="224"/>
      <c r="V431" s="224"/>
      <c r="W431" s="224"/>
      <c r="X431" s="224"/>
      <c r="Y431" s="222">
        <v>96</v>
      </c>
      <c r="Z431" s="222">
        <v>69</v>
      </c>
      <c r="AA431" s="224"/>
      <c r="AB431" s="224">
        <v>0</v>
      </c>
      <c r="AC431" s="224">
        <v>0</v>
      </c>
      <c r="AD431" s="224"/>
      <c r="AE431" s="224"/>
      <c r="AF431" s="224"/>
      <c r="AG431" s="224"/>
      <c r="AH431" s="224"/>
      <c r="AI431" s="224"/>
      <c r="AJ431" s="126"/>
      <c r="AK431" s="126"/>
      <c r="AL431" s="126"/>
      <c r="AM431" s="126"/>
      <c r="AN431" s="126"/>
    </row>
    <row r="432" spans="1:40" ht="15.75" customHeight="1">
      <c r="A432" s="221">
        <f t="shared" si="2"/>
        <v>426</v>
      </c>
      <c r="B432" s="222" t="s">
        <v>5725</v>
      </c>
      <c r="C432" s="222" t="s">
        <v>5</v>
      </c>
      <c r="D432" s="222" t="e">
        <f t="array" ref="D432">IF(F432="","",INDEX(#REF!,MATCH(F432,#REF!,0)))</f>
        <v>#REF!</v>
      </c>
      <c r="E432" s="222" t="e">
        <f t="array" ref="E432">IF(F432="","",INDEX(#REF!,MATCH(F432,#REF!,0)))</f>
        <v>#REF!</v>
      </c>
      <c r="F432" s="222" t="s">
        <v>28</v>
      </c>
      <c r="G432" s="222" t="s">
        <v>4499</v>
      </c>
      <c r="H432" s="223">
        <v>2.2000000000000002</v>
      </c>
      <c r="I432" s="222" t="s">
        <v>5753</v>
      </c>
      <c r="J432" s="222" t="s">
        <v>5754</v>
      </c>
      <c r="K432" s="222" t="s">
        <v>5755</v>
      </c>
      <c r="L432" s="222">
        <v>28</v>
      </c>
      <c r="M432" s="222">
        <v>27</v>
      </c>
      <c r="N432" s="222" t="s">
        <v>11</v>
      </c>
      <c r="O432" s="222" t="s">
        <v>9</v>
      </c>
      <c r="P432" s="224"/>
      <c r="Q432" s="224">
        <v>10000</v>
      </c>
      <c r="R432" s="224">
        <v>10000</v>
      </c>
      <c r="S432" s="224"/>
      <c r="T432" s="224"/>
      <c r="U432" s="224"/>
      <c r="V432" s="224"/>
      <c r="W432" s="224"/>
      <c r="X432" s="224"/>
      <c r="Y432" s="222">
        <v>22</v>
      </c>
      <c r="Z432" s="222">
        <v>27</v>
      </c>
      <c r="AA432" s="224"/>
      <c r="AB432" s="224">
        <v>0</v>
      </c>
      <c r="AC432" s="224">
        <v>0</v>
      </c>
      <c r="AD432" s="224"/>
      <c r="AE432" s="224"/>
      <c r="AF432" s="224"/>
      <c r="AG432" s="224"/>
      <c r="AH432" s="224"/>
      <c r="AI432" s="224"/>
      <c r="AJ432" s="126"/>
      <c r="AK432" s="126"/>
      <c r="AL432" s="126"/>
      <c r="AM432" s="126"/>
      <c r="AN432" s="126"/>
    </row>
    <row r="433" spans="1:40" ht="15.75" customHeight="1">
      <c r="A433" s="221">
        <f t="shared" si="2"/>
        <v>427</v>
      </c>
      <c r="B433" s="222" t="s">
        <v>5725</v>
      </c>
      <c r="C433" s="222" t="s">
        <v>5</v>
      </c>
      <c r="D433" s="222" t="e">
        <f t="array" ref="D433">IF(F433="","",INDEX(#REF!,MATCH(F433,#REF!,0)))</f>
        <v>#REF!</v>
      </c>
      <c r="E433" s="222" t="e">
        <f t="array" ref="E433">IF(F433="","",INDEX(#REF!,MATCH(F433,#REF!,0)))</f>
        <v>#REF!</v>
      </c>
      <c r="F433" s="222" t="s">
        <v>28</v>
      </c>
      <c r="G433" s="222" t="s">
        <v>4499</v>
      </c>
      <c r="H433" s="223">
        <v>2.2999999999999998</v>
      </c>
      <c r="I433" s="222" t="s">
        <v>5756</v>
      </c>
      <c r="J433" s="222" t="s">
        <v>5757</v>
      </c>
      <c r="K433" s="222" t="s">
        <v>5758</v>
      </c>
      <c r="L433" s="222">
        <v>200</v>
      </c>
      <c r="M433" s="222">
        <v>160</v>
      </c>
      <c r="N433" s="222" t="s">
        <v>15</v>
      </c>
      <c r="O433" s="222" t="s">
        <v>9</v>
      </c>
      <c r="P433" s="224"/>
      <c r="Q433" s="224">
        <v>590000</v>
      </c>
      <c r="R433" s="224"/>
      <c r="S433" s="224"/>
      <c r="T433" s="224"/>
      <c r="U433" s="224"/>
      <c r="V433" s="224"/>
      <c r="W433" s="224"/>
      <c r="X433" s="224"/>
      <c r="Y433" s="222">
        <v>0</v>
      </c>
      <c r="Z433" s="222">
        <v>160</v>
      </c>
      <c r="AA433" s="224"/>
      <c r="AB433" s="224">
        <v>0</v>
      </c>
      <c r="AC433" s="224"/>
      <c r="AD433" s="224"/>
      <c r="AE433" s="224"/>
      <c r="AF433" s="224"/>
      <c r="AG433" s="224"/>
      <c r="AH433" s="224"/>
      <c r="AI433" s="224"/>
      <c r="AJ433" s="126"/>
      <c r="AK433" s="126"/>
      <c r="AL433" s="126"/>
      <c r="AM433" s="126"/>
      <c r="AN433" s="126"/>
    </row>
    <row r="434" spans="1:40" ht="15.75" customHeight="1">
      <c r="A434" s="221">
        <f t="shared" si="2"/>
        <v>428</v>
      </c>
      <c r="B434" s="222" t="s">
        <v>5725</v>
      </c>
      <c r="C434" s="222" t="s">
        <v>5</v>
      </c>
      <c r="D434" s="222" t="e">
        <f t="array" ref="D434">IF(F434="","",INDEX(#REF!,MATCH(F434,#REF!,0)))</f>
        <v>#REF!</v>
      </c>
      <c r="E434" s="222" t="e">
        <f t="array" ref="E434">IF(F434="","",INDEX(#REF!,MATCH(F434,#REF!,0)))</f>
        <v>#REF!</v>
      </c>
      <c r="F434" s="222" t="s">
        <v>28</v>
      </c>
      <c r="G434" s="222" t="s">
        <v>4499</v>
      </c>
      <c r="H434" s="223">
        <v>2.4</v>
      </c>
      <c r="I434" s="222" t="s">
        <v>5759</v>
      </c>
      <c r="J434" s="222" t="s">
        <v>5760</v>
      </c>
      <c r="K434" s="222" t="s">
        <v>5761</v>
      </c>
      <c r="L434" s="222">
        <v>1995</v>
      </c>
      <c r="M434" s="222">
        <v>1990</v>
      </c>
      <c r="N434" s="222" t="s">
        <v>11</v>
      </c>
      <c r="O434" s="222" t="s">
        <v>9</v>
      </c>
      <c r="P434" s="224"/>
      <c r="Q434" s="224">
        <v>92508.7</v>
      </c>
      <c r="R434" s="224"/>
      <c r="S434" s="224"/>
      <c r="T434" s="224"/>
      <c r="U434" s="224"/>
      <c r="V434" s="224"/>
      <c r="W434" s="224"/>
      <c r="X434" s="224"/>
      <c r="Y434" s="222">
        <v>1686</v>
      </c>
      <c r="Z434" s="222">
        <v>1990</v>
      </c>
      <c r="AA434" s="224"/>
      <c r="AB434" s="224">
        <v>0</v>
      </c>
      <c r="AC434" s="224"/>
      <c r="AD434" s="224"/>
      <c r="AE434" s="224"/>
      <c r="AF434" s="224"/>
      <c r="AG434" s="224"/>
      <c r="AH434" s="224"/>
      <c r="AI434" s="224"/>
      <c r="AJ434" s="126"/>
      <c r="AK434" s="126"/>
      <c r="AL434" s="126"/>
      <c r="AM434" s="126"/>
      <c r="AN434" s="126"/>
    </row>
    <row r="435" spans="1:40" ht="15.75" customHeight="1">
      <c r="A435" s="221">
        <f t="shared" si="2"/>
        <v>429</v>
      </c>
      <c r="B435" s="222" t="s">
        <v>5725</v>
      </c>
      <c r="C435" s="222" t="s">
        <v>5</v>
      </c>
      <c r="D435" s="222" t="e">
        <f t="array" ref="D435">IF(F435="","",INDEX(#REF!,MATCH(F435,#REF!,0)))</f>
        <v>#REF!</v>
      </c>
      <c r="E435" s="222" t="e">
        <f t="array" ref="E435">IF(F435="","",INDEX(#REF!,MATCH(F435,#REF!,0)))</f>
        <v>#REF!</v>
      </c>
      <c r="F435" s="222" t="s">
        <v>28</v>
      </c>
      <c r="G435" s="222" t="s">
        <v>4499</v>
      </c>
      <c r="H435" s="223">
        <v>2.5</v>
      </c>
      <c r="I435" s="222" t="s">
        <v>5762</v>
      </c>
      <c r="J435" s="222" t="s">
        <v>5763</v>
      </c>
      <c r="K435" s="222" t="s">
        <v>5764</v>
      </c>
      <c r="L435" s="222">
        <v>27930</v>
      </c>
      <c r="M435" s="222">
        <v>26600</v>
      </c>
      <c r="N435" s="222" t="s">
        <v>11</v>
      </c>
      <c r="O435" s="222" t="s">
        <v>9</v>
      </c>
      <c r="P435" s="224">
        <v>18274757.880000003</v>
      </c>
      <c r="Q435" s="224">
        <v>2900000</v>
      </c>
      <c r="R435" s="224">
        <v>1150000</v>
      </c>
      <c r="S435" s="224"/>
      <c r="T435" s="224">
        <v>3098640</v>
      </c>
      <c r="U435" s="224"/>
      <c r="V435" s="224"/>
      <c r="W435" s="224"/>
      <c r="X435" s="224"/>
      <c r="Y435" s="222">
        <v>19397</v>
      </c>
      <c r="Z435" s="222">
        <v>26600</v>
      </c>
      <c r="AA435" s="224">
        <v>7495035.5800000029</v>
      </c>
      <c r="AB435" s="224">
        <v>0</v>
      </c>
      <c r="AC435" s="224">
        <v>0</v>
      </c>
      <c r="AD435" s="224"/>
      <c r="AE435" s="224">
        <v>0</v>
      </c>
      <c r="AF435" s="224"/>
      <c r="AG435" s="224"/>
      <c r="AH435" s="224"/>
      <c r="AI435" s="224"/>
      <c r="AJ435" s="126"/>
      <c r="AK435" s="126"/>
      <c r="AL435" s="126"/>
      <c r="AM435" s="126"/>
      <c r="AN435" s="126"/>
    </row>
    <row r="436" spans="1:40" ht="15.75" customHeight="1">
      <c r="A436" s="221">
        <f t="shared" si="2"/>
        <v>430</v>
      </c>
      <c r="B436" s="222" t="s">
        <v>5725</v>
      </c>
      <c r="C436" s="222" t="s">
        <v>5</v>
      </c>
      <c r="D436" s="222" t="e">
        <f t="array" ref="D436">IF(F436="","",INDEX(#REF!,MATCH(F436,#REF!,0)))</f>
        <v>#REF!</v>
      </c>
      <c r="E436" s="222" t="e">
        <f t="array" ref="E436">IF(F436="","",INDEX(#REF!,MATCH(F436,#REF!,0)))</f>
        <v>#REF!</v>
      </c>
      <c r="F436" s="222" t="s">
        <v>28</v>
      </c>
      <c r="G436" s="222" t="s">
        <v>4495</v>
      </c>
      <c r="H436" s="223">
        <v>3</v>
      </c>
      <c r="I436" s="222" t="s">
        <v>5765</v>
      </c>
      <c r="J436" s="222" t="s">
        <v>5766</v>
      </c>
      <c r="K436" s="222" t="s">
        <v>5767</v>
      </c>
      <c r="L436" s="222">
        <v>2500000</v>
      </c>
      <c r="M436" s="222">
        <v>2684801</v>
      </c>
      <c r="N436" s="222" t="s">
        <v>11</v>
      </c>
      <c r="O436" s="222" t="s">
        <v>9</v>
      </c>
      <c r="P436" s="224"/>
      <c r="Q436" s="224"/>
      <c r="R436" s="224"/>
      <c r="S436" s="224"/>
      <c r="T436" s="224"/>
      <c r="U436" s="224"/>
      <c r="V436" s="224"/>
      <c r="W436" s="224"/>
      <c r="X436" s="224"/>
      <c r="Y436" s="222">
        <v>1476221</v>
      </c>
      <c r="Z436" s="222">
        <v>2684801</v>
      </c>
      <c r="AA436" s="224"/>
      <c r="AB436" s="224"/>
      <c r="AC436" s="224"/>
      <c r="AD436" s="224"/>
      <c r="AE436" s="224"/>
      <c r="AF436" s="224"/>
      <c r="AG436" s="224"/>
      <c r="AH436" s="224"/>
      <c r="AI436" s="224"/>
      <c r="AJ436" s="126"/>
      <c r="AK436" s="126"/>
      <c r="AL436" s="126"/>
      <c r="AM436" s="126"/>
      <c r="AN436" s="126"/>
    </row>
    <row r="437" spans="1:40" ht="15.75" customHeight="1">
      <c r="A437" s="221">
        <f t="shared" si="2"/>
        <v>431</v>
      </c>
      <c r="B437" s="222" t="s">
        <v>5725</v>
      </c>
      <c r="C437" s="222" t="s">
        <v>5</v>
      </c>
      <c r="D437" s="222" t="e">
        <f t="array" ref="D437">IF(F437="","",INDEX(#REF!,MATCH(F437,#REF!,0)))</f>
        <v>#REF!</v>
      </c>
      <c r="E437" s="222" t="e">
        <f t="array" ref="E437">IF(F437="","",INDEX(#REF!,MATCH(F437,#REF!,0)))</f>
        <v>#REF!</v>
      </c>
      <c r="F437" s="222" t="s">
        <v>28</v>
      </c>
      <c r="G437" s="222" t="s">
        <v>4499</v>
      </c>
      <c r="H437" s="223">
        <v>3.1</v>
      </c>
      <c r="I437" s="222" t="s">
        <v>5768</v>
      </c>
      <c r="J437" s="222" t="s">
        <v>5769</v>
      </c>
      <c r="K437" s="222" t="s">
        <v>5770</v>
      </c>
      <c r="L437" s="222">
        <v>2500000</v>
      </c>
      <c r="M437" s="222">
        <v>2684801</v>
      </c>
      <c r="N437" s="222" t="s">
        <v>11</v>
      </c>
      <c r="O437" s="222" t="s">
        <v>9</v>
      </c>
      <c r="P437" s="224">
        <v>14950159.409999998</v>
      </c>
      <c r="Q437" s="224">
        <v>70620.990000000005</v>
      </c>
      <c r="R437" s="224">
        <v>120000</v>
      </c>
      <c r="S437" s="224"/>
      <c r="T437" s="224"/>
      <c r="U437" s="224"/>
      <c r="V437" s="224"/>
      <c r="W437" s="224"/>
      <c r="X437" s="224"/>
      <c r="Y437" s="222">
        <v>1476311</v>
      </c>
      <c r="Z437" s="222">
        <v>2684801</v>
      </c>
      <c r="AA437" s="224">
        <v>1988996.0699999994</v>
      </c>
      <c r="AB437" s="224">
        <v>0</v>
      </c>
      <c r="AC437" s="224">
        <v>0</v>
      </c>
      <c r="AD437" s="224"/>
      <c r="AE437" s="224"/>
      <c r="AF437" s="224"/>
      <c r="AG437" s="224"/>
      <c r="AH437" s="224"/>
      <c r="AI437" s="224"/>
      <c r="AJ437" s="126"/>
      <c r="AK437" s="126"/>
      <c r="AL437" s="126"/>
      <c r="AM437" s="126"/>
      <c r="AN437" s="126"/>
    </row>
    <row r="438" spans="1:40" ht="15.75" customHeight="1">
      <c r="A438" s="221">
        <f t="shared" si="2"/>
        <v>432</v>
      </c>
      <c r="B438" s="222" t="s">
        <v>5725</v>
      </c>
      <c r="C438" s="222" t="s">
        <v>5</v>
      </c>
      <c r="D438" s="222" t="e">
        <f t="array" ref="D438">IF(F438="","",INDEX(#REF!,MATCH(F438,#REF!,0)))</f>
        <v>#REF!</v>
      </c>
      <c r="E438" s="222" t="e">
        <f t="array" ref="E438">IF(F438="","",INDEX(#REF!,MATCH(F438,#REF!,0)))</f>
        <v>#REF!</v>
      </c>
      <c r="F438" s="222" t="s">
        <v>28</v>
      </c>
      <c r="G438" s="222" t="s">
        <v>4499</v>
      </c>
      <c r="H438" s="223">
        <v>3.2</v>
      </c>
      <c r="I438" s="222" t="s">
        <v>5771</v>
      </c>
      <c r="J438" s="222" t="s">
        <v>5772</v>
      </c>
      <c r="K438" s="222" t="s">
        <v>5773</v>
      </c>
      <c r="L438" s="222">
        <v>60000</v>
      </c>
      <c r="M438" s="222">
        <v>69706</v>
      </c>
      <c r="N438" s="222" t="s">
        <v>11</v>
      </c>
      <c r="O438" s="222" t="s">
        <v>9</v>
      </c>
      <c r="P438" s="224"/>
      <c r="Q438" s="224"/>
      <c r="R438" s="224"/>
      <c r="S438" s="224"/>
      <c r="T438" s="224">
        <v>121500</v>
      </c>
      <c r="U438" s="224"/>
      <c r="V438" s="224"/>
      <c r="W438" s="224"/>
      <c r="X438" s="224"/>
      <c r="Y438" s="222">
        <v>29580</v>
      </c>
      <c r="Z438" s="222">
        <v>69706</v>
      </c>
      <c r="AA438" s="224"/>
      <c r="AB438" s="224"/>
      <c r="AC438" s="224"/>
      <c r="AD438" s="224"/>
      <c r="AE438" s="224">
        <v>0</v>
      </c>
      <c r="AF438" s="224"/>
      <c r="AG438" s="224"/>
      <c r="AH438" s="224"/>
      <c r="AI438" s="224"/>
      <c r="AJ438" s="126"/>
      <c r="AK438" s="126"/>
      <c r="AL438" s="126"/>
      <c r="AM438" s="126"/>
      <c r="AN438" s="126"/>
    </row>
    <row r="439" spans="1:40" ht="15.75" customHeight="1">
      <c r="A439" s="221">
        <f t="shared" si="2"/>
        <v>433</v>
      </c>
      <c r="B439" s="222" t="s">
        <v>5774</v>
      </c>
      <c r="C439" s="222" t="s">
        <v>5</v>
      </c>
      <c r="D439" s="222" t="e">
        <f t="array" ref="D439">IF(F439="","",INDEX(#REF!,MATCH(F439,#REF!,0)))</f>
        <v>#REF!</v>
      </c>
      <c r="E439" s="222" t="e">
        <f t="array" ref="E439">IF(F439="","",INDEX(#REF!,MATCH(F439,#REF!,0)))</f>
        <v>#REF!</v>
      </c>
      <c r="F439" s="222" t="s">
        <v>32</v>
      </c>
      <c r="G439" s="222" t="s">
        <v>0</v>
      </c>
      <c r="H439" s="223" t="s">
        <v>4487</v>
      </c>
      <c r="I439" s="222" t="s">
        <v>5775</v>
      </c>
      <c r="J439" s="222" t="s">
        <v>5776</v>
      </c>
      <c r="K439" s="222" t="s">
        <v>5777</v>
      </c>
      <c r="L439" s="222">
        <v>100</v>
      </c>
      <c r="M439" s="222">
        <v>100</v>
      </c>
      <c r="N439" s="222" t="s">
        <v>15</v>
      </c>
      <c r="O439" s="222" t="s">
        <v>9</v>
      </c>
      <c r="P439" s="224"/>
      <c r="Q439" s="224"/>
      <c r="R439" s="224"/>
      <c r="S439" s="224"/>
      <c r="T439" s="224"/>
      <c r="U439" s="224"/>
      <c r="V439" s="224"/>
      <c r="W439" s="224"/>
      <c r="X439" s="224"/>
      <c r="Y439" s="222">
        <v>0</v>
      </c>
      <c r="Z439" s="222">
        <v>100</v>
      </c>
      <c r="AA439" s="224"/>
      <c r="AB439" s="224"/>
      <c r="AC439" s="224"/>
      <c r="AD439" s="224"/>
      <c r="AE439" s="224"/>
      <c r="AF439" s="224"/>
      <c r="AG439" s="224"/>
      <c r="AH439" s="224"/>
      <c r="AI439" s="224"/>
      <c r="AJ439" s="126"/>
      <c r="AK439" s="126"/>
      <c r="AL439" s="126"/>
      <c r="AM439" s="126"/>
      <c r="AN439" s="126"/>
    </row>
    <row r="440" spans="1:40" ht="15.75" customHeight="1">
      <c r="A440" s="221">
        <f t="shared" si="2"/>
        <v>434</v>
      </c>
      <c r="B440" s="222" t="s">
        <v>5774</v>
      </c>
      <c r="C440" s="222" t="s">
        <v>5</v>
      </c>
      <c r="D440" s="222" t="e">
        <f t="array" ref="D440">IF(F440="","",INDEX(#REF!,MATCH(F440,#REF!,0)))</f>
        <v>#REF!</v>
      </c>
      <c r="E440" s="222" t="e">
        <f t="array" ref="E440">IF(F440="","",INDEX(#REF!,MATCH(F440,#REF!,0)))</f>
        <v>#REF!</v>
      </c>
      <c r="F440" s="222" t="s">
        <v>32</v>
      </c>
      <c r="G440" s="222" t="s">
        <v>4491</v>
      </c>
      <c r="H440" s="223" t="s">
        <v>4487</v>
      </c>
      <c r="I440" s="222" t="s">
        <v>5778</v>
      </c>
      <c r="J440" s="222" t="s">
        <v>5779</v>
      </c>
      <c r="K440" s="222" t="s">
        <v>5780</v>
      </c>
      <c r="L440" s="222">
        <v>100</v>
      </c>
      <c r="M440" s="222">
        <v>100</v>
      </c>
      <c r="N440" s="222" t="s">
        <v>15</v>
      </c>
      <c r="O440" s="222" t="s">
        <v>9</v>
      </c>
      <c r="P440" s="224"/>
      <c r="Q440" s="224"/>
      <c r="R440" s="224"/>
      <c r="S440" s="224"/>
      <c r="T440" s="224"/>
      <c r="U440" s="224"/>
      <c r="V440" s="224"/>
      <c r="W440" s="224"/>
      <c r="X440" s="224"/>
      <c r="Y440" s="222">
        <v>0</v>
      </c>
      <c r="Z440" s="222">
        <v>100</v>
      </c>
      <c r="AA440" s="224"/>
      <c r="AB440" s="224"/>
      <c r="AC440" s="224"/>
      <c r="AD440" s="224"/>
      <c r="AE440" s="224"/>
      <c r="AF440" s="224"/>
      <c r="AG440" s="224"/>
      <c r="AH440" s="224"/>
      <c r="AI440" s="224"/>
      <c r="AJ440" s="126"/>
      <c r="AK440" s="126"/>
      <c r="AL440" s="126"/>
      <c r="AM440" s="126"/>
      <c r="AN440" s="126"/>
    </row>
    <row r="441" spans="1:40" ht="15.75" customHeight="1">
      <c r="A441" s="221">
        <f t="shared" si="2"/>
        <v>435</v>
      </c>
      <c r="B441" s="222" t="s">
        <v>5774</v>
      </c>
      <c r="C441" s="222" t="s">
        <v>5</v>
      </c>
      <c r="D441" s="222" t="e">
        <f t="array" ref="D441">IF(F441="","",INDEX(#REF!,MATCH(F441,#REF!,0)))</f>
        <v>#REF!</v>
      </c>
      <c r="E441" s="222" t="e">
        <f t="array" ref="E441">IF(F441="","",INDEX(#REF!,MATCH(F441,#REF!,0)))</f>
        <v>#REF!</v>
      </c>
      <c r="F441" s="222" t="s">
        <v>32</v>
      </c>
      <c r="G441" s="222" t="s">
        <v>4495</v>
      </c>
      <c r="H441" s="223">
        <v>1</v>
      </c>
      <c r="I441" s="222" t="s">
        <v>5781</v>
      </c>
      <c r="J441" s="222" t="s">
        <v>5782</v>
      </c>
      <c r="K441" s="222" t="s">
        <v>5783</v>
      </c>
      <c r="L441" s="222">
        <v>100</v>
      </c>
      <c r="M441" s="222">
        <v>100</v>
      </c>
      <c r="N441" s="222" t="s">
        <v>11</v>
      </c>
      <c r="O441" s="222" t="s">
        <v>9</v>
      </c>
      <c r="P441" s="224"/>
      <c r="Q441" s="224"/>
      <c r="R441" s="224"/>
      <c r="S441" s="224"/>
      <c r="T441" s="224"/>
      <c r="U441" s="224"/>
      <c r="V441" s="224"/>
      <c r="W441" s="224"/>
      <c r="X441" s="224"/>
      <c r="Y441" s="222">
        <v>1251</v>
      </c>
      <c r="Z441" s="222">
        <v>100</v>
      </c>
      <c r="AA441" s="224"/>
      <c r="AB441" s="224"/>
      <c r="AC441" s="224"/>
      <c r="AD441" s="224"/>
      <c r="AE441" s="224"/>
      <c r="AF441" s="224"/>
      <c r="AG441" s="224"/>
      <c r="AH441" s="224"/>
      <c r="AI441" s="224"/>
      <c r="AJ441" s="126"/>
      <c r="AK441" s="126"/>
      <c r="AL441" s="126"/>
      <c r="AM441" s="126"/>
      <c r="AN441" s="126"/>
    </row>
    <row r="442" spans="1:40" ht="15.75" customHeight="1">
      <c r="A442" s="221">
        <f t="shared" si="2"/>
        <v>436</v>
      </c>
      <c r="B442" s="222" t="s">
        <v>5774</v>
      </c>
      <c r="C442" s="222" t="s">
        <v>5</v>
      </c>
      <c r="D442" s="222" t="e">
        <f t="array" ref="D442">IF(F442="","",INDEX(#REF!,MATCH(F442,#REF!,0)))</f>
        <v>#REF!</v>
      </c>
      <c r="E442" s="222" t="e">
        <f t="array" ref="E442">IF(F442="","",INDEX(#REF!,MATCH(F442,#REF!,0)))</f>
        <v>#REF!</v>
      </c>
      <c r="F442" s="222" t="s">
        <v>32</v>
      </c>
      <c r="G442" s="222" t="s">
        <v>4499</v>
      </c>
      <c r="H442" s="223">
        <v>1.1000000000000001</v>
      </c>
      <c r="I442" s="222" t="s">
        <v>5784</v>
      </c>
      <c r="J442" s="222" t="s">
        <v>5785</v>
      </c>
      <c r="K442" s="222" t="s">
        <v>5786</v>
      </c>
      <c r="L442" s="222">
        <v>100</v>
      </c>
      <c r="M442" s="222">
        <v>100</v>
      </c>
      <c r="N442" s="222" t="s">
        <v>11</v>
      </c>
      <c r="O442" s="222" t="s">
        <v>9</v>
      </c>
      <c r="P442" s="224"/>
      <c r="Q442" s="224"/>
      <c r="R442" s="224">
        <v>5367400</v>
      </c>
      <c r="S442" s="224"/>
      <c r="T442" s="224"/>
      <c r="U442" s="224"/>
      <c r="V442" s="224"/>
      <c r="W442" s="224"/>
      <c r="X442" s="224"/>
      <c r="Y442" s="222">
        <v>159</v>
      </c>
      <c r="Z442" s="222">
        <v>100</v>
      </c>
      <c r="AA442" s="224"/>
      <c r="AB442" s="224"/>
      <c r="AC442" s="224">
        <v>228689.2</v>
      </c>
      <c r="AD442" s="224"/>
      <c r="AE442" s="224"/>
      <c r="AF442" s="224"/>
      <c r="AG442" s="224"/>
      <c r="AH442" s="224"/>
      <c r="AI442" s="224"/>
      <c r="AJ442" s="126"/>
      <c r="AK442" s="126"/>
      <c r="AL442" s="126"/>
      <c r="AM442" s="126"/>
      <c r="AN442" s="126"/>
    </row>
    <row r="443" spans="1:40" ht="15.75" customHeight="1">
      <c r="A443" s="221">
        <f t="shared" si="2"/>
        <v>437</v>
      </c>
      <c r="B443" s="222" t="s">
        <v>5774</v>
      </c>
      <c r="C443" s="222" t="s">
        <v>5</v>
      </c>
      <c r="D443" s="222" t="e">
        <f t="array" ref="D443">IF(F443="","",INDEX(#REF!,MATCH(F443,#REF!,0)))</f>
        <v>#REF!</v>
      </c>
      <c r="E443" s="222" t="e">
        <f t="array" ref="E443">IF(F443="","",INDEX(#REF!,MATCH(F443,#REF!,0)))</f>
        <v>#REF!</v>
      </c>
      <c r="F443" s="222" t="s">
        <v>32</v>
      </c>
      <c r="G443" s="222" t="s">
        <v>4499</v>
      </c>
      <c r="H443" s="223">
        <v>1.2</v>
      </c>
      <c r="I443" s="222" t="s">
        <v>5787</v>
      </c>
      <c r="J443" s="222" t="s">
        <v>5788</v>
      </c>
      <c r="K443" s="222" t="s">
        <v>5789</v>
      </c>
      <c r="L443" s="222">
        <v>100</v>
      </c>
      <c r="M443" s="222">
        <v>100</v>
      </c>
      <c r="N443" s="222" t="s">
        <v>11</v>
      </c>
      <c r="O443" s="222" t="s">
        <v>9</v>
      </c>
      <c r="P443" s="224"/>
      <c r="Q443" s="224"/>
      <c r="R443" s="224">
        <v>0</v>
      </c>
      <c r="S443" s="224"/>
      <c r="T443" s="224"/>
      <c r="U443" s="224"/>
      <c r="V443" s="224"/>
      <c r="W443" s="224"/>
      <c r="X443" s="224"/>
      <c r="Y443" s="222">
        <v>59</v>
      </c>
      <c r="Z443" s="222">
        <v>100</v>
      </c>
      <c r="AA443" s="224"/>
      <c r="AB443" s="224"/>
      <c r="AC443" s="224">
        <v>0</v>
      </c>
      <c r="AD443" s="224"/>
      <c r="AE443" s="224"/>
      <c r="AF443" s="224"/>
      <c r="AG443" s="224"/>
      <c r="AH443" s="224"/>
      <c r="AI443" s="224"/>
      <c r="AJ443" s="126"/>
      <c r="AK443" s="126"/>
      <c r="AL443" s="126"/>
      <c r="AM443" s="126"/>
      <c r="AN443" s="126"/>
    </row>
    <row r="444" spans="1:40" ht="15.75" customHeight="1">
      <c r="A444" s="221">
        <f t="shared" si="2"/>
        <v>438</v>
      </c>
      <c r="B444" s="222" t="s">
        <v>5774</v>
      </c>
      <c r="C444" s="222" t="s">
        <v>5</v>
      </c>
      <c r="D444" s="222" t="e">
        <f t="array" ref="D444">IF(F444="","",INDEX(#REF!,MATCH(F444,#REF!,0)))</f>
        <v>#REF!</v>
      </c>
      <c r="E444" s="222" t="e">
        <f t="array" ref="E444">IF(F444="","",INDEX(#REF!,MATCH(F444,#REF!,0)))</f>
        <v>#REF!</v>
      </c>
      <c r="F444" s="222" t="s">
        <v>32</v>
      </c>
      <c r="G444" s="222" t="s">
        <v>4499</v>
      </c>
      <c r="H444" s="223">
        <v>1.3</v>
      </c>
      <c r="I444" s="222" t="s">
        <v>5790</v>
      </c>
      <c r="J444" s="222" t="s">
        <v>5791</v>
      </c>
      <c r="K444" s="222" t="s">
        <v>5792</v>
      </c>
      <c r="L444" s="222">
        <v>100</v>
      </c>
      <c r="M444" s="222">
        <v>100</v>
      </c>
      <c r="N444" s="222" t="s">
        <v>11</v>
      </c>
      <c r="O444" s="222" t="s">
        <v>9</v>
      </c>
      <c r="P444" s="224"/>
      <c r="Q444" s="224"/>
      <c r="R444" s="224">
        <v>300000</v>
      </c>
      <c r="S444" s="224"/>
      <c r="T444" s="224"/>
      <c r="U444" s="224"/>
      <c r="V444" s="224"/>
      <c r="W444" s="224"/>
      <c r="X444" s="224"/>
      <c r="Y444" s="222">
        <v>11716</v>
      </c>
      <c r="Z444" s="222">
        <v>100</v>
      </c>
      <c r="AA444" s="224"/>
      <c r="AB444" s="224"/>
      <c r="AC444" s="224">
        <v>11716</v>
      </c>
      <c r="AD444" s="224"/>
      <c r="AE444" s="224"/>
      <c r="AF444" s="224"/>
      <c r="AG444" s="224"/>
      <c r="AH444" s="224"/>
      <c r="AI444" s="224"/>
      <c r="AJ444" s="126"/>
      <c r="AK444" s="126"/>
      <c r="AL444" s="126"/>
      <c r="AM444" s="126"/>
      <c r="AN444" s="126"/>
    </row>
    <row r="445" spans="1:40" ht="15.75" customHeight="1">
      <c r="A445" s="221">
        <f t="shared" si="2"/>
        <v>439</v>
      </c>
      <c r="B445" s="222" t="s">
        <v>5774</v>
      </c>
      <c r="C445" s="222" t="s">
        <v>5</v>
      </c>
      <c r="D445" s="222" t="e">
        <f t="array" ref="D445">IF(F445="","",INDEX(#REF!,MATCH(F445,#REF!,0)))</f>
        <v>#REF!</v>
      </c>
      <c r="E445" s="222" t="e">
        <f t="array" ref="E445">IF(F445="","",INDEX(#REF!,MATCH(F445,#REF!,0)))</f>
        <v>#REF!</v>
      </c>
      <c r="F445" s="222" t="s">
        <v>32</v>
      </c>
      <c r="G445" s="222" t="s">
        <v>4499</v>
      </c>
      <c r="H445" s="223">
        <v>1.4</v>
      </c>
      <c r="I445" s="222" t="s">
        <v>5793</v>
      </c>
      <c r="J445" s="222" t="s">
        <v>5794</v>
      </c>
      <c r="K445" s="222" t="s">
        <v>5795</v>
      </c>
      <c r="L445" s="222">
        <v>100</v>
      </c>
      <c r="M445" s="222">
        <v>100</v>
      </c>
      <c r="N445" s="222" t="s">
        <v>11</v>
      </c>
      <c r="O445" s="222" t="s">
        <v>9</v>
      </c>
      <c r="P445" s="224"/>
      <c r="Q445" s="224">
        <v>835000</v>
      </c>
      <c r="R445" s="224">
        <v>1400000</v>
      </c>
      <c r="S445" s="224"/>
      <c r="T445" s="224"/>
      <c r="U445" s="224"/>
      <c r="V445" s="224"/>
      <c r="W445" s="224"/>
      <c r="X445" s="224"/>
      <c r="Y445" s="222">
        <v>520</v>
      </c>
      <c r="Z445" s="222">
        <v>100</v>
      </c>
      <c r="AA445" s="224"/>
      <c r="AB445" s="224">
        <v>0</v>
      </c>
      <c r="AC445" s="224">
        <v>0</v>
      </c>
      <c r="AD445" s="224"/>
      <c r="AE445" s="224"/>
      <c r="AF445" s="224"/>
      <c r="AG445" s="224"/>
      <c r="AH445" s="224"/>
      <c r="AI445" s="224"/>
      <c r="AJ445" s="126"/>
      <c r="AK445" s="126"/>
      <c r="AL445" s="126"/>
      <c r="AM445" s="126"/>
      <c r="AN445" s="126"/>
    </row>
    <row r="446" spans="1:40" ht="15.75" customHeight="1">
      <c r="A446" s="221">
        <f t="shared" si="2"/>
        <v>440</v>
      </c>
      <c r="B446" s="222" t="s">
        <v>5774</v>
      </c>
      <c r="C446" s="222" t="s">
        <v>5</v>
      </c>
      <c r="D446" s="222" t="e">
        <f t="array" ref="D446">IF(F446="","",INDEX(#REF!,MATCH(F446,#REF!,0)))</f>
        <v>#REF!</v>
      </c>
      <c r="E446" s="222" t="e">
        <f t="array" ref="E446">IF(F446="","",INDEX(#REF!,MATCH(F446,#REF!,0)))</f>
        <v>#REF!</v>
      </c>
      <c r="F446" s="222" t="s">
        <v>32</v>
      </c>
      <c r="G446" s="222" t="s">
        <v>4499</v>
      </c>
      <c r="H446" s="223">
        <v>1.5</v>
      </c>
      <c r="I446" s="222" t="s">
        <v>5796</v>
      </c>
      <c r="J446" s="222" t="s">
        <v>5797</v>
      </c>
      <c r="K446" s="222" t="s">
        <v>5798</v>
      </c>
      <c r="L446" s="222">
        <v>100</v>
      </c>
      <c r="M446" s="222">
        <v>100</v>
      </c>
      <c r="N446" s="222" t="s">
        <v>11</v>
      </c>
      <c r="O446" s="222" t="s">
        <v>9</v>
      </c>
      <c r="P446" s="224"/>
      <c r="Q446" s="224">
        <v>425000</v>
      </c>
      <c r="R446" s="224">
        <v>1450000</v>
      </c>
      <c r="S446" s="224"/>
      <c r="T446" s="224"/>
      <c r="U446" s="224"/>
      <c r="V446" s="224"/>
      <c r="W446" s="224"/>
      <c r="X446" s="224"/>
      <c r="Y446" s="222">
        <v>2167</v>
      </c>
      <c r="Z446" s="222">
        <v>100</v>
      </c>
      <c r="AA446" s="224"/>
      <c r="AB446" s="224">
        <v>0</v>
      </c>
      <c r="AC446" s="224">
        <v>0</v>
      </c>
      <c r="AD446" s="224"/>
      <c r="AE446" s="224"/>
      <c r="AF446" s="224"/>
      <c r="AG446" s="224"/>
      <c r="AH446" s="224"/>
      <c r="AI446" s="224"/>
      <c r="AJ446" s="126"/>
      <c r="AK446" s="126"/>
      <c r="AL446" s="126"/>
      <c r="AM446" s="126"/>
      <c r="AN446" s="126"/>
    </row>
    <row r="447" spans="1:40" ht="15.75" customHeight="1">
      <c r="A447" s="221">
        <f t="shared" si="2"/>
        <v>441</v>
      </c>
      <c r="B447" s="222" t="s">
        <v>5774</v>
      </c>
      <c r="C447" s="222" t="s">
        <v>5</v>
      </c>
      <c r="D447" s="222" t="e">
        <f t="array" ref="D447">IF(F447="","",INDEX(#REF!,MATCH(F447,#REF!,0)))</f>
        <v>#REF!</v>
      </c>
      <c r="E447" s="222" t="e">
        <f t="array" ref="E447">IF(F447="","",INDEX(#REF!,MATCH(F447,#REF!,0)))</f>
        <v>#REF!</v>
      </c>
      <c r="F447" s="222" t="s">
        <v>32</v>
      </c>
      <c r="G447" s="222" t="s">
        <v>4495</v>
      </c>
      <c r="H447" s="223">
        <v>2</v>
      </c>
      <c r="I447" s="222" t="s">
        <v>5799</v>
      </c>
      <c r="J447" s="222" t="s">
        <v>5800</v>
      </c>
      <c r="K447" s="222" t="s">
        <v>5801</v>
      </c>
      <c r="L447" s="222">
        <v>100</v>
      </c>
      <c r="M447" s="222">
        <v>100</v>
      </c>
      <c r="N447" s="222" t="s">
        <v>13</v>
      </c>
      <c r="O447" s="222" t="s">
        <v>9</v>
      </c>
      <c r="P447" s="224"/>
      <c r="Q447" s="224"/>
      <c r="R447" s="224"/>
      <c r="S447" s="224"/>
      <c r="T447" s="224"/>
      <c r="U447" s="224"/>
      <c r="V447" s="224"/>
      <c r="W447" s="224"/>
      <c r="X447" s="224"/>
      <c r="Y447" s="222">
        <v>17</v>
      </c>
      <c r="Z447" s="222">
        <v>100</v>
      </c>
      <c r="AA447" s="224"/>
      <c r="AB447" s="224"/>
      <c r="AC447" s="224"/>
      <c r="AD447" s="224"/>
      <c r="AE447" s="224"/>
      <c r="AF447" s="224"/>
      <c r="AG447" s="224"/>
      <c r="AH447" s="224"/>
      <c r="AI447" s="224"/>
      <c r="AJ447" s="126"/>
      <c r="AK447" s="126"/>
      <c r="AL447" s="126"/>
      <c r="AM447" s="126"/>
      <c r="AN447" s="126"/>
    </row>
    <row r="448" spans="1:40" ht="15.75" customHeight="1">
      <c r="A448" s="221">
        <f t="shared" si="2"/>
        <v>442</v>
      </c>
      <c r="B448" s="222" t="s">
        <v>5774</v>
      </c>
      <c r="C448" s="222" t="s">
        <v>5</v>
      </c>
      <c r="D448" s="222" t="e">
        <f t="array" ref="D448">IF(F448="","",INDEX(#REF!,MATCH(F448,#REF!,0)))</f>
        <v>#REF!</v>
      </c>
      <c r="E448" s="222" t="e">
        <f t="array" ref="E448">IF(F448="","",INDEX(#REF!,MATCH(F448,#REF!,0)))</f>
        <v>#REF!</v>
      </c>
      <c r="F448" s="222" t="s">
        <v>32</v>
      </c>
      <c r="G448" s="222" t="s">
        <v>4499</v>
      </c>
      <c r="H448" s="223">
        <v>2.1</v>
      </c>
      <c r="I448" s="222" t="s">
        <v>5802</v>
      </c>
      <c r="J448" s="222" t="s">
        <v>5803</v>
      </c>
      <c r="K448" s="222" t="s">
        <v>5804</v>
      </c>
      <c r="L448" s="222">
        <v>100</v>
      </c>
      <c r="M448" s="222">
        <v>100</v>
      </c>
      <c r="N448" s="222" t="s">
        <v>6</v>
      </c>
      <c r="O448" s="222" t="s">
        <v>9</v>
      </c>
      <c r="P448" s="224"/>
      <c r="Q448" s="224"/>
      <c r="R448" s="224"/>
      <c r="S448" s="224">
        <v>7384140</v>
      </c>
      <c r="T448" s="224"/>
      <c r="U448" s="224"/>
      <c r="V448" s="224"/>
      <c r="W448" s="224"/>
      <c r="X448" s="224"/>
      <c r="Y448" s="222">
        <v>8</v>
      </c>
      <c r="Z448" s="222">
        <v>100</v>
      </c>
      <c r="AA448" s="224"/>
      <c r="AB448" s="224"/>
      <c r="AC448" s="224"/>
      <c r="AD448" s="224">
        <v>2851280</v>
      </c>
      <c r="AE448" s="224"/>
      <c r="AF448" s="224"/>
      <c r="AG448" s="224"/>
      <c r="AH448" s="224"/>
      <c r="AI448" s="224"/>
      <c r="AJ448" s="126"/>
      <c r="AK448" s="126"/>
      <c r="AL448" s="126"/>
      <c r="AM448" s="126"/>
      <c r="AN448" s="126"/>
    </row>
    <row r="449" spans="1:40" ht="15.75" customHeight="1">
      <c r="A449" s="221">
        <f t="shared" si="2"/>
        <v>443</v>
      </c>
      <c r="B449" s="222" t="s">
        <v>5774</v>
      </c>
      <c r="C449" s="222" t="s">
        <v>5</v>
      </c>
      <c r="D449" s="222" t="e">
        <f t="array" ref="D449">IF(F449="","",INDEX(#REF!,MATCH(F449,#REF!,0)))</f>
        <v>#REF!</v>
      </c>
      <c r="E449" s="222" t="e">
        <f t="array" ref="E449">IF(F449="","",INDEX(#REF!,MATCH(F449,#REF!,0)))</f>
        <v>#REF!</v>
      </c>
      <c r="F449" s="222" t="s">
        <v>32</v>
      </c>
      <c r="G449" s="222" t="s">
        <v>4499</v>
      </c>
      <c r="H449" s="223">
        <v>2.2000000000000002</v>
      </c>
      <c r="I449" s="222" t="s">
        <v>5805</v>
      </c>
      <c r="J449" s="222" t="s">
        <v>5806</v>
      </c>
      <c r="K449" s="222" t="s">
        <v>5807</v>
      </c>
      <c r="L449" s="222">
        <v>19350000</v>
      </c>
      <c r="M449" s="222">
        <v>19350000</v>
      </c>
      <c r="N449" s="222" t="s">
        <v>11</v>
      </c>
      <c r="O449" s="222" t="s">
        <v>9</v>
      </c>
      <c r="P449" s="224">
        <v>129848223.27999999</v>
      </c>
      <c r="Q449" s="224"/>
      <c r="R449" s="224"/>
      <c r="S449" s="224">
        <v>285301600</v>
      </c>
      <c r="T449" s="224"/>
      <c r="U449" s="224"/>
      <c r="V449" s="224"/>
      <c r="W449" s="224"/>
      <c r="X449" s="224"/>
      <c r="Y449" s="222">
        <v>11902896.18</v>
      </c>
      <c r="Z449" s="222">
        <v>19350000</v>
      </c>
      <c r="AA449" s="224">
        <v>58737422.670000002</v>
      </c>
      <c r="AB449" s="224"/>
      <c r="AC449" s="224"/>
      <c r="AD449" s="224">
        <v>144276616.18000001</v>
      </c>
      <c r="AE449" s="224"/>
      <c r="AF449" s="224"/>
      <c r="AG449" s="224"/>
      <c r="AH449" s="224"/>
      <c r="AI449" s="224"/>
      <c r="AJ449" s="126"/>
      <c r="AK449" s="126"/>
      <c r="AL449" s="126"/>
      <c r="AM449" s="126"/>
      <c r="AN449" s="126"/>
    </row>
    <row r="450" spans="1:40" ht="15.75" customHeight="1">
      <c r="A450" s="221">
        <f t="shared" si="2"/>
        <v>444</v>
      </c>
      <c r="B450" s="222" t="s">
        <v>5774</v>
      </c>
      <c r="C450" s="222" t="s">
        <v>5</v>
      </c>
      <c r="D450" s="222" t="e">
        <f t="array" ref="D450">IF(F450="","",INDEX(#REF!,MATCH(F450,#REF!,0)))</f>
        <v>#REF!</v>
      </c>
      <c r="E450" s="222" t="e">
        <f t="array" ref="E450">IF(F450="","",INDEX(#REF!,MATCH(F450,#REF!,0)))</f>
        <v>#REF!</v>
      </c>
      <c r="F450" s="222" t="s">
        <v>32</v>
      </c>
      <c r="G450" s="222" t="s">
        <v>4495</v>
      </c>
      <c r="H450" s="223">
        <v>3</v>
      </c>
      <c r="I450" s="222" t="s">
        <v>5808</v>
      </c>
      <c r="J450" s="222" t="s">
        <v>5809</v>
      </c>
      <c r="K450" s="222" t="s">
        <v>5810</v>
      </c>
      <c r="L450" s="222">
        <v>100</v>
      </c>
      <c r="M450" s="222">
        <v>100</v>
      </c>
      <c r="N450" s="222" t="s">
        <v>13</v>
      </c>
      <c r="O450" s="222" t="s">
        <v>9</v>
      </c>
      <c r="P450" s="224"/>
      <c r="Q450" s="224"/>
      <c r="R450" s="224"/>
      <c r="S450" s="224"/>
      <c r="T450" s="224"/>
      <c r="U450" s="224"/>
      <c r="V450" s="224"/>
      <c r="W450" s="224"/>
      <c r="X450" s="224"/>
      <c r="Y450" s="222">
        <v>0</v>
      </c>
      <c r="Z450" s="222">
        <v>100</v>
      </c>
      <c r="AA450" s="224"/>
      <c r="AB450" s="224"/>
      <c r="AC450" s="224"/>
      <c r="AD450" s="224"/>
      <c r="AE450" s="224"/>
      <c r="AF450" s="224"/>
      <c r="AG450" s="224"/>
      <c r="AH450" s="224"/>
      <c r="AI450" s="224"/>
      <c r="AJ450" s="126"/>
      <c r="AK450" s="126"/>
      <c r="AL450" s="126"/>
      <c r="AM450" s="126"/>
      <c r="AN450" s="126"/>
    </row>
    <row r="451" spans="1:40" ht="15.75" customHeight="1">
      <c r="A451" s="221">
        <f t="shared" si="2"/>
        <v>445</v>
      </c>
      <c r="B451" s="222" t="s">
        <v>5774</v>
      </c>
      <c r="C451" s="222" t="s">
        <v>5</v>
      </c>
      <c r="D451" s="222" t="e">
        <f t="array" ref="D451">IF(F451="","",INDEX(#REF!,MATCH(F451,#REF!,0)))</f>
        <v>#REF!</v>
      </c>
      <c r="E451" s="222" t="e">
        <f t="array" ref="E451">IF(F451="","",INDEX(#REF!,MATCH(F451,#REF!,0)))</f>
        <v>#REF!</v>
      </c>
      <c r="F451" s="222" t="s">
        <v>32</v>
      </c>
      <c r="G451" s="222" t="s">
        <v>4499</v>
      </c>
      <c r="H451" s="223">
        <v>3.1</v>
      </c>
      <c r="I451" s="222" t="s">
        <v>5811</v>
      </c>
      <c r="J451" s="222" t="s">
        <v>5812</v>
      </c>
      <c r="K451" s="222" t="s">
        <v>5813</v>
      </c>
      <c r="L451" s="222">
        <v>100</v>
      </c>
      <c r="M451" s="222">
        <v>100</v>
      </c>
      <c r="N451" s="222" t="s">
        <v>11</v>
      </c>
      <c r="O451" s="222" t="s">
        <v>9</v>
      </c>
      <c r="P451" s="224">
        <v>40757379.379999995</v>
      </c>
      <c r="Q451" s="224">
        <v>94067.989999999991</v>
      </c>
      <c r="R451" s="224">
        <v>425000</v>
      </c>
      <c r="S451" s="224"/>
      <c r="T451" s="224">
        <v>8053500</v>
      </c>
      <c r="U451" s="224"/>
      <c r="V451" s="224"/>
      <c r="W451" s="224"/>
      <c r="X451" s="224"/>
      <c r="Y451" s="222">
        <v>0</v>
      </c>
      <c r="Z451" s="222">
        <v>100</v>
      </c>
      <c r="AA451" s="224">
        <v>8688344.0299999993</v>
      </c>
      <c r="AB451" s="224">
        <v>0</v>
      </c>
      <c r="AC451" s="224">
        <v>0</v>
      </c>
      <c r="AD451" s="224"/>
      <c r="AE451" s="224">
        <v>0</v>
      </c>
      <c r="AF451" s="224"/>
      <c r="AG451" s="224"/>
      <c r="AH451" s="224"/>
      <c r="AI451" s="224"/>
      <c r="AJ451" s="126"/>
      <c r="AK451" s="126"/>
      <c r="AL451" s="126"/>
      <c r="AM451" s="126"/>
      <c r="AN451" s="126"/>
    </row>
    <row r="452" spans="1:40" ht="15.75" customHeight="1">
      <c r="A452" s="221">
        <f t="shared" si="2"/>
        <v>446</v>
      </c>
      <c r="B452" s="222" t="s">
        <v>5774</v>
      </c>
      <c r="C452" s="222" t="s">
        <v>5</v>
      </c>
      <c r="D452" s="222" t="e">
        <f t="array" ref="D452">IF(F452="","",INDEX(#REF!,MATCH(F452,#REF!,0)))</f>
        <v>#REF!</v>
      </c>
      <c r="E452" s="222" t="e">
        <f t="array" ref="E452">IF(F452="","",INDEX(#REF!,MATCH(F452,#REF!,0)))</f>
        <v>#REF!</v>
      </c>
      <c r="F452" s="222" t="s">
        <v>32</v>
      </c>
      <c r="G452" s="222" t="s">
        <v>4499</v>
      </c>
      <c r="H452" s="223">
        <v>3.2</v>
      </c>
      <c r="I452" s="222" t="s">
        <v>5814</v>
      </c>
      <c r="J452" s="222" t="s">
        <v>5815</v>
      </c>
      <c r="K452" s="222" t="s">
        <v>5816</v>
      </c>
      <c r="L452" s="222">
        <v>100</v>
      </c>
      <c r="M452" s="222">
        <v>100</v>
      </c>
      <c r="N452" s="222" t="s">
        <v>11</v>
      </c>
      <c r="O452" s="222" t="s">
        <v>9</v>
      </c>
      <c r="P452" s="224"/>
      <c r="Q452" s="224"/>
      <c r="R452" s="224"/>
      <c r="S452" s="224"/>
      <c r="T452" s="224">
        <v>22500</v>
      </c>
      <c r="U452" s="224"/>
      <c r="V452" s="224"/>
      <c r="W452" s="224"/>
      <c r="X452" s="224"/>
      <c r="Y452" s="222">
        <v>0</v>
      </c>
      <c r="Z452" s="222">
        <v>100</v>
      </c>
      <c r="AA452" s="224"/>
      <c r="AB452" s="224"/>
      <c r="AC452" s="224"/>
      <c r="AD452" s="224"/>
      <c r="AE452" s="224">
        <v>0</v>
      </c>
      <c r="AF452" s="224"/>
      <c r="AG452" s="224"/>
      <c r="AH452" s="224"/>
      <c r="AI452" s="224"/>
      <c r="AJ452" s="126"/>
      <c r="AK452" s="126"/>
      <c r="AL452" s="126"/>
      <c r="AM452" s="126"/>
      <c r="AN452" s="126"/>
    </row>
    <row r="453" spans="1:40" ht="15.75" customHeight="1">
      <c r="A453" s="221">
        <f t="shared" si="2"/>
        <v>447</v>
      </c>
      <c r="B453" s="222" t="s">
        <v>5774</v>
      </c>
      <c r="C453" s="222" t="s">
        <v>5</v>
      </c>
      <c r="D453" s="222" t="e">
        <f t="array" ref="D453">IF(F453="","",INDEX(#REF!,MATCH(F453,#REF!,0)))</f>
        <v>#REF!</v>
      </c>
      <c r="E453" s="222" t="e">
        <f t="array" ref="E453">IF(F453="","",INDEX(#REF!,MATCH(F453,#REF!,0)))</f>
        <v>#REF!</v>
      </c>
      <c r="F453" s="222" t="s">
        <v>32</v>
      </c>
      <c r="G453" s="222" t="s">
        <v>4499</v>
      </c>
      <c r="H453" s="223">
        <v>3.3</v>
      </c>
      <c r="I453" s="222" t="s">
        <v>5817</v>
      </c>
      <c r="J453" s="222" t="s">
        <v>5818</v>
      </c>
      <c r="K453" s="222" t="s">
        <v>5819</v>
      </c>
      <c r="L453" s="222">
        <v>2</v>
      </c>
      <c r="M453" s="222">
        <v>2</v>
      </c>
      <c r="N453" s="222" t="s">
        <v>11</v>
      </c>
      <c r="O453" s="222" t="s">
        <v>9</v>
      </c>
      <c r="P453" s="224"/>
      <c r="Q453" s="224">
        <v>51500</v>
      </c>
      <c r="R453" s="224">
        <v>90638.59</v>
      </c>
      <c r="S453" s="224"/>
      <c r="T453" s="224"/>
      <c r="U453" s="224"/>
      <c r="V453" s="224"/>
      <c r="W453" s="224"/>
      <c r="X453" s="224"/>
      <c r="Y453" s="222">
        <v>0</v>
      </c>
      <c r="Z453" s="222">
        <v>2</v>
      </c>
      <c r="AA453" s="224"/>
      <c r="AB453" s="224">
        <v>0</v>
      </c>
      <c r="AC453" s="224">
        <v>0</v>
      </c>
      <c r="AD453" s="224"/>
      <c r="AE453" s="224"/>
      <c r="AF453" s="224"/>
      <c r="AG453" s="224"/>
      <c r="AH453" s="224"/>
      <c r="AI453" s="224"/>
      <c r="AJ453" s="126"/>
      <c r="AK453" s="126"/>
      <c r="AL453" s="126"/>
      <c r="AM453" s="126"/>
      <c r="AN453" s="126"/>
    </row>
    <row r="454" spans="1:40" ht="15.75" customHeight="1">
      <c r="A454" s="221">
        <f t="shared" si="2"/>
        <v>448</v>
      </c>
      <c r="B454" s="222" t="s">
        <v>5820</v>
      </c>
      <c r="C454" s="222" t="s">
        <v>5</v>
      </c>
      <c r="D454" s="222" t="e">
        <f t="array" ref="D454">IF(F454="","",INDEX(#REF!,MATCH(F454,#REF!,0)))</f>
        <v>#REF!</v>
      </c>
      <c r="E454" s="222" t="e">
        <f t="array" ref="E454">IF(F454="","",INDEX(#REF!,MATCH(F454,#REF!,0)))</f>
        <v>#REF!</v>
      </c>
      <c r="F454" s="222" t="s">
        <v>33</v>
      </c>
      <c r="G454" s="222" t="s">
        <v>0</v>
      </c>
      <c r="H454" s="223" t="s">
        <v>4487</v>
      </c>
      <c r="I454" s="222" t="s">
        <v>5821</v>
      </c>
      <c r="J454" s="222" t="s">
        <v>5822</v>
      </c>
      <c r="K454" s="222" t="s">
        <v>5823</v>
      </c>
      <c r="L454" s="222">
        <v>13400000</v>
      </c>
      <c r="M454" s="222">
        <v>1281648</v>
      </c>
      <c r="N454" s="222" t="s">
        <v>15</v>
      </c>
      <c r="O454" s="222" t="s">
        <v>14</v>
      </c>
      <c r="P454" s="224"/>
      <c r="Q454" s="224"/>
      <c r="R454" s="224"/>
      <c r="S454" s="224"/>
      <c r="T454" s="224"/>
      <c r="U454" s="224"/>
      <c r="V454" s="224"/>
      <c r="W454" s="224"/>
      <c r="X454" s="224"/>
      <c r="Y454" s="222">
        <v>0</v>
      </c>
      <c r="Z454" s="222">
        <v>1281648</v>
      </c>
      <c r="AA454" s="224"/>
      <c r="AB454" s="224"/>
      <c r="AC454" s="224"/>
      <c r="AD454" s="224"/>
      <c r="AE454" s="224"/>
      <c r="AF454" s="224"/>
      <c r="AG454" s="224"/>
      <c r="AH454" s="224"/>
      <c r="AI454" s="224"/>
      <c r="AJ454" s="126"/>
      <c r="AK454" s="126"/>
      <c r="AL454" s="126"/>
      <c r="AM454" s="126"/>
      <c r="AN454" s="126"/>
    </row>
    <row r="455" spans="1:40" ht="15.75" customHeight="1">
      <c r="A455" s="221">
        <f t="shared" si="2"/>
        <v>449</v>
      </c>
      <c r="B455" s="222" t="s">
        <v>5820</v>
      </c>
      <c r="C455" s="222" t="s">
        <v>5</v>
      </c>
      <c r="D455" s="222" t="e">
        <f t="array" ref="D455">IF(F455="","",INDEX(#REF!,MATCH(F455,#REF!,0)))</f>
        <v>#REF!</v>
      </c>
      <c r="E455" s="222" t="e">
        <f t="array" ref="E455">IF(F455="","",INDEX(#REF!,MATCH(F455,#REF!,0)))</f>
        <v>#REF!</v>
      </c>
      <c r="F455" s="222" t="s">
        <v>33</v>
      </c>
      <c r="G455" s="222" t="s">
        <v>4491</v>
      </c>
      <c r="H455" s="223" t="s">
        <v>4487</v>
      </c>
      <c r="I455" s="222" t="s">
        <v>5824</v>
      </c>
      <c r="J455" s="222" t="s">
        <v>5825</v>
      </c>
      <c r="K455" s="222" t="s">
        <v>5826</v>
      </c>
      <c r="L455" s="222">
        <v>250000</v>
      </c>
      <c r="M455" s="222">
        <v>1391312</v>
      </c>
      <c r="N455" s="222" t="s">
        <v>15</v>
      </c>
      <c r="O455" s="222" t="s">
        <v>9</v>
      </c>
      <c r="P455" s="224"/>
      <c r="Q455" s="224"/>
      <c r="R455" s="224"/>
      <c r="S455" s="224"/>
      <c r="T455" s="224"/>
      <c r="U455" s="224"/>
      <c r="V455" s="224"/>
      <c r="W455" s="224"/>
      <c r="X455" s="224"/>
      <c r="Y455" s="222">
        <v>70456</v>
      </c>
      <c r="Z455" s="222">
        <v>1391312</v>
      </c>
      <c r="AA455" s="224"/>
      <c r="AB455" s="224"/>
      <c r="AC455" s="224"/>
      <c r="AD455" s="224"/>
      <c r="AE455" s="224"/>
      <c r="AF455" s="224"/>
      <c r="AG455" s="224"/>
      <c r="AH455" s="224"/>
      <c r="AI455" s="224"/>
      <c r="AJ455" s="126"/>
      <c r="AK455" s="126"/>
      <c r="AL455" s="126"/>
      <c r="AM455" s="126"/>
      <c r="AN455" s="126"/>
    </row>
    <row r="456" spans="1:40" ht="15.75" customHeight="1">
      <c r="A456" s="221">
        <f t="shared" si="2"/>
        <v>450</v>
      </c>
      <c r="B456" s="222" t="s">
        <v>5820</v>
      </c>
      <c r="C456" s="222" t="s">
        <v>5</v>
      </c>
      <c r="D456" s="222" t="e">
        <f t="array" ref="D456">IF(F456="","",INDEX(#REF!,MATCH(F456,#REF!,0)))</f>
        <v>#REF!</v>
      </c>
      <c r="E456" s="222" t="e">
        <f t="array" ref="E456">IF(F456="","",INDEX(#REF!,MATCH(F456,#REF!,0)))</f>
        <v>#REF!</v>
      </c>
      <c r="F456" s="222" t="s">
        <v>33</v>
      </c>
      <c r="G456" s="222" t="s">
        <v>4495</v>
      </c>
      <c r="H456" s="223">
        <v>1</v>
      </c>
      <c r="I456" s="222" t="s">
        <v>5827</v>
      </c>
      <c r="J456" s="222" t="s">
        <v>5828</v>
      </c>
      <c r="K456" s="222" t="s">
        <v>5829</v>
      </c>
      <c r="L456" s="222">
        <v>15095</v>
      </c>
      <c r="M456" s="222">
        <v>15095</v>
      </c>
      <c r="N456" s="222" t="s">
        <v>13</v>
      </c>
      <c r="O456" s="222" t="s">
        <v>9</v>
      </c>
      <c r="P456" s="224"/>
      <c r="Q456" s="224"/>
      <c r="R456" s="224"/>
      <c r="S456" s="224"/>
      <c r="T456" s="224"/>
      <c r="U456" s="224"/>
      <c r="V456" s="224"/>
      <c r="W456" s="224"/>
      <c r="X456" s="224"/>
      <c r="Y456" s="222">
        <v>0</v>
      </c>
      <c r="Z456" s="222">
        <v>15095</v>
      </c>
      <c r="AA456" s="224"/>
      <c r="AB456" s="224"/>
      <c r="AC456" s="224"/>
      <c r="AD456" s="224"/>
      <c r="AE456" s="224"/>
      <c r="AF456" s="224"/>
      <c r="AG456" s="224"/>
      <c r="AH456" s="224"/>
      <c r="AI456" s="224"/>
      <c r="AJ456" s="126"/>
      <c r="AK456" s="126"/>
      <c r="AL456" s="126"/>
      <c r="AM456" s="126"/>
      <c r="AN456" s="126"/>
    </row>
    <row r="457" spans="1:40" ht="15.75" customHeight="1">
      <c r="A457" s="221">
        <f t="shared" si="2"/>
        <v>451</v>
      </c>
      <c r="B457" s="222" t="s">
        <v>5820</v>
      </c>
      <c r="C457" s="222" t="s">
        <v>5</v>
      </c>
      <c r="D457" s="222" t="e">
        <f t="array" ref="D457">IF(F457="","",INDEX(#REF!,MATCH(F457,#REF!,0)))</f>
        <v>#REF!</v>
      </c>
      <c r="E457" s="222" t="e">
        <f t="array" ref="E457">IF(F457="","",INDEX(#REF!,MATCH(F457,#REF!,0)))</f>
        <v>#REF!</v>
      </c>
      <c r="F457" s="222" t="s">
        <v>33</v>
      </c>
      <c r="G457" s="222" t="s">
        <v>4499</v>
      </c>
      <c r="H457" s="223">
        <v>1.1000000000000001</v>
      </c>
      <c r="I457" s="222" t="s">
        <v>5830</v>
      </c>
      <c r="J457" s="222" t="s">
        <v>5831</v>
      </c>
      <c r="K457" s="222" t="s">
        <v>5832</v>
      </c>
      <c r="L457" s="222">
        <v>105</v>
      </c>
      <c r="M457" s="222">
        <v>120</v>
      </c>
      <c r="N457" s="222" t="s">
        <v>13</v>
      </c>
      <c r="O457" s="222" t="s">
        <v>9</v>
      </c>
      <c r="P457" s="224"/>
      <c r="Q457" s="224"/>
      <c r="R457" s="224">
        <v>16000</v>
      </c>
      <c r="S457" s="224"/>
      <c r="T457" s="224">
        <v>262300</v>
      </c>
      <c r="U457" s="224"/>
      <c r="V457" s="224"/>
      <c r="W457" s="224"/>
      <c r="X457" s="224"/>
      <c r="Y457" s="222">
        <v>0</v>
      </c>
      <c r="Z457" s="222">
        <v>120</v>
      </c>
      <c r="AA457" s="224"/>
      <c r="AB457" s="224"/>
      <c r="AC457" s="224">
        <v>0</v>
      </c>
      <c r="AD457" s="224"/>
      <c r="AE457" s="224">
        <v>0</v>
      </c>
      <c r="AF457" s="224"/>
      <c r="AG457" s="224"/>
      <c r="AH457" s="224"/>
      <c r="AI457" s="224"/>
      <c r="AJ457" s="126"/>
      <c r="AK457" s="126"/>
      <c r="AL457" s="126"/>
      <c r="AM457" s="126"/>
      <c r="AN457" s="126"/>
    </row>
    <row r="458" spans="1:40" ht="15.75" customHeight="1">
      <c r="A458" s="221">
        <f t="shared" si="2"/>
        <v>452</v>
      </c>
      <c r="B458" s="222" t="s">
        <v>5820</v>
      </c>
      <c r="C458" s="222" t="s">
        <v>5</v>
      </c>
      <c r="D458" s="222" t="e">
        <f t="array" ref="D458">IF(F458="","",INDEX(#REF!,MATCH(F458,#REF!,0)))</f>
        <v>#REF!</v>
      </c>
      <c r="E458" s="222" t="e">
        <f t="array" ref="E458">IF(F458="","",INDEX(#REF!,MATCH(F458,#REF!,0)))</f>
        <v>#REF!</v>
      </c>
      <c r="F458" s="222" t="s">
        <v>33</v>
      </c>
      <c r="G458" s="222" t="s">
        <v>4499</v>
      </c>
      <c r="H458" s="223">
        <v>1.2</v>
      </c>
      <c r="I458" s="222" t="s">
        <v>5833</v>
      </c>
      <c r="J458" s="222" t="s">
        <v>5834</v>
      </c>
      <c r="K458" s="222" t="s">
        <v>5835</v>
      </c>
      <c r="L458" s="222">
        <v>8</v>
      </c>
      <c r="M458" s="222">
        <v>10</v>
      </c>
      <c r="N458" s="222" t="s">
        <v>13</v>
      </c>
      <c r="O458" s="222" t="s">
        <v>9</v>
      </c>
      <c r="P458" s="224"/>
      <c r="Q458" s="224"/>
      <c r="R458" s="224"/>
      <c r="S458" s="224"/>
      <c r="T458" s="224">
        <v>218000</v>
      </c>
      <c r="U458" s="224"/>
      <c r="V458" s="224"/>
      <c r="W458" s="224"/>
      <c r="X458" s="224"/>
      <c r="Y458" s="222">
        <v>0</v>
      </c>
      <c r="Z458" s="222">
        <v>10</v>
      </c>
      <c r="AA458" s="224"/>
      <c r="AB458" s="224"/>
      <c r="AC458" s="224"/>
      <c r="AD458" s="224"/>
      <c r="AE458" s="224">
        <v>0</v>
      </c>
      <c r="AF458" s="224"/>
      <c r="AG458" s="224"/>
      <c r="AH458" s="224"/>
      <c r="AI458" s="224"/>
      <c r="AJ458" s="126"/>
      <c r="AK458" s="126"/>
      <c r="AL458" s="126"/>
      <c r="AM458" s="126"/>
      <c r="AN458" s="126"/>
    </row>
    <row r="459" spans="1:40" ht="15.75" customHeight="1">
      <c r="A459" s="221">
        <f t="shared" si="2"/>
        <v>453</v>
      </c>
      <c r="B459" s="222" t="s">
        <v>5820</v>
      </c>
      <c r="C459" s="222" t="s">
        <v>5</v>
      </c>
      <c r="D459" s="222" t="e">
        <f t="array" ref="D459">IF(F459="","",INDEX(#REF!,MATCH(F459,#REF!,0)))</f>
        <v>#REF!</v>
      </c>
      <c r="E459" s="222" t="e">
        <f t="array" ref="E459">IF(F459="","",INDEX(#REF!,MATCH(F459,#REF!,0)))</f>
        <v>#REF!</v>
      </c>
      <c r="F459" s="222" t="s">
        <v>33</v>
      </c>
      <c r="G459" s="222" t="s">
        <v>4499</v>
      </c>
      <c r="H459" s="223">
        <v>1.3</v>
      </c>
      <c r="I459" s="222" t="s">
        <v>5836</v>
      </c>
      <c r="J459" s="222" t="s">
        <v>5837</v>
      </c>
      <c r="K459" s="222" t="s">
        <v>5838</v>
      </c>
      <c r="L459" s="222">
        <v>18000</v>
      </c>
      <c r="M459" s="222">
        <v>18000</v>
      </c>
      <c r="N459" s="222" t="s">
        <v>11</v>
      </c>
      <c r="O459" s="222" t="s">
        <v>9</v>
      </c>
      <c r="P459" s="224"/>
      <c r="Q459" s="224">
        <v>0</v>
      </c>
      <c r="R459" s="224">
        <v>28000</v>
      </c>
      <c r="S459" s="224"/>
      <c r="T459" s="224">
        <v>26650</v>
      </c>
      <c r="U459" s="224"/>
      <c r="V459" s="224"/>
      <c r="W459" s="224"/>
      <c r="X459" s="224"/>
      <c r="Y459" s="222">
        <v>0</v>
      </c>
      <c r="Z459" s="222">
        <v>18000</v>
      </c>
      <c r="AA459" s="224"/>
      <c r="AB459" s="224">
        <v>0</v>
      </c>
      <c r="AC459" s="224">
        <v>0</v>
      </c>
      <c r="AD459" s="224"/>
      <c r="AE459" s="224">
        <v>0</v>
      </c>
      <c r="AF459" s="224"/>
      <c r="AG459" s="224"/>
      <c r="AH459" s="224"/>
      <c r="AI459" s="224"/>
      <c r="AJ459" s="126"/>
      <c r="AK459" s="126"/>
      <c r="AL459" s="126"/>
      <c r="AM459" s="126"/>
      <c r="AN459" s="126"/>
    </row>
    <row r="460" spans="1:40" ht="15.75" customHeight="1">
      <c r="A460" s="221">
        <f t="shared" si="2"/>
        <v>454</v>
      </c>
      <c r="B460" s="222" t="s">
        <v>5820</v>
      </c>
      <c r="C460" s="222" t="s">
        <v>5</v>
      </c>
      <c r="D460" s="222" t="e">
        <f t="array" ref="D460">IF(F460="","",INDEX(#REF!,MATCH(F460,#REF!,0)))</f>
        <v>#REF!</v>
      </c>
      <c r="E460" s="222" t="e">
        <f t="array" ref="E460">IF(F460="","",INDEX(#REF!,MATCH(F460,#REF!,0)))</f>
        <v>#REF!</v>
      </c>
      <c r="F460" s="222" t="s">
        <v>33</v>
      </c>
      <c r="G460" s="222" t="s">
        <v>4495</v>
      </c>
      <c r="H460" s="223">
        <v>2</v>
      </c>
      <c r="I460" s="222" t="s">
        <v>5839</v>
      </c>
      <c r="J460" s="222" t="s">
        <v>5840</v>
      </c>
      <c r="K460" s="222" t="s">
        <v>5841</v>
      </c>
      <c r="L460" s="222">
        <v>122000</v>
      </c>
      <c r="M460" s="222">
        <v>125000</v>
      </c>
      <c r="N460" s="222" t="s">
        <v>13</v>
      </c>
      <c r="O460" s="222" t="s">
        <v>9</v>
      </c>
      <c r="P460" s="224"/>
      <c r="Q460" s="224"/>
      <c r="R460" s="224"/>
      <c r="S460" s="224"/>
      <c r="T460" s="224"/>
      <c r="U460" s="224"/>
      <c r="V460" s="224"/>
      <c r="W460" s="224"/>
      <c r="X460" s="224"/>
      <c r="Y460" s="222">
        <v>114177</v>
      </c>
      <c r="Z460" s="222">
        <v>125000</v>
      </c>
      <c r="AA460" s="224"/>
      <c r="AB460" s="224"/>
      <c r="AC460" s="224"/>
      <c r="AD460" s="224"/>
      <c r="AE460" s="224"/>
      <c r="AF460" s="224"/>
      <c r="AG460" s="224"/>
      <c r="AH460" s="224"/>
      <c r="AI460" s="224"/>
      <c r="AJ460" s="126"/>
      <c r="AK460" s="126"/>
      <c r="AL460" s="126"/>
      <c r="AM460" s="126"/>
      <c r="AN460" s="126"/>
    </row>
    <row r="461" spans="1:40" ht="15.75" customHeight="1">
      <c r="A461" s="221">
        <f t="shared" si="2"/>
        <v>455</v>
      </c>
      <c r="B461" s="222" t="s">
        <v>5820</v>
      </c>
      <c r="C461" s="222" t="s">
        <v>5</v>
      </c>
      <c r="D461" s="222" t="e">
        <f t="array" ref="D461">IF(F461="","",INDEX(#REF!,MATCH(F461,#REF!,0)))</f>
        <v>#REF!</v>
      </c>
      <c r="E461" s="222" t="e">
        <f t="array" ref="E461">IF(F461="","",INDEX(#REF!,MATCH(F461,#REF!,0)))</f>
        <v>#REF!</v>
      </c>
      <c r="F461" s="222" t="s">
        <v>33</v>
      </c>
      <c r="G461" s="222" t="s">
        <v>4499</v>
      </c>
      <c r="H461" s="223">
        <v>2.1</v>
      </c>
      <c r="I461" s="222" t="s">
        <v>5842</v>
      </c>
      <c r="J461" s="222" t="s">
        <v>5843</v>
      </c>
      <c r="K461" s="222" t="s">
        <v>5844</v>
      </c>
      <c r="L461" s="222">
        <v>5100</v>
      </c>
      <c r="M461" s="222">
        <v>5291</v>
      </c>
      <c r="N461" s="222" t="s">
        <v>11</v>
      </c>
      <c r="O461" s="222" t="s">
        <v>9</v>
      </c>
      <c r="P461" s="224"/>
      <c r="Q461" s="224">
        <v>0</v>
      </c>
      <c r="R461" s="224">
        <v>40000</v>
      </c>
      <c r="S461" s="224"/>
      <c r="T461" s="224">
        <v>97000</v>
      </c>
      <c r="U461" s="224"/>
      <c r="V461" s="224"/>
      <c r="W461" s="224"/>
      <c r="X461" s="224"/>
      <c r="Y461" s="222">
        <v>711</v>
      </c>
      <c r="Z461" s="222">
        <v>5291</v>
      </c>
      <c r="AA461" s="224"/>
      <c r="AB461" s="224">
        <v>0</v>
      </c>
      <c r="AC461" s="224">
        <v>0</v>
      </c>
      <c r="AD461" s="224"/>
      <c r="AE461" s="224">
        <v>0</v>
      </c>
      <c r="AF461" s="224"/>
      <c r="AG461" s="224"/>
      <c r="AH461" s="224"/>
      <c r="AI461" s="224"/>
      <c r="AJ461" s="126"/>
      <c r="AK461" s="126"/>
      <c r="AL461" s="126"/>
      <c r="AM461" s="126"/>
      <c r="AN461" s="126"/>
    </row>
    <row r="462" spans="1:40" ht="15.75" customHeight="1">
      <c r="A462" s="221">
        <f t="shared" si="2"/>
        <v>456</v>
      </c>
      <c r="B462" s="222" t="s">
        <v>5820</v>
      </c>
      <c r="C462" s="222" t="s">
        <v>5</v>
      </c>
      <c r="D462" s="222" t="e">
        <f t="array" ref="D462">IF(F462="","",INDEX(#REF!,MATCH(F462,#REF!,0)))</f>
        <v>#REF!</v>
      </c>
      <c r="E462" s="222" t="e">
        <f t="array" ref="E462">IF(F462="","",INDEX(#REF!,MATCH(F462,#REF!,0)))</f>
        <v>#REF!</v>
      </c>
      <c r="F462" s="222" t="s">
        <v>33</v>
      </c>
      <c r="G462" s="222" t="s">
        <v>4499</v>
      </c>
      <c r="H462" s="223">
        <v>2.2000000000000002</v>
      </c>
      <c r="I462" s="222" t="s">
        <v>5845</v>
      </c>
      <c r="J462" s="222" t="s">
        <v>5846</v>
      </c>
      <c r="K462" s="222" t="s">
        <v>5847</v>
      </c>
      <c r="L462" s="222">
        <v>529</v>
      </c>
      <c r="M462" s="222">
        <v>529</v>
      </c>
      <c r="N462" s="222" t="s">
        <v>11</v>
      </c>
      <c r="O462" s="222" t="s">
        <v>9</v>
      </c>
      <c r="P462" s="224"/>
      <c r="Q462" s="224">
        <v>12000</v>
      </c>
      <c r="R462" s="224">
        <v>0</v>
      </c>
      <c r="S462" s="224"/>
      <c r="T462" s="224"/>
      <c r="U462" s="224"/>
      <c r="V462" s="224"/>
      <c r="W462" s="224"/>
      <c r="X462" s="224"/>
      <c r="Y462" s="222">
        <v>40</v>
      </c>
      <c r="Z462" s="222">
        <v>529</v>
      </c>
      <c r="AA462" s="224"/>
      <c r="AB462" s="224">
        <v>0</v>
      </c>
      <c r="AC462" s="224">
        <v>0</v>
      </c>
      <c r="AD462" s="224"/>
      <c r="AE462" s="224"/>
      <c r="AF462" s="224"/>
      <c r="AG462" s="224"/>
      <c r="AH462" s="224"/>
      <c r="AI462" s="224"/>
      <c r="AJ462" s="126"/>
      <c r="AK462" s="126"/>
      <c r="AL462" s="126"/>
      <c r="AM462" s="126"/>
      <c r="AN462" s="126"/>
    </row>
    <row r="463" spans="1:40" ht="15.75" customHeight="1">
      <c r="A463" s="221">
        <f t="shared" si="2"/>
        <v>457</v>
      </c>
      <c r="B463" s="222" t="s">
        <v>5820</v>
      </c>
      <c r="C463" s="222" t="s">
        <v>5</v>
      </c>
      <c r="D463" s="222" t="e">
        <f t="array" ref="D463">IF(F463="","",INDEX(#REF!,MATCH(F463,#REF!,0)))</f>
        <v>#REF!</v>
      </c>
      <c r="E463" s="222" t="e">
        <f t="array" ref="E463">IF(F463="","",INDEX(#REF!,MATCH(F463,#REF!,0)))</f>
        <v>#REF!</v>
      </c>
      <c r="F463" s="222" t="s">
        <v>33</v>
      </c>
      <c r="G463" s="222" t="s">
        <v>4499</v>
      </c>
      <c r="H463" s="223">
        <v>2.2999999999999998</v>
      </c>
      <c r="I463" s="222" t="s">
        <v>5848</v>
      </c>
      <c r="J463" s="222" t="s">
        <v>5849</v>
      </c>
      <c r="K463" s="222" t="s">
        <v>5850</v>
      </c>
      <c r="L463" s="222">
        <v>52469</v>
      </c>
      <c r="M463" s="222">
        <v>52469</v>
      </c>
      <c r="N463" s="222" t="s">
        <v>11</v>
      </c>
      <c r="O463" s="222" t="s">
        <v>9</v>
      </c>
      <c r="P463" s="224"/>
      <c r="Q463" s="224">
        <v>97757.83</v>
      </c>
      <c r="R463" s="224">
        <v>147354.23999999999</v>
      </c>
      <c r="S463" s="224"/>
      <c r="T463" s="224"/>
      <c r="U463" s="224"/>
      <c r="V463" s="224"/>
      <c r="W463" s="224"/>
      <c r="X463" s="224"/>
      <c r="Y463" s="222">
        <v>53940</v>
      </c>
      <c r="Z463" s="222">
        <v>52469</v>
      </c>
      <c r="AA463" s="224"/>
      <c r="AB463" s="224">
        <v>0</v>
      </c>
      <c r="AC463" s="224">
        <v>0</v>
      </c>
      <c r="AD463" s="224"/>
      <c r="AE463" s="224"/>
      <c r="AF463" s="224"/>
      <c r="AG463" s="224"/>
      <c r="AH463" s="224"/>
      <c r="AI463" s="224"/>
      <c r="AJ463" s="126"/>
      <c r="AK463" s="126"/>
      <c r="AL463" s="126"/>
      <c r="AM463" s="126"/>
      <c r="AN463" s="126"/>
    </row>
    <row r="464" spans="1:40" ht="15.75" customHeight="1">
      <c r="A464" s="221">
        <f t="shared" si="2"/>
        <v>458</v>
      </c>
      <c r="B464" s="222" t="s">
        <v>5820</v>
      </c>
      <c r="C464" s="222" t="s">
        <v>5</v>
      </c>
      <c r="D464" s="222" t="e">
        <f t="array" ref="D464">IF(F464="","",INDEX(#REF!,MATCH(F464,#REF!,0)))</f>
        <v>#REF!</v>
      </c>
      <c r="E464" s="222" t="e">
        <f t="array" ref="E464">IF(F464="","",INDEX(#REF!,MATCH(F464,#REF!,0)))</f>
        <v>#REF!</v>
      </c>
      <c r="F464" s="222" t="s">
        <v>33</v>
      </c>
      <c r="G464" s="222" t="s">
        <v>4499</v>
      </c>
      <c r="H464" s="223">
        <v>2.4</v>
      </c>
      <c r="I464" s="222" t="s">
        <v>5851</v>
      </c>
      <c r="J464" s="222" t="s">
        <v>5852</v>
      </c>
      <c r="K464" s="222" t="s">
        <v>5853</v>
      </c>
      <c r="L464" s="222">
        <v>64736</v>
      </c>
      <c r="M464" s="222">
        <v>64736</v>
      </c>
      <c r="N464" s="222" t="s">
        <v>11</v>
      </c>
      <c r="O464" s="222" t="s">
        <v>9</v>
      </c>
      <c r="P464" s="224"/>
      <c r="Q464" s="224">
        <v>1137203.53</v>
      </c>
      <c r="R464" s="224"/>
      <c r="S464" s="224"/>
      <c r="T464" s="224">
        <v>60000</v>
      </c>
      <c r="U464" s="224"/>
      <c r="V464" s="224"/>
      <c r="W464" s="224"/>
      <c r="X464" s="224"/>
      <c r="Y464" s="222">
        <v>42902</v>
      </c>
      <c r="Z464" s="222">
        <v>64736</v>
      </c>
      <c r="AA464" s="224"/>
      <c r="AB464" s="224">
        <v>0</v>
      </c>
      <c r="AC464" s="224"/>
      <c r="AD464" s="224"/>
      <c r="AE464" s="224">
        <v>0</v>
      </c>
      <c r="AF464" s="224"/>
      <c r="AG464" s="224"/>
      <c r="AH464" s="224"/>
      <c r="AI464" s="224"/>
      <c r="AJ464" s="126"/>
      <c r="AK464" s="126"/>
      <c r="AL464" s="126"/>
      <c r="AM464" s="126"/>
      <c r="AN464" s="126"/>
    </row>
    <row r="465" spans="1:40" ht="15.75" customHeight="1">
      <c r="A465" s="221">
        <f t="shared" si="2"/>
        <v>459</v>
      </c>
      <c r="B465" s="222" t="s">
        <v>5820</v>
      </c>
      <c r="C465" s="222" t="s">
        <v>5</v>
      </c>
      <c r="D465" s="222" t="e">
        <f t="array" ref="D465">IF(F465="","",INDEX(#REF!,MATCH(F465,#REF!,0)))</f>
        <v>#REF!</v>
      </c>
      <c r="E465" s="222" t="e">
        <f t="array" ref="E465">IF(F465="","",INDEX(#REF!,MATCH(F465,#REF!,0)))</f>
        <v>#REF!</v>
      </c>
      <c r="F465" s="222" t="s">
        <v>33</v>
      </c>
      <c r="G465" s="222" t="s">
        <v>4495</v>
      </c>
      <c r="H465" s="223">
        <v>3</v>
      </c>
      <c r="I465" s="222" t="s">
        <v>5854</v>
      </c>
      <c r="J465" s="222" t="s">
        <v>5855</v>
      </c>
      <c r="K465" s="222" t="s">
        <v>5856</v>
      </c>
      <c r="L465" s="222">
        <v>6</v>
      </c>
      <c r="M465" s="222">
        <v>6</v>
      </c>
      <c r="N465" s="222" t="s">
        <v>11</v>
      </c>
      <c r="O465" s="222" t="s">
        <v>9</v>
      </c>
      <c r="P465" s="224"/>
      <c r="Q465" s="224"/>
      <c r="R465" s="224"/>
      <c r="S465" s="224"/>
      <c r="T465" s="224"/>
      <c r="U465" s="224"/>
      <c r="V465" s="224"/>
      <c r="W465" s="224"/>
      <c r="X465" s="224"/>
      <c r="Y465" s="222">
        <v>0</v>
      </c>
      <c r="Z465" s="222">
        <v>6</v>
      </c>
      <c r="AA465" s="224"/>
      <c r="AB465" s="224"/>
      <c r="AC465" s="224"/>
      <c r="AD465" s="224"/>
      <c r="AE465" s="224"/>
      <c r="AF465" s="224"/>
      <c r="AG465" s="224"/>
      <c r="AH465" s="224"/>
      <c r="AI465" s="224"/>
      <c r="AJ465" s="126"/>
      <c r="AK465" s="126"/>
      <c r="AL465" s="126"/>
      <c r="AM465" s="126"/>
      <c r="AN465" s="126"/>
    </row>
    <row r="466" spans="1:40" ht="15.75" customHeight="1">
      <c r="A466" s="221">
        <f t="shared" si="2"/>
        <v>460</v>
      </c>
      <c r="B466" s="222" t="s">
        <v>5820</v>
      </c>
      <c r="C466" s="222" t="s">
        <v>5</v>
      </c>
      <c r="D466" s="222" t="e">
        <f t="array" ref="D466">IF(F466="","",INDEX(#REF!,MATCH(F466,#REF!,0)))</f>
        <v>#REF!</v>
      </c>
      <c r="E466" s="222" t="e">
        <f t="array" ref="E466">IF(F466="","",INDEX(#REF!,MATCH(F466,#REF!,0)))</f>
        <v>#REF!</v>
      </c>
      <c r="F466" s="222" t="s">
        <v>33</v>
      </c>
      <c r="G466" s="222" t="s">
        <v>4499</v>
      </c>
      <c r="H466" s="223">
        <v>3.1</v>
      </c>
      <c r="I466" s="222" t="s">
        <v>5857</v>
      </c>
      <c r="J466" s="222" t="s">
        <v>5858</v>
      </c>
      <c r="K466" s="222" t="s">
        <v>5859</v>
      </c>
      <c r="L466" s="222">
        <v>68</v>
      </c>
      <c r="M466" s="222">
        <v>80</v>
      </c>
      <c r="N466" s="222" t="s">
        <v>11</v>
      </c>
      <c r="O466" s="222" t="s">
        <v>9</v>
      </c>
      <c r="P466" s="224"/>
      <c r="Q466" s="224"/>
      <c r="R466" s="224"/>
      <c r="S466" s="224">
        <v>320000</v>
      </c>
      <c r="T466" s="224"/>
      <c r="U466" s="224"/>
      <c r="V466" s="224"/>
      <c r="W466" s="224"/>
      <c r="X466" s="224"/>
      <c r="Y466" s="222">
        <v>0</v>
      </c>
      <c r="Z466" s="222">
        <v>80</v>
      </c>
      <c r="AA466" s="224"/>
      <c r="AB466" s="224"/>
      <c r="AC466" s="224"/>
      <c r="AD466" s="224">
        <v>0</v>
      </c>
      <c r="AE466" s="224"/>
      <c r="AF466" s="224"/>
      <c r="AG466" s="224"/>
      <c r="AH466" s="224"/>
      <c r="AI466" s="224"/>
      <c r="AJ466" s="126"/>
      <c r="AK466" s="126"/>
      <c r="AL466" s="126"/>
      <c r="AM466" s="126"/>
      <c r="AN466" s="126"/>
    </row>
    <row r="467" spans="1:40" ht="15.75" customHeight="1">
      <c r="A467" s="221">
        <f t="shared" si="2"/>
        <v>461</v>
      </c>
      <c r="B467" s="222" t="s">
        <v>5820</v>
      </c>
      <c r="C467" s="222" t="s">
        <v>5</v>
      </c>
      <c r="D467" s="222" t="e">
        <f t="array" ref="D467">IF(F467="","",INDEX(#REF!,MATCH(F467,#REF!,0)))</f>
        <v>#REF!</v>
      </c>
      <c r="E467" s="222" t="e">
        <f t="array" ref="E467">IF(F467="","",INDEX(#REF!,MATCH(F467,#REF!,0)))</f>
        <v>#REF!</v>
      </c>
      <c r="F467" s="222" t="s">
        <v>33</v>
      </c>
      <c r="G467" s="222" t="s">
        <v>4499</v>
      </c>
      <c r="H467" s="223">
        <v>3.2</v>
      </c>
      <c r="I467" s="222" t="s">
        <v>5860</v>
      </c>
      <c r="J467" s="222" t="s">
        <v>5861</v>
      </c>
      <c r="K467" s="222" t="s">
        <v>5862</v>
      </c>
      <c r="L467" s="222">
        <v>202</v>
      </c>
      <c r="M467" s="222">
        <v>202</v>
      </c>
      <c r="N467" s="222" t="s">
        <v>11</v>
      </c>
      <c r="O467" s="222" t="s">
        <v>9</v>
      </c>
      <c r="P467" s="224">
        <v>40206796.859999999</v>
      </c>
      <c r="Q467" s="224"/>
      <c r="R467" s="224"/>
      <c r="S467" s="224">
        <v>2864000</v>
      </c>
      <c r="T467" s="224"/>
      <c r="U467" s="224"/>
      <c r="V467" s="224"/>
      <c r="W467" s="224"/>
      <c r="X467" s="224"/>
      <c r="Y467" s="222">
        <v>0</v>
      </c>
      <c r="Z467" s="222">
        <v>202</v>
      </c>
      <c r="AA467" s="224">
        <v>28956444.949999999</v>
      </c>
      <c r="AB467" s="224"/>
      <c r="AC467" s="224"/>
      <c r="AD467" s="224">
        <v>0</v>
      </c>
      <c r="AE467" s="224"/>
      <c r="AF467" s="224"/>
      <c r="AG467" s="224"/>
      <c r="AH467" s="224"/>
      <c r="AI467" s="224"/>
      <c r="AJ467" s="126"/>
      <c r="AK467" s="126"/>
      <c r="AL467" s="126"/>
      <c r="AM467" s="126"/>
      <c r="AN467" s="126"/>
    </row>
    <row r="468" spans="1:40" ht="15.75" customHeight="1">
      <c r="A468" s="221">
        <f t="shared" si="2"/>
        <v>462</v>
      </c>
      <c r="B468" s="222" t="s">
        <v>5863</v>
      </c>
      <c r="C468" s="222" t="s">
        <v>5</v>
      </c>
      <c r="D468" s="222" t="e">
        <f t="array" ref="D468">IF(F468="","",INDEX(#REF!,MATCH(F468,#REF!,0)))</f>
        <v>#REF!</v>
      </c>
      <c r="E468" s="222" t="e">
        <f t="array" ref="E468">IF(F468="","",INDEX(#REF!,MATCH(F468,#REF!,0)))</f>
        <v>#REF!</v>
      </c>
      <c r="F468" s="222" t="s">
        <v>31</v>
      </c>
      <c r="G468" s="222" t="s">
        <v>0</v>
      </c>
      <c r="H468" s="223" t="s">
        <v>4487</v>
      </c>
      <c r="I468" s="222" t="s">
        <v>5864</v>
      </c>
      <c r="J468" s="222" t="s">
        <v>5865</v>
      </c>
      <c r="K468" s="222" t="s">
        <v>5866</v>
      </c>
      <c r="L468" s="222">
        <v>385839</v>
      </c>
      <c r="M468" s="222">
        <v>382777</v>
      </c>
      <c r="N468" s="222" t="s">
        <v>15</v>
      </c>
      <c r="O468" s="222" t="s">
        <v>4611</v>
      </c>
      <c r="P468" s="224"/>
      <c r="Q468" s="224"/>
      <c r="R468" s="224"/>
      <c r="S468" s="224"/>
      <c r="T468" s="224"/>
      <c r="U468" s="224"/>
      <c r="V468" s="224"/>
      <c r="W468" s="224"/>
      <c r="X468" s="224"/>
      <c r="Y468" s="222">
        <v>0</v>
      </c>
      <c r="Z468" s="222">
        <v>382777</v>
      </c>
      <c r="AA468" s="224"/>
      <c r="AB468" s="224"/>
      <c r="AC468" s="224"/>
      <c r="AD468" s="224"/>
      <c r="AE468" s="224"/>
      <c r="AF468" s="224"/>
      <c r="AG468" s="224"/>
      <c r="AH468" s="224"/>
      <c r="AI468" s="224"/>
      <c r="AJ468" s="126"/>
      <c r="AK468" s="126"/>
      <c r="AL468" s="126"/>
      <c r="AM468" s="126"/>
      <c r="AN468" s="126"/>
    </row>
    <row r="469" spans="1:40" ht="15.75" customHeight="1">
      <c r="A469" s="221">
        <f t="shared" si="2"/>
        <v>463</v>
      </c>
      <c r="B469" s="222" t="s">
        <v>5863</v>
      </c>
      <c r="C469" s="222" t="s">
        <v>5</v>
      </c>
      <c r="D469" s="222" t="e">
        <f t="array" ref="D469">IF(F469="","",INDEX(#REF!,MATCH(F469,#REF!,0)))</f>
        <v>#REF!</v>
      </c>
      <c r="E469" s="222" t="e">
        <f t="array" ref="E469">IF(F469="","",INDEX(#REF!,MATCH(F469,#REF!,0)))</f>
        <v>#REF!</v>
      </c>
      <c r="F469" s="222" t="s">
        <v>31</v>
      </c>
      <c r="G469" s="222" t="s">
        <v>4491</v>
      </c>
      <c r="H469" s="223" t="s">
        <v>4487</v>
      </c>
      <c r="I469" s="222" t="s">
        <v>5867</v>
      </c>
      <c r="J469" s="222" t="s">
        <v>5868</v>
      </c>
      <c r="K469" s="222" t="s">
        <v>5869</v>
      </c>
      <c r="L469" s="222">
        <v>3291</v>
      </c>
      <c r="M469" s="222">
        <v>3416</v>
      </c>
      <c r="N469" s="222" t="s">
        <v>15</v>
      </c>
      <c r="O469" s="222" t="s">
        <v>9</v>
      </c>
      <c r="P469" s="224"/>
      <c r="Q469" s="224"/>
      <c r="R469" s="224"/>
      <c r="S469" s="224"/>
      <c r="T469" s="224"/>
      <c r="U469" s="224"/>
      <c r="V469" s="224"/>
      <c r="W469" s="224"/>
      <c r="X469" s="224"/>
      <c r="Y469" s="222">
        <v>0</v>
      </c>
      <c r="Z469" s="222">
        <v>3416</v>
      </c>
      <c r="AA469" s="224"/>
      <c r="AB469" s="224"/>
      <c r="AC469" s="224"/>
      <c r="AD469" s="224"/>
      <c r="AE469" s="224"/>
      <c r="AF469" s="224"/>
      <c r="AG469" s="224"/>
      <c r="AH469" s="224"/>
      <c r="AI469" s="224"/>
      <c r="AJ469" s="126"/>
      <c r="AK469" s="126"/>
      <c r="AL469" s="126"/>
      <c r="AM469" s="126"/>
      <c r="AN469" s="126"/>
    </row>
    <row r="470" spans="1:40" ht="15.75" customHeight="1">
      <c r="A470" s="221">
        <f t="shared" si="2"/>
        <v>464</v>
      </c>
      <c r="B470" s="222" t="s">
        <v>5863</v>
      </c>
      <c r="C470" s="222" t="s">
        <v>5</v>
      </c>
      <c r="D470" s="222" t="e">
        <f t="array" ref="D470">IF(F470="","",INDEX(#REF!,MATCH(F470,#REF!,0)))</f>
        <v>#REF!</v>
      </c>
      <c r="E470" s="222" t="e">
        <f t="array" ref="E470">IF(F470="","",INDEX(#REF!,MATCH(F470,#REF!,0)))</f>
        <v>#REF!</v>
      </c>
      <c r="F470" s="222" t="s">
        <v>31</v>
      </c>
      <c r="G470" s="222" t="s">
        <v>4495</v>
      </c>
      <c r="H470" s="223">
        <v>1</v>
      </c>
      <c r="I470" s="222" t="s">
        <v>5870</v>
      </c>
      <c r="J470" s="222" t="s">
        <v>5871</v>
      </c>
      <c r="K470" s="222" t="s">
        <v>5872</v>
      </c>
      <c r="L470" s="222">
        <v>258232</v>
      </c>
      <c r="M470" s="222">
        <v>4</v>
      </c>
      <c r="N470" s="222" t="s">
        <v>11</v>
      </c>
      <c r="O470" s="222" t="s">
        <v>14</v>
      </c>
      <c r="P470" s="224"/>
      <c r="Q470" s="224"/>
      <c r="R470" s="224"/>
      <c r="S470" s="224"/>
      <c r="T470" s="224"/>
      <c r="U470" s="224"/>
      <c r="V470" s="224"/>
      <c r="W470" s="224"/>
      <c r="X470" s="224"/>
      <c r="Y470" s="222">
        <v>139323</v>
      </c>
      <c r="Z470" s="222">
        <v>4</v>
      </c>
      <c r="AA470" s="224"/>
      <c r="AB470" s="224"/>
      <c r="AC470" s="224"/>
      <c r="AD470" s="224"/>
      <c r="AE470" s="224"/>
      <c r="AF470" s="224"/>
      <c r="AG470" s="224"/>
      <c r="AH470" s="224"/>
      <c r="AI470" s="224"/>
      <c r="AJ470" s="126"/>
      <c r="AK470" s="126"/>
      <c r="AL470" s="126"/>
      <c r="AM470" s="126"/>
      <c r="AN470" s="126"/>
    </row>
    <row r="471" spans="1:40" ht="15.75" customHeight="1">
      <c r="A471" s="221">
        <f t="shared" si="2"/>
        <v>465</v>
      </c>
      <c r="B471" s="222" t="s">
        <v>5863</v>
      </c>
      <c r="C471" s="222" t="s">
        <v>5</v>
      </c>
      <c r="D471" s="222" t="e">
        <f t="array" ref="D471">IF(F471="","",INDEX(#REF!,MATCH(F471,#REF!,0)))</f>
        <v>#REF!</v>
      </c>
      <c r="E471" s="222" t="e">
        <f t="array" ref="E471">IF(F471="","",INDEX(#REF!,MATCH(F471,#REF!,0)))</f>
        <v>#REF!</v>
      </c>
      <c r="F471" s="222" t="s">
        <v>31</v>
      </c>
      <c r="G471" s="222" t="s">
        <v>4499</v>
      </c>
      <c r="H471" s="223">
        <v>1.1000000000000001</v>
      </c>
      <c r="I471" s="222" t="s">
        <v>5873</v>
      </c>
      <c r="J471" s="222" t="s">
        <v>5874</v>
      </c>
      <c r="K471" s="222" t="s">
        <v>5872</v>
      </c>
      <c r="L471" s="222">
        <v>33704</v>
      </c>
      <c r="M471" s="222">
        <v>4</v>
      </c>
      <c r="N471" s="222" t="s">
        <v>11</v>
      </c>
      <c r="O471" s="222" t="s">
        <v>14</v>
      </c>
      <c r="P471" s="224">
        <v>6243170.8200000003</v>
      </c>
      <c r="Q471" s="224">
        <v>21000</v>
      </c>
      <c r="R471" s="224">
        <v>50000</v>
      </c>
      <c r="S471" s="224"/>
      <c r="T471" s="224"/>
      <c r="U471" s="224"/>
      <c r="V471" s="224"/>
      <c r="W471" s="224"/>
      <c r="X471" s="224"/>
      <c r="Y471" s="222">
        <v>14517</v>
      </c>
      <c r="Z471" s="222">
        <v>4</v>
      </c>
      <c r="AA471" s="224">
        <v>4890764.82</v>
      </c>
      <c r="AB471" s="224">
        <v>0</v>
      </c>
      <c r="AC471" s="224">
        <v>0</v>
      </c>
      <c r="AD471" s="224"/>
      <c r="AE471" s="224"/>
      <c r="AF471" s="224"/>
      <c r="AG471" s="224"/>
      <c r="AH471" s="224"/>
      <c r="AI471" s="224"/>
      <c r="AJ471" s="126"/>
      <c r="AK471" s="126"/>
      <c r="AL471" s="126"/>
      <c r="AM471" s="126"/>
      <c r="AN471" s="126"/>
    </row>
    <row r="472" spans="1:40" ht="15.75" customHeight="1">
      <c r="A472" s="221">
        <f t="shared" si="2"/>
        <v>466</v>
      </c>
      <c r="B472" s="222" t="s">
        <v>5863</v>
      </c>
      <c r="C472" s="222" t="s">
        <v>5</v>
      </c>
      <c r="D472" s="222" t="e">
        <f t="array" ref="D472">IF(F472="","",INDEX(#REF!,MATCH(F472,#REF!,0)))</f>
        <v>#REF!</v>
      </c>
      <c r="E472" s="222" t="e">
        <f t="array" ref="E472">IF(F472="","",INDEX(#REF!,MATCH(F472,#REF!,0)))</f>
        <v>#REF!</v>
      </c>
      <c r="F472" s="222" t="s">
        <v>31</v>
      </c>
      <c r="G472" s="222" t="s">
        <v>4499</v>
      </c>
      <c r="H472" s="223">
        <v>1.2</v>
      </c>
      <c r="I472" s="222" t="s">
        <v>5875</v>
      </c>
      <c r="J472" s="222" t="s">
        <v>5876</v>
      </c>
      <c r="K472" s="222" t="s">
        <v>5877</v>
      </c>
      <c r="L472" s="222">
        <v>145466</v>
      </c>
      <c r="M472" s="222">
        <v>4</v>
      </c>
      <c r="N472" s="222" t="s">
        <v>11</v>
      </c>
      <c r="O472" s="222" t="s">
        <v>14</v>
      </c>
      <c r="P472" s="224">
        <v>443004583.94999999</v>
      </c>
      <c r="Q472" s="224">
        <v>64240152</v>
      </c>
      <c r="R472" s="224">
        <v>12802011</v>
      </c>
      <c r="S472" s="224"/>
      <c r="T472" s="224">
        <v>400000</v>
      </c>
      <c r="U472" s="224"/>
      <c r="V472" s="224"/>
      <c r="W472" s="224"/>
      <c r="X472" s="224"/>
      <c r="Y472" s="222">
        <v>38144</v>
      </c>
      <c r="Z472" s="222">
        <v>4</v>
      </c>
      <c r="AA472" s="224">
        <v>190428733.37999994</v>
      </c>
      <c r="AB472" s="224">
        <v>3834961.68</v>
      </c>
      <c r="AC472" s="224">
        <v>2910177.62</v>
      </c>
      <c r="AD472" s="224"/>
      <c r="AE472" s="224">
        <v>0</v>
      </c>
      <c r="AF472" s="224"/>
      <c r="AG472" s="224"/>
      <c r="AH472" s="224"/>
      <c r="AI472" s="224"/>
      <c r="AJ472" s="126"/>
      <c r="AK472" s="126"/>
      <c r="AL472" s="126"/>
      <c r="AM472" s="126"/>
      <c r="AN472" s="126"/>
    </row>
    <row r="473" spans="1:40" ht="15.75" customHeight="1">
      <c r="A473" s="221">
        <f t="shared" si="2"/>
        <v>467</v>
      </c>
      <c r="B473" s="222" t="s">
        <v>5863</v>
      </c>
      <c r="C473" s="222" t="s">
        <v>5</v>
      </c>
      <c r="D473" s="222" t="e">
        <f t="array" ref="D473">IF(F473="","",INDEX(#REF!,MATCH(F473,#REF!,0)))</f>
        <v>#REF!</v>
      </c>
      <c r="E473" s="222" t="e">
        <f t="array" ref="E473">IF(F473="","",INDEX(#REF!,MATCH(F473,#REF!,0)))</f>
        <v>#REF!</v>
      </c>
      <c r="F473" s="222" t="s">
        <v>31</v>
      </c>
      <c r="G473" s="222" t="s">
        <v>4499</v>
      </c>
      <c r="H473" s="223">
        <v>1.3</v>
      </c>
      <c r="I473" s="222" t="s">
        <v>5878</v>
      </c>
      <c r="J473" s="222" t="s">
        <v>5879</v>
      </c>
      <c r="K473" s="222" t="s">
        <v>5872</v>
      </c>
      <c r="L473" s="222">
        <v>77123</v>
      </c>
      <c r="M473" s="222">
        <v>4</v>
      </c>
      <c r="N473" s="222" t="s">
        <v>11</v>
      </c>
      <c r="O473" s="222" t="s">
        <v>14</v>
      </c>
      <c r="P473" s="224"/>
      <c r="Q473" s="224">
        <v>1200316.99</v>
      </c>
      <c r="R473" s="224">
        <v>300000</v>
      </c>
      <c r="S473" s="224"/>
      <c r="T473" s="224">
        <v>300000</v>
      </c>
      <c r="U473" s="224"/>
      <c r="V473" s="224"/>
      <c r="W473" s="224"/>
      <c r="X473" s="224"/>
      <c r="Y473" s="222">
        <v>40009</v>
      </c>
      <c r="Z473" s="222">
        <v>4</v>
      </c>
      <c r="AA473" s="224"/>
      <c r="AB473" s="224">
        <v>844.99</v>
      </c>
      <c r="AC473" s="224">
        <v>0</v>
      </c>
      <c r="AD473" s="224"/>
      <c r="AE473" s="224">
        <v>0</v>
      </c>
      <c r="AF473" s="224"/>
      <c r="AG473" s="224"/>
      <c r="AH473" s="224"/>
      <c r="AI473" s="224"/>
      <c r="AJ473" s="126"/>
      <c r="AK473" s="126"/>
      <c r="AL473" s="126"/>
      <c r="AM473" s="126"/>
      <c r="AN473" s="126"/>
    </row>
    <row r="474" spans="1:40" ht="15.75" customHeight="1">
      <c r="A474" s="221">
        <f t="shared" si="2"/>
        <v>468</v>
      </c>
      <c r="B474" s="222" t="s">
        <v>5863</v>
      </c>
      <c r="C474" s="222" t="s">
        <v>5</v>
      </c>
      <c r="D474" s="222" t="e">
        <f t="array" ref="D474">IF(F474="","",INDEX(#REF!,MATCH(F474,#REF!,0)))</f>
        <v>#REF!</v>
      </c>
      <c r="E474" s="222" t="e">
        <f t="array" ref="E474">IF(F474="","",INDEX(#REF!,MATCH(F474,#REF!,0)))</f>
        <v>#REF!</v>
      </c>
      <c r="F474" s="222" t="s">
        <v>31</v>
      </c>
      <c r="G474" s="222" t="s">
        <v>4499</v>
      </c>
      <c r="H474" s="223">
        <v>1.4</v>
      </c>
      <c r="I474" s="222" t="s">
        <v>5880</v>
      </c>
      <c r="J474" s="222" t="s">
        <v>5881</v>
      </c>
      <c r="K474" s="222" t="s">
        <v>5872</v>
      </c>
      <c r="L474" s="222">
        <v>1939</v>
      </c>
      <c r="M474" s="222">
        <v>4</v>
      </c>
      <c r="N474" s="222" t="s">
        <v>11</v>
      </c>
      <c r="O474" s="222" t="s">
        <v>14</v>
      </c>
      <c r="P474" s="224"/>
      <c r="Q474" s="224">
        <v>400500</v>
      </c>
      <c r="R474" s="224"/>
      <c r="S474" s="224"/>
      <c r="T474" s="224"/>
      <c r="U474" s="224"/>
      <c r="V474" s="224"/>
      <c r="W474" s="224"/>
      <c r="X474" s="224"/>
      <c r="Y474" s="222">
        <v>1084</v>
      </c>
      <c r="Z474" s="222">
        <v>4</v>
      </c>
      <c r="AA474" s="224"/>
      <c r="AB474" s="224">
        <v>45765.22</v>
      </c>
      <c r="AC474" s="224"/>
      <c r="AD474" s="224"/>
      <c r="AE474" s="224"/>
      <c r="AF474" s="224"/>
      <c r="AG474" s="224"/>
      <c r="AH474" s="224"/>
      <c r="AI474" s="224"/>
      <c r="AJ474" s="126"/>
      <c r="AK474" s="126"/>
      <c r="AL474" s="126"/>
      <c r="AM474" s="126"/>
      <c r="AN474" s="126"/>
    </row>
    <row r="475" spans="1:40" ht="15.75" customHeight="1">
      <c r="A475" s="221">
        <f t="shared" si="2"/>
        <v>469</v>
      </c>
      <c r="B475" s="222" t="s">
        <v>5863</v>
      </c>
      <c r="C475" s="222" t="s">
        <v>5</v>
      </c>
      <c r="D475" s="222" t="e">
        <f t="array" ref="D475">IF(F475="","",INDEX(#REF!,MATCH(F475,#REF!,0)))</f>
        <v>#REF!</v>
      </c>
      <c r="E475" s="222" t="e">
        <f t="array" ref="E475">IF(F475="","",INDEX(#REF!,MATCH(F475,#REF!,0)))</f>
        <v>#REF!</v>
      </c>
      <c r="F475" s="222" t="s">
        <v>31</v>
      </c>
      <c r="G475" s="222" t="s">
        <v>4495</v>
      </c>
      <c r="H475" s="223">
        <v>2</v>
      </c>
      <c r="I475" s="222" t="s">
        <v>5882</v>
      </c>
      <c r="J475" s="222" t="s">
        <v>5883</v>
      </c>
      <c r="K475" s="222" t="s">
        <v>5872</v>
      </c>
      <c r="L475" s="222">
        <v>126908</v>
      </c>
      <c r="M475" s="222">
        <v>4</v>
      </c>
      <c r="N475" s="222" t="s">
        <v>11</v>
      </c>
      <c r="O475" s="222" t="s">
        <v>14</v>
      </c>
      <c r="P475" s="224"/>
      <c r="Q475" s="224"/>
      <c r="R475" s="224"/>
      <c r="S475" s="224"/>
      <c r="T475" s="224"/>
      <c r="U475" s="224"/>
      <c r="V475" s="224"/>
      <c r="W475" s="224"/>
      <c r="X475" s="224"/>
      <c r="Y475" s="222">
        <v>55448</v>
      </c>
      <c r="Z475" s="222">
        <v>4</v>
      </c>
      <c r="AA475" s="224"/>
      <c r="AB475" s="224"/>
      <c r="AC475" s="224"/>
      <c r="AD475" s="224"/>
      <c r="AE475" s="224"/>
      <c r="AF475" s="224"/>
      <c r="AG475" s="224"/>
      <c r="AH475" s="224"/>
      <c r="AI475" s="224"/>
      <c r="AJ475" s="126"/>
      <c r="AK475" s="126"/>
      <c r="AL475" s="126"/>
      <c r="AM475" s="126"/>
      <c r="AN475" s="126"/>
    </row>
    <row r="476" spans="1:40" ht="15.75" customHeight="1">
      <c r="A476" s="221">
        <f t="shared" si="2"/>
        <v>470</v>
      </c>
      <c r="B476" s="222" t="s">
        <v>5863</v>
      </c>
      <c r="C476" s="222" t="s">
        <v>5</v>
      </c>
      <c r="D476" s="222" t="e">
        <f t="array" ref="D476">IF(F476="","",INDEX(#REF!,MATCH(F476,#REF!,0)))</f>
        <v>#REF!</v>
      </c>
      <c r="E476" s="222" t="e">
        <f t="array" ref="E476">IF(F476="","",INDEX(#REF!,MATCH(F476,#REF!,0)))</f>
        <v>#REF!</v>
      </c>
      <c r="F476" s="222" t="s">
        <v>31</v>
      </c>
      <c r="G476" s="222" t="s">
        <v>4499</v>
      </c>
      <c r="H476" s="223">
        <v>2.1</v>
      </c>
      <c r="I476" s="222" t="s">
        <v>5884</v>
      </c>
      <c r="J476" s="222" t="s">
        <v>5885</v>
      </c>
      <c r="K476" s="222" t="s">
        <v>5872</v>
      </c>
      <c r="L476" s="222">
        <v>62889</v>
      </c>
      <c r="M476" s="222">
        <v>4</v>
      </c>
      <c r="N476" s="222" t="s">
        <v>11</v>
      </c>
      <c r="O476" s="222" t="s">
        <v>14</v>
      </c>
      <c r="P476" s="224"/>
      <c r="Q476" s="224">
        <v>13769.7</v>
      </c>
      <c r="R476" s="224">
        <v>15800000</v>
      </c>
      <c r="S476" s="224"/>
      <c r="T476" s="224"/>
      <c r="U476" s="224"/>
      <c r="V476" s="224"/>
      <c r="W476" s="224"/>
      <c r="X476" s="224"/>
      <c r="Y476" s="222">
        <v>29150</v>
      </c>
      <c r="Z476" s="222">
        <v>4</v>
      </c>
      <c r="AA476" s="224"/>
      <c r="AB476" s="224">
        <v>1769.7</v>
      </c>
      <c r="AC476" s="224">
        <v>3980405.44</v>
      </c>
      <c r="AD476" s="224"/>
      <c r="AE476" s="224"/>
      <c r="AF476" s="224"/>
      <c r="AG476" s="224"/>
      <c r="AH476" s="224"/>
      <c r="AI476" s="224"/>
      <c r="AJ476" s="126"/>
      <c r="AK476" s="126"/>
      <c r="AL476" s="126"/>
      <c r="AM476" s="126"/>
      <c r="AN476" s="126"/>
    </row>
    <row r="477" spans="1:40" ht="15.75" customHeight="1">
      <c r="A477" s="221">
        <f t="shared" si="2"/>
        <v>471</v>
      </c>
      <c r="B477" s="222" t="s">
        <v>5863</v>
      </c>
      <c r="C477" s="222" t="s">
        <v>5</v>
      </c>
      <c r="D477" s="222" t="e">
        <f t="array" ref="D477">IF(F477="","",INDEX(#REF!,MATCH(F477,#REF!,0)))</f>
        <v>#REF!</v>
      </c>
      <c r="E477" s="222" t="e">
        <f t="array" ref="E477">IF(F477="","",INDEX(#REF!,MATCH(F477,#REF!,0)))</f>
        <v>#REF!</v>
      </c>
      <c r="F477" s="222" t="s">
        <v>31</v>
      </c>
      <c r="G477" s="222" t="s">
        <v>4499</v>
      </c>
      <c r="H477" s="223">
        <v>2.2000000000000002</v>
      </c>
      <c r="I477" s="222" t="s">
        <v>5886</v>
      </c>
      <c r="J477" s="222" t="s">
        <v>5887</v>
      </c>
      <c r="K477" s="222" t="s">
        <v>5872</v>
      </c>
      <c r="L477" s="222">
        <v>64020</v>
      </c>
      <c r="M477" s="222">
        <v>4</v>
      </c>
      <c r="N477" s="222" t="s">
        <v>11</v>
      </c>
      <c r="O477" s="222" t="s">
        <v>14</v>
      </c>
      <c r="P477" s="224"/>
      <c r="Q477" s="224">
        <v>331000</v>
      </c>
      <c r="R477" s="224">
        <v>15001464</v>
      </c>
      <c r="S477" s="224"/>
      <c r="T477" s="224"/>
      <c r="U477" s="224"/>
      <c r="V477" s="224"/>
      <c r="W477" s="224"/>
      <c r="X477" s="224"/>
      <c r="Y477" s="222">
        <v>26298</v>
      </c>
      <c r="Z477" s="222">
        <v>4</v>
      </c>
      <c r="AA477" s="224"/>
      <c r="AB477" s="224">
        <v>79.11</v>
      </c>
      <c r="AC477" s="224">
        <v>1381044.01</v>
      </c>
      <c r="AD477" s="224"/>
      <c r="AE477" s="224"/>
      <c r="AF477" s="224"/>
      <c r="AG477" s="224"/>
      <c r="AH477" s="224"/>
      <c r="AI477" s="224"/>
      <c r="AJ477" s="126"/>
      <c r="AK477" s="126"/>
      <c r="AL477" s="126"/>
      <c r="AM477" s="126"/>
      <c r="AN477" s="126"/>
    </row>
    <row r="478" spans="1:40" ht="15.75" customHeight="1">
      <c r="A478" s="221">
        <f t="shared" si="2"/>
        <v>472</v>
      </c>
      <c r="B478" s="222" t="s">
        <v>5863</v>
      </c>
      <c r="C478" s="222" t="s">
        <v>5</v>
      </c>
      <c r="D478" s="222" t="e">
        <f t="array" ref="D478">IF(F478="","",INDEX(#REF!,MATCH(F478,#REF!,0)))</f>
        <v>#REF!</v>
      </c>
      <c r="E478" s="222" t="e">
        <f t="array" ref="E478">IF(F478="","",INDEX(#REF!,MATCH(F478,#REF!,0)))</f>
        <v>#REF!</v>
      </c>
      <c r="F478" s="222" t="s">
        <v>31</v>
      </c>
      <c r="G478" s="222" t="s">
        <v>4495</v>
      </c>
      <c r="H478" s="223">
        <v>3</v>
      </c>
      <c r="I478" s="222" t="s">
        <v>5888</v>
      </c>
      <c r="J478" s="222" t="s">
        <v>5889</v>
      </c>
      <c r="K478" s="222" t="s">
        <v>5890</v>
      </c>
      <c r="L478" s="222">
        <v>6729</v>
      </c>
      <c r="M478" s="222">
        <v>4</v>
      </c>
      <c r="N478" s="222" t="s">
        <v>11</v>
      </c>
      <c r="O478" s="222" t="s">
        <v>14</v>
      </c>
      <c r="P478" s="224"/>
      <c r="Q478" s="224"/>
      <c r="R478" s="224"/>
      <c r="S478" s="224"/>
      <c r="T478" s="224"/>
      <c r="U478" s="224"/>
      <c r="V478" s="224"/>
      <c r="W478" s="224"/>
      <c r="X478" s="224"/>
      <c r="Y478" s="222">
        <v>4677</v>
      </c>
      <c r="Z478" s="222">
        <v>4</v>
      </c>
      <c r="AA478" s="224"/>
      <c r="AB478" s="224"/>
      <c r="AC478" s="224"/>
      <c r="AD478" s="224"/>
      <c r="AE478" s="224"/>
      <c r="AF478" s="224"/>
      <c r="AG478" s="224"/>
      <c r="AH478" s="224"/>
      <c r="AI478" s="224"/>
      <c r="AJ478" s="126"/>
      <c r="AK478" s="126"/>
      <c r="AL478" s="126"/>
      <c r="AM478" s="126"/>
      <c r="AN478" s="126"/>
    </row>
    <row r="479" spans="1:40" ht="15.75" customHeight="1">
      <c r="A479" s="221">
        <f t="shared" si="2"/>
        <v>473</v>
      </c>
      <c r="B479" s="222" t="s">
        <v>5863</v>
      </c>
      <c r="C479" s="222" t="s">
        <v>5</v>
      </c>
      <c r="D479" s="222" t="e">
        <f t="array" ref="D479">IF(F479="","",INDEX(#REF!,MATCH(F479,#REF!,0)))</f>
        <v>#REF!</v>
      </c>
      <c r="E479" s="222" t="e">
        <f t="array" ref="E479">IF(F479="","",INDEX(#REF!,MATCH(F479,#REF!,0)))</f>
        <v>#REF!</v>
      </c>
      <c r="F479" s="222" t="s">
        <v>31</v>
      </c>
      <c r="G479" s="222" t="s">
        <v>4499</v>
      </c>
      <c r="H479" s="223">
        <v>3.1</v>
      </c>
      <c r="I479" s="222" t="s">
        <v>5891</v>
      </c>
      <c r="J479" s="222" t="s">
        <v>5892</v>
      </c>
      <c r="K479" s="222" t="s">
        <v>5890</v>
      </c>
      <c r="L479" s="222">
        <v>738</v>
      </c>
      <c r="M479" s="222">
        <v>4</v>
      </c>
      <c r="N479" s="222" t="s">
        <v>11</v>
      </c>
      <c r="O479" s="222" t="s">
        <v>14</v>
      </c>
      <c r="P479" s="224"/>
      <c r="Q479" s="224">
        <v>3000</v>
      </c>
      <c r="R479" s="224">
        <v>100000</v>
      </c>
      <c r="S479" s="224"/>
      <c r="T479" s="224"/>
      <c r="U479" s="224"/>
      <c r="V479" s="224"/>
      <c r="W479" s="224"/>
      <c r="X479" s="224"/>
      <c r="Y479" s="222">
        <v>918</v>
      </c>
      <c r="Z479" s="222">
        <v>4</v>
      </c>
      <c r="AA479" s="224"/>
      <c r="AB479" s="224">
        <v>0</v>
      </c>
      <c r="AC479" s="224">
        <v>0</v>
      </c>
      <c r="AD479" s="224"/>
      <c r="AE479" s="224"/>
      <c r="AF479" s="224"/>
      <c r="AG479" s="224"/>
      <c r="AH479" s="224"/>
      <c r="AI479" s="224"/>
      <c r="AJ479" s="126"/>
      <c r="AK479" s="126"/>
      <c r="AL479" s="126"/>
      <c r="AM479" s="126"/>
      <c r="AN479" s="126"/>
    </row>
    <row r="480" spans="1:40" ht="15.75" customHeight="1">
      <c r="A480" s="221">
        <f t="shared" si="2"/>
        <v>474</v>
      </c>
      <c r="B480" s="222" t="s">
        <v>5863</v>
      </c>
      <c r="C480" s="222" t="s">
        <v>5</v>
      </c>
      <c r="D480" s="222" t="e">
        <f t="array" ref="D480">IF(F480="","",INDEX(#REF!,MATCH(F480,#REF!,0)))</f>
        <v>#REF!</v>
      </c>
      <c r="E480" s="222" t="e">
        <f t="array" ref="E480">IF(F480="","",INDEX(#REF!,MATCH(F480,#REF!,0)))</f>
        <v>#REF!</v>
      </c>
      <c r="F480" s="222" t="s">
        <v>31</v>
      </c>
      <c r="G480" s="222" t="s">
        <v>4499</v>
      </c>
      <c r="H480" s="223">
        <v>3.2</v>
      </c>
      <c r="I480" s="222" t="s">
        <v>5893</v>
      </c>
      <c r="J480" s="222" t="s">
        <v>5894</v>
      </c>
      <c r="K480" s="222" t="s">
        <v>5895</v>
      </c>
      <c r="L480" s="222">
        <v>2398</v>
      </c>
      <c r="M480" s="222">
        <v>4</v>
      </c>
      <c r="N480" s="222" t="s">
        <v>11</v>
      </c>
      <c r="O480" s="222" t="s">
        <v>14</v>
      </c>
      <c r="P480" s="224"/>
      <c r="Q480" s="224">
        <v>47000</v>
      </c>
      <c r="R480" s="224">
        <v>100000</v>
      </c>
      <c r="S480" s="224"/>
      <c r="T480" s="224"/>
      <c r="U480" s="224"/>
      <c r="V480" s="224"/>
      <c r="W480" s="224"/>
      <c r="X480" s="224"/>
      <c r="Y480" s="222">
        <v>3279</v>
      </c>
      <c r="Z480" s="222">
        <v>4</v>
      </c>
      <c r="AA480" s="224"/>
      <c r="AB480" s="224">
        <v>0</v>
      </c>
      <c r="AC480" s="224">
        <v>0</v>
      </c>
      <c r="AD480" s="224"/>
      <c r="AE480" s="224"/>
      <c r="AF480" s="224"/>
      <c r="AG480" s="224"/>
      <c r="AH480" s="224"/>
      <c r="AI480" s="224"/>
      <c r="AJ480" s="126"/>
      <c r="AK480" s="126"/>
      <c r="AL480" s="126"/>
      <c r="AM480" s="126"/>
      <c r="AN480" s="126"/>
    </row>
    <row r="481" spans="1:40" ht="15.75" customHeight="1">
      <c r="A481" s="221">
        <f t="shared" si="2"/>
        <v>475</v>
      </c>
      <c r="B481" s="222" t="s">
        <v>5863</v>
      </c>
      <c r="C481" s="222" t="s">
        <v>5</v>
      </c>
      <c r="D481" s="222" t="e">
        <f t="array" ref="D481">IF(F481="","",INDEX(#REF!,MATCH(F481,#REF!,0)))</f>
        <v>#REF!</v>
      </c>
      <c r="E481" s="222" t="e">
        <f t="array" ref="E481">IF(F481="","",INDEX(#REF!,MATCH(F481,#REF!,0)))</f>
        <v>#REF!</v>
      </c>
      <c r="F481" s="222" t="s">
        <v>31</v>
      </c>
      <c r="G481" s="222" t="s">
        <v>4499</v>
      </c>
      <c r="H481" s="223">
        <v>3.3</v>
      </c>
      <c r="I481" s="222" t="s">
        <v>5896</v>
      </c>
      <c r="J481" s="222" t="s">
        <v>5897</v>
      </c>
      <c r="K481" s="222" t="s">
        <v>5898</v>
      </c>
      <c r="L481" s="222">
        <v>1377</v>
      </c>
      <c r="M481" s="222">
        <v>4</v>
      </c>
      <c r="N481" s="222" t="s">
        <v>11</v>
      </c>
      <c r="O481" s="222" t="s">
        <v>14</v>
      </c>
      <c r="P481" s="224"/>
      <c r="Q481" s="224">
        <v>3000</v>
      </c>
      <c r="R481" s="224">
        <v>100000</v>
      </c>
      <c r="S481" s="224"/>
      <c r="T481" s="224"/>
      <c r="U481" s="224"/>
      <c r="V481" s="224"/>
      <c r="W481" s="224"/>
      <c r="X481" s="224"/>
      <c r="Y481" s="222">
        <v>480</v>
      </c>
      <c r="Z481" s="222">
        <v>4</v>
      </c>
      <c r="AA481" s="224"/>
      <c r="AB481" s="224">
        <v>0</v>
      </c>
      <c r="AC481" s="224">
        <v>0</v>
      </c>
      <c r="AD481" s="224"/>
      <c r="AE481" s="224"/>
      <c r="AF481" s="224"/>
      <c r="AG481" s="224"/>
      <c r="AH481" s="224"/>
      <c r="AI481" s="224"/>
      <c r="AJ481" s="126"/>
      <c r="AK481" s="126"/>
      <c r="AL481" s="126"/>
      <c r="AM481" s="126"/>
      <c r="AN481" s="126"/>
    </row>
    <row r="482" spans="1:40" ht="15.75" customHeight="1">
      <c r="A482" s="221">
        <f t="shared" si="2"/>
        <v>476</v>
      </c>
      <c r="B482" s="222" t="s">
        <v>5863</v>
      </c>
      <c r="C482" s="222" t="s">
        <v>5</v>
      </c>
      <c r="D482" s="222" t="e">
        <f t="array" ref="D482">IF(F482="","",INDEX(#REF!,MATCH(F482,#REF!,0)))</f>
        <v>#REF!</v>
      </c>
      <c r="E482" s="222" t="e">
        <f t="array" ref="E482">IF(F482="","",INDEX(#REF!,MATCH(F482,#REF!,0)))</f>
        <v>#REF!</v>
      </c>
      <c r="F482" s="222" t="s">
        <v>31</v>
      </c>
      <c r="G482" s="222" t="s">
        <v>4495</v>
      </c>
      <c r="H482" s="223">
        <v>4</v>
      </c>
      <c r="I482" s="222" t="s">
        <v>5899</v>
      </c>
      <c r="J482" s="222" t="s">
        <v>5900</v>
      </c>
      <c r="K482" s="222" t="s">
        <v>5901</v>
      </c>
      <c r="L482" s="222">
        <v>0</v>
      </c>
      <c r="M482" s="222">
        <v>30786725.899999999</v>
      </c>
      <c r="N482" s="222" t="s">
        <v>11</v>
      </c>
      <c r="O482" s="222" t="s">
        <v>9</v>
      </c>
      <c r="P482" s="224"/>
      <c r="Q482" s="224"/>
      <c r="R482" s="224"/>
      <c r="S482" s="224"/>
      <c r="T482" s="224"/>
      <c r="U482" s="224"/>
      <c r="V482" s="224"/>
      <c r="W482" s="224"/>
      <c r="X482" s="224"/>
      <c r="Y482" s="222">
        <v>0</v>
      </c>
      <c r="Z482" s="222">
        <v>30786725.899999999</v>
      </c>
      <c r="AA482" s="224"/>
      <c r="AB482" s="224"/>
      <c r="AC482" s="224"/>
      <c r="AD482" s="224"/>
      <c r="AE482" s="224"/>
      <c r="AF482" s="224"/>
      <c r="AG482" s="224"/>
      <c r="AH482" s="224"/>
      <c r="AI482" s="224"/>
      <c r="AJ482" s="126"/>
      <c r="AK482" s="126"/>
      <c r="AL482" s="126"/>
      <c r="AM482" s="126"/>
      <c r="AN482" s="126"/>
    </row>
    <row r="483" spans="1:40" ht="15.75" customHeight="1">
      <c r="A483" s="221">
        <f t="shared" si="2"/>
        <v>477</v>
      </c>
      <c r="B483" s="222" t="s">
        <v>5863</v>
      </c>
      <c r="C483" s="222" t="s">
        <v>5</v>
      </c>
      <c r="D483" s="222" t="e">
        <f t="array" ref="D483">IF(F483="","",INDEX(#REF!,MATCH(F483,#REF!,0)))</f>
        <v>#REF!</v>
      </c>
      <c r="E483" s="222" t="e">
        <f t="array" ref="E483">IF(F483="","",INDEX(#REF!,MATCH(F483,#REF!,0)))</f>
        <v>#REF!</v>
      </c>
      <c r="F483" s="222" t="s">
        <v>31</v>
      </c>
      <c r="G483" s="222" t="s">
        <v>4499</v>
      </c>
      <c r="H483" s="223">
        <v>4.0999999999999996</v>
      </c>
      <c r="I483" s="222" t="s">
        <v>5902</v>
      </c>
      <c r="J483" s="222" t="s">
        <v>5903</v>
      </c>
      <c r="K483" s="222" t="s">
        <v>5904</v>
      </c>
      <c r="L483" s="222">
        <v>0</v>
      </c>
      <c r="M483" s="222">
        <v>40</v>
      </c>
      <c r="N483" s="222" t="s">
        <v>11</v>
      </c>
      <c r="O483" s="222" t="s">
        <v>9</v>
      </c>
      <c r="P483" s="224"/>
      <c r="Q483" s="224"/>
      <c r="R483" s="224"/>
      <c r="S483" s="224"/>
      <c r="T483" s="224">
        <v>42768834.329999998</v>
      </c>
      <c r="U483" s="224"/>
      <c r="V483" s="224"/>
      <c r="W483" s="224"/>
      <c r="X483" s="224"/>
      <c r="Y483" s="222">
        <v>0</v>
      </c>
      <c r="Z483" s="222">
        <v>40</v>
      </c>
      <c r="AA483" s="224"/>
      <c r="AB483" s="224"/>
      <c r="AC483" s="224"/>
      <c r="AD483" s="224"/>
      <c r="AE483" s="224">
        <v>0</v>
      </c>
      <c r="AF483" s="224"/>
      <c r="AG483" s="224"/>
      <c r="AH483" s="224"/>
      <c r="AI483" s="224"/>
      <c r="AJ483" s="126"/>
      <c r="AK483" s="126"/>
      <c r="AL483" s="126"/>
      <c r="AM483" s="126"/>
      <c r="AN483" s="126"/>
    </row>
    <row r="484" spans="1:40" ht="15.75" customHeight="1">
      <c r="A484" s="221">
        <f t="shared" si="2"/>
        <v>478</v>
      </c>
      <c r="B484" s="222" t="s">
        <v>5863</v>
      </c>
      <c r="C484" s="222" t="s">
        <v>5</v>
      </c>
      <c r="D484" s="222" t="e">
        <f t="array" ref="D484">IF(F484="","",INDEX(#REF!,MATCH(F484,#REF!,0)))</f>
        <v>#REF!</v>
      </c>
      <c r="E484" s="222" t="e">
        <f t="array" ref="E484">IF(F484="","",INDEX(#REF!,MATCH(F484,#REF!,0)))</f>
        <v>#REF!</v>
      </c>
      <c r="F484" s="222" t="s">
        <v>31</v>
      </c>
      <c r="G484" s="222" t="s">
        <v>4499</v>
      </c>
      <c r="H484" s="223">
        <v>4.2</v>
      </c>
      <c r="I484" s="222" t="s">
        <v>5905</v>
      </c>
      <c r="J484" s="222" t="s">
        <v>5906</v>
      </c>
      <c r="K484" s="222" t="s">
        <v>5907</v>
      </c>
      <c r="L484" s="222">
        <v>0</v>
      </c>
      <c r="M484" s="222">
        <v>7</v>
      </c>
      <c r="N484" s="222" t="s">
        <v>11</v>
      </c>
      <c r="O484" s="222" t="s">
        <v>9</v>
      </c>
      <c r="P484" s="224"/>
      <c r="Q484" s="224"/>
      <c r="R484" s="224"/>
      <c r="S484" s="224"/>
      <c r="T484" s="224">
        <v>27944166.289999999</v>
      </c>
      <c r="U484" s="224"/>
      <c r="V484" s="224"/>
      <c r="W484" s="224"/>
      <c r="X484" s="224"/>
      <c r="Y484" s="222">
        <v>0</v>
      </c>
      <c r="Z484" s="222">
        <v>7</v>
      </c>
      <c r="AA484" s="224"/>
      <c r="AB484" s="224"/>
      <c r="AC484" s="224"/>
      <c r="AD484" s="224"/>
      <c r="AE484" s="224">
        <v>0</v>
      </c>
      <c r="AF484" s="224"/>
      <c r="AG484" s="224"/>
      <c r="AH484" s="224"/>
      <c r="AI484" s="224"/>
      <c r="AJ484" s="126"/>
      <c r="AK484" s="126"/>
      <c r="AL484" s="126"/>
      <c r="AM484" s="126"/>
      <c r="AN484" s="126"/>
    </row>
    <row r="485" spans="1:40" ht="15.75" customHeight="1">
      <c r="A485" s="221">
        <f t="shared" si="2"/>
        <v>479</v>
      </c>
      <c r="B485" s="222" t="s">
        <v>5908</v>
      </c>
      <c r="C485" s="222" t="s">
        <v>5</v>
      </c>
      <c r="D485" s="222" t="e">
        <f t="array" ref="D485">IF(F485="","",INDEX(#REF!,MATCH(F485,#REF!,0)))</f>
        <v>#REF!</v>
      </c>
      <c r="E485" s="222" t="e">
        <f t="array" ref="E485">IF(F485="","",INDEX(#REF!,MATCH(F485,#REF!,0)))</f>
        <v>#REF!</v>
      </c>
      <c r="F485" s="222" t="s">
        <v>20</v>
      </c>
      <c r="G485" s="222" t="s">
        <v>0</v>
      </c>
      <c r="H485" s="223" t="s">
        <v>4487</v>
      </c>
      <c r="I485" s="222" t="s">
        <v>5909</v>
      </c>
      <c r="J485" s="222" t="s">
        <v>5910</v>
      </c>
      <c r="K485" s="222" t="s">
        <v>5911</v>
      </c>
      <c r="L485" s="222" t="s">
        <v>5912</v>
      </c>
      <c r="M485" s="222" t="s">
        <v>5912</v>
      </c>
      <c r="N485" s="222" t="s">
        <v>15</v>
      </c>
      <c r="O485" s="222" t="s">
        <v>4490</v>
      </c>
      <c r="P485" s="224"/>
      <c r="Q485" s="224"/>
      <c r="R485" s="224"/>
      <c r="S485" s="224"/>
      <c r="T485" s="224"/>
      <c r="U485" s="224"/>
      <c r="V485" s="224"/>
      <c r="W485" s="224"/>
      <c r="X485" s="224"/>
      <c r="Y485" s="222" t="s">
        <v>5912</v>
      </c>
      <c r="Z485" s="222" t="s">
        <v>5912</v>
      </c>
      <c r="AA485" s="224"/>
      <c r="AB485" s="224"/>
      <c r="AC485" s="224"/>
      <c r="AD485" s="224"/>
      <c r="AE485" s="224"/>
      <c r="AF485" s="224"/>
      <c r="AG485" s="224"/>
      <c r="AH485" s="224"/>
      <c r="AI485" s="224"/>
      <c r="AJ485" s="126"/>
      <c r="AK485" s="126"/>
      <c r="AL485" s="126"/>
      <c r="AM485" s="126"/>
      <c r="AN485" s="126"/>
    </row>
    <row r="486" spans="1:40" ht="15.75" customHeight="1">
      <c r="A486" s="221">
        <f t="shared" si="2"/>
        <v>480</v>
      </c>
      <c r="B486" s="222" t="s">
        <v>5908</v>
      </c>
      <c r="C486" s="222" t="s">
        <v>5</v>
      </c>
      <c r="D486" s="222" t="e">
        <f t="array" ref="D486">IF(F486="","",INDEX(#REF!,MATCH(F486,#REF!,0)))</f>
        <v>#REF!</v>
      </c>
      <c r="E486" s="222" t="e">
        <f t="array" ref="E486">IF(F486="","",INDEX(#REF!,MATCH(F486,#REF!,0)))</f>
        <v>#REF!</v>
      </c>
      <c r="F486" s="222" t="s">
        <v>20</v>
      </c>
      <c r="G486" s="222" t="s">
        <v>4491</v>
      </c>
      <c r="H486" s="223" t="s">
        <v>4487</v>
      </c>
      <c r="I486" s="222" t="s">
        <v>5913</v>
      </c>
      <c r="J486" s="222" t="s">
        <v>5914</v>
      </c>
      <c r="K486" s="222" t="s">
        <v>5915</v>
      </c>
      <c r="L486" s="222">
        <v>7047465728.6000004</v>
      </c>
      <c r="M486" s="222">
        <v>11745776214</v>
      </c>
      <c r="N486" s="222" t="s">
        <v>15</v>
      </c>
      <c r="O486" s="222" t="s">
        <v>9</v>
      </c>
      <c r="P486" s="224"/>
      <c r="Q486" s="224"/>
      <c r="R486" s="224"/>
      <c r="S486" s="224"/>
      <c r="T486" s="224"/>
      <c r="U486" s="224"/>
      <c r="V486" s="224"/>
      <c r="W486" s="224"/>
      <c r="X486" s="224"/>
      <c r="Y486" s="222">
        <v>5021818546.6700001</v>
      </c>
      <c r="Z486" s="222">
        <v>11745776214</v>
      </c>
      <c r="AA486" s="224"/>
      <c r="AB486" s="224"/>
      <c r="AC486" s="224"/>
      <c r="AD486" s="224"/>
      <c r="AE486" s="224"/>
      <c r="AF486" s="224"/>
      <c r="AG486" s="224"/>
      <c r="AH486" s="224"/>
      <c r="AI486" s="224"/>
      <c r="AJ486" s="126"/>
      <c r="AK486" s="126"/>
      <c r="AL486" s="126"/>
      <c r="AM486" s="126"/>
      <c r="AN486" s="126"/>
    </row>
    <row r="487" spans="1:40" ht="15.75" customHeight="1">
      <c r="A487" s="221">
        <f t="shared" si="2"/>
        <v>481</v>
      </c>
      <c r="B487" s="222" t="s">
        <v>5908</v>
      </c>
      <c r="C487" s="222" t="s">
        <v>5</v>
      </c>
      <c r="D487" s="222" t="e">
        <f t="array" ref="D487">IF(F487="","",INDEX(#REF!,MATCH(F487,#REF!,0)))</f>
        <v>#REF!</v>
      </c>
      <c r="E487" s="222" t="e">
        <f t="array" ref="E487">IF(F487="","",INDEX(#REF!,MATCH(F487,#REF!,0)))</f>
        <v>#REF!</v>
      </c>
      <c r="F487" s="222" t="s">
        <v>20</v>
      </c>
      <c r="G487" s="222" t="s">
        <v>4495</v>
      </c>
      <c r="H487" s="223">
        <v>1</v>
      </c>
      <c r="I487" s="222" t="s">
        <v>5916</v>
      </c>
      <c r="J487" s="222" t="s">
        <v>5917</v>
      </c>
      <c r="K487" s="222" t="s">
        <v>5918</v>
      </c>
      <c r="L487" s="222">
        <v>4673913777</v>
      </c>
      <c r="M487" s="222">
        <v>4494147862.6999998</v>
      </c>
      <c r="N487" s="222" t="s">
        <v>13</v>
      </c>
      <c r="O487" s="222" t="s">
        <v>9</v>
      </c>
      <c r="P487" s="224"/>
      <c r="Q487" s="224"/>
      <c r="R487" s="224"/>
      <c r="S487" s="224"/>
      <c r="T487" s="224"/>
      <c r="U487" s="224"/>
      <c r="V487" s="224"/>
      <c r="W487" s="224"/>
      <c r="X487" s="224"/>
      <c r="Y487" s="222">
        <v>3277719307.73</v>
      </c>
      <c r="Z487" s="222">
        <v>4494147862.6999998</v>
      </c>
      <c r="AA487" s="224"/>
      <c r="AB487" s="224"/>
      <c r="AC487" s="224"/>
      <c r="AD487" s="224"/>
      <c r="AE487" s="224"/>
      <c r="AF487" s="224"/>
      <c r="AG487" s="224"/>
      <c r="AH487" s="224"/>
      <c r="AI487" s="224"/>
      <c r="AJ487" s="126"/>
      <c r="AK487" s="126"/>
      <c r="AL487" s="126"/>
      <c r="AM487" s="126"/>
      <c r="AN487" s="126"/>
    </row>
    <row r="488" spans="1:40" ht="15.75" customHeight="1">
      <c r="A488" s="221">
        <f t="shared" si="2"/>
        <v>482</v>
      </c>
      <c r="B488" s="222" t="s">
        <v>5908</v>
      </c>
      <c r="C488" s="222" t="s">
        <v>5</v>
      </c>
      <c r="D488" s="222" t="e">
        <f t="array" ref="D488">IF(F488="","",INDEX(#REF!,MATCH(F488,#REF!,0)))</f>
        <v>#REF!</v>
      </c>
      <c r="E488" s="222" t="e">
        <f t="array" ref="E488">IF(F488="","",INDEX(#REF!,MATCH(F488,#REF!,0)))</f>
        <v>#REF!</v>
      </c>
      <c r="F488" s="222" t="s">
        <v>20</v>
      </c>
      <c r="G488" s="222" t="s">
        <v>4499</v>
      </c>
      <c r="H488" s="223">
        <v>1.1000000000000001</v>
      </c>
      <c r="I488" s="222" t="s">
        <v>5919</v>
      </c>
      <c r="J488" s="222" t="s">
        <v>5920</v>
      </c>
      <c r="K488" s="222" t="s">
        <v>5921</v>
      </c>
      <c r="L488" s="222">
        <v>395255.58</v>
      </c>
      <c r="M488" s="222">
        <v>482019</v>
      </c>
      <c r="N488" s="222" t="s">
        <v>11</v>
      </c>
      <c r="O488" s="222" t="s">
        <v>9</v>
      </c>
      <c r="P488" s="224">
        <v>138719347.5</v>
      </c>
      <c r="Q488" s="224">
        <v>27218992</v>
      </c>
      <c r="R488" s="224">
        <v>8084062.2100000009</v>
      </c>
      <c r="S488" s="224"/>
      <c r="T488" s="224">
        <v>3858072.7199999997</v>
      </c>
      <c r="U488" s="224"/>
      <c r="V488" s="224"/>
      <c r="W488" s="224"/>
      <c r="X488" s="224"/>
      <c r="Y488" s="222">
        <v>376948</v>
      </c>
      <c r="Z488" s="222">
        <v>482019</v>
      </c>
      <c r="AA488" s="224">
        <v>30795343.390000004</v>
      </c>
      <c r="AB488" s="224">
        <v>42643.78</v>
      </c>
      <c r="AC488" s="224">
        <v>1536669.15</v>
      </c>
      <c r="AD488" s="224"/>
      <c r="AE488" s="224">
        <v>0</v>
      </c>
      <c r="AF488" s="224"/>
      <c r="AG488" s="224"/>
      <c r="AH488" s="224"/>
      <c r="AI488" s="224"/>
      <c r="AJ488" s="126"/>
      <c r="AK488" s="126"/>
      <c r="AL488" s="126"/>
      <c r="AM488" s="126"/>
      <c r="AN488" s="126"/>
    </row>
    <row r="489" spans="1:40" ht="15.75" customHeight="1">
      <c r="A489" s="221">
        <f t="shared" si="2"/>
        <v>483</v>
      </c>
      <c r="B489" s="222" t="s">
        <v>5908</v>
      </c>
      <c r="C489" s="222" t="s">
        <v>5</v>
      </c>
      <c r="D489" s="222" t="e">
        <f t="array" ref="D489">IF(F489="","",INDEX(#REF!,MATCH(F489,#REF!,0)))</f>
        <v>#REF!</v>
      </c>
      <c r="E489" s="222" t="e">
        <f t="array" ref="E489">IF(F489="","",INDEX(#REF!,MATCH(F489,#REF!,0)))</f>
        <v>#REF!</v>
      </c>
      <c r="F489" s="222" t="s">
        <v>20</v>
      </c>
      <c r="G489" s="222" t="s">
        <v>4499</v>
      </c>
      <c r="H489" s="223">
        <v>1.2</v>
      </c>
      <c r="I489" s="222" t="s">
        <v>5922</v>
      </c>
      <c r="J489" s="222" t="s">
        <v>5923</v>
      </c>
      <c r="K489" s="222" t="s">
        <v>5924</v>
      </c>
      <c r="L489" s="222">
        <v>1101240166</v>
      </c>
      <c r="M489" s="222">
        <v>4404960662.1999998</v>
      </c>
      <c r="N489" s="222" t="s">
        <v>11</v>
      </c>
      <c r="O489" s="222" t="s">
        <v>4611</v>
      </c>
      <c r="P489" s="224"/>
      <c r="Q489" s="224">
        <v>0</v>
      </c>
      <c r="R489" s="224">
        <v>40542</v>
      </c>
      <c r="S489" s="224"/>
      <c r="T489" s="224">
        <v>20123.980000000003</v>
      </c>
      <c r="U489" s="224"/>
      <c r="V489" s="224"/>
      <c r="W489" s="224"/>
      <c r="X489" s="224"/>
      <c r="Y489" s="222">
        <v>3268848238.46</v>
      </c>
      <c r="Z489" s="222">
        <v>4404960662.1999998</v>
      </c>
      <c r="AA489" s="224"/>
      <c r="AB489" s="224">
        <v>0</v>
      </c>
      <c r="AC489" s="224">
        <v>40542</v>
      </c>
      <c r="AD489" s="224"/>
      <c r="AE489" s="224">
        <v>0</v>
      </c>
      <c r="AF489" s="224"/>
      <c r="AG489" s="224"/>
      <c r="AH489" s="224"/>
      <c r="AI489" s="224"/>
      <c r="AJ489" s="126"/>
      <c r="AK489" s="126"/>
      <c r="AL489" s="126"/>
      <c r="AM489" s="126"/>
      <c r="AN489" s="126"/>
    </row>
    <row r="490" spans="1:40" ht="15.75" customHeight="1">
      <c r="A490" s="221">
        <f t="shared" si="2"/>
        <v>484</v>
      </c>
      <c r="B490" s="222" t="s">
        <v>5908</v>
      </c>
      <c r="C490" s="222" t="s">
        <v>5</v>
      </c>
      <c r="D490" s="222" t="e">
        <f t="array" ref="D490">IF(F490="","",INDEX(#REF!,MATCH(F490,#REF!,0)))</f>
        <v>#REF!</v>
      </c>
      <c r="E490" s="222" t="e">
        <f t="array" ref="E490">IF(F490="","",INDEX(#REF!,MATCH(F490,#REF!,0)))</f>
        <v>#REF!</v>
      </c>
      <c r="F490" s="222" t="s">
        <v>20</v>
      </c>
      <c r="G490" s="222" t="s">
        <v>4495</v>
      </c>
      <c r="H490" s="223">
        <v>2</v>
      </c>
      <c r="I490" s="222" t="s">
        <v>5925</v>
      </c>
      <c r="J490" s="222" t="s">
        <v>5926</v>
      </c>
      <c r="K490" s="222" t="s">
        <v>5927</v>
      </c>
      <c r="L490" s="222">
        <v>1829.4</v>
      </c>
      <c r="M490" s="222">
        <v>3049</v>
      </c>
      <c r="N490" s="222" t="s">
        <v>13</v>
      </c>
      <c r="O490" s="222" t="s">
        <v>9</v>
      </c>
      <c r="P490" s="224"/>
      <c r="Q490" s="224"/>
      <c r="R490" s="224"/>
      <c r="S490" s="224"/>
      <c r="T490" s="224"/>
      <c r="U490" s="224"/>
      <c r="V490" s="224"/>
      <c r="W490" s="224"/>
      <c r="X490" s="224"/>
      <c r="Y490" s="222">
        <v>830</v>
      </c>
      <c r="Z490" s="222">
        <v>3049</v>
      </c>
      <c r="AA490" s="224"/>
      <c r="AB490" s="224"/>
      <c r="AC490" s="224"/>
      <c r="AD490" s="224"/>
      <c r="AE490" s="224"/>
      <c r="AF490" s="224"/>
      <c r="AG490" s="224"/>
      <c r="AH490" s="224"/>
      <c r="AI490" s="224"/>
      <c r="AJ490" s="126"/>
      <c r="AK490" s="126"/>
      <c r="AL490" s="126"/>
      <c r="AM490" s="126"/>
      <c r="AN490" s="126"/>
    </row>
    <row r="491" spans="1:40" ht="15.75" customHeight="1">
      <c r="A491" s="221">
        <f t="shared" si="2"/>
        <v>485</v>
      </c>
      <c r="B491" s="222" t="s">
        <v>5908</v>
      </c>
      <c r="C491" s="222" t="s">
        <v>5</v>
      </c>
      <c r="D491" s="222" t="e">
        <f t="array" ref="D491">IF(F491="","",INDEX(#REF!,MATCH(F491,#REF!,0)))</f>
        <v>#REF!</v>
      </c>
      <c r="E491" s="222" t="e">
        <f t="array" ref="E491">IF(F491="","",INDEX(#REF!,MATCH(F491,#REF!,0)))</f>
        <v>#REF!</v>
      </c>
      <c r="F491" s="222" t="s">
        <v>20</v>
      </c>
      <c r="G491" s="222" t="s">
        <v>4499</v>
      </c>
      <c r="H491" s="223">
        <v>2.1</v>
      </c>
      <c r="I491" s="222" t="s">
        <v>5928</v>
      </c>
      <c r="J491" s="222" t="s">
        <v>5929</v>
      </c>
      <c r="K491" s="222" t="s">
        <v>5930</v>
      </c>
      <c r="L491" s="222">
        <v>187380432.09999999</v>
      </c>
      <c r="M491" s="222">
        <v>9369021604.1000004</v>
      </c>
      <c r="N491" s="222" t="s">
        <v>11</v>
      </c>
      <c r="O491" s="222" t="s">
        <v>9</v>
      </c>
      <c r="P491" s="224">
        <v>7856601.4200000009</v>
      </c>
      <c r="Q491" s="224">
        <v>58500</v>
      </c>
      <c r="R491" s="224">
        <v>80941147.670000002</v>
      </c>
      <c r="S491" s="224"/>
      <c r="T491" s="224">
        <v>137500</v>
      </c>
      <c r="U491" s="224"/>
      <c r="V491" s="224"/>
      <c r="W491" s="224"/>
      <c r="X491" s="224"/>
      <c r="Y491" s="222">
        <v>58735114.019999996</v>
      </c>
      <c r="Z491" s="222">
        <v>9369021604.1000004</v>
      </c>
      <c r="AA491" s="224">
        <v>4781230.8499999996</v>
      </c>
      <c r="AB491" s="224">
        <v>2900</v>
      </c>
      <c r="AC491" s="224">
        <v>7557905.5599999996</v>
      </c>
      <c r="AD491" s="224"/>
      <c r="AE491" s="224">
        <v>0</v>
      </c>
      <c r="AF491" s="224"/>
      <c r="AG491" s="224"/>
      <c r="AH491" s="224"/>
      <c r="AI491" s="224"/>
      <c r="AJ491" s="126"/>
      <c r="AK491" s="126"/>
      <c r="AL491" s="126"/>
      <c r="AM491" s="126"/>
      <c r="AN491" s="126"/>
    </row>
    <row r="492" spans="1:40" ht="15.75" customHeight="1">
      <c r="A492" s="221">
        <f t="shared" si="2"/>
        <v>486</v>
      </c>
      <c r="B492" s="222" t="s">
        <v>5908</v>
      </c>
      <c r="C492" s="222" t="s">
        <v>5</v>
      </c>
      <c r="D492" s="222" t="e">
        <f t="array" ref="D492">IF(F492="","",INDEX(#REF!,MATCH(F492,#REF!,0)))</f>
        <v>#REF!</v>
      </c>
      <c r="E492" s="222" t="e">
        <f t="array" ref="E492">IF(F492="","",INDEX(#REF!,MATCH(F492,#REF!,0)))</f>
        <v>#REF!</v>
      </c>
      <c r="F492" s="222" t="s">
        <v>20</v>
      </c>
      <c r="G492" s="222" t="s">
        <v>4499</v>
      </c>
      <c r="H492" s="223">
        <v>2.2000000000000002</v>
      </c>
      <c r="I492" s="222" t="s">
        <v>5931</v>
      </c>
      <c r="J492" s="222" t="s">
        <v>5932</v>
      </c>
      <c r="K492" s="222" t="s">
        <v>5933</v>
      </c>
      <c r="L492" s="222">
        <v>56.32</v>
      </c>
      <c r="M492" s="222">
        <v>352</v>
      </c>
      <c r="N492" s="222" t="s">
        <v>11</v>
      </c>
      <c r="O492" s="222" t="s">
        <v>9</v>
      </c>
      <c r="P492" s="224"/>
      <c r="Q492" s="224">
        <v>0</v>
      </c>
      <c r="R492" s="224">
        <v>100000000</v>
      </c>
      <c r="S492" s="224"/>
      <c r="T492" s="224"/>
      <c r="U492" s="224"/>
      <c r="V492" s="224"/>
      <c r="W492" s="224"/>
      <c r="X492" s="224"/>
      <c r="Y492" s="222">
        <v>60</v>
      </c>
      <c r="Z492" s="222">
        <v>352</v>
      </c>
      <c r="AA492" s="224"/>
      <c r="AB492" s="224">
        <v>0</v>
      </c>
      <c r="AC492" s="224">
        <v>72981763.069999993</v>
      </c>
      <c r="AD492" s="224"/>
      <c r="AE492" s="224"/>
      <c r="AF492" s="224"/>
      <c r="AG492" s="224"/>
      <c r="AH492" s="224"/>
      <c r="AI492" s="224"/>
      <c r="AJ492" s="126"/>
      <c r="AK492" s="126"/>
      <c r="AL492" s="126"/>
      <c r="AM492" s="126"/>
      <c r="AN492" s="126"/>
    </row>
    <row r="493" spans="1:40" ht="15.75" customHeight="1">
      <c r="A493" s="221">
        <f t="shared" si="2"/>
        <v>487</v>
      </c>
      <c r="B493" s="222" t="s">
        <v>5908</v>
      </c>
      <c r="C493" s="222" t="s">
        <v>5</v>
      </c>
      <c r="D493" s="222" t="e">
        <f t="array" ref="D493">IF(F493="","",INDEX(#REF!,MATCH(F493,#REF!,0)))</f>
        <v>#REF!</v>
      </c>
      <c r="E493" s="222" t="e">
        <f t="array" ref="E493">IF(F493="","",INDEX(#REF!,MATCH(F493,#REF!,0)))</f>
        <v>#REF!</v>
      </c>
      <c r="F493" s="222" t="s">
        <v>20</v>
      </c>
      <c r="G493" s="222" t="s">
        <v>4499</v>
      </c>
      <c r="H493" s="223">
        <v>2.2999999999999998</v>
      </c>
      <c r="I493" s="222" t="s">
        <v>5934</v>
      </c>
      <c r="J493" s="222" t="s">
        <v>5935</v>
      </c>
      <c r="K493" s="222" t="s">
        <v>5936</v>
      </c>
      <c r="L493" s="222">
        <v>272.16000000000003</v>
      </c>
      <c r="M493" s="222">
        <v>324</v>
      </c>
      <c r="N493" s="222" t="s">
        <v>11</v>
      </c>
      <c r="O493" s="222" t="s">
        <v>9</v>
      </c>
      <c r="P493" s="224"/>
      <c r="Q493" s="224">
        <v>0</v>
      </c>
      <c r="R493" s="224">
        <v>5000000</v>
      </c>
      <c r="S493" s="224"/>
      <c r="T493" s="224">
        <v>217500</v>
      </c>
      <c r="U493" s="224"/>
      <c r="V493" s="224"/>
      <c r="W493" s="224"/>
      <c r="X493" s="224"/>
      <c r="Y493" s="222">
        <v>163</v>
      </c>
      <c r="Z493" s="222">
        <v>324</v>
      </c>
      <c r="AA493" s="224"/>
      <c r="AB493" s="224">
        <v>0</v>
      </c>
      <c r="AC493" s="224">
        <v>2736199.5300000003</v>
      </c>
      <c r="AD493" s="224"/>
      <c r="AE493" s="224">
        <v>0</v>
      </c>
      <c r="AF493" s="224"/>
      <c r="AG493" s="224"/>
      <c r="AH493" s="224"/>
      <c r="AI493" s="224"/>
      <c r="AJ493" s="126"/>
      <c r="AK493" s="126"/>
      <c r="AL493" s="126"/>
      <c r="AM493" s="126"/>
      <c r="AN493" s="126"/>
    </row>
    <row r="494" spans="1:40" ht="15.75" customHeight="1">
      <c r="A494" s="221">
        <f t="shared" si="2"/>
        <v>488</v>
      </c>
      <c r="B494" s="222" t="s">
        <v>5908</v>
      </c>
      <c r="C494" s="222" t="s">
        <v>5</v>
      </c>
      <c r="D494" s="222" t="e">
        <f t="array" ref="D494">IF(F494="","",INDEX(#REF!,MATCH(F494,#REF!,0)))</f>
        <v>#REF!</v>
      </c>
      <c r="E494" s="222" t="e">
        <f t="array" ref="E494">IF(F494="","",INDEX(#REF!,MATCH(F494,#REF!,0)))</f>
        <v>#REF!</v>
      </c>
      <c r="F494" s="222" t="s">
        <v>20</v>
      </c>
      <c r="G494" s="222" t="s">
        <v>4495</v>
      </c>
      <c r="H494" s="223">
        <v>3</v>
      </c>
      <c r="I494" s="222" t="s">
        <v>5937</v>
      </c>
      <c r="J494" s="222" t="s">
        <v>5938</v>
      </c>
      <c r="K494" s="222" t="s">
        <v>5939</v>
      </c>
      <c r="L494" s="222">
        <v>36698760.890000001</v>
      </c>
      <c r="M494" s="222">
        <v>39461033.210000001</v>
      </c>
      <c r="N494" s="222" t="s">
        <v>13</v>
      </c>
      <c r="O494" s="222" t="s">
        <v>9</v>
      </c>
      <c r="P494" s="224"/>
      <c r="Q494" s="224"/>
      <c r="R494" s="224"/>
      <c r="S494" s="224"/>
      <c r="T494" s="224"/>
      <c r="U494" s="224"/>
      <c r="V494" s="224"/>
      <c r="W494" s="224"/>
      <c r="X494" s="224"/>
      <c r="Y494" s="222">
        <v>0</v>
      </c>
      <c r="Z494" s="222">
        <v>39461033.210000001</v>
      </c>
      <c r="AA494" s="224"/>
      <c r="AB494" s="224"/>
      <c r="AC494" s="224"/>
      <c r="AD494" s="224"/>
      <c r="AE494" s="224"/>
      <c r="AF494" s="224"/>
      <c r="AG494" s="224"/>
      <c r="AH494" s="224"/>
      <c r="AI494" s="224"/>
      <c r="AJ494" s="126"/>
      <c r="AK494" s="126"/>
      <c r="AL494" s="126"/>
      <c r="AM494" s="126"/>
      <c r="AN494" s="126"/>
    </row>
    <row r="495" spans="1:40" ht="15.75" customHeight="1">
      <c r="A495" s="221">
        <f t="shared" si="2"/>
        <v>489</v>
      </c>
      <c r="B495" s="222" t="s">
        <v>5908</v>
      </c>
      <c r="C495" s="222" t="s">
        <v>5</v>
      </c>
      <c r="D495" s="222" t="e">
        <f t="array" ref="D495">IF(F495="","",INDEX(#REF!,MATCH(F495,#REF!,0)))</f>
        <v>#REF!</v>
      </c>
      <c r="E495" s="222" t="e">
        <f t="array" ref="E495">IF(F495="","",INDEX(#REF!,MATCH(F495,#REF!,0)))</f>
        <v>#REF!</v>
      </c>
      <c r="F495" s="222" t="s">
        <v>20</v>
      </c>
      <c r="G495" s="222" t="s">
        <v>4499</v>
      </c>
      <c r="H495" s="223">
        <v>3.1</v>
      </c>
      <c r="I495" s="222" t="s">
        <v>5940</v>
      </c>
      <c r="J495" s="222" t="s">
        <v>5941</v>
      </c>
      <c r="K495" s="222" t="s">
        <v>5942</v>
      </c>
      <c r="L495" s="222">
        <v>16.12</v>
      </c>
      <c r="M495" s="222">
        <v>26</v>
      </c>
      <c r="N495" s="222" t="s">
        <v>11</v>
      </c>
      <c r="O495" s="222" t="s">
        <v>9</v>
      </c>
      <c r="P495" s="224">
        <v>26027356.139999997</v>
      </c>
      <c r="Q495" s="224">
        <v>199546.19</v>
      </c>
      <c r="R495" s="224">
        <v>1607000</v>
      </c>
      <c r="S495" s="224"/>
      <c r="T495" s="224">
        <v>21697210.920000002</v>
      </c>
      <c r="U495" s="224"/>
      <c r="V495" s="224"/>
      <c r="W495" s="224"/>
      <c r="X495" s="224"/>
      <c r="Y495" s="222">
        <v>7</v>
      </c>
      <c r="Z495" s="222">
        <v>26</v>
      </c>
      <c r="AA495" s="224">
        <v>7693227.3900000015</v>
      </c>
      <c r="AB495" s="224">
        <v>9820.31</v>
      </c>
      <c r="AC495" s="224">
        <v>78985.679999999993</v>
      </c>
      <c r="AD495" s="224"/>
      <c r="AE495" s="224">
        <v>12281496.9</v>
      </c>
      <c r="AF495" s="224"/>
      <c r="AG495" s="224"/>
      <c r="AH495" s="224"/>
      <c r="AI495" s="224"/>
      <c r="AJ495" s="126"/>
      <c r="AK495" s="126"/>
      <c r="AL495" s="126"/>
      <c r="AM495" s="126"/>
      <c r="AN495" s="126"/>
    </row>
    <row r="496" spans="1:40" ht="15.75" customHeight="1">
      <c r="A496" s="221">
        <f t="shared" si="2"/>
        <v>490</v>
      </c>
      <c r="B496" s="222" t="s">
        <v>5908</v>
      </c>
      <c r="C496" s="222" t="s">
        <v>5</v>
      </c>
      <c r="D496" s="222" t="e">
        <f t="array" ref="D496">IF(F496="","",INDEX(#REF!,MATCH(F496,#REF!,0)))</f>
        <v>#REF!</v>
      </c>
      <c r="E496" s="222" t="e">
        <f t="array" ref="E496">IF(F496="","",INDEX(#REF!,MATCH(F496,#REF!,0)))</f>
        <v>#REF!</v>
      </c>
      <c r="F496" s="222" t="s">
        <v>20</v>
      </c>
      <c r="G496" s="222" t="s">
        <v>4495</v>
      </c>
      <c r="H496" s="223">
        <v>4</v>
      </c>
      <c r="I496" s="222" t="s">
        <v>5943</v>
      </c>
      <c r="J496" s="222" t="s">
        <v>5944</v>
      </c>
      <c r="K496" s="222" t="s">
        <v>5945</v>
      </c>
      <c r="L496" s="222">
        <v>0</v>
      </c>
      <c r="M496" s="222">
        <v>2</v>
      </c>
      <c r="N496" s="222" t="s">
        <v>13</v>
      </c>
      <c r="O496" s="222" t="s">
        <v>9</v>
      </c>
      <c r="P496" s="224"/>
      <c r="Q496" s="224"/>
      <c r="R496" s="224"/>
      <c r="S496" s="224"/>
      <c r="T496" s="224"/>
      <c r="U496" s="224"/>
      <c r="V496" s="224"/>
      <c r="W496" s="224"/>
      <c r="X496" s="224"/>
      <c r="Y496" s="222">
        <v>2</v>
      </c>
      <c r="Z496" s="222">
        <v>2</v>
      </c>
      <c r="AA496" s="224"/>
      <c r="AB496" s="224"/>
      <c r="AC496" s="224"/>
      <c r="AD496" s="224"/>
      <c r="AE496" s="224"/>
      <c r="AF496" s="224"/>
      <c r="AG496" s="224"/>
      <c r="AH496" s="224"/>
      <c r="AI496" s="224"/>
      <c r="AJ496" s="126"/>
      <c r="AK496" s="126"/>
      <c r="AL496" s="126"/>
      <c r="AM496" s="126"/>
      <c r="AN496" s="126"/>
    </row>
    <row r="497" spans="1:40" ht="15.75" customHeight="1">
      <c r="A497" s="221">
        <f t="shared" si="2"/>
        <v>491</v>
      </c>
      <c r="B497" s="222" t="s">
        <v>5908</v>
      </c>
      <c r="C497" s="222" t="s">
        <v>5</v>
      </c>
      <c r="D497" s="222" t="e">
        <f t="array" ref="D497">IF(F497="","",INDEX(#REF!,MATCH(F497,#REF!,0)))</f>
        <v>#REF!</v>
      </c>
      <c r="E497" s="222" t="e">
        <f t="array" ref="E497">IF(F497="","",INDEX(#REF!,MATCH(F497,#REF!,0)))</f>
        <v>#REF!</v>
      </c>
      <c r="F497" s="222" t="s">
        <v>20</v>
      </c>
      <c r="G497" s="222" t="s">
        <v>4499</v>
      </c>
      <c r="H497" s="223">
        <v>4.0999999999999996</v>
      </c>
      <c r="I497" s="222" t="s">
        <v>5946</v>
      </c>
      <c r="J497" s="222" t="s">
        <v>5947</v>
      </c>
      <c r="K497" s="222" t="s">
        <v>5948</v>
      </c>
      <c r="L497" s="222">
        <v>502876.4</v>
      </c>
      <c r="M497" s="222">
        <v>483535</v>
      </c>
      <c r="N497" s="222" t="s">
        <v>11</v>
      </c>
      <c r="O497" s="222" t="s">
        <v>9</v>
      </c>
      <c r="P497" s="224">
        <v>16862996.490000002</v>
      </c>
      <c r="Q497" s="224">
        <v>15733.119999999995</v>
      </c>
      <c r="R497" s="224">
        <v>21874000</v>
      </c>
      <c r="S497" s="224"/>
      <c r="T497" s="224">
        <v>1300000</v>
      </c>
      <c r="U497" s="224"/>
      <c r="V497" s="224"/>
      <c r="W497" s="224"/>
      <c r="X497" s="224"/>
      <c r="Y497" s="222">
        <v>976222</v>
      </c>
      <c r="Z497" s="222">
        <v>483535</v>
      </c>
      <c r="AA497" s="224">
        <v>10185444.15</v>
      </c>
      <c r="AB497" s="224">
        <v>733.12</v>
      </c>
      <c r="AC497" s="224">
        <v>1763.2</v>
      </c>
      <c r="AD497" s="224"/>
      <c r="AE497" s="224">
        <v>0</v>
      </c>
      <c r="AF497" s="224"/>
      <c r="AG497" s="224"/>
      <c r="AH497" s="224"/>
      <c r="AI497" s="224"/>
      <c r="AJ497" s="126"/>
      <c r="AK497" s="126"/>
      <c r="AL497" s="126"/>
      <c r="AM497" s="126"/>
      <c r="AN497" s="126"/>
    </row>
    <row r="498" spans="1:40" ht="15.75" customHeight="1">
      <c r="A498" s="221">
        <f t="shared" si="2"/>
        <v>492</v>
      </c>
      <c r="B498" s="222" t="s">
        <v>5908</v>
      </c>
      <c r="C498" s="222" t="s">
        <v>5</v>
      </c>
      <c r="D498" s="222" t="e">
        <f t="array" ref="D498">IF(F498="","",INDEX(#REF!,MATCH(F498,#REF!,0)))</f>
        <v>#REF!</v>
      </c>
      <c r="E498" s="222" t="e">
        <f t="array" ref="E498">IF(F498="","",INDEX(#REF!,MATCH(F498,#REF!,0)))</f>
        <v>#REF!</v>
      </c>
      <c r="F498" s="222" t="s">
        <v>20</v>
      </c>
      <c r="G498" s="222" t="s">
        <v>4499</v>
      </c>
      <c r="H498" s="223">
        <v>4.2</v>
      </c>
      <c r="I498" s="222" t="s">
        <v>5949</v>
      </c>
      <c r="J498" s="222" t="s">
        <v>5950</v>
      </c>
      <c r="K498" s="222" t="s">
        <v>5951</v>
      </c>
      <c r="L498" s="222">
        <v>14767.92</v>
      </c>
      <c r="M498" s="222">
        <v>11448</v>
      </c>
      <c r="N498" s="222" t="s">
        <v>11</v>
      </c>
      <c r="O498" s="222" t="s">
        <v>9</v>
      </c>
      <c r="P498" s="224"/>
      <c r="Q498" s="224">
        <v>43500</v>
      </c>
      <c r="R498" s="224">
        <v>0</v>
      </c>
      <c r="S498" s="224"/>
      <c r="T498" s="224">
        <v>20000</v>
      </c>
      <c r="U498" s="224"/>
      <c r="V498" s="224"/>
      <c r="W498" s="224"/>
      <c r="X498" s="224"/>
      <c r="Y498" s="222">
        <v>8280</v>
      </c>
      <c r="Z498" s="222">
        <v>11448</v>
      </c>
      <c r="AA498" s="224"/>
      <c r="AB498" s="224">
        <v>1756.99</v>
      </c>
      <c r="AC498" s="224">
        <v>0</v>
      </c>
      <c r="AD498" s="224"/>
      <c r="AE498" s="224">
        <v>0</v>
      </c>
      <c r="AF498" s="224"/>
      <c r="AG498" s="224"/>
      <c r="AH498" s="224"/>
      <c r="AI498" s="224"/>
      <c r="AJ498" s="126"/>
      <c r="AK498" s="126"/>
      <c r="AL498" s="126"/>
      <c r="AM498" s="126"/>
      <c r="AN498" s="126"/>
    </row>
    <row r="499" spans="1:40" ht="15.75" customHeight="1">
      <c r="A499" s="221">
        <f t="shared" si="2"/>
        <v>493</v>
      </c>
      <c r="B499" s="222" t="s">
        <v>5952</v>
      </c>
      <c r="C499" s="222" t="s">
        <v>5</v>
      </c>
      <c r="D499" s="222" t="e">
        <f t="array" ref="D499">IF(F499="","",INDEX(#REF!,MATCH(F499,#REF!,0)))</f>
        <v>#REF!</v>
      </c>
      <c r="E499" s="222" t="e">
        <f t="array" ref="E499">IF(F499="","",INDEX(#REF!,MATCH(F499,#REF!,0)))</f>
        <v>#REF!</v>
      </c>
      <c r="F499" s="222" t="s">
        <v>20</v>
      </c>
      <c r="G499" s="222" t="s">
        <v>0</v>
      </c>
      <c r="H499" s="223" t="s">
        <v>4487</v>
      </c>
      <c r="I499" s="222" t="s">
        <v>5953</v>
      </c>
      <c r="J499" s="222" t="s">
        <v>5954</v>
      </c>
      <c r="K499" s="222" t="s">
        <v>5911</v>
      </c>
      <c r="L499" s="222" t="s">
        <v>5912</v>
      </c>
      <c r="M499" s="222" t="s">
        <v>5912</v>
      </c>
      <c r="N499" s="222" t="s">
        <v>15</v>
      </c>
      <c r="O499" s="222" t="s">
        <v>4490</v>
      </c>
      <c r="P499" s="224"/>
      <c r="Q499" s="224"/>
      <c r="R499" s="224"/>
      <c r="S499" s="224"/>
      <c r="T499" s="224"/>
      <c r="U499" s="224"/>
      <c r="V499" s="224"/>
      <c r="W499" s="224"/>
      <c r="X499" s="224"/>
      <c r="Y499" s="222" t="s">
        <v>5912</v>
      </c>
      <c r="Z499" s="222" t="s">
        <v>5912</v>
      </c>
      <c r="AA499" s="224"/>
      <c r="AB499" s="224"/>
      <c r="AC499" s="224"/>
      <c r="AD499" s="224"/>
      <c r="AE499" s="224"/>
      <c r="AF499" s="224"/>
      <c r="AG499" s="224"/>
      <c r="AH499" s="224"/>
      <c r="AI499" s="224"/>
      <c r="AJ499" s="126"/>
      <c r="AK499" s="126"/>
      <c r="AL499" s="126"/>
      <c r="AM499" s="126"/>
      <c r="AN499" s="126"/>
    </row>
    <row r="500" spans="1:40" ht="15.75" customHeight="1">
      <c r="A500" s="221">
        <f t="shared" si="2"/>
        <v>494</v>
      </c>
      <c r="B500" s="222" t="s">
        <v>5952</v>
      </c>
      <c r="C500" s="222" t="s">
        <v>5</v>
      </c>
      <c r="D500" s="222" t="e">
        <f t="array" ref="D500">IF(F500="","",INDEX(#REF!,MATCH(F500,#REF!,0)))</f>
        <v>#REF!</v>
      </c>
      <c r="E500" s="222" t="e">
        <f t="array" ref="E500">IF(F500="","",INDEX(#REF!,MATCH(F500,#REF!,0)))</f>
        <v>#REF!</v>
      </c>
      <c r="F500" s="222" t="s">
        <v>20</v>
      </c>
      <c r="G500" s="222" t="s">
        <v>4491</v>
      </c>
      <c r="H500" s="223" t="s">
        <v>4487</v>
      </c>
      <c r="I500" s="222" t="s">
        <v>5955</v>
      </c>
      <c r="J500" s="222" t="s">
        <v>5956</v>
      </c>
      <c r="K500" s="222" t="s">
        <v>5957</v>
      </c>
      <c r="L500" s="222">
        <v>0</v>
      </c>
      <c r="M500" s="222">
        <v>1</v>
      </c>
      <c r="N500" s="222" t="s">
        <v>15</v>
      </c>
      <c r="O500" s="222" t="s">
        <v>4611</v>
      </c>
      <c r="P500" s="224"/>
      <c r="Q500" s="224"/>
      <c r="R500" s="224"/>
      <c r="S500" s="224"/>
      <c r="T500" s="224"/>
      <c r="U500" s="224"/>
      <c r="V500" s="224"/>
      <c r="W500" s="224"/>
      <c r="X500" s="224"/>
      <c r="Y500" s="222">
        <v>0</v>
      </c>
      <c r="Z500" s="222">
        <v>1</v>
      </c>
      <c r="AA500" s="224"/>
      <c r="AB500" s="224"/>
      <c r="AC500" s="224"/>
      <c r="AD500" s="224"/>
      <c r="AE500" s="224"/>
      <c r="AF500" s="224"/>
      <c r="AG500" s="224"/>
      <c r="AH500" s="224"/>
      <c r="AI500" s="224"/>
      <c r="AJ500" s="126"/>
      <c r="AK500" s="126"/>
      <c r="AL500" s="126"/>
      <c r="AM500" s="126"/>
      <c r="AN500" s="126"/>
    </row>
    <row r="501" spans="1:40" ht="15.75" customHeight="1">
      <c r="A501" s="221">
        <f t="shared" si="2"/>
        <v>495</v>
      </c>
      <c r="B501" s="222" t="s">
        <v>5952</v>
      </c>
      <c r="C501" s="222" t="s">
        <v>5</v>
      </c>
      <c r="D501" s="222" t="e">
        <f t="array" ref="D501">IF(F501="","",INDEX(#REF!,MATCH(F501,#REF!,0)))</f>
        <v>#REF!</v>
      </c>
      <c r="E501" s="222" t="e">
        <f t="array" ref="E501">IF(F501="","",INDEX(#REF!,MATCH(F501,#REF!,0)))</f>
        <v>#REF!</v>
      </c>
      <c r="F501" s="222" t="s">
        <v>20</v>
      </c>
      <c r="G501" s="222" t="s">
        <v>4495</v>
      </c>
      <c r="H501" s="223">
        <v>1</v>
      </c>
      <c r="I501" s="222" t="s">
        <v>5958</v>
      </c>
      <c r="J501" s="222" t="s">
        <v>5959</v>
      </c>
      <c r="K501" s="222" t="s">
        <v>5960</v>
      </c>
      <c r="L501" s="222">
        <v>0</v>
      </c>
      <c r="M501" s="222">
        <v>0</v>
      </c>
      <c r="N501" s="222" t="s">
        <v>15</v>
      </c>
      <c r="O501" s="222" t="s">
        <v>4490</v>
      </c>
      <c r="P501" s="224"/>
      <c r="Q501" s="224"/>
      <c r="R501" s="224"/>
      <c r="S501" s="224"/>
      <c r="T501" s="224"/>
      <c r="U501" s="224"/>
      <c r="V501" s="224"/>
      <c r="W501" s="224"/>
      <c r="X501" s="224"/>
      <c r="Y501" s="222">
        <v>0</v>
      </c>
      <c r="Z501" s="222">
        <v>0</v>
      </c>
      <c r="AA501" s="224"/>
      <c r="AB501" s="224"/>
      <c r="AC501" s="224"/>
      <c r="AD501" s="224"/>
      <c r="AE501" s="224"/>
      <c r="AF501" s="224"/>
      <c r="AG501" s="224"/>
      <c r="AH501" s="224"/>
      <c r="AI501" s="224"/>
      <c r="AJ501" s="126"/>
      <c r="AK501" s="126"/>
      <c r="AL501" s="126"/>
      <c r="AM501" s="126"/>
      <c r="AN501" s="126"/>
    </row>
    <row r="502" spans="1:40" ht="15.75" customHeight="1">
      <c r="A502" s="221">
        <f t="shared" si="2"/>
        <v>496</v>
      </c>
      <c r="B502" s="222" t="s">
        <v>5952</v>
      </c>
      <c r="C502" s="222" t="s">
        <v>5</v>
      </c>
      <c r="D502" s="222" t="e">
        <f t="array" ref="D502">IF(F502="","",INDEX(#REF!,MATCH(F502,#REF!,0)))</f>
        <v>#REF!</v>
      </c>
      <c r="E502" s="222" t="e">
        <f t="array" ref="E502">IF(F502="","",INDEX(#REF!,MATCH(F502,#REF!,0)))</f>
        <v>#REF!</v>
      </c>
      <c r="F502" s="222" t="s">
        <v>20</v>
      </c>
      <c r="G502" s="222" t="s">
        <v>4499</v>
      </c>
      <c r="H502" s="223">
        <v>1.1000000000000001</v>
      </c>
      <c r="I502" s="222" t="s">
        <v>5961</v>
      </c>
      <c r="J502" s="222" t="s">
        <v>5962</v>
      </c>
      <c r="K502" s="222" t="s">
        <v>5963</v>
      </c>
      <c r="L502" s="222">
        <v>32</v>
      </c>
      <c r="M502" s="222">
        <v>32</v>
      </c>
      <c r="N502" s="222" t="s">
        <v>15</v>
      </c>
      <c r="O502" s="222" t="s">
        <v>9</v>
      </c>
      <c r="P502" s="224">
        <v>3232999.6600000006</v>
      </c>
      <c r="Q502" s="224">
        <v>2480.4899999999998</v>
      </c>
      <c r="R502" s="224">
        <v>3732110</v>
      </c>
      <c r="S502" s="224">
        <v>139000000</v>
      </c>
      <c r="T502" s="224">
        <v>47000</v>
      </c>
      <c r="U502" s="224"/>
      <c r="V502" s="224">
        <v>0</v>
      </c>
      <c r="W502" s="224"/>
      <c r="X502" s="224">
        <v>707000</v>
      </c>
      <c r="Y502" s="222">
        <v>32</v>
      </c>
      <c r="Z502" s="222">
        <v>32</v>
      </c>
      <c r="AA502" s="224">
        <v>1703518.6</v>
      </c>
      <c r="AB502" s="224">
        <v>0</v>
      </c>
      <c r="AC502" s="224">
        <v>928.7</v>
      </c>
      <c r="AD502" s="224">
        <v>101785446.58</v>
      </c>
      <c r="AE502" s="224">
        <v>0</v>
      </c>
      <c r="AF502" s="224"/>
      <c r="AG502" s="224">
        <v>0</v>
      </c>
      <c r="AH502" s="224"/>
      <c r="AI502" s="224">
        <v>416416.88</v>
      </c>
      <c r="AJ502" s="126"/>
      <c r="AK502" s="126"/>
      <c r="AL502" s="126"/>
      <c r="AM502" s="126"/>
      <c r="AN502" s="126"/>
    </row>
    <row r="503" spans="1:40" ht="15.75" customHeight="1">
      <c r="A503" s="221">
        <f t="shared" si="2"/>
        <v>497</v>
      </c>
      <c r="B503" s="222" t="s">
        <v>5952</v>
      </c>
      <c r="C503" s="222" t="s">
        <v>5</v>
      </c>
      <c r="D503" s="222" t="e">
        <f t="array" ref="D503">IF(F503="","",INDEX(#REF!,MATCH(F503,#REF!,0)))</f>
        <v>#REF!</v>
      </c>
      <c r="E503" s="222" t="e">
        <f t="array" ref="E503">IF(F503="","",INDEX(#REF!,MATCH(F503,#REF!,0)))</f>
        <v>#REF!</v>
      </c>
      <c r="F503" s="222" t="s">
        <v>20</v>
      </c>
      <c r="G503" s="222" t="s">
        <v>4499</v>
      </c>
      <c r="H503" s="223">
        <v>1.2</v>
      </c>
      <c r="I503" s="222" t="s">
        <v>5964</v>
      </c>
      <c r="J503" s="222" t="s">
        <v>5965</v>
      </c>
      <c r="K503" s="222" t="s">
        <v>5966</v>
      </c>
      <c r="L503" s="222">
        <v>200</v>
      </c>
      <c r="M503" s="222">
        <v>200</v>
      </c>
      <c r="N503" s="222" t="s">
        <v>15</v>
      </c>
      <c r="O503" s="222" t="s">
        <v>9</v>
      </c>
      <c r="P503" s="224"/>
      <c r="Q503" s="224">
        <v>9799.35</v>
      </c>
      <c r="R503" s="224">
        <v>51775.359999999986</v>
      </c>
      <c r="S503" s="224"/>
      <c r="T503" s="224"/>
      <c r="U503" s="224"/>
      <c r="V503" s="224"/>
      <c r="W503" s="224"/>
      <c r="X503" s="224"/>
      <c r="Y503" s="222">
        <v>0</v>
      </c>
      <c r="Z503" s="222">
        <v>200</v>
      </c>
      <c r="AA503" s="224"/>
      <c r="AB503" s="224">
        <v>0</v>
      </c>
      <c r="AC503" s="224">
        <v>9000</v>
      </c>
      <c r="AD503" s="224"/>
      <c r="AE503" s="224"/>
      <c r="AF503" s="224"/>
      <c r="AG503" s="224"/>
      <c r="AH503" s="224"/>
      <c r="AI503" s="224"/>
      <c r="AJ503" s="126"/>
      <c r="AK503" s="126"/>
      <c r="AL503" s="126"/>
      <c r="AM503" s="126"/>
      <c r="AN503" s="126"/>
    </row>
    <row r="504" spans="1:40" ht="15.75" customHeight="1">
      <c r="A504" s="221">
        <f t="shared" si="2"/>
        <v>498</v>
      </c>
      <c r="B504" s="222" t="s">
        <v>5952</v>
      </c>
      <c r="C504" s="222" t="s">
        <v>5</v>
      </c>
      <c r="D504" s="222" t="e">
        <f t="array" ref="D504">IF(F504="","",INDEX(#REF!,MATCH(F504,#REF!,0)))</f>
        <v>#REF!</v>
      </c>
      <c r="E504" s="222" t="e">
        <f t="array" ref="E504">IF(F504="","",INDEX(#REF!,MATCH(F504,#REF!,0)))</f>
        <v>#REF!</v>
      </c>
      <c r="F504" s="222" t="s">
        <v>20</v>
      </c>
      <c r="G504" s="222" t="s">
        <v>4499</v>
      </c>
      <c r="H504" s="223">
        <v>1.3</v>
      </c>
      <c r="I504" s="222" t="s">
        <v>5967</v>
      </c>
      <c r="J504" s="222" t="s">
        <v>5968</v>
      </c>
      <c r="K504" s="222" t="s">
        <v>5969</v>
      </c>
      <c r="L504" s="222">
        <v>1208177288</v>
      </c>
      <c r="M504" s="222">
        <v>10983429892</v>
      </c>
      <c r="N504" s="222" t="s">
        <v>15</v>
      </c>
      <c r="O504" s="222" t="s">
        <v>9</v>
      </c>
      <c r="P504" s="224"/>
      <c r="Q504" s="224"/>
      <c r="R504" s="224">
        <v>50000</v>
      </c>
      <c r="S504" s="224"/>
      <c r="T504" s="224"/>
      <c r="U504" s="224"/>
      <c r="V504" s="224"/>
      <c r="W504" s="224"/>
      <c r="X504" s="224">
        <v>558053484.03999996</v>
      </c>
      <c r="Y504" s="222">
        <v>1377738973.5</v>
      </c>
      <c r="Z504" s="222">
        <v>10983429892</v>
      </c>
      <c r="AA504" s="224"/>
      <c r="AB504" s="224"/>
      <c r="AC504" s="224">
        <v>0</v>
      </c>
      <c r="AD504" s="224"/>
      <c r="AE504" s="224"/>
      <c r="AF504" s="224"/>
      <c r="AG504" s="224"/>
      <c r="AH504" s="224"/>
      <c r="AI504" s="224">
        <v>263466105.49000001</v>
      </c>
      <c r="AJ504" s="126"/>
      <c r="AK504" s="126"/>
      <c r="AL504" s="126"/>
      <c r="AM504" s="126"/>
      <c r="AN504" s="126"/>
    </row>
    <row r="505" spans="1:40" ht="15.75" customHeight="1">
      <c r="A505" s="221">
        <f t="shared" si="2"/>
        <v>499</v>
      </c>
      <c r="B505" s="222" t="s">
        <v>5952</v>
      </c>
      <c r="C505" s="222" t="s">
        <v>5</v>
      </c>
      <c r="D505" s="222" t="e">
        <f t="array" ref="D505">IF(F505="","",INDEX(#REF!,MATCH(F505,#REF!,0)))</f>
        <v>#REF!</v>
      </c>
      <c r="E505" s="222" t="e">
        <f t="array" ref="E505">IF(F505="","",INDEX(#REF!,MATCH(F505,#REF!,0)))</f>
        <v>#REF!</v>
      </c>
      <c r="F505" s="222" t="s">
        <v>20</v>
      </c>
      <c r="G505" s="222" t="s">
        <v>4499</v>
      </c>
      <c r="H505" s="223">
        <v>1.4</v>
      </c>
      <c r="I505" s="222" t="s">
        <v>5970</v>
      </c>
      <c r="J505" s="222" t="s">
        <v>5971</v>
      </c>
      <c r="K505" s="222" t="s">
        <v>5972</v>
      </c>
      <c r="L505" s="222">
        <v>44</v>
      </c>
      <c r="M505" s="222">
        <v>44</v>
      </c>
      <c r="N505" s="222" t="s">
        <v>11</v>
      </c>
      <c r="O505" s="222" t="s">
        <v>9</v>
      </c>
      <c r="P505" s="224"/>
      <c r="Q505" s="224"/>
      <c r="R505" s="224">
        <v>0</v>
      </c>
      <c r="S505" s="224"/>
      <c r="T505" s="224"/>
      <c r="U505" s="224"/>
      <c r="V505" s="224"/>
      <c r="W505" s="224"/>
      <c r="X505" s="224"/>
      <c r="Y505" s="222">
        <v>22</v>
      </c>
      <c r="Z505" s="222">
        <v>44</v>
      </c>
      <c r="AA505" s="224"/>
      <c r="AB505" s="224"/>
      <c r="AC505" s="224">
        <v>0</v>
      </c>
      <c r="AD505" s="224"/>
      <c r="AE505" s="224"/>
      <c r="AF505" s="224"/>
      <c r="AG505" s="224"/>
      <c r="AH505" s="224"/>
      <c r="AI505" s="224"/>
      <c r="AJ505" s="126"/>
      <c r="AK505" s="126"/>
      <c r="AL505" s="126"/>
      <c r="AM505" s="126"/>
      <c r="AN505" s="126"/>
    </row>
    <row r="506" spans="1:40" ht="15.75" customHeight="1">
      <c r="A506" s="221">
        <f t="shared" si="2"/>
        <v>500</v>
      </c>
      <c r="B506" s="222" t="s">
        <v>5952</v>
      </c>
      <c r="C506" s="222" t="s">
        <v>5</v>
      </c>
      <c r="D506" s="222" t="e">
        <f t="array" ref="D506">IF(F506="","",INDEX(#REF!,MATCH(F506,#REF!,0)))</f>
        <v>#REF!</v>
      </c>
      <c r="E506" s="222" t="e">
        <f t="array" ref="E506">IF(F506="","",INDEX(#REF!,MATCH(F506,#REF!,0)))</f>
        <v>#REF!</v>
      </c>
      <c r="F506" s="222" t="s">
        <v>20</v>
      </c>
      <c r="G506" s="222" t="s">
        <v>4499</v>
      </c>
      <c r="H506" s="223">
        <v>1.5</v>
      </c>
      <c r="I506" s="222" t="s">
        <v>5973</v>
      </c>
      <c r="J506" s="222" t="s">
        <v>5974</v>
      </c>
      <c r="K506" s="222" t="s">
        <v>5975</v>
      </c>
      <c r="L506" s="222">
        <v>142725000</v>
      </c>
      <c r="M506" s="222">
        <v>142725000</v>
      </c>
      <c r="N506" s="222" t="s">
        <v>15</v>
      </c>
      <c r="O506" s="222" t="s">
        <v>9</v>
      </c>
      <c r="P506" s="224"/>
      <c r="Q506" s="224"/>
      <c r="R506" s="224">
        <v>20000</v>
      </c>
      <c r="S506" s="224"/>
      <c r="T506" s="224">
        <v>125000</v>
      </c>
      <c r="U506" s="224"/>
      <c r="V506" s="224"/>
      <c r="W506" s="224"/>
      <c r="X506" s="224"/>
      <c r="Y506" s="222">
        <v>0</v>
      </c>
      <c r="Z506" s="222">
        <v>142725000</v>
      </c>
      <c r="AA506" s="224"/>
      <c r="AB506" s="224"/>
      <c r="AC506" s="224">
        <v>0</v>
      </c>
      <c r="AD506" s="224"/>
      <c r="AE506" s="224">
        <v>0</v>
      </c>
      <c r="AF506" s="224"/>
      <c r="AG506" s="224"/>
      <c r="AH506" s="224"/>
      <c r="AI506" s="224"/>
      <c r="AJ506" s="126"/>
      <c r="AK506" s="126"/>
      <c r="AL506" s="126"/>
      <c r="AM506" s="126"/>
      <c r="AN506" s="126"/>
    </row>
    <row r="507" spans="1:40" ht="15.75" customHeight="1">
      <c r="A507" s="221">
        <f t="shared" si="2"/>
        <v>501</v>
      </c>
      <c r="B507" s="222" t="s">
        <v>5952</v>
      </c>
      <c r="C507" s="222" t="s">
        <v>5</v>
      </c>
      <c r="D507" s="222" t="e">
        <f t="array" ref="D507">IF(F507="","",INDEX(#REF!,MATCH(F507,#REF!,0)))</f>
        <v>#REF!</v>
      </c>
      <c r="E507" s="222" t="e">
        <f t="array" ref="E507">IF(F507="","",INDEX(#REF!,MATCH(F507,#REF!,0)))</f>
        <v>#REF!</v>
      </c>
      <c r="F507" s="222" t="s">
        <v>20</v>
      </c>
      <c r="G507" s="222" t="s">
        <v>4495</v>
      </c>
      <c r="H507" s="223">
        <v>2</v>
      </c>
      <c r="I507" s="222" t="s">
        <v>5976</v>
      </c>
      <c r="J507" s="222" t="s">
        <v>5977</v>
      </c>
      <c r="K507" s="222" t="s">
        <v>5978</v>
      </c>
      <c r="L507" s="222">
        <v>5308734458</v>
      </c>
      <c r="M507" s="222">
        <v>12491139903</v>
      </c>
      <c r="N507" s="222" t="s">
        <v>13</v>
      </c>
      <c r="O507" s="222" t="s">
        <v>9</v>
      </c>
      <c r="P507" s="224"/>
      <c r="Q507" s="224"/>
      <c r="R507" s="224"/>
      <c r="S507" s="224"/>
      <c r="T507" s="224"/>
      <c r="U507" s="224"/>
      <c r="V507" s="224"/>
      <c r="W507" s="224"/>
      <c r="X507" s="224"/>
      <c r="Y507" s="222">
        <v>3327178835.3000002</v>
      </c>
      <c r="Z507" s="222">
        <v>12491139903</v>
      </c>
      <c r="AA507" s="224"/>
      <c r="AB507" s="224"/>
      <c r="AC507" s="224"/>
      <c r="AD507" s="224"/>
      <c r="AE507" s="224"/>
      <c r="AF507" s="224"/>
      <c r="AG507" s="224"/>
      <c r="AH507" s="224"/>
      <c r="AI507" s="224"/>
      <c r="AJ507" s="126"/>
      <c r="AK507" s="126"/>
      <c r="AL507" s="126"/>
      <c r="AM507" s="126"/>
      <c r="AN507" s="126"/>
    </row>
    <row r="508" spans="1:40" ht="15.75" customHeight="1">
      <c r="A508" s="221">
        <f t="shared" si="2"/>
        <v>502</v>
      </c>
      <c r="B508" s="222" t="s">
        <v>5952</v>
      </c>
      <c r="C508" s="222" t="s">
        <v>5</v>
      </c>
      <c r="D508" s="222" t="e">
        <f t="array" ref="D508">IF(F508="","",INDEX(#REF!,MATCH(F508,#REF!,0)))</f>
        <v>#REF!</v>
      </c>
      <c r="E508" s="222" t="e">
        <f t="array" ref="E508">IF(F508="","",INDEX(#REF!,MATCH(F508,#REF!,0)))</f>
        <v>#REF!</v>
      </c>
      <c r="F508" s="222" t="s">
        <v>20</v>
      </c>
      <c r="G508" s="222" t="s">
        <v>4499</v>
      </c>
      <c r="H508" s="223">
        <v>2.1</v>
      </c>
      <c r="I508" s="222" t="s">
        <v>5979</v>
      </c>
      <c r="J508" s="222" t="s">
        <v>5980</v>
      </c>
      <c r="K508" s="222" t="s">
        <v>5981</v>
      </c>
      <c r="L508" s="222">
        <v>110</v>
      </c>
      <c r="M508" s="222">
        <v>110</v>
      </c>
      <c r="N508" s="222" t="s">
        <v>11</v>
      </c>
      <c r="O508" s="222" t="s">
        <v>9</v>
      </c>
      <c r="P508" s="224">
        <v>25365639.469999999</v>
      </c>
      <c r="Q508" s="224">
        <v>0</v>
      </c>
      <c r="R508" s="224"/>
      <c r="S508" s="224"/>
      <c r="T508" s="224">
        <v>37500</v>
      </c>
      <c r="U508" s="224"/>
      <c r="V508" s="224"/>
      <c r="W508" s="224"/>
      <c r="X508" s="224"/>
      <c r="Y508" s="222">
        <v>68</v>
      </c>
      <c r="Z508" s="222">
        <v>110</v>
      </c>
      <c r="AA508" s="224">
        <v>24517077.429999992</v>
      </c>
      <c r="AB508" s="224">
        <v>0</v>
      </c>
      <c r="AC508" s="224"/>
      <c r="AD508" s="224"/>
      <c r="AE508" s="224">
        <v>0</v>
      </c>
      <c r="AF508" s="224"/>
      <c r="AG508" s="224"/>
      <c r="AH508" s="224"/>
      <c r="AI508" s="224"/>
      <c r="AJ508" s="126"/>
      <c r="AK508" s="126"/>
      <c r="AL508" s="126"/>
      <c r="AM508" s="126"/>
      <c r="AN508" s="126"/>
    </row>
    <row r="509" spans="1:40" ht="15.75" customHeight="1">
      <c r="A509" s="221">
        <f t="shared" si="2"/>
        <v>503</v>
      </c>
      <c r="B509" s="222" t="s">
        <v>5952</v>
      </c>
      <c r="C509" s="222" t="s">
        <v>5</v>
      </c>
      <c r="D509" s="222" t="e">
        <f t="array" ref="D509">IF(F509="","",INDEX(#REF!,MATCH(F509,#REF!,0)))</f>
        <v>#REF!</v>
      </c>
      <c r="E509" s="222" t="e">
        <f t="array" ref="E509">IF(F509="","",INDEX(#REF!,MATCH(F509,#REF!,0)))</f>
        <v>#REF!</v>
      </c>
      <c r="F509" s="222" t="s">
        <v>20</v>
      </c>
      <c r="G509" s="222" t="s">
        <v>4499</v>
      </c>
      <c r="H509" s="223">
        <v>2.2000000000000002</v>
      </c>
      <c r="I509" s="222" t="s">
        <v>5982</v>
      </c>
      <c r="J509" s="222" t="s">
        <v>5983</v>
      </c>
      <c r="K509" s="222" t="s">
        <v>5984</v>
      </c>
      <c r="L509" s="222">
        <v>120</v>
      </c>
      <c r="M509" s="222">
        <v>120</v>
      </c>
      <c r="N509" s="222" t="s">
        <v>15</v>
      </c>
      <c r="O509" s="222" t="s">
        <v>9</v>
      </c>
      <c r="P509" s="224"/>
      <c r="Q509" s="224">
        <v>38000</v>
      </c>
      <c r="R509" s="224">
        <v>300000</v>
      </c>
      <c r="S509" s="224"/>
      <c r="T509" s="224">
        <v>20000</v>
      </c>
      <c r="U509" s="224"/>
      <c r="V509" s="224"/>
      <c r="W509" s="224"/>
      <c r="X509" s="224"/>
      <c r="Y509" s="222">
        <v>68</v>
      </c>
      <c r="Z509" s="222">
        <v>120</v>
      </c>
      <c r="AA509" s="224"/>
      <c r="AB509" s="224">
        <v>0</v>
      </c>
      <c r="AC509" s="224">
        <v>279792</v>
      </c>
      <c r="AD509" s="224"/>
      <c r="AE509" s="224">
        <v>0</v>
      </c>
      <c r="AF509" s="224"/>
      <c r="AG509" s="224"/>
      <c r="AH509" s="224"/>
      <c r="AI509" s="224"/>
      <c r="AJ509" s="126"/>
      <c r="AK509" s="126"/>
      <c r="AL509" s="126"/>
      <c r="AM509" s="126"/>
      <c r="AN509" s="126"/>
    </row>
    <row r="510" spans="1:40" ht="15.75" customHeight="1">
      <c r="A510" s="221">
        <f t="shared" si="2"/>
        <v>504</v>
      </c>
      <c r="B510" s="222" t="s">
        <v>5952</v>
      </c>
      <c r="C510" s="222" t="s">
        <v>5</v>
      </c>
      <c r="D510" s="222" t="e">
        <f t="array" ref="D510">IF(F510="","",INDEX(#REF!,MATCH(F510,#REF!,0)))</f>
        <v>#REF!</v>
      </c>
      <c r="E510" s="222" t="e">
        <f t="array" ref="E510">IF(F510="","",INDEX(#REF!,MATCH(F510,#REF!,0)))</f>
        <v>#REF!</v>
      </c>
      <c r="F510" s="222" t="s">
        <v>20</v>
      </c>
      <c r="G510" s="222" t="s">
        <v>4499</v>
      </c>
      <c r="H510" s="223">
        <v>2.2999999999999998</v>
      </c>
      <c r="I510" s="222" t="s">
        <v>5985</v>
      </c>
      <c r="J510" s="222" t="s">
        <v>5986</v>
      </c>
      <c r="K510" s="222" t="s">
        <v>5987</v>
      </c>
      <c r="L510" s="222">
        <v>408</v>
      </c>
      <c r="M510" s="222">
        <v>408</v>
      </c>
      <c r="N510" s="222" t="s">
        <v>15</v>
      </c>
      <c r="O510" s="222" t="s">
        <v>9</v>
      </c>
      <c r="P510" s="224"/>
      <c r="Q510" s="224"/>
      <c r="R510" s="224">
        <v>115250292.09</v>
      </c>
      <c r="S510" s="224"/>
      <c r="T510" s="224"/>
      <c r="U510" s="224"/>
      <c r="V510" s="224"/>
      <c r="W510" s="224"/>
      <c r="X510" s="224"/>
      <c r="Y510" s="222">
        <v>207</v>
      </c>
      <c r="Z510" s="222">
        <v>408</v>
      </c>
      <c r="AA510" s="224"/>
      <c r="AB510" s="224"/>
      <c r="AC510" s="224">
        <v>699099</v>
      </c>
      <c r="AD510" s="224"/>
      <c r="AE510" s="224"/>
      <c r="AF510" s="224"/>
      <c r="AG510" s="224"/>
      <c r="AH510" s="224"/>
      <c r="AI510" s="224"/>
      <c r="AJ510" s="126"/>
      <c r="AK510" s="126"/>
      <c r="AL510" s="126"/>
      <c r="AM510" s="126"/>
      <c r="AN510" s="126"/>
    </row>
    <row r="511" spans="1:40" ht="15.75" customHeight="1">
      <c r="A511" s="221">
        <f t="shared" si="2"/>
        <v>505</v>
      </c>
      <c r="B511" s="222" t="s">
        <v>5952</v>
      </c>
      <c r="C511" s="222" t="s">
        <v>5</v>
      </c>
      <c r="D511" s="222" t="e">
        <f t="array" ref="D511">IF(F511="","",INDEX(#REF!,MATCH(F511,#REF!,0)))</f>
        <v>#REF!</v>
      </c>
      <c r="E511" s="222" t="e">
        <f t="array" ref="E511">IF(F511="","",INDEX(#REF!,MATCH(F511,#REF!,0)))</f>
        <v>#REF!</v>
      </c>
      <c r="F511" s="222" t="s">
        <v>20</v>
      </c>
      <c r="G511" s="222" t="s">
        <v>4495</v>
      </c>
      <c r="H511" s="223">
        <v>3</v>
      </c>
      <c r="I511" s="222" t="s">
        <v>5988</v>
      </c>
      <c r="J511" s="222" t="s">
        <v>5989</v>
      </c>
      <c r="K511" s="222" t="s">
        <v>5990</v>
      </c>
      <c r="L511" s="222">
        <v>2</v>
      </c>
      <c r="M511" s="222">
        <v>2</v>
      </c>
      <c r="N511" s="222" t="s">
        <v>13</v>
      </c>
      <c r="O511" s="222" t="s">
        <v>9</v>
      </c>
      <c r="P511" s="224"/>
      <c r="Q511" s="224"/>
      <c r="R511" s="224"/>
      <c r="S511" s="224"/>
      <c r="T511" s="224"/>
      <c r="U511" s="224"/>
      <c r="V511" s="224"/>
      <c r="W511" s="224"/>
      <c r="X511" s="224"/>
      <c r="Y511" s="222">
        <v>0</v>
      </c>
      <c r="Z511" s="222">
        <v>2</v>
      </c>
      <c r="AA511" s="224"/>
      <c r="AB511" s="224"/>
      <c r="AC511" s="224"/>
      <c r="AD511" s="224"/>
      <c r="AE511" s="224"/>
      <c r="AF511" s="224"/>
      <c r="AG511" s="224"/>
      <c r="AH511" s="224"/>
      <c r="AI511" s="224"/>
      <c r="AJ511" s="126"/>
      <c r="AK511" s="126"/>
      <c r="AL511" s="126"/>
      <c r="AM511" s="126"/>
      <c r="AN511" s="126"/>
    </row>
    <row r="512" spans="1:40" ht="15.75" customHeight="1">
      <c r="A512" s="221">
        <f t="shared" si="2"/>
        <v>506</v>
      </c>
      <c r="B512" s="222" t="s">
        <v>5952</v>
      </c>
      <c r="C512" s="222" t="s">
        <v>5</v>
      </c>
      <c r="D512" s="222" t="e">
        <f t="array" ref="D512">IF(F512="","",INDEX(#REF!,MATCH(F512,#REF!,0)))</f>
        <v>#REF!</v>
      </c>
      <c r="E512" s="222" t="e">
        <f t="array" ref="E512">IF(F512="","",INDEX(#REF!,MATCH(F512,#REF!,0)))</f>
        <v>#REF!</v>
      </c>
      <c r="F512" s="222" t="s">
        <v>20</v>
      </c>
      <c r="G512" s="222" t="s">
        <v>4499</v>
      </c>
      <c r="H512" s="223">
        <v>3.1</v>
      </c>
      <c r="I512" s="222" t="s">
        <v>5991</v>
      </c>
      <c r="J512" s="222" t="s">
        <v>5992</v>
      </c>
      <c r="K512" s="222" t="s">
        <v>5993</v>
      </c>
      <c r="L512" s="222">
        <v>17</v>
      </c>
      <c r="M512" s="222">
        <v>17</v>
      </c>
      <c r="N512" s="222" t="s">
        <v>6</v>
      </c>
      <c r="O512" s="222" t="s">
        <v>9</v>
      </c>
      <c r="P512" s="224">
        <v>4477232.04</v>
      </c>
      <c r="Q512" s="224">
        <v>21000</v>
      </c>
      <c r="R512" s="224">
        <v>30000000</v>
      </c>
      <c r="S512" s="224"/>
      <c r="T512" s="224">
        <v>12250</v>
      </c>
      <c r="U512" s="224"/>
      <c r="V512" s="224"/>
      <c r="W512" s="224"/>
      <c r="X512" s="224"/>
      <c r="Y512" s="222">
        <v>8</v>
      </c>
      <c r="Z512" s="222">
        <v>17</v>
      </c>
      <c r="AA512" s="224">
        <v>3194015.1100000003</v>
      </c>
      <c r="AB512" s="224">
        <v>0</v>
      </c>
      <c r="AC512" s="224">
        <v>26120696.970000003</v>
      </c>
      <c r="AD512" s="224"/>
      <c r="AE512" s="224">
        <v>0</v>
      </c>
      <c r="AF512" s="224"/>
      <c r="AG512" s="224"/>
      <c r="AH512" s="224"/>
      <c r="AI512" s="224"/>
      <c r="AJ512" s="126"/>
      <c r="AK512" s="126"/>
      <c r="AL512" s="126"/>
      <c r="AM512" s="126"/>
      <c r="AN512" s="126"/>
    </row>
    <row r="513" spans="1:40" ht="15.75" customHeight="1">
      <c r="A513" s="221">
        <f t="shared" si="2"/>
        <v>507</v>
      </c>
      <c r="B513" s="222" t="s">
        <v>5952</v>
      </c>
      <c r="C513" s="222" t="s">
        <v>5</v>
      </c>
      <c r="D513" s="222" t="e">
        <f t="array" ref="D513">IF(F513="","",INDEX(#REF!,MATCH(F513,#REF!,0)))</f>
        <v>#REF!</v>
      </c>
      <c r="E513" s="222" t="e">
        <f t="array" ref="E513">IF(F513="","",INDEX(#REF!,MATCH(F513,#REF!,0)))</f>
        <v>#REF!</v>
      </c>
      <c r="F513" s="222" t="s">
        <v>20</v>
      </c>
      <c r="G513" s="222" t="s">
        <v>4499</v>
      </c>
      <c r="H513" s="223">
        <v>3.2</v>
      </c>
      <c r="I513" s="222" t="s">
        <v>5994</v>
      </c>
      <c r="J513" s="222" t="s">
        <v>5995</v>
      </c>
      <c r="K513" s="222" t="s">
        <v>5996</v>
      </c>
      <c r="L513" s="222">
        <v>4</v>
      </c>
      <c r="M513" s="222">
        <v>4</v>
      </c>
      <c r="N513" s="222" t="s">
        <v>11</v>
      </c>
      <c r="O513" s="222" t="s">
        <v>9</v>
      </c>
      <c r="P513" s="224"/>
      <c r="Q513" s="224">
        <v>0</v>
      </c>
      <c r="R513" s="224">
        <v>73000</v>
      </c>
      <c r="S513" s="224"/>
      <c r="T513" s="224">
        <v>15000</v>
      </c>
      <c r="U513" s="224"/>
      <c r="V513" s="224"/>
      <c r="W513" s="224"/>
      <c r="X513" s="224"/>
      <c r="Y513" s="222">
        <v>0</v>
      </c>
      <c r="Z513" s="222">
        <v>4</v>
      </c>
      <c r="AA513" s="224"/>
      <c r="AB513" s="224">
        <v>0</v>
      </c>
      <c r="AC513" s="224">
        <v>10285.64</v>
      </c>
      <c r="AD513" s="224"/>
      <c r="AE513" s="224">
        <v>0</v>
      </c>
      <c r="AF513" s="224"/>
      <c r="AG513" s="224"/>
      <c r="AH513" s="224"/>
      <c r="AI513" s="224"/>
      <c r="AJ513" s="126"/>
      <c r="AK513" s="126"/>
      <c r="AL513" s="126"/>
      <c r="AM513" s="126"/>
      <c r="AN513" s="126"/>
    </row>
    <row r="514" spans="1:40" ht="15.75" customHeight="1">
      <c r="A514" s="221">
        <f t="shared" si="2"/>
        <v>508</v>
      </c>
      <c r="B514" s="222" t="s">
        <v>5952</v>
      </c>
      <c r="C514" s="222" t="s">
        <v>5</v>
      </c>
      <c r="D514" s="222" t="e">
        <f t="array" ref="D514">IF(F514="","",INDEX(#REF!,MATCH(F514,#REF!,0)))</f>
        <v>#REF!</v>
      </c>
      <c r="E514" s="222" t="e">
        <f t="array" ref="E514">IF(F514="","",INDEX(#REF!,MATCH(F514,#REF!,0)))</f>
        <v>#REF!</v>
      </c>
      <c r="F514" s="222" t="s">
        <v>20</v>
      </c>
      <c r="G514" s="222" t="s">
        <v>4499</v>
      </c>
      <c r="H514" s="223">
        <v>3.3</v>
      </c>
      <c r="I514" s="222" t="s">
        <v>5997</v>
      </c>
      <c r="J514" s="222" t="s">
        <v>5998</v>
      </c>
      <c r="K514" s="222" t="s">
        <v>5999</v>
      </c>
      <c r="L514" s="222">
        <v>1000000</v>
      </c>
      <c r="M514" s="222">
        <v>1000000</v>
      </c>
      <c r="N514" s="222" t="s">
        <v>6</v>
      </c>
      <c r="O514" s="222" t="s">
        <v>9</v>
      </c>
      <c r="P514" s="224"/>
      <c r="Q514" s="224">
        <v>83310</v>
      </c>
      <c r="R514" s="224">
        <v>36000</v>
      </c>
      <c r="S514" s="224"/>
      <c r="T514" s="224">
        <v>34000</v>
      </c>
      <c r="U514" s="224"/>
      <c r="V514" s="224"/>
      <c r="W514" s="224"/>
      <c r="X514" s="224"/>
      <c r="Y514" s="222">
        <v>400000</v>
      </c>
      <c r="Z514" s="222">
        <v>1000000</v>
      </c>
      <c r="AA514" s="224"/>
      <c r="AB514" s="224">
        <v>0</v>
      </c>
      <c r="AC514" s="224">
        <v>4408</v>
      </c>
      <c r="AD514" s="224"/>
      <c r="AE514" s="224">
        <v>0</v>
      </c>
      <c r="AF514" s="224"/>
      <c r="AG514" s="224"/>
      <c r="AH514" s="224"/>
      <c r="AI514" s="224"/>
      <c r="AJ514" s="126"/>
      <c r="AK514" s="126"/>
      <c r="AL514" s="126"/>
      <c r="AM514" s="126"/>
      <c r="AN514" s="126"/>
    </row>
    <row r="515" spans="1:40" ht="15.75" customHeight="1">
      <c r="A515" s="221">
        <f t="shared" si="2"/>
        <v>509</v>
      </c>
      <c r="B515" s="222" t="s">
        <v>5952</v>
      </c>
      <c r="C515" s="222" t="s">
        <v>5</v>
      </c>
      <c r="D515" s="222" t="e">
        <f t="array" ref="D515">IF(F515="","",INDEX(#REF!,MATCH(F515,#REF!,0)))</f>
        <v>#REF!</v>
      </c>
      <c r="E515" s="222" t="e">
        <f t="array" ref="E515">IF(F515="","",INDEX(#REF!,MATCH(F515,#REF!,0)))</f>
        <v>#REF!</v>
      </c>
      <c r="F515" s="222" t="s">
        <v>20</v>
      </c>
      <c r="G515" s="222" t="s">
        <v>4495</v>
      </c>
      <c r="H515" s="223">
        <v>4</v>
      </c>
      <c r="I515" s="222" t="s">
        <v>6000</v>
      </c>
      <c r="J515" s="222" t="s">
        <v>6001</v>
      </c>
      <c r="K515" s="222" t="s">
        <v>6002</v>
      </c>
      <c r="L515" s="222">
        <v>12440000000</v>
      </c>
      <c r="M515" s="222">
        <v>12440000000</v>
      </c>
      <c r="N515" s="222" t="s">
        <v>13</v>
      </c>
      <c r="O515" s="222" t="s">
        <v>9</v>
      </c>
      <c r="P515" s="224"/>
      <c r="Q515" s="224"/>
      <c r="R515" s="224"/>
      <c r="S515" s="224"/>
      <c r="T515" s="224"/>
      <c r="U515" s="224"/>
      <c r="V515" s="224"/>
      <c r="W515" s="224"/>
      <c r="X515" s="224"/>
      <c r="Y515" s="222">
        <v>6325389863.4300003</v>
      </c>
      <c r="Z515" s="222">
        <v>12440000000</v>
      </c>
      <c r="AA515" s="224"/>
      <c r="AB515" s="224"/>
      <c r="AC515" s="224"/>
      <c r="AD515" s="224"/>
      <c r="AE515" s="224"/>
      <c r="AF515" s="224"/>
      <c r="AG515" s="224"/>
      <c r="AH515" s="224"/>
      <c r="AI515" s="224"/>
      <c r="AJ515" s="126"/>
      <c r="AK515" s="126"/>
      <c r="AL515" s="126"/>
      <c r="AM515" s="126"/>
      <c r="AN515" s="126"/>
    </row>
    <row r="516" spans="1:40" ht="15.75" customHeight="1">
      <c r="A516" s="221">
        <f t="shared" si="2"/>
        <v>510</v>
      </c>
      <c r="B516" s="222" t="s">
        <v>5952</v>
      </c>
      <c r="C516" s="222" t="s">
        <v>5</v>
      </c>
      <c r="D516" s="222" t="e">
        <f t="array" ref="D516">IF(F516="","",INDEX(#REF!,MATCH(F516,#REF!,0)))</f>
        <v>#REF!</v>
      </c>
      <c r="E516" s="222" t="e">
        <f t="array" ref="E516">IF(F516="","",INDEX(#REF!,MATCH(F516,#REF!,0)))</f>
        <v>#REF!</v>
      </c>
      <c r="F516" s="222" t="s">
        <v>20</v>
      </c>
      <c r="G516" s="222" t="s">
        <v>4499</v>
      </c>
      <c r="H516" s="223">
        <v>4.0999999999999996</v>
      </c>
      <c r="I516" s="222" t="s">
        <v>6003</v>
      </c>
      <c r="J516" s="222" t="s">
        <v>6004</v>
      </c>
      <c r="K516" s="222" t="s">
        <v>6005</v>
      </c>
      <c r="L516" s="222">
        <v>94</v>
      </c>
      <c r="M516" s="222">
        <v>110</v>
      </c>
      <c r="N516" s="222" t="s">
        <v>11</v>
      </c>
      <c r="O516" s="222" t="s">
        <v>9</v>
      </c>
      <c r="P516" s="224"/>
      <c r="Q516" s="224">
        <v>0</v>
      </c>
      <c r="R516" s="224">
        <v>2262.8000000000002</v>
      </c>
      <c r="S516" s="224"/>
      <c r="T516" s="224">
        <v>10000</v>
      </c>
      <c r="U516" s="224"/>
      <c r="V516" s="224"/>
      <c r="W516" s="224"/>
      <c r="X516" s="224"/>
      <c r="Y516" s="222">
        <v>69</v>
      </c>
      <c r="Z516" s="222">
        <v>110</v>
      </c>
      <c r="AA516" s="224"/>
      <c r="AB516" s="224">
        <v>0</v>
      </c>
      <c r="AC516" s="224">
        <v>2262.8000000000002</v>
      </c>
      <c r="AD516" s="224"/>
      <c r="AE516" s="224">
        <v>0</v>
      </c>
      <c r="AF516" s="224"/>
      <c r="AG516" s="224"/>
      <c r="AH516" s="224"/>
      <c r="AI516" s="224"/>
      <c r="AJ516" s="126"/>
      <c r="AK516" s="126"/>
      <c r="AL516" s="126"/>
      <c r="AM516" s="126"/>
      <c r="AN516" s="126"/>
    </row>
    <row r="517" spans="1:40" ht="15.75" customHeight="1">
      <c r="A517" s="221">
        <f t="shared" si="2"/>
        <v>511</v>
      </c>
      <c r="B517" s="222" t="s">
        <v>5952</v>
      </c>
      <c r="C517" s="222" t="s">
        <v>5</v>
      </c>
      <c r="D517" s="222" t="e">
        <f t="array" ref="D517">IF(F517="","",INDEX(#REF!,MATCH(F517,#REF!,0)))</f>
        <v>#REF!</v>
      </c>
      <c r="E517" s="222" t="e">
        <f t="array" ref="E517">IF(F517="","",INDEX(#REF!,MATCH(F517,#REF!,0)))</f>
        <v>#REF!</v>
      </c>
      <c r="F517" s="222" t="s">
        <v>20</v>
      </c>
      <c r="G517" s="222" t="s">
        <v>4499</v>
      </c>
      <c r="H517" s="223">
        <v>4.2</v>
      </c>
      <c r="I517" s="222" t="s">
        <v>6006</v>
      </c>
      <c r="J517" s="222" t="s">
        <v>6007</v>
      </c>
      <c r="K517" s="222" t="s">
        <v>6008</v>
      </c>
      <c r="L517" s="222">
        <v>650</v>
      </c>
      <c r="M517" s="222">
        <v>650</v>
      </c>
      <c r="N517" s="222" t="s">
        <v>11</v>
      </c>
      <c r="O517" s="222" t="s">
        <v>9</v>
      </c>
      <c r="P517" s="224">
        <v>5976082.4999999991</v>
      </c>
      <c r="Q517" s="224">
        <v>16000</v>
      </c>
      <c r="R517" s="224"/>
      <c r="S517" s="224"/>
      <c r="T517" s="224">
        <v>134000</v>
      </c>
      <c r="U517" s="224"/>
      <c r="V517" s="224"/>
      <c r="W517" s="224"/>
      <c r="X517" s="224"/>
      <c r="Y517" s="222">
        <v>500</v>
      </c>
      <c r="Z517" s="222">
        <v>650</v>
      </c>
      <c r="AA517" s="224">
        <v>3911243.7399999998</v>
      </c>
      <c r="AB517" s="224">
        <v>0</v>
      </c>
      <c r="AC517" s="224"/>
      <c r="AD517" s="224"/>
      <c r="AE517" s="224">
        <v>0</v>
      </c>
      <c r="AF517" s="224"/>
      <c r="AG517" s="224"/>
      <c r="AH517" s="224"/>
      <c r="AI517" s="224"/>
      <c r="AJ517" s="126"/>
      <c r="AK517" s="126"/>
      <c r="AL517" s="126"/>
      <c r="AM517" s="126"/>
      <c r="AN517" s="126"/>
    </row>
    <row r="518" spans="1:40" ht="15.75" customHeight="1">
      <c r="A518" s="221">
        <f t="shared" si="2"/>
        <v>512</v>
      </c>
      <c r="B518" s="222" t="s">
        <v>5952</v>
      </c>
      <c r="C518" s="222" t="s">
        <v>5</v>
      </c>
      <c r="D518" s="222" t="e">
        <f t="array" ref="D518">IF(F518="","",INDEX(#REF!,MATCH(F518,#REF!,0)))</f>
        <v>#REF!</v>
      </c>
      <c r="E518" s="222" t="e">
        <f t="array" ref="E518">IF(F518="","",INDEX(#REF!,MATCH(F518,#REF!,0)))</f>
        <v>#REF!</v>
      </c>
      <c r="F518" s="222" t="s">
        <v>20</v>
      </c>
      <c r="G518" s="222" t="s">
        <v>4499</v>
      </c>
      <c r="H518" s="223">
        <v>4.3</v>
      </c>
      <c r="I518" s="222" t="s">
        <v>6009</v>
      </c>
      <c r="J518" s="222" t="s">
        <v>6010</v>
      </c>
      <c r="K518" s="222" t="s">
        <v>6011</v>
      </c>
      <c r="L518" s="222">
        <v>100</v>
      </c>
      <c r="M518" s="222">
        <v>100</v>
      </c>
      <c r="N518" s="222" t="s">
        <v>11</v>
      </c>
      <c r="O518" s="222" t="s">
        <v>9</v>
      </c>
      <c r="P518" s="224"/>
      <c r="Q518" s="224"/>
      <c r="R518" s="224">
        <v>0</v>
      </c>
      <c r="S518" s="224"/>
      <c r="T518" s="224"/>
      <c r="U518" s="224"/>
      <c r="V518" s="224"/>
      <c r="W518" s="224"/>
      <c r="X518" s="224"/>
      <c r="Y518" s="222">
        <v>60</v>
      </c>
      <c r="Z518" s="222">
        <v>100</v>
      </c>
      <c r="AA518" s="224"/>
      <c r="AB518" s="224"/>
      <c r="AC518" s="224">
        <v>0</v>
      </c>
      <c r="AD518" s="224"/>
      <c r="AE518" s="224"/>
      <c r="AF518" s="224"/>
      <c r="AG518" s="224"/>
      <c r="AH518" s="224"/>
      <c r="AI518" s="224"/>
      <c r="AJ518" s="126"/>
      <c r="AK518" s="126"/>
      <c r="AL518" s="126"/>
      <c r="AM518" s="126"/>
      <c r="AN518" s="126"/>
    </row>
    <row r="519" spans="1:40" ht="15.75" customHeight="1">
      <c r="A519" s="221">
        <f t="shared" si="2"/>
        <v>513</v>
      </c>
      <c r="B519" s="222" t="s">
        <v>6012</v>
      </c>
      <c r="C519" s="222" t="s">
        <v>5</v>
      </c>
      <c r="D519" s="222" t="e">
        <f t="array" ref="D519">IF(F519="","",INDEX(#REF!,MATCH(F519,#REF!,0)))</f>
        <v>#REF!</v>
      </c>
      <c r="E519" s="222" t="e">
        <f t="array" ref="E519">IF(F519="","",INDEX(#REF!,MATCH(F519,#REF!,0)))</f>
        <v>#REF!</v>
      </c>
      <c r="F519" s="222" t="s">
        <v>19</v>
      </c>
      <c r="G519" s="222" t="s">
        <v>0</v>
      </c>
      <c r="H519" s="223" t="s">
        <v>4487</v>
      </c>
      <c r="I519" s="222" t="s">
        <v>6013</v>
      </c>
      <c r="J519" s="222" t="s">
        <v>6014</v>
      </c>
      <c r="K519" s="222" t="s">
        <v>6015</v>
      </c>
      <c r="L519" s="222">
        <v>87.5</v>
      </c>
      <c r="M519" s="222">
        <v>100</v>
      </c>
      <c r="N519" s="222" t="s">
        <v>15</v>
      </c>
      <c r="O519" s="222" t="s">
        <v>9</v>
      </c>
      <c r="P519" s="224"/>
      <c r="Q519" s="224"/>
      <c r="R519" s="224"/>
      <c r="S519" s="224"/>
      <c r="T519" s="224"/>
      <c r="U519" s="224"/>
      <c r="V519" s="224"/>
      <c r="W519" s="224"/>
      <c r="X519" s="224"/>
      <c r="Y519" s="222">
        <v>0</v>
      </c>
      <c r="Z519" s="222">
        <v>100</v>
      </c>
      <c r="AA519" s="224"/>
      <c r="AB519" s="224"/>
      <c r="AC519" s="224"/>
      <c r="AD519" s="224"/>
      <c r="AE519" s="224"/>
      <c r="AF519" s="224"/>
      <c r="AG519" s="224"/>
      <c r="AH519" s="224"/>
      <c r="AI519" s="224"/>
      <c r="AJ519" s="126"/>
      <c r="AK519" s="126"/>
      <c r="AL519" s="126"/>
      <c r="AM519" s="126"/>
      <c r="AN519" s="126"/>
    </row>
    <row r="520" spans="1:40" ht="15.75" customHeight="1">
      <c r="A520" s="221">
        <f t="shared" si="2"/>
        <v>514</v>
      </c>
      <c r="B520" s="222" t="s">
        <v>6012</v>
      </c>
      <c r="C520" s="222" t="s">
        <v>5</v>
      </c>
      <c r="D520" s="222" t="e">
        <f t="array" ref="D520">IF(F520="","",INDEX(#REF!,MATCH(F520,#REF!,0)))</f>
        <v>#REF!</v>
      </c>
      <c r="E520" s="222" t="e">
        <f t="array" ref="E520">IF(F520="","",INDEX(#REF!,MATCH(F520,#REF!,0)))</f>
        <v>#REF!</v>
      </c>
      <c r="F520" s="222" t="s">
        <v>19</v>
      </c>
      <c r="G520" s="222" t="s">
        <v>4491</v>
      </c>
      <c r="H520" s="223" t="s">
        <v>4487</v>
      </c>
      <c r="I520" s="222" t="s">
        <v>6016</v>
      </c>
      <c r="J520" s="222" t="s">
        <v>6017</v>
      </c>
      <c r="K520" s="222" t="s">
        <v>6018</v>
      </c>
      <c r="L520" s="222">
        <v>1</v>
      </c>
      <c r="M520" s="222">
        <v>1</v>
      </c>
      <c r="N520" s="222" t="s">
        <v>15</v>
      </c>
      <c r="O520" s="222" t="s">
        <v>4611</v>
      </c>
      <c r="P520" s="224"/>
      <c r="Q520" s="224"/>
      <c r="R520" s="224"/>
      <c r="S520" s="224"/>
      <c r="T520" s="224"/>
      <c r="U520" s="224"/>
      <c r="V520" s="224"/>
      <c r="W520" s="224"/>
      <c r="X520" s="224"/>
      <c r="Y520" s="222">
        <v>0</v>
      </c>
      <c r="Z520" s="222">
        <v>1</v>
      </c>
      <c r="AA520" s="224"/>
      <c r="AB520" s="224"/>
      <c r="AC520" s="224"/>
      <c r="AD520" s="224"/>
      <c r="AE520" s="224"/>
      <c r="AF520" s="224"/>
      <c r="AG520" s="224"/>
      <c r="AH520" s="224"/>
      <c r="AI520" s="224"/>
      <c r="AJ520" s="126"/>
      <c r="AK520" s="126"/>
      <c r="AL520" s="126"/>
      <c r="AM520" s="126"/>
      <c r="AN520" s="126"/>
    </row>
    <row r="521" spans="1:40" ht="15.75" customHeight="1">
      <c r="A521" s="221">
        <f t="shared" si="2"/>
        <v>515</v>
      </c>
      <c r="B521" s="222" t="s">
        <v>6012</v>
      </c>
      <c r="C521" s="222" t="s">
        <v>5</v>
      </c>
      <c r="D521" s="222" t="e">
        <f t="array" ref="D521">IF(F521="","",INDEX(#REF!,MATCH(F521,#REF!,0)))</f>
        <v>#REF!</v>
      </c>
      <c r="E521" s="222" t="e">
        <f t="array" ref="E521">IF(F521="","",INDEX(#REF!,MATCH(F521,#REF!,0)))</f>
        <v>#REF!</v>
      </c>
      <c r="F521" s="222" t="s">
        <v>19</v>
      </c>
      <c r="G521" s="222" t="s">
        <v>4495</v>
      </c>
      <c r="H521" s="223">
        <v>1</v>
      </c>
      <c r="I521" s="222" t="s">
        <v>6019</v>
      </c>
      <c r="J521" s="222" t="s">
        <v>6020</v>
      </c>
      <c r="K521" s="222" t="s">
        <v>6021</v>
      </c>
      <c r="L521" s="222">
        <v>1100</v>
      </c>
      <c r="M521" s="222">
        <v>1100</v>
      </c>
      <c r="N521" s="222" t="s">
        <v>13</v>
      </c>
      <c r="O521" s="222" t="s">
        <v>9</v>
      </c>
      <c r="P521" s="224"/>
      <c r="Q521" s="224"/>
      <c r="R521" s="224"/>
      <c r="S521" s="224"/>
      <c r="T521" s="224"/>
      <c r="U521" s="224"/>
      <c r="V521" s="224"/>
      <c r="W521" s="224"/>
      <c r="X521" s="224"/>
      <c r="Y521" s="222">
        <v>615</v>
      </c>
      <c r="Z521" s="222">
        <v>1100</v>
      </c>
      <c r="AA521" s="224"/>
      <c r="AB521" s="224"/>
      <c r="AC521" s="224"/>
      <c r="AD521" s="224"/>
      <c r="AE521" s="224"/>
      <c r="AF521" s="224"/>
      <c r="AG521" s="224"/>
      <c r="AH521" s="224"/>
      <c r="AI521" s="224"/>
      <c r="AJ521" s="126"/>
      <c r="AK521" s="126"/>
      <c r="AL521" s="126"/>
      <c r="AM521" s="126"/>
      <c r="AN521" s="126"/>
    </row>
    <row r="522" spans="1:40" ht="15.75" customHeight="1">
      <c r="A522" s="221">
        <f t="shared" si="2"/>
        <v>516</v>
      </c>
      <c r="B522" s="222" t="s">
        <v>6012</v>
      </c>
      <c r="C522" s="222" t="s">
        <v>5</v>
      </c>
      <c r="D522" s="222" t="e">
        <f t="array" ref="D522">IF(F522="","",INDEX(#REF!,MATCH(F522,#REF!,0)))</f>
        <v>#REF!</v>
      </c>
      <c r="E522" s="222" t="e">
        <f t="array" ref="E522">IF(F522="","",INDEX(#REF!,MATCH(F522,#REF!,0)))</f>
        <v>#REF!</v>
      </c>
      <c r="F522" s="222" t="s">
        <v>19</v>
      </c>
      <c r="G522" s="222" t="s">
        <v>4499</v>
      </c>
      <c r="H522" s="223">
        <v>1.1000000000000001</v>
      </c>
      <c r="I522" s="222" t="s">
        <v>6022</v>
      </c>
      <c r="J522" s="222" t="s">
        <v>6023</v>
      </c>
      <c r="K522" s="222" t="s">
        <v>6024</v>
      </c>
      <c r="L522" s="222">
        <v>4</v>
      </c>
      <c r="M522" s="222">
        <v>4</v>
      </c>
      <c r="N522" s="222" t="s">
        <v>11</v>
      </c>
      <c r="O522" s="222" t="s">
        <v>9</v>
      </c>
      <c r="P522" s="224"/>
      <c r="Q522" s="224"/>
      <c r="R522" s="224">
        <v>2500</v>
      </c>
      <c r="S522" s="224"/>
      <c r="T522" s="224"/>
      <c r="U522" s="224"/>
      <c r="V522" s="224"/>
      <c r="W522" s="224"/>
      <c r="X522" s="224"/>
      <c r="Y522" s="222">
        <v>2</v>
      </c>
      <c r="Z522" s="222">
        <v>4</v>
      </c>
      <c r="AA522" s="224"/>
      <c r="AB522" s="224"/>
      <c r="AC522" s="224">
        <v>0</v>
      </c>
      <c r="AD522" s="224"/>
      <c r="AE522" s="224"/>
      <c r="AF522" s="224"/>
      <c r="AG522" s="224"/>
      <c r="AH522" s="224"/>
      <c r="AI522" s="224"/>
      <c r="AJ522" s="126"/>
      <c r="AK522" s="126"/>
      <c r="AL522" s="126"/>
      <c r="AM522" s="126"/>
      <c r="AN522" s="126"/>
    </row>
    <row r="523" spans="1:40" ht="15.75" customHeight="1">
      <c r="A523" s="221">
        <f t="shared" si="2"/>
        <v>517</v>
      </c>
      <c r="B523" s="222" t="s">
        <v>6012</v>
      </c>
      <c r="C523" s="222" t="s">
        <v>5</v>
      </c>
      <c r="D523" s="222" t="e">
        <f t="array" ref="D523">IF(F523="","",INDEX(#REF!,MATCH(F523,#REF!,0)))</f>
        <v>#REF!</v>
      </c>
      <c r="E523" s="222" t="e">
        <f t="array" ref="E523">IF(F523="","",INDEX(#REF!,MATCH(F523,#REF!,0)))</f>
        <v>#REF!</v>
      </c>
      <c r="F523" s="222" t="s">
        <v>19</v>
      </c>
      <c r="G523" s="222" t="s">
        <v>4499</v>
      </c>
      <c r="H523" s="223">
        <v>1.2</v>
      </c>
      <c r="I523" s="222" t="s">
        <v>6025</v>
      </c>
      <c r="J523" s="222" t="s">
        <v>6026</v>
      </c>
      <c r="K523" s="222" t="s">
        <v>6027</v>
      </c>
      <c r="L523" s="222">
        <v>7584</v>
      </c>
      <c r="M523" s="222">
        <v>12</v>
      </c>
      <c r="N523" s="222" t="s">
        <v>11</v>
      </c>
      <c r="O523" s="222" t="s">
        <v>14</v>
      </c>
      <c r="P523" s="224"/>
      <c r="Q523" s="224">
        <v>38600</v>
      </c>
      <c r="R523" s="224">
        <v>38000</v>
      </c>
      <c r="S523" s="224">
        <v>356000</v>
      </c>
      <c r="T523" s="224">
        <v>15000</v>
      </c>
      <c r="U523" s="224"/>
      <c r="V523" s="224"/>
      <c r="W523" s="224"/>
      <c r="X523" s="224"/>
      <c r="Y523" s="222">
        <v>148</v>
      </c>
      <c r="Z523" s="222">
        <v>12</v>
      </c>
      <c r="AA523" s="224"/>
      <c r="AB523" s="224">
        <v>0</v>
      </c>
      <c r="AC523" s="224">
        <v>0</v>
      </c>
      <c r="AD523" s="224">
        <v>0</v>
      </c>
      <c r="AE523" s="224">
        <v>0</v>
      </c>
      <c r="AF523" s="224"/>
      <c r="AG523" s="224"/>
      <c r="AH523" s="224"/>
      <c r="AI523" s="224"/>
      <c r="AJ523" s="126"/>
      <c r="AK523" s="126"/>
      <c r="AL523" s="126"/>
      <c r="AM523" s="126"/>
      <c r="AN523" s="126"/>
    </row>
    <row r="524" spans="1:40" ht="15.75" customHeight="1">
      <c r="A524" s="221">
        <f t="shared" si="2"/>
        <v>518</v>
      </c>
      <c r="B524" s="222" t="s">
        <v>6012</v>
      </c>
      <c r="C524" s="222" t="s">
        <v>5</v>
      </c>
      <c r="D524" s="222" t="e">
        <f t="array" ref="D524">IF(F524="","",INDEX(#REF!,MATCH(F524,#REF!,0)))</f>
        <v>#REF!</v>
      </c>
      <c r="E524" s="222" t="e">
        <f t="array" ref="E524">IF(F524="","",INDEX(#REF!,MATCH(F524,#REF!,0)))</f>
        <v>#REF!</v>
      </c>
      <c r="F524" s="222" t="s">
        <v>19</v>
      </c>
      <c r="G524" s="222" t="s">
        <v>4499</v>
      </c>
      <c r="H524" s="223">
        <v>1.3</v>
      </c>
      <c r="I524" s="222" t="s">
        <v>6028</v>
      </c>
      <c r="J524" s="222" t="s">
        <v>6029</v>
      </c>
      <c r="K524" s="222" t="s">
        <v>6030</v>
      </c>
      <c r="L524" s="222">
        <v>800</v>
      </c>
      <c r="M524" s="222">
        <v>800</v>
      </c>
      <c r="N524" s="222" t="s">
        <v>11</v>
      </c>
      <c r="O524" s="222" t="s">
        <v>9</v>
      </c>
      <c r="P524" s="224"/>
      <c r="Q524" s="224">
        <v>141166.39999999999</v>
      </c>
      <c r="R524" s="224"/>
      <c r="S524" s="224"/>
      <c r="T524" s="224">
        <v>0</v>
      </c>
      <c r="U524" s="224"/>
      <c r="V524" s="224"/>
      <c r="W524" s="224"/>
      <c r="X524" s="224"/>
      <c r="Y524" s="222">
        <v>457</v>
      </c>
      <c r="Z524" s="222">
        <v>800</v>
      </c>
      <c r="AA524" s="224"/>
      <c r="AB524" s="224">
        <v>0</v>
      </c>
      <c r="AC524" s="224"/>
      <c r="AD524" s="224"/>
      <c r="AE524" s="224">
        <v>0</v>
      </c>
      <c r="AF524" s="224"/>
      <c r="AG524" s="224"/>
      <c r="AH524" s="224"/>
      <c r="AI524" s="224"/>
      <c r="AJ524" s="126"/>
      <c r="AK524" s="126"/>
      <c r="AL524" s="126"/>
      <c r="AM524" s="126"/>
      <c r="AN524" s="126"/>
    </row>
    <row r="525" spans="1:40" ht="15.75" customHeight="1">
      <c r="A525" s="221">
        <f t="shared" si="2"/>
        <v>519</v>
      </c>
      <c r="B525" s="222" t="s">
        <v>6012</v>
      </c>
      <c r="C525" s="222" t="s">
        <v>5</v>
      </c>
      <c r="D525" s="222" t="e">
        <f t="array" ref="D525">IF(F525="","",INDEX(#REF!,MATCH(F525,#REF!,0)))</f>
        <v>#REF!</v>
      </c>
      <c r="E525" s="222" t="e">
        <f t="array" ref="E525">IF(F525="","",INDEX(#REF!,MATCH(F525,#REF!,0)))</f>
        <v>#REF!</v>
      </c>
      <c r="F525" s="222" t="s">
        <v>19</v>
      </c>
      <c r="G525" s="222" t="s">
        <v>4499</v>
      </c>
      <c r="H525" s="223">
        <v>1.4</v>
      </c>
      <c r="I525" s="222" t="s">
        <v>6031</v>
      </c>
      <c r="J525" s="222" t="s">
        <v>6032</v>
      </c>
      <c r="K525" s="222" t="s">
        <v>6033</v>
      </c>
      <c r="L525" s="222">
        <v>8</v>
      </c>
      <c r="M525" s="222">
        <v>8</v>
      </c>
      <c r="N525" s="222" t="s">
        <v>11</v>
      </c>
      <c r="O525" s="222" t="s">
        <v>9</v>
      </c>
      <c r="P525" s="224"/>
      <c r="Q525" s="224">
        <v>8050</v>
      </c>
      <c r="R525" s="224"/>
      <c r="S525" s="224"/>
      <c r="T525" s="224">
        <v>0</v>
      </c>
      <c r="U525" s="224"/>
      <c r="V525" s="224"/>
      <c r="W525" s="224"/>
      <c r="X525" s="224"/>
      <c r="Y525" s="222">
        <v>4</v>
      </c>
      <c r="Z525" s="222">
        <v>8</v>
      </c>
      <c r="AA525" s="224"/>
      <c r="AB525" s="224">
        <v>0</v>
      </c>
      <c r="AC525" s="224"/>
      <c r="AD525" s="224"/>
      <c r="AE525" s="224">
        <v>0</v>
      </c>
      <c r="AF525" s="224"/>
      <c r="AG525" s="224"/>
      <c r="AH525" s="224"/>
      <c r="AI525" s="224"/>
      <c r="AJ525" s="126"/>
      <c r="AK525" s="126"/>
      <c r="AL525" s="126"/>
      <c r="AM525" s="126"/>
      <c r="AN525" s="126"/>
    </row>
    <row r="526" spans="1:40" ht="15.75" customHeight="1">
      <c r="A526" s="221">
        <f t="shared" si="2"/>
        <v>520</v>
      </c>
      <c r="B526" s="222" t="s">
        <v>6012</v>
      </c>
      <c r="C526" s="222" t="s">
        <v>5</v>
      </c>
      <c r="D526" s="222" t="e">
        <f t="array" ref="D526">IF(F526="","",INDEX(#REF!,MATCH(F526,#REF!,0)))</f>
        <v>#REF!</v>
      </c>
      <c r="E526" s="222" t="e">
        <f t="array" ref="E526">IF(F526="","",INDEX(#REF!,MATCH(F526,#REF!,0)))</f>
        <v>#REF!</v>
      </c>
      <c r="F526" s="222" t="s">
        <v>19</v>
      </c>
      <c r="G526" s="222" t="s">
        <v>4499</v>
      </c>
      <c r="H526" s="223">
        <v>1.5</v>
      </c>
      <c r="I526" s="222" t="s">
        <v>6034</v>
      </c>
      <c r="J526" s="222" t="s">
        <v>6035</v>
      </c>
      <c r="K526" s="222" t="s">
        <v>6036</v>
      </c>
      <c r="L526" s="222">
        <v>8</v>
      </c>
      <c r="M526" s="222">
        <v>8</v>
      </c>
      <c r="N526" s="222" t="s">
        <v>11</v>
      </c>
      <c r="O526" s="222" t="s">
        <v>9</v>
      </c>
      <c r="P526" s="224">
        <v>24467324.120000005</v>
      </c>
      <c r="Q526" s="224">
        <v>116500</v>
      </c>
      <c r="R526" s="224">
        <v>1482547.28</v>
      </c>
      <c r="S526" s="224"/>
      <c r="T526" s="224">
        <v>37500</v>
      </c>
      <c r="U526" s="224"/>
      <c r="V526" s="224"/>
      <c r="W526" s="224"/>
      <c r="X526" s="224"/>
      <c r="Y526" s="222">
        <v>4</v>
      </c>
      <c r="Z526" s="222">
        <v>8</v>
      </c>
      <c r="AA526" s="224">
        <v>1471020.4400000002</v>
      </c>
      <c r="AB526" s="224">
        <v>4730.4799999999996</v>
      </c>
      <c r="AC526" s="224">
        <v>116176.32000000001</v>
      </c>
      <c r="AD526" s="224"/>
      <c r="AE526" s="224">
        <v>0</v>
      </c>
      <c r="AF526" s="224"/>
      <c r="AG526" s="224"/>
      <c r="AH526" s="224"/>
      <c r="AI526" s="224"/>
      <c r="AJ526" s="126"/>
      <c r="AK526" s="126"/>
      <c r="AL526" s="126"/>
      <c r="AM526" s="126"/>
      <c r="AN526" s="126"/>
    </row>
    <row r="527" spans="1:40" ht="15.75" customHeight="1">
      <c r="A527" s="221">
        <f t="shared" si="2"/>
        <v>521</v>
      </c>
      <c r="B527" s="222" t="s">
        <v>6012</v>
      </c>
      <c r="C527" s="222" t="s">
        <v>5</v>
      </c>
      <c r="D527" s="222" t="e">
        <f t="array" ref="D527">IF(F527="","",INDEX(#REF!,MATCH(F527,#REF!,0)))</f>
        <v>#REF!</v>
      </c>
      <c r="E527" s="222" t="e">
        <f t="array" ref="E527">IF(F527="","",INDEX(#REF!,MATCH(F527,#REF!,0)))</f>
        <v>#REF!</v>
      </c>
      <c r="F527" s="222" t="s">
        <v>19</v>
      </c>
      <c r="G527" s="222" t="s">
        <v>4495</v>
      </c>
      <c r="H527" s="223">
        <v>2</v>
      </c>
      <c r="I527" s="222" t="s">
        <v>6037</v>
      </c>
      <c r="J527" s="222" t="s">
        <v>6038</v>
      </c>
      <c r="K527" s="222" t="s">
        <v>6021</v>
      </c>
      <c r="L527" s="222">
        <v>3600</v>
      </c>
      <c r="M527" s="222">
        <v>3600</v>
      </c>
      <c r="N527" s="222" t="s">
        <v>13</v>
      </c>
      <c r="O527" s="222" t="s">
        <v>9</v>
      </c>
      <c r="P527" s="224"/>
      <c r="Q527" s="224"/>
      <c r="R527" s="224"/>
      <c r="S527" s="224"/>
      <c r="T527" s="224"/>
      <c r="U527" s="224"/>
      <c r="V527" s="224"/>
      <c r="W527" s="224"/>
      <c r="X527" s="224"/>
      <c r="Y527" s="222">
        <v>1802</v>
      </c>
      <c r="Z527" s="222">
        <v>3600</v>
      </c>
      <c r="AA527" s="224"/>
      <c r="AB527" s="224"/>
      <c r="AC527" s="224"/>
      <c r="AD527" s="224"/>
      <c r="AE527" s="224"/>
      <c r="AF527" s="224"/>
      <c r="AG527" s="224"/>
      <c r="AH527" s="224"/>
      <c r="AI527" s="224"/>
      <c r="AJ527" s="126"/>
      <c r="AK527" s="126"/>
      <c r="AL527" s="126"/>
      <c r="AM527" s="126"/>
      <c r="AN527" s="126"/>
    </row>
    <row r="528" spans="1:40" ht="15.75" customHeight="1">
      <c r="A528" s="221">
        <f t="shared" si="2"/>
        <v>522</v>
      </c>
      <c r="B528" s="222" t="s">
        <v>6012</v>
      </c>
      <c r="C528" s="222" t="s">
        <v>5</v>
      </c>
      <c r="D528" s="222" t="e">
        <f t="array" ref="D528">IF(F528="","",INDEX(#REF!,MATCH(F528,#REF!,0)))</f>
        <v>#REF!</v>
      </c>
      <c r="E528" s="222" t="e">
        <f t="array" ref="E528">IF(F528="","",INDEX(#REF!,MATCH(F528,#REF!,0)))</f>
        <v>#REF!</v>
      </c>
      <c r="F528" s="222" t="s">
        <v>19</v>
      </c>
      <c r="G528" s="222" t="s">
        <v>4499</v>
      </c>
      <c r="H528" s="223">
        <v>2.1</v>
      </c>
      <c r="I528" s="222" t="s">
        <v>6039</v>
      </c>
      <c r="J528" s="222" t="s">
        <v>6023</v>
      </c>
      <c r="K528" s="222" t="s">
        <v>6024</v>
      </c>
      <c r="L528" s="222">
        <v>6</v>
      </c>
      <c r="M528" s="222">
        <v>6</v>
      </c>
      <c r="N528" s="222" t="s">
        <v>11</v>
      </c>
      <c r="O528" s="222" t="s">
        <v>9</v>
      </c>
      <c r="P528" s="224"/>
      <c r="Q528" s="224">
        <v>3000</v>
      </c>
      <c r="R528" s="224"/>
      <c r="S528" s="224"/>
      <c r="T528" s="224"/>
      <c r="U528" s="224"/>
      <c r="V528" s="224"/>
      <c r="W528" s="224"/>
      <c r="X528" s="224"/>
      <c r="Y528" s="222">
        <v>3</v>
      </c>
      <c r="Z528" s="222">
        <v>6</v>
      </c>
      <c r="AA528" s="224"/>
      <c r="AB528" s="224">
        <v>0</v>
      </c>
      <c r="AC528" s="224"/>
      <c r="AD528" s="224"/>
      <c r="AE528" s="224"/>
      <c r="AF528" s="224"/>
      <c r="AG528" s="224"/>
      <c r="AH528" s="224"/>
      <c r="AI528" s="224"/>
      <c r="AJ528" s="126"/>
      <c r="AK528" s="126"/>
      <c r="AL528" s="126"/>
      <c r="AM528" s="126"/>
      <c r="AN528" s="126"/>
    </row>
    <row r="529" spans="1:40" ht="15.75" customHeight="1">
      <c r="A529" s="221">
        <f t="shared" si="2"/>
        <v>523</v>
      </c>
      <c r="B529" s="222" t="s">
        <v>6012</v>
      </c>
      <c r="C529" s="222" t="s">
        <v>5</v>
      </c>
      <c r="D529" s="222" t="e">
        <f t="array" ref="D529">IF(F529="","",INDEX(#REF!,MATCH(F529,#REF!,0)))</f>
        <v>#REF!</v>
      </c>
      <c r="E529" s="222" t="e">
        <f t="array" ref="E529">IF(F529="","",INDEX(#REF!,MATCH(F529,#REF!,0)))</f>
        <v>#REF!</v>
      </c>
      <c r="F529" s="222" t="s">
        <v>19</v>
      </c>
      <c r="G529" s="222" t="s">
        <v>4499</v>
      </c>
      <c r="H529" s="223">
        <v>2.2000000000000002</v>
      </c>
      <c r="I529" s="222" t="s">
        <v>6040</v>
      </c>
      <c r="J529" s="222" t="s">
        <v>6029</v>
      </c>
      <c r="K529" s="222" t="s">
        <v>6030</v>
      </c>
      <c r="L529" s="222">
        <v>3500</v>
      </c>
      <c r="M529" s="222">
        <v>3500</v>
      </c>
      <c r="N529" s="222" t="s">
        <v>11</v>
      </c>
      <c r="O529" s="222" t="s">
        <v>9</v>
      </c>
      <c r="P529" s="224"/>
      <c r="Q529" s="224"/>
      <c r="R529" s="224"/>
      <c r="S529" s="224"/>
      <c r="T529" s="224">
        <v>300000</v>
      </c>
      <c r="U529" s="224"/>
      <c r="V529" s="224"/>
      <c r="W529" s="224"/>
      <c r="X529" s="224"/>
      <c r="Y529" s="222">
        <v>1790</v>
      </c>
      <c r="Z529" s="222">
        <v>3500</v>
      </c>
      <c r="AA529" s="224"/>
      <c r="AB529" s="224"/>
      <c r="AC529" s="224"/>
      <c r="AD529" s="224"/>
      <c r="AE529" s="224">
        <v>0</v>
      </c>
      <c r="AF529" s="224"/>
      <c r="AG529" s="224"/>
      <c r="AH529" s="224"/>
      <c r="AI529" s="224"/>
      <c r="AJ529" s="126"/>
      <c r="AK529" s="126"/>
      <c r="AL529" s="126"/>
      <c r="AM529" s="126"/>
      <c r="AN529" s="126"/>
    </row>
    <row r="530" spans="1:40" ht="15.75" customHeight="1">
      <c r="A530" s="221">
        <f t="shared" si="2"/>
        <v>524</v>
      </c>
      <c r="B530" s="222" t="s">
        <v>6012</v>
      </c>
      <c r="C530" s="222" t="s">
        <v>5</v>
      </c>
      <c r="D530" s="222" t="e">
        <f t="array" ref="D530">IF(F530="","",INDEX(#REF!,MATCH(F530,#REF!,0)))</f>
        <v>#REF!</v>
      </c>
      <c r="E530" s="222" t="e">
        <f t="array" ref="E530">IF(F530="","",INDEX(#REF!,MATCH(F530,#REF!,0)))</f>
        <v>#REF!</v>
      </c>
      <c r="F530" s="222" t="s">
        <v>19</v>
      </c>
      <c r="G530" s="222" t="s">
        <v>4499</v>
      </c>
      <c r="H530" s="223">
        <v>2.2999999999999998</v>
      </c>
      <c r="I530" s="222" t="s">
        <v>6041</v>
      </c>
      <c r="J530" s="222" t="s">
        <v>6042</v>
      </c>
      <c r="K530" s="222" t="s">
        <v>6033</v>
      </c>
      <c r="L530" s="222">
        <v>8</v>
      </c>
      <c r="M530" s="222">
        <v>8</v>
      </c>
      <c r="N530" s="222" t="s">
        <v>11</v>
      </c>
      <c r="O530" s="222" t="s">
        <v>9</v>
      </c>
      <c r="P530" s="224"/>
      <c r="Q530" s="224"/>
      <c r="R530" s="224">
        <v>10000</v>
      </c>
      <c r="S530" s="224"/>
      <c r="T530" s="224"/>
      <c r="U530" s="224"/>
      <c r="V530" s="224"/>
      <c r="W530" s="224"/>
      <c r="X530" s="224"/>
      <c r="Y530" s="222">
        <v>6</v>
      </c>
      <c r="Z530" s="222">
        <v>8</v>
      </c>
      <c r="AA530" s="224"/>
      <c r="AB530" s="224"/>
      <c r="AC530" s="224">
        <v>0</v>
      </c>
      <c r="AD530" s="224"/>
      <c r="AE530" s="224"/>
      <c r="AF530" s="224"/>
      <c r="AG530" s="224"/>
      <c r="AH530" s="224"/>
      <c r="AI530" s="224"/>
      <c r="AJ530" s="126"/>
      <c r="AK530" s="126"/>
      <c r="AL530" s="126"/>
      <c r="AM530" s="126"/>
      <c r="AN530" s="126"/>
    </row>
    <row r="531" spans="1:40" ht="15.75" customHeight="1">
      <c r="A531" s="221">
        <f t="shared" si="2"/>
        <v>525</v>
      </c>
      <c r="B531" s="222" t="s">
        <v>6012</v>
      </c>
      <c r="C531" s="222" t="s">
        <v>5</v>
      </c>
      <c r="D531" s="222" t="e">
        <f t="array" ref="D531">IF(F531="","",INDEX(#REF!,MATCH(F531,#REF!,0)))</f>
        <v>#REF!</v>
      </c>
      <c r="E531" s="222" t="e">
        <f t="array" ref="E531">IF(F531="","",INDEX(#REF!,MATCH(F531,#REF!,0)))</f>
        <v>#REF!</v>
      </c>
      <c r="F531" s="222" t="s">
        <v>19</v>
      </c>
      <c r="G531" s="222" t="s">
        <v>4499</v>
      </c>
      <c r="H531" s="223">
        <v>2.4</v>
      </c>
      <c r="I531" s="222" t="s">
        <v>6043</v>
      </c>
      <c r="J531" s="222" t="s">
        <v>6044</v>
      </c>
      <c r="K531" s="222" t="s">
        <v>6045</v>
      </c>
      <c r="L531" s="222">
        <v>6</v>
      </c>
      <c r="M531" s="222">
        <v>6</v>
      </c>
      <c r="N531" s="222" t="s">
        <v>11</v>
      </c>
      <c r="O531" s="222" t="s">
        <v>9</v>
      </c>
      <c r="P531" s="224">
        <v>23997392.200000003</v>
      </c>
      <c r="Q531" s="224">
        <v>50500</v>
      </c>
      <c r="R531" s="224">
        <v>404052.72000000003</v>
      </c>
      <c r="S531" s="224">
        <v>500000</v>
      </c>
      <c r="T531" s="224">
        <v>550000</v>
      </c>
      <c r="U531" s="224"/>
      <c r="V531" s="224"/>
      <c r="W531" s="224"/>
      <c r="X531" s="224"/>
      <c r="Y531" s="222">
        <v>3</v>
      </c>
      <c r="Z531" s="222">
        <v>6</v>
      </c>
      <c r="AA531" s="224">
        <v>3694432.58</v>
      </c>
      <c r="AB531" s="224">
        <v>23329.010000000002</v>
      </c>
      <c r="AC531" s="224">
        <v>248216.59999999998</v>
      </c>
      <c r="AD531" s="224">
        <v>0</v>
      </c>
      <c r="AE531" s="224">
        <v>0</v>
      </c>
      <c r="AF531" s="224"/>
      <c r="AG531" s="224"/>
      <c r="AH531" s="224"/>
      <c r="AI531" s="224"/>
      <c r="AJ531" s="126"/>
      <c r="AK531" s="126"/>
      <c r="AL531" s="126"/>
      <c r="AM531" s="126"/>
      <c r="AN531" s="126"/>
    </row>
    <row r="532" spans="1:40" ht="15.75" customHeight="1">
      <c r="A532" s="221">
        <f t="shared" si="2"/>
        <v>526</v>
      </c>
      <c r="B532" s="222" t="s">
        <v>6046</v>
      </c>
      <c r="C532" s="222" t="s">
        <v>5</v>
      </c>
      <c r="D532" s="222" t="e">
        <f t="array" ref="D532">IF(F532="","",INDEX(#REF!,MATCH(F532,#REF!,0)))</f>
        <v>#REF!</v>
      </c>
      <c r="E532" s="222" t="e">
        <f t="array" ref="E532">IF(F532="","",INDEX(#REF!,MATCH(F532,#REF!,0)))</f>
        <v>#REF!</v>
      </c>
      <c r="F532" s="222" t="s">
        <v>16</v>
      </c>
      <c r="G532" s="222" t="s">
        <v>0</v>
      </c>
      <c r="H532" s="223" t="s">
        <v>4487</v>
      </c>
      <c r="I532" s="222" t="s">
        <v>6047</v>
      </c>
      <c r="J532" s="222" t="s">
        <v>6048</v>
      </c>
      <c r="K532" s="222" t="s">
        <v>6049</v>
      </c>
      <c r="L532" s="222">
        <v>4</v>
      </c>
      <c r="M532" s="222">
        <v>4</v>
      </c>
      <c r="N532" s="222" t="s">
        <v>17</v>
      </c>
      <c r="O532" s="222" t="s">
        <v>4490</v>
      </c>
      <c r="P532" s="224"/>
      <c r="Q532" s="224"/>
      <c r="R532" s="224"/>
      <c r="S532" s="224"/>
      <c r="T532" s="224"/>
      <c r="U532" s="224"/>
      <c r="V532" s="224"/>
      <c r="W532" s="224"/>
      <c r="X532" s="224"/>
      <c r="Y532" s="222">
        <v>0</v>
      </c>
      <c r="Z532" s="222">
        <v>4</v>
      </c>
      <c r="AA532" s="224"/>
      <c r="AB532" s="224"/>
      <c r="AC532" s="224"/>
      <c r="AD532" s="224"/>
      <c r="AE532" s="224"/>
      <c r="AF532" s="224"/>
      <c r="AG532" s="224"/>
      <c r="AH532" s="224"/>
      <c r="AI532" s="224"/>
      <c r="AJ532" s="126"/>
      <c r="AK532" s="126"/>
      <c r="AL532" s="126"/>
      <c r="AM532" s="126"/>
      <c r="AN532" s="126"/>
    </row>
    <row r="533" spans="1:40" ht="15.75" customHeight="1">
      <c r="A533" s="221">
        <f t="shared" si="2"/>
        <v>527</v>
      </c>
      <c r="B533" s="222" t="s">
        <v>6046</v>
      </c>
      <c r="C533" s="222" t="s">
        <v>5</v>
      </c>
      <c r="D533" s="222" t="e">
        <f t="array" ref="D533">IF(F533="","",INDEX(#REF!,MATCH(F533,#REF!,0)))</f>
        <v>#REF!</v>
      </c>
      <c r="E533" s="222" t="e">
        <f t="array" ref="E533">IF(F533="","",INDEX(#REF!,MATCH(F533,#REF!,0)))</f>
        <v>#REF!</v>
      </c>
      <c r="F533" s="222" t="s">
        <v>16</v>
      </c>
      <c r="G533" s="222" t="s">
        <v>4491</v>
      </c>
      <c r="H533" s="223" t="s">
        <v>4487</v>
      </c>
      <c r="I533" s="222" t="s">
        <v>6050</v>
      </c>
      <c r="J533" s="222" t="s">
        <v>6051</v>
      </c>
      <c r="K533" s="222" t="s">
        <v>6052</v>
      </c>
      <c r="L533" s="222">
        <v>1</v>
      </c>
      <c r="M533" s="222">
        <v>1</v>
      </c>
      <c r="N533" s="222" t="s">
        <v>15</v>
      </c>
      <c r="O533" s="222" t="s">
        <v>9</v>
      </c>
      <c r="P533" s="224"/>
      <c r="Q533" s="224"/>
      <c r="R533" s="224"/>
      <c r="S533" s="224"/>
      <c r="T533" s="224"/>
      <c r="U533" s="224"/>
      <c r="V533" s="224"/>
      <c r="W533" s="224"/>
      <c r="X533" s="224"/>
      <c r="Y533" s="222">
        <v>0</v>
      </c>
      <c r="Z533" s="222">
        <v>1</v>
      </c>
      <c r="AA533" s="224"/>
      <c r="AB533" s="224"/>
      <c r="AC533" s="224"/>
      <c r="AD533" s="224"/>
      <c r="AE533" s="224"/>
      <c r="AF533" s="224"/>
      <c r="AG533" s="224"/>
      <c r="AH533" s="224"/>
      <c r="AI533" s="224"/>
      <c r="AJ533" s="126"/>
      <c r="AK533" s="126"/>
      <c r="AL533" s="126"/>
      <c r="AM533" s="126"/>
      <c r="AN533" s="126"/>
    </row>
    <row r="534" spans="1:40" ht="15.75" customHeight="1">
      <c r="A534" s="221">
        <f t="shared" si="2"/>
        <v>528</v>
      </c>
      <c r="B534" s="222" t="s">
        <v>6046</v>
      </c>
      <c r="C534" s="222" t="s">
        <v>5</v>
      </c>
      <c r="D534" s="222" t="e">
        <f t="array" ref="D534">IF(F534="","",INDEX(#REF!,MATCH(F534,#REF!,0)))</f>
        <v>#REF!</v>
      </c>
      <c r="E534" s="222" t="e">
        <f t="array" ref="E534">IF(F534="","",INDEX(#REF!,MATCH(F534,#REF!,0)))</f>
        <v>#REF!</v>
      </c>
      <c r="F534" s="222" t="s">
        <v>16</v>
      </c>
      <c r="G534" s="222" t="s">
        <v>4495</v>
      </c>
      <c r="H534" s="223">
        <v>1</v>
      </c>
      <c r="I534" s="222" t="s">
        <v>6053</v>
      </c>
      <c r="J534" s="222" t="s">
        <v>6054</v>
      </c>
      <c r="K534" s="222" t="s">
        <v>6055</v>
      </c>
      <c r="L534" s="222">
        <v>17</v>
      </c>
      <c r="M534" s="222">
        <v>17</v>
      </c>
      <c r="N534" s="222" t="s">
        <v>13</v>
      </c>
      <c r="O534" s="222" t="s">
        <v>9</v>
      </c>
      <c r="P534" s="224"/>
      <c r="Q534" s="224"/>
      <c r="R534" s="224"/>
      <c r="S534" s="224"/>
      <c r="T534" s="224"/>
      <c r="U534" s="224"/>
      <c r="V534" s="224"/>
      <c r="W534" s="224"/>
      <c r="X534" s="224"/>
      <c r="Y534" s="222">
        <v>7</v>
      </c>
      <c r="Z534" s="222">
        <v>17</v>
      </c>
      <c r="AA534" s="224"/>
      <c r="AB534" s="224"/>
      <c r="AC534" s="224"/>
      <c r="AD534" s="224"/>
      <c r="AE534" s="224"/>
      <c r="AF534" s="224"/>
      <c r="AG534" s="224"/>
      <c r="AH534" s="224"/>
      <c r="AI534" s="224"/>
      <c r="AJ534" s="126"/>
      <c r="AK534" s="126"/>
      <c r="AL534" s="126"/>
      <c r="AM534" s="126"/>
      <c r="AN534" s="126"/>
    </row>
    <row r="535" spans="1:40" ht="15.75" customHeight="1">
      <c r="A535" s="221">
        <f t="shared" si="2"/>
        <v>529</v>
      </c>
      <c r="B535" s="222" t="s">
        <v>6046</v>
      </c>
      <c r="C535" s="222" t="s">
        <v>5</v>
      </c>
      <c r="D535" s="222" t="e">
        <f t="array" ref="D535">IF(F535="","",INDEX(#REF!,MATCH(F535,#REF!,0)))</f>
        <v>#REF!</v>
      </c>
      <c r="E535" s="222" t="e">
        <f t="array" ref="E535">IF(F535="","",INDEX(#REF!,MATCH(F535,#REF!,0)))</f>
        <v>#REF!</v>
      </c>
      <c r="F535" s="222" t="s">
        <v>16</v>
      </c>
      <c r="G535" s="222" t="s">
        <v>4499</v>
      </c>
      <c r="H535" s="223">
        <v>1.1000000000000001</v>
      </c>
      <c r="I535" s="222" t="s">
        <v>6056</v>
      </c>
      <c r="J535" s="222" t="s">
        <v>6057</v>
      </c>
      <c r="K535" s="222" t="s">
        <v>6058</v>
      </c>
      <c r="L535" s="222">
        <v>2</v>
      </c>
      <c r="M535" s="222">
        <v>2</v>
      </c>
      <c r="N535" s="222" t="s">
        <v>11</v>
      </c>
      <c r="O535" s="222" t="s">
        <v>9</v>
      </c>
      <c r="P535" s="224">
        <v>13256454.469999999</v>
      </c>
      <c r="Q535" s="224">
        <v>156492.87999999998</v>
      </c>
      <c r="R535" s="224">
        <v>1248898.81</v>
      </c>
      <c r="S535" s="224"/>
      <c r="T535" s="224">
        <v>50000</v>
      </c>
      <c r="U535" s="224"/>
      <c r="V535" s="224"/>
      <c r="W535" s="224"/>
      <c r="X535" s="224"/>
      <c r="Y535" s="222">
        <v>0</v>
      </c>
      <c r="Z535" s="222">
        <v>2</v>
      </c>
      <c r="AA535" s="224">
        <v>3467975.6399999987</v>
      </c>
      <c r="AB535" s="224">
        <v>0</v>
      </c>
      <c r="AC535" s="224">
        <v>9058.1299999999992</v>
      </c>
      <c r="AD535" s="224"/>
      <c r="AE535" s="224">
        <v>0</v>
      </c>
      <c r="AF535" s="224"/>
      <c r="AG535" s="224"/>
      <c r="AH535" s="224"/>
      <c r="AI535" s="224"/>
      <c r="AJ535" s="126"/>
      <c r="AK535" s="126"/>
      <c r="AL535" s="126"/>
      <c r="AM535" s="126"/>
      <c r="AN535" s="126"/>
    </row>
    <row r="536" spans="1:40" ht="15.75" customHeight="1">
      <c r="A536" s="221">
        <f t="shared" si="2"/>
        <v>530</v>
      </c>
      <c r="B536" s="222" t="s">
        <v>6046</v>
      </c>
      <c r="C536" s="222" t="s">
        <v>5</v>
      </c>
      <c r="D536" s="222" t="e">
        <f t="array" ref="D536">IF(F536="","",INDEX(#REF!,MATCH(F536,#REF!,0)))</f>
        <v>#REF!</v>
      </c>
      <c r="E536" s="222" t="e">
        <f t="array" ref="E536">IF(F536="","",INDEX(#REF!,MATCH(F536,#REF!,0)))</f>
        <v>#REF!</v>
      </c>
      <c r="F536" s="222" t="s">
        <v>16</v>
      </c>
      <c r="G536" s="222" t="s">
        <v>4499</v>
      </c>
      <c r="H536" s="223">
        <v>1.2</v>
      </c>
      <c r="I536" s="222" t="s">
        <v>6059</v>
      </c>
      <c r="J536" s="222" t="s">
        <v>6060</v>
      </c>
      <c r="K536" s="222" t="s">
        <v>6061</v>
      </c>
      <c r="L536" s="222">
        <v>8</v>
      </c>
      <c r="M536" s="222">
        <v>8</v>
      </c>
      <c r="N536" s="222" t="s">
        <v>11</v>
      </c>
      <c r="O536" s="222" t="s">
        <v>9</v>
      </c>
      <c r="P536" s="224"/>
      <c r="Q536" s="224">
        <v>281500</v>
      </c>
      <c r="R536" s="224">
        <v>1046600</v>
      </c>
      <c r="S536" s="224"/>
      <c r="T536" s="224">
        <v>37500</v>
      </c>
      <c r="U536" s="224"/>
      <c r="V536" s="224"/>
      <c r="W536" s="224"/>
      <c r="X536" s="224"/>
      <c r="Y536" s="222">
        <v>4</v>
      </c>
      <c r="Z536" s="222">
        <v>8</v>
      </c>
      <c r="AA536" s="224"/>
      <c r="AB536" s="224">
        <v>15162.539999999999</v>
      </c>
      <c r="AC536" s="224">
        <v>23908.959999999999</v>
      </c>
      <c r="AD536" s="224"/>
      <c r="AE536" s="224">
        <v>0</v>
      </c>
      <c r="AF536" s="224"/>
      <c r="AG536" s="224"/>
      <c r="AH536" s="224"/>
      <c r="AI536" s="224"/>
      <c r="AJ536" s="126"/>
      <c r="AK536" s="126"/>
      <c r="AL536" s="126"/>
      <c r="AM536" s="126"/>
      <c r="AN536" s="126"/>
    </row>
    <row r="537" spans="1:40" ht="15.75" customHeight="1">
      <c r="A537" s="221">
        <f t="shared" si="2"/>
        <v>531</v>
      </c>
      <c r="B537" s="222" t="s">
        <v>6046</v>
      </c>
      <c r="C537" s="222" t="s">
        <v>5</v>
      </c>
      <c r="D537" s="222" t="e">
        <f t="array" ref="D537">IF(F537="","",INDEX(#REF!,MATCH(F537,#REF!,0)))</f>
        <v>#REF!</v>
      </c>
      <c r="E537" s="222" t="e">
        <f t="array" ref="E537">IF(F537="","",INDEX(#REF!,MATCH(F537,#REF!,0)))</f>
        <v>#REF!</v>
      </c>
      <c r="F537" s="222" t="s">
        <v>16</v>
      </c>
      <c r="G537" s="222" t="s">
        <v>4499</v>
      </c>
      <c r="H537" s="223">
        <v>1.3</v>
      </c>
      <c r="I537" s="222" t="s">
        <v>6062</v>
      </c>
      <c r="J537" s="222" t="s">
        <v>6063</v>
      </c>
      <c r="K537" s="222" t="s">
        <v>6064</v>
      </c>
      <c r="L537" s="222">
        <v>2376</v>
      </c>
      <c r="M537" s="222">
        <v>2376</v>
      </c>
      <c r="N537" s="222" t="s">
        <v>11</v>
      </c>
      <c r="O537" s="222" t="s">
        <v>9</v>
      </c>
      <c r="P537" s="224"/>
      <c r="Q537" s="224"/>
      <c r="R537" s="224">
        <v>410523.26</v>
      </c>
      <c r="S537" s="224"/>
      <c r="T537" s="224">
        <v>90000</v>
      </c>
      <c r="U537" s="224"/>
      <c r="V537" s="224"/>
      <c r="W537" s="224"/>
      <c r="X537" s="224"/>
      <c r="Y537" s="222">
        <v>1003</v>
      </c>
      <c r="Z537" s="222">
        <v>2376</v>
      </c>
      <c r="AA537" s="224"/>
      <c r="AB537" s="224"/>
      <c r="AC537" s="224">
        <v>0</v>
      </c>
      <c r="AD537" s="224"/>
      <c r="AE537" s="224">
        <v>0</v>
      </c>
      <c r="AF537" s="224"/>
      <c r="AG537" s="224"/>
      <c r="AH537" s="224"/>
      <c r="AI537" s="224"/>
      <c r="AJ537" s="126"/>
      <c r="AK537" s="126"/>
      <c r="AL537" s="126"/>
      <c r="AM537" s="126"/>
      <c r="AN537" s="126"/>
    </row>
    <row r="538" spans="1:40" ht="15.75" customHeight="1">
      <c r="A538" s="221">
        <f t="shared" si="2"/>
        <v>532</v>
      </c>
      <c r="B538" s="222" t="s">
        <v>6046</v>
      </c>
      <c r="C538" s="222" t="s">
        <v>5</v>
      </c>
      <c r="D538" s="222" t="e">
        <f t="array" ref="D538">IF(F538="","",INDEX(#REF!,MATCH(F538,#REF!,0)))</f>
        <v>#REF!</v>
      </c>
      <c r="E538" s="222" t="e">
        <f t="array" ref="E538">IF(F538="","",INDEX(#REF!,MATCH(F538,#REF!,0)))</f>
        <v>#REF!</v>
      </c>
      <c r="F538" s="222" t="s">
        <v>16</v>
      </c>
      <c r="G538" s="222" t="s">
        <v>4499</v>
      </c>
      <c r="H538" s="223">
        <v>1.4</v>
      </c>
      <c r="I538" s="222" t="s">
        <v>6065</v>
      </c>
      <c r="J538" s="222" t="s">
        <v>6066</v>
      </c>
      <c r="K538" s="222" t="s">
        <v>6067</v>
      </c>
      <c r="L538" s="222">
        <v>9</v>
      </c>
      <c r="M538" s="222">
        <v>9</v>
      </c>
      <c r="N538" s="222" t="s">
        <v>11</v>
      </c>
      <c r="O538" s="222" t="s">
        <v>9</v>
      </c>
      <c r="P538" s="224"/>
      <c r="Q538" s="224">
        <v>25000</v>
      </c>
      <c r="R538" s="224"/>
      <c r="S538" s="224"/>
      <c r="T538" s="224">
        <v>1517886.58</v>
      </c>
      <c r="U538" s="224"/>
      <c r="V538" s="224"/>
      <c r="W538" s="224"/>
      <c r="X538" s="224"/>
      <c r="Y538" s="222">
        <v>6</v>
      </c>
      <c r="Z538" s="222">
        <v>9</v>
      </c>
      <c r="AA538" s="224"/>
      <c r="AB538" s="224">
        <v>0</v>
      </c>
      <c r="AC538" s="224"/>
      <c r="AD538" s="224"/>
      <c r="AE538" s="224">
        <v>0</v>
      </c>
      <c r="AF538" s="224"/>
      <c r="AG538" s="224"/>
      <c r="AH538" s="224"/>
      <c r="AI538" s="224"/>
      <c r="AJ538" s="126"/>
      <c r="AK538" s="126"/>
      <c r="AL538" s="126"/>
      <c r="AM538" s="126"/>
      <c r="AN538" s="126"/>
    </row>
    <row r="539" spans="1:40" ht="15.75" customHeight="1">
      <c r="A539" s="221">
        <f t="shared" si="2"/>
        <v>533</v>
      </c>
      <c r="B539" s="222" t="s">
        <v>6046</v>
      </c>
      <c r="C539" s="222" t="s">
        <v>5</v>
      </c>
      <c r="D539" s="222" t="e">
        <f t="array" ref="D539">IF(F539="","",INDEX(#REF!,MATCH(F539,#REF!,0)))</f>
        <v>#REF!</v>
      </c>
      <c r="E539" s="222" t="e">
        <f t="array" ref="E539">IF(F539="","",INDEX(#REF!,MATCH(F539,#REF!,0)))</f>
        <v>#REF!</v>
      </c>
      <c r="F539" s="222" t="s">
        <v>16</v>
      </c>
      <c r="G539" s="222" t="s">
        <v>4499</v>
      </c>
      <c r="H539" s="223">
        <v>1.5</v>
      </c>
      <c r="I539" s="222" t="s">
        <v>6068</v>
      </c>
      <c r="J539" s="222" t="s">
        <v>6069</v>
      </c>
      <c r="K539" s="222" t="s">
        <v>6070</v>
      </c>
      <c r="L539" s="222">
        <v>8</v>
      </c>
      <c r="M539" s="222">
        <v>8</v>
      </c>
      <c r="N539" s="222" t="s">
        <v>11</v>
      </c>
      <c r="O539" s="222" t="s">
        <v>9</v>
      </c>
      <c r="P539" s="224"/>
      <c r="Q539" s="224">
        <v>18269.43</v>
      </c>
      <c r="R539" s="224">
        <v>78587.520000000004</v>
      </c>
      <c r="S539" s="224"/>
      <c r="T539" s="224">
        <v>0</v>
      </c>
      <c r="U539" s="224"/>
      <c r="V539" s="224"/>
      <c r="W539" s="224"/>
      <c r="X539" s="224"/>
      <c r="Y539" s="222">
        <v>0</v>
      </c>
      <c r="Z539" s="222">
        <v>8</v>
      </c>
      <c r="AA539" s="224"/>
      <c r="AB539" s="224">
        <v>0</v>
      </c>
      <c r="AC539" s="224">
        <v>0</v>
      </c>
      <c r="AD539" s="224"/>
      <c r="AE539" s="224">
        <v>0</v>
      </c>
      <c r="AF539" s="224"/>
      <c r="AG539" s="224"/>
      <c r="AH539" s="224"/>
      <c r="AI539" s="224"/>
      <c r="AJ539" s="126"/>
      <c r="AK539" s="126"/>
      <c r="AL539" s="126"/>
      <c r="AM539" s="126"/>
      <c r="AN539" s="126"/>
    </row>
    <row r="540" spans="1:40" ht="15.75" customHeight="1">
      <c r="A540" s="221">
        <f t="shared" si="2"/>
        <v>534</v>
      </c>
      <c r="B540" s="222" t="s">
        <v>6046</v>
      </c>
      <c r="C540" s="222" t="s">
        <v>5</v>
      </c>
      <c r="D540" s="222" t="e">
        <f t="array" ref="D540">IF(F540="","",INDEX(#REF!,MATCH(F540,#REF!,0)))</f>
        <v>#REF!</v>
      </c>
      <c r="E540" s="222" t="e">
        <f t="array" ref="E540">IF(F540="","",INDEX(#REF!,MATCH(F540,#REF!,0)))</f>
        <v>#REF!</v>
      </c>
      <c r="F540" s="222" t="s">
        <v>16</v>
      </c>
      <c r="G540" s="222" t="s">
        <v>4495</v>
      </c>
      <c r="H540" s="223">
        <v>2</v>
      </c>
      <c r="I540" s="222" t="s">
        <v>6071</v>
      </c>
      <c r="J540" s="222" t="s">
        <v>6072</v>
      </c>
      <c r="K540" s="222" t="s">
        <v>6073</v>
      </c>
      <c r="L540" s="222">
        <v>58</v>
      </c>
      <c r="M540" s="222">
        <v>58</v>
      </c>
      <c r="N540" s="222" t="s">
        <v>13</v>
      </c>
      <c r="O540" s="222" t="s">
        <v>9</v>
      </c>
      <c r="P540" s="224"/>
      <c r="Q540" s="224"/>
      <c r="R540" s="224"/>
      <c r="S540" s="224"/>
      <c r="T540" s="224"/>
      <c r="U540" s="224"/>
      <c r="V540" s="224"/>
      <c r="W540" s="224"/>
      <c r="X540" s="224"/>
      <c r="Y540" s="222">
        <v>15</v>
      </c>
      <c r="Z540" s="222">
        <v>58</v>
      </c>
      <c r="AA540" s="224"/>
      <c r="AB540" s="224"/>
      <c r="AC540" s="224"/>
      <c r="AD540" s="224"/>
      <c r="AE540" s="224"/>
      <c r="AF540" s="224"/>
      <c r="AG540" s="224"/>
      <c r="AH540" s="224"/>
      <c r="AI540" s="224"/>
      <c r="AJ540" s="126"/>
      <c r="AK540" s="126"/>
      <c r="AL540" s="126"/>
      <c r="AM540" s="126"/>
      <c r="AN540" s="126"/>
    </row>
    <row r="541" spans="1:40" ht="15.75" customHeight="1">
      <c r="A541" s="221">
        <f t="shared" si="2"/>
        <v>535</v>
      </c>
      <c r="B541" s="222" t="s">
        <v>6046</v>
      </c>
      <c r="C541" s="222" t="s">
        <v>5</v>
      </c>
      <c r="D541" s="222" t="e">
        <f t="array" ref="D541">IF(F541="","",INDEX(#REF!,MATCH(F541,#REF!,0)))</f>
        <v>#REF!</v>
      </c>
      <c r="E541" s="222" t="e">
        <f t="array" ref="E541">IF(F541="","",INDEX(#REF!,MATCH(F541,#REF!,0)))</f>
        <v>#REF!</v>
      </c>
      <c r="F541" s="222" t="s">
        <v>16</v>
      </c>
      <c r="G541" s="222" t="s">
        <v>4499</v>
      </c>
      <c r="H541" s="223">
        <v>2.1</v>
      </c>
      <c r="I541" s="222" t="s">
        <v>6074</v>
      </c>
      <c r="J541" s="222" t="s">
        <v>6075</v>
      </c>
      <c r="K541" s="222" t="s">
        <v>6076</v>
      </c>
      <c r="L541" s="222">
        <v>116</v>
      </c>
      <c r="M541" s="222">
        <v>116</v>
      </c>
      <c r="N541" s="222" t="s">
        <v>11</v>
      </c>
      <c r="O541" s="222" t="s">
        <v>9</v>
      </c>
      <c r="P541" s="224">
        <v>986146.25</v>
      </c>
      <c r="Q541" s="224"/>
      <c r="R541" s="224">
        <v>1500</v>
      </c>
      <c r="S541" s="224"/>
      <c r="T541" s="224"/>
      <c r="U541" s="224"/>
      <c r="V541" s="224"/>
      <c r="W541" s="224"/>
      <c r="X541" s="224"/>
      <c r="Y541" s="222">
        <v>15</v>
      </c>
      <c r="Z541" s="222">
        <v>116</v>
      </c>
      <c r="AA541" s="224">
        <v>22017.559999999998</v>
      </c>
      <c r="AB541" s="224"/>
      <c r="AC541" s="224">
        <v>0</v>
      </c>
      <c r="AD541" s="224"/>
      <c r="AE541" s="224"/>
      <c r="AF541" s="224"/>
      <c r="AG541" s="224"/>
      <c r="AH541" s="224"/>
      <c r="AI541" s="224"/>
      <c r="AJ541" s="126"/>
      <c r="AK541" s="126"/>
      <c r="AL541" s="126"/>
      <c r="AM541" s="126"/>
      <c r="AN541" s="126"/>
    </row>
    <row r="542" spans="1:40" ht="15.75" customHeight="1">
      <c r="A542" s="221">
        <f t="shared" si="2"/>
        <v>536</v>
      </c>
      <c r="B542" s="222" t="s">
        <v>6046</v>
      </c>
      <c r="C542" s="222" t="s">
        <v>5</v>
      </c>
      <c r="D542" s="222" t="e">
        <f t="array" ref="D542">IF(F542="","",INDEX(#REF!,MATCH(F542,#REF!,0)))</f>
        <v>#REF!</v>
      </c>
      <c r="E542" s="222" t="e">
        <f t="array" ref="E542">IF(F542="","",INDEX(#REF!,MATCH(F542,#REF!,0)))</f>
        <v>#REF!</v>
      </c>
      <c r="F542" s="222" t="s">
        <v>16</v>
      </c>
      <c r="G542" s="222" t="s">
        <v>4499</v>
      </c>
      <c r="H542" s="223">
        <v>2.2000000000000002</v>
      </c>
      <c r="I542" s="222" t="s">
        <v>6077</v>
      </c>
      <c r="J542" s="222" t="s">
        <v>6078</v>
      </c>
      <c r="K542" s="222" t="s">
        <v>6079</v>
      </c>
      <c r="L542" s="222">
        <v>58</v>
      </c>
      <c r="M542" s="222">
        <v>58</v>
      </c>
      <c r="N542" s="222" t="s">
        <v>11</v>
      </c>
      <c r="O542" s="222" t="s">
        <v>9</v>
      </c>
      <c r="P542" s="224"/>
      <c r="Q542" s="224"/>
      <c r="R542" s="224">
        <v>5250</v>
      </c>
      <c r="S542" s="224"/>
      <c r="T542" s="224"/>
      <c r="U542" s="224"/>
      <c r="V542" s="224"/>
      <c r="W542" s="224"/>
      <c r="X542" s="224"/>
      <c r="Y542" s="222">
        <v>15</v>
      </c>
      <c r="Z542" s="222">
        <v>58</v>
      </c>
      <c r="AA542" s="224"/>
      <c r="AB542" s="224"/>
      <c r="AC542" s="224">
        <v>0</v>
      </c>
      <c r="AD542" s="224"/>
      <c r="AE542" s="224"/>
      <c r="AF542" s="224"/>
      <c r="AG542" s="224"/>
      <c r="AH542" s="224"/>
      <c r="AI542" s="224"/>
      <c r="AJ542" s="126"/>
      <c r="AK542" s="126"/>
      <c r="AL542" s="126"/>
      <c r="AM542" s="126"/>
      <c r="AN542" s="126"/>
    </row>
    <row r="543" spans="1:40" ht="15.75" customHeight="1">
      <c r="A543" s="221">
        <f t="shared" si="2"/>
        <v>537</v>
      </c>
      <c r="B543" s="222" t="s">
        <v>6046</v>
      </c>
      <c r="C543" s="222" t="s">
        <v>5</v>
      </c>
      <c r="D543" s="222" t="e">
        <f t="array" ref="D543">IF(F543="","",INDEX(#REF!,MATCH(F543,#REF!,0)))</f>
        <v>#REF!</v>
      </c>
      <c r="E543" s="222" t="e">
        <f t="array" ref="E543">IF(F543="","",INDEX(#REF!,MATCH(F543,#REF!,0)))</f>
        <v>#REF!</v>
      </c>
      <c r="F543" s="222" t="s">
        <v>16</v>
      </c>
      <c r="G543" s="222" t="s">
        <v>4495</v>
      </c>
      <c r="H543" s="223">
        <v>3</v>
      </c>
      <c r="I543" s="222" t="s">
        <v>6080</v>
      </c>
      <c r="J543" s="222" t="s">
        <v>6081</v>
      </c>
      <c r="K543" s="222" t="s">
        <v>6082</v>
      </c>
      <c r="L543" s="222">
        <v>150</v>
      </c>
      <c r="M543" s="222">
        <v>150</v>
      </c>
      <c r="N543" s="222" t="s">
        <v>13</v>
      </c>
      <c r="O543" s="222" t="s">
        <v>9</v>
      </c>
      <c r="P543" s="224"/>
      <c r="Q543" s="224"/>
      <c r="R543" s="224"/>
      <c r="S543" s="224"/>
      <c r="T543" s="224"/>
      <c r="U543" s="224"/>
      <c r="V543" s="224"/>
      <c r="W543" s="224"/>
      <c r="X543" s="224"/>
      <c r="Y543" s="222">
        <v>82</v>
      </c>
      <c r="Z543" s="222">
        <v>150</v>
      </c>
      <c r="AA543" s="224"/>
      <c r="AB543" s="224"/>
      <c r="AC543" s="224"/>
      <c r="AD543" s="224"/>
      <c r="AE543" s="224"/>
      <c r="AF543" s="224"/>
      <c r="AG543" s="224"/>
      <c r="AH543" s="224"/>
      <c r="AI543" s="224"/>
      <c r="AJ543" s="126"/>
      <c r="AK543" s="126"/>
      <c r="AL543" s="126"/>
      <c r="AM543" s="126"/>
      <c r="AN543" s="126"/>
    </row>
    <row r="544" spans="1:40" ht="15.75" customHeight="1">
      <c r="A544" s="221">
        <f t="shared" si="2"/>
        <v>538</v>
      </c>
      <c r="B544" s="222" t="s">
        <v>6046</v>
      </c>
      <c r="C544" s="222" t="s">
        <v>5</v>
      </c>
      <c r="D544" s="222" t="e">
        <f t="array" ref="D544">IF(F544="","",INDEX(#REF!,MATCH(F544,#REF!,0)))</f>
        <v>#REF!</v>
      </c>
      <c r="E544" s="222" t="e">
        <f t="array" ref="E544">IF(F544="","",INDEX(#REF!,MATCH(F544,#REF!,0)))</f>
        <v>#REF!</v>
      </c>
      <c r="F544" s="222" t="s">
        <v>16</v>
      </c>
      <c r="G544" s="222" t="s">
        <v>4499</v>
      </c>
      <c r="H544" s="223">
        <v>3.1</v>
      </c>
      <c r="I544" s="222" t="s">
        <v>6083</v>
      </c>
      <c r="J544" s="222" t="s">
        <v>6084</v>
      </c>
      <c r="K544" s="222" t="s">
        <v>6085</v>
      </c>
      <c r="L544" s="222">
        <v>12</v>
      </c>
      <c r="M544" s="222">
        <v>12</v>
      </c>
      <c r="N544" s="222" t="s">
        <v>11</v>
      </c>
      <c r="O544" s="222" t="s">
        <v>9</v>
      </c>
      <c r="P544" s="224">
        <v>12178107.84</v>
      </c>
      <c r="Q544" s="224">
        <v>22083.279999999999</v>
      </c>
      <c r="R544" s="224">
        <v>100000</v>
      </c>
      <c r="S544" s="224"/>
      <c r="T544" s="224">
        <v>20000</v>
      </c>
      <c r="U544" s="224"/>
      <c r="V544" s="224"/>
      <c r="W544" s="224"/>
      <c r="X544" s="224"/>
      <c r="Y544" s="222">
        <v>8</v>
      </c>
      <c r="Z544" s="222">
        <v>12</v>
      </c>
      <c r="AA544" s="224">
        <v>2004988.7600000007</v>
      </c>
      <c r="AB544" s="224">
        <v>2089.25</v>
      </c>
      <c r="AC544" s="224">
        <v>0</v>
      </c>
      <c r="AD544" s="224"/>
      <c r="AE544" s="224">
        <v>0</v>
      </c>
      <c r="AF544" s="224"/>
      <c r="AG544" s="224"/>
      <c r="AH544" s="224"/>
      <c r="AI544" s="224"/>
      <c r="AJ544" s="126"/>
      <c r="AK544" s="126"/>
      <c r="AL544" s="126"/>
      <c r="AM544" s="126"/>
      <c r="AN544" s="126"/>
    </row>
    <row r="545" spans="1:40" ht="15.75" customHeight="1">
      <c r="A545" s="221">
        <f t="shared" si="2"/>
        <v>539</v>
      </c>
      <c r="B545" s="222" t="s">
        <v>6046</v>
      </c>
      <c r="C545" s="222" t="s">
        <v>5</v>
      </c>
      <c r="D545" s="222" t="e">
        <f t="array" ref="D545">IF(F545="","",INDEX(#REF!,MATCH(F545,#REF!,0)))</f>
        <v>#REF!</v>
      </c>
      <c r="E545" s="222" t="e">
        <f t="array" ref="E545">IF(F545="","",INDEX(#REF!,MATCH(F545,#REF!,0)))</f>
        <v>#REF!</v>
      </c>
      <c r="F545" s="222" t="s">
        <v>16</v>
      </c>
      <c r="G545" s="222" t="s">
        <v>4499</v>
      </c>
      <c r="H545" s="223">
        <v>3.2</v>
      </c>
      <c r="I545" s="222" t="s">
        <v>6086</v>
      </c>
      <c r="J545" s="222" t="s">
        <v>6087</v>
      </c>
      <c r="K545" s="222" t="s">
        <v>6088</v>
      </c>
      <c r="L545" s="222">
        <v>25</v>
      </c>
      <c r="M545" s="222">
        <v>25</v>
      </c>
      <c r="N545" s="222" t="s">
        <v>11</v>
      </c>
      <c r="O545" s="222" t="s">
        <v>9</v>
      </c>
      <c r="P545" s="224"/>
      <c r="Q545" s="224"/>
      <c r="R545" s="224">
        <v>143515.28</v>
      </c>
      <c r="S545" s="224"/>
      <c r="T545" s="224">
        <v>372000</v>
      </c>
      <c r="U545" s="224"/>
      <c r="V545" s="224"/>
      <c r="W545" s="224"/>
      <c r="X545" s="224"/>
      <c r="Y545" s="222">
        <v>12</v>
      </c>
      <c r="Z545" s="222">
        <v>25</v>
      </c>
      <c r="AA545" s="224"/>
      <c r="AB545" s="224"/>
      <c r="AC545" s="224">
        <v>0</v>
      </c>
      <c r="AD545" s="224"/>
      <c r="AE545" s="224">
        <v>0</v>
      </c>
      <c r="AF545" s="224"/>
      <c r="AG545" s="224"/>
      <c r="AH545" s="224"/>
      <c r="AI545" s="224"/>
      <c r="AJ545" s="126"/>
      <c r="AK545" s="126"/>
      <c r="AL545" s="126"/>
      <c r="AM545" s="126"/>
      <c r="AN545" s="126"/>
    </row>
    <row r="546" spans="1:40" ht="15.75" customHeight="1">
      <c r="A546" s="221">
        <f t="shared" si="2"/>
        <v>540</v>
      </c>
      <c r="B546" s="222" t="s">
        <v>6046</v>
      </c>
      <c r="C546" s="222" t="s">
        <v>5</v>
      </c>
      <c r="D546" s="222" t="e">
        <f t="array" ref="D546">IF(F546="","",INDEX(#REF!,MATCH(F546,#REF!,0)))</f>
        <v>#REF!</v>
      </c>
      <c r="E546" s="222" t="e">
        <f t="array" ref="E546">IF(F546="","",INDEX(#REF!,MATCH(F546,#REF!,0)))</f>
        <v>#REF!</v>
      </c>
      <c r="F546" s="222" t="s">
        <v>16</v>
      </c>
      <c r="G546" s="222" t="s">
        <v>4499</v>
      </c>
      <c r="H546" s="223">
        <v>3.3</v>
      </c>
      <c r="I546" s="222" t="s">
        <v>6089</v>
      </c>
      <c r="J546" s="222" t="s">
        <v>6090</v>
      </c>
      <c r="K546" s="222" t="s">
        <v>6091</v>
      </c>
      <c r="L546" s="222">
        <v>84</v>
      </c>
      <c r="M546" s="222">
        <v>84</v>
      </c>
      <c r="N546" s="222" t="s">
        <v>11</v>
      </c>
      <c r="O546" s="222" t="s">
        <v>9</v>
      </c>
      <c r="P546" s="224"/>
      <c r="Q546" s="224"/>
      <c r="R546" s="224">
        <v>703333.28</v>
      </c>
      <c r="S546" s="224"/>
      <c r="T546" s="224">
        <v>135000</v>
      </c>
      <c r="U546" s="224"/>
      <c r="V546" s="224"/>
      <c r="W546" s="224"/>
      <c r="X546" s="224"/>
      <c r="Y546" s="222">
        <v>30</v>
      </c>
      <c r="Z546" s="222">
        <v>84</v>
      </c>
      <c r="AA546" s="224"/>
      <c r="AB546" s="224"/>
      <c r="AC546" s="224">
        <v>4450</v>
      </c>
      <c r="AD546" s="224"/>
      <c r="AE546" s="224">
        <v>0</v>
      </c>
      <c r="AF546" s="224"/>
      <c r="AG546" s="224"/>
      <c r="AH546" s="224"/>
      <c r="AI546" s="224"/>
      <c r="AJ546" s="126"/>
      <c r="AK546" s="126"/>
      <c r="AL546" s="126"/>
      <c r="AM546" s="126"/>
      <c r="AN546" s="126"/>
    </row>
    <row r="547" spans="1:40" ht="15.75" customHeight="1">
      <c r="A547" s="221">
        <f t="shared" si="2"/>
        <v>541</v>
      </c>
      <c r="B547" s="222" t="s">
        <v>6046</v>
      </c>
      <c r="C547" s="222" t="s">
        <v>5</v>
      </c>
      <c r="D547" s="222" t="e">
        <f t="array" ref="D547">IF(F547="","",INDEX(#REF!,MATCH(F547,#REF!,0)))</f>
        <v>#REF!</v>
      </c>
      <c r="E547" s="222" t="e">
        <f t="array" ref="E547">IF(F547="","",INDEX(#REF!,MATCH(F547,#REF!,0)))</f>
        <v>#REF!</v>
      </c>
      <c r="F547" s="222" t="s">
        <v>16</v>
      </c>
      <c r="G547" s="222" t="s">
        <v>4495</v>
      </c>
      <c r="H547" s="223">
        <v>4</v>
      </c>
      <c r="I547" s="222" t="s">
        <v>6092</v>
      </c>
      <c r="J547" s="222" t="s">
        <v>6093</v>
      </c>
      <c r="K547" s="222" t="s">
        <v>6094</v>
      </c>
      <c r="L547" s="222">
        <v>192</v>
      </c>
      <c r="M547" s="222">
        <v>192</v>
      </c>
      <c r="N547" s="222" t="s">
        <v>13</v>
      </c>
      <c r="O547" s="222" t="s">
        <v>9</v>
      </c>
      <c r="P547" s="224"/>
      <c r="Q547" s="224"/>
      <c r="R547" s="224"/>
      <c r="S547" s="224"/>
      <c r="T547" s="224"/>
      <c r="U547" s="224"/>
      <c r="V547" s="224"/>
      <c r="W547" s="224"/>
      <c r="X547" s="224"/>
      <c r="Y547" s="222">
        <v>76</v>
      </c>
      <c r="Z547" s="222">
        <v>192</v>
      </c>
      <c r="AA547" s="224"/>
      <c r="AB547" s="224"/>
      <c r="AC547" s="224"/>
      <c r="AD547" s="224"/>
      <c r="AE547" s="224"/>
      <c r="AF547" s="224"/>
      <c r="AG547" s="224"/>
      <c r="AH547" s="224"/>
      <c r="AI547" s="224"/>
      <c r="AJ547" s="126"/>
      <c r="AK547" s="126"/>
      <c r="AL547" s="126"/>
      <c r="AM547" s="126"/>
      <c r="AN547" s="126"/>
    </row>
    <row r="548" spans="1:40" ht="15.75" customHeight="1">
      <c r="A548" s="221">
        <f t="shared" si="2"/>
        <v>542</v>
      </c>
      <c r="B548" s="222" t="s">
        <v>6046</v>
      </c>
      <c r="C548" s="222" t="s">
        <v>5</v>
      </c>
      <c r="D548" s="222" t="e">
        <f t="array" ref="D548">IF(F548="","",INDEX(#REF!,MATCH(F548,#REF!,0)))</f>
        <v>#REF!</v>
      </c>
      <c r="E548" s="222" t="e">
        <f t="array" ref="E548">IF(F548="","",INDEX(#REF!,MATCH(F548,#REF!,0)))</f>
        <v>#REF!</v>
      </c>
      <c r="F548" s="222" t="s">
        <v>16</v>
      </c>
      <c r="G548" s="222" t="s">
        <v>4499</v>
      </c>
      <c r="H548" s="223">
        <v>4.0999999999999996</v>
      </c>
      <c r="I548" s="222" t="s">
        <v>6095</v>
      </c>
      <c r="J548" s="222" t="s">
        <v>6096</v>
      </c>
      <c r="K548" s="222" t="s">
        <v>6097</v>
      </c>
      <c r="L548" s="222">
        <v>132</v>
      </c>
      <c r="M548" s="222">
        <v>132</v>
      </c>
      <c r="N548" s="222" t="s">
        <v>11</v>
      </c>
      <c r="O548" s="222" t="s">
        <v>9</v>
      </c>
      <c r="P548" s="224"/>
      <c r="Q548" s="224">
        <v>70000</v>
      </c>
      <c r="R548" s="224">
        <v>5833.31</v>
      </c>
      <c r="S548" s="224"/>
      <c r="T548" s="224"/>
      <c r="U548" s="224"/>
      <c r="V548" s="224"/>
      <c r="W548" s="224"/>
      <c r="X548" s="224"/>
      <c r="Y548" s="222">
        <v>12</v>
      </c>
      <c r="Z548" s="222">
        <v>132</v>
      </c>
      <c r="AA548" s="224"/>
      <c r="AB548" s="224">
        <v>0</v>
      </c>
      <c r="AC548" s="224">
        <v>0</v>
      </c>
      <c r="AD548" s="224"/>
      <c r="AE548" s="224"/>
      <c r="AF548" s="224"/>
      <c r="AG548" s="224"/>
      <c r="AH548" s="224"/>
      <c r="AI548" s="224"/>
      <c r="AJ548" s="126"/>
      <c r="AK548" s="126"/>
      <c r="AL548" s="126"/>
      <c r="AM548" s="126"/>
      <c r="AN548" s="126"/>
    </row>
    <row r="549" spans="1:40" ht="15.75" customHeight="1">
      <c r="A549" s="221">
        <f t="shared" si="2"/>
        <v>543</v>
      </c>
      <c r="B549" s="222" t="s">
        <v>6046</v>
      </c>
      <c r="C549" s="222" t="s">
        <v>5</v>
      </c>
      <c r="D549" s="222" t="e">
        <f t="array" ref="D549">IF(F549="","",INDEX(#REF!,MATCH(F549,#REF!,0)))</f>
        <v>#REF!</v>
      </c>
      <c r="E549" s="222" t="e">
        <f t="array" ref="E549">IF(F549="","",INDEX(#REF!,MATCH(F549,#REF!,0)))</f>
        <v>#REF!</v>
      </c>
      <c r="F549" s="222" t="s">
        <v>16</v>
      </c>
      <c r="G549" s="222" t="s">
        <v>4499</v>
      </c>
      <c r="H549" s="223">
        <v>4.2</v>
      </c>
      <c r="I549" s="222" t="s">
        <v>6098</v>
      </c>
      <c r="J549" s="222" t="s">
        <v>6099</v>
      </c>
      <c r="K549" s="222" t="s">
        <v>6100</v>
      </c>
      <c r="L549" s="222">
        <v>96</v>
      </c>
      <c r="M549" s="222">
        <v>96</v>
      </c>
      <c r="N549" s="222" t="s">
        <v>11</v>
      </c>
      <c r="O549" s="222" t="s">
        <v>9</v>
      </c>
      <c r="P549" s="224"/>
      <c r="Q549" s="224"/>
      <c r="R549" s="224">
        <v>434638.08000000002</v>
      </c>
      <c r="S549" s="224"/>
      <c r="T549" s="224"/>
      <c r="U549" s="224"/>
      <c r="V549" s="224"/>
      <c r="W549" s="224"/>
      <c r="X549" s="224"/>
      <c r="Y549" s="222">
        <v>45</v>
      </c>
      <c r="Z549" s="222">
        <v>96</v>
      </c>
      <c r="AA549" s="224"/>
      <c r="AB549" s="224"/>
      <c r="AC549" s="224">
        <v>0</v>
      </c>
      <c r="AD549" s="224"/>
      <c r="AE549" s="224"/>
      <c r="AF549" s="224"/>
      <c r="AG549" s="224"/>
      <c r="AH549" s="224"/>
      <c r="AI549" s="224"/>
      <c r="AJ549" s="126"/>
      <c r="AK549" s="126"/>
      <c r="AL549" s="126"/>
      <c r="AM549" s="126"/>
      <c r="AN549" s="126"/>
    </row>
    <row r="550" spans="1:40" ht="15.75" customHeight="1">
      <c r="A550" s="221">
        <f t="shared" si="2"/>
        <v>544</v>
      </c>
      <c r="B550" s="222" t="s">
        <v>6046</v>
      </c>
      <c r="C550" s="222" t="s">
        <v>5</v>
      </c>
      <c r="D550" s="222" t="e">
        <f t="array" ref="D550">IF(F550="","",INDEX(#REF!,MATCH(F550,#REF!,0)))</f>
        <v>#REF!</v>
      </c>
      <c r="E550" s="222" t="e">
        <f t="array" ref="E550">IF(F550="","",INDEX(#REF!,MATCH(F550,#REF!,0)))</f>
        <v>#REF!</v>
      </c>
      <c r="F550" s="222" t="s">
        <v>16</v>
      </c>
      <c r="G550" s="222" t="s">
        <v>4495</v>
      </c>
      <c r="H550" s="223">
        <v>5</v>
      </c>
      <c r="I550" s="222" t="s">
        <v>6101</v>
      </c>
      <c r="J550" s="222" t="s">
        <v>6102</v>
      </c>
      <c r="K550" s="222" t="s">
        <v>6103</v>
      </c>
      <c r="L550" s="222">
        <v>6444</v>
      </c>
      <c r="M550" s="222">
        <v>6444</v>
      </c>
      <c r="N550" s="222" t="s">
        <v>13</v>
      </c>
      <c r="O550" s="222" t="s">
        <v>9</v>
      </c>
      <c r="P550" s="224"/>
      <c r="Q550" s="224"/>
      <c r="R550" s="224"/>
      <c r="S550" s="224"/>
      <c r="T550" s="224"/>
      <c r="U550" s="224"/>
      <c r="V550" s="224"/>
      <c r="W550" s="224"/>
      <c r="X550" s="224"/>
      <c r="Y550" s="222">
        <v>3004</v>
      </c>
      <c r="Z550" s="222">
        <v>6444</v>
      </c>
      <c r="AA550" s="224"/>
      <c r="AB550" s="224"/>
      <c r="AC550" s="224"/>
      <c r="AD550" s="224"/>
      <c r="AE550" s="224"/>
      <c r="AF550" s="224"/>
      <c r="AG550" s="224"/>
      <c r="AH550" s="224"/>
      <c r="AI550" s="224"/>
      <c r="AJ550" s="126"/>
      <c r="AK550" s="126"/>
      <c r="AL550" s="126"/>
      <c r="AM550" s="126"/>
      <c r="AN550" s="126"/>
    </row>
    <row r="551" spans="1:40" ht="15.75" customHeight="1">
      <c r="A551" s="221">
        <f t="shared" si="2"/>
        <v>545</v>
      </c>
      <c r="B551" s="222" t="s">
        <v>6046</v>
      </c>
      <c r="C551" s="222" t="s">
        <v>5</v>
      </c>
      <c r="D551" s="222" t="e">
        <f t="array" ref="D551">IF(F551="","",INDEX(#REF!,MATCH(F551,#REF!,0)))</f>
        <v>#REF!</v>
      </c>
      <c r="E551" s="222" t="e">
        <f t="array" ref="E551">IF(F551="","",INDEX(#REF!,MATCH(F551,#REF!,0)))</f>
        <v>#REF!</v>
      </c>
      <c r="F551" s="222" t="s">
        <v>16</v>
      </c>
      <c r="G551" s="222" t="s">
        <v>4499</v>
      </c>
      <c r="H551" s="223">
        <v>5.0999999999999996</v>
      </c>
      <c r="I551" s="222" t="s">
        <v>6104</v>
      </c>
      <c r="J551" s="222" t="s">
        <v>6105</v>
      </c>
      <c r="K551" s="222" t="s">
        <v>6106</v>
      </c>
      <c r="L551" s="222">
        <v>6444</v>
      </c>
      <c r="M551" s="222">
        <v>6444</v>
      </c>
      <c r="N551" s="222" t="s">
        <v>11</v>
      </c>
      <c r="O551" s="222" t="s">
        <v>9</v>
      </c>
      <c r="P551" s="224"/>
      <c r="Q551" s="224">
        <v>200000</v>
      </c>
      <c r="R551" s="224">
        <v>1557147.29</v>
      </c>
      <c r="S551" s="224"/>
      <c r="T551" s="224">
        <v>300000</v>
      </c>
      <c r="U551" s="224"/>
      <c r="V551" s="224"/>
      <c r="W551" s="224"/>
      <c r="X551" s="224"/>
      <c r="Y551" s="222">
        <v>2860</v>
      </c>
      <c r="Z551" s="222">
        <v>6444</v>
      </c>
      <c r="AA551" s="224"/>
      <c r="AB551" s="224">
        <v>0</v>
      </c>
      <c r="AC551" s="224">
        <v>641412</v>
      </c>
      <c r="AD551" s="224"/>
      <c r="AE551" s="224">
        <v>0</v>
      </c>
      <c r="AF551" s="224"/>
      <c r="AG551" s="224"/>
      <c r="AH551" s="224"/>
      <c r="AI551" s="224"/>
      <c r="AJ551" s="126"/>
      <c r="AK551" s="126"/>
      <c r="AL551" s="126"/>
      <c r="AM551" s="126"/>
      <c r="AN551" s="126"/>
    </row>
    <row r="552" spans="1:40" ht="15.75" customHeight="1">
      <c r="A552" s="221">
        <f t="shared" si="2"/>
        <v>546</v>
      </c>
      <c r="B552" s="222" t="s">
        <v>6046</v>
      </c>
      <c r="C552" s="222" t="s">
        <v>5</v>
      </c>
      <c r="D552" s="222" t="e">
        <f t="array" ref="D552">IF(F552="","",INDEX(#REF!,MATCH(F552,#REF!,0)))</f>
        <v>#REF!</v>
      </c>
      <c r="E552" s="222" t="e">
        <f t="array" ref="E552">IF(F552="","",INDEX(#REF!,MATCH(F552,#REF!,0)))</f>
        <v>#REF!</v>
      </c>
      <c r="F552" s="222" t="s">
        <v>16</v>
      </c>
      <c r="G552" s="222" t="s">
        <v>4499</v>
      </c>
      <c r="H552" s="223">
        <v>5.2</v>
      </c>
      <c r="I552" s="222" t="s">
        <v>6107</v>
      </c>
      <c r="J552" s="222" t="s">
        <v>6108</v>
      </c>
      <c r="K552" s="222" t="s">
        <v>6109</v>
      </c>
      <c r="L552" s="222">
        <v>5460</v>
      </c>
      <c r="M552" s="222">
        <v>5460</v>
      </c>
      <c r="N552" s="222" t="s">
        <v>11</v>
      </c>
      <c r="O552" s="222" t="s">
        <v>9</v>
      </c>
      <c r="P552" s="224"/>
      <c r="Q552" s="224"/>
      <c r="R552" s="224">
        <v>70000</v>
      </c>
      <c r="S552" s="224"/>
      <c r="T552" s="224"/>
      <c r="U552" s="224"/>
      <c r="V552" s="224"/>
      <c r="W552" s="224"/>
      <c r="X552" s="224"/>
      <c r="Y552" s="222">
        <v>2860</v>
      </c>
      <c r="Z552" s="222">
        <v>5460</v>
      </c>
      <c r="AA552" s="224"/>
      <c r="AB552" s="224"/>
      <c r="AC552" s="224">
        <v>0</v>
      </c>
      <c r="AD552" s="224"/>
      <c r="AE552" s="224"/>
      <c r="AF552" s="224"/>
      <c r="AG552" s="224"/>
      <c r="AH552" s="224"/>
      <c r="AI552" s="224"/>
      <c r="AJ552" s="126"/>
      <c r="AK552" s="126"/>
      <c r="AL552" s="126"/>
      <c r="AM552" s="126"/>
      <c r="AN552" s="126"/>
    </row>
    <row r="553" spans="1:40" ht="15.75" customHeight="1">
      <c r="A553" s="221">
        <f t="shared" si="2"/>
        <v>547</v>
      </c>
      <c r="B553" s="222" t="s">
        <v>6046</v>
      </c>
      <c r="C553" s="222" t="s">
        <v>5</v>
      </c>
      <c r="D553" s="222" t="e">
        <f t="array" ref="D553">IF(F553="","",INDEX(#REF!,MATCH(F553,#REF!,0)))</f>
        <v>#REF!</v>
      </c>
      <c r="E553" s="222" t="e">
        <f t="array" ref="E553">IF(F553="","",INDEX(#REF!,MATCH(F553,#REF!,0)))</f>
        <v>#REF!</v>
      </c>
      <c r="F553" s="222" t="s">
        <v>16</v>
      </c>
      <c r="G553" s="222" t="s">
        <v>4495</v>
      </c>
      <c r="H553" s="223">
        <v>6</v>
      </c>
      <c r="I553" s="222" t="s">
        <v>6110</v>
      </c>
      <c r="J553" s="222" t="s">
        <v>6111</v>
      </c>
      <c r="K553" s="222" t="s">
        <v>6112</v>
      </c>
      <c r="L553" s="222">
        <v>60</v>
      </c>
      <c r="M553" s="222">
        <v>60</v>
      </c>
      <c r="N553" s="222" t="s">
        <v>13</v>
      </c>
      <c r="O553" s="222" t="s">
        <v>9</v>
      </c>
      <c r="P553" s="224"/>
      <c r="Q553" s="224"/>
      <c r="R553" s="224"/>
      <c r="S553" s="224"/>
      <c r="T553" s="224"/>
      <c r="U553" s="224"/>
      <c r="V553" s="224"/>
      <c r="W553" s="224"/>
      <c r="X553" s="224"/>
      <c r="Y553" s="222">
        <v>55</v>
      </c>
      <c r="Z553" s="222">
        <v>60</v>
      </c>
      <c r="AA553" s="224"/>
      <c r="AB553" s="224"/>
      <c r="AC553" s="224"/>
      <c r="AD553" s="224"/>
      <c r="AE553" s="224"/>
      <c r="AF553" s="224"/>
      <c r="AG553" s="224"/>
      <c r="AH553" s="224"/>
      <c r="AI553" s="224"/>
      <c r="AJ553" s="126"/>
      <c r="AK553" s="126"/>
      <c r="AL553" s="126"/>
      <c r="AM553" s="126"/>
      <c r="AN553" s="126"/>
    </row>
    <row r="554" spans="1:40" ht="15.75" customHeight="1">
      <c r="A554" s="221">
        <f t="shared" si="2"/>
        <v>548</v>
      </c>
      <c r="B554" s="222" t="s">
        <v>6046</v>
      </c>
      <c r="C554" s="222" t="s">
        <v>5</v>
      </c>
      <c r="D554" s="222" t="e">
        <f t="array" ref="D554">IF(F554="","",INDEX(#REF!,MATCH(F554,#REF!,0)))</f>
        <v>#REF!</v>
      </c>
      <c r="E554" s="222" t="e">
        <f t="array" ref="E554">IF(F554="","",INDEX(#REF!,MATCH(F554,#REF!,0)))</f>
        <v>#REF!</v>
      </c>
      <c r="F554" s="222" t="s">
        <v>16</v>
      </c>
      <c r="G554" s="222" t="s">
        <v>4499</v>
      </c>
      <c r="H554" s="223">
        <v>6.1</v>
      </c>
      <c r="I554" s="222" t="s">
        <v>6113</v>
      </c>
      <c r="J554" s="222" t="s">
        <v>6114</v>
      </c>
      <c r="K554" s="222" t="s">
        <v>6115</v>
      </c>
      <c r="L554" s="222">
        <v>60</v>
      </c>
      <c r="M554" s="222">
        <v>60</v>
      </c>
      <c r="N554" s="222" t="s">
        <v>11</v>
      </c>
      <c r="O554" s="222" t="s">
        <v>9</v>
      </c>
      <c r="P554" s="224">
        <v>9631765.3600000013</v>
      </c>
      <c r="Q554" s="224"/>
      <c r="R554" s="224">
        <v>9430000</v>
      </c>
      <c r="S554" s="224"/>
      <c r="T554" s="224"/>
      <c r="U554" s="224"/>
      <c r="V554" s="224"/>
      <c r="W554" s="224"/>
      <c r="X554" s="224"/>
      <c r="Y554" s="222">
        <v>80</v>
      </c>
      <c r="Z554" s="222">
        <v>60</v>
      </c>
      <c r="AA554" s="224">
        <v>85438.17</v>
      </c>
      <c r="AB554" s="224"/>
      <c r="AC554" s="224">
        <v>29947.08</v>
      </c>
      <c r="AD554" s="224"/>
      <c r="AE554" s="224"/>
      <c r="AF554" s="224"/>
      <c r="AG554" s="224"/>
      <c r="AH554" s="224"/>
      <c r="AI554" s="224"/>
      <c r="AJ554" s="126"/>
      <c r="AK554" s="126"/>
      <c r="AL554" s="126"/>
      <c r="AM554" s="126"/>
      <c r="AN554" s="126"/>
    </row>
    <row r="555" spans="1:40" ht="15.75" customHeight="1">
      <c r="A555" s="221">
        <f t="shared" si="2"/>
        <v>549</v>
      </c>
      <c r="B555" s="222" t="s">
        <v>6046</v>
      </c>
      <c r="C555" s="222" t="s">
        <v>5</v>
      </c>
      <c r="D555" s="222" t="e">
        <f t="array" ref="D555">IF(F555="","",INDEX(#REF!,MATCH(F555,#REF!,0)))</f>
        <v>#REF!</v>
      </c>
      <c r="E555" s="222" t="e">
        <f t="array" ref="E555">IF(F555="","",INDEX(#REF!,MATCH(F555,#REF!,0)))</f>
        <v>#REF!</v>
      </c>
      <c r="F555" s="222" t="s">
        <v>16</v>
      </c>
      <c r="G555" s="222" t="s">
        <v>4499</v>
      </c>
      <c r="H555" s="223">
        <v>6.2</v>
      </c>
      <c r="I555" s="222" t="s">
        <v>6116</v>
      </c>
      <c r="J555" s="222" t="s">
        <v>6117</v>
      </c>
      <c r="K555" s="222" t="s">
        <v>6118</v>
      </c>
      <c r="L555" s="222">
        <v>300</v>
      </c>
      <c r="M555" s="222">
        <v>300</v>
      </c>
      <c r="N555" s="222" t="s">
        <v>11</v>
      </c>
      <c r="O555" s="222" t="s">
        <v>9</v>
      </c>
      <c r="P555" s="224"/>
      <c r="Q555" s="224">
        <v>100000</v>
      </c>
      <c r="R555" s="224">
        <v>28800000</v>
      </c>
      <c r="S555" s="224"/>
      <c r="T555" s="224"/>
      <c r="U555" s="224"/>
      <c r="V555" s="224"/>
      <c r="W555" s="224"/>
      <c r="X555" s="224"/>
      <c r="Y555" s="222">
        <v>169</v>
      </c>
      <c r="Z555" s="222">
        <v>300</v>
      </c>
      <c r="AA555" s="224"/>
      <c r="AB555" s="224">
        <v>0</v>
      </c>
      <c r="AC555" s="224">
        <v>9278822.7199999988</v>
      </c>
      <c r="AD555" s="224"/>
      <c r="AE555" s="224"/>
      <c r="AF555" s="224"/>
      <c r="AG555" s="224"/>
      <c r="AH555" s="224"/>
      <c r="AI555" s="224"/>
      <c r="AJ555" s="126"/>
      <c r="AK555" s="126"/>
      <c r="AL555" s="126"/>
      <c r="AM555" s="126"/>
      <c r="AN555" s="126"/>
    </row>
    <row r="556" spans="1:40" ht="15.75" customHeight="1">
      <c r="A556" s="221">
        <f t="shared" si="2"/>
        <v>550</v>
      </c>
      <c r="B556" s="222" t="s">
        <v>6046</v>
      </c>
      <c r="C556" s="222" t="s">
        <v>5</v>
      </c>
      <c r="D556" s="222" t="e">
        <f t="array" ref="D556">IF(F556="","",INDEX(#REF!,MATCH(F556,#REF!,0)))</f>
        <v>#REF!</v>
      </c>
      <c r="E556" s="222" t="e">
        <f t="array" ref="E556">IF(F556="","",INDEX(#REF!,MATCH(F556,#REF!,0)))</f>
        <v>#REF!</v>
      </c>
      <c r="F556" s="222" t="s">
        <v>16</v>
      </c>
      <c r="G556" s="222" t="s">
        <v>4495</v>
      </c>
      <c r="H556" s="223">
        <v>7</v>
      </c>
      <c r="I556" s="222" t="s">
        <v>6119</v>
      </c>
      <c r="J556" s="222" t="s">
        <v>6120</v>
      </c>
      <c r="K556" s="222" t="s">
        <v>6121</v>
      </c>
      <c r="L556" s="222">
        <v>300</v>
      </c>
      <c r="M556" s="222">
        <v>300</v>
      </c>
      <c r="N556" s="222" t="s">
        <v>13</v>
      </c>
      <c r="O556" s="222" t="s">
        <v>9</v>
      </c>
      <c r="P556" s="224"/>
      <c r="Q556" s="224"/>
      <c r="R556" s="224"/>
      <c r="S556" s="224"/>
      <c r="T556" s="224"/>
      <c r="U556" s="224"/>
      <c r="V556" s="224"/>
      <c r="W556" s="224"/>
      <c r="X556" s="224"/>
      <c r="Y556" s="222">
        <v>160</v>
      </c>
      <c r="Z556" s="222">
        <v>300</v>
      </c>
      <c r="AA556" s="224"/>
      <c r="AB556" s="224"/>
      <c r="AC556" s="224"/>
      <c r="AD556" s="224"/>
      <c r="AE556" s="224"/>
      <c r="AF556" s="224"/>
      <c r="AG556" s="224"/>
      <c r="AH556" s="224"/>
      <c r="AI556" s="224"/>
      <c r="AJ556" s="126"/>
      <c r="AK556" s="126"/>
      <c r="AL556" s="126"/>
      <c r="AM556" s="126"/>
      <c r="AN556" s="126"/>
    </row>
    <row r="557" spans="1:40" ht="15.75" customHeight="1">
      <c r="A557" s="221">
        <f t="shared" si="2"/>
        <v>551</v>
      </c>
      <c r="B557" s="222" t="s">
        <v>6046</v>
      </c>
      <c r="C557" s="222" t="s">
        <v>5</v>
      </c>
      <c r="D557" s="222" t="e">
        <f t="array" ref="D557">IF(F557="","",INDEX(#REF!,MATCH(F557,#REF!,0)))</f>
        <v>#REF!</v>
      </c>
      <c r="E557" s="222" t="e">
        <f t="array" ref="E557">IF(F557="","",INDEX(#REF!,MATCH(F557,#REF!,0)))</f>
        <v>#REF!</v>
      </c>
      <c r="F557" s="222" t="s">
        <v>16</v>
      </c>
      <c r="G557" s="222" t="s">
        <v>4499</v>
      </c>
      <c r="H557" s="223">
        <v>7.1</v>
      </c>
      <c r="I557" s="222" t="s">
        <v>6122</v>
      </c>
      <c r="J557" s="222" t="s">
        <v>6123</v>
      </c>
      <c r="K557" s="222" t="s">
        <v>6124</v>
      </c>
      <c r="L557" s="222">
        <v>50</v>
      </c>
      <c r="M557" s="222">
        <v>50</v>
      </c>
      <c r="N557" s="222" t="s">
        <v>11</v>
      </c>
      <c r="O557" s="222" t="s">
        <v>9</v>
      </c>
      <c r="P557" s="224">
        <v>4550295.5299999993</v>
      </c>
      <c r="Q557" s="224"/>
      <c r="R557" s="224">
        <v>210000</v>
      </c>
      <c r="S557" s="224"/>
      <c r="T557" s="224">
        <v>333500</v>
      </c>
      <c r="U557" s="224"/>
      <c r="V557" s="224"/>
      <c r="W557" s="224"/>
      <c r="X557" s="224"/>
      <c r="Y557" s="222">
        <v>24</v>
      </c>
      <c r="Z557" s="222">
        <v>50</v>
      </c>
      <c r="AA557" s="224">
        <v>672976.05999999994</v>
      </c>
      <c r="AB557" s="224"/>
      <c r="AC557" s="224">
        <v>0</v>
      </c>
      <c r="AD557" s="224"/>
      <c r="AE557" s="224">
        <v>0</v>
      </c>
      <c r="AF557" s="224"/>
      <c r="AG557" s="224"/>
      <c r="AH557" s="224"/>
      <c r="AI557" s="224"/>
      <c r="AJ557" s="126"/>
      <c r="AK557" s="126"/>
      <c r="AL557" s="126"/>
      <c r="AM557" s="126"/>
      <c r="AN557" s="126"/>
    </row>
    <row r="558" spans="1:40" ht="15.75" customHeight="1">
      <c r="A558" s="221">
        <f t="shared" si="2"/>
        <v>552</v>
      </c>
      <c r="B558" s="222" t="s">
        <v>6046</v>
      </c>
      <c r="C558" s="222" t="s">
        <v>5</v>
      </c>
      <c r="D558" s="222" t="e">
        <f t="array" ref="D558">IF(F558="","",INDEX(#REF!,MATCH(F558,#REF!,0)))</f>
        <v>#REF!</v>
      </c>
      <c r="E558" s="222" t="e">
        <f t="array" ref="E558">IF(F558="","",INDEX(#REF!,MATCH(F558,#REF!,0)))</f>
        <v>#REF!</v>
      </c>
      <c r="F558" s="222" t="s">
        <v>16</v>
      </c>
      <c r="G558" s="222" t="s">
        <v>4499</v>
      </c>
      <c r="H558" s="223">
        <v>7.2</v>
      </c>
      <c r="I558" s="222" t="s">
        <v>6125</v>
      </c>
      <c r="J558" s="222" t="s">
        <v>6126</v>
      </c>
      <c r="K558" s="222"/>
      <c r="L558" s="222">
        <v>12</v>
      </c>
      <c r="M558" s="222">
        <v>12</v>
      </c>
      <c r="N558" s="222" t="s">
        <v>11</v>
      </c>
      <c r="O558" s="222" t="s">
        <v>4611</v>
      </c>
      <c r="P558" s="224"/>
      <c r="Q558" s="224">
        <v>3850</v>
      </c>
      <c r="R558" s="224">
        <v>9333.35</v>
      </c>
      <c r="S558" s="224"/>
      <c r="T558" s="224"/>
      <c r="U558" s="224"/>
      <c r="V558" s="224"/>
      <c r="W558" s="224"/>
      <c r="X558" s="224"/>
      <c r="Y558" s="222">
        <v>0</v>
      </c>
      <c r="Z558" s="222">
        <v>12</v>
      </c>
      <c r="AA558" s="224"/>
      <c r="AB558" s="224">
        <v>0</v>
      </c>
      <c r="AC558" s="224">
        <v>0</v>
      </c>
      <c r="AD558" s="224"/>
      <c r="AE558" s="224"/>
      <c r="AF558" s="224"/>
      <c r="AG558" s="224"/>
      <c r="AH558" s="224"/>
      <c r="AI558" s="224"/>
      <c r="AJ558" s="126"/>
      <c r="AK558" s="126"/>
      <c r="AL558" s="126"/>
      <c r="AM558" s="126"/>
      <c r="AN558" s="126"/>
    </row>
    <row r="559" spans="1:40" ht="15.75" customHeight="1">
      <c r="A559" s="221">
        <f t="shared" si="2"/>
        <v>553</v>
      </c>
      <c r="B559" s="222" t="s">
        <v>6046</v>
      </c>
      <c r="C559" s="222" t="s">
        <v>5</v>
      </c>
      <c r="D559" s="222" t="e">
        <f t="array" ref="D559">IF(F559="","",INDEX(#REF!,MATCH(F559,#REF!,0)))</f>
        <v>#REF!</v>
      </c>
      <c r="E559" s="222" t="e">
        <f t="array" ref="E559">IF(F559="","",INDEX(#REF!,MATCH(F559,#REF!,0)))</f>
        <v>#REF!</v>
      </c>
      <c r="F559" s="222" t="s">
        <v>16</v>
      </c>
      <c r="G559" s="222" t="s">
        <v>4499</v>
      </c>
      <c r="H559" s="223">
        <v>7.3</v>
      </c>
      <c r="I559" s="222" t="s">
        <v>6127</v>
      </c>
      <c r="J559" s="222" t="s">
        <v>6128</v>
      </c>
      <c r="K559" s="222" t="s">
        <v>6129</v>
      </c>
      <c r="L559" s="222">
        <v>20</v>
      </c>
      <c r="M559" s="222">
        <v>20</v>
      </c>
      <c r="N559" s="222" t="s">
        <v>11</v>
      </c>
      <c r="O559" s="222" t="s">
        <v>9</v>
      </c>
      <c r="P559" s="224"/>
      <c r="Q559" s="224"/>
      <c r="R559" s="224">
        <v>400000</v>
      </c>
      <c r="S559" s="224"/>
      <c r="T559" s="224"/>
      <c r="U559" s="224"/>
      <c r="V559" s="224"/>
      <c r="W559" s="224"/>
      <c r="X559" s="224"/>
      <c r="Y559" s="222">
        <v>14</v>
      </c>
      <c r="Z559" s="222">
        <v>20</v>
      </c>
      <c r="AA559" s="224"/>
      <c r="AB559" s="224"/>
      <c r="AC559" s="224">
        <v>0</v>
      </c>
      <c r="AD559" s="224"/>
      <c r="AE559" s="224"/>
      <c r="AF559" s="224"/>
      <c r="AG559" s="224"/>
      <c r="AH559" s="224"/>
      <c r="AI559" s="224"/>
      <c r="AJ559" s="126"/>
      <c r="AK559" s="126"/>
      <c r="AL559" s="126"/>
      <c r="AM559" s="126"/>
      <c r="AN559" s="126"/>
    </row>
    <row r="560" spans="1:40" ht="15.75" customHeight="1">
      <c r="A560" s="221">
        <f t="shared" si="2"/>
        <v>554</v>
      </c>
      <c r="B560" s="222" t="s">
        <v>6046</v>
      </c>
      <c r="C560" s="222" t="s">
        <v>5</v>
      </c>
      <c r="D560" s="222" t="e">
        <f t="array" ref="D560">IF(F560="","",INDEX(#REF!,MATCH(F560,#REF!,0)))</f>
        <v>#REF!</v>
      </c>
      <c r="E560" s="222" t="e">
        <f t="array" ref="E560">IF(F560="","",INDEX(#REF!,MATCH(F560,#REF!,0)))</f>
        <v>#REF!</v>
      </c>
      <c r="F560" s="222" t="s">
        <v>16</v>
      </c>
      <c r="G560" s="222" t="s">
        <v>4499</v>
      </c>
      <c r="H560" s="223">
        <v>7.4</v>
      </c>
      <c r="I560" s="222" t="s">
        <v>6130</v>
      </c>
      <c r="J560" s="222" t="s">
        <v>6131</v>
      </c>
      <c r="K560" s="222" t="s">
        <v>6132</v>
      </c>
      <c r="L560" s="222">
        <v>20</v>
      </c>
      <c r="M560" s="222">
        <v>20</v>
      </c>
      <c r="N560" s="222" t="s">
        <v>15</v>
      </c>
      <c r="O560" s="222" t="s">
        <v>9</v>
      </c>
      <c r="P560" s="224"/>
      <c r="Q560" s="224"/>
      <c r="R560" s="224">
        <v>0</v>
      </c>
      <c r="S560" s="224"/>
      <c r="T560" s="224"/>
      <c r="U560" s="224"/>
      <c r="V560" s="224"/>
      <c r="W560" s="224"/>
      <c r="X560" s="224"/>
      <c r="Y560" s="222">
        <v>0</v>
      </c>
      <c r="Z560" s="222">
        <v>20</v>
      </c>
      <c r="AA560" s="224"/>
      <c r="AB560" s="224"/>
      <c r="AC560" s="224">
        <v>0</v>
      </c>
      <c r="AD560" s="224"/>
      <c r="AE560" s="224"/>
      <c r="AF560" s="224"/>
      <c r="AG560" s="224"/>
      <c r="AH560" s="224"/>
      <c r="AI560" s="224"/>
      <c r="AJ560" s="126"/>
      <c r="AK560" s="126"/>
      <c r="AL560" s="126"/>
      <c r="AM560" s="126"/>
      <c r="AN560" s="126"/>
    </row>
    <row r="561" spans="1:40" ht="15.75" customHeight="1">
      <c r="A561" s="221">
        <f t="shared" si="2"/>
        <v>555</v>
      </c>
      <c r="B561" s="222" t="s">
        <v>6046</v>
      </c>
      <c r="C561" s="222" t="s">
        <v>5</v>
      </c>
      <c r="D561" s="222" t="e">
        <f t="array" ref="D561">IF(F561="","",INDEX(#REF!,MATCH(F561,#REF!,0)))</f>
        <v>#REF!</v>
      </c>
      <c r="E561" s="222" t="e">
        <f t="array" ref="E561">IF(F561="","",INDEX(#REF!,MATCH(F561,#REF!,0)))</f>
        <v>#REF!</v>
      </c>
      <c r="F561" s="222" t="s">
        <v>16</v>
      </c>
      <c r="G561" s="222" t="s">
        <v>4499</v>
      </c>
      <c r="H561" s="223">
        <v>7.5</v>
      </c>
      <c r="I561" s="222" t="s">
        <v>6133</v>
      </c>
      <c r="J561" s="222" t="s">
        <v>6134</v>
      </c>
      <c r="K561" s="222" t="s">
        <v>6135</v>
      </c>
      <c r="L561" s="222">
        <v>1</v>
      </c>
      <c r="M561" s="222">
        <v>1</v>
      </c>
      <c r="N561" s="222" t="s">
        <v>15</v>
      </c>
      <c r="O561" s="222" t="s">
        <v>9</v>
      </c>
      <c r="P561" s="224"/>
      <c r="Q561" s="224"/>
      <c r="R561" s="224">
        <v>810000</v>
      </c>
      <c r="S561" s="224"/>
      <c r="T561" s="224"/>
      <c r="U561" s="224"/>
      <c r="V561" s="224"/>
      <c r="W561" s="224"/>
      <c r="X561" s="224"/>
      <c r="Y561" s="222">
        <v>0</v>
      </c>
      <c r="Z561" s="222">
        <v>1</v>
      </c>
      <c r="AA561" s="224"/>
      <c r="AB561" s="224"/>
      <c r="AC561" s="224">
        <v>0</v>
      </c>
      <c r="AD561" s="224"/>
      <c r="AE561" s="224"/>
      <c r="AF561" s="224"/>
      <c r="AG561" s="224"/>
      <c r="AH561" s="224"/>
      <c r="AI561" s="224"/>
      <c r="AJ561" s="126"/>
      <c r="AK561" s="126"/>
      <c r="AL561" s="126"/>
      <c r="AM561" s="126"/>
      <c r="AN561" s="126"/>
    </row>
    <row r="562" spans="1:40" ht="15.75" customHeight="1">
      <c r="A562" s="221">
        <f t="shared" si="2"/>
        <v>556</v>
      </c>
      <c r="B562" s="222" t="s">
        <v>6046</v>
      </c>
      <c r="C562" s="222" t="s">
        <v>5</v>
      </c>
      <c r="D562" s="222" t="e">
        <f t="array" ref="D562">IF(F562="","",INDEX(#REF!,MATCH(F562,#REF!,0)))</f>
        <v>#REF!</v>
      </c>
      <c r="E562" s="222" t="e">
        <f t="array" ref="E562">IF(F562="","",INDEX(#REF!,MATCH(F562,#REF!,0)))</f>
        <v>#REF!</v>
      </c>
      <c r="F562" s="222" t="s">
        <v>16</v>
      </c>
      <c r="G562" s="222" t="s">
        <v>4495</v>
      </c>
      <c r="H562" s="223">
        <v>8</v>
      </c>
      <c r="I562" s="222" t="s">
        <v>6136</v>
      </c>
      <c r="J562" s="222" t="s">
        <v>6137</v>
      </c>
      <c r="K562" s="222" t="s">
        <v>6138</v>
      </c>
      <c r="L562" s="222">
        <v>470</v>
      </c>
      <c r="M562" s="222">
        <v>470</v>
      </c>
      <c r="N562" s="222" t="s">
        <v>13</v>
      </c>
      <c r="O562" s="222" t="s">
        <v>9</v>
      </c>
      <c r="P562" s="224"/>
      <c r="Q562" s="224"/>
      <c r="R562" s="224"/>
      <c r="S562" s="224"/>
      <c r="T562" s="224"/>
      <c r="U562" s="224"/>
      <c r="V562" s="224"/>
      <c r="W562" s="224"/>
      <c r="X562" s="224"/>
      <c r="Y562" s="222">
        <v>257</v>
      </c>
      <c r="Z562" s="222">
        <v>470</v>
      </c>
      <c r="AA562" s="224"/>
      <c r="AB562" s="224"/>
      <c r="AC562" s="224"/>
      <c r="AD562" s="224"/>
      <c r="AE562" s="224"/>
      <c r="AF562" s="224"/>
      <c r="AG562" s="224"/>
      <c r="AH562" s="224"/>
      <c r="AI562" s="224"/>
      <c r="AJ562" s="126"/>
      <c r="AK562" s="126"/>
      <c r="AL562" s="126"/>
      <c r="AM562" s="126"/>
      <c r="AN562" s="126"/>
    </row>
    <row r="563" spans="1:40" ht="15.75" customHeight="1">
      <c r="A563" s="221">
        <f t="shared" si="2"/>
        <v>557</v>
      </c>
      <c r="B563" s="222" t="s">
        <v>6046</v>
      </c>
      <c r="C563" s="222" t="s">
        <v>5</v>
      </c>
      <c r="D563" s="222" t="e">
        <f t="array" ref="D563">IF(F563="","",INDEX(#REF!,MATCH(F563,#REF!,0)))</f>
        <v>#REF!</v>
      </c>
      <c r="E563" s="222" t="e">
        <f t="array" ref="E563">IF(F563="","",INDEX(#REF!,MATCH(F563,#REF!,0)))</f>
        <v>#REF!</v>
      </c>
      <c r="F563" s="222" t="s">
        <v>16</v>
      </c>
      <c r="G563" s="222" t="s">
        <v>4499</v>
      </c>
      <c r="H563" s="223">
        <v>8.1</v>
      </c>
      <c r="I563" s="222" t="s">
        <v>6139</v>
      </c>
      <c r="J563" s="222" t="s">
        <v>6140</v>
      </c>
      <c r="K563" s="222" t="s">
        <v>6141</v>
      </c>
      <c r="L563" s="222">
        <v>450</v>
      </c>
      <c r="M563" s="222">
        <v>450</v>
      </c>
      <c r="N563" s="222" t="s">
        <v>11</v>
      </c>
      <c r="O563" s="222" t="s">
        <v>9</v>
      </c>
      <c r="P563" s="224">
        <v>719787.49</v>
      </c>
      <c r="Q563" s="224">
        <v>37118.86</v>
      </c>
      <c r="R563" s="224">
        <v>37118.86</v>
      </c>
      <c r="S563" s="224"/>
      <c r="T563" s="224"/>
      <c r="U563" s="224"/>
      <c r="V563" s="224"/>
      <c r="W563" s="224"/>
      <c r="X563" s="224"/>
      <c r="Y563" s="222">
        <v>247</v>
      </c>
      <c r="Z563" s="222">
        <v>450</v>
      </c>
      <c r="AA563" s="224">
        <v>84604.2</v>
      </c>
      <c r="AB563" s="224">
        <v>0</v>
      </c>
      <c r="AC563" s="224">
        <v>0</v>
      </c>
      <c r="AD563" s="224"/>
      <c r="AE563" s="224"/>
      <c r="AF563" s="224"/>
      <c r="AG563" s="224"/>
      <c r="AH563" s="224"/>
      <c r="AI563" s="224"/>
      <c r="AJ563" s="126"/>
      <c r="AK563" s="126"/>
      <c r="AL563" s="126"/>
      <c r="AM563" s="126"/>
      <c r="AN563" s="126"/>
    </row>
    <row r="564" spans="1:40" ht="15.75" customHeight="1">
      <c r="A564" s="221">
        <f t="shared" si="2"/>
        <v>558</v>
      </c>
      <c r="B564" s="222" t="s">
        <v>6046</v>
      </c>
      <c r="C564" s="222" t="s">
        <v>5</v>
      </c>
      <c r="D564" s="222" t="e">
        <f t="array" ref="D564">IF(F564="","",INDEX(#REF!,MATCH(F564,#REF!,0)))</f>
        <v>#REF!</v>
      </c>
      <c r="E564" s="222" t="e">
        <f t="array" ref="E564">IF(F564="","",INDEX(#REF!,MATCH(F564,#REF!,0)))</f>
        <v>#REF!</v>
      </c>
      <c r="F564" s="222" t="s">
        <v>16</v>
      </c>
      <c r="G564" s="222" t="s">
        <v>4499</v>
      </c>
      <c r="H564" s="223">
        <v>8.1999999999999993</v>
      </c>
      <c r="I564" s="222" t="s">
        <v>6142</v>
      </c>
      <c r="J564" s="222" t="s">
        <v>6143</v>
      </c>
      <c r="K564" s="222" t="s">
        <v>6144</v>
      </c>
      <c r="L564" s="222">
        <v>20</v>
      </c>
      <c r="M564" s="222">
        <v>20</v>
      </c>
      <c r="N564" s="222" t="s">
        <v>11</v>
      </c>
      <c r="O564" s="222" t="s">
        <v>9</v>
      </c>
      <c r="P564" s="224"/>
      <c r="Q564" s="224">
        <v>37118.870000000003</v>
      </c>
      <c r="R564" s="224"/>
      <c r="S564" s="224"/>
      <c r="T564" s="224">
        <v>110000</v>
      </c>
      <c r="U564" s="224"/>
      <c r="V564" s="224"/>
      <c r="W564" s="224"/>
      <c r="X564" s="224"/>
      <c r="Y564" s="222">
        <v>10</v>
      </c>
      <c r="Z564" s="222">
        <v>20</v>
      </c>
      <c r="AA564" s="224"/>
      <c r="AB564" s="224">
        <v>0</v>
      </c>
      <c r="AC564" s="224"/>
      <c r="AD564" s="224"/>
      <c r="AE564" s="224">
        <v>0</v>
      </c>
      <c r="AF564" s="224"/>
      <c r="AG564" s="224"/>
      <c r="AH564" s="224"/>
      <c r="AI564" s="224"/>
      <c r="AJ564" s="126"/>
      <c r="AK564" s="126"/>
      <c r="AL564" s="126"/>
      <c r="AM564" s="126"/>
      <c r="AN564" s="126"/>
    </row>
    <row r="565" spans="1:40" ht="15.75" customHeight="1">
      <c r="A565" s="221">
        <f t="shared" si="2"/>
        <v>559</v>
      </c>
      <c r="B565" s="222" t="s">
        <v>6046</v>
      </c>
      <c r="C565" s="222" t="s">
        <v>5</v>
      </c>
      <c r="D565" s="222" t="e">
        <f t="array" ref="D565">IF(F565="","",INDEX(#REF!,MATCH(F565,#REF!,0)))</f>
        <v>#REF!</v>
      </c>
      <c r="E565" s="222" t="e">
        <f t="array" ref="E565">IF(F565="","",INDEX(#REF!,MATCH(F565,#REF!,0)))</f>
        <v>#REF!</v>
      </c>
      <c r="F565" s="222" t="s">
        <v>16</v>
      </c>
      <c r="G565" s="222" t="s">
        <v>4495</v>
      </c>
      <c r="H565" s="223">
        <v>9</v>
      </c>
      <c r="I565" s="222" t="s">
        <v>6145</v>
      </c>
      <c r="J565" s="222" t="s">
        <v>6146</v>
      </c>
      <c r="K565" s="222" t="s">
        <v>6147</v>
      </c>
      <c r="L565" s="222">
        <v>90</v>
      </c>
      <c r="M565" s="222">
        <v>100</v>
      </c>
      <c r="N565" s="222" t="s">
        <v>13</v>
      </c>
      <c r="O565" s="222" t="s">
        <v>9</v>
      </c>
      <c r="P565" s="224"/>
      <c r="Q565" s="224"/>
      <c r="R565" s="224"/>
      <c r="S565" s="224"/>
      <c r="T565" s="224"/>
      <c r="U565" s="224"/>
      <c r="V565" s="224"/>
      <c r="W565" s="224"/>
      <c r="X565" s="224"/>
      <c r="Y565" s="222">
        <v>6</v>
      </c>
      <c r="Z565" s="222">
        <v>100</v>
      </c>
      <c r="AA565" s="224"/>
      <c r="AB565" s="224"/>
      <c r="AC565" s="224"/>
      <c r="AD565" s="224"/>
      <c r="AE565" s="224"/>
      <c r="AF565" s="224"/>
      <c r="AG565" s="224"/>
      <c r="AH565" s="224"/>
      <c r="AI565" s="224"/>
      <c r="AJ565" s="126"/>
      <c r="AK565" s="126"/>
      <c r="AL565" s="126"/>
      <c r="AM565" s="126"/>
      <c r="AN565" s="126"/>
    </row>
    <row r="566" spans="1:40" ht="15.75" customHeight="1">
      <c r="A566" s="221">
        <f t="shared" si="2"/>
        <v>560</v>
      </c>
      <c r="B566" s="222" t="s">
        <v>6046</v>
      </c>
      <c r="C566" s="222" t="s">
        <v>5</v>
      </c>
      <c r="D566" s="222" t="e">
        <f t="array" ref="D566">IF(F566="","",INDEX(#REF!,MATCH(F566,#REF!,0)))</f>
        <v>#REF!</v>
      </c>
      <c r="E566" s="222" t="e">
        <f t="array" ref="E566">IF(F566="","",INDEX(#REF!,MATCH(F566,#REF!,0)))</f>
        <v>#REF!</v>
      </c>
      <c r="F566" s="222" t="s">
        <v>16</v>
      </c>
      <c r="G566" s="222" t="s">
        <v>4499</v>
      </c>
      <c r="H566" s="223">
        <v>9.1</v>
      </c>
      <c r="I566" s="222" t="s">
        <v>6148</v>
      </c>
      <c r="J566" s="222" t="s">
        <v>6149</v>
      </c>
      <c r="K566" s="222" t="s">
        <v>6150</v>
      </c>
      <c r="L566" s="222">
        <v>30000</v>
      </c>
      <c r="M566" s="222">
        <v>30000</v>
      </c>
      <c r="N566" s="222" t="s">
        <v>11</v>
      </c>
      <c r="O566" s="222" t="s">
        <v>9</v>
      </c>
      <c r="P566" s="224"/>
      <c r="Q566" s="224"/>
      <c r="R566" s="224"/>
      <c r="S566" s="224">
        <v>631000000</v>
      </c>
      <c r="T566" s="224"/>
      <c r="U566" s="224"/>
      <c r="V566" s="224"/>
      <c r="W566" s="224"/>
      <c r="X566" s="224"/>
      <c r="Y566" s="222">
        <v>33504</v>
      </c>
      <c r="Z566" s="222">
        <v>30000</v>
      </c>
      <c r="AA566" s="224"/>
      <c r="AB566" s="224"/>
      <c r="AC566" s="224"/>
      <c r="AD566" s="224">
        <v>310750000</v>
      </c>
      <c r="AE566" s="224"/>
      <c r="AF566" s="224"/>
      <c r="AG566" s="224"/>
      <c r="AH566" s="224"/>
      <c r="AI566" s="224"/>
      <c r="AJ566" s="126"/>
      <c r="AK566" s="126"/>
      <c r="AL566" s="126"/>
      <c r="AM566" s="126"/>
      <c r="AN566" s="126"/>
    </row>
    <row r="567" spans="1:40" ht="15.75" customHeight="1">
      <c r="A567" s="221">
        <f t="shared" si="2"/>
        <v>561</v>
      </c>
      <c r="B567" s="222" t="s">
        <v>6046</v>
      </c>
      <c r="C567" s="222" t="s">
        <v>5</v>
      </c>
      <c r="D567" s="222" t="e">
        <f t="array" ref="D567">IF(F567="","",INDEX(#REF!,MATCH(F567,#REF!,0)))</f>
        <v>#REF!</v>
      </c>
      <c r="E567" s="222" t="e">
        <f t="array" ref="E567">IF(F567="","",INDEX(#REF!,MATCH(F567,#REF!,0)))</f>
        <v>#REF!</v>
      </c>
      <c r="F567" s="222" t="s">
        <v>16</v>
      </c>
      <c r="G567" s="222" t="s">
        <v>4499</v>
      </c>
      <c r="H567" s="223">
        <v>9.1999999999999993</v>
      </c>
      <c r="I567" s="222" t="s">
        <v>6151</v>
      </c>
      <c r="J567" s="222" t="s">
        <v>6152</v>
      </c>
      <c r="K567" s="222" t="s">
        <v>6153</v>
      </c>
      <c r="L567" s="222">
        <v>30000</v>
      </c>
      <c r="M567" s="222">
        <v>30000</v>
      </c>
      <c r="N567" s="222" t="s">
        <v>11</v>
      </c>
      <c r="O567" s="222" t="s">
        <v>9</v>
      </c>
      <c r="P567" s="224"/>
      <c r="Q567" s="224"/>
      <c r="R567" s="224"/>
      <c r="S567" s="224">
        <v>5000000</v>
      </c>
      <c r="T567" s="224"/>
      <c r="U567" s="224"/>
      <c r="V567" s="224"/>
      <c r="W567" s="224"/>
      <c r="X567" s="224"/>
      <c r="Y567" s="222">
        <v>15</v>
      </c>
      <c r="Z567" s="222">
        <v>30000</v>
      </c>
      <c r="AA567" s="224"/>
      <c r="AB567" s="224"/>
      <c r="AC567" s="224"/>
      <c r="AD567" s="224">
        <v>0</v>
      </c>
      <c r="AE567" s="224"/>
      <c r="AF567" s="224"/>
      <c r="AG567" s="224"/>
      <c r="AH567" s="224"/>
      <c r="AI567" s="224"/>
      <c r="AJ567" s="126"/>
      <c r="AK567" s="126"/>
      <c r="AL567" s="126"/>
      <c r="AM567" s="126"/>
      <c r="AN567" s="126"/>
    </row>
    <row r="568" spans="1:40" ht="15.75" customHeight="1">
      <c r="A568" s="221">
        <f t="shared" si="2"/>
        <v>562</v>
      </c>
      <c r="B568" s="222" t="s">
        <v>6154</v>
      </c>
      <c r="C568" s="222" t="s">
        <v>5</v>
      </c>
      <c r="D568" s="222" t="e">
        <f t="array" ref="D568">IF(F568="","",INDEX(#REF!,MATCH(F568,#REF!,0)))</f>
        <v>#REF!</v>
      </c>
      <c r="E568" s="222" t="e">
        <f t="array" ref="E568">IF(F568="","",INDEX(#REF!,MATCH(F568,#REF!,0)))</f>
        <v>#REF!</v>
      </c>
      <c r="F568" s="222" t="s">
        <v>18</v>
      </c>
      <c r="G568" s="222" t="s">
        <v>0</v>
      </c>
      <c r="H568" s="223" t="s">
        <v>4487</v>
      </c>
      <c r="I568" s="222" t="s">
        <v>6155</v>
      </c>
      <c r="J568" s="222" t="s">
        <v>6156</v>
      </c>
      <c r="K568" s="222" t="s">
        <v>6157</v>
      </c>
      <c r="L568" s="222">
        <v>487</v>
      </c>
      <c r="M568" s="222">
        <v>487</v>
      </c>
      <c r="N568" s="222" t="s">
        <v>15</v>
      </c>
      <c r="O568" s="222" t="s">
        <v>9</v>
      </c>
      <c r="P568" s="224"/>
      <c r="Q568" s="224"/>
      <c r="R568" s="224"/>
      <c r="S568" s="224"/>
      <c r="T568" s="224"/>
      <c r="U568" s="224"/>
      <c r="V568" s="224"/>
      <c r="W568" s="224"/>
      <c r="X568" s="224"/>
      <c r="Y568" s="222">
        <v>0</v>
      </c>
      <c r="Z568" s="222">
        <v>487</v>
      </c>
      <c r="AA568" s="224"/>
      <c r="AB568" s="224"/>
      <c r="AC568" s="224"/>
      <c r="AD568" s="224"/>
      <c r="AE568" s="224"/>
      <c r="AF568" s="224"/>
      <c r="AG568" s="224"/>
      <c r="AH568" s="224"/>
      <c r="AI568" s="224"/>
      <c r="AJ568" s="126"/>
      <c r="AK568" s="126"/>
      <c r="AL568" s="126"/>
      <c r="AM568" s="126"/>
      <c r="AN568" s="126"/>
    </row>
    <row r="569" spans="1:40" ht="15.75" customHeight="1">
      <c r="A569" s="221">
        <f t="shared" si="2"/>
        <v>563</v>
      </c>
      <c r="B569" s="222" t="s">
        <v>6154</v>
      </c>
      <c r="C569" s="222" t="s">
        <v>5</v>
      </c>
      <c r="D569" s="222" t="e">
        <f t="array" ref="D569">IF(F569="","",INDEX(#REF!,MATCH(F569,#REF!,0)))</f>
        <v>#REF!</v>
      </c>
      <c r="E569" s="222" t="e">
        <f t="array" ref="E569">IF(F569="","",INDEX(#REF!,MATCH(F569,#REF!,0)))</f>
        <v>#REF!</v>
      </c>
      <c r="F569" s="222" t="s">
        <v>18</v>
      </c>
      <c r="G569" s="222" t="s">
        <v>4491</v>
      </c>
      <c r="H569" s="223" t="s">
        <v>4487</v>
      </c>
      <c r="I569" s="222" t="s">
        <v>6158</v>
      </c>
      <c r="J569" s="222" t="s">
        <v>6159</v>
      </c>
      <c r="K569" s="222" t="s">
        <v>6160</v>
      </c>
      <c r="L569" s="222">
        <v>43050</v>
      </c>
      <c r="M569" s="222">
        <v>43050</v>
      </c>
      <c r="N569" s="222" t="s">
        <v>15</v>
      </c>
      <c r="O569" s="222" t="s">
        <v>9</v>
      </c>
      <c r="P569" s="224"/>
      <c r="Q569" s="224"/>
      <c r="R569" s="224"/>
      <c r="S569" s="224"/>
      <c r="T569" s="224"/>
      <c r="U569" s="224"/>
      <c r="V569" s="224"/>
      <c r="W569" s="224"/>
      <c r="X569" s="224"/>
      <c r="Y569" s="222">
        <v>19</v>
      </c>
      <c r="Z569" s="222">
        <v>43050</v>
      </c>
      <c r="AA569" s="224"/>
      <c r="AB569" s="224"/>
      <c r="AC569" s="224"/>
      <c r="AD569" s="224"/>
      <c r="AE569" s="224"/>
      <c r="AF569" s="224"/>
      <c r="AG569" s="224"/>
      <c r="AH569" s="224"/>
      <c r="AI569" s="224"/>
      <c r="AJ569" s="126"/>
      <c r="AK569" s="126"/>
      <c r="AL569" s="126"/>
      <c r="AM569" s="126"/>
      <c r="AN569" s="126"/>
    </row>
    <row r="570" spans="1:40" ht="15.75" customHeight="1">
      <c r="A570" s="221">
        <f t="shared" si="2"/>
        <v>564</v>
      </c>
      <c r="B570" s="222" t="s">
        <v>6154</v>
      </c>
      <c r="C570" s="222" t="s">
        <v>5</v>
      </c>
      <c r="D570" s="222" t="e">
        <f t="array" ref="D570">IF(F570="","",INDEX(#REF!,MATCH(F570,#REF!,0)))</f>
        <v>#REF!</v>
      </c>
      <c r="E570" s="222" t="e">
        <f t="array" ref="E570">IF(F570="","",INDEX(#REF!,MATCH(F570,#REF!,0)))</f>
        <v>#REF!</v>
      </c>
      <c r="F570" s="222" t="s">
        <v>18</v>
      </c>
      <c r="G570" s="222" t="s">
        <v>4495</v>
      </c>
      <c r="H570" s="223">
        <v>1</v>
      </c>
      <c r="I570" s="222" t="s">
        <v>6161</v>
      </c>
      <c r="J570" s="222" t="s">
        <v>6162</v>
      </c>
      <c r="K570" s="222" t="s">
        <v>6163</v>
      </c>
      <c r="L570" s="222">
        <v>23005</v>
      </c>
      <c r="M570" s="222">
        <v>23005</v>
      </c>
      <c r="N570" s="222" t="s">
        <v>13</v>
      </c>
      <c r="O570" s="222" t="s">
        <v>9</v>
      </c>
      <c r="P570" s="224"/>
      <c r="Q570" s="224"/>
      <c r="R570" s="224"/>
      <c r="S570" s="224"/>
      <c r="T570" s="224"/>
      <c r="U570" s="224"/>
      <c r="V570" s="224"/>
      <c r="W570" s="224"/>
      <c r="X570" s="224"/>
      <c r="Y570" s="222">
        <v>9576</v>
      </c>
      <c r="Z570" s="222">
        <v>23005</v>
      </c>
      <c r="AA570" s="224"/>
      <c r="AB570" s="224"/>
      <c r="AC570" s="224"/>
      <c r="AD570" s="224"/>
      <c r="AE570" s="224"/>
      <c r="AF570" s="224"/>
      <c r="AG570" s="224"/>
      <c r="AH570" s="224"/>
      <c r="AI570" s="224"/>
      <c r="AJ570" s="126"/>
      <c r="AK570" s="126"/>
      <c r="AL570" s="126"/>
      <c r="AM570" s="126"/>
      <c r="AN570" s="126"/>
    </row>
    <row r="571" spans="1:40" ht="15.75" customHeight="1">
      <c r="A571" s="221">
        <f t="shared" si="2"/>
        <v>565</v>
      </c>
      <c r="B571" s="222" t="s">
        <v>6154</v>
      </c>
      <c r="C571" s="222" t="s">
        <v>5</v>
      </c>
      <c r="D571" s="222" t="e">
        <f t="array" ref="D571">IF(F571="","",INDEX(#REF!,MATCH(F571,#REF!,0)))</f>
        <v>#REF!</v>
      </c>
      <c r="E571" s="222" t="e">
        <f t="array" ref="E571">IF(F571="","",INDEX(#REF!,MATCH(F571,#REF!,0)))</f>
        <v>#REF!</v>
      </c>
      <c r="F571" s="222" t="s">
        <v>18</v>
      </c>
      <c r="G571" s="222" t="s">
        <v>4499</v>
      </c>
      <c r="H571" s="223">
        <v>1.1000000000000001</v>
      </c>
      <c r="I571" s="222" t="s">
        <v>6164</v>
      </c>
      <c r="J571" s="222" t="s">
        <v>6165</v>
      </c>
      <c r="K571" s="222" t="s">
        <v>6166</v>
      </c>
      <c r="L571" s="222">
        <v>100</v>
      </c>
      <c r="M571" s="222">
        <v>100</v>
      </c>
      <c r="N571" s="222" t="s">
        <v>11</v>
      </c>
      <c r="O571" s="222" t="s">
        <v>9</v>
      </c>
      <c r="P571" s="224">
        <v>22833093.839999996</v>
      </c>
      <c r="Q571" s="224">
        <v>52082.26</v>
      </c>
      <c r="R571" s="224">
        <v>0</v>
      </c>
      <c r="S571" s="224"/>
      <c r="T571" s="224"/>
      <c r="U571" s="224"/>
      <c r="V571" s="224"/>
      <c r="W571" s="224"/>
      <c r="X571" s="224"/>
      <c r="Y571" s="222">
        <v>1</v>
      </c>
      <c r="Z571" s="222">
        <v>100</v>
      </c>
      <c r="AA571" s="224">
        <v>3066191.8800000004</v>
      </c>
      <c r="AB571" s="224">
        <v>7667</v>
      </c>
      <c r="AC571" s="224">
        <v>0</v>
      </c>
      <c r="AD571" s="224"/>
      <c r="AE571" s="224"/>
      <c r="AF571" s="224"/>
      <c r="AG571" s="224"/>
      <c r="AH571" s="224"/>
      <c r="AI571" s="224"/>
      <c r="AJ571" s="126"/>
      <c r="AK571" s="126"/>
      <c r="AL571" s="126"/>
      <c r="AM571" s="126"/>
      <c r="AN571" s="126"/>
    </row>
    <row r="572" spans="1:40" ht="15.75" customHeight="1">
      <c r="A572" s="221">
        <f t="shared" si="2"/>
        <v>566</v>
      </c>
      <c r="B572" s="222" t="s">
        <v>6154</v>
      </c>
      <c r="C572" s="222" t="s">
        <v>5</v>
      </c>
      <c r="D572" s="222" t="e">
        <f t="array" ref="D572">IF(F572="","",INDEX(#REF!,MATCH(F572,#REF!,0)))</f>
        <v>#REF!</v>
      </c>
      <c r="E572" s="222" t="e">
        <f t="array" ref="E572">IF(F572="","",INDEX(#REF!,MATCH(F572,#REF!,0)))</f>
        <v>#REF!</v>
      </c>
      <c r="F572" s="222" t="s">
        <v>18</v>
      </c>
      <c r="G572" s="222" t="s">
        <v>4499</v>
      </c>
      <c r="H572" s="223">
        <v>1.2</v>
      </c>
      <c r="I572" s="222" t="s">
        <v>6164</v>
      </c>
      <c r="J572" s="222" t="s">
        <v>6167</v>
      </c>
      <c r="K572" s="222" t="s">
        <v>6168</v>
      </c>
      <c r="L572" s="222">
        <v>1500</v>
      </c>
      <c r="M572" s="222">
        <v>1500</v>
      </c>
      <c r="N572" s="222" t="s">
        <v>11</v>
      </c>
      <c r="O572" s="222" t="s">
        <v>9</v>
      </c>
      <c r="P572" s="224"/>
      <c r="Q572" s="224">
        <v>598500</v>
      </c>
      <c r="R572" s="224">
        <v>0</v>
      </c>
      <c r="S572" s="224"/>
      <c r="T572" s="224">
        <v>0</v>
      </c>
      <c r="U572" s="224"/>
      <c r="V572" s="224"/>
      <c r="W572" s="224"/>
      <c r="X572" s="224"/>
      <c r="Y572" s="222">
        <v>974</v>
      </c>
      <c r="Z572" s="222">
        <v>1500</v>
      </c>
      <c r="AA572" s="224"/>
      <c r="AB572" s="224">
        <v>66768.05</v>
      </c>
      <c r="AC572" s="224">
        <v>0</v>
      </c>
      <c r="AD572" s="224"/>
      <c r="AE572" s="224">
        <v>0</v>
      </c>
      <c r="AF572" s="224"/>
      <c r="AG572" s="224"/>
      <c r="AH572" s="224"/>
      <c r="AI572" s="224"/>
      <c r="AJ572" s="126"/>
      <c r="AK572" s="126"/>
      <c r="AL572" s="126"/>
      <c r="AM572" s="126"/>
      <c r="AN572" s="126"/>
    </row>
    <row r="573" spans="1:40" ht="15.75" customHeight="1">
      <c r="A573" s="221">
        <f t="shared" si="2"/>
        <v>567</v>
      </c>
      <c r="B573" s="222" t="s">
        <v>6154</v>
      </c>
      <c r="C573" s="222" t="s">
        <v>5</v>
      </c>
      <c r="D573" s="222" t="e">
        <f t="array" ref="D573">IF(F573="","",INDEX(#REF!,MATCH(F573,#REF!,0)))</f>
        <v>#REF!</v>
      </c>
      <c r="E573" s="222" t="e">
        <f t="array" ref="E573">IF(F573="","",INDEX(#REF!,MATCH(F573,#REF!,0)))</f>
        <v>#REF!</v>
      </c>
      <c r="F573" s="222" t="s">
        <v>18</v>
      </c>
      <c r="G573" s="222" t="s">
        <v>4499</v>
      </c>
      <c r="H573" s="223">
        <v>1.3</v>
      </c>
      <c r="I573" s="222" t="s">
        <v>6169</v>
      </c>
      <c r="J573" s="222" t="s">
        <v>6170</v>
      </c>
      <c r="K573" s="222" t="s">
        <v>6171</v>
      </c>
      <c r="L573" s="222">
        <v>200</v>
      </c>
      <c r="M573" s="222">
        <v>200</v>
      </c>
      <c r="N573" s="222" t="s">
        <v>11</v>
      </c>
      <c r="O573" s="222" t="s">
        <v>9</v>
      </c>
      <c r="P573" s="224"/>
      <c r="Q573" s="224"/>
      <c r="R573" s="224">
        <v>180000</v>
      </c>
      <c r="S573" s="224"/>
      <c r="T573" s="224">
        <v>138950</v>
      </c>
      <c r="U573" s="224"/>
      <c r="V573" s="224"/>
      <c r="W573" s="224"/>
      <c r="X573" s="224"/>
      <c r="Y573" s="222">
        <v>156</v>
      </c>
      <c r="Z573" s="222">
        <v>200</v>
      </c>
      <c r="AA573" s="224"/>
      <c r="AB573" s="224"/>
      <c r="AC573" s="224">
        <v>0</v>
      </c>
      <c r="AD573" s="224"/>
      <c r="AE573" s="224">
        <v>0</v>
      </c>
      <c r="AF573" s="224"/>
      <c r="AG573" s="224"/>
      <c r="AH573" s="224"/>
      <c r="AI573" s="224"/>
      <c r="AJ573" s="126"/>
      <c r="AK573" s="126"/>
      <c r="AL573" s="126"/>
      <c r="AM573" s="126"/>
      <c r="AN573" s="126"/>
    </row>
    <row r="574" spans="1:40" ht="15.75" customHeight="1">
      <c r="A574" s="221">
        <f t="shared" si="2"/>
        <v>568</v>
      </c>
      <c r="B574" s="222" t="s">
        <v>6154</v>
      </c>
      <c r="C574" s="222" t="s">
        <v>5</v>
      </c>
      <c r="D574" s="222" t="e">
        <f t="array" ref="D574">IF(F574="","",INDEX(#REF!,MATCH(F574,#REF!,0)))</f>
        <v>#REF!</v>
      </c>
      <c r="E574" s="222" t="e">
        <f t="array" ref="E574">IF(F574="","",INDEX(#REF!,MATCH(F574,#REF!,0)))</f>
        <v>#REF!</v>
      </c>
      <c r="F574" s="222" t="s">
        <v>18</v>
      </c>
      <c r="G574" s="222" t="s">
        <v>4499</v>
      </c>
      <c r="H574" s="223">
        <v>1.4</v>
      </c>
      <c r="I574" s="222" t="s">
        <v>6172</v>
      </c>
      <c r="J574" s="222" t="s">
        <v>6173</v>
      </c>
      <c r="K574" s="222" t="s">
        <v>6174</v>
      </c>
      <c r="L574" s="222">
        <v>5</v>
      </c>
      <c r="M574" s="222">
        <v>5</v>
      </c>
      <c r="N574" s="222" t="s">
        <v>13</v>
      </c>
      <c r="O574" s="222" t="s">
        <v>9</v>
      </c>
      <c r="P574" s="224"/>
      <c r="Q574" s="224">
        <v>30000</v>
      </c>
      <c r="R574" s="224">
        <v>0</v>
      </c>
      <c r="S574" s="224"/>
      <c r="T574" s="224"/>
      <c r="U574" s="224"/>
      <c r="V574" s="224"/>
      <c r="W574" s="224"/>
      <c r="X574" s="224"/>
      <c r="Y574" s="222">
        <v>1</v>
      </c>
      <c r="Z574" s="222">
        <v>5</v>
      </c>
      <c r="AA574" s="224"/>
      <c r="AB574" s="224">
        <v>0</v>
      </c>
      <c r="AC574" s="224">
        <v>0</v>
      </c>
      <c r="AD574" s="224"/>
      <c r="AE574" s="224"/>
      <c r="AF574" s="224"/>
      <c r="AG574" s="224"/>
      <c r="AH574" s="224"/>
      <c r="AI574" s="224"/>
      <c r="AJ574" s="126"/>
      <c r="AK574" s="126"/>
      <c r="AL574" s="126"/>
      <c r="AM574" s="126"/>
      <c r="AN574" s="126"/>
    </row>
    <row r="575" spans="1:40" ht="15.75" customHeight="1">
      <c r="A575" s="221">
        <f t="shared" si="2"/>
        <v>569</v>
      </c>
      <c r="B575" s="222" t="s">
        <v>6154</v>
      </c>
      <c r="C575" s="222" t="s">
        <v>5</v>
      </c>
      <c r="D575" s="222" t="e">
        <f t="array" ref="D575">IF(F575="","",INDEX(#REF!,MATCH(F575,#REF!,0)))</f>
        <v>#REF!</v>
      </c>
      <c r="E575" s="222" t="e">
        <f t="array" ref="E575">IF(F575="","",INDEX(#REF!,MATCH(F575,#REF!,0)))</f>
        <v>#REF!</v>
      </c>
      <c r="F575" s="222" t="s">
        <v>18</v>
      </c>
      <c r="G575" s="222" t="s">
        <v>4495</v>
      </c>
      <c r="H575" s="223">
        <v>2</v>
      </c>
      <c r="I575" s="222" t="s">
        <v>6175</v>
      </c>
      <c r="J575" s="222" t="s">
        <v>6176</v>
      </c>
      <c r="K575" s="222" t="s">
        <v>6177</v>
      </c>
      <c r="L575" s="222">
        <v>2600</v>
      </c>
      <c r="M575" s="222">
        <v>2600</v>
      </c>
      <c r="N575" s="222" t="s">
        <v>13</v>
      </c>
      <c r="O575" s="222" t="s">
        <v>9</v>
      </c>
      <c r="P575" s="224"/>
      <c r="Q575" s="224"/>
      <c r="R575" s="224"/>
      <c r="S575" s="224"/>
      <c r="T575" s="224"/>
      <c r="U575" s="224"/>
      <c r="V575" s="224"/>
      <c r="W575" s="224"/>
      <c r="X575" s="224"/>
      <c r="Y575" s="222">
        <v>1769</v>
      </c>
      <c r="Z575" s="222">
        <v>2600</v>
      </c>
      <c r="AA575" s="224"/>
      <c r="AB575" s="224"/>
      <c r="AC575" s="224"/>
      <c r="AD575" s="224"/>
      <c r="AE575" s="224"/>
      <c r="AF575" s="224"/>
      <c r="AG575" s="224"/>
      <c r="AH575" s="224"/>
      <c r="AI575" s="224"/>
      <c r="AJ575" s="126"/>
      <c r="AK575" s="126"/>
      <c r="AL575" s="126"/>
      <c r="AM575" s="126"/>
      <c r="AN575" s="126"/>
    </row>
    <row r="576" spans="1:40" ht="15.75" customHeight="1">
      <c r="A576" s="221">
        <f t="shared" si="2"/>
        <v>570</v>
      </c>
      <c r="B576" s="222" t="s">
        <v>6154</v>
      </c>
      <c r="C576" s="222" t="s">
        <v>5</v>
      </c>
      <c r="D576" s="222" t="e">
        <f t="array" ref="D576">IF(F576="","",INDEX(#REF!,MATCH(F576,#REF!,0)))</f>
        <v>#REF!</v>
      </c>
      <c r="E576" s="222" t="e">
        <f t="array" ref="E576">IF(F576="","",INDEX(#REF!,MATCH(F576,#REF!,0)))</f>
        <v>#REF!</v>
      </c>
      <c r="F576" s="222" t="s">
        <v>18</v>
      </c>
      <c r="G576" s="222" t="s">
        <v>4499</v>
      </c>
      <c r="H576" s="223">
        <v>2.1</v>
      </c>
      <c r="I576" s="222" t="s">
        <v>6178</v>
      </c>
      <c r="J576" s="222" t="s">
        <v>6179</v>
      </c>
      <c r="K576" s="222" t="s">
        <v>6180</v>
      </c>
      <c r="L576" s="222">
        <v>2500</v>
      </c>
      <c r="M576" s="222">
        <v>2500</v>
      </c>
      <c r="N576" s="222" t="s">
        <v>11</v>
      </c>
      <c r="O576" s="222" t="s">
        <v>9</v>
      </c>
      <c r="P576" s="224"/>
      <c r="Q576" s="224">
        <v>220000</v>
      </c>
      <c r="R576" s="224"/>
      <c r="S576" s="224"/>
      <c r="T576" s="224">
        <v>30000</v>
      </c>
      <c r="U576" s="224"/>
      <c r="V576" s="224"/>
      <c r="W576" s="224"/>
      <c r="X576" s="224"/>
      <c r="Y576" s="222">
        <v>1736</v>
      </c>
      <c r="Z576" s="222">
        <v>2500</v>
      </c>
      <c r="AA576" s="224"/>
      <c r="AB576" s="224">
        <v>34500</v>
      </c>
      <c r="AC576" s="224"/>
      <c r="AD576" s="224"/>
      <c r="AE576" s="224">
        <v>53.4</v>
      </c>
      <c r="AF576" s="224"/>
      <c r="AG576" s="224"/>
      <c r="AH576" s="224"/>
      <c r="AI576" s="224"/>
      <c r="AJ576" s="126"/>
      <c r="AK576" s="126"/>
      <c r="AL576" s="126"/>
      <c r="AM576" s="126"/>
      <c r="AN576" s="126"/>
    </row>
    <row r="577" spans="1:40" ht="15.75" customHeight="1">
      <c r="A577" s="221">
        <f t="shared" si="2"/>
        <v>571</v>
      </c>
      <c r="B577" s="222" t="s">
        <v>6154</v>
      </c>
      <c r="C577" s="222" t="s">
        <v>5</v>
      </c>
      <c r="D577" s="222" t="e">
        <f t="array" ref="D577">IF(F577="","",INDEX(#REF!,MATCH(F577,#REF!,0)))</f>
        <v>#REF!</v>
      </c>
      <c r="E577" s="222" t="e">
        <f t="array" ref="E577">IF(F577="","",INDEX(#REF!,MATCH(F577,#REF!,0)))</f>
        <v>#REF!</v>
      </c>
      <c r="F577" s="222" t="s">
        <v>18</v>
      </c>
      <c r="G577" s="222" t="s">
        <v>4499</v>
      </c>
      <c r="H577" s="223">
        <v>2.2000000000000002</v>
      </c>
      <c r="I577" s="222" t="s">
        <v>6181</v>
      </c>
      <c r="J577" s="222" t="s">
        <v>6182</v>
      </c>
      <c r="K577" s="222" t="s">
        <v>6183</v>
      </c>
      <c r="L577" s="222">
        <v>100</v>
      </c>
      <c r="M577" s="222">
        <v>100</v>
      </c>
      <c r="N577" s="222" t="s">
        <v>11</v>
      </c>
      <c r="O577" s="222" t="s">
        <v>9</v>
      </c>
      <c r="P577" s="224"/>
      <c r="Q577" s="224">
        <v>0</v>
      </c>
      <c r="R577" s="224">
        <v>500</v>
      </c>
      <c r="S577" s="224"/>
      <c r="T577" s="224">
        <v>1005500</v>
      </c>
      <c r="U577" s="224"/>
      <c r="V577" s="224"/>
      <c r="W577" s="224"/>
      <c r="X577" s="224"/>
      <c r="Y577" s="222">
        <v>68</v>
      </c>
      <c r="Z577" s="222">
        <v>100</v>
      </c>
      <c r="AA577" s="224"/>
      <c r="AB577" s="224">
        <v>0</v>
      </c>
      <c r="AC577" s="224">
        <v>0</v>
      </c>
      <c r="AD577" s="224"/>
      <c r="AE577" s="224">
        <v>1477.1</v>
      </c>
      <c r="AF577" s="224"/>
      <c r="AG577" s="224"/>
      <c r="AH577" s="224"/>
      <c r="AI577" s="224"/>
      <c r="AJ577" s="126"/>
      <c r="AK577" s="126"/>
      <c r="AL577" s="126"/>
      <c r="AM577" s="126"/>
      <c r="AN577" s="126"/>
    </row>
    <row r="578" spans="1:40" ht="15.75" customHeight="1">
      <c r="A578" s="221">
        <f t="shared" si="2"/>
        <v>572</v>
      </c>
      <c r="B578" s="222" t="s">
        <v>6154</v>
      </c>
      <c r="C578" s="222" t="s">
        <v>5</v>
      </c>
      <c r="D578" s="222" t="e">
        <f t="array" ref="D578">IF(F578="","",INDEX(#REF!,MATCH(F578,#REF!,0)))</f>
        <v>#REF!</v>
      </c>
      <c r="E578" s="222" t="e">
        <f t="array" ref="E578">IF(F578="","",INDEX(#REF!,MATCH(F578,#REF!,0)))</f>
        <v>#REF!</v>
      </c>
      <c r="F578" s="222" t="s">
        <v>18</v>
      </c>
      <c r="G578" s="222" t="s">
        <v>4495</v>
      </c>
      <c r="H578" s="223">
        <v>3</v>
      </c>
      <c r="I578" s="222" t="s">
        <v>6184</v>
      </c>
      <c r="J578" s="222" t="s">
        <v>6185</v>
      </c>
      <c r="K578" s="222" t="s">
        <v>6186</v>
      </c>
      <c r="L578" s="222">
        <v>250</v>
      </c>
      <c r="M578" s="222">
        <v>250</v>
      </c>
      <c r="N578" s="222" t="s">
        <v>6</v>
      </c>
      <c r="O578" s="222" t="s">
        <v>9</v>
      </c>
      <c r="P578" s="224"/>
      <c r="Q578" s="224"/>
      <c r="R578" s="224"/>
      <c r="S578" s="224"/>
      <c r="T578" s="224"/>
      <c r="U578" s="224"/>
      <c r="V578" s="224"/>
      <c r="W578" s="224"/>
      <c r="X578" s="224"/>
      <c r="Y578" s="222">
        <v>117</v>
      </c>
      <c r="Z578" s="222">
        <v>250</v>
      </c>
      <c r="AA578" s="224"/>
      <c r="AB578" s="224"/>
      <c r="AC578" s="224"/>
      <c r="AD578" s="224"/>
      <c r="AE578" s="224"/>
      <c r="AF578" s="224"/>
      <c r="AG578" s="224"/>
      <c r="AH578" s="224"/>
      <c r="AI578" s="224"/>
      <c r="AJ578" s="126"/>
      <c r="AK578" s="126"/>
      <c r="AL578" s="126"/>
      <c r="AM578" s="126"/>
      <c r="AN578" s="126"/>
    </row>
    <row r="579" spans="1:40" ht="15.75" customHeight="1">
      <c r="A579" s="221">
        <f t="shared" si="2"/>
        <v>573</v>
      </c>
      <c r="B579" s="222" t="s">
        <v>6154</v>
      </c>
      <c r="C579" s="222" t="s">
        <v>5</v>
      </c>
      <c r="D579" s="222" t="e">
        <f t="array" ref="D579">IF(F579="","",INDEX(#REF!,MATCH(F579,#REF!,0)))</f>
        <v>#REF!</v>
      </c>
      <c r="E579" s="222" t="e">
        <f t="array" ref="E579">IF(F579="","",INDEX(#REF!,MATCH(F579,#REF!,0)))</f>
        <v>#REF!</v>
      </c>
      <c r="F579" s="222" t="s">
        <v>18</v>
      </c>
      <c r="G579" s="222" t="s">
        <v>4499</v>
      </c>
      <c r="H579" s="223">
        <v>3.1</v>
      </c>
      <c r="I579" s="222" t="s">
        <v>6187</v>
      </c>
      <c r="J579" s="222" t="s">
        <v>6188</v>
      </c>
      <c r="K579" s="222" t="s">
        <v>6189</v>
      </c>
      <c r="L579" s="222">
        <v>50</v>
      </c>
      <c r="M579" s="222">
        <v>50</v>
      </c>
      <c r="N579" s="222" t="s">
        <v>11</v>
      </c>
      <c r="O579" s="222" t="s">
        <v>9</v>
      </c>
      <c r="P579" s="224"/>
      <c r="Q579" s="224"/>
      <c r="R579" s="224">
        <v>300000</v>
      </c>
      <c r="S579" s="224"/>
      <c r="T579" s="224">
        <v>100000</v>
      </c>
      <c r="U579" s="224"/>
      <c r="V579" s="224"/>
      <c r="W579" s="224"/>
      <c r="X579" s="224"/>
      <c r="Y579" s="222">
        <v>41</v>
      </c>
      <c r="Z579" s="222">
        <v>50</v>
      </c>
      <c r="AA579" s="224"/>
      <c r="AB579" s="224"/>
      <c r="AC579" s="224">
        <v>99783.2</v>
      </c>
      <c r="AD579" s="224"/>
      <c r="AE579" s="224">
        <v>0</v>
      </c>
      <c r="AF579" s="224"/>
      <c r="AG579" s="224"/>
      <c r="AH579" s="224"/>
      <c r="AI579" s="224"/>
      <c r="AJ579" s="126"/>
      <c r="AK579" s="126"/>
      <c r="AL579" s="126"/>
      <c r="AM579" s="126"/>
      <c r="AN579" s="126"/>
    </row>
    <row r="580" spans="1:40" ht="15.75" customHeight="1">
      <c r="A580" s="221">
        <f t="shared" si="2"/>
        <v>574</v>
      </c>
      <c r="B580" s="222" t="s">
        <v>6154</v>
      </c>
      <c r="C580" s="222" t="s">
        <v>5</v>
      </c>
      <c r="D580" s="222" t="e">
        <f t="array" ref="D580">IF(F580="","",INDEX(#REF!,MATCH(F580,#REF!,0)))</f>
        <v>#REF!</v>
      </c>
      <c r="E580" s="222" t="e">
        <f t="array" ref="E580">IF(F580="","",INDEX(#REF!,MATCH(F580,#REF!,0)))</f>
        <v>#REF!</v>
      </c>
      <c r="F580" s="222" t="s">
        <v>18</v>
      </c>
      <c r="G580" s="222" t="s">
        <v>4499</v>
      </c>
      <c r="H580" s="223">
        <v>3.2</v>
      </c>
      <c r="I580" s="222" t="s">
        <v>6190</v>
      </c>
      <c r="J580" s="222" t="s">
        <v>6191</v>
      </c>
      <c r="K580" s="222" t="s">
        <v>6192</v>
      </c>
      <c r="L580" s="222">
        <v>200</v>
      </c>
      <c r="M580" s="222">
        <v>200</v>
      </c>
      <c r="N580" s="222" t="s">
        <v>11</v>
      </c>
      <c r="O580" s="222" t="s">
        <v>9</v>
      </c>
      <c r="P580" s="224"/>
      <c r="Q580" s="224"/>
      <c r="R580" s="224">
        <v>1000000</v>
      </c>
      <c r="S580" s="224"/>
      <c r="T580" s="224"/>
      <c r="U580" s="224"/>
      <c r="V580" s="224"/>
      <c r="W580" s="224"/>
      <c r="X580" s="224"/>
      <c r="Y580" s="222">
        <v>75</v>
      </c>
      <c r="Z580" s="222">
        <v>200</v>
      </c>
      <c r="AA580" s="224"/>
      <c r="AB580" s="224"/>
      <c r="AC580" s="224">
        <v>13391.04</v>
      </c>
      <c r="AD580" s="224"/>
      <c r="AE580" s="224"/>
      <c r="AF580" s="224"/>
      <c r="AG580" s="224"/>
      <c r="AH580" s="224"/>
      <c r="AI580" s="224"/>
      <c r="AJ580" s="126"/>
      <c r="AK580" s="126"/>
      <c r="AL580" s="126"/>
      <c r="AM580" s="126"/>
      <c r="AN580" s="126"/>
    </row>
    <row r="581" spans="1:40" ht="15.75" customHeight="1">
      <c r="A581" s="221">
        <f t="shared" si="2"/>
        <v>575</v>
      </c>
      <c r="B581" s="222" t="s">
        <v>6154</v>
      </c>
      <c r="C581" s="222" t="s">
        <v>5</v>
      </c>
      <c r="D581" s="222" t="e">
        <f t="array" ref="D581">IF(F581="","",INDEX(#REF!,MATCH(F581,#REF!,0)))</f>
        <v>#REF!</v>
      </c>
      <c r="E581" s="222" t="e">
        <f t="array" ref="E581">IF(F581="","",INDEX(#REF!,MATCH(F581,#REF!,0)))</f>
        <v>#REF!</v>
      </c>
      <c r="F581" s="222" t="s">
        <v>18</v>
      </c>
      <c r="G581" s="222" t="s">
        <v>4495</v>
      </c>
      <c r="H581" s="223">
        <v>4</v>
      </c>
      <c r="I581" s="222" t="s">
        <v>6193</v>
      </c>
      <c r="J581" s="222" t="s">
        <v>6194</v>
      </c>
      <c r="K581" s="222" t="s">
        <v>6195</v>
      </c>
      <c r="L581" s="222">
        <v>67</v>
      </c>
      <c r="M581" s="222">
        <v>67</v>
      </c>
      <c r="N581" s="222" t="s">
        <v>13</v>
      </c>
      <c r="O581" s="222" t="s">
        <v>9</v>
      </c>
      <c r="P581" s="224"/>
      <c r="Q581" s="224"/>
      <c r="R581" s="224"/>
      <c r="S581" s="224"/>
      <c r="T581" s="224"/>
      <c r="U581" s="224"/>
      <c r="V581" s="224"/>
      <c r="W581" s="224"/>
      <c r="X581" s="224"/>
      <c r="Y581" s="222">
        <v>40</v>
      </c>
      <c r="Z581" s="222">
        <v>67</v>
      </c>
      <c r="AA581" s="224"/>
      <c r="AB581" s="224"/>
      <c r="AC581" s="224"/>
      <c r="AD581" s="224"/>
      <c r="AE581" s="224"/>
      <c r="AF581" s="224"/>
      <c r="AG581" s="224"/>
      <c r="AH581" s="224"/>
      <c r="AI581" s="224"/>
      <c r="AJ581" s="126"/>
      <c r="AK581" s="126"/>
      <c r="AL581" s="126"/>
      <c r="AM581" s="126"/>
      <c r="AN581" s="126"/>
    </row>
    <row r="582" spans="1:40" ht="15.75" customHeight="1">
      <c r="A582" s="221">
        <f t="shared" si="2"/>
        <v>576</v>
      </c>
      <c r="B582" s="222" t="s">
        <v>6154</v>
      </c>
      <c r="C582" s="222" t="s">
        <v>5</v>
      </c>
      <c r="D582" s="222" t="e">
        <f t="array" ref="D582">IF(F582="","",INDEX(#REF!,MATCH(F582,#REF!,0)))</f>
        <v>#REF!</v>
      </c>
      <c r="E582" s="222" t="e">
        <f t="array" ref="E582">IF(F582="","",INDEX(#REF!,MATCH(F582,#REF!,0)))</f>
        <v>#REF!</v>
      </c>
      <c r="F582" s="222" t="s">
        <v>18</v>
      </c>
      <c r="G582" s="222" t="s">
        <v>4499</v>
      </c>
      <c r="H582" s="223">
        <v>4.0999999999999996</v>
      </c>
      <c r="I582" s="222" t="s">
        <v>6196</v>
      </c>
      <c r="J582" s="222" t="s">
        <v>6197</v>
      </c>
      <c r="K582" s="222" t="s">
        <v>6198</v>
      </c>
      <c r="L582" s="222">
        <v>10</v>
      </c>
      <c r="M582" s="222">
        <v>10</v>
      </c>
      <c r="N582" s="222" t="s">
        <v>11</v>
      </c>
      <c r="O582" s="222" t="s">
        <v>9</v>
      </c>
      <c r="P582" s="224">
        <v>12834968.939999998</v>
      </c>
      <c r="Q582" s="224">
        <v>0</v>
      </c>
      <c r="R582" s="224">
        <v>144905.01999999999</v>
      </c>
      <c r="S582" s="224"/>
      <c r="T582" s="224">
        <v>225000</v>
      </c>
      <c r="U582" s="224"/>
      <c r="V582" s="224"/>
      <c r="W582" s="224"/>
      <c r="X582" s="224"/>
      <c r="Y582" s="222">
        <v>7</v>
      </c>
      <c r="Z582" s="222">
        <v>10</v>
      </c>
      <c r="AA582" s="224">
        <v>3700142.4499999988</v>
      </c>
      <c r="AB582" s="224">
        <v>0</v>
      </c>
      <c r="AC582" s="224">
        <v>24721.199999999997</v>
      </c>
      <c r="AD582" s="224"/>
      <c r="AE582" s="224">
        <v>4789.0200000000004</v>
      </c>
      <c r="AF582" s="224"/>
      <c r="AG582" s="224"/>
      <c r="AH582" s="224"/>
      <c r="AI582" s="224"/>
      <c r="AJ582" s="126"/>
      <c r="AK582" s="126"/>
      <c r="AL582" s="126"/>
      <c r="AM582" s="126"/>
      <c r="AN582" s="126"/>
    </row>
    <row r="583" spans="1:40" ht="15.75" customHeight="1">
      <c r="A583" s="221">
        <f t="shared" si="2"/>
        <v>577</v>
      </c>
      <c r="B583" s="222" t="s">
        <v>6154</v>
      </c>
      <c r="C583" s="222" t="s">
        <v>5</v>
      </c>
      <c r="D583" s="222" t="e">
        <f t="array" ref="D583">IF(F583="","",INDEX(#REF!,MATCH(F583,#REF!,0)))</f>
        <v>#REF!</v>
      </c>
      <c r="E583" s="222" t="e">
        <f t="array" ref="E583">IF(F583="","",INDEX(#REF!,MATCH(F583,#REF!,0)))</f>
        <v>#REF!</v>
      </c>
      <c r="F583" s="222" t="s">
        <v>18</v>
      </c>
      <c r="G583" s="222" t="s">
        <v>4499</v>
      </c>
      <c r="H583" s="223">
        <v>4.2</v>
      </c>
      <c r="I583" s="222" t="s">
        <v>6199</v>
      </c>
      <c r="J583" s="222" t="s">
        <v>6200</v>
      </c>
      <c r="K583" s="222" t="s">
        <v>6201</v>
      </c>
      <c r="L583" s="222">
        <v>12</v>
      </c>
      <c r="M583" s="222">
        <v>12</v>
      </c>
      <c r="N583" s="222" t="s">
        <v>11</v>
      </c>
      <c r="O583" s="222" t="s">
        <v>9</v>
      </c>
      <c r="P583" s="224">
        <v>2728847.92</v>
      </c>
      <c r="Q583" s="224">
        <v>371250.8</v>
      </c>
      <c r="R583" s="224">
        <v>200750</v>
      </c>
      <c r="S583" s="224"/>
      <c r="T583" s="224">
        <v>350000</v>
      </c>
      <c r="U583" s="224"/>
      <c r="V583" s="224"/>
      <c r="W583" s="224"/>
      <c r="X583" s="224"/>
      <c r="Y583" s="222">
        <v>8</v>
      </c>
      <c r="Z583" s="222">
        <v>12</v>
      </c>
      <c r="AA583" s="224">
        <v>590804.74999999988</v>
      </c>
      <c r="AB583" s="224">
        <v>0</v>
      </c>
      <c r="AC583" s="224">
        <v>0</v>
      </c>
      <c r="AD583" s="224"/>
      <c r="AE583" s="224">
        <v>0</v>
      </c>
      <c r="AF583" s="224"/>
      <c r="AG583" s="224"/>
      <c r="AH583" s="224"/>
      <c r="AI583" s="224"/>
      <c r="AJ583" s="126"/>
      <c r="AK583" s="126"/>
      <c r="AL583" s="126"/>
      <c r="AM583" s="126"/>
      <c r="AN583" s="126"/>
    </row>
    <row r="584" spans="1:40" ht="15.75" customHeight="1">
      <c r="A584" s="221">
        <f t="shared" si="2"/>
        <v>578</v>
      </c>
      <c r="B584" s="222" t="s">
        <v>6154</v>
      </c>
      <c r="C584" s="222" t="s">
        <v>5</v>
      </c>
      <c r="D584" s="222" t="e">
        <f t="array" ref="D584">IF(F584="","",INDEX(#REF!,MATCH(F584,#REF!,0)))</f>
        <v>#REF!</v>
      </c>
      <c r="E584" s="222" t="e">
        <f t="array" ref="E584">IF(F584="","",INDEX(#REF!,MATCH(F584,#REF!,0)))</f>
        <v>#REF!</v>
      </c>
      <c r="F584" s="222" t="s">
        <v>18</v>
      </c>
      <c r="G584" s="222" t="s">
        <v>4499</v>
      </c>
      <c r="H584" s="223">
        <v>4.3</v>
      </c>
      <c r="I584" s="222" t="s">
        <v>6202</v>
      </c>
      <c r="J584" s="222" t="s">
        <v>6203</v>
      </c>
      <c r="K584" s="222" t="s">
        <v>6204</v>
      </c>
      <c r="L584" s="222">
        <v>45</v>
      </c>
      <c r="M584" s="222">
        <v>45</v>
      </c>
      <c r="N584" s="222" t="s">
        <v>11</v>
      </c>
      <c r="O584" s="222" t="s">
        <v>9</v>
      </c>
      <c r="P584" s="224"/>
      <c r="Q584" s="224">
        <v>50000</v>
      </c>
      <c r="R584" s="224">
        <v>301250</v>
      </c>
      <c r="S584" s="224"/>
      <c r="T584" s="224">
        <v>150000</v>
      </c>
      <c r="U584" s="224"/>
      <c r="V584" s="224"/>
      <c r="W584" s="224"/>
      <c r="X584" s="224"/>
      <c r="Y584" s="222">
        <v>25</v>
      </c>
      <c r="Z584" s="222">
        <v>45</v>
      </c>
      <c r="AA584" s="224"/>
      <c r="AB584" s="224">
        <v>13219.01</v>
      </c>
      <c r="AC584" s="224">
        <v>0</v>
      </c>
      <c r="AD584" s="224"/>
      <c r="AE584" s="224">
        <v>0</v>
      </c>
      <c r="AF584" s="224"/>
      <c r="AG584" s="224"/>
      <c r="AH584" s="224"/>
      <c r="AI584" s="224"/>
      <c r="AJ584" s="126"/>
      <c r="AK584" s="126"/>
      <c r="AL584" s="126"/>
      <c r="AM584" s="126"/>
      <c r="AN584" s="126"/>
    </row>
    <row r="585" spans="1:40" ht="15.75" customHeight="1">
      <c r="A585" s="221">
        <f t="shared" si="2"/>
        <v>579</v>
      </c>
      <c r="B585" s="222" t="s">
        <v>6154</v>
      </c>
      <c r="C585" s="222" t="s">
        <v>5</v>
      </c>
      <c r="D585" s="222" t="e">
        <f t="array" ref="D585">IF(F585="","",INDEX(#REF!,MATCH(F585,#REF!,0)))</f>
        <v>#REF!</v>
      </c>
      <c r="E585" s="222" t="e">
        <f t="array" ref="E585">IF(F585="","",INDEX(#REF!,MATCH(F585,#REF!,0)))</f>
        <v>#REF!</v>
      </c>
      <c r="F585" s="222" t="s">
        <v>18</v>
      </c>
      <c r="G585" s="222" t="s">
        <v>4495</v>
      </c>
      <c r="H585" s="223">
        <v>5</v>
      </c>
      <c r="I585" s="222" t="s">
        <v>6205</v>
      </c>
      <c r="J585" s="222" t="s">
        <v>6206</v>
      </c>
      <c r="K585" s="222" t="s">
        <v>6207</v>
      </c>
      <c r="L585" s="222">
        <v>128</v>
      </c>
      <c r="M585" s="222">
        <v>128</v>
      </c>
      <c r="N585" s="222" t="s">
        <v>13</v>
      </c>
      <c r="O585" s="222" t="s">
        <v>14</v>
      </c>
      <c r="P585" s="224"/>
      <c r="Q585" s="224"/>
      <c r="R585" s="224"/>
      <c r="S585" s="224"/>
      <c r="T585" s="224"/>
      <c r="U585" s="224"/>
      <c r="V585" s="224"/>
      <c r="W585" s="224"/>
      <c r="X585" s="224"/>
      <c r="Y585" s="222">
        <v>187</v>
      </c>
      <c r="Z585" s="222">
        <v>128</v>
      </c>
      <c r="AA585" s="224"/>
      <c r="AB585" s="224"/>
      <c r="AC585" s="224"/>
      <c r="AD585" s="224"/>
      <c r="AE585" s="224"/>
      <c r="AF585" s="224"/>
      <c r="AG585" s="224"/>
      <c r="AH585" s="224"/>
      <c r="AI585" s="224"/>
      <c r="AJ585" s="126"/>
      <c r="AK585" s="126"/>
      <c r="AL585" s="126"/>
      <c r="AM585" s="126"/>
      <c r="AN585" s="126"/>
    </row>
    <row r="586" spans="1:40" ht="15.75" customHeight="1">
      <c r="A586" s="221">
        <f t="shared" si="2"/>
        <v>580</v>
      </c>
      <c r="B586" s="222" t="s">
        <v>6154</v>
      </c>
      <c r="C586" s="222" t="s">
        <v>5</v>
      </c>
      <c r="D586" s="222" t="e">
        <f t="array" ref="D586">IF(F586="","",INDEX(#REF!,MATCH(F586,#REF!,0)))</f>
        <v>#REF!</v>
      </c>
      <c r="E586" s="222" t="e">
        <f t="array" ref="E586">IF(F586="","",INDEX(#REF!,MATCH(F586,#REF!,0)))</f>
        <v>#REF!</v>
      </c>
      <c r="F586" s="222" t="s">
        <v>18</v>
      </c>
      <c r="G586" s="222" t="s">
        <v>4499</v>
      </c>
      <c r="H586" s="223">
        <v>5.0999999999999996</v>
      </c>
      <c r="I586" s="222" t="s">
        <v>6208</v>
      </c>
      <c r="J586" s="222" t="s">
        <v>6209</v>
      </c>
      <c r="K586" s="222" t="s">
        <v>6210</v>
      </c>
      <c r="L586" s="222">
        <v>20</v>
      </c>
      <c r="M586" s="222">
        <v>20</v>
      </c>
      <c r="N586" s="222" t="s">
        <v>11</v>
      </c>
      <c r="O586" s="222" t="s">
        <v>14</v>
      </c>
      <c r="P586" s="224"/>
      <c r="Q586" s="224">
        <v>200000</v>
      </c>
      <c r="R586" s="224">
        <v>0</v>
      </c>
      <c r="S586" s="224"/>
      <c r="T586" s="224"/>
      <c r="U586" s="224"/>
      <c r="V586" s="224"/>
      <c r="W586" s="224"/>
      <c r="X586" s="224"/>
      <c r="Y586" s="222">
        <v>0</v>
      </c>
      <c r="Z586" s="222">
        <v>20</v>
      </c>
      <c r="AA586" s="224"/>
      <c r="AB586" s="224">
        <v>0</v>
      </c>
      <c r="AC586" s="224">
        <v>0</v>
      </c>
      <c r="AD586" s="224"/>
      <c r="AE586" s="224"/>
      <c r="AF586" s="224"/>
      <c r="AG586" s="224"/>
      <c r="AH586" s="224"/>
      <c r="AI586" s="224"/>
      <c r="AJ586" s="126"/>
      <c r="AK586" s="126"/>
      <c r="AL586" s="126"/>
      <c r="AM586" s="126"/>
      <c r="AN586" s="126"/>
    </row>
    <row r="587" spans="1:40" ht="15.75" customHeight="1">
      <c r="A587" s="221">
        <f t="shared" si="2"/>
        <v>581</v>
      </c>
      <c r="B587" s="222" t="s">
        <v>6154</v>
      </c>
      <c r="C587" s="222" t="s">
        <v>5</v>
      </c>
      <c r="D587" s="222" t="e">
        <f t="array" ref="D587">IF(F587="","",INDEX(#REF!,MATCH(F587,#REF!,0)))</f>
        <v>#REF!</v>
      </c>
      <c r="E587" s="222" t="e">
        <f t="array" ref="E587">IF(F587="","",INDEX(#REF!,MATCH(F587,#REF!,0)))</f>
        <v>#REF!</v>
      </c>
      <c r="F587" s="222" t="s">
        <v>18</v>
      </c>
      <c r="G587" s="222" t="s">
        <v>4499</v>
      </c>
      <c r="H587" s="223">
        <v>5.2</v>
      </c>
      <c r="I587" s="222" t="s">
        <v>6211</v>
      </c>
      <c r="J587" s="222" t="s">
        <v>6212</v>
      </c>
      <c r="K587" s="222" t="s">
        <v>6213</v>
      </c>
      <c r="L587" s="222">
        <v>88</v>
      </c>
      <c r="M587" s="222">
        <v>88</v>
      </c>
      <c r="N587" s="222" t="s">
        <v>11</v>
      </c>
      <c r="O587" s="222" t="s">
        <v>9</v>
      </c>
      <c r="P587" s="224"/>
      <c r="Q587" s="224">
        <v>80000</v>
      </c>
      <c r="R587" s="224">
        <v>495000</v>
      </c>
      <c r="S587" s="224"/>
      <c r="T587" s="224">
        <v>50000</v>
      </c>
      <c r="U587" s="224"/>
      <c r="V587" s="224"/>
      <c r="W587" s="224"/>
      <c r="X587" s="224"/>
      <c r="Y587" s="222">
        <v>104</v>
      </c>
      <c r="Z587" s="222">
        <v>88</v>
      </c>
      <c r="AA587" s="224"/>
      <c r="AB587" s="224">
        <v>0</v>
      </c>
      <c r="AC587" s="224">
        <v>0</v>
      </c>
      <c r="AD587" s="224"/>
      <c r="AE587" s="224">
        <v>0</v>
      </c>
      <c r="AF587" s="224"/>
      <c r="AG587" s="224"/>
      <c r="AH587" s="224"/>
      <c r="AI587" s="224"/>
      <c r="AJ587" s="126"/>
      <c r="AK587" s="126"/>
      <c r="AL587" s="126"/>
      <c r="AM587" s="126"/>
      <c r="AN587" s="126"/>
    </row>
    <row r="588" spans="1:40" ht="15.75" customHeight="1">
      <c r="A588" s="221">
        <f t="shared" si="2"/>
        <v>582</v>
      </c>
      <c r="B588" s="222" t="s">
        <v>6154</v>
      </c>
      <c r="C588" s="222" t="s">
        <v>5</v>
      </c>
      <c r="D588" s="222" t="e">
        <f t="array" ref="D588">IF(F588="","",INDEX(#REF!,MATCH(F588,#REF!,0)))</f>
        <v>#REF!</v>
      </c>
      <c r="E588" s="222" t="e">
        <f t="array" ref="E588">IF(F588="","",INDEX(#REF!,MATCH(F588,#REF!,0)))</f>
        <v>#REF!</v>
      </c>
      <c r="F588" s="222" t="s">
        <v>18</v>
      </c>
      <c r="G588" s="222" t="s">
        <v>4499</v>
      </c>
      <c r="H588" s="223">
        <v>5.3</v>
      </c>
      <c r="I588" s="222" t="s">
        <v>6214</v>
      </c>
      <c r="J588" s="222" t="s">
        <v>6215</v>
      </c>
      <c r="K588" s="222" t="s">
        <v>6216</v>
      </c>
      <c r="L588" s="222">
        <v>10</v>
      </c>
      <c r="M588" s="222">
        <v>10</v>
      </c>
      <c r="N588" s="222" t="s">
        <v>11</v>
      </c>
      <c r="O588" s="222" t="s">
        <v>9</v>
      </c>
      <c r="P588" s="224"/>
      <c r="Q588" s="224"/>
      <c r="R588" s="224">
        <v>1000000</v>
      </c>
      <c r="S588" s="224"/>
      <c r="T588" s="224">
        <v>125000</v>
      </c>
      <c r="U588" s="224"/>
      <c r="V588" s="224"/>
      <c r="W588" s="224"/>
      <c r="X588" s="224"/>
      <c r="Y588" s="222">
        <v>5</v>
      </c>
      <c r="Z588" s="222">
        <v>10</v>
      </c>
      <c r="AA588" s="224"/>
      <c r="AB588" s="224"/>
      <c r="AC588" s="224">
        <v>0</v>
      </c>
      <c r="AD588" s="224"/>
      <c r="AE588" s="224">
        <v>0</v>
      </c>
      <c r="AF588" s="224"/>
      <c r="AG588" s="224"/>
      <c r="AH588" s="224"/>
      <c r="AI588" s="224"/>
      <c r="AJ588" s="126"/>
      <c r="AK588" s="126"/>
      <c r="AL588" s="126"/>
      <c r="AM588" s="126"/>
      <c r="AN588" s="126"/>
    </row>
    <row r="589" spans="1:40" ht="15.75" customHeight="1">
      <c r="A589" s="221">
        <f t="shared" si="2"/>
        <v>583</v>
      </c>
      <c r="B589" s="222" t="s">
        <v>6154</v>
      </c>
      <c r="C589" s="222" t="s">
        <v>5</v>
      </c>
      <c r="D589" s="222" t="e">
        <f t="array" ref="D589">IF(F589="","",INDEX(#REF!,MATCH(F589,#REF!,0)))</f>
        <v>#REF!</v>
      </c>
      <c r="E589" s="222" t="e">
        <f t="array" ref="E589">IF(F589="","",INDEX(#REF!,MATCH(F589,#REF!,0)))</f>
        <v>#REF!</v>
      </c>
      <c r="F589" s="222" t="s">
        <v>18</v>
      </c>
      <c r="G589" s="222" t="s">
        <v>4499</v>
      </c>
      <c r="H589" s="223">
        <v>5.4</v>
      </c>
      <c r="I589" s="222" t="s">
        <v>6217</v>
      </c>
      <c r="J589" s="222" t="s">
        <v>6218</v>
      </c>
      <c r="K589" s="222" t="s">
        <v>6219</v>
      </c>
      <c r="L589" s="222">
        <v>10</v>
      </c>
      <c r="M589" s="222">
        <v>10</v>
      </c>
      <c r="N589" s="222" t="s">
        <v>11</v>
      </c>
      <c r="O589" s="222" t="s">
        <v>9</v>
      </c>
      <c r="P589" s="224"/>
      <c r="Q589" s="224"/>
      <c r="R589" s="224"/>
      <c r="S589" s="224">
        <v>8000000</v>
      </c>
      <c r="T589" s="224"/>
      <c r="U589" s="224"/>
      <c r="V589" s="224"/>
      <c r="W589" s="224"/>
      <c r="X589" s="224"/>
      <c r="Y589" s="222">
        <v>5</v>
      </c>
      <c r="Z589" s="222">
        <v>10</v>
      </c>
      <c r="AA589" s="224"/>
      <c r="AB589" s="224"/>
      <c r="AC589" s="224"/>
      <c r="AD589" s="224">
        <v>0</v>
      </c>
      <c r="AE589" s="224"/>
      <c r="AF589" s="224"/>
      <c r="AG589" s="224"/>
      <c r="AH589" s="224"/>
      <c r="AI589" s="224"/>
      <c r="AJ589" s="126"/>
      <c r="AK589" s="126"/>
      <c r="AL589" s="126"/>
      <c r="AM589" s="126"/>
      <c r="AN589" s="126"/>
    </row>
    <row r="590" spans="1:40" ht="15.75" customHeight="1">
      <c r="A590" s="221">
        <f t="shared" si="2"/>
        <v>584</v>
      </c>
      <c r="B590" s="222" t="s">
        <v>6154</v>
      </c>
      <c r="C590" s="222" t="s">
        <v>5</v>
      </c>
      <c r="D590" s="222" t="e">
        <f t="array" ref="D590">IF(F590="","",INDEX(#REF!,MATCH(F590,#REF!,0)))</f>
        <v>#REF!</v>
      </c>
      <c r="E590" s="222" t="e">
        <f t="array" ref="E590">IF(F590="","",INDEX(#REF!,MATCH(F590,#REF!,0)))</f>
        <v>#REF!</v>
      </c>
      <c r="F590" s="222" t="s">
        <v>18</v>
      </c>
      <c r="G590" s="222" t="s">
        <v>4495</v>
      </c>
      <c r="H590" s="223">
        <v>6</v>
      </c>
      <c r="I590" s="222" t="s">
        <v>6220</v>
      </c>
      <c r="J590" s="222" t="s">
        <v>6221</v>
      </c>
      <c r="K590" s="222" t="s">
        <v>6222</v>
      </c>
      <c r="L590" s="222">
        <v>17000</v>
      </c>
      <c r="M590" s="222">
        <v>17000</v>
      </c>
      <c r="N590" s="222" t="s">
        <v>13</v>
      </c>
      <c r="O590" s="222" t="s">
        <v>9</v>
      </c>
      <c r="P590" s="224"/>
      <c r="Q590" s="224"/>
      <c r="R590" s="224"/>
      <c r="S590" s="224"/>
      <c r="T590" s="224"/>
      <c r="U590" s="224"/>
      <c r="V590" s="224"/>
      <c r="W590" s="224"/>
      <c r="X590" s="224"/>
      <c r="Y590" s="222">
        <v>9025</v>
      </c>
      <c r="Z590" s="222">
        <v>17000</v>
      </c>
      <c r="AA590" s="224"/>
      <c r="AB590" s="224"/>
      <c r="AC590" s="224"/>
      <c r="AD590" s="224"/>
      <c r="AE590" s="224"/>
      <c r="AF590" s="224"/>
      <c r="AG590" s="224"/>
      <c r="AH590" s="224"/>
      <c r="AI590" s="224"/>
      <c r="AJ590" s="126"/>
      <c r="AK590" s="126"/>
      <c r="AL590" s="126"/>
      <c r="AM590" s="126"/>
      <c r="AN590" s="126"/>
    </row>
    <row r="591" spans="1:40" ht="15.75" customHeight="1">
      <c r="A591" s="221">
        <f t="shared" si="2"/>
        <v>585</v>
      </c>
      <c r="B591" s="222" t="s">
        <v>6154</v>
      </c>
      <c r="C591" s="222" t="s">
        <v>5</v>
      </c>
      <c r="D591" s="222" t="e">
        <f t="array" ref="D591">IF(F591="","",INDEX(#REF!,MATCH(F591,#REF!,0)))</f>
        <v>#REF!</v>
      </c>
      <c r="E591" s="222" t="e">
        <f t="array" ref="E591">IF(F591="","",INDEX(#REF!,MATCH(F591,#REF!,0)))</f>
        <v>#REF!</v>
      </c>
      <c r="F591" s="222" t="s">
        <v>18</v>
      </c>
      <c r="G591" s="222" t="s">
        <v>4499</v>
      </c>
      <c r="H591" s="223">
        <v>6.1</v>
      </c>
      <c r="I591" s="222" t="s">
        <v>6223</v>
      </c>
      <c r="J591" s="222" t="s">
        <v>6224</v>
      </c>
      <c r="K591" s="222" t="s">
        <v>6225</v>
      </c>
      <c r="L591" s="222">
        <v>500</v>
      </c>
      <c r="M591" s="222">
        <v>500</v>
      </c>
      <c r="N591" s="222" t="s">
        <v>11</v>
      </c>
      <c r="O591" s="222" t="s">
        <v>9</v>
      </c>
      <c r="P591" s="224">
        <v>37994894.5</v>
      </c>
      <c r="Q591" s="224">
        <v>360978.9</v>
      </c>
      <c r="R591" s="224">
        <v>491808.87000000005</v>
      </c>
      <c r="S591" s="224"/>
      <c r="T591" s="224">
        <v>70000</v>
      </c>
      <c r="U591" s="224"/>
      <c r="V591" s="224"/>
      <c r="W591" s="224"/>
      <c r="X591" s="224"/>
      <c r="Y591" s="222">
        <v>645</v>
      </c>
      <c r="Z591" s="222">
        <v>500</v>
      </c>
      <c r="AA591" s="224">
        <v>4468357.9300000006</v>
      </c>
      <c r="AB591" s="224">
        <v>19689.23</v>
      </c>
      <c r="AC591" s="224">
        <v>5822.75</v>
      </c>
      <c r="AD591" s="224"/>
      <c r="AE591" s="224">
        <v>0</v>
      </c>
      <c r="AF591" s="224"/>
      <c r="AG591" s="224"/>
      <c r="AH591" s="224"/>
      <c r="AI591" s="224"/>
      <c r="AJ591" s="126"/>
      <c r="AK591" s="126"/>
      <c r="AL591" s="126"/>
      <c r="AM591" s="126"/>
      <c r="AN591" s="126"/>
    </row>
    <row r="592" spans="1:40" ht="15.75" customHeight="1">
      <c r="A592" s="221">
        <f t="shared" si="2"/>
        <v>586</v>
      </c>
      <c r="B592" s="222" t="s">
        <v>6154</v>
      </c>
      <c r="C592" s="222" t="s">
        <v>5</v>
      </c>
      <c r="D592" s="222" t="e">
        <f t="array" ref="D592">IF(F592="","",INDEX(#REF!,MATCH(F592,#REF!,0)))</f>
        <v>#REF!</v>
      </c>
      <c r="E592" s="222" t="e">
        <f t="array" ref="E592">IF(F592="","",INDEX(#REF!,MATCH(F592,#REF!,0)))</f>
        <v>#REF!</v>
      </c>
      <c r="F592" s="222" t="s">
        <v>18</v>
      </c>
      <c r="G592" s="222" t="s">
        <v>4499</v>
      </c>
      <c r="H592" s="223">
        <v>6.2</v>
      </c>
      <c r="I592" s="222" t="s">
        <v>6226</v>
      </c>
      <c r="J592" s="222" t="s">
        <v>6227</v>
      </c>
      <c r="K592" s="222" t="s">
        <v>6228</v>
      </c>
      <c r="L592" s="222">
        <v>200</v>
      </c>
      <c r="M592" s="222">
        <v>200</v>
      </c>
      <c r="N592" s="222" t="s">
        <v>11</v>
      </c>
      <c r="O592" s="222" t="s">
        <v>9</v>
      </c>
      <c r="P592" s="224"/>
      <c r="Q592" s="224">
        <v>278881.25</v>
      </c>
      <c r="R592" s="224">
        <v>487000</v>
      </c>
      <c r="S592" s="224">
        <v>120000</v>
      </c>
      <c r="T592" s="224">
        <v>1757000</v>
      </c>
      <c r="U592" s="224"/>
      <c r="V592" s="224"/>
      <c r="W592" s="224"/>
      <c r="X592" s="224"/>
      <c r="Y592" s="222">
        <v>103</v>
      </c>
      <c r="Z592" s="222">
        <v>200</v>
      </c>
      <c r="AA592" s="224"/>
      <c r="AB592" s="224">
        <v>0</v>
      </c>
      <c r="AC592" s="224">
        <v>0</v>
      </c>
      <c r="AD592" s="224">
        <v>0</v>
      </c>
      <c r="AE592" s="224">
        <v>0</v>
      </c>
      <c r="AF592" s="224"/>
      <c r="AG592" s="224"/>
      <c r="AH592" s="224"/>
      <c r="AI592" s="224"/>
      <c r="AJ592" s="126"/>
      <c r="AK592" s="126"/>
      <c r="AL592" s="126"/>
      <c r="AM592" s="126"/>
      <c r="AN592" s="126"/>
    </row>
    <row r="593" spans="1:40" ht="15.75" customHeight="1">
      <c r="A593" s="221">
        <f t="shared" si="2"/>
        <v>587</v>
      </c>
      <c r="B593" s="222" t="s">
        <v>6229</v>
      </c>
      <c r="C593" s="222" t="s">
        <v>5</v>
      </c>
      <c r="D593" s="222" t="e">
        <f t="array" ref="D593">IF(F593="","",INDEX(#REF!,MATCH(F593,#REF!,0)))</f>
        <v>#REF!</v>
      </c>
      <c r="E593" s="222" t="e">
        <f t="array" ref="E593">IF(F593="","",INDEX(#REF!,MATCH(F593,#REF!,0)))</f>
        <v>#REF!</v>
      </c>
      <c r="F593" s="222" t="s">
        <v>34</v>
      </c>
      <c r="G593" s="222" t="s">
        <v>0</v>
      </c>
      <c r="H593" s="223" t="s">
        <v>4487</v>
      </c>
      <c r="I593" s="222" t="s">
        <v>6230</v>
      </c>
      <c r="J593" s="222" t="s">
        <v>6231</v>
      </c>
      <c r="K593" s="222" t="s">
        <v>6232</v>
      </c>
      <c r="L593" s="222">
        <v>0.51</v>
      </c>
      <c r="M593" s="222">
        <v>0.51</v>
      </c>
      <c r="N593" s="222" t="s">
        <v>17</v>
      </c>
      <c r="O593" s="222" t="s">
        <v>4490</v>
      </c>
      <c r="P593" s="224"/>
      <c r="Q593" s="224"/>
      <c r="R593" s="224"/>
      <c r="S593" s="224"/>
      <c r="T593" s="224"/>
      <c r="U593" s="224"/>
      <c r="V593" s="224"/>
      <c r="W593" s="224"/>
      <c r="X593" s="224"/>
      <c r="Y593" s="222">
        <v>0</v>
      </c>
      <c r="Z593" s="222">
        <v>0.51</v>
      </c>
      <c r="AA593" s="224"/>
      <c r="AB593" s="224"/>
      <c r="AC593" s="224"/>
      <c r="AD593" s="224"/>
      <c r="AE593" s="224"/>
      <c r="AF593" s="224"/>
      <c r="AG593" s="224"/>
      <c r="AH593" s="224"/>
      <c r="AI593" s="224"/>
      <c r="AJ593" s="126"/>
      <c r="AK593" s="126"/>
      <c r="AL593" s="126"/>
      <c r="AM593" s="126"/>
      <c r="AN593" s="126"/>
    </row>
    <row r="594" spans="1:40" ht="15.75" customHeight="1">
      <c r="A594" s="221">
        <f t="shared" si="2"/>
        <v>588</v>
      </c>
      <c r="B594" s="222" t="s">
        <v>6229</v>
      </c>
      <c r="C594" s="222" t="s">
        <v>5</v>
      </c>
      <c r="D594" s="222" t="e">
        <f t="array" ref="D594">IF(F594="","",INDEX(#REF!,MATCH(F594,#REF!,0)))</f>
        <v>#REF!</v>
      </c>
      <c r="E594" s="222" t="e">
        <f t="array" ref="E594">IF(F594="","",INDEX(#REF!,MATCH(F594,#REF!,0)))</f>
        <v>#REF!</v>
      </c>
      <c r="F594" s="222" t="s">
        <v>34</v>
      </c>
      <c r="G594" s="222" t="s">
        <v>4491</v>
      </c>
      <c r="H594" s="223" t="s">
        <v>4487</v>
      </c>
      <c r="I594" s="222" t="s">
        <v>6233</v>
      </c>
      <c r="J594" s="222" t="s">
        <v>6234</v>
      </c>
      <c r="K594" s="222" t="s">
        <v>6235</v>
      </c>
      <c r="L594" s="222">
        <v>0</v>
      </c>
      <c r="M594" s="222">
        <v>0</v>
      </c>
      <c r="N594" s="222" t="s">
        <v>15</v>
      </c>
      <c r="O594" s="222" t="s">
        <v>9</v>
      </c>
      <c r="P594" s="224"/>
      <c r="Q594" s="224"/>
      <c r="R594" s="224"/>
      <c r="S594" s="224"/>
      <c r="T594" s="224"/>
      <c r="U594" s="224"/>
      <c r="V594" s="224"/>
      <c r="W594" s="224"/>
      <c r="X594" s="224"/>
      <c r="Y594" s="222">
        <v>0</v>
      </c>
      <c r="Z594" s="222">
        <v>0</v>
      </c>
      <c r="AA594" s="224"/>
      <c r="AB594" s="224"/>
      <c r="AC594" s="224"/>
      <c r="AD594" s="224"/>
      <c r="AE594" s="224"/>
      <c r="AF594" s="224"/>
      <c r="AG594" s="224"/>
      <c r="AH594" s="224"/>
      <c r="AI594" s="224"/>
      <c r="AJ594" s="126"/>
      <c r="AK594" s="126"/>
      <c r="AL594" s="126"/>
      <c r="AM594" s="126"/>
      <c r="AN594" s="126"/>
    </row>
    <row r="595" spans="1:40" ht="15.75" customHeight="1">
      <c r="A595" s="221">
        <f t="shared" si="2"/>
        <v>589</v>
      </c>
      <c r="B595" s="222" t="s">
        <v>6229</v>
      </c>
      <c r="C595" s="222" t="s">
        <v>5</v>
      </c>
      <c r="D595" s="222" t="e">
        <f t="array" ref="D595">IF(F595="","",INDEX(#REF!,MATCH(F595,#REF!,0)))</f>
        <v>#REF!</v>
      </c>
      <c r="E595" s="222" t="e">
        <f t="array" ref="E595">IF(F595="","",INDEX(#REF!,MATCH(F595,#REF!,0)))</f>
        <v>#REF!</v>
      </c>
      <c r="F595" s="222" t="s">
        <v>34</v>
      </c>
      <c r="G595" s="222" t="s">
        <v>4495</v>
      </c>
      <c r="H595" s="223">
        <v>1</v>
      </c>
      <c r="I595" s="222" t="s">
        <v>6236</v>
      </c>
      <c r="J595" s="222" t="s">
        <v>6237</v>
      </c>
      <c r="K595" s="222" t="s">
        <v>6238</v>
      </c>
      <c r="L595" s="222">
        <v>130767935</v>
      </c>
      <c r="M595" s="222">
        <v>130767935</v>
      </c>
      <c r="N595" s="222" t="s">
        <v>13</v>
      </c>
      <c r="O595" s="222" t="s">
        <v>9</v>
      </c>
      <c r="P595" s="224"/>
      <c r="Q595" s="224"/>
      <c r="R595" s="224"/>
      <c r="S595" s="224"/>
      <c r="T595" s="224"/>
      <c r="U595" s="224"/>
      <c r="V595" s="224"/>
      <c r="W595" s="224"/>
      <c r="X595" s="224"/>
      <c r="Y595" s="222">
        <v>0</v>
      </c>
      <c r="Z595" s="222">
        <v>130767935</v>
      </c>
      <c r="AA595" s="224"/>
      <c r="AB595" s="224"/>
      <c r="AC595" s="224"/>
      <c r="AD595" s="224"/>
      <c r="AE595" s="224"/>
      <c r="AF595" s="224"/>
      <c r="AG595" s="224"/>
      <c r="AH595" s="224"/>
      <c r="AI595" s="224"/>
      <c r="AJ595" s="126"/>
      <c r="AK595" s="126"/>
      <c r="AL595" s="126"/>
      <c r="AM595" s="126"/>
      <c r="AN595" s="126"/>
    </row>
    <row r="596" spans="1:40" ht="15.75" customHeight="1">
      <c r="A596" s="221">
        <f t="shared" si="2"/>
        <v>590</v>
      </c>
      <c r="B596" s="222" t="s">
        <v>6229</v>
      </c>
      <c r="C596" s="222" t="s">
        <v>5</v>
      </c>
      <c r="D596" s="222" t="e">
        <f t="array" ref="D596">IF(F596="","",INDEX(#REF!,MATCH(F596,#REF!,0)))</f>
        <v>#REF!</v>
      </c>
      <c r="E596" s="222" t="e">
        <f t="array" ref="E596">IF(F596="","",INDEX(#REF!,MATCH(F596,#REF!,0)))</f>
        <v>#REF!</v>
      </c>
      <c r="F596" s="222" t="s">
        <v>34</v>
      </c>
      <c r="G596" s="222" t="s">
        <v>4499</v>
      </c>
      <c r="H596" s="223">
        <v>1.1000000000000001</v>
      </c>
      <c r="I596" s="222" t="s">
        <v>6239</v>
      </c>
      <c r="J596" s="222" t="s">
        <v>6240</v>
      </c>
      <c r="K596" s="222" t="s">
        <v>6241</v>
      </c>
      <c r="L596" s="222">
        <v>100</v>
      </c>
      <c r="M596" s="222">
        <v>100</v>
      </c>
      <c r="N596" s="222" t="s">
        <v>11</v>
      </c>
      <c r="O596" s="222" t="s">
        <v>9</v>
      </c>
      <c r="P596" s="224"/>
      <c r="Q596" s="224"/>
      <c r="R596" s="224"/>
      <c r="S596" s="224"/>
      <c r="T596" s="224"/>
      <c r="U596" s="224"/>
      <c r="V596" s="224"/>
      <c r="W596" s="224"/>
      <c r="X596" s="224"/>
      <c r="Y596" s="222">
        <v>0</v>
      </c>
      <c r="Z596" s="222">
        <v>100</v>
      </c>
      <c r="AA596" s="224"/>
      <c r="AB596" s="224"/>
      <c r="AC596" s="224"/>
      <c r="AD596" s="224"/>
      <c r="AE596" s="224"/>
      <c r="AF596" s="224"/>
      <c r="AG596" s="224"/>
      <c r="AH596" s="224"/>
      <c r="AI596" s="224"/>
      <c r="AJ596" s="126"/>
      <c r="AK596" s="126"/>
      <c r="AL596" s="126"/>
      <c r="AM596" s="126"/>
      <c r="AN596" s="126"/>
    </row>
    <row r="597" spans="1:40" ht="15.75" customHeight="1">
      <c r="A597" s="221">
        <f t="shared" si="2"/>
        <v>591</v>
      </c>
      <c r="B597" s="222" t="s">
        <v>6229</v>
      </c>
      <c r="C597" s="222" t="s">
        <v>5</v>
      </c>
      <c r="D597" s="222" t="e">
        <f t="array" ref="D597">IF(F597="","",INDEX(#REF!,MATCH(F597,#REF!,0)))</f>
        <v>#REF!</v>
      </c>
      <c r="E597" s="222" t="e">
        <f t="array" ref="E597">IF(F597="","",INDEX(#REF!,MATCH(F597,#REF!,0)))</f>
        <v>#REF!</v>
      </c>
      <c r="F597" s="222" t="s">
        <v>34</v>
      </c>
      <c r="G597" s="222" t="s">
        <v>4499</v>
      </c>
      <c r="H597" s="223">
        <v>1.2</v>
      </c>
      <c r="I597" s="222" t="s">
        <v>6242</v>
      </c>
      <c r="J597" s="222" t="s">
        <v>6243</v>
      </c>
      <c r="K597" s="222" t="s">
        <v>6244</v>
      </c>
      <c r="L597" s="222">
        <v>27</v>
      </c>
      <c r="M597" s="222">
        <v>27</v>
      </c>
      <c r="N597" s="222" t="s">
        <v>11</v>
      </c>
      <c r="O597" s="222" t="s">
        <v>9</v>
      </c>
      <c r="P597" s="224"/>
      <c r="Q597" s="224"/>
      <c r="R597" s="224"/>
      <c r="S597" s="224"/>
      <c r="T597" s="224"/>
      <c r="U597" s="224"/>
      <c r="V597" s="224"/>
      <c r="W597" s="224"/>
      <c r="X597" s="224"/>
      <c r="Y597" s="222">
        <v>32</v>
      </c>
      <c r="Z597" s="222">
        <v>27</v>
      </c>
      <c r="AA597" s="224"/>
      <c r="AB597" s="224"/>
      <c r="AC597" s="224"/>
      <c r="AD597" s="224"/>
      <c r="AE597" s="224"/>
      <c r="AF597" s="224"/>
      <c r="AG597" s="224"/>
      <c r="AH597" s="224"/>
      <c r="AI597" s="224"/>
      <c r="AJ597" s="126"/>
      <c r="AK597" s="126"/>
      <c r="AL597" s="126"/>
      <c r="AM597" s="126"/>
      <c r="AN597" s="126"/>
    </row>
    <row r="598" spans="1:40" ht="15.75" customHeight="1">
      <c r="A598" s="221">
        <f t="shared" si="2"/>
        <v>592</v>
      </c>
      <c r="B598" s="222" t="s">
        <v>6229</v>
      </c>
      <c r="C598" s="222" t="s">
        <v>5</v>
      </c>
      <c r="D598" s="222" t="e">
        <f t="array" ref="D598">IF(F598="","",INDEX(#REF!,MATCH(F598,#REF!,0)))</f>
        <v>#REF!</v>
      </c>
      <c r="E598" s="222" t="e">
        <f t="array" ref="E598">IF(F598="","",INDEX(#REF!,MATCH(F598,#REF!,0)))</f>
        <v>#REF!</v>
      </c>
      <c r="F598" s="222" t="s">
        <v>34</v>
      </c>
      <c r="G598" s="222" t="s">
        <v>4495</v>
      </c>
      <c r="H598" s="223">
        <v>2</v>
      </c>
      <c r="I598" s="222" t="s">
        <v>6245</v>
      </c>
      <c r="J598" s="222" t="s">
        <v>6246</v>
      </c>
      <c r="K598" s="222" t="s">
        <v>6247</v>
      </c>
      <c r="L598" s="222">
        <v>27</v>
      </c>
      <c r="M598" s="222">
        <v>27</v>
      </c>
      <c r="N598" s="222" t="s">
        <v>13</v>
      </c>
      <c r="O598" s="222" t="s">
        <v>9</v>
      </c>
      <c r="P598" s="224"/>
      <c r="Q598" s="224"/>
      <c r="R598" s="224"/>
      <c r="S598" s="224"/>
      <c r="T598" s="224"/>
      <c r="U598" s="224"/>
      <c r="V598" s="224"/>
      <c r="W598" s="224"/>
      <c r="X598" s="224"/>
      <c r="Y598" s="222">
        <v>16</v>
      </c>
      <c r="Z598" s="222">
        <v>27</v>
      </c>
      <c r="AA598" s="224"/>
      <c r="AB598" s="224"/>
      <c r="AC598" s="224"/>
      <c r="AD598" s="224"/>
      <c r="AE598" s="224"/>
      <c r="AF598" s="224"/>
      <c r="AG598" s="224"/>
      <c r="AH598" s="224"/>
      <c r="AI598" s="224"/>
      <c r="AJ598" s="126"/>
      <c r="AK598" s="126"/>
      <c r="AL598" s="126"/>
      <c r="AM598" s="126"/>
      <c r="AN598" s="126"/>
    </row>
    <row r="599" spans="1:40" ht="15.75" customHeight="1">
      <c r="A599" s="221">
        <f t="shared" si="2"/>
        <v>593</v>
      </c>
      <c r="B599" s="222" t="s">
        <v>6229</v>
      </c>
      <c r="C599" s="222" t="s">
        <v>5</v>
      </c>
      <c r="D599" s="222" t="e">
        <f t="array" ref="D599">IF(F599="","",INDEX(#REF!,MATCH(F599,#REF!,0)))</f>
        <v>#REF!</v>
      </c>
      <c r="E599" s="222" t="e">
        <f t="array" ref="E599">IF(F599="","",INDEX(#REF!,MATCH(F599,#REF!,0)))</f>
        <v>#REF!</v>
      </c>
      <c r="F599" s="222" t="s">
        <v>34</v>
      </c>
      <c r="G599" s="222" t="s">
        <v>4499</v>
      </c>
      <c r="H599" s="223">
        <v>2.1</v>
      </c>
      <c r="I599" s="222" t="s">
        <v>6248</v>
      </c>
      <c r="J599" s="222" t="s">
        <v>6249</v>
      </c>
      <c r="K599" s="222" t="s">
        <v>6250</v>
      </c>
      <c r="L599" s="222">
        <v>50</v>
      </c>
      <c r="M599" s="222">
        <v>50</v>
      </c>
      <c r="N599" s="222" t="s">
        <v>11</v>
      </c>
      <c r="O599" s="222" t="s">
        <v>9</v>
      </c>
      <c r="P599" s="224"/>
      <c r="Q599" s="224"/>
      <c r="R599" s="224"/>
      <c r="S599" s="224"/>
      <c r="T599" s="224"/>
      <c r="U599" s="224"/>
      <c r="V599" s="224"/>
      <c r="W599" s="224"/>
      <c r="X599" s="224"/>
      <c r="Y599" s="222">
        <v>50</v>
      </c>
      <c r="Z599" s="222">
        <v>50</v>
      </c>
      <c r="AA599" s="224"/>
      <c r="AB599" s="224"/>
      <c r="AC599" s="224"/>
      <c r="AD599" s="224"/>
      <c r="AE599" s="224"/>
      <c r="AF599" s="224"/>
      <c r="AG599" s="224"/>
      <c r="AH599" s="224"/>
      <c r="AI599" s="224"/>
      <c r="AJ599" s="126"/>
      <c r="AK599" s="126"/>
      <c r="AL599" s="126"/>
      <c r="AM599" s="126"/>
      <c r="AN599" s="126"/>
    </row>
    <row r="600" spans="1:40" ht="15.75" customHeight="1">
      <c r="A600" s="221">
        <f t="shared" si="2"/>
        <v>594</v>
      </c>
      <c r="B600" s="222" t="s">
        <v>6229</v>
      </c>
      <c r="C600" s="222" t="s">
        <v>5</v>
      </c>
      <c r="D600" s="222" t="e">
        <f t="array" ref="D600">IF(F600="","",INDEX(#REF!,MATCH(F600,#REF!,0)))</f>
        <v>#REF!</v>
      </c>
      <c r="E600" s="222" t="e">
        <f t="array" ref="E600">IF(F600="","",INDEX(#REF!,MATCH(F600,#REF!,0)))</f>
        <v>#REF!</v>
      </c>
      <c r="F600" s="222" t="s">
        <v>34</v>
      </c>
      <c r="G600" s="222" t="s">
        <v>4499</v>
      </c>
      <c r="H600" s="223">
        <v>2.2000000000000002</v>
      </c>
      <c r="I600" s="222" t="s">
        <v>6251</v>
      </c>
      <c r="J600" s="222" t="s">
        <v>6252</v>
      </c>
      <c r="K600" s="222" t="s">
        <v>6253</v>
      </c>
      <c r="L600" s="222">
        <v>100</v>
      </c>
      <c r="M600" s="222">
        <v>100</v>
      </c>
      <c r="N600" s="222" t="s">
        <v>11</v>
      </c>
      <c r="O600" s="222" t="s">
        <v>9</v>
      </c>
      <c r="P600" s="224"/>
      <c r="Q600" s="224"/>
      <c r="R600" s="224"/>
      <c r="S600" s="224"/>
      <c r="T600" s="224"/>
      <c r="U600" s="224"/>
      <c r="V600" s="224"/>
      <c r="W600" s="224"/>
      <c r="X600" s="224"/>
      <c r="Y600" s="222">
        <v>16</v>
      </c>
      <c r="Z600" s="222">
        <v>100</v>
      </c>
      <c r="AA600" s="224"/>
      <c r="AB600" s="224"/>
      <c r="AC600" s="224"/>
      <c r="AD600" s="224"/>
      <c r="AE600" s="224"/>
      <c r="AF600" s="224"/>
      <c r="AG600" s="224"/>
      <c r="AH600" s="224"/>
      <c r="AI600" s="224"/>
      <c r="AJ600" s="126"/>
      <c r="AK600" s="126"/>
      <c r="AL600" s="126"/>
      <c r="AM600" s="126"/>
      <c r="AN600" s="126"/>
    </row>
    <row r="601" spans="1:40" ht="15.75" customHeight="1">
      <c r="A601" s="221" t="str">
        <f t="shared" si="2"/>
        <v/>
      </c>
      <c r="B601" s="222"/>
      <c r="C601" s="222"/>
      <c r="D601" s="222" t="str">
        <f t="array" ref="D601">IF(F601="","",INDEX(#REF!,MATCH(F601,#REF!,0)))</f>
        <v/>
      </c>
      <c r="E601" s="222" t="str">
        <f t="array" ref="E601">IF(F601="","",INDEX(#REF!,MATCH(F601,#REF!,0)))</f>
        <v/>
      </c>
      <c r="F601" s="222"/>
      <c r="G601" s="222"/>
      <c r="H601" s="223"/>
      <c r="I601" s="222"/>
      <c r="J601" s="222"/>
      <c r="K601" s="222"/>
      <c r="L601" s="222"/>
      <c r="M601" s="222"/>
      <c r="N601" s="222"/>
      <c r="O601" s="222"/>
      <c r="P601" s="224"/>
      <c r="Q601" s="224"/>
      <c r="R601" s="224"/>
      <c r="S601" s="224"/>
      <c r="T601" s="224"/>
      <c r="U601" s="224"/>
      <c r="V601" s="224"/>
      <c r="W601" s="224"/>
      <c r="X601" s="224"/>
      <c r="Y601" s="222"/>
      <c r="Z601" s="222"/>
      <c r="AA601" s="224"/>
      <c r="AB601" s="224"/>
      <c r="AC601" s="224"/>
      <c r="AD601" s="224"/>
      <c r="AE601" s="224"/>
      <c r="AF601" s="224"/>
      <c r="AG601" s="224"/>
      <c r="AH601" s="224"/>
      <c r="AI601" s="224"/>
      <c r="AJ601" s="126"/>
      <c r="AK601" s="126"/>
      <c r="AL601" s="126"/>
      <c r="AM601" s="126"/>
      <c r="AN601" s="126"/>
    </row>
    <row r="602" spans="1:40" ht="15.75" customHeight="1">
      <c r="A602" s="221" t="str">
        <f t="shared" si="2"/>
        <v/>
      </c>
      <c r="B602" s="222"/>
      <c r="C602" s="222"/>
      <c r="D602" s="222" t="str">
        <f t="array" ref="D602">IF(F602="","",INDEX(#REF!,MATCH(F602,#REF!,0)))</f>
        <v/>
      </c>
      <c r="E602" s="222" t="str">
        <f t="array" ref="E602">IF(F602="","",INDEX(#REF!,MATCH(F602,#REF!,0)))</f>
        <v/>
      </c>
      <c r="F602" s="222"/>
      <c r="G602" s="222"/>
      <c r="H602" s="223"/>
      <c r="I602" s="222"/>
      <c r="J602" s="222"/>
      <c r="K602" s="222"/>
      <c r="L602" s="222"/>
      <c r="M602" s="222"/>
      <c r="N602" s="222"/>
      <c r="O602" s="222"/>
      <c r="P602" s="224"/>
      <c r="Q602" s="224"/>
      <c r="R602" s="224"/>
      <c r="S602" s="224"/>
      <c r="T602" s="224"/>
      <c r="U602" s="224"/>
      <c r="V602" s="224"/>
      <c r="W602" s="224"/>
      <c r="X602" s="224"/>
      <c r="Y602" s="222"/>
      <c r="Z602" s="222"/>
      <c r="AA602" s="224"/>
      <c r="AB602" s="224"/>
      <c r="AC602" s="224"/>
      <c r="AD602" s="224"/>
      <c r="AE602" s="224"/>
      <c r="AF602" s="224"/>
      <c r="AG602" s="224"/>
      <c r="AH602" s="224"/>
      <c r="AI602" s="224"/>
      <c r="AJ602" s="126"/>
      <c r="AK602" s="126"/>
      <c r="AL602" s="126"/>
      <c r="AM602" s="126"/>
      <c r="AN602" s="126"/>
    </row>
    <row r="603" spans="1:40" ht="15.75" customHeight="1">
      <c r="A603" s="221" t="str">
        <f t="shared" si="2"/>
        <v/>
      </c>
      <c r="B603" s="222"/>
      <c r="C603" s="222"/>
      <c r="D603" s="222" t="str">
        <f t="array" ref="D603">IF(F603="","",INDEX(#REF!,MATCH(F603,#REF!,0)))</f>
        <v/>
      </c>
      <c r="E603" s="222" t="str">
        <f t="array" ref="E603">IF(F603="","",INDEX(#REF!,MATCH(F603,#REF!,0)))</f>
        <v/>
      </c>
      <c r="F603" s="222"/>
      <c r="G603" s="222"/>
      <c r="H603" s="223"/>
      <c r="I603" s="222"/>
      <c r="J603" s="222"/>
      <c r="K603" s="222"/>
      <c r="L603" s="222"/>
      <c r="M603" s="222"/>
      <c r="N603" s="222"/>
      <c r="O603" s="222"/>
      <c r="P603" s="224"/>
      <c r="Q603" s="224"/>
      <c r="R603" s="224"/>
      <c r="S603" s="224"/>
      <c r="T603" s="224"/>
      <c r="U603" s="224"/>
      <c r="V603" s="224"/>
      <c r="W603" s="224"/>
      <c r="X603" s="224"/>
      <c r="Y603" s="222"/>
      <c r="Z603" s="222"/>
      <c r="AA603" s="224"/>
      <c r="AB603" s="224"/>
      <c r="AC603" s="224"/>
      <c r="AD603" s="224"/>
      <c r="AE603" s="224"/>
      <c r="AF603" s="224"/>
      <c r="AG603" s="224"/>
      <c r="AH603" s="224"/>
      <c r="AI603" s="224"/>
      <c r="AJ603" s="126"/>
      <c r="AK603" s="126"/>
      <c r="AL603" s="126"/>
      <c r="AM603" s="126"/>
      <c r="AN603" s="126"/>
    </row>
    <row r="604" spans="1:40" ht="15.75" customHeight="1">
      <c r="A604" s="221" t="str">
        <f t="shared" si="2"/>
        <v/>
      </c>
      <c r="B604" s="222"/>
      <c r="C604" s="222"/>
      <c r="D604" s="222" t="str">
        <f t="array" ref="D604">IF(F604="","",INDEX(#REF!,MATCH(F604,#REF!,0)))</f>
        <v/>
      </c>
      <c r="E604" s="222" t="str">
        <f t="array" ref="E604">IF(F604="","",INDEX(#REF!,MATCH(F604,#REF!,0)))</f>
        <v/>
      </c>
      <c r="F604" s="222"/>
      <c r="G604" s="222"/>
      <c r="H604" s="223"/>
      <c r="I604" s="222"/>
      <c r="J604" s="222"/>
      <c r="K604" s="222"/>
      <c r="L604" s="222"/>
      <c r="M604" s="222"/>
      <c r="N604" s="222"/>
      <c r="O604" s="222"/>
      <c r="P604" s="224"/>
      <c r="Q604" s="224"/>
      <c r="R604" s="224"/>
      <c r="S604" s="224"/>
      <c r="T604" s="224"/>
      <c r="U604" s="224"/>
      <c r="V604" s="224"/>
      <c r="W604" s="224"/>
      <c r="X604" s="224"/>
      <c r="Y604" s="222"/>
      <c r="Z604" s="222"/>
      <c r="AA604" s="224"/>
      <c r="AB604" s="224"/>
      <c r="AC604" s="224"/>
      <c r="AD604" s="224"/>
      <c r="AE604" s="224"/>
      <c r="AF604" s="224"/>
      <c r="AG604" s="224"/>
      <c r="AH604" s="224"/>
      <c r="AI604" s="224"/>
      <c r="AJ604" s="126"/>
      <c r="AK604" s="126"/>
      <c r="AL604" s="126"/>
      <c r="AM604" s="126"/>
      <c r="AN604" s="126"/>
    </row>
    <row r="605" spans="1:40" ht="15.75" customHeight="1">
      <c r="A605" s="221" t="str">
        <f t="shared" si="2"/>
        <v/>
      </c>
      <c r="B605" s="222"/>
      <c r="C605" s="222"/>
      <c r="D605" s="222" t="str">
        <f t="array" ref="D605">IF(F605="","",INDEX(#REF!,MATCH(F605,#REF!,0)))</f>
        <v/>
      </c>
      <c r="E605" s="222" t="str">
        <f t="array" ref="E605">IF(F605="","",INDEX(#REF!,MATCH(F605,#REF!,0)))</f>
        <v/>
      </c>
      <c r="F605" s="222"/>
      <c r="G605" s="222"/>
      <c r="H605" s="223"/>
      <c r="I605" s="222"/>
      <c r="J605" s="222"/>
      <c r="K605" s="222"/>
      <c r="L605" s="222"/>
      <c r="M605" s="222"/>
      <c r="N605" s="222"/>
      <c r="O605" s="222"/>
      <c r="P605" s="224"/>
      <c r="Q605" s="224"/>
      <c r="R605" s="224"/>
      <c r="S605" s="224"/>
      <c r="T605" s="224"/>
      <c r="U605" s="224"/>
      <c r="V605" s="224"/>
      <c r="W605" s="224"/>
      <c r="X605" s="224"/>
      <c r="Y605" s="222"/>
      <c r="Z605" s="222"/>
      <c r="AA605" s="224"/>
      <c r="AB605" s="224"/>
      <c r="AC605" s="224"/>
      <c r="AD605" s="224"/>
      <c r="AE605" s="224"/>
      <c r="AF605" s="224"/>
      <c r="AG605" s="224"/>
      <c r="AH605" s="224"/>
      <c r="AI605" s="224"/>
      <c r="AJ605" s="126"/>
      <c r="AK605" s="126"/>
      <c r="AL605" s="126"/>
      <c r="AM605" s="126"/>
      <c r="AN605" s="126"/>
    </row>
    <row r="606" spans="1:40" ht="15.75" customHeight="1">
      <c r="A606" s="221" t="str">
        <f t="shared" si="2"/>
        <v/>
      </c>
      <c r="B606" s="222"/>
      <c r="C606" s="222"/>
      <c r="D606" s="222" t="str">
        <f t="array" ref="D606">IF(F606="","",INDEX(#REF!,MATCH(F606,#REF!,0)))</f>
        <v/>
      </c>
      <c r="E606" s="222" t="str">
        <f t="array" ref="E606">IF(F606="","",INDEX(#REF!,MATCH(F606,#REF!,0)))</f>
        <v/>
      </c>
      <c r="F606" s="222"/>
      <c r="G606" s="222"/>
      <c r="H606" s="223"/>
      <c r="I606" s="222"/>
      <c r="J606" s="222"/>
      <c r="K606" s="222"/>
      <c r="L606" s="222"/>
      <c r="M606" s="222"/>
      <c r="N606" s="222"/>
      <c r="O606" s="222"/>
      <c r="P606" s="224"/>
      <c r="Q606" s="224"/>
      <c r="R606" s="224"/>
      <c r="S606" s="224"/>
      <c r="T606" s="224"/>
      <c r="U606" s="224"/>
      <c r="V606" s="224"/>
      <c r="W606" s="224"/>
      <c r="X606" s="224"/>
      <c r="Y606" s="222"/>
      <c r="Z606" s="222"/>
      <c r="AA606" s="224"/>
      <c r="AB606" s="224"/>
      <c r="AC606" s="224"/>
      <c r="AD606" s="224"/>
      <c r="AE606" s="224"/>
      <c r="AF606" s="224"/>
      <c r="AG606" s="224"/>
      <c r="AH606" s="224"/>
      <c r="AI606" s="224"/>
      <c r="AJ606" s="126"/>
      <c r="AK606" s="126"/>
      <c r="AL606" s="126"/>
      <c r="AM606" s="126"/>
      <c r="AN606" s="126"/>
    </row>
    <row r="607" spans="1:40" ht="15.75" customHeight="1">
      <c r="A607" s="221" t="str">
        <f t="shared" si="2"/>
        <v/>
      </c>
      <c r="B607" s="222"/>
      <c r="C607" s="222"/>
      <c r="D607" s="222" t="str">
        <f t="array" ref="D607">IF(F607="","",INDEX(#REF!,MATCH(F607,#REF!,0)))</f>
        <v/>
      </c>
      <c r="E607" s="222" t="str">
        <f t="array" ref="E607">IF(F607="","",INDEX(#REF!,MATCH(F607,#REF!,0)))</f>
        <v/>
      </c>
      <c r="F607" s="222"/>
      <c r="G607" s="222"/>
      <c r="H607" s="223"/>
      <c r="I607" s="222"/>
      <c r="J607" s="222"/>
      <c r="K607" s="222"/>
      <c r="L607" s="222"/>
      <c r="M607" s="222"/>
      <c r="N607" s="222"/>
      <c r="O607" s="222"/>
      <c r="P607" s="224"/>
      <c r="Q607" s="224"/>
      <c r="R607" s="224"/>
      <c r="S607" s="224"/>
      <c r="T607" s="224"/>
      <c r="U607" s="224"/>
      <c r="V607" s="224"/>
      <c r="W607" s="224"/>
      <c r="X607" s="224"/>
      <c r="Y607" s="222"/>
      <c r="Z607" s="222"/>
      <c r="AA607" s="224"/>
      <c r="AB607" s="224"/>
      <c r="AC607" s="224"/>
      <c r="AD607" s="224"/>
      <c r="AE607" s="224"/>
      <c r="AF607" s="224"/>
      <c r="AG607" s="224"/>
      <c r="AH607" s="224"/>
      <c r="AI607" s="224"/>
      <c r="AJ607" s="126"/>
      <c r="AK607" s="126"/>
      <c r="AL607" s="126"/>
      <c r="AM607" s="126"/>
      <c r="AN607" s="126"/>
    </row>
    <row r="608" spans="1:40" ht="15.75" customHeight="1">
      <c r="A608" s="221" t="str">
        <f t="shared" si="2"/>
        <v/>
      </c>
      <c r="B608" s="222"/>
      <c r="C608" s="222"/>
      <c r="D608" s="222" t="str">
        <f t="array" ref="D608">IF(F608="","",INDEX(#REF!,MATCH(F608,#REF!,0)))</f>
        <v/>
      </c>
      <c r="E608" s="222" t="str">
        <f t="array" ref="E608">IF(F608="","",INDEX(#REF!,MATCH(F608,#REF!,0)))</f>
        <v/>
      </c>
      <c r="F608" s="222"/>
      <c r="G608" s="222"/>
      <c r="H608" s="223"/>
      <c r="I608" s="222"/>
      <c r="J608" s="222"/>
      <c r="K608" s="222"/>
      <c r="L608" s="222"/>
      <c r="M608" s="222"/>
      <c r="N608" s="222"/>
      <c r="O608" s="222"/>
      <c r="P608" s="224"/>
      <c r="Q608" s="224"/>
      <c r="R608" s="224"/>
      <c r="S608" s="224"/>
      <c r="T608" s="224"/>
      <c r="U608" s="224"/>
      <c r="V608" s="224"/>
      <c r="W608" s="224"/>
      <c r="X608" s="224"/>
      <c r="Y608" s="222"/>
      <c r="Z608" s="222"/>
      <c r="AA608" s="224"/>
      <c r="AB608" s="224"/>
      <c r="AC608" s="224"/>
      <c r="AD608" s="224"/>
      <c r="AE608" s="224"/>
      <c r="AF608" s="224"/>
      <c r="AG608" s="224"/>
      <c r="AH608" s="224"/>
      <c r="AI608" s="224"/>
      <c r="AJ608" s="126"/>
      <c r="AK608" s="126"/>
      <c r="AL608" s="126"/>
      <c r="AM608" s="126"/>
      <c r="AN608" s="126"/>
    </row>
    <row r="609" spans="1:40" ht="15.75" customHeight="1">
      <c r="A609" s="221" t="str">
        <f t="shared" si="2"/>
        <v/>
      </c>
      <c r="B609" s="222"/>
      <c r="C609" s="222"/>
      <c r="D609" s="222" t="str">
        <f t="array" ref="D609">IF(F609="","",INDEX(#REF!,MATCH(F609,#REF!,0)))</f>
        <v/>
      </c>
      <c r="E609" s="222" t="str">
        <f t="array" ref="E609">IF(F609="","",INDEX(#REF!,MATCH(F609,#REF!,0)))</f>
        <v/>
      </c>
      <c r="F609" s="222"/>
      <c r="G609" s="222"/>
      <c r="H609" s="223"/>
      <c r="I609" s="222"/>
      <c r="J609" s="222"/>
      <c r="K609" s="222"/>
      <c r="L609" s="222"/>
      <c r="M609" s="222"/>
      <c r="N609" s="222"/>
      <c r="O609" s="222"/>
      <c r="P609" s="224"/>
      <c r="Q609" s="224"/>
      <c r="R609" s="224"/>
      <c r="S609" s="224"/>
      <c r="T609" s="224"/>
      <c r="U609" s="224"/>
      <c r="V609" s="224"/>
      <c r="W609" s="224"/>
      <c r="X609" s="224"/>
      <c r="Y609" s="222"/>
      <c r="Z609" s="222"/>
      <c r="AA609" s="224"/>
      <c r="AB609" s="224"/>
      <c r="AC609" s="224"/>
      <c r="AD609" s="224"/>
      <c r="AE609" s="224"/>
      <c r="AF609" s="224"/>
      <c r="AG609" s="224"/>
      <c r="AH609" s="224"/>
      <c r="AI609" s="224"/>
      <c r="AJ609" s="126"/>
      <c r="AK609" s="126"/>
      <c r="AL609" s="126"/>
      <c r="AM609" s="126"/>
      <c r="AN609" s="126"/>
    </row>
    <row r="610" spans="1:40" ht="15.75" customHeight="1">
      <c r="A610" s="221" t="str">
        <f t="shared" si="2"/>
        <v/>
      </c>
      <c r="B610" s="222"/>
      <c r="C610" s="222"/>
      <c r="D610" s="222" t="str">
        <f t="array" ref="D610">IF(F610="","",INDEX(#REF!,MATCH(F610,#REF!,0)))</f>
        <v/>
      </c>
      <c r="E610" s="222" t="str">
        <f t="array" ref="E610">IF(F610="","",INDEX(#REF!,MATCH(F610,#REF!,0)))</f>
        <v/>
      </c>
      <c r="F610" s="222"/>
      <c r="G610" s="222"/>
      <c r="H610" s="223"/>
      <c r="I610" s="222"/>
      <c r="J610" s="222"/>
      <c r="K610" s="222"/>
      <c r="L610" s="222"/>
      <c r="M610" s="222"/>
      <c r="N610" s="222"/>
      <c r="O610" s="222"/>
      <c r="P610" s="224"/>
      <c r="Q610" s="224"/>
      <c r="R610" s="224"/>
      <c r="S610" s="224"/>
      <c r="T610" s="224"/>
      <c r="U610" s="224"/>
      <c r="V610" s="224"/>
      <c r="W610" s="224"/>
      <c r="X610" s="224"/>
      <c r="Y610" s="222"/>
      <c r="Z610" s="222"/>
      <c r="AA610" s="224"/>
      <c r="AB610" s="224"/>
      <c r="AC610" s="224"/>
      <c r="AD610" s="224"/>
      <c r="AE610" s="224"/>
      <c r="AF610" s="224"/>
      <c r="AG610" s="224"/>
      <c r="AH610" s="224"/>
      <c r="AI610" s="224"/>
      <c r="AJ610" s="126"/>
      <c r="AK610" s="126"/>
      <c r="AL610" s="126"/>
      <c r="AM610" s="126"/>
      <c r="AN610" s="126"/>
    </row>
    <row r="611" spans="1:40" ht="15.75" customHeight="1">
      <c r="A611" s="221" t="str">
        <f t="shared" si="2"/>
        <v/>
      </c>
      <c r="B611" s="222"/>
      <c r="C611" s="222"/>
      <c r="D611" s="222" t="str">
        <f t="array" ref="D611">IF(F611="","",INDEX(#REF!,MATCH(F611,#REF!,0)))</f>
        <v/>
      </c>
      <c r="E611" s="222" t="str">
        <f t="array" ref="E611">IF(F611="","",INDEX(#REF!,MATCH(F611,#REF!,0)))</f>
        <v/>
      </c>
      <c r="F611" s="222"/>
      <c r="G611" s="222"/>
      <c r="H611" s="223"/>
      <c r="I611" s="222"/>
      <c r="J611" s="222"/>
      <c r="K611" s="222"/>
      <c r="L611" s="222"/>
      <c r="M611" s="222"/>
      <c r="N611" s="222"/>
      <c r="O611" s="222"/>
      <c r="P611" s="224"/>
      <c r="Q611" s="224"/>
      <c r="R611" s="224"/>
      <c r="S611" s="224"/>
      <c r="T611" s="224"/>
      <c r="U611" s="224"/>
      <c r="V611" s="224"/>
      <c r="W611" s="224"/>
      <c r="X611" s="224"/>
      <c r="Y611" s="222"/>
      <c r="Z611" s="222"/>
      <c r="AA611" s="224"/>
      <c r="AB611" s="224"/>
      <c r="AC611" s="224"/>
      <c r="AD611" s="224"/>
      <c r="AE611" s="224"/>
      <c r="AF611" s="224"/>
      <c r="AG611" s="224"/>
      <c r="AH611" s="224"/>
      <c r="AI611" s="224"/>
      <c r="AJ611" s="126"/>
      <c r="AK611" s="126"/>
      <c r="AL611" s="126"/>
      <c r="AM611" s="126"/>
      <c r="AN611" s="126"/>
    </row>
    <row r="612" spans="1:40" ht="15.75" customHeight="1">
      <c r="A612" s="221" t="str">
        <f t="shared" si="2"/>
        <v/>
      </c>
      <c r="B612" s="222"/>
      <c r="C612" s="222"/>
      <c r="D612" s="222" t="str">
        <f t="array" ref="D612">IF(F612="","",INDEX(#REF!,MATCH(F612,#REF!,0)))</f>
        <v/>
      </c>
      <c r="E612" s="222" t="str">
        <f t="array" ref="E612">IF(F612="","",INDEX(#REF!,MATCH(F612,#REF!,0)))</f>
        <v/>
      </c>
      <c r="F612" s="222"/>
      <c r="G612" s="222"/>
      <c r="H612" s="223"/>
      <c r="I612" s="222"/>
      <c r="J612" s="222"/>
      <c r="K612" s="222"/>
      <c r="L612" s="222"/>
      <c r="M612" s="222"/>
      <c r="N612" s="222"/>
      <c r="O612" s="222"/>
      <c r="P612" s="224"/>
      <c r="Q612" s="224"/>
      <c r="R612" s="224"/>
      <c r="S612" s="224"/>
      <c r="T612" s="224"/>
      <c r="U612" s="224"/>
      <c r="V612" s="224"/>
      <c r="W612" s="224"/>
      <c r="X612" s="224"/>
      <c r="Y612" s="222"/>
      <c r="Z612" s="222"/>
      <c r="AA612" s="224"/>
      <c r="AB612" s="224"/>
      <c r="AC612" s="224"/>
      <c r="AD612" s="224"/>
      <c r="AE612" s="224"/>
      <c r="AF612" s="224"/>
      <c r="AG612" s="224"/>
      <c r="AH612" s="224"/>
      <c r="AI612" s="224"/>
      <c r="AJ612" s="126"/>
      <c r="AK612" s="126"/>
      <c r="AL612" s="126"/>
      <c r="AM612" s="126"/>
      <c r="AN612" s="126"/>
    </row>
    <row r="613" spans="1:40" ht="15.75" customHeight="1">
      <c r="A613" s="221" t="str">
        <f t="shared" si="2"/>
        <v/>
      </c>
      <c r="B613" s="222"/>
      <c r="C613" s="222"/>
      <c r="D613" s="222" t="str">
        <f t="array" ref="D613">IF(F613="","",INDEX(#REF!,MATCH(F613,#REF!,0)))</f>
        <v/>
      </c>
      <c r="E613" s="222" t="str">
        <f t="array" ref="E613">IF(F613="","",INDEX(#REF!,MATCH(F613,#REF!,0)))</f>
        <v/>
      </c>
      <c r="F613" s="222"/>
      <c r="G613" s="222"/>
      <c r="H613" s="223"/>
      <c r="I613" s="222"/>
      <c r="J613" s="222"/>
      <c r="K613" s="222"/>
      <c r="L613" s="222"/>
      <c r="M613" s="222"/>
      <c r="N613" s="222"/>
      <c r="O613" s="222"/>
      <c r="P613" s="224"/>
      <c r="Q613" s="224"/>
      <c r="R613" s="224"/>
      <c r="S613" s="224"/>
      <c r="T613" s="224"/>
      <c r="U613" s="224"/>
      <c r="V613" s="224"/>
      <c r="W613" s="224"/>
      <c r="X613" s="224"/>
      <c r="Y613" s="222"/>
      <c r="Z613" s="222"/>
      <c r="AA613" s="224"/>
      <c r="AB613" s="224"/>
      <c r="AC613" s="224"/>
      <c r="AD613" s="224"/>
      <c r="AE613" s="224"/>
      <c r="AF613" s="224"/>
      <c r="AG613" s="224"/>
      <c r="AH613" s="224"/>
      <c r="AI613" s="224"/>
      <c r="AJ613" s="126"/>
      <c r="AK613" s="126"/>
      <c r="AL613" s="126"/>
      <c r="AM613" s="126"/>
      <c r="AN613" s="126"/>
    </row>
    <row r="614" spans="1:40" ht="15.75" customHeight="1">
      <c r="A614" s="221" t="str">
        <f t="shared" si="2"/>
        <v/>
      </c>
      <c r="B614" s="222"/>
      <c r="C614" s="222"/>
      <c r="D614" s="222" t="str">
        <f t="array" ref="D614">IF(F614="","",INDEX(#REF!,MATCH(F614,#REF!,0)))</f>
        <v/>
      </c>
      <c r="E614" s="222" t="str">
        <f t="array" ref="E614">IF(F614="","",INDEX(#REF!,MATCH(F614,#REF!,0)))</f>
        <v/>
      </c>
      <c r="F614" s="222"/>
      <c r="G614" s="222"/>
      <c r="H614" s="223"/>
      <c r="I614" s="222"/>
      <c r="J614" s="222"/>
      <c r="K614" s="222"/>
      <c r="L614" s="222"/>
      <c r="M614" s="222"/>
      <c r="N614" s="222"/>
      <c r="O614" s="222"/>
      <c r="P614" s="224"/>
      <c r="Q614" s="224"/>
      <c r="R614" s="224"/>
      <c r="S614" s="224"/>
      <c r="T614" s="224"/>
      <c r="U614" s="224"/>
      <c r="V614" s="224"/>
      <c r="W614" s="224"/>
      <c r="X614" s="224"/>
      <c r="Y614" s="222"/>
      <c r="Z614" s="222"/>
      <c r="AA614" s="224"/>
      <c r="AB614" s="224"/>
      <c r="AC614" s="224"/>
      <c r="AD614" s="224"/>
      <c r="AE614" s="224"/>
      <c r="AF614" s="224"/>
      <c r="AG614" s="224"/>
      <c r="AH614" s="224"/>
      <c r="AI614" s="224"/>
      <c r="AJ614" s="126"/>
      <c r="AK614" s="126"/>
      <c r="AL614" s="126"/>
      <c r="AM614" s="126"/>
      <c r="AN614" s="126"/>
    </row>
    <row r="615" spans="1:40" ht="15.75" customHeight="1">
      <c r="A615" s="221" t="str">
        <f t="shared" si="2"/>
        <v/>
      </c>
      <c r="B615" s="222"/>
      <c r="C615" s="222"/>
      <c r="D615" s="222" t="str">
        <f t="array" ref="D615">IF(F615="","",INDEX(#REF!,MATCH(F615,#REF!,0)))</f>
        <v/>
      </c>
      <c r="E615" s="222" t="str">
        <f t="array" ref="E615">IF(F615="","",INDEX(#REF!,MATCH(F615,#REF!,0)))</f>
        <v/>
      </c>
      <c r="F615" s="222"/>
      <c r="G615" s="222"/>
      <c r="H615" s="223"/>
      <c r="I615" s="222"/>
      <c r="J615" s="222"/>
      <c r="K615" s="222"/>
      <c r="L615" s="222"/>
      <c r="M615" s="222"/>
      <c r="N615" s="222"/>
      <c r="O615" s="222"/>
      <c r="P615" s="224"/>
      <c r="Q615" s="224"/>
      <c r="R615" s="224"/>
      <c r="S615" s="224"/>
      <c r="T615" s="224"/>
      <c r="U615" s="224"/>
      <c r="V615" s="224"/>
      <c r="W615" s="224"/>
      <c r="X615" s="224"/>
      <c r="Y615" s="222"/>
      <c r="Z615" s="222"/>
      <c r="AA615" s="224"/>
      <c r="AB615" s="224"/>
      <c r="AC615" s="224"/>
      <c r="AD615" s="224"/>
      <c r="AE615" s="224"/>
      <c r="AF615" s="224"/>
      <c r="AG615" s="224"/>
      <c r="AH615" s="224"/>
      <c r="AI615" s="224"/>
      <c r="AJ615" s="126"/>
      <c r="AK615" s="126"/>
      <c r="AL615" s="126"/>
      <c r="AM615" s="126"/>
      <c r="AN615" s="126"/>
    </row>
    <row r="616" spans="1:40" ht="15.75" customHeight="1">
      <c r="A616" s="221" t="str">
        <f t="shared" si="2"/>
        <v/>
      </c>
      <c r="B616" s="222"/>
      <c r="C616" s="222"/>
      <c r="D616" s="222" t="str">
        <f t="array" ref="D616">IF(F616="","",INDEX(#REF!,MATCH(F616,#REF!,0)))</f>
        <v/>
      </c>
      <c r="E616" s="222" t="str">
        <f t="array" ref="E616">IF(F616="","",INDEX(#REF!,MATCH(F616,#REF!,0)))</f>
        <v/>
      </c>
      <c r="F616" s="222"/>
      <c r="G616" s="222"/>
      <c r="H616" s="223"/>
      <c r="I616" s="222"/>
      <c r="J616" s="222"/>
      <c r="K616" s="222"/>
      <c r="L616" s="222"/>
      <c r="M616" s="222"/>
      <c r="N616" s="222"/>
      <c r="O616" s="222"/>
      <c r="P616" s="224"/>
      <c r="Q616" s="224"/>
      <c r="R616" s="224"/>
      <c r="S616" s="224"/>
      <c r="T616" s="224"/>
      <c r="U616" s="224"/>
      <c r="V616" s="224"/>
      <c r="W616" s="224"/>
      <c r="X616" s="224"/>
      <c r="Y616" s="222"/>
      <c r="Z616" s="222"/>
      <c r="AA616" s="224"/>
      <c r="AB616" s="224"/>
      <c r="AC616" s="224"/>
      <c r="AD616" s="224"/>
      <c r="AE616" s="224"/>
      <c r="AF616" s="224"/>
      <c r="AG616" s="224"/>
      <c r="AH616" s="224"/>
      <c r="AI616" s="224"/>
      <c r="AJ616" s="126"/>
      <c r="AK616" s="126"/>
      <c r="AL616" s="126"/>
      <c r="AM616" s="126"/>
      <c r="AN616" s="126"/>
    </row>
    <row r="617" spans="1:40" ht="15.75" customHeight="1">
      <c r="A617" s="221" t="str">
        <f t="shared" si="2"/>
        <v/>
      </c>
      <c r="B617" s="222"/>
      <c r="C617" s="222"/>
      <c r="D617" s="222" t="str">
        <f t="array" ref="D617">IF(F617="","",INDEX(#REF!,MATCH(F617,#REF!,0)))</f>
        <v/>
      </c>
      <c r="E617" s="222" t="str">
        <f t="array" ref="E617">IF(F617="","",INDEX(#REF!,MATCH(F617,#REF!,0)))</f>
        <v/>
      </c>
      <c r="F617" s="222"/>
      <c r="G617" s="222"/>
      <c r="H617" s="223"/>
      <c r="I617" s="222"/>
      <c r="J617" s="222"/>
      <c r="K617" s="222"/>
      <c r="L617" s="222"/>
      <c r="M617" s="222"/>
      <c r="N617" s="222"/>
      <c r="O617" s="222"/>
      <c r="P617" s="224"/>
      <c r="Q617" s="224"/>
      <c r="R617" s="224"/>
      <c r="S617" s="224"/>
      <c r="T617" s="224"/>
      <c r="U617" s="224"/>
      <c r="V617" s="224"/>
      <c r="W617" s="224"/>
      <c r="X617" s="224"/>
      <c r="Y617" s="222"/>
      <c r="Z617" s="222"/>
      <c r="AA617" s="224"/>
      <c r="AB617" s="224"/>
      <c r="AC617" s="224"/>
      <c r="AD617" s="224"/>
      <c r="AE617" s="224"/>
      <c r="AF617" s="224"/>
      <c r="AG617" s="224"/>
      <c r="AH617" s="224"/>
      <c r="AI617" s="224"/>
      <c r="AJ617" s="126"/>
      <c r="AK617" s="126"/>
      <c r="AL617" s="126"/>
      <c r="AM617" s="126"/>
      <c r="AN617" s="126"/>
    </row>
    <row r="618" spans="1:40" ht="15.75" customHeight="1">
      <c r="A618" s="221" t="str">
        <f t="shared" si="2"/>
        <v/>
      </c>
      <c r="B618" s="222"/>
      <c r="C618" s="222"/>
      <c r="D618" s="222" t="str">
        <f t="array" ref="D618">IF(F618="","",INDEX(#REF!,MATCH(F618,#REF!,0)))</f>
        <v/>
      </c>
      <c r="E618" s="222" t="str">
        <f t="array" ref="E618">IF(F618="","",INDEX(#REF!,MATCH(F618,#REF!,0)))</f>
        <v/>
      </c>
      <c r="F618" s="222"/>
      <c r="G618" s="222"/>
      <c r="H618" s="223"/>
      <c r="I618" s="222"/>
      <c r="J618" s="222"/>
      <c r="K618" s="222"/>
      <c r="L618" s="222"/>
      <c r="M618" s="222"/>
      <c r="N618" s="222"/>
      <c r="O618" s="222"/>
      <c r="P618" s="224"/>
      <c r="Q618" s="224"/>
      <c r="R618" s="224"/>
      <c r="S618" s="224"/>
      <c r="T618" s="224"/>
      <c r="U618" s="224"/>
      <c r="V618" s="224"/>
      <c r="W618" s="224"/>
      <c r="X618" s="224"/>
      <c r="Y618" s="222"/>
      <c r="Z618" s="222"/>
      <c r="AA618" s="224"/>
      <c r="AB618" s="224"/>
      <c r="AC618" s="224"/>
      <c r="AD618" s="224"/>
      <c r="AE618" s="224"/>
      <c r="AF618" s="224"/>
      <c r="AG618" s="224"/>
      <c r="AH618" s="224"/>
      <c r="AI618" s="224"/>
      <c r="AJ618" s="126"/>
      <c r="AK618" s="126"/>
      <c r="AL618" s="126"/>
      <c r="AM618" s="126"/>
      <c r="AN618" s="126"/>
    </row>
    <row r="619" spans="1:40" ht="15.75" customHeight="1">
      <c r="A619" s="221" t="str">
        <f t="shared" si="2"/>
        <v/>
      </c>
      <c r="B619" s="222"/>
      <c r="C619" s="222"/>
      <c r="D619" s="222" t="str">
        <f t="array" ref="D619">IF(F619="","",INDEX(#REF!,MATCH(F619,#REF!,0)))</f>
        <v/>
      </c>
      <c r="E619" s="222" t="str">
        <f t="array" ref="E619">IF(F619="","",INDEX(#REF!,MATCH(F619,#REF!,0)))</f>
        <v/>
      </c>
      <c r="F619" s="222"/>
      <c r="G619" s="222"/>
      <c r="H619" s="223"/>
      <c r="I619" s="222"/>
      <c r="J619" s="222"/>
      <c r="K619" s="222"/>
      <c r="L619" s="222"/>
      <c r="M619" s="222"/>
      <c r="N619" s="222"/>
      <c r="O619" s="222"/>
      <c r="P619" s="224"/>
      <c r="Q619" s="224"/>
      <c r="R619" s="224"/>
      <c r="S619" s="224"/>
      <c r="T619" s="224"/>
      <c r="U619" s="224"/>
      <c r="V619" s="224"/>
      <c r="W619" s="224"/>
      <c r="X619" s="224"/>
      <c r="Y619" s="222"/>
      <c r="Z619" s="222"/>
      <c r="AA619" s="224"/>
      <c r="AB619" s="224"/>
      <c r="AC619" s="224"/>
      <c r="AD619" s="224"/>
      <c r="AE619" s="224"/>
      <c r="AF619" s="224"/>
      <c r="AG619" s="224"/>
      <c r="AH619" s="224"/>
      <c r="AI619" s="224"/>
      <c r="AJ619" s="126"/>
      <c r="AK619" s="126"/>
      <c r="AL619" s="126"/>
      <c r="AM619" s="126"/>
      <c r="AN619" s="126"/>
    </row>
    <row r="620" spans="1:40" ht="15.75" customHeight="1">
      <c r="A620" s="221" t="str">
        <f t="shared" si="2"/>
        <v/>
      </c>
      <c r="B620" s="222"/>
      <c r="C620" s="222"/>
      <c r="D620" s="222" t="str">
        <f t="array" ref="D620">IF(F620="","",INDEX(#REF!,MATCH(F620,#REF!,0)))</f>
        <v/>
      </c>
      <c r="E620" s="222" t="str">
        <f t="array" ref="E620">IF(F620="","",INDEX(#REF!,MATCH(F620,#REF!,0)))</f>
        <v/>
      </c>
      <c r="F620" s="222"/>
      <c r="G620" s="222"/>
      <c r="H620" s="223"/>
      <c r="I620" s="222"/>
      <c r="J620" s="222"/>
      <c r="K620" s="222"/>
      <c r="L620" s="222"/>
      <c r="M620" s="222"/>
      <c r="N620" s="222"/>
      <c r="O620" s="222"/>
      <c r="P620" s="224"/>
      <c r="Q620" s="224"/>
      <c r="R620" s="224"/>
      <c r="S620" s="224"/>
      <c r="T620" s="224"/>
      <c r="U620" s="224"/>
      <c r="V620" s="224"/>
      <c r="W620" s="224"/>
      <c r="X620" s="224"/>
      <c r="Y620" s="222"/>
      <c r="Z620" s="222"/>
      <c r="AA620" s="224"/>
      <c r="AB620" s="224"/>
      <c r="AC620" s="224"/>
      <c r="AD620" s="224"/>
      <c r="AE620" s="224"/>
      <c r="AF620" s="224"/>
      <c r="AG620" s="224"/>
      <c r="AH620" s="224"/>
      <c r="AI620" s="224"/>
      <c r="AJ620" s="126"/>
      <c r="AK620" s="126"/>
      <c r="AL620" s="126"/>
      <c r="AM620" s="126"/>
      <c r="AN620" s="126"/>
    </row>
    <row r="621" spans="1:40" ht="15.75" customHeight="1">
      <c r="A621" s="221" t="str">
        <f t="shared" si="2"/>
        <v/>
      </c>
      <c r="B621" s="222"/>
      <c r="C621" s="222"/>
      <c r="D621" s="222" t="str">
        <f t="array" ref="D621">IF(F621="","",INDEX(#REF!,MATCH(F621,#REF!,0)))</f>
        <v/>
      </c>
      <c r="E621" s="222" t="str">
        <f t="array" ref="E621">IF(F621="","",INDEX(#REF!,MATCH(F621,#REF!,0)))</f>
        <v/>
      </c>
      <c r="F621" s="222"/>
      <c r="G621" s="222"/>
      <c r="H621" s="223"/>
      <c r="I621" s="222"/>
      <c r="J621" s="222"/>
      <c r="K621" s="222"/>
      <c r="L621" s="222"/>
      <c r="M621" s="222"/>
      <c r="N621" s="222"/>
      <c r="O621" s="222"/>
      <c r="P621" s="224"/>
      <c r="Q621" s="224"/>
      <c r="R621" s="224"/>
      <c r="S621" s="224"/>
      <c r="T621" s="224"/>
      <c r="U621" s="224"/>
      <c r="V621" s="224"/>
      <c r="W621" s="224"/>
      <c r="X621" s="224"/>
      <c r="Y621" s="222"/>
      <c r="Z621" s="222"/>
      <c r="AA621" s="224"/>
      <c r="AB621" s="224"/>
      <c r="AC621" s="224"/>
      <c r="AD621" s="224"/>
      <c r="AE621" s="224"/>
      <c r="AF621" s="224"/>
      <c r="AG621" s="224"/>
      <c r="AH621" s="224"/>
      <c r="AI621" s="224"/>
      <c r="AJ621" s="126"/>
      <c r="AK621" s="126"/>
      <c r="AL621" s="126"/>
      <c r="AM621" s="126"/>
      <c r="AN621" s="126"/>
    </row>
    <row r="622" spans="1:40" ht="15.75" customHeight="1">
      <c r="A622" s="221" t="str">
        <f t="shared" si="2"/>
        <v/>
      </c>
      <c r="B622" s="222"/>
      <c r="C622" s="222"/>
      <c r="D622" s="222" t="str">
        <f t="array" ref="D622">IF(F622="","",INDEX(#REF!,MATCH(F622,#REF!,0)))</f>
        <v/>
      </c>
      <c r="E622" s="222" t="str">
        <f t="array" ref="E622">IF(F622="","",INDEX(#REF!,MATCH(F622,#REF!,0)))</f>
        <v/>
      </c>
      <c r="F622" s="222"/>
      <c r="G622" s="222"/>
      <c r="H622" s="223"/>
      <c r="I622" s="222"/>
      <c r="J622" s="222"/>
      <c r="K622" s="222"/>
      <c r="L622" s="222"/>
      <c r="M622" s="222"/>
      <c r="N622" s="222"/>
      <c r="O622" s="222"/>
      <c r="P622" s="224"/>
      <c r="Q622" s="224"/>
      <c r="R622" s="224"/>
      <c r="S622" s="224"/>
      <c r="T622" s="224"/>
      <c r="U622" s="224"/>
      <c r="V622" s="224"/>
      <c r="W622" s="224"/>
      <c r="X622" s="224"/>
      <c r="Y622" s="222"/>
      <c r="Z622" s="222"/>
      <c r="AA622" s="224"/>
      <c r="AB622" s="224"/>
      <c r="AC622" s="224"/>
      <c r="AD622" s="224"/>
      <c r="AE622" s="224"/>
      <c r="AF622" s="224"/>
      <c r="AG622" s="224"/>
      <c r="AH622" s="224"/>
      <c r="AI622" s="224"/>
      <c r="AJ622" s="126"/>
      <c r="AK622" s="126"/>
      <c r="AL622" s="126"/>
      <c r="AM622" s="126"/>
      <c r="AN622" s="126"/>
    </row>
    <row r="623" spans="1:40" ht="15.75" customHeight="1">
      <c r="A623" s="221" t="str">
        <f t="shared" si="2"/>
        <v/>
      </c>
      <c r="B623" s="222"/>
      <c r="C623" s="222"/>
      <c r="D623" s="222" t="str">
        <f t="array" ref="D623">IF(F623="","",INDEX(#REF!,MATCH(F623,#REF!,0)))</f>
        <v/>
      </c>
      <c r="E623" s="222" t="str">
        <f t="array" ref="E623">IF(F623="","",INDEX(#REF!,MATCH(F623,#REF!,0)))</f>
        <v/>
      </c>
      <c r="F623" s="222"/>
      <c r="G623" s="222"/>
      <c r="H623" s="223"/>
      <c r="I623" s="222"/>
      <c r="J623" s="222"/>
      <c r="K623" s="222"/>
      <c r="L623" s="222"/>
      <c r="M623" s="222"/>
      <c r="N623" s="222"/>
      <c r="O623" s="222"/>
      <c r="P623" s="224"/>
      <c r="Q623" s="224"/>
      <c r="R623" s="224"/>
      <c r="S623" s="224"/>
      <c r="T623" s="224"/>
      <c r="U623" s="224"/>
      <c r="V623" s="224"/>
      <c r="W623" s="224"/>
      <c r="X623" s="224"/>
      <c r="Y623" s="222"/>
      <c r="Z623" s="222"/>
      <c r="AA623" s="224"/>
      <c r="AB623" s="224"/>
      <c r="AC623" s="224"/>
      <c r="AD623" s="224"/>
      <c r="AE623" s="224"/>
      <c r="AF623" s="224"/>
      <c r="AG623" s="224"/>
      <c r="AH623" s="224"/>
      <c r="AI623" s="224"/>
      <c r="AJ623" s="126"/>
      <c r="AK623" s="126"/>
      <c r="AL623" s="126"/>
      <c r="AM623" s="126"/>
      <c r="AN623" s="126"/>
    </row>
    <row r="624" spans="1:40" ht="15.75" customHeight="1">
      <c r="A624" s="221" t="str">
        <f t="shared" si="2"/>
        <v/>
      </c>
      <c r="B624" s="222"/>
      <c r="C624" s="222"/>
      <c r="D624" s="222" t="str">
        <f t="array" ref="D624">IF(F624="","",INDEX(#REF!,MATCH(F624,#REF!,0)))</f>
        <v/>
      </c>
      <c r="E624" s="222" t="str">
        <f t="array" ref="E624">IF(F624="","",INDEX(#REF!,MATCH(F624,#REF!,0)))</f>
        <v/>
      </c>
      <c r="F624" s="222"/>
      <c r="G624" s="222"/>
      <c r="H624" s="223"/>
      <c r="I624" s="222"/>
      <c r="J624" s="222"/>
      <c r="K624" s="222"/>
      <c r="L624" s="222"/>
      <c r="M624" s="222"/>
      <c r="N624" s="222"/>
      <c r="O624" s="222"/>
      <c r="P624" s="224"/>
      <c r="Q624" s="224"/>
      <c r="R624" s="224"/>
      <c r="S624" s="224"/>
      <c r="T624" s="224"/>
      <c r="U624" s="224"/>
      <c r="V624" s="224"/>
      <c r="W624" s="224"/>
      <c r="X624" s="224"/>
      <c r="Y624" s="222"/>
      <c r="Z624" s="222"/>
      <c r="AA624" s="224"/>
      <c r="AB624" s="224"/>
      <c r="AC624" s="224"/>
      <c r="AD624" s="224"/>
      <c r="AE624" s="224"/>
      <c r="AF624" s="224"/>
      <c r="AG624" s="224"/>
      <c r="AH624" s="224"/>
      <c r="AI624" s="224"/>
      <c r="AJ624" s="126"/>
      <c r="AK624" s="126"/>
      <c r="AL624" s="126"/>
      <c r="AM624" s="126"/>
      <c r="AN624" s="126"/>
    </row>
    <row r="625" spans="1:40" ht="15.75" customHeight="1">
      <c r="A625" s="221" t="str">
        <f t="shared" si="2"/>
        <v/>
      </c>
      <c r="B625" s="222"/>
      <c r="C625" s="222"/>
      <c r="D625" s="222" t="str">
        <f t="array" ref="D625">IF(F625="","",INDEX(#REF!,MATCH(F625,#REF!,0)))</f>
        <v/>
      </c>
      <c r="E625" s="222" t="str">
        <f t="array" ref="E625">IF(F625="","",INDEX(#REF!,MATCH(F625,#REF!,0)))</f>
        <v/>
      </c>
      <c r="F625" s="222"/>
      <c r="G625" s="222"/>
      <c r="H625" s="223"/>
      <c r="I625" s="222"/>
      <c r="J625" s="222"/>
      <c r="K625" s="222"/>
      <c r="L625" s="222"/>
      <c r="M625" s="222"/>
      <c r="N625" s="222"/>
      <c r="O625" s="222"/>
      <c r="P625" s="224"/>
      <c r="Q625" s="224"/>
      <c r="R625" s="224"/>
      <c r="S625" s="224"/>
      <c r="T625" s="224"/>
      <c r="U625" s="224"/>
      <c r="V625" s="224"/>
      <c r="W625" s="224"/>
      <c r="X625" s="224"/>
      <c r="Y625" s="222"/>
      <c r="Z625" s="222"/>
      <c r="AA625" s="224"/>
      <c r="AB625" s="224"/>
      <c r="AC625" s="224"/>
      <c r="AD625" s="224"/>
      <c r="AE625" s="224"/>
      <c r="AF625" s="224"/>
      <c r="AG625" s="224"/>
      <c r="AH625" s="224"/>
      <c r="AI625" s="224"/>
      <c r="AJ625" s="126"/>
      <c r="AK625" s="126"/>
      <c r="AL625" s="126"/>
      <c r="AM625" s="126"/>
      <c r="AN625" s="126"/>
    </row>
    <row r="626" spans="1:40" ht="15.75" customHeight="1">
      <c r="A626" s="221" t="str">
        <f t="shared" si="2"/>
        <v/>
      </c>
      <c r="B626" s="222"/>
      <c r="C626" s="222"/>
      <c r="D626" s="222" t="str">
        <f t="array" ref="D626">IF(F626="","",INDEX(#REF!,MATCH(F626,#REF!,0)))</f>
        <v/>
      </c>
      <c r="E626" s="222" t="str">
        <f t="array" ref="E626">IF(F626="","",INDEX(#REF!,MATCH(F626,#REF!,0)))</f>
        <v/>
      </c>
      <c r="F626" s="222"/>
      <c r="G626" s="222"/>
      <c r="H626" s="223"/>
      <c r="I626" s="222"/>
      <c r="J626" s="222"/>
      <c r="K626" s="222"/>
      <c r="L626" s="222"/>
      <c r="M626" s="222"/>
      <c r="N626" s="222"/>
      <c r="O626" s="222"/>
      <c r="P626" s="224"/>
      <c r="Q626" s="224"/>
      <c r="R626" s="224"/>
      <c r="S626" s="224"/>
      <c r="T626" s="224"/>
      <c r="U626" s="224"/>
      <c r="V626" s="224"/>
      <c r="W626" s="224"/>
      <c r="X626" s="224"/>
      <c r="Y626" s="222"/>
      <c r="Z626" s="222"/>
      <c r="AA626" s="224"/>
      <c r="AB626" s="224"/>
      <c r="AC626" s="224"/>
      <c r="AD626" s="224"/>
      <c r="AE626" s="224"/>
      <c r="AF626" s="224"/>
      <c r="AG626" s="224"/>
      <c r="AH626" s="224"/>
      <c r="AI626" s="224"/>
      <c r="AJ626" s="126"/>
      <c r="AK626" s="126"/>
      <c r="AL626" s="126"/>
      <c r="AM626" s="126"/>
      <c r="AN626" s="126"/>
    </row>
    <row r="627" spans="1:40" ht="15.75" customHeight="1">
      <c r="A627" s="221" t="str">
        <f t="shared" si="2"/>
        <v/>
      </c>
      <c r="B627" s="222"/>
      <c r="C627" s="222"/>
      <c r="D627" s="222" t="str">
        <f t="array" ref="D627">IF(F627="","",INDEX(#REF!,MATCH(F627,#REF!,0)))</f>
        <v/>
      </c>
      <c r="E627" s="222" t="str">
        <f t="array" ref="E627">IF(F627="","",INDEX(#REF!,MATCH(F627,#REF!,0)))</f>
        <v/>
      </c>
      <c r="F627" s="222"/>
      <c r="G627" s="222"/>
      <c r="H627" s="223"/>
      <c r="I627" s="222"/>
      <c r="J627" s="222"/>
      <c r="K627" s="222"/>
      <c r="L627" s="222"/>
      <c r="M627" s="222"/>
      <c r="N627" s="222"/>
      <c r="O627" s="222"/>
      <c r="P627" s="224"/>
      <c r="Q627" s="224"/>
      <c r="R627" s="224"/>
      <c r="S627" s="224"/>
      <c r="T627" s="224"/>
      <c r="U627" s="224"/>
      <c r="V627" s="224"/>
      <c r="W627" s="224"/>
      <c r="X627" s="224"/>
      <c r="Y627" s="222"/>
      <c r="Z627" s="222"/>
      <c r="AA627" s="224"/>
      <c r="AB627" s="224"/>
      <c r="AC627" s="224"/>
      <c r="AD627" s="224"/>
      <c r="AE627" s="224"/>
      <c r="AF627" s="224"/>
      <c r="AG627" s="224"/>
      <c r="AH627" s="224"/>
      <c r="AI627" s="224"/>
      <c r="AJ627" s="126"/>
      <c r="AK627" s="126"/>
      <c r="AL627" s="126"/>
      <c r="AM627" s="126"/>
      <c r="AN627" s="126"/>
    </row>
    <row r="628" spans="1:40" ht="15.75" customHeight="1">
      <c r="A628" s="221" t="str">
        <f t="shared" si="2"/>
        <v/>
      </c>
      <c r="B628" s="222"/>
      <c r="C628" s="222"/>
      <c r="D628" s="222" t="str">
        <f t="array" ref="D628">IF(F628="","",INDEX(#REF!,MATCH(F628,#REF!,0)))</f>
        <v/>
      </c>
      <c r="E628" s="222" t="str">
        <f t="array" ref="E628">IF(F628="","",INDEX(#REF!,MATCH(F628,#REF!,0)))</f>
        <v/>
      </c>
      <c r="F628" s="222"/>
      <c r="G628" s="222"/>
      <c r="H628" s="223"/>
      <c r="I628" s="222"/>
      <c r="J628" s="222"/>
      <c r="K628" s="222"/>
      <c r="L628" s="222"/>
      <c r="M628" s="222"/>
      <c r="N628" s="222"/>
      <c r="O628" s="222"/>
      <c r="P628" s="224"/>
      <c r="Q628" s="224"/>
      <c r="R628" s="224"/>
      <c r="S628" s="224"/>
      <c r="T628" s="224"/>
      <c r="U628" s="224"/>
      <c r="V628" s="224"/>
      <c r="W628" s="224"/>
      <c r="X628" s="224"/>
      <c r="Y628" s="222"/>
      <c r="Z628" s="222"/>
      <c r="AA628" s="224"/>
      <c r="AB628" s="224"/>
      <c r="AC628" s="224"/>
      <c r="AD628" s="224"/>
      <c r="AE628" s="224"/>
      <c r="AF628" s="224"/>
      <c r="AG628" s="224"/>
      <c r="AH628" s="224"/>
      <c r="AI628" s="224"/>
      <c r="AJ628" s="126"/>
      <c r="AK628" s="126"/>
      <c r="AL628" s="126"/>
      <c r="AM628" s="126"/>
      <c r="AN628" s="126"/>
    </row>
    <row r="629" spans="1:40" ht="15.75" customHeight="1">
      <c r="A629" s="221" t="str">
        <f t="shared" si="2"/>
        <v/>
      </c>
      <c r="B629" s="222"/>
      <c r="C629" s="222"/>
      <c r="D629" s="222" t="str">
        <f t="array" ref="D629">IF(F629="","",INDEX(#REF!,MATCH(F629,#REF!,0)))</f>
        <v/>
      </c>
      <c r="E629" s="222" t="str">
        <f t="array" ref="E629">IF(F629="","",INDEX(#REF!,MATCH(F629,#REF!,0)))</f>
        <v/>
      </c>
      <c r="F629" s="222"/>
      <c r="G629" s="222"/>
      <c r="H629" s="223"/>
      <c r="I629" s="222"/>
      <c r="J629" s="222"/>
      <c r="K629" s="222"/>
      <c r="L629" s="222"/>
      <c r="M629" s="222"/>
      <c r="N629" s="222"/>
      <c r="O629" s="222"/>
      <c r="P629" s="224"/>
      <c r="Q629" s="224"/>
      <c r="R629" s="224"/>
      <c r="S629" s="224"/>
      <c r="T629" s="224"/>
      <c r="U629" s="224"/>
      <c r="V629" s="224"/>
      <c r="W629" s="224"/>
      <c r="X629" s="224"/>
      <c r="Y629" s="222"/>
      <c r="Z629" s="222"/>
      <c r="AA629" s="224"/>
      <c r="AB629" s="224"/>
      <c r="AC629" s="224"/>
      <c r="AD629" s="224"/>
      <c r="AE629" s="224"/>
      <c r="AF629" s="224"/>
      <c r="AG629" s="224"/>
      <c r="AH629" s="224"/>
      <c r="AI629" s="224"/>
      <c r="AJ629" s="126"/>
      <c r="AK629" s="126"/>
      <c r="AL629" s="126"/>
      <c r="AM629" s="126"/>
      <c r="AN629" s="126"/>
    </row>
    <row r="630" spans="1:40" ht="15.75" customHeight="1">
      <c r="A630" s="221" t="str">
        <f t="shared" si="2"/>
        <v/>
      </c>
      <c r="B630" s="222"/>
      <c r="C630" s="222"/>
      <c r="D630" s="222" t="str">
        <f t="array" ref="D630">IF(F630="","",INDEX(#REF!,MATCH(F630,#REF!,0)))</f>
        <v/>
      </c>
      <c r="E630" s="222" t="str">
        <f t="array" ref="E630">IF(F630="","",INDEX(#REF!,MATCH(F630,#REF!,0)))</f>
        <v/>
      </c>
      <c r="F630" s="222"/>
      <c r="G630" s="222"/>
      <c r="H630" s="223"/>
      <c r="I630" s="222"/>
      <c r="J630" s="222"/>
      <c r="K630" s="222"/>
      <c r="L630" s="222"/>
      <c r="M630" s="222"/>
      <c r="N630" s="222"/>
      <c r="O630" s="222"/>
      <c r="P630" s="224"/>
      <c r="Q630" s="224"/>
      <c r="R630" s="224"/>
      <c r="S630" s="224"/>
      <c r="T630" s="224"/>
      <c r="U630" s="224"/>
      <c r="V630" s="224"/>
      <c r="W630" s="224"/>
      <c r="X630" s="224"/>
      <c r="Y630" s="222"/>
      <c r="Z630" s="222"/>
      <c r="AA630" s="224"/>
      <c r="AB630" s="224"/>
      <c r="AC630" s="224"/>
      <c r="AD630" s="224"/>
      <c r="AE630" s="224"/>
      <c r="AF630" s="224"/>
      <c r="AG630" s="224"/>
      <c r="AH630" s="224"/>
      <c r="AI630" s="224"/>
      <c r="AJ630" s="126"/>
      <c r="AK630" s="126"/>
      <c r="AL630" s="126"/>
      <c r="AM630" s="126"/>
      <c r="AN630" s="126"/>
    </row>
    <row r="631" spans="1:40" ht="15.75" customHeight="1">
      <c r="A631" s="221" t="str">
        <f t="shared" si="2"/>
        <v/>
      </c>
      <c r="B631" s="222"/>
      <c r="C631" s="222"/>
      <c r="D631" s="222" t="str">
        <f t="array" ref="D631">IF(F631="","",INDEX(#REF!,MATCH(F631,#REF!,0)))</f>
        <v/>
      </c>
      <c r="E631" s="222" t="str">
        <f t="array" ref="E631">IF(F631="","",INDEX(#REF!,MATCH(F631,#REF!,0)))</f>
        <v/>
      </c>
      <c r="F631" s="222"/>
      <c r="G631" s="222"/>
      <c r="H631" s="223"/>
      <c r="I631" s="222"/>
      <c r="J631" s="222"/>
      <c r="K631" s="222"/>
      <c r="L631" s="222"/>
      <c r="M631" s="222"/>
      <c r="N631" s="222"/>
      <c r="O631" s="222"/>
      <c r="P631" s="224"/>
      <c r="Q631" s="224"/>
      <c r="R631" s="224"/>
      <c r="S631" s="224"/>
      <c r="T631" s="224"/>
      <c r="U631" s="224"/>
      <c r="V631" s="224"/>
      <c r="W631" s="224"/>
      <c r="X631" s="224"/>
      <c r="Y631" s="222"/>
      <c r="Z631" s="222"/>
      <c r="AA631" s="224"/>
      <c r="AB631" s="224"/>
      <c r="AC631" s="224"/>
      <c r="AD631" s="224"/>
      <c r="AE631" s="224"/>
      <c r="AF631" s="224"/>
      <c r="AG631" s="224"/>
      <c r="AH631" s="224"/>
      <c r="AI631" s="224"/>
      <c r="AJ631" s="126"/>
      <c r="AK631" s="126"/>
      <c r="AL631" s="126"/>
      <c r="AM631" s="126"/>
      <c r="AN631" s="126"/>
    </row>
    <row r="632" spans="1:40" ht="15.75" customHeight="1">
      <c r="A632" s="221" t="str">
        <f t="shared" si="2"/>
        <v/>
      </c>
      <c r="B632" s="222"/>
      <c r="C632" s="222"/>
      <c r="D632" s="222" t="str">
        <f t="array" ref="D632">IF(F632="","",INDEX(#REF!,MATCH(F632,#REF!,0)))</f>
        <v/>
      </c>
      <c r="E632" s="222" t="str">
        <f t="array" ref="E632">IF(F632="","",INDEX(#REF!,MATCH(F632,#REF!,0)))</f>
        <v/>
      </c>
      <c r="F632" s="222"/>
      <c r="G632" s="222"/>
      <c r="H632" s="223"/>
      <c r="I632" s="222"/>
      <c r="J632" s="222"/>
      <c r="K632" s="222"/>
      <c r="L632" s="222"/>
      <c r="M632" s="222"/>
      <c r="N632" s="222"/>
      <c r="O632" s="222"/>
      <c r="P632" s="224"/>
      <c r="Q632" s="224"/>
      <c r="R632" s="224"/>
      <c r="S632" s="224"/>
      <c r="T632" s="224"/>
      <c r="U632" s="224"/>
      <c r="V632" s="224"/>
      <c r="W632" s="224"/>
      <c r="X632" s="224"/>
      <c r="Y632" s="222"/>
      <c r="Z632" s="222"/>
      <c r="AA632" s="224"/>
      <c r="AB632" s="224"/>
      <c r="AC632" s="224"/>
      <c r="AD632" s="224"/>
      <c r="AE632" s="224"/>
      <c r="AF632" s="224"/>
      <c r="AG632" s="224"/>
      <c r="AH632" s="224"/>
      <c r="AI632" s="224"/>
      <c r="AJ632" s="126"/>
      <c r="AK632" s="126"/>
      <c r="AL632" s="126"/>
      <c r="AM632" s="126"/>
      <c r="AN632" s="126"/>
    </row>
    <row r="633" spans="1:40" ht="15.75" customHeight="1">
      <c r="A633" s="221" t="str">
        <f t="shared" si="2"/>
        <v/>
      </c>
      <c r="B633" s="222"/>
      <c r="C633" s="222"/>
      <c r="D633" s="222" t="str">
        <f t="array" ref="D633">IF(F633="","",INDEX(#REF!,MATCH(F633,#REF!,0)))</f>
        <v/>
      </c>
      <c r="E633" s="222" t="str">
        <f t="array" ref="E633">IF(F633="","",INDEX(#REF!,MATCH(F633,#REF!,0)))</f>
        <v/>
      </c>
      <c r="F633" s="222"/>
      <c r="G633" s="222"/>
      <c r="H633" s="223"/>
      <c r="I633" s="222"/>
      <c r="J633" s="222"/>
      <c r="K633" s="222"/>
      <c r="L633" s="222"/>
      <c r="M633" s="222"/>
      <c r="N633" s="222"/>
      <c r="O633" s="222"/>
      <c r="P633" s="224"/>
      <c r="Q633" s="224"/>
      <c r="R633" s="224"/>
      <c r="S633" s="224"/>
      <c r="T633" s="224"/>
      <c r="U633" s="224"/>
      <c r="V633" s="224"/>
      <c r="W633" s="224"/>
      <c r="X633" s="224"/>
      <c r="Y633" s="222"/>
      <c r="Z633" s="222"/>
      <c r="AA633" s="224"/>
      <c r="AB633" s="224"/>
      <c r="AC633" s="224"/>
      <c r="AD633" s="224"/>
      <c r="AE633" s="224"/>
      <c r="AF633" s="224"/>
      <c r="AG633" s="224"/>
      <c r="AH633" s="224"/>
      <c r="AI633" s="224"/>
      <c r="AJ633" s="126"/>
      <c r="AK633" s="126"/>
      <c r="AL633" s="126"/>
      <c r="AM633" s="126"/>
      <c r="AN633" s="126"/>
    </row>
    <row r="634" spans="1:40" ht="15.75" customHeight="1">
      <c r="A634" s="221" t="str">
        <f t="shared" si="2"/>
        <v/>
      </c>
      <c r="B634" s="222"/>
      <c r="C634" s="222"/>
      <c r="D634" s="222" t="str">
        <f t="array" ref="D634">IF(F634="","",INDEX(#REF!,MATCH(F634,#REF!,0)))</f>
        <v/>
      </c>
      <c r="E634" s="222" t="str">
        <f t="array" ref="E634">IF(F634="","",INDEX(#REF!,MATCH(F634,#REF!,0)))</f>
        <v/>
      </c>
      <c r="F634" s="222"/>
      <c r="G634" s="222"/>
      <c r="H634" s="223"/>
      <c r="I634" s="222"/>
      <c r="J634" s="222"/>
      <c r="K634" s="222"/>
      <c r="L634" s="222"/>
      <c r="M634" s="222"/>
      <c r="N634" s="222"/>
      <c r="O634" s="222"/>
      <c r="P634" s="224"/>
      <c r="Q634" s="224"/>
      <c r="R634" s="224"/>
      <c r="S634" s="224"/>
      <c r="T634" s="224"/>
      <c r="U634" s="224"/>
      <c r="V634" s="224"/>
      <c r="W634" s="224"/>
      <c r="X634" s="224"/>
      <c r="Y634" s="222"/>
      <c r="Z634" s="222"/>
      <c r="AA634" s="224"/>
      <c r="AB634" s="224"/>
      <c r="AC634" s="224"/>
      <c r="AD634" s="224"/>
      <c r="AE634" s="224"/>
      <c r="AF634" s="224"/>
      <c r="AG634" s="224"/>
      <c r="AH634" s="224"/>
      <c r="AI634" s="224"/>
      <c r="AJ634" s="126"/>
      <c r="AK634" s="126"/>
      <c r="AL634" s="126"/>
      <c r="AM634" s="126"/>
      <c r="AN634" s="126"/>
    </row>
    <row r="635" spans="1:40" ht="15.75" customHeight="1">
      <c r="A635" s="221" t="str">
        <f t="shared" si="2"/>
        <v/>
      </c>
      <c r="B635" s="222"/>
      <c r="C635" s="222"/>
      <c r="D635" s="222" t="str">
        <f t="array" ref="D635">IF(F635="","",INDEX(#REF!,MATCH(F635,#REF!,0)))</f>
        <v/>
      </c>
      <c r="E635" s="222" t="str">
        <f t="array" ref="E635">IF(F635="","",INDEX(#REF!,MATCH(F635,#REF!,0)))</f>
        <v/>
      </c>
      <c r="F635" s="222"/>
      <c r="G635" s="222"/>
      <c r="H635" s="223"/>
      <c r="I635" s="222"/>
      <c r="J635" s="222"/>
      <c r="K635" s="222"/>
      <c r="L635" s="222"/>
      <c r="M635" s="222"/>
      <c r="N635" s="222"/>
      <c r="O635" s="222"/>
      <c r="P635" s="224"/>
      <c r="Q635" s="224"/>
      <c r="R635" s="224"/>
      <c r="S635" s="224"/>
      <c r="T635" s="224"/>
      <c r="U635" s="224"/>
      <c r="V635" s="224"/>
      <c r="W635" s="224"/>
      <c r="X635" s="224"/>
      <c r="Y635" s="222"/>
      <c r="Z635" s="222"/>
      <c r="AA635" s="224"/>
      <c r="AB635" s="224"/>
      <c r="AC635" s="224"/>
      <c r="AD635" s="224"/>
      <c r="AE635" s="224"/>
      <c r="AF635" s="224"/>
      <c r="AG635" s="224"/>
      <c r="AH635" s="224"/>
      <c r="AI635" s="224"/>
      <c r="AJ635" s="126"/>
      <c r="AK635" s="126"/>
      <c r="AL635" s="126"/>
      <c r="AM635" s="126"/>
      <c r="AN635" s="126"/>
    </row>
    <row r="636" spans="1:40" ht="15.75" customHeight="1">
      <c r="A636" s="221" t="str">
        <f t="shared" si="2"/>
        <v/>
      </c>
      <c r="B636" s="222"/>
      <c r="C636" s="222"/>
      <c r="D636" s="222" t="str">
        <f t="array" ref="D636">IF(F636="","",INDEX(#REF!,MATCH(F636,#REF!,0)))</f>
        <v/>
      </c>
      <c r="E636" s="222" t="str">
        <f t="array" ref="E636">IF(F636="","",INDEX(#REF!,MATCH(F636,#REF!,0)))</f>
        <v/>
      </c>
      <c r="F636" s="222"/>
      <c r="G636" s="222"/>
      <c r="H636" s="223"/>
      <c r="I636" s="222"/>
      <c r="J636" s="222"/>
      <c r="K636" s="222"/>
      <c r="L636" s="222"/>
      <c r="M636" s="222"/>
      <c r="N636" s="222"/>
      <c r="O636" s="222"/>
      <c r="P636" s="224"/>
      <c r="Q636" s="224"/>
      <c r="R636" s="224"/>
      <c r="S636" s="224"/>
      <c r="T636" s="224"/>
      <c r="U636" s="224"/>
      <c r="V636" s="224"/>
      <c r="W636" s="224"/>
      <c r="X636" s="224"/>
      <c r="Y636" s="222"/>
      <c r="Z636" s="222"/>
      <c r="AA636" s="224"/>
      <c r="AB636" s="224"/>
      <c r="AC636" s="224"/>
      <c r="AD636" s="224"/>
      <c r="AE636" s="224"/>
      <c r="AF636" s="224"/>
      <c r="AG636" s="224"/>
      <c r="AH636" s="224"/>
      <c r="AI636" s="224"/>
      <c r="AJ636" s="126"/>
      <c r="AK636" s="126"/>
      <c r="AL636" s="126"/>
      <c r="AM636" s="126"/>
      <c r="AN636" s="126"/>
    </row>
    <row r="637" spans="1:40" ht="15.75" customHeight="1">
      <c r="A637" s="221" t="str">
        <f t="shared" si="2"/>
        <v/>
      </c>
      <c r="B637" s="222"/>
      <c r="C637" s="222"/>
      <c r="D637" s="222" t="str">
        <f t="array" ref="D637">IF(F637="","",INDEX(#REF!,MATCH(F637,#REF!,0)))</f>
        <v/>
      </c>
      <c r="E637" s="222" t="str">
        <f t="array" ref="E637">IF(F637="","",INDEX(#REF!,MATCH(F637,#REF!,0)))</f>
        <v/>
      </c>
      <c r="F637" s="222"/>
      <c r="G637" s="222"/>
      <c r="H637" s="223"/>
      <c r="I637" s="222"/>
      <c r="J637" s="222"/>
      <c r="K637" s="222"/>
      <c r="L637" s="222"/>
      <c r="M637" s="222"/>
      <c r="N637" s="222"/>
      <c r="O637" s="222"/>
      <c r="P637" s="224"/>
      <c r="Q637" s="224"/>
      <c r="R637" s="224"/>
      <c r="S637" s="224"/>
      <c r="T637" s="224"/>
      <c r="U637" s="224"/>
      <c r="V637" s="224"/>
      <c r="W637" s="224"/>
      <c r="X637" s="224"/>
      <c r="Y637" s="222"/>
      <c r="Z637" s="222"/>
      <c r="AA637" s="224"/>
      <c r="AB637" s="224"/>
      <c r="AC637" s="224"/>
      <c r="AD637" s="224"/>
      <c r="AE637" s="224"/>
      <c r="AF637" s="224"/>
      <c r="AG637" s="224"/>
      <c r="AH637" s="224"/>
      <c r="AI637" s="224"/>
      <c r="AJ637" s="126"/>
      <c r="AK637" s="126"/>
      <c r="AL637" s="126"/>
      <c r="AM637" s="126"/>
      <c r="AN637" s="126"/>
    </row>
    <row r="638" spans="1:40" ht="15.75" customHeight="1">
      <c r="A638" s="221" t="str">
        <f t="shared" si="2"/>
        <v/>
      </c>
      <c r="B638" s="222"/>
      <c r="C638" s="222"/>
      <c r="D638" s="222" t="str">
        <f t="array" ref="D638">IF(F638="","",INDEX(#REF!,MATCH(F638,#REF!,0)))</f>
        <v/>
      </c>
      <c r="E638" s="222" t="str">
        <f t="array" ref="E638">IF(F638="","",INDEX(#REF!,MATCH(F638,#REF!,0)))</f>
        <v/>
      </c>
      <c r="F638" s="222"/>
      <c r="G638" s="222"/>
      <c r="H638" s="223"/>
      <c r="I638" s="222"/>
      <c r="J638" s="222"/>
      <c r="K638" s="222"/>
      <c r="L638" s="222"/>
      <c r="M638" s="222"/>
      <c r="N638" s="222"/>
      <c r="O638" s="222"/>
      <c r="P638" s="224"/>
      <c r="Q638" s="224"/>
      <c r="R638" s="224"/>
      <c r="S638" s="224"/>
      <c r="T638" s="224"/>
      <c r="U638" s="224"/>
      <c r="V638" s="224"/>
      <c r="W638" s="224"/>
      <c r="X638" s="224"/>
      <c r="Y638" s="222"/>
      <c r="Z638" s="222"/>
      <c r="AA638" s="224"/>
      <c r="AB638" s="224"/>
      <c r="AC638" s="224"/>
      <c r="AD638" s="224"/>
      <c r="AE638" s="224"/>
      <c r="AF638" s="224"/>
      <c r="AG638" s="224"/>
      <c r="AH638" s="224"/>
      <c r="AI638" s="224"/>
      <c r="AJ638" s="126"/>
      <c r="AK638" s="126"/>
      <c r="AL638" s="126"/>
      <c r="AM638" s="126"/>
      <c r="AN638" s="126"/>
    </row>
    <row r="639" spans="1:40" ht="15.75" customHeight="1">
      <c r="A639" s="221" t="str">
        <f t="shared" si="2"/>
        <v/>
      </c>
      <c r="B639" s="222"/>
      <c r="C639" s="222"/>
      <c r="D639" s="222" t="str">
        <f t="array" ref="D639">IF(F639="","",INDEX(#REF!,MATCH(F639,#REF!,0)))</f>
        <v/>
      </c>
      <c r="E639" s="222" t="str">
        <f t="array" ref="E639">IF(F639="","",INDEX(#REF!,MATCH(F639,#REF!,0)))</f>
        <v/>
      </c>
      <c r="F639" s="222"/>
      <c r="G639" s="222"/>
      <c r="H639" s="223"/>
      <c r="I639" s="222"/>
      <c r="J639" s="222"/>
      <c r="K639" s="222"/>
      <c r="L639" s="222"/>
      <c r="M639" s="222"/>
      <c r="N639" s="222"/>
      <c r="O639" s="222"/>
      <c r="P639" s="224"/>
      <c r="Q639" s="224"/>
      <c r="R639" s="224"/>
      <c r="S639" s="224"/>
      <c r="T639" s="224"/>
      <c r="U639" s="224"/>
      <c r="V639" s="224"/>
      <c r="W639" s="224"/>
      <c r="X639" s="224"/>
      <c r="Y639" s="222"/>
      <c r="Z639" s="222"/>
      <c r="AA639" s="224"/>
      <c r="AB639" s="224"/>
      <c r="AC639" s="224"/>
      <c r="AD639" s="224"/>
      <c r="AE639" s="224"/>
      <c r="AF639" s="224"/>
      <c r="AG639" s="224"/>
      <c r="AH639" s="224"/>
      <c r="AI639" s="224"/>
      <c r="AJ639" s="126"/>
      <c r="AK639" s="126"/>
      <c r="AL639" s="126"/>
      <c r="AM639" s="126"/>
      <c r="AN639" s="126"/>
    </row>
    <row r="640" spans="1:40" ht="15.75" customHeight="1">
      <c r="A640" s="221" t="str">
        <f t="shared" si="2"/>
        <v/>
      </c>
      <c r="B640" s="222"/>
      <c r="C640" s="222"/>
      <c r="D640" s="222" t="str">
        <f t="array" ref="D640">IF(F640="","",INDEX(#REF!,MATCH(F640,#REF!,0)))</f>
        <v/>
      </c>
      <c r="E640" s="222" t="str">
        <f t="array" ref="E640">IF(F640="","",INDEX(#REF!,MATCH(F640,#REF!,0)))</f>
        <v/>
      </c>
      <c r="F640" s="222"/>
      <c r="G640" s="222"/>
      <c r="H640" s="223"/>
      <c r="I640" s="222"/>
      <c r="J640" s="222"/>
      <c r="K640" s="222"/>
      <c r="L640" s="222"/>
      <c r="M640" s="222"/>
      <c r="N640" s="222"/>
      <c r="O640" s="222"/>
      <c r="P640" s="224"/>
      <c r="Q640" s="224"/>
      <c r="R640" s="224"/>
      <c r="S640" s="224"/>
      <c r="T640" s="224"/>
      <c r="U640" s="224"/>
      <c r="V640" s="224"/>
      <c r="W640" s="224"/>
      <c r="X640" s="224"/>
      <c r="Y640" s="222"/>
      <c r="Z640" s="222"/>
      <c r="AA640" s="224"/>
      <c r="AB640" s="224"/>
      <c r="AC640" s="224"/>
      <c r="AD640" s="224"/>
      <c r="AE640" s="224"/>
      <c r="AF640" s="224"/>
      <c r="AG640" s="224"/>
      <c r="AH640" s="224"/>
      <c r="AI640" s="224"/>
      <c r="AJ640" s="126"/>
      <c r="AK640" s="126"/>
      <c r="AL640" s="126"/>
      <c r="AM640" s="126"/>
      <c r="AN640" s="126"/>
    </row>
    <row r="641" spans="1:40" ht="15.75" customHeight="1">
      <c r="A641" s="221" t="str">
        <f t="shared" si="2"/>
        <v/>
      </c>
      <c r="B641" s="222"/>
      <c r="C641" s="222"/>
      <c r="D641" s="222" t="str">
        <f t="array" ref="D641">IF(F641="","",INDEX(#REF!,MATCH(F641,#REF!,0)))</f>
        <v/>
      </c>
      <c r="E641" s="222" t="str">
        <f t="array" ref="E641">IF(F641="","",INDEX(#REF!,MATCH(F641,#REF!,0)))</f>
        <v/>
      </c>
      <c r="F641" s="222"/>
      <c r="G641" s="222"/>
      <c r="H641" s="223"/>
      <c r="I641" s="222"/>
      <c r="J641" s="222"/>
      <c r="K641" s="222"/>
      <c r="L641" s="222"/>
      <c r="M641" s="222"/>
      <c r="N641" s="222"/>
      <c r="O641" s="222"/>
      <c r="P641" s="224"/>
      <c r="Q641" s="224"/>
      <c r="R641" s="224"/>
      <c r="S641" s="224"/>
      <c r="T641" s="224"/>
      <c r="U641" s="224"/>
      <c r="V641" s="224"/>
      <c r="W641" s="224"/>
      <c r="X641" s="224"/>
      <c r="Y641" s="222"/>
      <c r="Z641" s="222"/>
      <c r="AA641" s="224"/>
      <c r="AB641" s="224"/>
      <c r="AC641" s="224"/>
      <c r="AD641" s="224"/>
      <c r="AE641" s="224"/>
      <c r="AF641" s="224"/>
      <c r="AG641" s="224"/>
      <c r="AH641" s="224"/>
      <c r="AI641" s="224"/>
      <c r="AJ641" s="126"/>
      <c r="AK641" s="126"/>
      <c r="AL641" s="126"/>
      <c r="AM641" s="126"/>
      <c r="AN641" s="126"/>
    </row>
    <row r="642" spans="1:40" ht="15.75" customHeight="1">
      <c r="A642" s="221" t="str">
        <f t="shared" si="2"/>
        <v/>
      </c>
      <c r="B642" s="222"/>
      <c r="C642" s="222"/>
      <c r="D642" s="222" t="str">
        <f t="array" ref="D642">IF(F642="","",INDEX(#REF!,MATCH(F642,#REF!,0)))</f>
        <v/>
      </c>
      <c r="E642" s="222" t="str">
        <f t="array" ref="E642">IF(F642="","",INDEX(#REF!,MATCH(F642,#REF!,0)))</f>
        <v/>
      </c>
      <c r="F642" s="222"/>
      <c r="G642" s="222"/>
      <c r="H642" s="223"/>
      <c r="I642" s="222"/>
      <c r="J642" s="222"/>
      <c r="K642" s="222"/>
      <c r="L642" s="222"/>
      <c r="M642" s="222"/>
      <c r="N642" s="222"/>
      <c r="O642" s="222"/>
      <c r="P642" s="224"/>
      <c r="Q642" s="224"/>
      <c r="R642" s="224"/>
      <c r="S642" s="224"/>
      <c r="T642" s="224"/>
      <c r="U642" s="224"/>
      <c r="V642" s="224"/>
      <c r="W642" s="224"/>
      <c r="X642" s="224"/>
      <c r="Y642" s="222"/>
      <c r="Z642" s="222"/>
      <c r="AA642" s="224"/>
      <c r="AB642" s="224"/>
      <c r="AC642" s="224"/>
      <c r="AD642" s="224"/>
      <c r="AE642" s="224"/>
      <c r="AF642" s="224"/>
      <c r="AG642" s="224"/>
      <c r="AH642" s="224"/>
      <c r="AI642" s="224"/>
      <c r="AJ642" s="126"/>
      <c r="AK642" s="126"/>
      <c r="AL642" s="126"/>
      <c r="AM642" s="126"/>
      <c r="AN642" s="126"/>
    </row>
    <row r="643" spans="1:40" ht="15.75" customHeight="1">
      <c r="A643" s="221" t="str">
        <f t="shared" si="2"/>
        <v/>
      </c>
      <c r="B643" s="222"/>
      <c r="C643" s="222"/>
      <c r="D643" s="222" t="str">
        <f t="array" ref="D643">IF(F643="","",INDEX(#REF!,MATCH(F643,#REF!,0)))</f>
        <v/>
      </c>
      <c r="E643" s="222" t="str">
        <f t="array" ref="E643">IF(F643="","",INDEX(#REF!,MATCH(F643,#REF!,0)))</f>
        <v/>
      </c>
      <c r="F643" s="222"/>
      <c r="G643" s="222"/>
      <c r="H643" s="223"/>
      <c r="I643" s="222"/>
      <c r="J643" s="222"/>
      <c r="K643" s="222"/>
      <c r="L643" s="222"/>
      <c r="M643" s="222"/>
      <c r="N643" s="222"/>
      <c r="O643" s="222"/>
      <c r="P643" s="224"/>
      <c r="Q643" s="224"/>
      <c r="R643" s="224"/>
      <c r="S643" s="224"/>
      <c r="T643" s="224"/>
      <c r="U643" s="224"/>
      <c r="V643" s="224"/>
      <c r="W643" s="224"/>
      <c r="X643" s="224"/>
      <c r="Y643" s="222"/>
      <c r="Z643" s="222"/>
      <c r="AA643" s="224"/>
      <c r="AB643" s="224"/>
      <c r="AC643" s="224"/>
      <c r="AD643" s="224"/>
      <c r="AE643" s="224"/>
      <c r="AF643" s="224"/>
      <c r="AG643" s="224"/>
      <c r="AH643" s="224"/>
      <c r="AI643" s="224"/>
      <c r="AJ643" s="126"/>
      <c r="AK643" s="126"/>
      <c r="AL643" s="126"/>
      <c r="AM643" s="126"/>
      <c r="AN643" s="126"/>
    </row>
    <row r="644" spans="1:40" ht="15.75" customHeight="1">
      <c r="A644" s="221" t="str">
        <f t="shared" si="2"/>
        <v/>
      </c>
      <c r="B644" s="222"/>
      <c r="C644" s="222"/>
      <c r="D644" s="222" t="str">
        <f t="array" ref="D644">IF(F644="","",INDEX(#REF!,MATCH(F644,#REF!,0)))</f>
        <v/>
      </c>
      <c r="E644" s="222" t="str">
        <f t="array" ref="E644">IF(F644="","",INDEX(#REF!,MATCH(F644,#REF!,0)))</f>
        <v/>
      </c>
      <c r="F644" s="222"/>
      <c r="G644" s="222"/>
      <c r="H644" s="223"/>
      <c r="I644" s="222"/>
      <c r="J644" s="222"/>
      <c r="K644" s="222"/>
      <c r="L644" s="222"/>
      <c r="M644" s="222"/>
      <c r="N644" s="222"/>
      <c r="O644" s="222"/>
      <c r="P644" s="224"/>
      <c r="Q644" s="224"/>
      <c r="R644" s="224"/>
      <c r="S644" s="224"/>
      <c r="T644" s="224"/>
      <c r="U644" s="224"/>
      <c r="V644" s="224"/>
      <c r="W644" s="224"/>
      <c r="X644" s="224"/>
      <c r="Y644" s="222"/>
      <c r="Z644" s="222"/>
      <c r="AA644" s="224"/>
      <c r="AB644" s="224"/>
      <c r="AC644" s="224"/>
      <c r="AD644" s="224"/>
      <c r="AE644" s="224"/>
      <c r="AF644" s="224"/>
      <c r="AG644" s="224"/>
      <c r="AH644" s="224"/>
      <c r="AI644" s="224"/>
      <c r="AJ644" s="126"/>
      <c r="AK644" s="126"/>
      <c r="AL644" s="126"/>
      <c r="AM644" s="126"/>
      <c r="AN644" s="126"/>
    </row>
    <row r="645" spans="1:40" ht="15.75" customHeight="1">
      <c r="A645" s="221" t="str">
        <f t="shared" si="2"/>
        <v/>
      </c>
      <c r="B645" s="222"/>
      <c r="C645" s="222"/>
      <c r="D645" s="222" t="str">
        <f t="array" ref="D645">IF(F645="","",INDEX(#REF!,MATCH(F645,#REF!,0)))</f>
        <v/>
      </c>
      <c r="E645" s="222" t="str">
        <f t="array" ref="E645">IF(F645="","",INDEX(#REF!,MATCH(F645,#REF!,0)))</f>
        <v/>
      </c>
      <c r="F645" s="222"/>
      <c r="G645" s="222"/>
      <c r="H645" s="223"/>
      <c r="I645" s="222"/>
      <c r="J645" s="222"/>
      <c r="K645" s="222"/>
      <c r="L645" s="222"/>
      <c r="M645" s="222"/>
      <c r="N645" s="222"/>
      <c r="O645" s="222"/>
      <c r="P645" s="224"/>
      <c r="Q645" s="224"/>
      <c r="R645" s="224"/>
      <c r="S645" s="224"/>
      <c r="T645" s="224"/>
      <c r="U645" s="224"/>
      <c r="V645" s="224"/>
      <c r="W645" s="224"/>
      <c r="X645" s="224"/>
      <c r="Y645" s="222"/>
      <c r="Z645" s="222"/>
      <c r="AA645" s="224"/>
      <c r="AB645" s="224"/>
      <c r="AC645" s="224"/>
      <c r="AD645" s="224"/>
      <c r="AE645" s="224"/>
      <c r="AF645" s="224"/>
      <c r="AG645" s="224"/>
      <c r="AH645" s="224"/>
      <c r="AI645" s="224"/>
      <c r="AJ645" s="126"/>
      <c r="AK645" s="126"/>
      <c r="AL645" s="126"/>
      <c r="AM645" s="126"/>
      <c r="AN645" s="126"/>
    </row>
    <row r="646" spans="1:40" ht="15.75" customHeight="1">
      <c r="A646" s="221" t="str">
        <f t="shared" si="2"/>
        <v/>
      </c>
      <c r="B646" s="222"/>
      <c r="C646" s="222"/>
      <c r="D646" s="222" t="str">
        <f t="array" ref="D646">IF(F646="","",INDEX(#REF!,MATCH(F646,#REF!,0)))</f>
        <v/>
      </c>
      <c r="E646" s="222" t="str">
        <f t="array" ref="E646">IF(F646="","",INDEX(#REF!,MATCH(F646,#REF!,0)))</f>
        <v/>
      </c>
      <c r="F646" s="222"/>
      <c r="G646" s="222"/>
      <c r="H646" s="223"/>
      <c r="I646" s="222"/>
      <c r="J646" s="222"/>
      <c r="K646" s="222"/>
      <c r="L646" s="222"/>
      <c r="M646" s="222"/>
      <c r="N646" s="222"/>
      <c r="O646" s="222"/>
      <c r="P646" s="224"/>
      <c r="Q646" s="224"/>
      <c r="R646" s="224"/>
      <c r="S646" s="224"/>
      <c r="T646" s="224"/>
      <c r="U646" s="224"/>
      <c r="V646" s="224"/>
      <c r="W646" s="224"/>
      <c r="X646" s="224"/>
      <c r="Y646" s="222"/>
      <c r="Z646" s="222"/>
      <c r="AA646" s="224"/>
      <c r="AB646" s="224"/>
      <c r="AC646" s="224"/>
      <c r="AD646" s="224"/>
      <c r="AE646" s="224"/>
      <c r="AF646" s="224"/>
      <c r="AG646" s="224"/>
      <c r="AH646" s="224"/>
      <c r="AI646" s="224"/>
      <c r="AJ646" s="126"/>
      <c r="AK646" s="126"/>
      <c r="AL646" s="126"/>
      <c r="AM646" s="126"/>
      <c r="AN646" s="126"/>
    </row>
    <row r="647" spans="1:40" ht="15.75" customHeight="1">
      <c r="A647" s="221" t="str">
        <f t="shared" si="2"/>
        <v/>
      </c>
      <c r="B647" s="222"/>
      <c r="C647" s="222"/>
      <c r="D647" s="222" t="str">
        <f t="array" ref="D647">IF(F647="","",INDEX(#REF!,MATCH(F647,#REF!,0)))</f>
        <v/>
      </c>
      <c r="E647" s="222" t="str">
        <f t="array" ref="E647">IF(F647="","",INDEX(#REF!,MATCH(F647,#REF!,0)))</f>
        <v/>
      </c>
      <c r="F647" s="222"/>
      <c r="G647" s="222"/>
      <c r="H647" s="223"/>
      <c r="I647" s="222"/>
      <c r="J647" s="222"/>
      <c r="K647" s="222"/>
      <c r="L647" s="222"/>
      <c r="M647" s="222"/>
      <c r="N647" s="222"/>
      <c r="O647" s="222"/>
      <c r="P647" s="224"/>
      <c r="Q647" s="224"/>
      <c r="R647" s="224"/>
      <c r="S647" s="224"/>
      <c r="T647" s="224"/>
      <c r="U647" s="224"/>
      <c r="V647" s="224"/>
      <c r="W647" s="224"/>
      <c r="X647" s="224"/>
      <c r="Y647" s="222"/>
      <c r="Z647" s="222"/>
      <c r="AA647" s="224"/>
      <c r="AB647" s="224"/>
      <c r="AC647" s="224"/>
      <c r="AD647" s="224"/>
      <c r="AE647" s="224"/>
      <c r="AF647" s="224"/>
      <c r="AG647" s="224"/>
      <c r="AH647" s="224"/>
      <c r="AI647" s="224"/>
      <c r="AJ647" s="126"/>
      <c r="AK647" s="126"/>
      <c r="AL647" s="126"/>
      <c r="AM647" s="126"/>
      <c r="AN647" s="126"/>
    </row>
    <row r="648" spans="1:40" ht="15.75" customHeight="1">
      <c r="A648" s="221" t="str">
        <f t="shared" si="2"/>
        <v/>
      </c>
      <c r="B648" s="222"/>
      <c r="C648" s="222"/>
      <c r="D648" s="222" t="str">
        <f t="array" ref="D648">IF(F648="","",INDEX(#REF!,MATCH(F648,#REF!,0)))</f>
        <v/>
      </c>
      <c r="E648" s="222" t="str">
        <f t="array" ref="E648">IF(F648="","",INDEX(#REF!,MATCH(F648,#REF!,0)))</f>
        <v/>
      </c>
      <c r="F648" s="222"/>
      <c r="G648" s="222"/>
      <c r="H648" s="223"/>
      <c r="I648" s="222"/>
      <c r="J648" s="222"/>
      <c r="K648" s="222"/>
      <c r="L648" s="222"/>
      <c r="M648" s="222"/>
      <c r="N648" s="222"/>
      <c r="O648" s="222"/>
      <c r="P648" s="224"/>
      <c r="Q648" s="224"/>
      <c r="R648" s="224"/>
      <c r="S648" s="224"/>
      <c r="T648" s="224"/>
      <c r="U648" s="224"/>
      <c r="V648" s="224"/>
      <c r="W648" s="224"/>
      <c r="X648" s="224"/>
      <c r="Y648" s="222"/>
      <c r="Z648" s="222"/>
      <c r="AA648" s="224"/>
      <c r="AB648" s="224"/>
      <c r="AC648" s="224"/>
      <c r="AD648" s="224"/>
      <c r="AE648" s="224"/>
      <c r="AF648" s="224"/>
      <c r="AG648" s="224"/>
      <c r="AH648" s="224"/>
      <c r="AI648" s="224"/>
      <c r="AJ648" s="126"/>
      <c r="AK648" s="126"/>
      <c r="AL648" s="126"/>
      <c r="AM648" s="126"/>
      <c r="AN648" s="126"/>
    </row>
    <row r="649" spans="1:40" ht="15.75" customHeight="1">
      <c r="A649" s="221" t="str">
        <f t="shared" si="2"/>
        <v/>
      </c>
      <c r="B649" s="222"/>
      <c r="C649" s="222"/>
      <c r="D649" s="222" t="str">
        <f t="array" ref="D649">IF(F649="","",INDEX(#REF!,MATCH(F649,#REF!,0)))</f>
        <v/>
      </c>
      <c r="E649" s="222" t="str">
        <f t="array" ref="E649">IF(F649="","",INDEX(#REF!,MATCH(F649,#REF!,0)))</f>
        <v/>
      </c>
      <c r="F649" s="222"/>
      <c r="G649" s="222"/>
      <c r="H649" s="223"/>
      <c r="I649" s="222"/>
      <c r="J649" s="222"/>
      <c r="K649" s="222"/>
      <c r="L649" s="222"/>
      <c r="M649" s="222"/>
      <c r="N649" s="222"/>
      <c r="O649" s="222"/>
      <c r="P649" s="224"/>
      <c r="Q649" s="224"/>
      <c r="R649" s="224"/>
      <c r="S649" s="224"/>
      <c r="T649" s="224"/>
      <c r="U649" s="224"/>
      <c r="V649" s="224"/>
      <c r="W649" s="224"/>
      <c r="X649" s="224"/>
      <c r="Y649" s="222"/>
      <c r="Z649" s="222"/>
      <c r="AA649" s="224"/>
      <c r="AB649" s="224"/>
      <c r="AC649" s="224"/>
      <c r="AD649" s="224"/>
      <c r="AE649" s="224"/>
      <c r="AF649" s="224"/>
      <c r="AG649" s="224"/>
      <c r="AH649" s="224"/>
      <c r="AI649" s="224"/>
      <c r="AJ649" s="126"/>
      <c r="AK649" s="126"/>
      <c r="AL649" s="126"/>
      <c r="AM649" s="126"/>
      <c r="AN649" s="126"/>
    </row>
    <row r="650" spans="1:40" ht="15.75" customHeight="1">
      <c r="A650" s="221" t="str">
        <f t="shared" si="2"/>
        <v/>
      </c>
      <c r="B650" s="222"/>
      <c r="C650" s="222"/>
      <c r="D650" s="222" t="str">
        <f t="array" ref="D650">IF(F650="","",INDEX(#REF!,MATCH(F650,#REF!,0)))</f>
        <v/>
      </c>
      <c r="E650" s="222" t="str">
        <f t="array" ref="E650">IF(F650="","",INDEX(#REF!,MATCH(F650,#REF!,0)))</f>
        <v/>
      </c>
      <c r="F650" s="222"/>
      <c r="G650" s="222"/>
      <c r="H650" s="223"/>
      <c r="I650" s="222"/>
      <c r="J650" s="222"/>
      <c r="K650" s="222"/>
      <c r="L650" s="222"/>
      <c r="M650" s="222"/>
      <c r="N650" s="222"/>
      <c r="O650" s="222"/>
      <c r="P650" s="224"/>
      <c r="Q650" s="224"/>
      <c r="R650" s="224"/>
      <c r="S650" s="224"/>
      <c r="T650" s="224"/>
      <c r="U650" s="224"/>
      <c r="V650" s="224"/>
      <c r="W650" s="224"/>
      <c r="X650" s="224"/>
      <c r="Y650" s="222"/>
      <c r="Z650" s="222"/>
      <c r="AA650" s="224"/>
      <c r="AB650" s="224"/>
      <c r="AC650" s="224"/>
      <c r="AD650" s="224"/>
      <c r="AE650" s="224"/>
      <c r="AF650" s="224"/>
      <c r="AG650" s="224"/>
      <c r="AH650" s="224"/>
      <c r="AI650" s="224"/>
      <c r="AJ650" s="126"/>
      <c r="AK650" s="126"/>
      <c r="AL650" s="126"/>
      <c r="AM650" s="126"/>
      <c r="AN650" s="126"/>
    </row>
    <row r="651" spans="1:40" ht="15.75" customHeight="1">
      <c r="A651" s="221" t="str">
        <f t="shared" si="2"/>
        <v/>
      </c>
      <c r="B651" s="222"/>
      <c r="C651" s="222"/>
      <c r="D651" s="222" t="str">
        <f t="array" ref="D651">IF(F651="","",INDEX(#REF!,MATCH(F651,#REF!,0)))</f>
        <v/>
      </c>
      <c r="E651" s="222" t="str">
        <f t="array" ref="E651">IF(F651="","",INDEX(#REF!,MATCH(F651,#REF!,0)))</f>
        <v/>
      </c>
      <c r="F651" s="222"/>
      <c r="G651" s="222"/>
      <c r="H651" s="223"/>
      <c r="I651" s="222"/>
      <c r="J651" s="222"/>
      <c r="K651" s="222"/>
      <c r="L651" s="222"/>
      <c r="M651" s="222"/>
      <c r="N651" s="222"/>
      <c r="O651" s="222"/>
      <c r="P651" s="224"/>
      <c r="Q651" s="224"/>
      <c r="R651" s="224"/>
      <c r="S651" s="224"/>
      <c r="T651" s="224"/>
      <c r="U651" s="224"/>
      <c r="V651" s="224"/>
      <c r="W651" s="224"/>
      <c r="X651" s="224"/>
      <c r="Y651" s="222"/>
      <c r="Z651" s="222"/>
      <c r="AA651" s="224"/>
      <c r="AB651" s="224"/>
      <c r="AC651" s="224"/>
      <c r="AD651" s="224"/>
      <c r="AE651" s="224"/>
      <c r="AF651" s="224"/>
      <c r="AG651" s="224"/>
      <c r="AH651" s="224"/>
      <c r="AI651" s="224"/>
      <c r="AJ651" s="126"/>
      <c r="AK651" s="126"/>
      <c r="AL651" s="126"/>
      <c r="AM651" s="126"/>
      <c r="AN651" s="126"/>
    </row>
    <row r="652" spans="1:40" ht="15.75" customHeight="1">
      <c r="A652" s="221" t="str">
        <f t="shared" si="2"/>
        <v/>
      </c>
      <c r="B652" s="222"/>
      <c r="C652" s="222"/>
      <c r="D652" s="222" t="str">
        <f t="array" ref="D652">IF(F652="","",INDEX(#REF!,MATCH(F652,#REF!,0)))</f>
        <v/>
      </c>
      <c r="E652" s="222" t="str">
        <f t="array" ref="E652">IF(F652="","",INDEX(#REF!,MATCH(F652,#REF!,0)))</f>
        <v/>
      </c>
      <c r="F652" s="222"/>
      <c r="G652" s="222"/>
      <c r="H652" s="223"/>
      <c r="I652" s="222"/>
      <c r="J652" s="222"/>
      <c r="K652" s="222"/>
      <c r="L652" s="222"/>
      <c r="M652" s="222"/>
      <c r="N652" s="222"/>
      <c r="O652" s="222"/>
      <c r="P652" s="224"/>
      <c r="Q652" s="224"/>
      <c r="R652" s="224"/>
      <c r="S652" s="224"/>
      <c r="T652" s="224"/>
      <c r="U652" s="224"/>
      <c r="V652" s="224"/>
      <c r="W652" s="224"/>
      <c r="X652" s="224"/>
      <c r="Y652" s="222"/>
      <c r="Z652" s="222"/>
      <c r="AA652" s="224"/>
      <c r="AB652" s="224"/>
      <c r="AC652" s="224"/>
      <c r="AD652" s="224"/>
      <c r="AE652" s="224"/>
      <c r="AF652" s="224"/>
      <c r="AG652" s="224"/>
      <c r="AH652" s="224"/>
      <c r="AI652" s="224"/>
      <c r="AJ652" s="126"/>
      <c r="AK652" s="126"/>
      <c r="AL652" s="126"/>
      <c r="AM652" s="126"/>
      <c r="AN652" s="126"/>
    </row>
    <row r="653" spans="1:40" ht="15.75" customHeight="1">
      <c r="A653" s="221" t="str">
        <f t="shared" si="2"/>
        <v/>
      </c>
      <c r="B653" s="222"/>
      <c r="C653" s="222"/>
      <c r="D653" s="222" t="str">
        <f t="array" ref="D653">IF(F653="","",INDEX(#REF!,MATCH(F653,#REF!,0)))</f>
        <v/>
      </c>
      <c r="E653" s="222" t="str">
        <f t="array" ref="E653">IF(F653="","",INDEX(#REF!,MATCH(F653,#REF!,0)))</f>
        <v/>
      </c>
      <c r="F653" s="222"/>
      <c r="G653" s="222"/>
      <c r="H653" s="223"/>
      <c r="I653" s="222"/>
      <c r="J653" s="222"/>
      <c r="K653" s="222"/>
      <c r="L653" s="222"/>
      <c r="M653" s="222"/>
      <c r="N653" s="222"/>
      <c r="O653" s="222"/>
      <c r="P653" s="224"/>
      <c r="Q653" s="224"/>
      <c r="R653" s="224"/>
      <c r="S653" s="224"/>
      <c r="T653" s="224"/>
      <c r="U653" s="224"/>
      <c r="V653" s="224"/>
      <c r="W653" s="224"/>
      <c r="X653" s="224"/>
      <c r="Y653" s="222"/>
      <c r="Z653" s="222"/>
      <c r="AA653" s="224"/>
      <c r="AB653" s="224"/>
      <c r="AC653" s="224"/>
      <c r="AD653" s="224"/>
      <c r="AE653" s="224"/>
      <c r="AF653" s="224"/>
      <c r="AG653" s="224"/>
      <c r="AH653" s="224"/>
      <c r="AI653" s="224"/>
      <c r="AJ653" s="126"/>
      <c r="AK653" s="126"/>
      <c r="AL653" s="126"/>
      <c r="AM653" s="126"/>
      <c r="AN653" s="126"/>
    </row>
    <row r="654" spans="1:40" ht="15.75" customHeight="1">
      <c r="A654" s="221" t="str">
        <f t="shared" si="2"/>
        <v/>
      </c>
      <c r="B654" s="222"/>
      <c r="C654" s="222"/>
      <c r="D654" s="222" t="str">
        <f t="array" ref="D654">IF(F654="","",INDEX(#REF!,MATCH(F654,#REF!,0)))</f>
        <v/>
      </c>
      <c r="E654" s="222" t="str">
        <f t="array" ref="E654">IF(F654="","",INDEX(#REF!,MATCH(F654,#REF!,0)))</f>
        <v/>
      </c>
      <c r="F654" s="222"/>
      <c r="G654" s="222"/>
      <c r="H654" s="223"/>
      <c r="I654" s="222"/>
      <c r="J654" s="222"/>
      <c r="K654" s="222"/>
      <c r="L654" s="222"/>
      <c r="M654" s="222"/>
      <c r="N654" s="222"/>
      <c r="O654" s="222"/>
      <c r="P654" s="224"/>
      <c r="Q654" s="224"/>
      <c r="R654" s="224"/>
      <c r="S654" s="224"/>
      <c r="T654" s="224"/>
      <c r="U654" s="224"/>
      <c r="V654" s="224"/>
      <c r="W654" s="224"/>
      <c r="X654" s="224"/>
      <c r="Y654" s="222"/>
      <c r="Z654" s="222"/>
      <c r="AA654" s="224"/>
      <c r="AB654" s="224"/>
      <c r="AC654" s="224"/>
      <c r="AD654" s="224"/>
      <c r="AE654" s="224"/>
      <c r="AF654" s="224"/>
      <c r="AG654" s="224"/>
      <c r="AH654" s="224"/>
      <c r="AI654" s="224"/>
      <c r="AJ654" s="126"/>
      <c r="AK654" s="126"/>
      <c r="AL654" s="126"/>
      <c r="AM654" s="126"/>
      <c r="AN654" s="126"/>
    </row>
    <row r="655" spans="1:40" ht="15.75" customHeight="1">
      <c r="A655" s="221" t="str">
        <f t="shared" si="2"/>
        <v/>
      </c>
      <c r="B655" s="222"/>
      <c r="C655" s="222"/>
      <c r="D655" s="222" t="str">
        <f t="array" ref="D655">IF(F655="","",INDEX(#REF!,MATCH(F655,#REF!,0)))</f>
        <v/>
      </c>
      <c r="E655" s="222" t="str">
        <f t="array" ref="E655">IF(F655="","",INDEX(#REF!,MATCH(F655,#REF!,0)))</f>
        <v/>
      </c>
      <c r="F655" s="222"/>
      <c r="G655" s="222"/>
      <c r="H655" s="223"/>
      <c r="I655" s="222"/>
      <c r="J655" s="222"/>
      <c r="K655" s="222"/>
      <c r="L655" s="222"/>
      <c r="M655" s="222"/>
      <c r="N655" s="222"/>
      <c r="O655" s="222"/>
      <c r="P655" s="224"/>
      <c r="Q655" s="224"/>
      <c r="R655" s="224"/>
      <c r="S655" s="224"/>
      <c r="T655" s="224"/>
      <c r="U655" s="224"/>
      <c r="V655" s="224"/>
      <c r="W655" s="224"/>
      <c r="X655" s="224"/>
      <c r="Y655" s="222"/>
      <c r="Z655" s="222"/>
      <c r="AA655" s="224"/>
      <c r="AB655" s="224"/>
      <c r="AC655" s="224"/>
      <c r="AD655" s="224"/>
      <c r="AE655" s="224"/>
      <c r="AF655" s="224"/>
      <c r="AG655" s="224"/>
      <c r="AH655" s="224"/>
      <c r="AI655" s="224"/>
      <c r="AJ655" s="126"/>
      <c r="AK655" s="126"/>
      <c r="AL655" s="126"/>
      <c r="AM655" s="126"/>
      <c r="AN655" s="126"/>
    </row>
    <row r="656" spans="1:40" ht="15.75" customHeight="1">
      <c r="A656" s="221" t="str">
        <f t="shared" si="2"/>
        <v/>
      </c>
      <c r="B656" s="222"/>
      <c r="C656" s="222"/>
      <c r="D656" s="222" t="str">
        <f t="array" ref="D656">IF(F656="","",INDEX(#REF!,MATCH(F656,#REF!,0)))</f>
        <v/>
      </c>
      <c r="E656" s="222" t="str">
        <f t="array" ref="E656">IF(F656="","",INDEX(#REF!,MATCH(F656,#REF!,0)))</f>
        <v/>
      </c>
      <c r="F656" s="222"/>
      <c r="G656" s="222"/>
      <c r="H656" s="223"/>
      <c r="I656" s="222"/>
      <c r="J656" s="222"/>
      <c r="K656" s="222"/>
      <c r="L656" s="222"/>
      <c r="M656" s="222"/>
      <c r="N656" s="222"/>
      <c r="O656" s="222"/>
      <c r="P656" s="224"/>
      <c r="Q656" s="224"/>
      <c r="R656" s="224"/>
      <c r="S656" s="224"/>
      <c r="T656" s="224"/>
      <c r="U656" s="224"/>
      <c r="V656" s="224"/>
      <c r="W656" s="224"/>
      <c r="X656" s="224"/>
      <c r="Y656" s="222"/>
      <c r="Z656" s="222"/>
      <c r="AA656" s="224"/>
      <c r="AB656" s="224"/>
      <c r="AC656" s="224"/>
      <c r="AD656" s="224"/>
      <c r="AE656" s="224"/>
      <c r="AF656" s="224"/>
      <c r="AG656" s="224"/>
      <c r="AH656" s="224"/>
      <c r="AI656" s="224"/>
      <c r="AJ656" s="126"/>
      <c r="AK656" s="126"/>
      <c r="AL656" s="126"/>
      <c r="AM656" s="126"/>
      <c r="AN656" s="126"/>
    </row>
    <row r="657" spans="1:40" ht="15.75" customHeight="1">
      <c r="A657" s="221" t="str">
        <f t="shared" si="2"/>
        <v/>
      </c>
      <c r="B657" s="222"/>
      <c r="C657" s="222"/>
      <c r="D657" s="222" t="str">
        <f t="array" ref="D657">IF(F657="","",INDEX(#REF!,MATCH(F657,#REF!,0)))</f>
        <v/>
      </c>
      <c r="E657" s="222" t="str">
        <f t="array" ref="E657">IF(F657="","",INDEX(#REF!,MATCH(F657,#REF!,0)))</f>
        <v/>
      </c>
      <c r="F657" s="222"/>
      <c r="G657" s="222"/>
      <c r="H657" s="223"/>
      <c r="I657" s="222"/>
      <c r="J657" s="222"/>
      <c r="K657" s="222"/>
      <c r="L657" s="222"/>
      <c r="M657" s="222"/>
      <c r="N657" s="222"/>
      <c r="O657" s="222"/>
      <c r="P657" s="224"/>
      <c r="Q657" s="224"/>
      <c r="R657" s="224"/>
      <c r="S657" s="224"/>
      <c r="T657" s="224"/>
      <c r="U657" s="224"/>
      <c r="V657" s="224"/>
      <c r="W657" s="224"/>
      <c r="X657" s="224"/>
      <c r="Y657" s="222"/>
      <c r="Z657" s="222"/>
      <c r="AA657" s="224"/>
      <c r="AB657" s="224"/>
      <c r="AC657" s="224"/>
      <c r="AD657" s="224"/>
      <c r="AE657" s="224"/>
      <c r="AF657" s="224"/>
      <c r="AG657" s="224"/>
      <c r="AH657" s="224"/>
      <c r="AI657" s="224"/>
      <c r="AJ657" s="126"/>
      <c r="AK657" s="126"/>
      <c r="AL657" s="126"/>
      <c r="AM657" s="126"/>
      <c r="AN657" s="126"/>
    </row>
    <row r="658" spans="1:40" ht="15.75" customHeight="1">
      <c r="A658" s="221" t="str">
        <f t="shared" si="2"/>
        <v/>
      </c>
      <c r="B658" s="222"/>
      <c r="C658" s="222"/>
      <c r="D658" s="222" t="str">
        <f t="array" ref="D658">IF(F658="","",INDEX(#REF!,MATCH(F658,#REF!,0)))</f>
        <v/>
      </c>
      <c r="E658" s="222" t="str">
        <f t="array" ref="E658">IF(F658="","",INDEX(#REF!,MATCH(F658,#REF!,0)))</f>
        <v/>
      </c>
      <c r="F658" s="222"/>
      <c r="G658" s="222"/>
      <c r="H658" s="223"/>
      <c r="I658" s="222"/>
      <c r="J658" s="222"/>
      <c r="K658" s="222"/>
      <c r="L658" s="222"/>
      <c r="M658" s="222"/>
      <c r="N658" s="222"/>
      <c r="O658" s="222"/>
      <c r="P658" s="224"/>
      <c r="Q658" s="224"/>
      <c r="R658" s="224"/>
      <c r="S658" s="224"/>
      <c r="T658" s="224"/>
      <c r="U658" s="224"/>
      <c r="V658" s="224"/>
      <c r="W658" s="224"/>
      <c r="X658" s="224"/>
      <c r="Y658" s="222"/>
      <c r="Z658" s="222"/>
      <c r="AA658" s="224"/>
      <c r="AB658" s="224"/>
      <c r="AC658" s="224"/>
      <c r="AD658" s="224"/>
      <c r="AE658" s="224"/>
      <c r="AF658" s="224"/>
      <c r="AG658" s="224"/>
      <c r="AH658" s="224"/>
      <c r="AI658" s="224"/>
      <c r="AJ658" s="126"/>
      <c r="AK658" s="126"/>
      <c r="AL658" s="126"/>
      <c r="AM658" s="126"/>
      <c r="AN658" s="126"/>
    </row>
    <row r="659" spans="1:40" ht="15.75" customHeight="1">
      <c r="A659" s="221" t="str">
        <f t="shared" si="2"/>
        <v/>
      </c>
      <c r="B659" s="222"/>
      <c r="C659" s="222"/>
      <c r="D659" s="222" t="str">
        <f t="array" ref="D659">IF(F659="","",INDEX(#REF!,MATCH(F659,#REF!,0)))</f>
        <v/>
      </c>
      <c r="E659" s="222" t="str">
        <f t="array" ref="E659">IF(F659="","",INDEX(#REF!,MATCH(F659,#REF!,0)))</f>
        <v/>
      </c>
      <c r="F659" s="222"/>
      <c r="G659" s="222"/>
      <c r="H659" s="223"/>
      <c r="I659" s="222"/>
      <c r="J659" s="222"/>
      <c r="K659" s="222"/>
      <c r="L659" s="222"/>
      <c r="M659" s="222"/>
      <c r="N659" s="222"/>
      <c r="O659" s="222"/>
      <c r="P659" s="224"/>
      <c r="Q659" s="224"/>
      <c r="R659" s="224"/>
      <c r="S659" s="224"/>
      <c r="T659" s="224"/>
      <c r="U659" s="224"/>
      <c r="V659" s="224"/>
      <c r="W659" s="224"/>
      <c r="X659" s="224"/>
      <c r="Y659" s="222"/>
      <c r="Z659" s="222"/>
      <c r="AA659" s="224"/>
      <c r="AB659" s="224"/>
      <c r="AC659" s="224"/>
      <c r="AD659" s="224"/>
      <c r="AE659" s="224"/>
      <c r="AF659" s="224"/>
      <c r="AG659" s="224"/>
      <c r="AH659" s="224"/>
      <c r="AI659" s="224"/>
      <c r="AJ659" s="126"/>
      <c r="AK659" s="126"/>
      <c r="AL659" s="126"/>
      <c r="AM659" s="126"/>
      <c r="AN659" s="126"/>
    </row>
    <row r="660" spans="1:40" ht="15.75" customHeight="1">
      <c r="A660" s="221" t="str">
        <f t="shared" si="2"/>
        <v/>
      </c>
      <c r="B660" s="222"/>
      <c r="C660" s="222"/>
      <c r="D660" s="222" t="str">
        <f t="array" ref="D660">IF(F660="","",INDEX(#REF!,MATCH(F660,#REF!,0)))</f>
        <v/>
      </c>
      <c r="E660" s="222" t="str">
        <f t="array" ref="E660">IF(F660="","",INDEX(#REF!,MATCH(F660,#REF!,0)))</f>
        <v/>
      </c>
      <c r="F660" s="222"/>
      <c r="G660" s="222"/>
      <c r="H660" s="223"/>
      <c r="I660" s="222"/>
      <c r="J660" s="222"/>
      <c r="K660" s="222"/>
      <c r="L660" s="222"/>
      <c r="M660" s="222"/>
      <c r="N660" s="222"/>
      <c r="O660" s="222"/>
      <c r="P660" s="224"/>
      <c r="Q660" s="224"/>
      <c r="R660" s="224"/>
      <c r="S660" s="224"/>
      <c r="T660" s="224"/>
      <c r="U660" s="224"/>
      <c r="V660" s="224"/>
      <c r="W660" s="224"/>
      <c r="X660" s="224"/>
      <c r="Y660" s="222"/>
      <c r="Z660" s="222"/>
      <c r="AA660" s="224"/>
      <c r="AB660" s="224"/>
      <c r="AC660" s="224"/>
      <c r="AD660" s="224"/>
      <c r="AE660" s="224"/>
      <c r="AF660" s="224"/>
      <c r="AG660" s="224"/>
      <c r="AH660" s="224"/>
      <c r="AI660" s="224"/>
      <c r="AJ660" s="126"/>
      <c r="AK660" s="126"/>
      <c r="AL660" s="126"/>
      <c r="AM660" s="126"/>
      <c r="AN660" s="126"/>
    </row>
    <row r="661" spans="1:40" ht="15.75" customHeight="1">
      <c r="A661" s="221" t="str">
        <f t="shared" si="2"/>
        <v/>
      </c>
      <c r="B661" s="222"/>
      <c r="C661" s="222"/>
      <c r="D661" s="222" t="str">
        <f t="array" ref="D661">IF(F661="","",INDEX(#REF!,MATCH(F661,#REF!,0)))</f>
        <v/>
      </c>
      <c r="E661" s="222" t="str">
        <f t="array" ref="E661">IF(F661="","",INDEX(#REF!,MATCH(F661,#REF!,0)))</f>
        <v/>
      </c>
      <c r="F661" s="222"/>
      <c r="G661" s="222"/>
      <c r="H661" s="223"/>
      <c r="I661" s="222"/>
      <c r="J661" s="222"/>
      <c r="K661" s="222"/>
      <c r="L661" s="222"/>
      <c r="M661" s="222"/>
      <c r="N661" s="222"/>
      <c r="O661" s="222"/>
      <c r="P661" s="224"/>
      <c r="Q661" s="224"/>
      <c r="R661" s="224"/>
      <c r="S661" s="224"/>
      <c r="T661" s="224"/>
      <c r="U661" s="224"/>
      <c r="V661" s="224"/>
      <c r="W661" s="224"/>
      <c r="X661" s="224"/>
      <c r="Y661" s="222"/>
      <c r="Z661" s="222"/>
      <c r="AA661" s="224"/>
      <c r="AB661" s="224"/>
      <c r="AC661" s="224"/>
      <c r="AD661" s="224"/>
      <c r="AE661" s="224"/>
      <c r="AF661" s="224"/>
      <c r="AG661" s="224"/>
      <c r="AH661" s="224"/>
      <c r="AI661" s="224"/>
      <c r="AJ661" s="126"/>
      <c r="AK661" s="126"/>
      <c r="AL661" s="126"/>
      <c r="AM661" s="126"/>
      <c r="AN661" s="126"/>
    </row>
    <row r="662" spans="1:40" ht="15.75" customHeight="1">
      <c r="A662" s="221" t="str">
        <f t="shared" si="2"/>
        <v/>
      </c>
      <c r="B662" s="222"/>
      <c r="C662" s="222"/>
      <c r="D662" s="222" t="str">
        <f t="array" ref="D662">IF(F662="","",INDEX(#REF!,MATCH(F662,#REF!,0)))</f>
        <v/>
      </c>
      <c r="E662" s="222" t="str">
        <f t="array" ref="E662">IF(F662="","",INDEX(#REF!,MATCH(F662,#REF!,0)))</f>
        <v/>
      </c>
      <c r="F662" s="222"/>
      <c r="G662" s="222"/>
      <c r="H662" s="223"/>
      <c r="I662" s="222"/>
      <c r="J662" s="222"/>
      <c r="K662" s="222"/>
      <c r="L662" s="222"/>
      <c r="M662" s="222"/>
      <c r="N662" s="222"/>
      <c r="O662" s="222"/>
      <c r="P662" s="224"/>
      <c r="Q662" s="224"/>
      <c r="R662" s="224"/>
      <c r="S662" s="224"/>
      <c r="T662" s="224"/>
      <c r="U662" s="224"/>
      <c r="V662" s="224"/>
      <c r="W662" s="224"/>
      <c r="X662" s="224"/>
      <c r="Y662" s="222"/>
      <c r="Z662" s="222"/>
      <c r="AA662" s="224"/>
      <c r="AB662" s="224"/>
      <c r="AC662" s="224"/>
      <c r="AD662" s="224"/>
      <c r="AE662" s="224"/>
      <c r="AF662" s="224"/>
      <c r="AG662" s="224"/>
      <c r="AH662" s="224"/>
      <c r="AI662" s="224"/>
      <c r="AJ662" s="126"/>
      <c r="AK662" s="126"/>
      <c r="AL662" s="126"/>
      <c r="AM662" s="126"/>
      <c r="AN662" s="126"/>
    </row>
    <row r="663" spans="1:40" ht="15.75" customHeight="1">
      <c r="A663" s="221" t="str">
        <f t="shared" si="2"/>
        <v/>
      </c>
      <c r="B663" s="222"/>
      <c r="C663" s="222"/>
      <c r="D663" s="222" t="str">
        <f t="array" ref="D663">IF(F663="","",INDEX(#REF!,MATCH(F663,#REF!,0)))</f>
        <v/>
      </c>
      <c r="E663" s="222" t="str">
        <f t="array" ref="E663">IF(F663="","",INDEX(#REF!,MATCH(F663,#REF!,0)))</f>
        <v/>
      </c>
      <c r="F663" s="222"/>
      <c r="G663" s="222"/>
      <c r="H663" s="223"/>
      <c r="I663" s="222"/>
      <c r="J663" s="222"/>
      <c r="K663" s="222"/>
      <c r="L663" s="222"/>
      <c r="M663" s="222"/>
      <c r="N663" s="222"/>
      <c r="O663" s="222"/>
      <c r="P663" s="224"/>
      <c r="Q663" s="224"/>
      <c r="R663" s="224"/>
      <c r="S663" s="224"/>
      <c r="T663" s="224"/>
      <c r="U663" s="224"/>
      <c r="V663" s="224"/>
      <c r="W663" s="224"/>
      <c r="X663" s="224"/>
      <c r="Y663" s="222"/>
      <c r="Z663" s="222"/>
      <c r="AA663" s="224"/>
      <c r="AB663" s="224"/>
      <c r="AC663" s="224"/>
      <c r="AD663" s="224"/>
      <c r="AE663" s="224"/>
      <c r="AF663" s="224"/>
      <c r="AG663" s="224"/>
      <c r="AH663" s="224"/>
      <c r="AI663" s="224"/>
      <c r="AJ663" s="126"/>
      <c r="AK663" s="126"/>
      <c r="AL663" s="126"/>
      <c r="AM663" s="126"/>
      <c r="AN663" s="126"/>
    </row>
    <row r="664" spans="1:40" ht="15.75" customHeight="1">
      <c r="A664" s="221" t="str">
        <f t="shared" si="2"/>
        <v/>
      </c>
      <c r="B664" s="222"/>
      <c r="C664" s="222"/>
      <c r="D664" s="222" t="str">
        <f t="array" ref="D664">IF(F664="","",INDEX(#REF!,MATCH(F664,#REF!,0)))</f>
        <v/>
      </c>
      <c r="E664" s="222" t="str">
        <f t="array" ref="E664">IF(F664="","",INDEX(#REF!,MATCH(F664,#REF!,0)))</f>
        <v/>
      </c>
      <c r="F664" s="222"/>
      <c r="G664" s="222"/>
      <c r="H664" s="223"/>
      <c r="I664" s="222"/>
      <c r="J664" s="222"/>
      <c r="K664" s="222"/>
      <c r="L664" s="222"/>
      <c r="M664" s="222"/>
      <c r="N664" s="222"/>
      <c r="O664" s="222"/>
      <c r="P664" s="224"/>
      <c r="Q664" s="224"/>
      <c r="R664" s="224"/>
      <c r="S664" s="224"/>
      <c r="T664" s="224"/>
      <c r="U664" s="224"/>
      <c r="V664" s="224"/>
      <c r="W664" s="224"/>
      <c r="X664" s="224"/>
      <c r="Y664" s="222"/>
      <c r="Z664" s="222"/>
      <c r="AA664" s="224"/>
      <c r="AB664" s="224"/>
      <c r="AC664" s="224"/>
      <c r="AD664" s="224"/>
      <c r="AE664" s="224"/>
      <c r="AF664" s="224"/>
      <c r="AG664" s="224"/>
      <c r="AH664" s="224"/>
      <c r="AI664" s="224"/>
      <c r="AJ664" s="126"/>
      <c r="AK664" s="126"/>
      <c r="AL664" s="126"/>
      <c r="AM664" s="126"/>
      <c r="AN664" s="126"/>
    </row>
    <row r="665" spans="1:40" ht="15.75" customHeight="1">
      <c r="A665" s="221" t="str">
        <f t="shared" si="2"/>
        <v/>
      </c>
      <c r="B665" s="222"/>
      <c r="C665" s="222"/>
      <c r="D665" s="222" t="str">
        <f t="array" ref="D665">IF(F665="","",INDEX(#REF!,MATCH(F665,#REF!,0)))</f>
        <v/>
      </c>
      <c r="E665" s="222" t="str">
        <f t="array" ref="E665">IF(F665="","",INDEX(#REF!,MATCH(F665,#REF!,0)))</f>
        <v/>
      </c>
      <c r="F665" s="222"/>
      <c r="G665" s="222"/>
      <c r="H665" s="223"/>
      <c r="I665" s="222"/>
      <c r="J665" s="222"/>
      <c r="K665" s="222"/>
      <c r="L665" s="222"/>
      <c r="M665" s="222"/>
      <c r="N665" s="222"/>
      <c r="O665" s="222"/>
      <c r="P665" s="224"/>
      <c r="Q665" s="224"/>
      <c r="R665" s="224"/>
      <c r="S665" s="224"/>
      <c r="T665" s="224"/>
      <c r="U665" s="224"/>
      <c r="V665" s="224"/>
      <c r="W665" s="224"/>
      <c r="X665" s="224"/>
      <c r="Y665" s="222"/>
      <c r="Z665" s="222"/>
      <c r="AA665" s="224"/>
      <c r="AB665" s="224"/>
      <c r="AC665" s="224"/>
      <c r="AD665" s="224"/>
      <c r="AE665" s="224"/>
      <c r="AF665" s="224"/>
      <c r="AG665" s="224"/>
      <c r="AH665" s="224"/>
      <c r="AI665" s="224"/>
      <c r="AJ665" s="126"/>
      <c r="AK665" s="126"/>
      <c r="AL665" s="126"/>
      <c r="AM665" s="126"/>
      <c r="AN665" s="126"/>
    </row>
    <row r="666" spans="1:40" ht="15.75" customHeight="1">
      <c r="A666" s="221" t="str">
        <f t="shared" si="2"/>
        <v/>
      </c>
      <c r="B666" s="222"/>
      <c r="C666" s="222"/>
      <c r="D666" s="222" t="str">
        <f t="array" ref="D666">IF(F666="","",INDEX(#REF!,MATCH(F666,#REF!,0)))</f>
        <v/>
      </c>
      <c r="E666" s="222" t="str">
        <f t="array" ref="E666">IF(F666="","",INDEX(#REF!,MATCH(F666,#REF!,0)))</f>
        <v/>
      </c>
      <c r="F666" s="222"/>
      <c r="G666" s="222"/>
      <c r="H666" s="223"/>
      <c r="I666" s="222"/>
      <c r="J666" s="222"/>
      <c r="K666" s="222"/>
      <c r="L666" s="222"/>
      <c r="M666" s="222"/>
      <c r="N666" s="222"/>
      <c r="O666" s="222"/>
      <c r="P666" s="224"/>
      <c r="Q666" s="224"/>
      <c r="R666" s="224"/>
      <c r="S666" s="224"/>
      <c r="T666" s="224"/>
      <c r="U666" s="224"/>
      <c r="V666" s="224"/>
      <c r="W666" s="224"/>
      <c r="X666" s="224"/>
      <c r="Y666" s="222"/>
      <c r="Z666" s="222"/>
      <c r="AA666" s="224"/>
      <c r="AB666" s="224"/>
      <c r="AC666" s="224"/>
      <c r="AD666" s="224"/>
      <c r="AE666" s="224"/>
      <c r="AF666" s="224"/>
      <c r="AG666" s="224"/>
      <c r="AH666" s="224"/>
      <c r="AI666" s="224"/>
      <c r="AJ666" s="126"/>
      <c r="AK666" s="126"/>
      <c r="AL666" s="126"/>
      <c r="AM666" s="126"/>
      <c r="AN666" s="126"/>
    </row>
    <row r="667" spans="1:40" ht="15.75" customHeight="1">
      <c r="A667" s="221" t="str">
        <f t="shared" si="2"/>
        <v/>
      </c>
      <c r="B667" s="222"/>
      <c r="C667" s="222"/>
      <c r="D667" s="222" t="str">
        <f t="array" ref="D667">IF(F667="","",INDEX(#REF!,MATCH(F667,#REF!,0)))</f>
        <v/>
      </c>
      <c r="E667" s="222" t="str">
        <f t="array" ref="E667">IF(F667="","",INDEX(#REF!,MATCH(F667,#REF!,0)))</f>
        <v/>
      </c>
      <c r="F667" s="222"/>
      <c r="G667" s="222"/>
      <c r="H667" s="223"/>
      <c r="I667" s="222"/>
      <c r="J667" s="222"/>
      <c r="K667" s="222"/>
      <c r="L667" s="222"/>
      <c r="M667" s="222"/>
      <c r="N667" s="222"/>
      <c r="O667" s="222"/>
      <c r="P667" s="224"/>
      <c r="Q667" s="224"/>
      <c r="R667" s="224"/>
      <c r="S667" s="224"/>
      <c r="T667" s="224"/>
      <c r="U667" s="224"/>
      <c r="V667" s="224"/>
      <c r="W667" s="224"/>
      <c r="X667" s="224"/>
      <c r="Y667" s="222"/>
      <c r="Z667" s="222"/>
      <c r="AA667" s="224"/>
      <c r="AB667" s="224"/>
      <c r="AC667" s="224"/>
      <c r="AD667" s="224"/>
      <c r="AE667" s="224"/>
      <c r="AF667" s="224"/>
      <c r="AG667" s="224"/>
      <c r="AH667" s="224"/>
      <c r="AI667" s="224"/>
      <c r="AJ667" s="126"/>
      <c r="AK667" s="126"/>
      <c r="AL667" s="126"/>
      <c r="AM667" s="126"/>
      <c r="AN667" s="126"/>
    </row>
    <row r="668" spans="1:40" ht="15.75" customHeight="1">
      <c r="A668" s="221" t="str">
        <f t="shared" si="2"/>
        <v/>
      </c>
      <c r="B668" s="222"/>
      <c r="C668" s="222"/>
      <c r="D668" s="222" t="str">
        <f t="array" ref="D668">IF(F668="","",INDEX(#REF!,MATCH(F668,#REF!,0)))</f>
        <v/>
      </c>
      <c r="E668" s="222" t="str">
        <f t="array" ref="E668">IF(F668="","",INDEX(#REF!,MATCH(F668,#REF!,0)))</f>
        <v/>
      </c>
      <c r="F668" s="222"/>
      <c r="G668" s="222"/>
      <c r="H668" s="223"/>
      <c r="I668" s="222"/>
      <c r="J668" s="222"/>
      <c r="K668" s="222"/>
      <c r="L668" s="222"/>
      <c r="M668" s="222"/>
      <c r="N668" s="222"/>
      <c r="O668" s="222"/>
      <c r="P668" s="224"/>
      <c r="Q668" s="224"/>
      <c r="R668" s="224"/>
      <c r="S668" s="224"/>
      <c r="T668" s="224"/>
      <c r="U668" s="224"/>
      <c r="V668" s="224"/>
      <c r="W668" s="224"/>
      <c r="X668" s="224"/>
      <c r="Y668" s="222"/>
      <c r="Z668" s="222"/>
      <c r="AA668" s="224"/>
      <c r="AB668" s="224"/>
      <c r="AC668" s="224"/>
      <c r="AD668" s="224"/>
      <c r="AE668" s="224"/>
      <c r="AF668" s="224"/>
      <c r="AG668" s="224"/>
      <c r="AH668" s="224"/>
      <c r="AI668" s="224"/>
      <c r="AJ668" s="126"/>
      <c r="AK668" s="126"/>
      <c r="AL668" s="126"/>
      <c r="AM668" s="126"/>
      <c r="AN668" s="126"/>
    </row>
    <row r="669" spans="1:40" ht="15.75" customHeight="1">
      <c r="A669" s="221" t="str">
        <f t="shared" si="2"/>
        <v/>
      </c>
      <c r="B669" s="222"/>
      <c r="C669" s="222"/>
      <c r="D669" s="222" t="str">
        <f t="array" ref="D669">IF(F669="","",INDEX(#REF!,MATCH(F669,#REF!,0)))</f>
        <v/>
      </c>
      <c r="E669" s="222" t="str">
        <f t="array" ref="E669">IF(F669="","",INDEX(#REF!,MATCH(F669,#REF!,0)))</f>
        <v/>
      </c>
      <c r="F669" s="222"/>
      <c r="G669" s="222"/>
      <c r="H669" s="223"/>
      <c r="I669" s="222"/>
      <c r="J669" s="222"/>
      <c r="K669" s="222"/>
      <c r="L669" s="222"/>
      <c r="M669" s="222"/>
      <c r="N669" s="222"/>
      <c r="O669" s="222"/>
      <c r="P669" s="224"/>
      <c r="Q669" s="224"/>
      <c r="R669" s="224"/>
      <c r="S669" s="224"/>
      <c r="T669" s="224"/>
      <c r="U669" s="224"/>
      <c r="V669" s="224"/>
      <c r="W669" s="224"/>
      <c r="X669" s="224"/>
      <c r="Y669" s="222"/>
      <c r="Z669" s="222"/>
      <c r="AA669" s="224"/>
      <c r="AB669" s="224"/>
      <c r="AC669" s="224"/>
      <c r="AD669" s="224"/>
      <c r="AE669" s="224"/>
      <c r="AF669" s="224"/>
      <c r="AG669" s="224"/>
      <c r="AH669" s="224"/>
      <c r="AI669" s="224"/>
      <c r="AJ669" s="126"/>
      <c r="AK669" s="126"/>
      <c r="AL669" s="126"/>
      <c r="AM669" s="126"/>
      <c r="AN669" s="126"/>
    </row>
    <row r="670" spans="1:40" ht="15.75" customHeight="1">
      <c r="A670" s="221" t="str">
        <f t="shared" si="2"/>
        <v/>
      </c>
      <c r="B670" s="222"/>
      <c r="C670" s="222"/>
      <c r="D670" s="222" t="str">
        <f t="array" ref="D670">IF(F670="","",INDEX(#REF!,MATCH(F670,#REF!,0)))</f>
        <v/>
      </c>
      <c r="E670" s="222" t="str">
        <f t="array" ref="E670">IF(F670="","",INDEX(#REF!,MATCH(F670,#REF!,0)))</f>
        <v/>
      </c>
      <c r="F670" s="222"/>
      <c r="G670" s="222"/>
      <c r="H670" s="223"/>
      <c r="I670" s="222"/>
      <c r="J670" s="222"/>
      <c r="K670" s="222"/>
      <c r="L670" s="222"/>
      <c r="M670" s="222"/>
      <c r="N670" s="222"/>
      <c r="O670" s="222"/>
      <c r="P670" s="224"/>
      <c r="Q670" s="224"/>
      <c r="R670" s="224"/>
      <c r="S670" s="224"/>
      <c r="T670" s="224"/>
      <c r="U670" s="224"/>
      <c r="V670" s="224"/>
      <c r="W670" s="224"/>
      <c r="X670" s="224"/>
      <c r="Y670" s="222"/>
      <c r="Z670" s="222"/>
      <c r="AA670" s="224"/>
      <c r="AB670" s="224"/>
      <c r="AC670" s="224"/>
      <c r="AD670" s="224"/>
      <c r="AE670" s="224"/>
      <c r="AF670" s="224"/>
      <c r="AG670" s="224"/>
      <c r="AH670" s="224"/>
      <c r="AI670" s="224"/>
      <c r="AJ670" s="126"/>
      <c r="AK670" s="126"/>
      <c r="AL670" s="126"/>
      <c r="AM670" s="126"/>
      <c r="AN670" s="126"/>
    </row>
    <row r="671" spans="1:40" ht="15.75" customHeight="1">
      <c r="A671" s="221" t="str">
        <f t="shared" si="2"/>
        <v/>
      </c>
      <c r="B671" s="222"/>
      <c r="C671" s="222"/>
      <c r="D671" s="222" t="str">
        <f t="array" ref="D671">IF(F671="","",INDEX(#REF!,MATCH(F671,#REF!,0)))</f>
        <v/>
      </c>
      <c r="E671" s="222" t="str">
        <f t="array" ref="E671">IF(F671="","",INDEX(#REF!,MATCH(F671,#REF!,0)))</f>
        <v/>
      </c>
      <c r="F671" s="222"/>
      <c r="G671" s="222"/>
      <c r="H671" s="223"/>
      <c r="I671" s="222"/>
      <c r="J671" s="222"/>
      <c r="K671" s="222"/>
      <c r="L671" s="222"/>
      <c r="M671" s="222"/>
      <c r="N671" s="222"/>
      <c r="O671" s="222"/>
      <c r="P671" s="224"/>
      <c r="Q671" s="224"/>
      <c r="R671" s="224"/>
      <c r="S671" s="224"/>
      <c r="T671" s="224"/>
      <c r="U671" s="224"/>
      <c r="V671" s="224"/>
      <c r="W671" s="224"/>
      <c r="X671" s="224"/>
      <c r="Y671" s="222"/>
      <c r="Z671" s="222"/>
      <c r="AA671" s="224"/>
      <c r="AB671" s="224"/>
      <c r="AC671" s="224"/>
      <c r="AD671" s="224"/>
      <c r="AE671" s="224"/>
      <c r="AF671" s="224"/>
      <c r="AG671" s="224"/>
      <c r="AH671" s="224"/>
      <c r="AI671" s="224"/>
      <c r="AJ671" s="126"/>
      <c r="AK671" s="126"/>
      <c r="AL671" s="126"/>
      <c r="AM671" s="126"/>
      <c r="AN671" s="126"/>
    </row>
    <row r="672" spans="1:40" ht="15.75" customHeight="1">
      <c r="A672" s="221" t="str">
        <f t="shared" si="2"/>
        <v/>
      </c>
      <c r="B672" s="222"/>
      <c r="C672" s="222"/>
      <c r="D672" s="222" t="str">
        <f t="array" ref="D672">IF(F672="","",INDEX(#REF!,MATCH(F672,#REF!,0)))</f>
        <v/>
      </c>
      <c r="E672" s="222" t="str">
        <f t="array" ref="E672">IF(F672="","",INDEX(#REF!,MATCH(F672,#REF!,0)))</f>
        <v/>
      </c>
      <c r="F672" s="222"/>
      <c r="G672" s="222"/>
      <c r="H672" s="223"/>
      <c r="I672" s="222"/>
      <c r="J672" s="222"/>
      <c r="K672" s="222"/>
      <c r="L672" s="222"/>
      <c r="M672" s="222"/>
      <c r="N672" s="222"/>
      <c r="O672" s="222"/>
      <c r="P672" s="224"/>
      <c r="Q672" s="224"/>
      <c r="R672" s="224"/>
      <c r="S672" s="224"/>
      <c r="T672" s="224"/>
      <c r="U672" s="224"/>
      <c r="V672" s="224"/>
      <c r="W672" s="224"/>
      <c r="X672" s="224"/>
      <c r="Y672" s="222"/>
      <c r="Z672" s="222"/>
      <c r="AA672" s="224"/>
      <c r="AB672" s="224"/>
      <c r="AC672" s="224"/>
      <c r="AD672" s="224"/>
      <c r="AE672" s="224"/>
      <c r="AF672" s="224"/>
      <c r="AG672" s="224"/>
      <c r="AH672" s="224"/>
      <c r="AI672" s="224"/>
      <c r="AJ672" s="126"/>
      <c r="AK672" s="126"/>
      <c r="AL672" s="126"/>
      <c r="AM672" s="126"/>
      <c r="AN672" s="126"/>
    </row>
    <row r="673" spans="1:40" ht="15.75" customHeight="1">
      <c r="A673" s="221" t="str">
        <f t="shared" si="2"/>
        <v/>
      </c>
      <c r="B673" s="222"/>
      <c r="C673" s="222"/>
      <c r="D673" s="222" t="str">
        <f t="array" ref="D673">IF(F673="","",INDEX(#REF!,MATCH(F673,#REF!,0)))</f>
        <v/>
      </c>
      <c r="E673" s="222" t="str">
        <f t="array" ref="E673">IF(F673="","",INDEX(#REF!,MATCH(F673,#REF!,0)))</f>
        <v/>
      </c>
      <c r="F673" s="222"/>
      <c r="G673" s="222"/>
      <c r="H673" s="223"/>
      <c r="I673" s="222"/>
      <c r="J673" s="222"/>
      <c r="K673" s="222"/>
      <c r="L673" s="222"/>
      <c r="M673" s="222"/>
      <c r="N673" s="222"/>
      <c r="O673" s="222"/>
      <c r="P673" s="224"/>
      <c r="Q673" s="224"/>
      <c r="R673" s="224"/>
      <c r="S673" s="224"/>
      <c r="T673" s="224"/>
      <c r="U673" s="224"/>
      <c r="V673" s="224"/>
      <c r="W673" s="224"/>
      <c r="X673" s="224"/>
      <c r="Y673" s="222"/>
      <c r="Z673" s="222"/>
      <c r="AA673" s="224"/>
      <c r="AB673" s="224"/>
      <c r="AC673" s="224"/>
      <c r="AD673" s="224"/>
      <c r="AE673" s="224"/>
      <c r="AF673" s="224"/>
      <c r="AG673" s="224"/>
      <c r="AH673" s="224"/>
      <c r="AI673" s="224"/>
      <c r="AJ673" s="126"/>
      <c r="AK673" s="126"/>
      <c r="AL673" s="126"/>
      <c r="AM673" s="126"/>
      <c r="AN673" s="126"/>
    </row>
    <row r="674" spans="1:40" ht="15.75" customHeight="1">
      <c r="A674" s="221" t="str">
        <f t="shared" si="2"/>
        <v/>
      </c>
      <c r="B674" s="222"/>
      <c r="C674" s="222"/>
      <c r="D674" s="222" t="str">
        <f t="array" ref="D674">IF(F674="","",INDEX(#REF!,MATCH(F674,#REF!,0)))</f>
        <v/>
      </c>
      <c r="E674" s="222" t="str">
        <f t="array" ref="E674">IF(F674="","",INDEX(#REF!,MATCH(F674,#REF!,0)))</f>
        <v/>
      </c>
      <c r="F674" s="222"/>
      <c r="G674" s="222"/>
      <c r="H674" s="223"/>
      <c r="I674" s="222"/>
      <c r="J674" s="222"/>
      <c r="K674" s="222"/>
      <c r="L674" s="222"/>
      <c r="M674" s="222"/>
      <c r="N674" s="222"/>
      <c r="O674" s="222"/>
      <c r="P674" s="224"/>
      <c r="Q674" s="224"/>
      <c r="R674" s="224"/>
      <c r="S674" s="224"/>
      <c r="T674" s="224"/>
      <c r="U674" s="224"/>
      <c r="V674" s="224"/>
      <c r="W674" s="224"/>
      <c r="X674" s="224"/>
      <c r="Y674" s="222"/>
      <c r="Z674" s="222"/>
      <c r="AA674" s="224"/>
      <c r="AB674" s="224"/>
      <c r="AC674" s="224"/>
      <c r="AD674" s="224"/>
      <c r="AE674" s="224"/>
      <c r="AF674" s="224"/>
      <c r="AG674" s="224"/>
      <c r="AH674" s="224"/>
      <c r="AI674" s="224"/>
      <c r="AJ674" s="126"/>
      <c r="AK674" s="126"/>
      <c r="AL674" s="126"/>
      <c r="AM674" s="126"/>
      <c r="AN674" s="126"/>
    </row>
    <row r="675" spans="1:40" ht="15.75" customHeight="1">
      <c r="A675" s="221" t="str">
        <f t="shared" si="2"/>
        <v/>
      </c>
      <c r="B675" s="222"/>
      <c r="C675" s="222"/>
      <c r="D675" s="222" t="str">
        <f t="array" ref="D675">IF(F675="","",INDEX(#REF!,MATCH(F675,#REF!,0)))</f>
        <v/>
      </c>
      <c r="E675" s="222" t="str">
        <f t="array" ref="E675">IF(F675="","",INDEX(#REF!,MATCH(F675,#REF!,0)))</f>
        <v/>
      </c>
      <c r="F675" s="222"/>
      <c r="G675" s="222"/>
      <c r="H675" s="223"/>
      <c r="I675" s="222"/>
      <c r="J675" s="222"/>
      <c r="K675" s="222"/>
      <c r="L675" s="222"/>
      <c r="M675" s="222"/>
      <c r="N675" s="222"/>
      <c r="O675" s="222"/>
      <c r="P675" s="224"/>
      <c r="Q675" s="224"/>
      <c r="R675" s="224"/>
      <c r="S675" s="224"/>
      <c r="T675" s="224"/>
      <c r="U675" s="224"/>
      <c r="V675" s="224"/>
      <c r="W675" s="224"/>
      <c r="X675" s="224"/>
      <c r="Y675" s="222"/>
      <c r="Z675" s="222"/>
      <c r="AA675" s="224"/>
      <c r="AB675" s="224"/>
      <c r="AC675" s="224"/>
      <c r="AD675" s="224"/>
      <c r="AE675" s="224"/>
      <c r="AF675" s="224"/>
      <c r="AG675" s="224"/>
      <c r="AH675" s="224"/>
      <c r="AI675" s="224"/>
      <c r="AJ675" s="126"/>
      <c r="AK675" s="126"/>
      <c r="AL675" s="126"/>
      <c r="AM675" s="126"/>
      <c r="AN675" s="126"/>
    </row>
    <row r="676" spans="1:40" ht="15.75" customHeight="1">
      <c r="A676" s="221" t="str">
        <f t="shared" si="2"/>
        <v/>
      </c>
      <c r="B676" s="222"/>
      <c r="C676" s="222"/>
      <c r="D676" s="222" t="str">
        <f t="array" ref="D676">IF(F676="","",INDEX(#REF!,MATCH(F676,#REF!,0)))</f>
        <v/>
      </c>
      <c r="E676" s="222" t="str">
        <f t="array" ref="E676">IF(F676="","",INDEX(#REF!,MATCH(F676,#REF!,0)))</f>
        <v/>
      </c>
      <c r="F676" s="222"/>
      <c r="G676" s="222"/>
      <c r="H676" s="223"/>
      <c r="I676" s="222"/>
      <c r="J676" s="222"/>
      <c r="K676" s="222"/>
      <c r="L676" s="222"/>
      <c r="M676" s="222"/>
      <c r="N676" s="222"/>
      <c r="O676" s="222"/>
      <c r="P676" s="224"/>
      <c r="Q676" s="224"/>
      <c r="R676" s="224"/>
      <c r="S676" s="224"/>
      <c r="T676" s="224"/>
      <c r="U676" s="224"/>
      <c r="V676" s="224"/>
      <c r="W676" s="224"/>
      <c r="X676" s="224"/>
      <c r="Y676" s="222"/>
      <c r="Z676" s="222"/>
      <c r="AA676" s="224"/>
      <c r="AB676" s="224"/>
      <c r="AC676" s="224"/>
      <c r="AD676" s="224"/>
      <c r="AE676" s="224"/>
      <c r="AF676" s="224"/>
      <c r="AG676" s="224"/>
      <c r="AH676" s="224"/>
      <c r="AI676" s="224"/>
      <c r="AJ676" s="126"/>
      <c r="AK676" s="126"/>
      <c r="AL676" s="126"/>
      <c r="AM676" s="126"/>
      <c r="AN676" s="126"/>
    </row>
    <row r="677" spans="1:40" ht="15.75" customHeight="1">
      <c r="A677" s="221" t="str">
        <f t="shared" si="2"/>
        <v/>
      </c>
      <c r="B677" s="222"/>
      <c r="C677" s="222"/>
      <c r="D677" s="222" t="str">
        <f t="array" ref="D677">IF(F677="","",INDEX(#REF!,MATCH(F677,#REF!,0)))</f>
        <v/>
      </c>
      <c r="E677" s="222" t="str">
        <f t="array" ref="E677">IF(F677="","",INDEX(#REF!,MATCH(F677,#REF!,0)))</f>
        <v/>
      </c>
      <c r="F677" s="222"/>
      <c r="G677" s="222"/>
      <c r="H677" s="223"/>
      <c r="I677" s="222"/>
      <c r="J677" s="222"/>
      <c r="K677" s="222"/>
      <c r="L677" s="222"/>
      <c r="M677" s="222"/>
      <c r="N677" s="222"/>
      <c r="O677" s="222"/>
      <c r="P677" s="224"/>
      <c r="Q677" s="224"/>
      <c r="R677" s="224"/>
      <c r="S677" s="224"/>
      <c r="T677" s="224"/>
      <c r="U677" s="224"/>
      <c r="V677" s="224"/>
      <c r="W677" s="224"/>
      <c r="X677" s="224"/>
      <c r="Y677" s="222"/>
      <c r="Z677" s="222"/>
      <c r="AA677" s="224"/>
      <c r="AB677" s="224"/>
      <c r="AC677" s="224"/>
      <c r="AD677" s="224"/>
      <c r="AE677" s="224"/>
      <c r="AF677" s="224"/>
      <c r="AG677" s="224"/>
      <c r="AH677" s="224"/>
      <c r="AI677" s="224"/>
      <c r="AJ677" s="126"/>
      <c r="AK677" s="126"/>
      <c r="AL677" s="126"/>
      <c r="AM677" s="126"/>
      <c r="AN677" s="126"/>
    </row>
    <row r="678" spans="1:40" ht="15.75" customHeight="1">
      <c r="A678" s="221" t="str">
        <f t="shared" si="2"/>
        <v/>
      </c>
      <c r="B678" s="222"/>
      <c r="C678" s="222"/>
      <c r="D678" s="222" t="str">
        <f t="array" ref="D678">IF(F678="","",INDEX(#REF!,MATCH(F678,#REF!,0)))</f>
        <v/>
      </c>
      <c r="E678" s="222" t="str">
        <f t="array" ref="E678">IF(F678="","",INDEX(#REF!,MATCH(F678,#REF!,0)))</f>
        <v/>
      </c>
      <c r="F678" s="222"/>
      <c r="G678" s="222"/>
      <c r="H678" s="223"/>
      <c r="I678" s="222"/>
      <c r="J678" s="222"/>
      <c r="K678" s="222"/>
      <c r="L678" s="222"/>
      <c r="M678" s="222"/>
      <c r="N678" s="222"/>
      <c r="O678" s="222"/>
      <c r="P678" s="224"/>
      <c r="Q678" s="224"/>
      <c r="R678" s="224"/>
      <c r="S678" s="224"/>
      <c r="T678" s="224"/>
      <c r="U678" s="224"/>
      <c r="V678" s="224"/>
      <c r="W678" s="224"/>
      <c r="X678" s="224"/>
      <c r="Y678" s="222"/>
      <c r="Z678" s="222"/>
      <c r="AA678" s="224"/>
      <c r="AB678" s="224"/>
      <c r="AC678" s="224"/>
      <c r="AD678" s="224"/>
      <c r="AE678" s="224"/>
      <c r="AF678" s="224"/>
      <c r="AG678" s="224"/>
      <c r="AH678" s="224"/>
      <c r="AI678" s="224"/>
      <c r="AJ678" s="126"/>
      <c r="AK678" s="126"/>
      <c r="AL678" s="126"/>
      <c r="AM678" s="126"/>
      <c r="AN678" s="126"/>
    </row>
    <row r="679" spans="1:40" ht="15.75" customHeight="1">
      <c r="A679" s="221" t="str">
        <f t="shared" si="2"/>
        <v/>
      </c>
      <c r="B679" s="222"/>
      <c r="C679" s="222"/>
      <c r="D679" s="222" t="str">
        <f t="array" ref="D679">IF(F679="","",INDEX(#REF!,MATCH(F679,#REF!,0)))</f>
        <v/>
      </c>
      <c r="E679" s="222" t="str">
        <f t="array" ref="E679">IF(F679="","",INDEX(#REF!,MATCH(F679,#REF!,0)))</f>
        <v/>
      </c>
      <c r="F679" s="222"/>
      <c r="G679" s="222"/>
      <c r="H679" s="223"/>
      <c r="I679" s="222"/>
      <c r="J679" s="222"/>
      <c r="K679" s="222"/>
      <c r="L679" s="222"/>
      <c r="M679" s="222"/>
      <c r="N679" s="222"/>
      <c r="O679" s="222"/>
      <c r="P679" s="224"/>
      <c r="Q679" s="224"/>
      <c r="R679" s="224"/>
      <c r="S679" s="224"/>
      <c r="T679" s="224"/>
      <c r="U679" s="224"/>
      <c r="V679" s="224"/>
      <c r="W679" s="224"/>
      <c r="X679" s="224"/>
      <c r="Y679" s="222"/>
      <c r="Z679" s="222"/>
      <c r="AA679" s="224"/>
      <c r="AB679" s="224"/>
      <c r="AC679" s="224"/>
      <c r="AD679" s="224"/>
      <c r="AE679" s="224"/>
      <c r="AF679" s="224"/>
      <c r="AG679" s="224"/>
      <c r="AH679" s="224"/>
      <c r="AI679" s="224"/>
      <c r="AJ679" s="126"/>
      <c r="AK679" s="126"/>
      <c r="AL679" s="126"/>
      <c r="AM679" s="126"/>
      <c r="AN679" s="126"/>
    </row>
    <row r="680" spans="1:40" ht="15.75" customHeight="1">
      <c r="A680" s="221" t="str">
        <f t="shared" si="2"/>
        <v/>
      </c>
      <c r="B680" s="222"/>
      <c r="C680" s="222"/>
      <c r="D680" s="222" t="str">
        <f t="array" ref="D680">IF(F680="","",INDEX(#REF!,MATCH(F680,#REF!,0)))</f>
        <v/>
      </c>
      <c r="E680" s="222" t="str">
        <f t="array" ref="E680">IF(F680="","",INDEX(#REF!,MATCH(F680,#REF!,0)))</f>
        <v/>
      </c>
      <c r="F680" s="222"/>
      <c r="G680" s="222"/>
      <c r="H680" s="223"/>
      <c r="I680" s="222"/>
      <c r="J680" s="222"/>
      <c r="K680" s="222"/>
      <c r="L680" s="222"/>
      <c r="M680" s="222"/>
      <c r="N680" s="222"/>
      <c r="O680" s="222"/>
      <c r="P680" s="224"/>
      <c r="Q680" s="224"/>
      <c r="R680" s="224"/>
      <c r="S680" s="224"/>
      <c r="T680" s="224"/>
      <c r="U680" s="224"/>
      <c r="V680" s="224"/>
      <c r="W680" s="224"/>
      <c r="X680" s="224"/>
      <c r="Y680" s="222"/>
      <c r="Z680" s="222"/>
      <c r="AA680" s="224"/>
      <c r="AB680" s="224"/>
      <c r="AC680" s="224"/>
      <c r="AD680" s="224"/>
      <c r="AE680" s="224"/>
      <c r="AF680" s="224"/>
      <c r="AG680" s="224"/>
      <c r="AH680" s="224"/>
      <c r="AI680" s="224"/>
      <c r="AJ680" s="126"/>
      <c r="AK680" s="126"/>
      <c r="AL680" s="126"/>
      <c r="AM680" s="126"/>
      <c r="AN680" s="126"/>
    </row>
    <row r="681" spans="1:40" ht="15.75" customHeight="1">
      <c r="A681" s="221" t="str">
        <f t="shared" si="2"/>
        <v/>
      </c>
      <c r="B681" s="222"/>
      <c r="C681" s="222"/>
      <c r="D681" s="222" t="str">
        <f t="array" ref="D681">IF(F681="","",INDEX(#REF!,MATCH(F681,#REF!,0)))</f>
        <v/>
      </c>
      <c r="E681" s="222" t="str">
        <f t="array" ref="E681">IF(F681="","",INDEX(#REF!,MATCH(F681,#REF!,0)))</f>
        <v/>
      </c>
      <c r="F681" s="222"/>
      <c r="G681" s="222"/>
      <c r="H681" s="223"/>
      <c r="I681" s="222"/>
      <c r="J681" s="222"/>
      <c r="K681" s="222"/>
      <c r="L681" s="222"/>
      <c r="M681" s="222"/>
      <c r="N681" s="222"/>
      <c r="O681" s="222"/>
      <c r="P681" s="224"/>
      <c r="Q681" s="224"/>
      <c r="R681" s="224"/>
      <c r="S681" s="224"/>
      <c r="T681" s="224"/>
      <c r="U681" s="224"/>
      <c r="V681" s="224"/>
      <c r="W681" s="224"/>
      <c r="X681" s="224"/>
      <c r="Y681" s="222"/>
      <c r="Z681" s="222"/>
      <c r="AA681" s="224"/>
      <c r="AB681" s="224"/>
      <c r="AC681" s="224"/>
      <c r="AD681" s="224"/>
      <c r="AE681" s="224"/>
      <c r="AF681" s="224"/>
      <c r="AG681" s="224"/>
      <c r="AH681" s="224"/>
      <c r="AI681" s="224"/>
      <c r="AJ681" s="126"/>
      <c r="AK681" s="126"/>
      <c r="AL681" s="126"/>
      <c r="AM681" s="126"/>
      <c r="AN681" s="126"/>
    </row>
    <row r="682" spans="1:40" ht="15.75" customHeight="1">
      <c r="A682" s="221" t="str">
        <f t="shared" si="2"/>
        <v/>
      </c>
      <c r="B682" s="222"/>
      <c r="C682" s="222"/>
      <c r="D682" s="222" t="str">
        <f t="array" ref="D682">IF(F682="","",INDEX(#REF!,MATCH(F682,#REF!,0)))</f>
        <v/>
      </c>
      <c r="E682" s="222" t="str">
        <f t="array" ref="E682">IF(F682="","",INDEX(#REF!,MATCH(F682,#REF!,0)))</f>
        <v/>
      </c>
      <c r="F682" s="222"/>
      <c r="G682" s="222"/>
      <c r="H682" s="223"/>
      <c r="I682" s="222"/>
      <c r="J682" s="222"/>
      <c r="K682" s="222"/>
      <c r="L682" s="222"/>
      <c r="M682" s="222"/>
      <c r="N682" s="222"/>
      <c r="O682" s="222"/>
      <c r="P682" s="224"/>
      <c r="Q682" s="224"/>
      <c r="R682" s="224"/>
      <c r="S682" s="224"/>
      <c r="T682" s="224"/>
      <c r="U682" s="224"/>
      <c r="V682" s="224"/>
      <c r="W682" s="224"/>
      <c r="X682" s="224"/>
      <c r="Y682" s="222"/>
      <c r="Z682" s="222"/>
      <c r="AA682" s="224"/>
      <c r="AB682" s="224"/>
      <c r="AC682" s="224"/>
      <c r="AD682" s="224"/>
      <c r="AE682" s="224"/>
      <c r="AF682" s="224"/>
      <c r="AG682" s="224"/>
      <c r="AH682" s="224"/>
      <c r="AI682" s="224"/>
      <c r="AJ682" s="126"/>
      <c r="AK682" s="126"/>
      <c r="AL682" s="126"/>
      <c r="AM682" s="126"/>
      <c r="AN682" s="126"/>
    </row>
    <row r="683" spans="1:40" ht="15.75" customHeight="1">
      <c r="A683" s="221" t="str">
        <f t="shared" si="2"/>
        <v/>
      </c>
      <c r="B683" s="222"/>
      <c r="C683" s="222"/>
      <c r="D683" s="222" t="str">
        <f t="array" ref="D683">IF(F683="","",INDEX(#REF!,MATCH(F683,#REF!,0)))</f>
        <v/>
      </c>
      <c r="E683" s="222" t="str">
        <f t="array" ref="E683">IF(F683="","",INDEX(#REF!,MATCH(F683,#REF!,0)))</f>
        <v/>
      </c>
      <c r="F683" s="222"/>
      <c r="G683" s="222"/>
      <c r="H683" s="223"/>
      <c r="I683" s="222"/>
      <c r="J683" s="222"/>
      <c r="K683" s="222"/>
      <c r="L683" s="222"/>
      <c r="M683" s="222"/>
      <c r="N683" s="222"/>
      <c r="O683" s="222"/>
      <c r="P683" s="224"/>
      <c r="Q683" s="224"/>
      <c r="R683" s="224"/>
      <c r="S683" s="224"/>
      <c r="T683" s="224"/>
      <c r="U683" s="224"/>
      <c r="V683" s="224"/>
      <c r="W683" s="224"/>
      <c r="X683" s="224"/>
      <c r="Y683" s="222"/>
      <c r="Z683" s="222"/>
      <c r="AA683" s="224"/>
      <c r="AB683" s="224"/>
      <c r="AC683" s="224"/>
      <c r="AD683" s="224"/>
      <c r="AE683" s="224"/>
      <c r="AF683" s="224"/>
      <c r="AG683" s="224"/>
      <c r="AH683" s="224"/>
      <c r="AI683" s="224"/>
      <c r="AJ683" s="126"/>
      <c r="AK683" s="126"/>
      <c r="AL683" s="126"/>
      <c r="AM683" s="126"/>
      <c r="AN683" s="126"/>
    </row>
    <row r="684" spans="1:40" ht="15.75" customHeight="1">
      <c r="A684" s="221" t="str">
        <f t="shared" si="2"/>
        <v/>
      </c>
      <c r="B684" s="222"/>
      <c r="C684" s="222"/>
      <c r="D684" s="222" t="str">
        <f t="array" ref="D684">IF(F684="","",INDEX(#REF!,MATCH(F684,#REF!,0)))</f>
        <v/>
      </c>
      <c r="E684" s="222" t="str">
        <f t="array" ref="E684">IF(F684="","",INDEX(#REF!,MATCH(F684,#REF!,0)))</f>
        <v/>
      </c>
      <c r="F684" s="222"/>
      <c r="G684" s="222"/>
      <c r="H684" s="223"/>
      <c r="I684" s="222"/>
      <c r="J684" s="222"/>
      <c r="K684" s="222"/>
      <c r="L684" s="222"/>
      <c r="M684" s="222"/>
      <c r="N684" s="222"/>
      <c r="O684" s="222"/>
      <c r="P684" s="224"/>
      <c r="Q684" s="224"/>
      <c r="R684" s="224"/>
      <c r="S684" s="224"/>
      <c r="T684" s="224"/>
      <c r="U684" s="224"/>
      <c r="V684" s="224"/>
      <c r="W684" s="224"/>
      <c r="X684" s="224"/>
      <c r="Y684" s="222"/>
      <c r="Z684" s="222"/>
      <c r="AA684" s="224"/>
      <c r="AB684" s="224"/>
      <c r="AC684" s="224"/>
      <c r="AD684" s="224"/>
      <c r="AE684" s="224"/>
      <c r="AF684" s="224"/>
      <c r="AG684" s="224"/>
      <c r="AH684" s="224"/>
      <c r="AI684" s="224"/>
      <c r="AJ684" s="126"/>
      <c r="AK684" s="126"/>
      <c r="AL684" s="126"/>
      <c r="AM684" s="126"/>
      <c r="AN684" s="126"/>
    </row>
    <row r="685" spans="1:40" ht="15.75" customHeight="1">
      <c r="A685" s="221" t="str">
        <f t="shared" si="2"/>
        <v/>
      </c>
      <c r="B685" s="222"/>
      <c r="C685" s="222"/>
      <c r="D685" s="222" t="str">
        <f t="array" ref="D685">IF(F685="","",INDEX(#REF!,MATCH(F685,#REF!,0)))</f>
        <v/>
      </c>
      <c r="E685" s="222" t="str">
        <f t="array" ref="E685">IF(F685="","",INDEX(#REF!,MATCH(F685,#REF!,0)))</f>
        <v/>
      </c>
      <c r="F685" s="222"/>
      <c r="G685" s="222"/>
      <c r="H685" s="223"/>
      <c r="I685" s="222"/>
      <c r="J685" s="222"/>
      <c r="K685" s="222"/>
      <c r="L685" s="222"/>
      <c r="M685" s="222"/>
      <c r="N685" s="222"/>
      <c r="O685" s="222"/>
      <c r="P685" s="224"/>
      <c r="Q685" s="224"/>
      <c r="R685" s="224"/>
      <c r="S685" s="224"/>
      <c r="T685" s="224"/>
      <c r="U685" s="224"/>
      <c r="V685" s="224"/>
      <c r="W685" s="224"/>
      <c r="X685" s="224"/>
      <c r="Y685" s="222"/>
      <c r="Z685" s="222"/>
      <c r="AA685" s="224"/>
      <c r="AB685" s="224"/>
      <c r="AC685" s="224"/>
      <c r="AD685" s="224"/>
      <c r="AE685" s="224"/>
      <c r="AF685" s="224"/>
      <c r="AG685" s="224"/>
      <c r="AH685" s="224"/>
      <c r="AI685" s="224"/>
      <c r="AJ685" s="126"/>
      <c r="AK685" s="126"/>
      <c r="AL685" s="126"/>
      <c r="AM685" s="126"/>
      <c r="AN685" s="126"/>
    </row>
    <row r="686" spans="1:40" ht="15.75" customHeight="1">
      <c r="A686" s="221" t="str">
        <f t="shared" si="2"/>
        <v/>
      </c>
      <c r="B686" s="222"/>
      <c r="C686" s="222"/>
      <c r="D686" s="222" t="str">
        <f t="array" ref="D686">IF(F686="","",INDEX(#REF!,MATCH(F686,#REF!,0)))</f>
        <v/>
      </c>
      <c r="E686" s="222" t="str">
        <f t="array" ref="E686">IF(F686="","",INDEX(#REF!,MATCH(F686,#REF!,0)))</f>
        <v/>
      </c>
      <c r="F686" s="222"/>
      <c r="G686" s="222"/>
      <c r="H686" s="223"/>
      <c r="I686" s="222"/>
      <c r="J686" s="222"/>
      <c r="K686" s="222"/>
      <c r="L686" s="222"/>
      <c r="M686" s="222"/>
      <c r="N686" s="222"/>
      <c r="O686" s="222"/>
      <c r="P686" s="224"/>
      <c r="Q686" s="224"/>
      <c r="R686" s="224"/>
      <c r="S686" s="224"/>
      <c r="T686" s="224"/>
      <c r="U686" s="224"/>
      <c r="V686" s="224"/>
      <c r="W686" s="224"/>
      <c r="X686" s="224"/>
      <c r="Y686" s="222"/>
      <c r="Z686" s="222"/>
      <c r="AA686" s="224"/>
      <c r="AB686" s="224"/>
      <c r="AC686" s="224"/>
      <c r="AD686" s="224"/>
      <c r="AE686" s="224"/>
      <c r="AF686" s="224"/>
      <c r="AG686" s="224"/>
      <c r="AH686" s="224"/>
      <c r="AI686" s="224"/>
      <c r="AJ686" s="126"/>
      <c r="AK686" s="126"/>
      <c r="AL686" s="126"/>
      <c r="AM686" s="126"/>
      <c r="AN686" s="126"/>
    </row>
    <row r="687" spans="1:40" ht="15.75" customHeight="1">
      <c r="A687" s="221" t="str">
        <f t="shared" si="2"/>
        <v/>
      </c>
      <c r="B687" s="222"/>
      <c r="C687" s="222"/>
      <c r="D687" s="222" t="str">
        <f t="array" ref="D687">IF(F687="","",INDEX(#REF!,MATCH(F687,#REF!,0)))</f>
        <v/>
      </c>
      <c r="E687" s="222" t="str">
        <f t="array" ref="E687">IF(F687="","",INDEX(#REF!,MATCH(F687,#REF!,0)))</f>
        <v/>
      </c>
      <c r="F687" s="222"/>
      <c r="G687" s="222"/>
      <c r="H687" s="223"/>
      <c r="I687" s="222"/>
      <c r="J687" s="222"/>
      <c r="K687" s="222"/>
      <c r="L687" s="222"/>
      <c r="M687" s="222"/>
      <c r="N687" s="222"/>
      <c r="O687" s="222"/>
      <c r="P687" s="224"/>
      <c r="Q687" s="224"/>
      <c r="R687" s="224"/>
      <c r="S687" s="224"/>
      <c r="T687" s="224"/>
      <c r="U687" s="224"/>
      <c r="V687" s="224"/>
      <c r="W687" s="224"/>
      <c r="X687" s="224"/>
      <c r="Y687" s="222"/>
      <c r="Z687" s="222"/>
      <c r="AA687" s="224"/>
      <c r="AB687" s="224"/>
      <c r="AC687" s="224"/>
      <c r="AD687" s="224"/>
      <c r="AE687" s="224"/>
      <c r="AF687" s="224"/>
      <c r="AG687" s="224"/>
      <c r="AH687" s="224"/>
      <c r="AI687" s="224"/>
      <c r="AJ687" s="126"/>
      <c r="AK687" s="126"/>
      <c r="AL687" s="126"/>
      <c r="AM687" s="126"/>
      <c r="AN687" s="126"/>
    </row>
    <row r="688" spans="1:40" ht="15.75" customHeight="1">
      <c r="A688" s="221" t="str">
        <f t="shared" si="2"/>
        <v/>
      </c>
      <c r="B688" s="222"/>
      <c r="C688" s="222"/>
      <c r="D688" s="222" t="str">
        <f t="array" ref="D688">IF(F688="","",INDEX(#REF!,MATCH(F688,#REF!,0)))</f>
        <v/>
      </c>
      <c r="E688" s="222" t="str">
        <f t="array" ref="E688">IF(F688="","",INDEX(#REF!,MATCH(F688,#REF!,0)))</f>
        <v/>
      </c>
      <c r="F688" s="222"/>
      <c r="G688" s="222"/>
      <c r="H688" s="223"/>
      <c r="I688" s="222"/>
      <c r="J688" s="222"/>
      <c r="K688" s="222"/>
      <c r="L688" s="222"/>
      <c r="M688" s="222"/>
      <c r="N688" s="222"/>
      <c r="O688" s="222"/>
      <c r="P688" s="224"/>
      <c r="Q688" s="224"/>
      <c r="R688" s="224"/>
      <c r="S688" s="224"/>
      <c r="T688" s="224"/>
      <c r="U688" s="224"/>
      <c r="V688" s="224"/>
      <c r="W688" s="224"/>
      <c r="X688" s="224"/>
      <c r="Y688" s="222"/>
      <c r="Z688" s="222"/>
      <c r="AA688" s="224"/>
      <c r="AB688" s="224"/>
      <c r="AC688" s="224"/>
      <c r="AD688" s="224"/>
      <c r="AE688" s="224"/>
      <c r="AF688" s="224"/>
      <c r="AG688" s="224"/>
      <c r="AH688" s="224"/>
      <c r="AI688" s="224"/>
      <c r="AJ688" s="126"/>
      <c r="AK688" s="126"/>
      <c r="AL688" s="126"/>
      <c r="AM688" s="126"/>
      <c r="AN688" s="126"/>
    </row>
    <row r="689" spans="1:40" ht="15.75" customHeight="1">
      <c r="A689" s="221" t="str">
        <f t="shared" si="2"/>
        <v/>
      </c>
      <c r="B689" s="222"/>
      <c r="C689" s="222"/>
      <c r="D689" s="222" t="str">
        <f t="array" ref="D689">IF(F689="","",INDEX(#REF!,MATCH(F689,#REF!,0)))</f>
        <v/>
      </c>
      <c r="E689" s="222" t="str">
        <f t="array" ref="E689">IF(F689="","",INDEX(#REF!,MATCH(F689,#REF!,0)))</f>
        <v/>
      </c>
      <c r="F689" s="222"/>
      <c r="G689" s="222"/>
      <c r="H689" s="223"/>
      <c r="I689" s="222"/>
      <c r="J689" s="222"/>
      <c r="K689" s="222"/>
      <c r="L689" s="222"/>
      <c r="M689" s="222"/>
      <c r="N689" s="222"/>
      <c r="O689" s="222"/>
      <c r="P689" s="224"/>
      <c r="Q689" s="224"/>
      <c r="R689" s="224"/>
      <c r="S689" s="224"/>
      <c r="T689" s="224"/>
      <c r="U689" s="224"/>
      <c r="V689" s="224"/>
      <c r="W689" s="224"/>
      <c r="X689" s="224"/>
      <c r="Y689" s="222"/>
      <c r="Z689" s="222"/>
      <c r="AA689" s="224"/>
      <c r="AB689" s="224"/>
      <c r="AC689" s="224"/>
      <c r="AD689" s="224"/>
      <c r="AE689" s="224"/>
      <c r="AF689" s="224"/>
      <c r="AG689" s="224"/>
      <c r="AH689" s="224"/>
      <c r="AI689" s="224"/>
      <c r="AJ689" s="126"/>
      <c r="AK689" s="126"/>
      <c r="AL689" s="126"/>
      <c r="AM689" s="126"/>
      <c r="AN689" s="126"/>
    </row>
    <row r="690" spans="1:40" ht="15.75" customHeight="1">
      <c r="A690" s="221" t="str">
        <f t="shared" si="2"/>
        <v/>
      </c>
      <c r="B690" s="222"/>
      <c r="C690" s="222"/>
      <c r="D690" s="222" t="str">
        <f t="array" ref="D690">IF(F690="","",INDEX(#REF!,MATCH(F690,#REF!,0)))</f>
        <v/>
      </c>
      <c r="E690" s="222" t="str">
        <f t="array" ref="E690">IF(F690="","",INDEX(#REF!,MATCH(F690,#REF!,0)))</f>
        <v/>
      </c>
      <c r="F690" s="222"/>
      <c r="G690" s="222"/>
      <c r="H690" s="223"/>
      <c r="I690" s="222"/>
      <c r="J690" s="222"/>
      <c r="K690" s="222"/>
      <c r="L690" s="222"/>
      <c r="M690" s="222"/>
      <c r="N690" s="222"/>
      <c r="O690" s="222"/>
      <c r="P690" s="224"/>
      <c r="Q690" s="224"/>
      <c r="R690" s="224"/>
      <c r="S690" s="224"/>
      <c r="T690" s="224"/>
      <c r="U690" s="224"/>
      <c r="V690" s="224"/>
      <c r="W690" s="224"/>
      <c r="X690" s="224"/>
      <c r="Y690" s="222"/>
      <c r="Z690" s="222"/>
      <c r="AA690" s="224"/>
      <c r="AB690" s="224"/>
      <c r="AC690" s="224"/>
      <c r="AD690" s="224"/>
      <c r="AE690" s="224"/>
      <c r="AF690" s="224"/>
      <c r="AG690" s="224"/>
      <c r="AH690" s="224"/>
      <c r="AI690" s="224"/>
      <c r="AJ690" s="126"/>
      <c r="AK690" s="126"/>
      <c r="AL690" s="126"/>
      <c r="AM690" s="126"/>
      <c r="AN690" s="126"/>
    </row>
    <row r="691" spans="1:40" ht="15.75" customHeight="1">
      <c r="A691" s="221" t="str">
        <f t="shared" si="2"/>
        <v/>
      </c>
      <c r="B691" s="222"/>
      <c r="C691" s="222"/>
      <c r="D691" s="222" t="str">
        <f t="array" ref="D691">IF(F691="","",INDEX(#REF!,MATCH(F691,#REF!,0)))</f>
        <v/>
      </c>
      <c r="E691" s="222" t="str">
        <f t="array" ref="E691">IF(F691="","",INDEX(#REF!,MATCH(F691,#REF!,0)))</f>
        <v/>
      </c>
      <c r="F691" s="222"/>
      <c r="G691" s="222"/>
      <c r="H691" s="223"/>
      <c r="I691" s="222"/>
      <c r="J691" s="222"/>
      <c r="K691" s="222"/>
      <c r="L691" s="222"/>
      <c r="M691" s="222"/>
      <c r="N691" s="222"/>
      <c r="O691" s="222"/>
      <c r="P691" s="224"/>
      <c r="Q691" s="224"/>
      <c r="R691" s="224"/>
      <c r="S691" s="224"/>
      <c r="T691" s="224"/>
      <c r="U691" s="224"/>
      <c r="V691" s="224"/>
      <c r="W691" s="224"/>
      <c r="X691" s="224"/>
      <c r="Y691" s="222"/>
      <c r="Z691" s="222"/>
      <c r="AA691" s="224"/>
      <c r="AB691" s="224"/>
      <c r="AC691" s="224"/>
      <c r="AD691" s="224"/>
      <c r="AE691" s="224"/>
      <c r="AF691" s="224"/>
      <c r="AG691" s="224"/>
      <c r="AH691" s="224"/>
      <c r="AI691" s="224"/>
      <c r="AJ691" s="126"/>
      <c r="AK691" s="126"/>
      <c r="AL691" s="126"/>
      <c r="AM691" s="126"/>
      <c r="AN691" s="126"/>
    </row>
    <row r="692" spans="1:40" ht="15.75" customHeight="1">
      <c r="A692" s="221" t="str">
        <f t="shared" si="2"/>
        <v/>
      </c>
      <c r="B692" s="222"/>
      <c r="C692" s="222"/>
      <c r="D692" s="222" t="str">
        <f t="array" ref="D692">IF(F692="","",INDEX(#REF!,MATCH(F692,#REF!,0)))</f>
        <v/>
      </c>
      <c r="E692" s="222" t="str">
        <f t="array" ref="E692">IF(F692="","",INDEX(#REF!,MATCH(F692,#REF!,0)))</f>
        <v/>
      </c>
      <c r="F692" s="222"/>
      <c r="G692" s="222"/>
      <c r="H692" s="223"/>
      <c r="I692" s="222"/>
      <c r="J692" s="222"/>
      <c r="K692" s="222"/>
      <c r="L692" s="222"/>
      <c r="M692" s="222"/>
      <c r="N692" s="222"/>
      <c r="O692" s="222"/>
      <c r="P692" s="224"/>
      <c r="Q692" s="224"/>
      <c r="R692" s="224"/>
      <c r="S692" s="224"/>
      <c r="T692" s="224"/>
      <c r="U692" s="224"/>
      <c r="V692" s="224"/>
      <c r="W692" s="224"/>
      <c r="X692" s="224"/>
      <c r="Y692" s="222"/>
      <c r="Z692" s="222"/>
      <c r="AA692" s="224"/>
      <c r="AB692" s="224"/>
      <c r="AC692" s="224"/>
      <c r="AD692" s="224"/>
      <c r="AE692" s="224"/>
      <c r="AF692" s="224"/>
      <c r="AG692" s="224"/>
      <c r="AH692" s="224"/>
      <c r="AI692" s="224"/>
      <c r="AJ692" s="126"/>
      <c r="AK692" s="126"/>
      <c r="AL692" s="126"/>
      <c r="AM692" s="126"/>
      <c r="AN692" s="126"/>
    </row>
    <row r="693" spans="1:40" ht="15.75" customHeight="1">
      <c r="A693" s="221" t="str">
        <f t="shared" si="2"/>
        <v/>
      </c>
      <c r="B693" s="222"/>
      <c r="C693" s="222"/>
      <c r="D693" s="222" t="str">
        <f t="array" ref="D693">IF(F693="","",INDEX(#REF!,MATCH(F693,#REF!,0)))</f>
        <v/>
      </c>
      <c r="E693" s="222" t="str">
        <f t="array" ref="E693">IF(F693="","",INDEX(#REF!,MATCH(F693,#REF!,0)))</f>
        <v/>
      </c>
      <c r="F693" s="222"/>
      <c r="G693" s="222"/>
      <c r="H693" s="223"/>
      <c r="I693" s="222"/>
      <c r="J693" s="222"/>
      <c r="K693" s="222"/>
      <c r="L693" s="222"/>
      <c r="M693" s="222"/>
      <c r="N693" s="222"/>
      <c r="O693" s="222"/>
      <c r="P693" s="224"/>
      <c r="Q693" s="224"/>
      <c r="R693" s="224"/>
      <c r="S693" s="224"/>
      <c r="T693" s="224"/>
      <c r="U693" s="224"/>
      <c r="V693" s="224"/>
      <c r="W693" s="224"/>
      <c r="X693" s="224"/>
      <c r="Y693" s="222"/>
      <c r="Z693" s="222"/>
      <c r="AA693" s="224"/>
      <c r="AB693" s="224"/>
      <c r="AC693" s="224"/>
      <c r="AD693" s="224"/>
      <c r="AE693" s="224"/>
      <c r="AF693" s="224"/>
      <c r="AG693" s="224"/>
      <c r="AH693" s="224"/>
      <c r="AI693" s="224"/>
      <c r="AJ693" s="126"/>
      <c r="AK693" s="126"/>
      <c r="AL693" s="126"/>
      <c r="AM693" s="126"/>
      <c r="AN693" s="126"/>
    </row>
    <row r="694" spans="1:40" ht="15.75" customHeight="1">
      <c r="A694" s="221" t="str">
        <f t="shared" si="2"/>
        <v/>
      </c>
      <c r="B694" s="222"/>
      <c r="C694" s="222"/>
      <c r="D694" s="222" t="str">
        <f t="array" ref="D694">IF(F694="","",INDEX(#REF!,MATCH(F694,#REF!,0)))</f>
        <v/>
      </c>
      <c r="E694" s="222" t="str">
        <f t="array" ref="E694">IF(F694="","",INDEX(#REF!,MATCH(F694,#REF!,0)))</f>
        <v/>
      </c>
      <c r="F694" s="222"/>
      <c r="G694" s="222"/>
      <c r="H694" s="223"/>
      <c r="I694" s="222"/>
      <c r="J694" s="222"/>
      <c r="K694" s="222"/>
      <c r="L694" s="222"/>
      <c r="M694" s="222"/>
      <c r="N694" s="222"/>
      <c r="O694" s="222"/>
      <c r="P694" s="224"/>
      <c r="Q694" s="224"/>
      <c r="R694" s="224"/>
      <c r="S694" s="224"/>
      <c r="T694" s="224"/>
      <c r="U694" s="224"/>
      <c r="V694" s="224"/>
      <c r="W694" s="224"/>
      <c r="X694" s="224"/>
      <c r="Y694" s="222"/>
      <c r="Z694" s="222"/>
      <c r="AA694" s="224"/>
      <c r="AB694" s="224"/>
      <c r="AC694" s="224"/>
      <c r="AD694" s="224"/>
      <c r="AE694" s="224"/>
      <c r="AF694" s="224"/>
      <c r="AG694" s="224"/>
      <c r="AH694" s="224"/>
      <c r="AI694" s="224"/>
      <c r="AJ694" s="126"/>
      <c r="AK694" s="126"/>
      <c r="AL694" s="126"/>
      <c r="AM694" s="126"/>
      <c r="AN694" s="126"/>
    </row>
    <row r="695" spans="1:40" ht="15.75" customHeight="1">
      <c r="A695" s="221" t="str">
        <f t="shared" si="2"/>
        <v/>
      </c>
      <c r="B695" s="222"/>
      <c r="C695" s="222"/>
      <c r="D695" s="222" t="str">
        <f t="array" ref="D695">IF(F695="","",INDEX(#REF!,MATCH(F695,#REF!,0)))</f>
        <v/>
      </c>
      <c r="E695" s="222" t="str">
        <f t="array" ref="E695">IF(F695="","",INDEX(#REF!,MATCH(F695,#REF!,0)))</f>
        <v/>
      </c>
      <c r="F695" s="222"/>
      <c r="G695" s="222"/>
      <c r="H695" s="223"/>
      <c r="I695" s="222"/>
      <c r="J695" s="222"/>
      <c r="K695" s="222"/>
      <c r="L695" s="222"/>
      <c r="M695" s="222"/>
      <c r="N695" s="222"/>
      <c r="O695" s="222"/>
      <c r="P695" s="224"/>
      <c r="Q695" s="224"/>
      <c r="R695" s="224"/>
      <c r="S695" s="224"/>
      <c r="T695" s="224"/>
      <c r="U695" s="224"/>
      <c r="V695" s="224"/>
      <c r="W695" s="224"/>
      <c r="X695" s="224"/>
      <c r="Y695" s="222"/>
      <c r="Z695" s="222"/>
      <c r="AA695" s="224"/>
      <c r="AB695" s="224"/>
      <c r="AC695" s="224"/>
      <c r="AD695" s="224"/>
      <c r="AE695" s="224"/>
      <c r="AF695" s="224"/>
      <c r="AG695" s="224"/>
      <c r="AH695" s="224"/>
      <c r="AI695" s="224"/>
      <c r="AJ695" s="126"/>
      <c r="AK695" s="126"/>
      <c r="AL695" s="126"/>
      <c r="AM695" s="126"/>
      <c r="AN695" s="126"/>
    </row>
    <row r="696" spans="1:40" ht="15.75" customHeight="1">
      <c r="A696" s="221" t="str">
        <f t="shared" si="2"/>
        <v/>
      </c>
      <c r="B696" s="222"/>
      <c r="C696" s="222"/>
      <c r="D696" s="222" t="str">
        <f t="array" ref="D696">IF(F696="","",INDEX(#REF!,MATCH(F696,#REF!,0)))</f>
        <v/>
      </c>
      <c r="E696" s="222" t="str">
        <f t="array" ref="E696">IF(F696="","",INDEX(#REF!,MATCH(F696,#REF!,0)))</f>
        <v/>
      </c>
      <c r="F696" s="222"/>
      <c r="G696" s="222"/>
      <c r="H696" s="223"/>
      <c r="I696" s="222"/>
      <c r="J696" s="222"/>
      <c r="K696" s="222"/>
      <c r="L696" s="222"/>
      <c r="M696" s="222"/>
      <c r="N696" s="222"/>
      <c r="O696" s="222"/>
      <c r="P696" s="224"/>
      <c r="Q696" s="224"/>
      <c r="R696" s="224"/>
      <c r="S696" s="224"/>
      <c r="T696" s="224"/>
      <c r="U696" s="224"/>
      <c r="V696" s="224"/>
      <c r="W696" s="224"/>
      <c r="X696" s="224"/>
      <c r="Y696" s="222"/>
      <c r="Z696" s="222"/>
      <c r="AA696" s="224"/>
      <c r="AB696" s="224"/>
      <c r="AC696" s="224"/>
      <c r="AD696" s="224"/>
      <c r="AE696" s="224"/>
      <c r="AF696" s="224"/>
      <c r="AG696" s="224"/>
      <c r="AH696" s="224"/>
      <c r="AI696" s="224"/>
      <c r="AJ696" s="126"/>
      <c r="AK696" s="126"/>
      <c r="AL696" s="126"/>
      <c r="AM696" s="126"/>
      <c r="AN696" s="126"/>
    </row>
    <row r="697" spans="1:40" ht="15.75" customHeight="1">
      <c r="A697" s="221" t="str">
        <f t="shared" si="2"/>
        <v/>
      </c>
      <c r="B697" s="222"/>
      <c r="C697" s="222"/>
      <c r="D697" s="222" t="str">
        <f t="array" ref="D697">IF(F697="","",INDEX(#REF!,MATCH(F697,#REF!,0)))</f>
        <v/>
      </c>
      <c r="E697" s="222" t="str">
        <f t="array" ref="E697">IF(F697="","",INDEX(#REF!,MATCH(F697,#REF!,0)))</f>
        <v/>
      </c>
      <c r="F697" s="222"/>
      <c r="G697" s="222"/>
      <c r="H697" s="223"/>
      <c r="I697" s="222"/>
      <c r="J697" s="222"/>
      <c r="K697" s="222"/>
      <c r="L697" s="222"/>
      <c r="M697" s="222"/>
      <c r="N697" s="222"/>
      <c r="O697" s="222"/>
      <c r="P697" s="224"/>
      <c r="Q697" s="224"/>
      <c r="R697" s="224"/>
      <c r="S697" s="224"/>
      <c r="T697" s="224"/>
      <c r="U697" s="224"/>
      <c r="V697" s="224"/>
      <c r="W697" s="224"/>
      <c r="X697" s="224"/>
      <c r="Y697" s="222"/>
      <c r="Z697" s="222"/>
      <c r="AA697" s="224"/>
      <c r="AB697" s="224"/>
      <c r="AC697" s="224"/>
      <c r="AD697" s="224"/>
      <c r="AE697" s="224"/>
      <c r="AF697" s="224"/>
      <c r="AG697" s="224"/>
      <c r="AH697" s="224"/>
      <c r="AI697" s="224"/>
      <c r="AJ697" s="126"/>
      <c r="AK697" s="126"/>
      <c r="AL697" s="126"/>
      <c r="AM697" s="126"/>
      <c r="AN697" s="126"/>
    </row>
    <row r="698" spans="1:40" ht="15.75" customHeight="1">
      <c r="A698" s="221" t="str">
        <f t="shared" si="2"/>
        <v/>
      </c>
      <c r="B698" s="222"/>
      <c r="C698" s="222"/>
      <c r="D698" s="222" t="str">
        <f t="array" ref="D698">IF(F698="","",INDEX(#REF!,MATCH(F698,#REF!,0)))</f>
        <v/>
      </c>
      <c r="E698" s="222" t="str">
        <f t="array" ref="E698">IF(F698="","",INDEX(#REF!,MATCH(F698,#REF!,0)))</f>
        <v/>
      </c>
      <c r="F698" s="222"/>
      <c r="G698" s="222"/>
      <c r="H698" s="223"/>
      <c r="I698" s="222"/>
      <c r="J698" s="222"/>
      <c r="K698" s="222"/>
      <c r="L698" s="222"/>
      <c r="M698" s="222"/>
      <c r="N698" s="222"/>
      <c r="O698" s="222"/>
      <c r="P698" s="224"/>
      <c r="Q698" s="224"/>
      <c r="R698" s="224"/>
      <c r="S698" s="224"/>
      <c r="T698" s="224"/>
      <c r="U698" s="224"/>
      <c r="V698" s="224"/>
      <c r="W698" s="224"/>
      <c r="X698" s="224"/>
      <c r="Y698" s="222"/>
      <c r="Z698" s="222"/>
      <c r="AA698" s="224"/>
      <c r="AB698" s="224"/>
      <c r="AC698" s="224"/>
      <c r="AD698" s="224"/>
      <c r="AE698" s="224"/>
      <c r="AF698" s="224"/>
      <c r="AG698" s="224"/>
      <c r="AH698" s="224"/>
      <c r="AI698" s="224"/>
      <c r="AJ698" s="126"/>
      <c r="AK698" s="126"/>
      <c r="AL698" s="126"/>
      <c r="AM698" s="126"/>
      <c r="AN698" s="126"/>
    </row>
    <row r="699" spans="1:40" ht="15.75" customHeight="1">
      <c r="A699" s="221" t="str">
        <f t="shared" si="2"/>
        <v/>
      </c>
      <c r="B699" s="222"/>
      <c r="C699" s="222"/>
      <c r="D699" s="222" t="str">
        <f t="array" ref="D699">IF(F699="","",INDEX(#REF!,MATCH(F699,#REF!,0)))</f>
        <v/>
      </c>
      <c r="E699" s="222" t="str">
        <f t="array" ref="E699">IF(F699="","",INDEX(#REF!,MATCH(F699,#REF!,0)))</f>
        <v/>
      </c>
      <c r="F699" s="222"/>
      <c r="G699" s="222"/>
      <c r="H699" s="223"/>
      <c r="I699" s="222"/>
      <c r="J699" s="222"/>
      <c r="K699" s="222"/>
      <c r="L699" s="222"/>
      <c r="M699" s="222"/>
      <c r="N699" s="222"/>
      <c r="O699" s="222"/>
      <c r="P699" s="224"/>
      <c r="Q699" s="224"/>
      <c r="R699" s="224"/>
      <c r="S699" s="224"/>
      <c r="T699" s="224"/>
      <c r="U699" s="224"/>
      <c r="V699" s="224"/>
      <c r="W699" s="224"/>
      <c r="X699" s="224"/>
      <c r="Y699" s="222"/>
      <c r="Z699" s="222"/>
      <c r="AA699" s="224"/>
      <c r="AB699" s="224"/>
      <c r="AC699" s="224"/>
      <c r="AD699" s="224"/>
      <c r="AE699" s="224"/>
      <c r="AF699" s="224"/>
      <c r="AG699" s="224"/>
      <c r="AH699" s="224"/>
      <c r="AI699" s="224"/>
      <c r="AJ699" s="126"/>
      <c r="AK699" s="126"/>
      <c r="AL699" s="126"/>
      <c r="AM699" s="126"/>
      <c r="AN699" s="126"/>
    </row>
    <row r="700" spans="1:40" ht="15.75" customHeight="1">
      <c r="A700" s="221" t="str">
        <f t="shared" si="2"/>
        <v/>
      </c>
      <c r="B700" s="222"/>
      <c r="C700" s="222"/>
      <c r="D700" s="222" t="str">
        <f t="array" ref="D700">IF(F700="","",INDEX(#REF!,MATCH(F700,#REF!,0)))</f>
        <v/>
      </c>
      <c r="E700" s="222" t="str">
        <f t="array" ref="E700">IF(F700="","",INDEX(#REF!,MATCH(F700,#REF!,0)))</f>
        <v/>
      </c>
      <c r="F700" s="222"/>
      <c r="G700" s="222"/>
      <c r="H700" s="223"/>
      <c r="I700" s="222"/>
      <c r="J700" s="222"/>
      <c r="K700" s="222"/>
      <c r="L700" s="222"/>
      <c r="M700" s="222"/>
      <c r="N700" s="222"/>
      <c r="O700" s="222"/>
      <c r="P700" s="224"/>
      <c r="Q700" s="224"/>
      <c r="R700" s="224"/>
      <c r="S700" s="224"/>
      <c r="T700" s="224"/>
      <c r="U700" s="224"/>
      <c r="V700" s="224"/>
      <c r="W700" s="224"/>
      <c r="X700" s="224"/>
      <c r="Y700" s="222"/>
      <c r="Z700" s="222"/>
      <c r="AA700" s="224"/>
      <c r="AB700" s="224"/>
      <c r="AC700" s="224"/>
      <c r="AD700" s="224"/>
      <c r="AE700" s="224"/>
      <c r="AF700" s="224"/>
      <c r="AG700" s="224"/>
      <c r="AH700" s="224"/>
      <c r="AI700" s="224"/>
      <c r="AJ700" s="126"/>
      <c r="AK700" s="126"/>
      <c r="AL700" s="126"/>
      <c r="AM700" s="126"/>
      <c r="AN700" s="126"/>
    </row>
    <row r="701" spans="1:40" ht="15.75" customHeight="1">
      <c r="A701" s="221" t="str">
        <f t="shared" si="2"/>
        <v/>
      </c>
      <c r="B701" s="222"/>
      <c r="C701" s="222"/>
      <c r="D701" s="222" t="str">
        <f t="array" ref="D701">IF(F701="","",INDEX(#REF!,MATCH(F701,#REF!,0)))</f>
        <v/>
      </c>
      <c r="E701" s="222" t="str">
        <f t="array" ref="E701">IF(F701="","",INDEX(#REF!,MATCH(F701,#REF!,0)))</f>
        <v/>
      </c>
      <c r="F701" s="222"/>
      <c r="G701" s="222"/>
      <c r="H701" s="223"/>
      <c r="I701" s="222"/>
      <c r="J701" s="222"/>
      <c r="K701" s="222"/>
      <c r="L701" s="222"/>
      <c r="M701" s="222"/>
      <c r="N701" s="222"/>
      <c r="O701" s="222"/>
      <c r="P701" s="224"/>
      <c r="Q701" s="224"/>
      <c r="R701" s="224"/>
      <c r="S701" s="224"/>
      <c r="T701" s="224"/>
      <c r="U701" s="224"/>
      <c r="V701" s="224"/>
      <c r="W701" s="224"/>
      <c r="X701" s="224"/>
      <c r="Y701" s="222"/>
      <c r="Z701" s="222"/>
      <c r="AA701" s="224"/>
      <c r="AB701" s="224"/>
      <c r="AC701" s="224"/>
      <c r="AD701" s="224"/>
      <c r="AE701" s="224"/>
      <c r="AF701" s="224"/>
      <c r="AG701" s="224"/>
      <c r="AH701" s="224"/>
      <c r="AI701" s="224"/>
      <c r="AJ701" s="126"/>
      <c r="AK701" s="126"/>
      <c r="AL701" s="126"/>
      <c r="AM701" s="126"/>
      <c r="AN701" s="126"/>
    </row>
    <row r="702" spans="1:40" ht="15.75" customHeight="1">
      <c r="A702" s="221" t="str">
        <f t="shared" si="2"/>
        <v/>
      </c>
      <c r="B702" s="222"/>
      <c r="C702" s="222"/>
      <c r="D702" s="222" t="str">
        <f t="array" ref="D702">IF(F702="","",INDEX(#REF!,MATCH(F702,#REF!,0)))</f>
        <v/>
      </c>
      <c r="E702" s="222" t="str">
        <f t="array" ref="E702">IF(F702="","",INDEX(#REF!,MATCH(F702,#REF!,0)))</f>
        <v/>
      </c>
      <c r="F702" s="222"/>
      <c r="G702" s="222"/>
      <c r="H702" s="223"/>
      <c r="I702" s="222"/>
      <c r="J702" s="222"/>
      <c r="K702" s="222"/>
      <c r="L702" s="222"/>
      <c r="M702" s="222"/>
      <c r="N702" s="222"/>
      <c r="O702" s="222"/>
      <c r="P702" s="224"/>
      <c r="Q702" s="224"/>
      <c r="R702" s="224"/>
      <c r="S702" s="224"/>
      <c r="T702" s="224"/>
      <c r="U702" s="224"/>
      <c r="V702" s="224"/>
      <c r="W702" s="224"/>
      <c r="X702" s="224"/>
      <c r="Y702" s="222"/>
      <c r="Z702" s="222"/>
      <c r="AA702" s="224"/>
      <c r="AB702" s="224"/>
      <c r="AC702" s="224"/>
      <c r="AD702" s="224"/>
      <c r="AE702" s="224"/>
      <c r="AF702" s="224"/>
      <c r="AG702" s="224"/>
      <c r="AH702" s="224"/>
      <c r="AI702" s="224"/>
      <c r="AJ702" s="126"/>
      <c r="AK702" s="126"/>
      <c r="AL702" s="126"/>
      <c r="AM702" s="126"/>
      <c r="AN702" s="126"/>
    </row>
    <row r="703" spans="1:40" ht="15.75" customHeight="1">
      <c r="A703" s="221" t="str">
        <f t="shared" si="2"/>
        <v/>
      </c>
      <c r="B703" s="222"/>
      <c r="C703" s="222"/>
      <c r="D703" s="222" t="str">
        <f t="array" ref="D703">IF(F703="","",INDEX(#REF!,MATCH(F703,#REF!,0)))</f>
        <v/>
      </c>
      <c r="E703" s="222" t="str">
        <f t="array" ref="E703">IF(F703="","",INDEX(#REF!,MATCH(F703,#REF!,0)))</f>
        <v/>
      </c>
      <c r="F703" s="222"/>
      <c r="G703" s="222"/>
      <c r="H703" s="223"/>
      <c r="I703" s="222"/>
      <c r="J703" s="222"/>
      <c r="K703" s="222"/>
      <c r="L703" s="222"/>
      <c r="M703" s="222"/>
      <c r="N703" s="222"/>
      <c r="O703" s="222"/>
      <c r="P703" s="224"/>
      <c r="Q703" s="224"/>
      <c r="R703" s="224"/>
      <c r="S703" s="224"/>
      <c r="T703" s="224"/>
      <c r="U703" s="224"/>
      <c r="V703" s="224"/>
      <c r="W703" s="224"/>
      <c r="X703" s="224"/>
      <c r="Y703" s="222"/>
      <c r="Z703" s="222"/>
      <c r="AA703" s="224"/>
      <c r="AB703" s="224"/>
      <c r="AC703" s="224"/>
      <c r="AD703" s="224"/>
      <c r="AE703" s="224"/>
      <c r="AF703" s="224"/>
      <c r="AG703" s="224"/>
      <c r="AH703" s="224"/>
      <c r="AI703" s="224"/>
      <c r="AJ703" s="126"/>
      <c r="AK703" s="126"/>
      <c r="AL703" s="126"/>
      <c r="AM703" s="126"/>
      <c r="AN703" s="126"/>
    </row>
    <row r="704" spans="1:40" ht="15.75" customHeight="1">
      <c r="A704" s="221" t="str">
        <f t="shared" si="2"/>
        <v/>
      </c>
      <c r="B704" s="222"/>
      <c r="C704" s="222"/>
      <c r="D704" s="222" t="str">
        <f t="array" ref="D704">IF(F704="","",INDEX(#REF!,MATCH(F704,#REF!,0)))</f>
        <v/>
      </c>
      <c r="E704" s="222" t="str">
        <f t="array" ref="E704">IF(F704="","",INDEX(#REF!,MATCH(F704,#REF!,0)))</f>
        <v/>
      </c>
      <c r="F704" s="222"/>
      <c r="G704" s="222"/>
      <c r="H704" s="223"/>
      <c r="I704" s="222"/>
      <c r="J704" s="222"/>
      <c r="K704" s="222"/>
      <c r="L704" s="222"/>
      <c r="M704" s="222"/>
      <c r="N704" s="222"/>
      <c r="O704" s="222"/>
      <c r="P704" s="224"/>
      <c r="Q704" s="224"/>
      <c r="R704" s="224"/>
      <c r="S704" s="224"/>
      <c r="T704" s="224"/>
      <c r="U704" s="224"/>
      <c r="V704" s="224"/>
      <c r="W704" s="224"/>
      <c r="X704" s="224"/>
      <c r="Y704" s="222"/>
      <c r="Z704" s="222"/>
      <c r="AA704" s="224"/>
      <c r="AB704" s="224"/>
      <c r="AC704" s="224"/>
      <c r="AD704" s="224"/>
      <c r="AE704" s="224"/>
      <c r="AF704" s="224"/>
      <c r="AG704" s="224"/>
      <c r="AH704" s="224"/>
      <c r="AI704" s="224"/>
      <c r="AJ704" s="126"/>
      <c r="AK704" s="126"/>
      <c r="AL704" s="126"/>
      <c r="AM704" s="126"/>
      <c r="AN704" s="126"/>
    </row>
    <row r="705" spans="1:40" ht="15.75" customHeight="1">
      <c r="A705" s="221" t="str">
        <f t="shared" si="2"/>
        <v/>
      </c>
      <c r="B705" s="222"/>
      <c r="C705" s="222"/>
      <c r="D705" s="222" t="str">
        <f t="array" ref="D705">IF(F705="","",INDEX(#REF!,MATCH(F705,#REF!,0)))</f>
        <v/>
      </c>
      <c r="E705" s="222" t="str">
        <f t="array" ref="E705">IF(F705="","",INDEX(#REF!,MATCH(F705,#REF!,0)))</f>
        <v/>
      </c>
      <c r="F705" s="222"/>
      <c r="G705" s="222"/>
      <c r="H705" s="223"/>
      <c r="I705" s="222"/>
      <c r="J705" s="222"/>
      <c r="K705" s="222"/>
      <c r="L705" s="222"/>
      <c r="M705" s="222"/>
      <c r="N705" s="222"/>
      <c r="O705" s="222"/>
      <c r="P705" s="224"/>
      <c r="Q705" s="224"/>
      <c r="R705" s="224"/>
      <c r="S705" s="224"/>
      <c r="T705" s="224"/>
      <c r="U705" s="224"/>
      <c r="V705" s="224"/>
      <c r="W705" s="224"/>
      <c r="X705" s="224"/>
      <c r="Y705" s="222"/>
      <c r="Z705" s="222"/>
      <c r="AA705" s="224"/>
      <c r="AB705" s="224"/>
      <c r="AC705" s="224"/>
      <c r="AD705" s="224"/>
      <c r="AE705" s="224"/>
      <c r="AF705" s="224"/>
      <c r="AG705" s="224"/>
      <c r="AH705" s="224"/>
      <c r="AI705" s="224"/>
      <c r="AJ705" s="126"/>
      <c r="AK705" s="126"/>
      <c r="AL705" s="126"/>
      <c r="AM705" s="126"/>
      <c r="AN705" s="126"/>
    </row>
    <row r="706" spans="1:40" ht="15.75" customHeight="1">
      <c r="A706" s="221" t="str">
        <f t="shared" si="2"/>
        <v/>
      </c>
      <c r="B706" s="222"/>
      <c r="C706" s="222"/>
      <c r="D706" s="222" t="str">
        <f t="array" ref="D706">IF(F706="","",INDEX(#REF!,MATCH(F706,#REF!,0)))</f>
        <v/>
      </c>
      <c r="E706" s="222" t="str">
        <f t="array" ref="E706">IF(F706="","",INDEX(#REF!,MATCH(F706,#REF!,0)))</f>
        <v/>
      </c>
      <c r="F706" s="222"/>
      <c r="G706" s="222"/>
      <c r="H706" s="223"/>
      <c r="I706" s="222"/>
      <c r="J706" s="222"/>
      <c r="K706" s="222"/>
      <c r="L706" s="222"/>
      <c r="M706" s="222"/>
      <c r="N706" s="222"/>
      <c r="O706" s="222"/>
      <c r="P706" s="224"/>
      <c r="Q706" s="224"/>
      <c r="R706" s="224"/>
      <c r="S706" s="224"/>
      <c r="T706" s="224"/>
      <c r="U706" s="224"/>
      <c r="V706" s="224"/>
      <c r="W706" s="224"/>
      <c r="X706" s="224"/>
      <c r="Y706" s="222"/>
      <c r="Z706" s="222"/>
      <c r="AA706" s="224"/>
      <c r="AB706" s="224"/>
      <c r="AC706" s="224"/>
      <c r="AD706" s="224"/>
      <c r="AE706" s="224"/>
      <c r="AF706" s="224"/>
      <c r="AG706" s="224"/>
      <c r="AH706" s="224"/>
      <c r="AI706" s="224"/>
      <c r="AJ706" s="126"/>
      <c r="AK706" s="126"/>
      <c r="AL706" s="126"/>
      <c r="AM706" s="126"/>
      <c r="AN706" s="126"/>
    </row>
    <row r="707" spans="1:40" ht="15.75" customHeight="1">
      <c r="A707" s="221" t="str">
        <f t="shared" si="2"/>
        <v/>
      </c>
      <c r="B707" s="222"/>
      <c r="C707" s="222"/>
      <c r="D707" s="222" t="str">
        <f t="array" ref="D707">IF(F707="","",INDEX(#REF!,MATCH(F707,#REF!,0)))</f>
        <v/>
      </c>
      <c r="E707" s="222" t="str">
        <f t="array" ref="E707">IF(F707="","",INDEX(#REF!,MATCH(F707,#REF!,0)))</f>
        <v/>
      </c>
      <c r="F707" s="222"/>
      <c r="G707" s="222"/>
      <c r="H707" s="223"/>
      <c r="I707" s="222"/>
      <c r="J707" s="222"/>
      <c r="K707" s="222"/>
      <c r="L707" s="222"/>
      <c r="M707" s="222"/>
      <c r="N707" s="222"/>
      <c r="O707" s="222"/>
      <c r="P707" s="224"/>
      <c r="Q707" s="224"/>
      <c r="R707" s="224"/>
      <c r="S707" s="224"/>
      <c r="T707" s="224"/>
      <c r="U707" s="224"/>
      <c r="V707" s="224"/>
      <c r="W707" s="224"/>
      <c r="X707" s="224"/>
      <c r="Y707" s="222"/>
      <c r="Z707" s="222"/>
      <c r="AA707" s="224"/>
      <c r="AB707" s="224"/>
      <c r="AC707" s="224"/>
      <c r="AD707" s="224"/>
      <c r="AE707" s="224"/>
      <c r="AF707" s="224"/>
      <c r="AG707" s="224"/>
      <c r="AH707" s="224"/>
      <c r="AI707" s="224"/>
      <c r="AJ707" s="126"/>
      <c r="AK707" s="126"/>
      <c r="AL707" s="126"/>
      <c r="AM707" s="126"/>
      <c r="AN707" s="126"/>
    </row>
    <row r="708" spans="1:40" ht="15.75" customHeight="1">
      <c r="A708" s="221" t="str">
        <f t="shared" si="2"/>
        <v/>
      </c>
      <c r="B708" s="222"/>
      <c r="C708" s="222"/>
      <c r="D708" s="222" t="str">
        <f t="array" ref="D708">IF(F708="","",INDEX(#REF!,MATCH(F708,#REF!,0)))</f>
        <v/>
      </c>
      <c r="E708" s="222" t="str">
        <f t="array" ref="E708">IF(F708="","",INDEX(#REF!,MATCH(F708,#REF!,0)))</f>
        <v/>
      </c>
      <c r="F708" s="222"/>
      <c r="G708" s="222"/>
      <c r="H708" s="223"/>
      <c r="I708" s="222"/>
      <c r="J708" s="222"/>
      <c r="K708" s="222"/>
      <c r="L708" s="222"/>
      <c r="M708" s="222"/>
      <c r="N708" s="222"/>
      <c r="O708" s="222"/>
      <c r="P708" s="224"/>
      <c r="Q708" s="224"/>
      <c r="R708" s="224"/>
      <c r="S708" s="224"/>
      <c r="T708" s="224"/>
      <c r="U708" s="224"/>
      <c r="V708" s="224"/>
      <c r="W708" s="224"/>
      <c r="X708" s="224"/>
      <c r="Y708" s="222"/>
      <c r="Z708" s="222"/>
      <c r="AA708" s="224"/>
      <c r="AB708" s="224"/>
      <c r="AC708" s="224"/>
      <c r="AD708" s="224"/>
      <c r="AE708" s="224"/>
      <c r="AF708" s="224"/>
      <c r="AG708" s="224"/>
      <c r="AH708" s="224"/>
      <c r="AI708" s="224"/>
      <c r="AJ708" s="126"/>
      <c r="AK708" s="126"/>
      <c r="AL708" s="126"/>
      <c r="AM708" s="126"/>
      <c r="AN708" s="126"/>
    </row>
    <row r="709" spans="1:40" ht="15.75" customHeight="1">
      <c r="A709" s="221" t="str">
        <f t="shared" si="2"/>
        <v/>
      </c>
      <c r="B709" s="222"/>
      <c r="C709" s="222"/>
      <c r="D709" s="222" t="str">
        <f t="array" ref="D709">IF(F709="","",INDEX(#REF!,MATCH(F709,#REF!,0)))</f>
        <v/>
      </c>
      <c r="E709" s="222" t="str">
        <f t="array" ref="E709">IF(F709="","",INDEX(#REF!,MATCH(F709,#REF!,0)))</f>
        <v/>
      </c>
      <c r="F709" s="222"/>
      <c r="G709" s="222"/>
      <c r="H709" s="223"/>
      <c r="I709" s="222"/>
      <c r="J709" s="222"/>
      <c r="K709" s="222"/>
      <c r="L709" s="222"/>
      <c r="M709" s="222"/>
      <c r="N709" s="222"/>
      <c r="O709" s="222"/>
      <c r="P709" s="224"/>
      <c r="Q709" s="224"/>
      <c r="R709" s="224"/>
      <c r="S709" s="224"/>
      <c r="T709" s="224"/>
      <c r="U709" s="224"/>
      <c r="V709" s="224"/>
      <c r="W709" s="224"/>
      <c r="X709" s="224"/>
      <c r="Y709" s="222"/>
      <c r="Z709" s="222"/>
      <c r="AA709" s="224"/>
      <c r="AB709" s="224"/>
      <c r="AC709" s="224"/>
      <c r="AD709" s="224"/>
      <c r="AE709" s="224"/>
      <c r="AF709" s="224"/>
      <c r="AG709" s="224"/>
      <c r="AH709" s="224"/>
      <c r="AI709" s="224"/>
      <c r="AJ709" s="126"/>
      <c r="AK709" s="126"/>
      <c r="AL709" s="126"/>
      <c r="AM709" s="126"/>
      <c r="AN709" s="126"/>
    </row>
    <row r="710" spans="1:40" ht="15.75" customHeight="1">
      <c r="A710" s="221" t="str">
        <f t="shared" si="2"/>
        <v/>
      </c>
      <c r="B710" s="222"/>
      <c r="C710" s="222"/>
      <c r="D710" s="222" t="str">
        <f t="array" ref="D710">IF(F710="","",INDEX(#REF!,MATCH(F710,#REF!,0)))</f>
        <v/>
      </c>
      <c r="E710" s="222" t="str">
        <f t="array" ref="E710">IF(F710="","",INDEX(#REF!,MATCH(F710,#REF!,0)))</f>
        <v/>
      </c>
      <c r="F710" s="222"/>
      <c r="G710" s="222"/>
      <c r="H710" s="223"/>
      <c r="I710" s="222"/>
      <c r="J710" s="222"/>
      <c r="K710" s="222"/>
      <c r="L710" s="222"/>
      <c r="M710" s="222"/>
      <c r="N710" s="222"/>
      <c r="O710" s="222"/>
      <c r="P710" s="224"/>
      <c r="Q710" s="224"/>
      <c r="R710" s="224"/>
      <c r="S710" s="224"/>
      <c r="T710" s="224"/>
      <c r="U710" s="224"/>
      <c r="V710" s="224"/>
      <c r="W710" s="224"/>
      <c r="X710" s="224"/>
      <c r="Y710" s="222"/>
      <c r="Z710" s="222"/>
      <c r="AA710" s="224"/>
      <c r="AB710" s="224"/>
      <c r="AC710" s="224"/>
      <c r="AD710" s="224"/>
      <c r="AE710" s="224"/>
      <c r="AF710" s="224"/>
      <c r="AG710" s="224"/>
      <c r="AH710" s="224"/>
      <c r="AI710" s="224"/>
      <c r="AJ710" s="126"/>
      <c r="AK710" s="126"/>
      <c r="AL710" s="126"/>
      <c r="AM710" s="126"/>
      <c r="AN710" s="126"/>
    </row>
    <row r="711" spans="1:40" ht="15.75" customHeight="1">
      <c r="A711" s="221" t="str">
        <f t="shared" si="2"/>
        <v/>
      </c>
      <c r="B711" s="222"/>
      <c r="C711" s="222"/>
      <c r="D711" s="222" t="str">
        <f t="array" ref="D711">IF(F711="","",INDEX(#REF!,MATCH(F711,#REF!,0)))</f>
        <v/>
      </c>
      <c r="E711" s="222" t="str">
        <f t="array" ref="E711">IF(F711="","",INDEX(#REF!,MATCH(F711,#REF!,0)))</f>
        <v/>
      </c>
      <c r="F711" s="222"/>
      <c r="G711" s="222"/>
      <c r="H711" s="223"/>
      <c r="I711" s="222"/>
      <c r="J711" s="222"/>
      <c r="K711" s="222"/>
      <c r="L711" s="222"/>
      <c r="M711" s="222"/>
      <c r="N711" s="222"/>
      <c r="O711" s="222"/>
      <c r="P711" s="224"/>
      <c r="Q711" s="224"/>
      <c r="R711" s="224"/>
      <c r="S711" s="224"/>
      <c r="T711" s="224"/>
      <c r="U711" s="224"/>
      <c r="V711" s="224"/>
      <c r="W711" s="224"/>
      <c r="X711" s="224"/>
      <c r="Y711" s="222"/>
      <c r="Z711" s="222"/>
      <c r="AA711" s="224"/>
      <c r="AB711" s="224"/>
      <c r="AC711" s="224"/>
      <c r="AD711" s="224"/>
      <c r="AE711" s="224"/>
      <c r="AF711" s="224"/>
      <c r="AG711" s="224"/>
      <c r="AH711" s="224"/>
      <c r="AI711" s="224"/>
      <c r="AJ711" s="126"/>
      <c r="AK711" s="126"/>
      <c r="AL711" s="126"/>
      <c r="AM711" s="126"/>
      <c r="AN711" s="126"/>
    </row>
    <row r="712" spans="1:40" ht="15.75" customHeight="1">
      <c r="A712" s="221" t="str">
        <f t="shared" si="2"/>
        <v/>
      </c>
      <c r="B712" s="222"/>
      <c r="C712" s="222"/>
      <c r="D712" s="222" t="str">
        <f t="array" ref="D712">IF(F712="","",INDEX(#REF!,MATCH(F712,#REF!,0)))</f>
        <v/>
      </c>
      <c r="E712" s="222" t="str">
        <f t="array" ref="E712">IF(F712="","",INDEX(#REF!,MATCH(F712,#REF!,0)))</f>
        <v/>
      </c>
      <c r="F712" s="222"/>
      <c r="G712" s="222"/>
      <c r="H712" s="223"/>
      <c r="I712" s="222"/>
      <c r="J712" s="222"/>
      <c r="K712" s="222"/>
      <c r="L712" s="222"/>
      <c r="M712" s="222"/>
      <c r="N712" s="222"/>
      <c r="O712" s="222"/>
      <c r="P712" s="224"/>
      <c r="Q712" s="224"/>
      <c r="R712" s="224"/>
      <c r="S712" s="224"/>
      <c r="T712" s="224"/>
      <c r="U712" s="224"/>
      <c r="V712" s="224"/>
      <c r="W712" s="224"/>
      <c r="X712" s="224"/>
      <c r="Y712" s="222"/>
      <c r="Z712" s="222"/>
      <c r="AA712" s="224"/>
      <c r="AB712" s="224"/>
      <c r="AC712" s="224"/>
      <c r="AD712" s="224"/>
      <c r="AE712" s="224"/>
      <c r="AF712" s="224"/>
      <c r="AG712" s="224"/>
      <c r="AH712" s="224"/>
      <c r="AI712" s="224"/>
      <c r="AJ712" s="126"/>
      <c r="AK712" s="126"/>
      <c r="AL712" s="126"/>
      <c r="AM712" s="126"/>
      <c r="AN712" s="126"/>
    </row>
    <row r="713" spans="1:40" ht="15.75" customHeight="1">
      <c r="A713" s="221" t="str">
        <f t="shared" si="2"/>
        <v/>
      </c>
      <c r="B713" s="222"/>
      <c r="C713" s="222"/>
      <c r="D713" s="222" t="str">
        <f t="array" ref="D713">IF(F713="","",INDEX(#REF!,MATCH(F713,#REF!,0)))</f>
        <v/>
      </c>
      <c r="E713" s="222" t="str">
        <f t="array" ref="E713">IF(F713="","",INDEX(#REF!,MATCH(F713,#REF!,0)))</f>
        <v/>
      </c>
      <c r="F713" s="222"/>
      <c r="G713" s="222"/>
      <c r="H713" s="223"/>
      <c r="I713" s="222"/>
      <c r="J713" s="222"/>
      <c r="K713" s="222"/>
      <c r="L713" s="222"/>
      <c r="M713" s="222"/>
      <c r="N713" s="222"/>
      <c r="O713" s="222"/>
      <c r="P713" s="224"/>
      <c r="Q713" s="224"/>
      <c r="R713" s="224"/>
      <c r="S713" s="224"/>
      <c r="T713" s="224"/>
      <c r="U713" s="224"/>
      <c r="V713" s="224"/>
      <c r="W713" s="224"/>
      <c r="X713" s="224"/>
      <c r="Y713" s="222"/>
      <c r="Z713" s="222"/>
      <c r="AA713" s="224"/>
      <c r="AB713" s="224"/>
      <c r="AC713" s="224"/>
      <c r="AD713" s="224"/>
      <c r="AE713" s="224"/>
      <c r="AF713" s="224"/>
      <c r="AG713" s="224"/>
      <c r="AH713" s="224"/>
      <c r="AI713" s="224"/>
      <c r="AJ713" s="126"/>
      <c r="AK713" s="126"/>
      <c r="AL713" s="126"/>
      <c r="AM713" s="126"/>
      <c r="AN713" s="126"/>
    </row>
    <row r="714" spans="1:40" ht="15.75" customHeight="1">
      <c r="A714" s="221" t="str">
        <f t="shared" si="2"/>
        <v/>
      </c>
      <c r="B714" s="222"/>
      <c r="C714" s="222"/>
      <c r="D714" s="222" t="str">
        <f t="array" ref="D714">IF(F714="","",INDEX(#REF!,MATCH(F714,#REF!,0)))</f>
        <v/>
      </c>
      <c r="E714" s="222" t="str">
        <f t="array" ref="E714">IF(F714="","",INDEX(#REF!,MATCH(F714,#REF!,0)))</f>
        <v/>
      </c>
      <c r="F714" s="222"/>
      <c r="G714" s="222"/>
      <c r="H714" s="223"/>
      <c r="I714" s="222"/>
      <c r="J714" s="222"/>
      <c r="K714" s="222"/>
      <c r="L714" s="222"/>
      <c r="M714" s="222"/>
      <c r="N714" s="222"/>
      <c r="O714" s="222"/>
      <c r="P714" s="224"/>
      <c r="Q714" s="224"/>
      <c r="R714" s="224"/>
      <c r="S714" s="224"/>
      <c r="T714" s="224"/>
      <c r="U714" s="224"/>
      <c r="V714" s="224"/>
      <c r="W714" s="224"/>
      <c r="X714" s="224"/>
      <c r="Y714" s="222"/>
      <c r="Z714" s="222"/>
      <c r="AA714" s="224"/>
      <c r="AB714" s="224"/>
      <c r="AC714" s="224"/>
      <c r="AD714" s="224"/>
      <c r="AE714" s="224"/>
      <c r="AF714" s="224"/>
      <c r="AG714" s="224"/>
      <c r="AH714" s="224"/>
      <c r="AI714" s="224"/>
      <c r="AJ714" s="126"/>
      <c r="AK714" s="126"/>
      <c r="AL714" s="126"/>
      <c r="AM714" s="126"/>
      <c r="AN714" s="126"/>
    </row>
    <row r="715" spans="1:40" ht="15.75" customHeight="1">
      <c r="A715" s="221" t="str">
        <f t="shared" si="2"/>
        <v/>
      </c>
      <c r="B715" s="222"/>
      <c r="C715" s="222"/>
      <c r="D715" s="222" t="str">
        <f t="array" ref="D715">IF(F715="","",INDEX(#REF!,MATCH(F715,#REF!,0)))</f>
        <v/>
      </c>
      <c r="E715" s="222" t="str">
        <f t="array" ref="E715">IF(F715="","",INDEX(#REF!,MATCH(F715,#REF!,0)))</f>
        <v/>
      </c>
      <c r="F715" s="222"/>
      <c r="G715" s="222"/>
      <c r="H715" s="223"/>
      <c r="I715" s="222"/>
      <c r="J715" s="222"/>
      <c r="K715" s="222"/>
      <c r="L715" s="222"/>
      <c r="M715" s="222"/>
      <c r="N715" s="222"/>
      <c r="O715" s="222"/>
      <c r="P715" s="224"/>
      <c r="Q715" s="224"/>
      <c r="R715" s="224"/>
      <c r="S715" s="224"/>
      <c r="T715" s="224"/>
      <c r="U715" s="224"/>
      <c r="V715" s="224"/>
      <c r="W715" s="224"/>
      <c r="X715" s="224"/>
      <c r="Y715" s="222"/>
      <c r="Z715" s="222"/>
      <c r="AA715" s="224"/>
      <c r="AB715" s="224"/>
      <c r="AC715" s="224"/>
      <c r="AD715" s="224"/>
      <c r="AE715" s="224"/>
      <c r="AF715" s="224"/>
      <c r="AG715" s="224"/>
      <c r="AH715" s="224"/>
      <c r="AI715" s="224"/>
      <c r="AJ715" s="126"/>
      <c r="AK715" s="126"/>
      <c r="AL715" s="126"/>
      <c r="AM715" s="126"/>
      <c r="AN715" s="126"/>
    </row>
    <row r="716" spans="1:40" ht="15.75" customHeight="1">
      <c r="A716" s="221" t="str">
        <f t="shared" si="2"/>
        <v/>
      </c>
      <c r="B716" s="222"/>
      <c r="C716" s="222"/>
      <c r="D716" s="222" t="str">
        <f t="array" ref="D716">IF(F716="","",INDEX(#REF!,MATCH(F716,#REF!,0)))</f>
        <v/>
      </c>
      <c r="E716" s="222" t="str">
        <f t="array" ref="E716">IF(F716="","",INDEX(#REF!,MATCH(F716,#REF!,0)))</f>
        <v/>
      </c>
      <c r="F716" s="222"/>
      <c r="G716" s="222"/>
      <c r="H716" s="223"/>
      <c r="I716" s="222"/>
      <c r="J716" s="222"/>
      <c r="K716" s="222"/>
      <c r="L716" s="222"/>
      <c r="M716" s="222"/>
      <c r="N716" s="222"/>
      <c r="O716" s="222"/>
      <c r="P716" s="224"/>
      <c r="Q716" s="224"/>
      <c r="R716" s="224"/>
      <c r="S716" s="224"/>
      <c r="T716" s="224"/>
      <c r="U716" s="224"/>
      <c r="V716" s="224"/>
      <c r="W716" s="224"/>
      <c r="X716" s="224"/>
      <c r="Y716" s="222"/>
      <c r="Z716" s="222"/>
      <c r="AA716" s="224"/>
      <c r="AB716" s="224"/>
      <c r="AC716" s="224"/>
      <c r="AD716" s="224"/>
      <c r="AE716" s="224"/>
      <c r="AF716" s="224"/>
      <c r="AG716" s="224"/>
      <c r="AH716" s="224"/>
      <c r="AI716" s="224"/>
      <c r="AJ716" s="126"/>
      <c r="AK716" s="126"/>
      <c r="AL716" s="126"/>
      <c r="AM716" s="126"/>
      <c r="AN716" s="126"/>
    </row>
    <row r="717" spans="1:40" ht="15.75" customHeight="1">
      <c r="A717" s="221" t="str">
        <f t="shared" si="2"/>
        <v/>
      </c>
      <c r="B717" s="222"/>
      <c r="C717" s="222"/>
      <c r="D717" s="222" t="str">
        <f t="array" ref="D717">IF(F717="","",INDEX(#REF!,MATCH(F717,#REF!,0)))</f>
        <v/>
      </c>
      <c r="E717" s="222" t="str">
        <f t="array" ref="E717">IF(F717="","",INDEX(#REF!,MATCH(F717,#REF!,0)))</f>
        <v/>
      </c>
      <c r="F717" s="222"/>
      <c r="G717" s="222"/>
      <c r="H717" s="223"/>
      <c r="I717" s="222"/>
      <c r="J717" s="222"/>
      <c r="K717" s="222"/>
      <c r="L717" s="222"/>
      <c r="M717" s="222"/>
      <c r="N717" s="222"/>
      <c r="O717" s="222"/>
      <c r="P717" s="224"/>
      <c r="Q717" s="224"/>
      <c r="R717" s="224"/>
      <c r="S717" s="224"/>
      <c r="T717" s="224"/>
      <c r="U717" s="224"/>
      <c r="V717" s="224"/>
      <c r="W717" s="224"/>
      <c r="X717" s="224"/>
      <c r="Y717" s="222"/>
      <c r="Z717" s="222"/>
      <c r="AA717" s="224"/>
      <c r="AB717" s="224"/>
      <c r="AC717" s="224"/>
      <c r="AD717" s="224"/>
      <c r="AE717" s="224"/>
      <c r="AF717" s="224"/>
      <c r="AG717" s="224"/>
      <c r="AH717" s="224"/>
      <c r="AI717" s="224"/>
      <c r="AJ717" s="126"/>
      <c r="AK717" s="126"/>
      <c r="AL717" s="126"/>
      <c r="AM717" s="126"/>
      <c r="AN717" s="126"/>
    </row>
    <row r="718" spans="1:40" ht="15.75" customHeight="1">
      <c r="A718" s="221" t="str">
        <f t="shared" si="2"/>
        <v/>
      </c>
      <c r="B718" s="222"/>
      <c r="C718" s="222"/>
      <c r="D718" s="222" t="str">
        <f t="array" ref="D718">IF(F718="","",INDEX(#REF!,MATCH(F718,#REF!,0)))</f>
        <v/>
      </c>
      <c r="E718" s="222" t="str">
        <f t="array" ref="E718">IF(F718="","",INDEX(#REF!,MATCH(F718,#REF!,0)))</f>
        <v/>
      </c>
      <c r="F718" s="222"/>
      <c r="G718" s="222"/>
      <c r="H718" s="223"/>
      <c r="I718" s="222"/>
      <c r="J718" s="222"/>
      <c r="K718" s="222"/>
      <c r="L718" s="222"/>
      <c r="M718" s="222"/>
      <c r="N718" s="222"/>
      <c r="O718" s="222"/>
      <c r="P718" s="224"/>
      <c r="Q718" s="224"/>
      <c r="R718" s="224"/>
      <c r="S718" s="224"/>
      <c r="T718" s="224"/>
      <c r="U718" s="224"/>
      <c r="V718" s="224"/>
      <c r="W718" s="224"/>
      <c r="X718" s="224"/>
      <c r="Y718" s="222"/>
      <c r="Z718" s="222"/>
      <c r="AA718" s="224"/>
      <c r="AB718" s="224"/>
      <c r="AC718" s="224"/>
      <c r="AD718" s="224"/>
      <c r="AE718" s="224"/>
      <c r="AF718" s="224"/>
      <c r="AG718" s="224"/>
      <c r="AH718" s="224"/>
      <c r="AI718" s="224"/>
      <c r="AJ718" s="126"/>
      <c r="AK718" s="126"/>
      <c r="AL718" s="126"/>
      <c r="AM718" s="126"/>
      <c r="AN718" s="126"/>
    </row>
    <row r="719" spans="1:40" ht="15.75" customHeight="1">
      <c r="A719" s="221" t="str">
        <f t="shared" si="2"/>
        <v/>
      </c>
      <c r="B719" s="222"/>
      <c r="C719" s="222"/>
      <c r="D719" s="222" t="str">
        <f t="array" ref="D719">IF(F719="","",INDEX(#REF!,MATCH(F719,#REF!,0)))</f>
        <v/>
      </c>
      <c r="E719" s="222" t="str">
        <f t="array" ref="E719">IF(F719="","",INDEX(#REF!,MATCH(F719,#REF!,0)))</f>
        <v/>
      </c>
      <c r="F719" s="222"/>
      <c r="G719" s="222"/>
      <c r="H719" s="223"/>
      <c r="I719" s="222"/>
      <c r="J719" s="222"/>
      <c r="K719" s="222"/>
      <c r="L719" s="222"/>
      <c r="M719" s="222"/>
      <c r="N719" s="222"/>
      <c r="O719" s="222"/>
      <c r="P719" s="224"/>
      <c r="Q719" s="224"/>
      <c r="R719" s="224"/>
      <c r="S719" s="224"/>
      <c r="T719" s="224"/>
      <c r="U719" s="224"/>
      <c r="V719" s="224"/>
      <c r="W719" s="224"/>
      <c r="X719" s="224"/>
      <c r="Y719" s="222"/>
      <c r="Z719" s="222"/>
      <c r="AA719" s="224"/>
      <c r="AB719" s="224"/>
      <c r="AC719" s="224"/>
      <c r="AD719" s="224"/>
      <c r="AE719" s="224"/>
      <c r="AF719" s="224"/>
      <c r="AG719" s="224"/>
      <c r="AH719" s="224"/>
      <c r="AI719" s="224"/>
      <c r="AJ719" s="126"/>
      <c r="AK719" s="126"/>
      <c r="AL719" s="126"/>
      <c r="AM719" s="126"/>
      <c r="AN719" s="126"/>
    </row>
    <row r="720" spans="1:40" ht="15.75" customHeight="1">
      <c r="A720" s="221" t="str">
        <f t="shared" si="2"/>
        <v/>
      </c>
      <c r="B720" s="222"/>
      <c r="C720" s="222"/>
      <c r="D720" s="222" t="str">
        <f t="array" ref="D720">IF(F720="","",INDEX(#REF!,MATCH(F720,#REF!,0)))</f>
        <v/>
      </c>
      <c r="E720" s="222" t="str">
        <f t="array" ref="E720">IF(F720="","",INDEX(#REF!,MATCH(F720,#REF!,0)))</f>
        <v/>
      </c>
      <c r="F720" s="222"/>
      <c r="G720" s="222"/>
      <c r="H720" s="223"/>
      <c r="I720" s="222"/>
      <c r="J720" s="222"/>
      <c r="K720" s="222"/>
      <c r="L720" s="222"/>
      <c r="M720" s="222"/>
      <c r="N720" s="222"/>
      <c r="O720" s="222"/>
      <c r="P720" s="224"/>
      <c r="Q720" s="224"/>
      <c r="R720" s="224"/>
      <c r="S720" s="224"/>
      <c r="T720" s="224"/>
      <c r="U720" s="224"/>
      <c r="V720" s="224"/>
      <c r="W720" s="224"/>
      <c r="X720" s="224"/>
      <c r="Y720" s="222"/>
      <c r="Z720" s="222"/>
      <c r="AA720" s="224"/>
      <c r="AB720" s="224"/>
      <c r="AC720" s="224"/>
      <c r="AD720" s="224"/>
      <c r="AE720" s="224"/>
      <c r="AF720" s="224"/>
      <c r="AG720" s="224"/>
      <c r="AH720" s="224"/>
      <c r="AI720" s="224"/>
      <c r="AJ720" s="126"/>
      <c r="AK720" s="126"/>
      <c r="AL720" s="126"/>
      <c r="AM720" s="126"/>
      <c r="AN720" s="126"/>
    </row>
    <row r="721" spans="1:40" ht="15.75" customHeight="1">
      <c r="A721" s="221" t="str">
        <f t="shared" si="2"/>
        <v/>
      </c>
      <c r="B721" s="222"/>
      <c r="C721" s="222"/>
      <c r="D721" s="222" t="str">
        <f t="array" ref="D721">IF(F721="","",INDEX(#REF!,MATCH(F721,#REF!,0)))</f>
        <v/>
      </c>
      <c r="E721" s="222" t="str">
        <f t="array" ref="E721">IF(F721="","",INDEX(#REF!,MATCH(F721,#REF!,0)))</f>
        <v/>
      </c>
      <c r="F721" s="222"/>
      <c r="G721" s="222"/>
      <c r="H721" s="223"/>
      <c r="I721" s="222"/>
      <c r="J721" s="222"/>
      <c r="K721" s="222"/>
      <c r="L721" s="222"/>
      <c r="M721" s="222"/>
      <c r="N721" s="222"/>
      <c r="O721" s="222"/>
      <c r="P721" s="224"/>
      <c r="Q721" s="224"/>
      <c r="R721" s="224"/>
      <c r="S721" s="224"/>
      <c r="T721" s="224"/>
      <c r="U721" s="224"/>
      <c r="V721" s="224"/>
      <c r="W721" s="224"/>
      <c r="X721" s="224"/>
      <c r="Y721" s="222"/>
      <c r="Z721" s="222"/>
      <c r="AA721" s="224"/>
      <c r="AB721" s="224"/>
      <c r="AC721" s="224"/>
      <c r="AD721" s="224"/>
      <c r="AE721" s="224"/>
      <c r="AF721" s="224"/>
      <c r="AG721" s="224"/>
      <c r="AH721" s="224"/>
      <c r="AI721" s="224"/>
      <c r="AJ721" s="126"/>
      <c r="AK721" s="126"/>
      <c r="AL721" s="126"/>
      <c r="AM721" s="126"/>
      <c r="AN721" s="126"/>
    </row>
    <row r="722" spans="1:40" ht="15.75" customHeight="1">
      <c r="A722" s="221" t="str">
        <f t="shared" si="2"/>
        <v/>
      </c>
      <c r="B722" s="222"/>
      <c r="C722" s="222"/>
      <c r="D722" s="222" t="str">
        <f t="array" ref="D722">IF(F722="","",INDEX(#REF!,MATCH(F722,#REF!,0)))</f>
        <v/>
      </c>
      <c r="E722" s="222" t="str">
        <f t="array" ref="E722">IF(F722="","",INDEX(#REF!,MATCH(F722,#REF!,0)))</f>
        <v/>
      </c>
      <c r="F722" s="222"/>
      <c r="G722" s="222"/>
      <c r="H722" s="223"/>
      <c r="I722" s="222"/>
      <c r="J722" s="222"/>
      <c r="K722" s="222"/>
      <c r="L722" s="222"/>
      <c r="M722" s="222"/>
      <c r="N722" s="222"/>
      <c r="O722" s="222"/>
      <c r="P722" s="224"/>
      <c r="Q722" s="224"/>
      <c r="R722" s="224"/>
      <c r="S722" s="224"/>
      <c r="T722" s="224"/>
      <c r="U722" s="224"/>
      <c r="V722" s="224"/>
      <c r="W722" s="224"/>
      <c r="X722" s="224"/>
      <c r="Y722" s="222"/>
      <c r="Z722" s="222"/>
      <c r="AA722" s="224"/>
      <c r="AB722" s="224"/>
      <c r="AC722" s="224"/>
      <c r="AD722" s="224"/>
      <c r="AE722" s="224"/>
      <c r="AF722" s="224"/>
      <c r="AG722" s="224"/>
      <c r="AH722" s="224"/>
      <c r="AI722" s="224"/>
      <c r="AJ722" s="126"/>
      <c r="AK722" s="126"/>
      <c r="AL722" s="126"/>
      <c r="AM722" s="126"/>
      <c r="AN722" s="126"/>
    </row>
    <row r="723" spans="1:40" ht="15.75" customHeight="1">
      <c r="A723" s="221" t="str">
        <f t="shared" si="2"/>
        <v/>
      </c>
      <c r="B723" s="222"/>
      <c r="C723" s="222"/>
      <c r="D723" s="222" t="str">
        <f t="array" ref="D723">IF(F723="","",INDEX(#REF!,MATCH(F723,#REF!,0)))</f>
        <v/>
      </c>
      <c r="E723" s="222" t="str">
        <f t="array" ref="E723">IF(F723="","",INDEX(#REF!,MATCH(F723,#REF!,0)))</f>
        <v/>
      </c>
      <c r="F723" s="222"/>
      <c r="G723" s="222"/>
      <c r="H723" s="223"/>
      <c r="I723" s="222"/>
      <c r="J723" s="222"/>
      <c r="K723" s="222"/>
      <c r="L723" s="222"/>
      <c r="M723" s="222"/>
      <c r="N723" s="222"/>
      <c r="O723" s="222"/>
      <c r="P723" s="224"/>
      <c r="Q723" s="224"/>
      <c r="R723" s="224"/>
      <c r="S723" s="224"/>
      <c r="T723" s="224"/>
      <c r="U723" s="224"/>
      <c r="V723" s="224"/>
      <c r="W723" s="224"/>
      <c r="X723" s="224"/>
      <c r="Y723" s="222"/>
      <c r="Z723" s="222"/>
      <c r="AA723" s="224"/>
      <c r="AB723" s="224"/>
      <c r="AC723" s="224"/>
      <c r="AD723" s="224"/>
      <c r="AE723" s="224"/>
      <c r="AF723" s="224"/>
      <c r="AG723" s="224"/>
      <c r="AH723" s="224"/>
      <c r="AI723" s="224"/>
      <c r="AJ723" s="126"/>
      <c r="AK723" s="126"/>
      <c r="AL723" s="126"/>
      <c r="AM723" s="126"/>
      <c r="AN723" s="126"/>
    </row>
    <row r="724" spans="1:40" ht="15.75" customHeight="1">
      <c r="A724" s="221" t="str">
        <f t="shared" si="2"/>
        <v/>
      </c>
      <c r="B724" s="222"/>
      <c r="C724" s="222"/>
      <c r="D724" s="222" t="str">
        <f t="array" ref="D724">IF(F724="","",INDEX(#REF!,MATCH(F724,#REF!,0)))</f>
        <v/>
      </c>
      <c r="E724" s="222" t="str">
        <f t="array" ref="E724">IF(F724="","",INDEX(#REF!,MATCH(F724,#REF!,0)))</f>
        <v/>
      </c>
      <c r="F724" s="222"/>
      <c r="G724" s="222"/>
      <c r="H724" s="223"/>
      <c r="I724" s="222"/>
      <c r="J724" s="222"/>
      <c r="K724" s="222"/>
      <c r="L724" s="222"/>
      <c r="M724" s="222"/>
      <c r="N724" s="222"/>
      <c r="O724" s="222"/>
      <c r="P724" s="224"/>
      <c r="Q724" s="224"/>
      <c r="R724" s="224"/>
      <c r="S724" s="224"/>
      <c r="T724" s="224"/>
      <c r="U724" s="224"/>
      <c r="V724" s="224"/>
      <c r="W724" s="224"/>
      <c r="X724" s="224"/>
      <c r="Y724" s="222"/>
      <c r="Z724" s="222"/>
      <c r="AA724" s="224"/>
      <c r="AB724" s="224"/>
      <c r="AC724" s="224"/>
      <c r="AD724" s="224"/>
      <c r="AE724" s="224"/>
      <c r="AF724" s="224"/>
      <c r="AG724" s="224"/>
      <c r="AH724" s="224"/>
      <c r="AI724" s="224"/>
      <c r="AJ724" s="126"/>
      <c r="AK724" s="126"/>
      <c r="AL724" s="126"/>
      <c r="AM724" s="126"/>
      <c r="AN724" s="126"/>
    </row>
    <row r="725" spans="1:40" ht="15.75" customHeight="1">
      <c r="A725" s="221" t="str">
        <f t="shared" si="2"/>
        <v/>
      </c>
      <c r="B725" s="222"/>
      <c r="C725" s="222"/>
      <c r="D725" s="222" t="str">
        <f t="array" ref="D725">IF(F725="","",INDEX(#REF!,MATCH(F725,#REF!,0)))</f>
        <v/>
      </c>
      <c r="E725" s="222" t="str">
        <f t="array" ref="E725">IF(F725="","",INDEX(#REF!,MATCH(F725,#REF!,0)))</f>
        <v/>
      </c>
      <c r="F725" s="222"/>
      <c r="G725" s="222"/>
      <c r="H725" s="223"/>
      <c r="I725" s="222"/>
      <c r="J725" s="222"/>
      <c r="K725" s="222"/>
      <c r="L725" s="222"/>
      <c r="M725" s="222"/>
      <c r="N725" s="222"/>
      <c r="O725" s="222"/>
      <c r="P725" s="224"/>
      <c r="Q725" s="224"/>
      <c r="R725" s="224"/>
      <c r="S725" s="224"/>
      <c r="T725" s="224"/>
      <c r="U725" s="224"/>
      <c r="V725" s="224"/>
      <c r="W725" s="224"/>
      <c r="X725" s="224"/>
      <c r="Y725" s="222"/>
      <c r="Z725" s="222"/>
      <c r="AA725" s="224"/>
      <c r="AB725" s="224"/>
      <c r="AC725" s="224"/>
      <c r="AD725" s="224"/>
      <c r="AE725" s="224"/>
      <c r="AF725" s="224"/>
      <c r="AG725" s="224"/>
      <c r="AH725" s="224"/>
      <c r="AI725" s="224"/>
      <c r="AJ725" s="126"/>
      <c r="AK725" s="126"/>
      <c r="AL725" s="126"/>
      <c r="AM725" s="126"/>
      <c r="AN725" s="126"/>
    </row>
    <row r="726" spans="1:40" ht="15.75" customHeight="1">
      <c r="A726" s="221" t="str">
        <f t="shared" si="2"/>
        <v/>
      </c>
      <c r="B726" s="222"/>
      <c r="C726" s="222"/>
      <c r="D726" s="222" t="str">
        <f t="array" ref="D726">IF(F726="","",INDEX(#REF!,MATCH(F726,#REF!,0)))</f>
        <v/>
      </c>
      <c r="E726" s="222" t="str">
        <f t="array" ref="E726">IF(F726="","",INDEX(#REF!,MATCH(F726,#REF!,0)))</f>
        <v/>
      </c>
      <c r="F726" s="222"/>
      <c r="G726" s="222"/>
      <c r="H726" s="223"/>
      <c r="I726" s="222"/>
      <c r="J726" s="222"/>
      <c r="K726" s="222"/>
      <c r="L726" s="222"/>
      <c r="M726" s="222"/>
      <c r="N726" s="222"/>
      <c r="O726" s="222"/>
      <c r="P726" s="224"/>
      <c r="Q726" s="224"/>
      <c r="R726" s="224"/>
      <c r="S726" s="224"/>
      <c r="T726" s="224"/>
      <c r="U726" s="224"/>
      <c r="V726" s="224"/>
      <c r="W726" s="224"/>
      <c r="X726" s="224"/>
      <c r="Y726" s="222"/>
      <c r="Z726" s="222"/>
      <c r="AA726" s="224"/>
      <c r="AB726" s="224"/>
      <c r="AC726" s="224"/>
      <c r="AD726" s="224"/>
      <c r="AE726" s="224"/>
      <c r="AF726" s="224"/>
      <c r="AG726" s="224"/>
      <c r="AH726" s="224"/>
      <c r="AI726" s="224"/>
      <c r="AJ726" s="126"/>
      <c r="AK726" s="126"/>
      <c r="AL726" s="126"/>
      <c r="AM726" s="126"/>
      <c r="AN726" s="126"/>
    </row>
    <row r="727" spans="1:40" ht="15.75" customHeight="1">
      <c r="A727" s="221" t="str">
        <f t="shared" si="2"/>
        <v/>
      </c>
      <c r="B727" s="222"/>
      <c r="C727" s="222"/>
      <c r="D727" s="222" t="str">
        <f t="array" ref="D727">IF(F727="","",INDEX(#REF!,MATCH(F727,#REF!,0)))</f>
        <v/>
      </c>
      <c r="E727" s="222" t="str">
        <f t="array" ref="E727">IF(F727="","",INDEX(#REF!,MATCH(F727,#REF!,0)))</f>
        <v/>
      </c>
      <c r="F727" s="222"/>
      <c r="G727" s="222"/>
      <c r="H727" s="223"/>
      <c r="I727" s="222"/>
      <c r="J727" s="222"/>
      <c r="K727" s="222"/>
      <c r="L727" s="222"/>
      <c r="M727" s="222"/>
      <c r="N727" s="222"/>
      <c r="O727" s="222"/>
      <c r="P727" s="224"/>
      <c r="Q727" s="224"/>
      <c r="R727" s="224"/>
      <c r="S727" s="224"/>
      <c r="T727" s="224"/>
      <c r="U727" s="224"/>
      <c r="V727" s="224"/>
      <c r="W727" s="224"/>
      <c r="X727" s="224"/>
      <c r="Y727" s="222"/>
      <c r="Z727" s="222"/>
      <c r="AA727" s="224"/>
      <c r="AB727" s="224"/>
      <c r="AC727" s="224"/>
      <c r="AD727" s="224"/>
      <c r="AE727" s="224"/>
      <c r="AF727" s="224"/>
      <c r="AG727" s="224"/>
      <c r="AH727" s="224"/>
      <c r="AI727" s="224"/>
      <c r="AJ727" s="126"/>
      <c r="AK727" s="126"/>
      <c r="AL727" s="126"/>
      <c r="AM727" s="126"/>
      <c r="AN727" s="126"/>
    </row>
    <row r="728" spans="1:40" ht="15.75" customHeight="1">
      <c r="A728" s="221" t="str">
        <f t="shared" si="2"/>
        <v/>
      </c>
      <c r="B728" s="222"/>
      <c r="C728" s="222"/>
      <c r="D728" s="222" t="str">
        <f t="array" ref="D728">IF(F728="","",INDEX(#REF!,MATCH(F728,#REF!,0)))</f>
        <v/>
      </c>
      <c r="E728" s="222" t="str">
        <f t="array" ref="E728">IF(F728="","",INDEX(#REF!,MATCH(F728,#REF!,0)))</f>
        <v/>
      </c>
      <c r="F728" s="222"/>
      <c r="G728" s="222"/>
      <c r="H728" s="223"/>
      <c r="I728" s="222"/>
      <c r="J728" s="222"/>
      <c r="K728" s="222"/>
      <c r="L728" s="222"/>
      <c r="M728" s="222"/>
      <c r="N728" s="222"/>
      <c r="O728" s="222"/>
      <c r="P728" s="224"/>
      <c r="Q728" s="224"/>
      <c r="R728" s="224"/>
      <c r="S728" s="224"/>
      <c r="T728" s="224"/>
      <c r="U728" s="224"/>
      <c r="V728" s="224"/>
      <c r="W728" s="224"/>
      <c r="X728" s="224"/>
      <c r="Y728" s="222"/>
      <c r="Z728" s="222"/>
      <c r="AA728" s="224"/>
      <c r="AB728" s="224"/>
      <c r="AC728" s="224"/>
      <c r="AD728" s="224"/>
      <c r="AE728" s="224"/>
      <c r="AF728" s="224"/>
      <c r="AG728" s="224"/>
      <c r="AH728" s="224"/>
      <c r="AI728" s="224"/>
      <c r="AJ728" s="126"/>
      <c r="AK728" s="126"/>
      <c r="AL728" s="126"/>
      <c r="AM728" s="126"/>
      <c r="AN728" s="126"/>
    </row>
    <row r="729" spans="1:40" ht="15.75" customHeight="1">
      <c r="A729" s="221" t="str">
        <f t="shared" si="2"/>
        <v/>
      </c>
      <c r="B729" s="222"/>
      <c r="C729" s="222"/>
      <c r="D729" s="222" t="str">
        <f t="array" ref="D729">IF(F729="","",INDEX(#REF!,MATCH(F729,#REF!,0)))</f>
        <v/>
      </c>
      <c r="E729" s="222" t="str">
        <f t="array" ref="E729">IF(F729="","",INDEX(#REF!,MATCH(F729,#REF!,0)))</f>
        <v/>
      </c>
      <c r="F729" s="222"/>
      <c r="G729" s="222"/>
      <c r="H729" s="223"/>
      <c r="I729" s="222"/>
      <c r="J729" s="222"/>
      <c r="K729" s="222"/>
      <c r="L729" s="222"/>
      <c r="M729" s="222"/>
      <c r="N729" s="222"/>
      <c r="O729" s="222"/>
      <c r="P729" s="224"/>
      <c r="Q729" s="224"/>
      <c r="R729" s="224"/>
      <c r="S729" s="224"/>
      <c r="T729" s="224"/>
      <c r="U729" s="224"/>
      <c r="V729" s="224"/>
      <c r="W729" s="224"/>
      <c r="X729" s="224"/>
      <c r="Y729" s="222"/>
      <c r="Z729" s="222"/>
      <c r="AA729" s="224"/>
      <c r="AB729" s="224"/>
      <c r="AC729" s="224"/>
      <c r="AD729" s="224"/>
      <c r="AE729" s="224"/>
      <c r="AF729" s="224"/>
      <c r="AG729" s="224"/>
      <c r="AH729" s="224"/>
      <c r="AI729" s="224"/>
      <c r="AJ729" s="126"/>
      <c r="AK729" s="126"/>
      <c r="AL729" s="126"/>
      <c r="AM729" s="126"/>
      <c r="AN729" s="126"/>
    </row>
    <row r="730" spans="1:40" ht="15.75" customHeight="1">
      <c r="A730" s="221" t="str">
        <f t="shared" si="2"/>
        <v/>
      </c>
      <c r="B730" s="222"/>
      <c r="C730" s="222"/>
      <c r="D730" s="222" t="str">
        <f t="array" ref="D730">IF(F730="","",INDEX(#REF!,MATCH(F730,#REF!,0)))</f>
        <v/>
      </c>
      <c r="E730" s="222" t="str">
        <f t="array" ref="E730">IF(F730="","",INDEX(#REF!,MATCH(F730,#REF!,0)))</f>
        <v/>
      </c>
      <c r="F730" s="222"/>
      <c r="G730" s="222"/>
      <c r="H730" s="223"/>
      <c r="I730" s="222"/>
      <c r="J730" s="222"/>
      <c r="K730" s="222"/>
      <c r="L730" s="222"/>
      <c r="M730" s="222"/>
      <c r="N730" s="222"/>
      <c r="O730" s="222"/>
      <c r="P730" s="224"/>
      <c r="Q730" s="224"/>
      <c r="R730" s="224"/>
      <c r="S730" s="224"/>
      <c r="T730" s="224"/>
      <c r="U730" s="224"/>
      <c r="V730" s="224"/>
      <c r="W730" s="224"/>
      <c r="X730" s="224"/>
      <c r="Y730" s="222"/>
      <c r="Z730" s="222"/>
      <c r="AA730" s="224"/>
      <c r="AB730" s="224"/>
      <c r="AC730" s="224"/>
      <c r="AD730" s="224"/>
      <c r="AE730" s="224"/>
      <c r="AF730" s="224"/>
      <c r="AG730" s="224"/>
      <c r="AH730" s="224"/>
      <c r="AI730" s="224"/>
      <c r="AJ730" s="126"/>
      <c r="AK730" s="126"/>
      <c r="AL730" s="126"/>
      <c r="AM730" s="126"/>
      <c r="AN730" s="126"/>
    </row>
    <row r="731" spans="1:40" ht="15.75" customHeight="1">
      <c r="A731" s="221" t="str">
        <f t="shared" si="2"/>
        <v/>
      </c>
      <c r="B731" s="222"/>
      <c r="C731" s="222"/>
      <c r="D731" s="222" t="str">
        <f t="array" ref="D731">IF(F731="","",INDEX(#REF!,MATCH(F731,#REF!,0)))</f>
        <v/>
      </c>
      <c r="E731" s="222" t="str">
        <f t="array" ref="E731">IF(F731="","",INDEX(#REF!,MATCH(F731,#REF!,0)))</f>
        <v/>
      </c>
      <c r="F731" s="222"/>
      <c r="G731" s="222"/>
      <c r="H731" s="223"/>
      <c r="I731" s="222"/>
      <c r="J731" s="222"/>
      <c r="K731" s="222"/>
      <c r="L731" s="222"/>
      <c r="M731" s="222"/>
      <c r="N731" s="222"/>
      <c r="O731" s="222"/>
      <c r="P731" s="224"/>
      <c r="Q731" s="224"/>
      <c r="R731" s="224"/>
      <c r="S731" s="224"/>
      <c r="T731" s="224"/>
      <c r="U731" s="224"/>
      <c r="V731" s="224"/>
      <c r="W731" s="224"/>
      <c r="X731" s="224"/>
      <c r="Y731" s="222"/>
      <c r="Z731" s="222"/>
      <c r="AA731" s="224"/>
      <c r="AB731" s="224"/>
      <c r="AC731" s="224"/>
      <c r="AD731" s="224"/>
      <c r="AE731" s="224"/>
      <c r="AF731" s="224"/>
      <c r="AG731" s="224"/>
      <c r="AH731" s="224"/>
      <c r="AI731" s="224"/>
      <c r="AJ731" s="126"/>
      <c r="AK731" s="126"/>
      <c r="AL731" s="126"/>
      <c r="AM731" s="126"/>
      <c r="AN731" s="126"/>
    </row>
    <row r="732" spans="1:40" ht="15.75" customHeight="1">
      <c r="A732" s="221" t="str">
        <f t="shared" si="2"/>
        <v/>
      </c>
      <c r="B732" s="222"/>
      <c r="C732" s="222"/>
      <c r="D732" s="222" t="str">
        <f t="array" ref="D732">IF(F732="","",INDEX(#REF!,MATCH(F732,#REF!,0)))</f>
        <v/>
      </c>
      <c r="E732" s="222" t="str">
        <f t="array" ref="E732">IF(F732="","",INDEX(#REF!,MATCH(F732,#REF!,0)))</f>
        <v/>
      </c>
      <c r="F732" s="222"/>
      <c r="G732" s="222"/>
      <c r="H732" s="223"/>
      <c r="I732" s="222"/>
      <c r="J732" s="222"/>
      <c r="K732" s="222"/>
      <c r="L732" s="222"/>
      <c r="M732" s="222"/>
      <c r="N732" s="222"/>
      <c r="O732" s="222"/>
      <c r="P732" s="224"/>
      <c r="Q732" s="224"/>
      <c r="R732" s="224"/>
      <c r="S732" s="224"/>
      <c r="T732" s="224"/>
      <c r="U732" s="224"/>
      <c r="V732" s="224"/>
      <c r="W732" s="224"/>
      <c r="X732" s="224"/>
      <c r="Y732" s="222"/>
      <c r="Z732" s="222"/>
      <c r="AA732" s="224"/>
      <c r="AB732" s="224"/>
      <c r="AC732" s="224"/>
      <c r="AD732" s="224"/>
      <c r="AE732" s="224"/>
      <c r="AF732" s="224"/>
      <c r="AG732" s="224"/>
      <c r="AH732" s="224"/>
      <c r="AI732" s="224"/>
      <c r="AJ732" s="126"/>
      <c r="AK732" s="126"/>
      <c r="AL732" s="126"/>
      <c r="AM732" s="126"/>
      <c r="AN732" s="126"/>
    </row>
    <row r="733" spans="1:40" ht="15.75" customHeight="1">
      <c r="A733" s="221" t="str">
        <f t="shared" si="2"/>
        <v/>
      </c>
      <c r="B733" s="222"/>
      <c r="C733" s="222"/>
      <c r="D733" s="222" t="str">
        <f t="array" ref="D733">IF(F733="","",INDEX(#REF!,MATCH(F733,#REF!,0)))</f>
        <v/>
      </c>
      <c r="E733" s="222" t="str">
        <f t="array" ref="E733">IF(F733="","",INDEX(#REF!,MATCH(F733,#REF!,0)))</f>
        <v/>
      </c>
      <c r="F733" s="222"/>
      <c r="G733" s="222"/>
      <c r="H733" s="223"/>
      <c r="I733" s="222"/>
      <c r="J733" s="222"/>
      <c r="K733" s="222"/>
      <c r="L733" s="222"/>
      <c r="M733" s="222"/>
      <c r="N733" s="222"/>
      <c r="O733" s="222"/>
      <c r="P733" s="224"/>
      <c r="Q733" s="224"/>
      <c r="R733" s="224"/>
      <c r="S733" s="224"/>
      <c r="T733" s="224"/>
      <c r="U733" s="224"/>
      <c r="V733" s="224"/>
      <c r="W733" s="224"/>
      <c r="X733" s="224"/>
      <c r="Y733" s="222"/>
      <c r="Z733" s="222"/>
      <c r="AA733" s="224"/>
      <c r="AB733" s="224"/>
      <c r="AC733" s="224"/>
      <c r="AD733" s="224"/>
      <c r="AE733" s="224"/>
      <c r="AF733" s="224"/>
      <c r="AG733" s="224"/>
      <c r="AH733" s="224"/>
      <c r="AI733" s="224"/>
      <c r="AJ733" s="126"/>
      <c r="AK733" s="126"/>
      <c r="AL733" s="126"/>
      <c r="AM733" s="126"/>
      <c r="AN733" s="126"/>
    </row>
    <row r="734" spans="1:40" ht="15.75" customHeight="1">
      <c r="A734" s="221" t="str">
        <f t="shared" si="2"/>
        <v/>
      </c>
      <c r="B734" s="222"/>
      <c r="C734" s="222"/>
      <c r="D734" s="222" t="str">
        <f t="array" ref="D734">IF(F734="","",INDEX(#REF!,MATCH(F734,#REF!,0)))</f>
        <v/>
      </c>
      <c r="E734" s="222" t="str">
        <f t="array" ref="E734">IF(F734="","",INDEX(#REF!,MATCH(F734,#REF!,0)))</f>
        <v/>
      </c>
      <c r="F734" s="222"/>
      <c r="G734" s="222"/>
      <c r="H734" s="223"/>
      <c r="I734" s="222"/>
      <c r="J734" s="222"/>
      <c r="K734" s="222"/>
      <c r="L734" s="222"/>
      <c r="M734" s="222"/>
      <c r="N734" s="222"/>
      <c r="O734" s="222"/>
      <c r="P734" s="224"/>
      <c r="Q734" s="224"/>
      <c r="R734" s="224"/>
      <c r="S734" s="224"/>
      <c r="T734" s="224"/>
      <c r="U734" s="224"/>
      <c r="V734" s="224"/>
      <c r="W734" s="224"/>
      <c r="X734" s="224"/>
      <c r="Y734" s="222"/>
      <c r="Z734" s="222"/>
      <c r="AA734" s="224"/>
      <c r="AB734" s="224"/>
      <c r="AC734" s="224"/>
      <c r="AD734" s="224"/>
      <c r="AE734" s="224"/>
      <c r="AF734" s="224"/>
      <c r="AG734" s="224"/>
      <c r="AH734" s="224"/>
      <c r="AI734" s="224"/>
      <c r="AJ734" s="126"/>
      <c r="AK734" s="126"/>
      <c r="AL734" s="126"/>
      <c r="AM734" s="126"/>
      <c r="AN734" s="126"/>
    </row>
    <row r="735" spans="1:40" ht="15.75" customHeight="1">
      <c r="A735" s="221" t="str">
        <f t="shared" si="2"/>
        <v/>
      </c>
      <c r="B735" s="222"/>
      <c r="C735" s="222"/>
      <c r="D735" s="222" t="str">
        <f t="array" ref="D735">IF(F735="","",INDEX(#REF!,MATCH(F735,#REF!,0)))</f>
        <v/>
      </c>
      <c r="E735" s="222" t="str">
        <f t="array" ref="E735">IF(F735="","",INDEX(#REF!,MATCH(F735,#REF!,0)))</f>
        <v/>
      </c>
      <c r="F735" s="222"/>
      <c r="G735" s="222"/>
      <c r="H735" s="223"/>
      <c r="I735" s="222"/>
      <c r="J735" s="222"/>
      <c r="K735" s="222"/>
      <c r="L735" s="222"/>
      <c r="M735" s="222"/>
      <c r="N735" s="222"/>
      <c r="O735" s="222"/>
      <c r="P735" s="224"/>
      <c r="Q735" s="224"/>
      <c r="R735" s="224"/>
      <c r="S735" s="224"/>
      <c r="T735" s="224"/>
      <c r="U735" s="224"/>
      <c r="V735" s="224"/>
      <c r="W735" s="224"/>
      <c r="X735" s="224"/>
      <c r="Y735" s="222"/>
      <c r="Z735" s="222"/>
      <c r="AA735" s="224"/>
      <c r="AB735" s="224"/>
      <c r="AC735" s="224"/>
      <c r="AD735" s="224"/>
      <c r="AE735" s="224"/>
      <c r="AF735" s="224"/>
      <c r="AG735" s="224"/>
      <c r="AH735" s="224"/>
      <c r="AI735" s="224"/>
      <c r="AJ735" s="126"/>
      <c r="AK735" s="126"/>
      <c r="AL735" s="126"/>
      <c r="AM735" s="126"/>
      <c r="AN735" s="126"/>
    </row>
    <row r="736" spans="1:40" ht="15.75" customHeight="1">
      <c r="A736" s="221" t="str">
        <f t="shared" si="2"/>
        <v/>
      </c>
      <c r="B736" s="222"/>
      <c r="C736" s="222"/>
      <c r="D736" s="222" t="str">
        <f t="array" ref="D736">IF(F736="","",INDEX(#REF!,MATCH(F736,#REF!,0)))</f>
        <v/>
      </c>
      <c r="E736" s="222" t="str">
        <f t="array" ref="E736">IF(F736="","",INDEX(#REF!,MATCH(F736,#REF!,0)))</f>
        <v/>
      </c>
      <c r="F736" s="222"/>
      <c r="G736" s="222"/>
      <c r="H736" s="223"/>
      <c r="I736" s="222"/>
      <c r="J736" s="222"/>
      <c r="K736" s="222"/>
      <c r="L736" s="222"/>
      <c r="M736" s="222"/>
      <c r="N736" s="222"/>
      <c r="O736" s="222"/>
      <c r="P736" s="224"/>
      <c r="Q736" s="224"/>
      <c r="R736" s="224"/>
      <c r="S736" s="224"/>
      <c r="T736" s="224"/>
      <c r="U736" s="224"/>
      <c r="V736" s="224"/>
      <c r="W736" s="224"/>
      <c r="X736" s="224"/>
      <c r="Y736" s="222"/>
      <c r="Z736" s="222"/>
      <c r="AA736" s="224"/>
      <c r="AB736" s="224"/>
      <c r="AC736" s="224"/>
      <c r="AD736" s="224"/>
      <c r="AE736" s="224"/>
      <c r="AF736" s="224"/>
      <c r="AG736" s="224"/>
      <c r="AH736" s="224"/>
      <c r="AI736" s="224"/>
      <c r="AJ736" s="126"/>
      <c r="AK736" s="126"/>
      <c r="AL736" s="126"/>
      <c r="AM736" s="126"/>
      <c r="AN736" s="126"/>
    </row>
    <row r="737" spans="1:40" ht="15.75" customHeight="1">
      <c r="A737" s="221" t="str">
        <f t="shared" si="2"/>
        <v/>
      </c>
      <c r="B737" s="222"/>
      <c r="C737" s="222"/>
      <c r="D737" s="222" t="str">
        <f t="array" ref="D737">IF(F737="","",INDEX(#REF!,MATCH(F737,#REF!,0)))</f>
        <v/>
      </c>
      <c r="E737" s="222" t="str">
        <f t="array" ref="E737">IF(F737="","",INDEX(#REF!,MATCH(F737,#REF!,0)))</f>
        <v/>
      </c>
      <c r="F737" s="222"/>
      <c r="G737" s="222"/>
      <c r="H737" s="223"/>
      <c r="I737" s="222"/>
      <c r="J737" s="222"/>
      <c r="K737" s="222"/>
      <c r="L737" s="222"/>
      <c r="M737" s="222"/>
      <c r="N737" s="222"/>
      <c r="O737" s="222"/>
      <c r="P737" s="224"/>
      <c r="Q737" s="224"/>
      <c r="R737" s="224"/>
      <c r="S737" s="224"/>
      <c r="T737" s="224"/>
      <c r="U737" s="224"/>
      <c r="V737" s="224"/>
      <c r="W737" s="224"/>
      <c r="X737" s="224"/>
      <c r="Y737" s="222"/>
      <c r="Z737" s="222"/>
      <c r="AA737" s="224"/>
      <c r="AB737" s="224"/>
      <c r="AC737" s="224"/>
      <c r="AD737" s="224"/>
      <c r="AE737" s="224"/>
      <c r="AF737" s="224"/>
      <c r="AG737" s="224"/>
      <c r="AH737" s="224"/>
      <c r="AI737" s="224"/>
      <c r="AJ737" s="126"/>
      <c r="AK737" s="126"/>
      <c r="AL737" s="126"/>
      <c r="AM737" s="126"/>
      <c r="AN737" s="126"/>
    </row>
    <row r="738" spans="1:40" ht="15.75" customHeight="1">
      <c r="A738" s="221" t="str">
        <f t="shared" si="2"/>
        <v/>
      </c>
      <c r="B738" s="222"/>
      <c r="C738" s="222"/>
      <c r="D738" s="222" t="str">
        <f t="array" ref="D738">IF(F738="","",INDEX(#REF!,MATCH(F738,#REF!,0)))</f>
        <v/>
      </c>
      <c r="E738" s="222" t="str">
        <f t="array" ref="E738">IF(F738="","",INDEX(#REF!,MATCH(F738,#REF!,0)))</f>
        <v/>
      </c>
      <c r="F738" s="222"/>
      <c r="G738" s="222"/>
      <c r="H738" s="223"/>
      <c r="I738" s="222"/>
      <c r="J738" s="222"/>
      <c r="K738" s="222"/>
      <c r="L738" s="222"/>
      <c r="M738" s="222"/>
      <c r="N738" s="222"/>
      <c r="O738" s="222"/>
      <c r="P738" s="224"/>
      <c r="Q738" s="224"/>
      <c r="R738" s="224"/>
      <c r="S738" s="224"/>
      <c r="T738" s="224"/>
      <c r="U738" s="224"/>
      <c r="V738" s="224"/>
      <c r="W738" s="224"/>
      <c r="X738" s="224"/>
      <c r="Y738" s="222"/>
      <c r="Z738" s="222"/>
      <c r="AA738" s="224"/>
      <c r="AB738" s="224"/>
      <c r="AC738" s="224"/>
      <c r="AD738" s="224"/>
      <c r="AE738" s="224"/>
      <c r="AF738" s="224"/>
      <c r="AG738" s="224"/>
      <c r="AH738" s="224"/>
      <c r="AI738" s="224"/>
      <c r="AJ738" s="126"/>
      <c r="AK738" s="126"/>
      <c r="AL738" s="126"/>
      <c r="AM738" s="126"/>
      <c r="AN738" s="126"/>
    </row>
    <row r="739" spans="1:40" ht="15.75" customHeight="1">
      <c r="A739" s="221" t="str">
        <f t="shared" si="2"/>
        <v/>
      </c>
      <c r="B739" s="222"/>
      <c r="C739" s="222"/>
      <c r="D739" s="222" t="str">
        <f t="array" ref="D739">IF(F739="","",INDEX(#REF!,MATCH(F739,#REF!,0)))</f>
        <v/>
      </c>
      <c r="E739" s="222" t="str">
        <f t="array" ref="E739">IF(F739="","",INDEX(#REF!,MATCH(F739,#REF!,0)))</f>
        <v/>
      </c>
      <c r="F739" s="222"/>
      <c r="G739" s="222"/>
      <c r="H739" s="223"/>
      <c r="I739" s="222"/>
      <c r="J739" s="222"/>
      <c r="K739" s="222"/>
      <c r="L739" s="222"/>
      <c r="M739" s="222"/>
      <c r="N739" s="222"/>
      <c r="O739" s="222"/>
      <c r="P739" s="224"/>
      <c r="Q739" s="224"/>
      <c r="R739" s="224"/>
      <c r="S739" s="224"/>
      <c r="T739" s="224"/>
      <c r="U739" s="224"/>
      <c r="V739" s="224"/>
      <c r="W739" s="224"/>
      <c r="X739" s="224"/>
      <c r="Y739" s="222"/>
      <c r="Z739" s="222"/>
      <c r="AA739" s="224"/>
      <c r="AB739" s="224"/>
      <c r="AC739" s="224"/>
      <c r="AD739" s="224"/>
      <c r="AE739" s="224"/>
      <c r="AF739" s="224"/>
      <c r="AG739" s="224"/>
      <c r="AH739" s="224"/>
      <c r="AI739" s="224"/>
      <c r="AJ739" s="126"/>
      <c r="AK739" s="126"/>
      <c r="AL739" s="126"/>
      <c r="AM739" s="126"/>
      <c r="AN739" s="126"/>
    </row>
    <row r="740" spans="1:40" ht="15.75" customHeight="1">
      <c r="A740" s="221" t="str">
        <f t="shared" si="2"/>
        <v/>
      </c>
      <c r="B740" s="222"/>
      <c r="C740" s="222"/>
      <c r="D740" s="222" t="str">
        <f t="array" ref="D740">IF(F740="","",INDEX(#REF!,MATCH(F740,#REF!,0)))</f>
        <v/>
      </c>
      <c r="E740" s="222" t="str">
        <f t="array" ref="E740">IF(F740="","",INDEX(#REF!,MATCH(F740,#REF!,0)))</f>
        <v/>
      </c>
      <c r="F740" s="222"/>
      <c r="G740" s="222"/>
      <c r="H740" s="223"/>
      <c r="I740" s="222"/>
      <c r="J740" s="222"/>
      <c r="K740" s="222"/>
      <c r="L740" s="222"/>
      <c r="M740" s="222"/>
      <c r="N740" s="222"/>
      <c r="O740" s="222"/>
      <c r="P740" s="224"/>
      <c r="Q740" s="224"/>
      <c r="R740" s="224"/>
      <c r="S740" s="224"/>
      <c r="T740" s="224"/>
      <c r="U740" s="224"/>
      <c r="V740" s="224"/>
      <c r="W740" s="224"/>
      <c r="X740" s="224"/>
      <c r="Y740" s="222"/>
      <c r="Z740" s="222"/>
      <c r="AA740" s="224"/>
      <c r="AB740" s="224"/>
      <c r="AC740" s="224"/>
      <c r="AD740" s="224"/>
      <c r="AE740" s="224"/>
      <c r="AF740" s="224"/>
      <c r="AG740" s="224"/>
      <c r="AH740" s="224"/>
      <c r="AI740" s="224"/>
      <c r="AJ740" s="126"/>
      <c r="AK740" s="126"/>
      <c r="AL740" s="126"/>
      <c r="AM740" s="126"/>
      <c r="AN740" s="126"/>
    </row>
    <row r="741" spans="1:40" ht="15.75" customHeight="1">
      <c r="A741" s="221" t="str">
        <f t="shared" si="2"/>
        <v/>
      </c>
      <c r="B741" s="222"/>
      <c r="C741" s="222"/>
      <c r="D741" s="222" t="str">
        <f t="array" ref="D741">IF(F741="","",INDEX(#REF!,MATCH(F741,#REF!,0)))</f>
        <v/>
      </c>
      <c r="E741" s="222" t="str">
        <f t="array" ref="E741">IF(F741="","",INDEX(#REF!,MATCH(F741,#REF!,0)))</f>
        <v/>
      </c>
      <c r="F741" s="222"/>
      <c r="G741" s="222"/>
      <c r="H741" s="223"/>
      <c r="I741" s="222"/>
      <c r="J741" s="222"/>
      <c r="K741" s="222"/>
      <c r="L741" s="222"/>
      <c r="M741" s="222"/>
      <c r="N741" s="222"/>
      <c r="O741" s="222"/>
      <c r="P741" s="224"/>
      <c r="Q741" s="224"/>
      <c r="R741" s="224"/>
      <c r="S741" s="224"/>
      <c r="T741" s="224"/>
      <c r="U741" s="224"/>
      <c r="V741" s="224"/>
      <c r="W741" s="224"/>
      <c r="X741" s="224"/>
      <c r="Y741" s="222"/>
      <c r="Z741" s="222"/>
      <c r="AA741" s="224"/>
      <c r="AB741" s="224"/>
      <c r="AC741" s="224"/>
      <c r="AD741" s="224"/>
      <c r="AE741" s="224"/>
      <c r="AF741" s="224"/>
      <c r="AG741" s="224"/>
      <c r="AH741" s="224"/>
      <c r="AI741" s="224"/>
      <c r="AJ741" s="126"/>
      <c r="AK741" s="126"/>
      <c r="AL741" s="126"/>
      <c r="AM741" s="126"/>
      <c r="AN741" s="126"/>
    </row>
    <row r="742" spans="1:40" ht="15.75" customHeight="1">
      <c r="A742" s="221" t="str">
        <f t="shared" si="2"/>
        <v/>
      </c>
      <c r="B742" s="222"/>
      <c r="C742" s="222"/>
      <c r="D742" s="222" t="str">
        <f t="array" ref="D742">IF(F742="","",INDEX(#REF!,MATCH(F742,#REF!,0)))</f>
        <v/>
      </c>
      <c r="E742" s="222" t="str">
        <f t="array" ref="E742">IF(F742="","",INDEX(#REF!,MATCH(F742,#REF!,0)))</f>
        <v/>
      </c>
      <c r="F742" s="222"/>
      <c r="G742" s="222"/>
      <c r="H742" s="223"/>
      <c r="I742" s="222"/>
      <c r="J742" s="222"/>
      <c r="K742" s="222"/>
      <c r="L742" s="222"/>
      <c r="M742" s="222"/>
      <c r="N742" s="222"/>
      <c r="O742" s="222"/>
      <c r="P742" s="224"/>
      <c r="Q742" s="224"/>
      <c r="R742" s="224"/>
      <c r="S742" s="224"/>
      <c r="T742" s="224"/>
      <c r="U742" s="224"/>
      <c r="V742" s="224"/>
      <c r="W742" s="224"/>
      <c r="X742" s="224"/>
      <c r="Y742" s="222"/>
      <c r="Z742" s="222"/>
      <c r="AA742" s="224"/>
      <c r="AB742" s="224"/>
      <c r="AC742" s="224"/>
      <c r="AD742" s="224"/>
      <c r="AE742" s="224"/>
      <c r="AF742" s="224"/>
      <c r="AG742" s="224"/>
      <c r="AH742" s="224"/>
      <c r="AI742" s="224"/>
      <c r="AJ742" s="126"/>
      <c r="AK742" s="126"/>
      <c r="AL742" s="126"/>
      <c r="AM742" s="126"/>
      <c r="AN742" s="126"/>
    </row>
    <row r="743" spans="1:40" ht="15.75" customHeight="1">
      <c r="A743" s="221" t="str">
        <f t="shared" si="2"/>
        <v/>
      </c>
      <c r="B743" s="222"/>
      <c r="C743" s="222"/>
      <c r="D743" s="222" t="str">
        <f t="array" ref="D743">IF(F743="","",INDEX(#REF!,MATCH(F743,#REF!,0)))</f>
        <v/>
      </c>
      <c r="E743" s="222" t="str">
        <f t="array" ref="E743">IF(F743="","",INDEX(#REF!,MATCH(F743,#REF!,0)))</f>
        <v/>
      </c>
      <c r="F743" s="222"/>
      <c r="G743" s="222"/>
      <c r="H743" s="223"/>
      <c r="I743" s="222"/>
      <c r="J743" s="222"/>
      <c r="K743" s="222"/>
      <c r="L743" s="222"/>
      <c r="M743" s="222"/>
      <c r="N743" s="222"/>
      <c r="O743" s="222"/>
      <c r="P743" s="224"/>
      <c r="Q743" s="224"/>
      <c r="R743" s="224"/>
      <c r="S743" s="224"/>
      <c r="T743" s="224"/>
      <c r="U743" s="224"/>
      <c r="V743" s="224"/>
      <c r="W743" s="224"/>
      <c r="X743" s="224"/>
      <c r="Y743" s="222"/>
      <c r="Z743" s="222"/>
      <c r="AA743" s="224"/>
      <c r="AB743" s="224"/>
      <c r="AC743" s="224"/>
      <c r="AD743" s="224"/>
      <c r="AE743" s="224"/>
      <c r="AF743" s="224"/>
      <c r="AG743" s="224"/>
      <c r="AH743" s="224"/>
      <c r="AI743" s="224"/>
      <c r="AJ743" s="126"/>
      <c r="AK743" s="126"/>
      <c r="AL743" s="126"/>
      <c r="AM743" s="126"/>
      <c r="AN743" s="126"/>
    </row>
    <row r="744" spans="1:40" ht="15.75" customHeight="1">
      <c r="A744" s="221" t="str">
        <f t="shared" si="2"/>
        <v/>
      </c>
      <c r="B744" s="222"/>
      <c r="C744" s="222"/>
      <c r="D744" s="222" t="str">
        <f t="array" ref="D744">IF(F744="","",INDEX(#REF!,MATCH(F744,#REF!,0)))</f>
        <v/>
      </c>
      <c r="E744" s="222" t="str">
        <f t="array" ref="E744">IF(F744="","",INDEX(#REF!,MATCH(F744,#REF!,0)))</f>
        <v/>
      </c>
      <c r="F744" s="222"/>
      <c r="G744" s="222"/>
      <c r="H744" s="223"/>
      <c r="I744" s="222"/>
      <c r="J744" s="222"/>
      <c r="K744" s="222"/>
      <c r="L744" s="222"/>
      <c r="M744" s="222"/>
      <c r="N744" s="222"/>
      <c r="O744" s="222"/>
      <c r="P744" s="224"/>
      <c r="Q744" s="224"/>
      <c r="R744" s="224"/>
      <c r="S744" s="224"/>
      <c r="T744" s="224"/>
      <c r="U744" s="224"/>
      <c r="V744" s="224"/>
      <c r="W744" s="224"/>
      <c r="X744" s="224"/>
      <c r="Y744" s="222"/>
      <c r="Z744" s="222"/>
      <c r="AA744" s="224"/>
      <c r="AB744" s="224"/>
      <c r="AC744" s="224"/>
      <c r="AD744" s="224"/>
      <c r="AE744" s="224"/>
      <c r="AF744" s="224"/>
      <c r="AG744" s="224"/>
      <c r="AH744" s="224"/>
      <c r="AI744" s="224"/>
      <c r="AJ744" s="126"/>
      <c r="AK744" s="126"/>
      <c r="AL744" s="126"/>
      <c r="AM744" s="126"/>
      <c r="AN744" s="126"/>
    </row>
    <row r="745" spans="1:40" ht="15.75" customHeight="1">
      <c r="A745" s="221" t="str">
        <f t="shared" si="2"/>
        <v/>
      </c>
      <c r="B745" s="222"/>
      <c r="C745" s="222"/>
      <c r="D745" s="222" t="str">
        <f t="array" ref="D745">IF(F745="","",INDEX(#REF!,MATCH(F745,#REF!,0)))</f>
        <v/>
      </c>
      <c r="E745" s="222" t="str">
        <f t="array" ref="E745">IF(F745="","",INDEX(#REF!,MATCH(F745,#REF!,0)))</f>
        <v/>
      </c>
      <c r="F745" s="222"/>
      <c r="G745" s="222"/>
      <c r="H745" s="223"/>
      <c r="I745" s="222"/>
      <c r="J745" s="222"/>
      <c r="K745" s="222"/>
      <c r="L745" s="222"/>
      <c r="M745" s="222"/>
      <c r="N745" s="222"/>
      <c r="O745" s="222"/>
      <c r="P745" s="224"/>
      <c r="Q745" s="224"/>
      <c r="R745" s="224"/>
      <c r="S745" s="224"/>
      <c r="T745" s="224"/>
      <c r="U745" s="224"/>
      <c r="V745" s="224"/>
      <c r="W745" s="224"/>
      <c r="X745" s="224"/>
      <c r="Y745" s="222"/>
      <c r="Z745" s="222"/>
      <c r="AA745" s="224"/>
      <c r="AB745" s="224"/>
      <c r="AC745" s="224"/>
      <c r="AD745" s="224"/>
      <c r="AE745" s="224"/>
      <c r="AF745" s="224"/>
      <c r="AG745" s="224"/>
      <c r="AH745" s="224"/>
      <c r="AI745" s="224"/>
      <c r="AJ745" s="126"/>
      <c r="AK745" s="126"/>
      <c r="AL745" s="126"/>
      <c r="AM745" s="126"/>
      <c r="AN745" s="126"/>
    </row>
    <row r="746" spans="1:40" ht="15.75" customHeight="1">
      <c r="A746" s="221" t="str">
        <f t="shared" si="2"/>
        <v/>
      </c>
      <c r="B746" s="222"/>
      <c r="C746" s="222"/>
      <c r="D746" s="222" t="str">
        <f t="array" ref="D746">IF(F746="","",INDEX(#REF!,MATCH(F746,#REF!,0)))</f>
        <v/>
      </c>
      <c r="E746" s="222" t="str">
        <f t="array" ref="E746">IF(F746="","",INDEX(#REF!,MATCH(F746,#REF!,0)))</f>
        <v/>
      </c>
      <c r="F746" s="222"/>
      <c r="G746" s="222"/>
      <c r="H746" s="223"/>
      <c r="I746" s="222"/>
      <c r="J746" s="222"/>
      <c r="K746" s="222"/>
      <c r="L746" s="222"/>
      <c r="M746" s="222"/>
      <c r="N746" s="222"/>
      <c r="O746" s="222"/>
      <c r="P746" s="224"/>
      <c r="Q746" s="224"/>
      <c r="R746" s="224"/>
      <c r="S746" s="224"/>
      <c r="T746" s="224"/>
      <c r="U746" s="224"/>
      <c r="V746" s="224"/>
      <c r="W746" s="224"/>
      <c r="X746" s="224"/>
      <c r="Y746" s="222"/>
      <c r="Z746" s="222"/>
      <c r="AA746" s="224"/>
      <c r="AB746" s="224"/>
      <c r="AC746" s="224"/>
      <c r="AD746" s="224"/>
      <c r="AE746" s="224"/>
      <c r="AF746" s="224"/>
      <c r="AG746" s="224"/>
      <c r="AH746" s="224"/>
      <c r="AI746" s="224"/>
      <c r="AJ746" s="126"/>
      <c r="AK746" s="126"/>
      <c r="AL746" s="126"/>
      <c r="AM746" s="126"/>
      <c r="AN746" s="126"/>
    </row>
    <row r="747" spans="1:40" ht="15.75" customHeight="1">
      <c r="A747" s="221" t="str">
        <f t="shared" si="2"/>
        <v/>
      </c>
      <c r="B747" s="222"/>
      <c r="C747" s="222"/>
      <c r="D747" s="222" t="str">
        <f t="array" ref="D747">IF(F747="","",INDEX(#REF!,MATCH(F747,#REF!,0)))</f>
        <v/>
      </c>
      <c r="E747" s="222" t="str">
        <f t="array" ref="E747">IF(F747="","",INDEX(#REF!,MATCH(F747,#REF!,0)))</f>
        <v/>
      </c>
      <c r="F747" s="222"/>
      <c r="G747" s="222"/>
      <c r="H747" s="223"/>
      <c r="I747" s="222"/>
      <c r="J747" s="222"/>
      <c r="K747" s="222"/>
      <c r="L747" s="222"/>
      <c r="M747" s="222"/>
      <c r="N747" s="222"/>
      <c r="O747" s="222"/>
      <c r="P747" s="224"/>
      <c r="Q747" s="224"/>
      <c r="R747" s="224"/>
      <c r="S747" s="224"/>
      <c r="T747" s="224"/>
      <c r="U747" s="224"/>
      <c r="V747" s="224"/>
      <c r="W747" s="224"/>
      <c r="X747" s="224"/>
      <c r="Y747" s="222"/>
      <c r="Z747" s="222"/>
      <c r="AA747" s="224"/>
      <c r="AB747" s="224"/>
      <c r="AC747" s="224"/>
      <c r="AD747" s="224"/>
      <c r="AE747" s="224"/>
      <c r="AF747" s="224"/>
      <c r="AG747" s="224"/>
      <c r="AH747" s="224"/>
      <c r="AI747" s="224"/>
      <c r="AJ747" s="126"/>
      <c r="AK747" s="126"/>
      <c r="AL747" s="126"/>
      <c r="AM747" s="126"/>
      <c r="AN747" s="126"/>
    </row>
    <row r="748" spans="1:40" ht="15.75" customHeight="1">
      <c r="A748" s="221" t="str">
        <f t="shared" si="2"/>
        <v/>
      </c>
      <c r="B748" s="222"/>
      <c r="C748" s="222"/>
      <c r="D748" s="222" t="str">
        <f t="array" ref="D748">IF(F748="","",INDEX(#REF!,MATCH(F748,#REF!,0)))</f>
        <v/>
      </c>
      <c r="E748" s="222" t="str">
        <f t="array" ref="E748">IF(F748="","",INDEX(#REF!,MATCH(F748,#REF!,0)))</f>
        <v/>
      </c>
      <c r="F748" s="222"/>
      <c r="G748" s="222"/>
      <c r="H748" s="223"/>
      <c r="I748" s="222"/>
      <c r="J748" s="222"/>
      <c r="K748" s="222"/>
      <c r="L748" s="222"/>
      <c r="M748" s="222"/>
      <c r="N748" s="222"/>
      <c r="O748" s="222"/>
      <c r="P748" s="224"/>
      <c r="Q748" s="224"/>
      <c r="R748" s="224"/>
      <c r="S748" s="224"/>
      <c r="T748" s="224"/>
      <c r="U748" s="224"/>
      <c r="V748" s="224"/>
      <c r="W748" s="224"/>
      <c r="X748" s="224"/>
      <c r="Y748" s="222"/>
      <c r="Z748" s="222"/>
      <c r="AA748" s="224"/>
      <c r="AB748" s="224"/>
      <c r="AC748" s="224"/>
      <c r="AD748" s="224"/>
      <c r="AE748" s="224"/>
      <c r="AF748" s="224"/>
      <c r="AG748" s="224"/>
      <c r="AH748" s="224"/>
      <c r="AI748" s="224"/>
      <c r="AJ748" s="126"/>
      <c r="AK748" s="126"/>
      <c r="AL748" s="126"/>
      <c r="AM748" s="126"/>
      <c r="AN748" s="126"/>
    </row>
    <row r="749" spans="1:40" ht="15.75" customHeight="1">
      <c r="A749" s="221" t="str">
        <f t="shared" si="2"/>
        <v/>
      </c>
      <c r="B749" s="222"/>
      <c r="C749" s="222"/>
      <c r="D749" s="222" t="str">
        <f t="array" ref="D749">IF(F749="","",INDEX(#REF!,MATCH(F749,#REF!,0)))</f>
        <v/>
      </c>
      <c r="E749" s="222" t="str">
        <f t="array" ref="E749">IF(F749="","",INDEX(#REF!,MATCH(F749,#REF!,0)))</f>
        <v/>
      </c>
      <c r="F749" s="222"/>
      <c r="G749" s="222"/>
      <c r="H749" s="223"/>
      <c r="I749" s="222"/>
      <c r="J749" s="222"/>
      <c r="K749" s="222"/>
      <c r="L749" s="222"/>
      <c r="M749" s="222"/>
      <c r="N749" s="222"/>
      <c r="O749" s="222"/>
      <c r="P749" s="224"/>
      <c r="Q749" s="224"/>
      <c r="R749" s="224"/>
      <c r="S749" s="224"/>
      <c r="T749" s="224"/>
      <c r="U749" s="224"/>
      <c r="V749" s="224"/>
      <c r="W749" s="224"/>
      <c r="X749" s="224"/>
      <c r="Y749" s="222"/>
      <c r="Z749" s="222"/>
      <c r="AA749" s="224"/>
      <c r="AB749" s="224"/>
      <c r="AC749" s="224"/>
      <c r="AD749" s="224"/>
      <c r="AE749" s="224"/>
      <c r="AF749" s="224"/>
      <c r="AG749" s="224"/>
      <c r="AH749" s="224"/>
      <c r="AI749" s="224"/>
      <c r="AJ749" s="126"/>
      <c r="AK749" s="126"/>
      <c r="AL749" s="126"/>
      <c r="AM749" s="126"/>
      <c r="AN749" s="126"/>
    </row>
    <row r="750" spans="1:40" ht="15.75" customHeight="1">
      <c r="A750" s="221" t="str">
        <f t="shared" si="2"/>
        <v/>
      </c>
      <c r="B750" s="222"/>
      <c r="C750" s="222"/>
      <c r="D750" s="222" t="str">
        <f t="array" ref="D750">IF(F750="","",INDEX(#REF!,MATCH(F750,#REF!,0)))</f>
        <v/>
      </c>
      <c r="E750" s="222" t="str">
        <f t="array" ref="E750">IF(F750="","",INDEX(#REF!,MATCH(F750,#REF!,0)))</f>
        <v/>
      </c>
      <c r="F750" s="222"/>
      <c r="G750" s="222"/>
      <c r="H750" s="223"/>
      <c r="I750" s="222"/>
      <c r="J750" s="222"/>
      <c r="K750" s="222"/>
      <c r="L750" s="222"/>
      <c r="M750" s="222"/>
      <c r="N750" s="222"/>
      <c r="O750" s="222"/>
      <c r="P750" s="224"/>
      <c r="Q750" s="224"/>
      <c r="R750" s="224"/>
      <c r="S750" s="224"/>
      <c r="T750" s="224"/>
      <c r="U750" s="224"/>
      <c r="V750" s="224"/>
      <c r="W750" s="224"/>
      <c r="X750" s="224"/>
      <c r="Y750" s="222"/>
      <c r="Z750" s="222"/>
      <c r="AA750" s="224"/>
      <c r="AB750" s="224"/>
      <c r="AC750" s="224"/>
      <c r="AD750" s="224"/>
      <c r="AE750" s="224"/>
      <c r="AF750" s="224"/>
      <c r="AG750" s="224"/>
      <c r="AH750" s="224"/>
      <c r="AI750" s="224"/>
      <c r="AJ750" s="126"/>
      <c r="AK750" s="126"/>
      <c r="AL750" s="126"/>
      <c r="AM750" s="126"/>
      <c r="AN750" s="126"/>
    </row>
    <row r="751" spans="1:40" ht="15.75" customHeight="1">
      <c r="A751" s="221" t="str">
        <f t="shared" si="2"/>
        <v/>
      </c>
      <c r="B751" s="222"/>
      <c r="C751" s="222"/>
      <c r="D751" s="222" t="str">
        <f t="array" ref="D751">IF(F751="","",INDEX(#REF!,MATCH(F751,#REF!,0)))</f>
        <v/>
      </c>
      <c r="E751" s="222" t="str">
        <f t="array" ref="E751">IF(F751="","",INDEX(#REF!,MATCH(F751,#REF!,0)))</f>
        <v/>
      </c>
      <c r="F751" s="222"/>
      <c r="G751" s="222"/>
      <c r="H751" s="223"/>
      <c r="I751" s="222"/>
      <c r="J751" s="222"/>
      <c r="K751" s="222"/>
      <c r="L751" s="222"/>
      <c r="M751" s="222"/>
      <c r="N751" s="222"/>
      <c r="O751" s="222"/>
      <c r="P751" s="224"/>
      <c r="Q751" s="224"/>
      <c r="R751" s="224"/>
      <c r="S751" s="224"/>
      <c r="T751" s="224"/>
      <c r="U751" s="224"/>
      <c r="V751" s="224"/>
      <c r="W751" s="224"/>
      <c r="X751" s="224"/>
      <c r="Y751" s="222"/>
      <c r="Z751" s="222"/>
      <c r="AA751" s="224"/>
      <c r="AB751" s="224"/>
      <c r="AC751" s="224"/>
      <c r="AD751" s="224"/>
      <c r="AE751" s="224"/>
      <c r="AF751" s="224"/>
      <c r="AG751" s="224"/>
      <c r="AH751" s="224"/>
      <c r="AI751" s="224"/>
      <c r="AJ751" s="126"/>
      <c r="AK751" s="126"/>
      <c r="AL751" s="126"/>
      <c r="AM751" s="126"/>
      <c r="AN751" s="126"/>
    </row>
    <row r="752" spans="1:40" ht="15.75" customHeight="1">
      <c r="A752" s="221" t="str">
        <f t="shared" si="2"/>
        <v/>
      </c>
      <c r="B752" s="222"/>
      <c r="C752" s="222"/>
      <c r="D752" s="222" t="str">
        <f t="array" ref="D752">IF(F752="","",INDEX(#REF!,MATCH(F752,#REF!,0)))</f>
        <v/>
      </c>
      <c r="E752" s="222" t="str">
        <f t="array" ref="E752">IF(F752="","",INDEX(#REF!,MATCH(F752,#REF!,0)))</f>
        <v/>
      </c>
      <c r="F752" s="222"/>
      <c r="G752" s="222"/>
      <c r="H752" s="223"/>
      <c r="I752" s="222"/>
      <c r="J752" s="222"/>
      <c r="K752" s="222"/>
      <c r="L752" s="222"/>
      <c r="M752" s="222"/>
      <c r="N752" s="222"/>
      <c r="O752" s="222"/>
      <c r="P752" s="224"/>
      <c r="Q752" s="224"/>
      <c r="R752" s="224"/>
      <c r="S752" s="224"/>
      <c r="T752" s="224"/>
      <c r="U752" s="224"/>
      <c r="V752" s="224"/>
      <c r="W752" s="224"/>
      <c r="X752" s="224"/>
      <c r="Y752" s="222"/>
      <c r="Z752" s="222"/>
      <c r="AA752" s="224"/>
      <c r="AB752" s="224"/>
      <c r="AC752" s="224"/>
      <c r="AD752" s="224"/>
      <c r="AE752" s="224"/>
      <c r="AF752" s="224"/>
      <c r="AG752" s="224"/>
      <c r="AH752" s="224"/>
      <c r="AI752" s="224"/>
      <c r="AJ752" s="126"/>
      <c r="AK752" s="126"/>
      <c r="AL752" s="126"/>
      <c r="AM752" s="126"/>
      <c r="AN752" s="126"/>
    </row>
    <row r="753" spans="1:40" ht="15.75" customHeight="1">
      <c r="A753" s="221" t="str">
        <f t="shared" si="2"/>
        <v/>
      </c>
      <c r="B753" s="222"/>
      <c r="C753" s="222"/>
      <c r="D753" s="222" t="str">
        <f t="array" ref="D753">IF(F753="","",INDEX(#REF!,MATCH(F753,#REF!,0)))</f>
        <v/>
      </c>
      <c r="E753" s="222" t="str">
        <f t="array" ref="E753">IF(F753="","",INDEX(#REF!,MATCH(F753,#REF!,0)))</f>
        <v/>
      </c>
      <c r="F753" s="222"/>
      <c r="G753" s="222"/>
      <c r="H753" s="223"/>
      <c r="I753" s="222"/>
      <c r="J753" s="222"/>
      <c r="K753" s="222"/>
      <c r="L753" s="222"/>
      <c r="M753" s="222"/>
      <c r="N753" s="222"/>
      <c r="O753" s="222"/>
      <c r="P753" s="224"/>
      <c r="Q753" s="224"/>
      <c r="R753" s="224"/>
      <c r="S753" s="224"/>
      <c r="T753" s="224"/>
      <c r="U753" s="224"/>
      <c r="V753" s="224"/>
      <c r="W753" s="224"/>
      <c r="X753" s="224"/>
      <c r="Y753" s="222"/>
      <c r="Z753" s="222"/>
      <c r="AA753" s="224"/>
      <c r="AB753" s="224"/>
      <c r="AC753" s="224"/>
      <c r="AD753" s="224"/>
      <c r="AE753" s="224"/>
      <c r="AF753" s="224"/>
      <c r="AG753" s="224"/>
      <c r="AH753" s="224"/>
      <c r="AI753" s="224"/>
      <c r="AJ753" s="126"/>
      <c r="AK753" s="126"/>
      <c r="AL753" s="126"/>
      <c r="AM753" s="126"/>
      <c r="AN753" s="126"/>
    </row>
    <row r="754" spans="1:40" ht="15.75" customHeight="1">
      <c r="A754" s="221" t="str">
        <f t="shared" si="2"/>
        <v/>
      </c>
      <c r="B754" s="222"/>
      <c r="C754" s="222"/>
      <c r="D754" s="222" t="str">
        <f t="array" ref="D754">IF(F754="","",INDEX(#REF!,MATCH(F754,#REF!,0)))</f>
        <v/>
      </c>
      <c r="E754" s="222" t="str">
        <f t="array" ref="E754">IF(F754="","",INDEX(#REF!,MATCH(F754,#REF!,0)))</f>
        <v/>
      </c>
      <c r="F754" s="222"/>
      <c r="G754" s="222"/>
      <c r="H754" s="223"/>
      <c r="I754" s="222"/>
      <c r="J754" s="222"/>
      <c r="K754" s="222"/>
      <c r="L754" s="222"/>
      <c r="M754" s="222"/>
      <c r="N754" s="222"/>
      <c r="O754" s="222"/>
      <c r="P754" s="224"/>
      <c r="Q754" s="224"/>
      <c r="R754" s="224"/>
      <c r="S754" s="224"/>
      <c r="T754" s="224"/>
      <c r="U754" s="224"/>
      <c r="V754" s="224"/>
      <c r="W754" s="224"/>
      <c r="X754" s="224"/>
      <c r="Y754" s="222"/>
      <c r="Z754" s="222"/>
      <c r="AA754" s="224"/>
      <c r="AB754" s="224"/>
      <c r="AC754" s="224"/>
      <c r="AD754" s="224"/>
      <c r="AE754" s="224"/>
      <c r="AF754" s="224"/>
      <c r="AG754" s="224"/>
      <c r="AH754" s="224"/>
      <c r="AI754" s="224"/>
      <c r="AJ754" s="126"/>
      <c r="AK754" s="126"/>
      <c r="AL754" s="126"/>
      <c r="AM754" s="126"/>
      <c r="AN754" s="126"/>
    </row>
    <row r="755" spans="1:40" ht="15.75" customHeight="1">
      <c r="A755" s="221" t="str">
        <f t="shared" si="2"/>
        <v/>
      </c>
      <c r="B755" s="222"/>
      <c r="C755" s="222"/>
      <c r="D755" s="222" t="str">
        <f t="array" ref="D755">IF(F755="","",INDEX(#REF!,MATCH(F755,#REF!,0)))</f>
        <v/>
      </c>
      <c r="E755" s="222" t="str">
        <f t="array" ref="E755">IF(F755="","",INDEX(#REF!,MATCH(F755,#REF!,0)))</f>
        <v/>
      </c>
      <c r="F755" s="222"/>
      <c r="G755" s="222"/>
      <c r="H755" s="223"/>
      <c r="I755" s="222"/>
      <c r="J755" s="222"/>
      <c r="K755" s="222"/>
      <c r="L755" s="222"/>
      <c r="M755" s="222"/>
      <c r="N755" s="222"/>
      <c r="O755" s="222"/>
      <c r="P755" s="224"/>
      <c r="Q755" s="224"/>
      <c r="R755" s="224"/>
      <c r="S755" s="224"/>
      <c r="T755" s="224"/>
      <c r="U755" s="224"/>
      <c r="V755" s="224"/>
      <c r="W755" s="224"/>
      <c r="X755" s="224"/>
      <c r="Y755" s="222"/>
      <c r="Z755" s="222"/>
      <c r="AA755" s="224"/>
      <c r="AB755" s="224"/>
      <c r="AC755" s="224"/>
      <c r="AD755" s="224"/>
      <c r="AE755" s="224"/>
      <c r="AF755" s="224"/>
      <c r="AG755" s="224"/>
      <c r="AH755" s="224"/>
      <c r="AI755" s="224"/>
      <c r="AJ755" s="126"/>
      <c r="AK755" s="126"/>
      <c r="AL755" s="126"/>
      <c r="AM755" s="126"/>
      <c r="AN755" s="126"/>
    </row>
    <row r="756" spans="1:40" ht="15.75" customHeight="1">
      <c r="A756" s="221" t="str">
        <f t="shared" si="2"/>
        <v/>
      </c>
      <c r="B756" s="222"/>
      <c r="C756" s="222"/>
      <c r="D756" s="222" t="str">
        <f t="array" ref="D756">IF(F756="","",INDEX(#REF!,MATCH(F756,#REF!,0)))</f>
        <v/>
      </c>
      <c r="E756" s="222" t="str">
        <f t="array" ref="E756">IF(F756="","",INDEX(#REF!,MATCH(F756,#REF!,0)))</f>
        <v/>
      </c>
      <c r="F756" s="222"/>
      <c r="G756" s="222"/>
      <c r="H756" s="223"/>
      <c r="I756" s="222"/>
      <c r="J756" s="222"/>
      <c r="K756" s="222"/>
      <c r="L756" s="222"/>
      <c r="M756" s="222"/>
      <c r="N756" s="222"/>
      <c r="O756" s="222"/>
      <c r="P756" s="224"/>
      <c r="Q756" s="224"/>
      <c r="R756" s="224"/>
      <c r="S756" s="224"/>
      <c r="T756" s="224"/>
      <c r="U756" s="224"/>
      <c r="V756" s="224"/>
      <c r="W756" s="224"/>
      <c r="X756" s="224"/>
      <c r="Y756" s="222"/>
      <c r="Z756" s="222"/>
      <c r="AA756" s="224"/>
      <c r="AB756" s="224"/>
      <c r="AC756" s="224"/>
      <c r="AD756" s="224"/>
      <c r="AE756" s="224"/>
      <c r="AF756" s="224"/>
      <c r="AG756" s="224"/>
      <c r="AH756" s="224"/>
      <c r="AI756" s="224"/>
      <c r="AJ756" s="126"/>
      <c r="AK756" s="126"/>
      <c r="AL756" s="126"/>
      <c r="AM756" s="126"/>
      <c r="AN756" s="126"/>
    </row>
    <row r="757" spans="1:40" ht="15.75" customHeight="1">
      <c r="A757" s="221" t="str">
        <f t="shared" si="2"/>
        <v/>
      </c>
      <c r="B757" s="222"/>
      <c r="C757" s="222"/>
      <c r="D757" s="222" t="str">
        <f t="array" ref="D757">IF(F757="","",INDEX(#REF!,MATCH(F757,#REF!,0)))</f>
        <v/>
      </c>
      <c r="E757" s="222" t="str">
        <f t="array" ref="E757">IF(F757="","",INDEX(#REF!,MATCH(F757,#REF!,0)))</f>
        <v/>
      </c>
      <c r="F757" s="222"/>
      <c r="G757" s="222"/>
      <c r="H757" s="223"/>
      <c r="I757" s="222"/>
      <c r="J757" s="222"/>
      <c r="K757" s="222"/>
      <c r="L757" s="222"/>
      <c r="M757" s="222"/>
      <c r="N757" s="222"/>
      <c r="O757" s="222"/>
      <c r="P757" s="224"/>
      <c r="Q757" s="224"/>
      <c r="R757" s="224"/>
      <c r="S757" s="224"/>
      <c r="T757" s="224"/>
      <c r="U757" s="224"/>
      <c r="V757" s="224"/>
      <c r="W757" s="224"/>
      <c r="X757" s="224"/>
      <c r="Y757" s="222"/>
      <c r="Z757" s="222"/>
      <c r="AA757" s="224"/>
      <c r="AB757" s="224"/>
      <c r="AC757" s="224"/>
      <c r="AD757" s="224"/>
      <c r="AE757" s="224"/>
      <c r="AF757" s="224"/>
      <c r="AG757" s="224"/>
      <c r="AH757" s="224"/>
      <c r="AI757" s="224"/>
      <c r="AJ757" s="126"/>
      <c r="AK757" s="126"/>
      <c r="AL757" s="126"/>
      <c r="AM757" s="126"/>
      <c r="AN757" s="126"/>
    </row>
    <row r="758" spans="1:40" ht="15.75" customHeight="1">
      <c r="A758" s="221" t="str">
        <f t="shared" si="2"/>
        <v/>
      </c>
      <c r="B758" s="222"/>
      <c r="C758" s="222"/>
      <c r="D758" s="222" t="str">
        <f t="array" ref="D758">IF(F758="","",INDEX(#REF!,MATCH(F758,#REF!,0)))</f>
        <v/>
      </c>
      <c r="E758" s="222" t="str">
        <f t="array" ref="E758">IF(F758="","",INDEX(#REF!,MATCH(F758,#REF!,0)))</f>
        <v/>
      </c>
      <c r="F758" s="222"/>
      <c r="G758" s="222"/>
      <c r="H758" s="223"/>
      <c r="I758" s="222"/>
      <c r="J758" s="222"/>
      <c r="K758" s="222"/>
      <c r="L758" s="222"/>
      <c r="M758" s="222"/>
      <c r="N758" s="222"/>
      <c r="O758" s="222"/>
      <c r="P758" s="224"/>
      <c r="Q758" s="224"/>
      <c r="R758" s="224"/>
      <c r="S758" s="224"/>
      <c r="T758" s="224"/>
      <c r="U758" s="224"/>
      <c r="V758" s="224"/>
      <c r="W758" s="224"/>
      <c r="X758" s="224"/>
      <c r="Y758" s="222"/>
      <c r="Z758" s="222"/>
      <c r="AA758" s="224"/>
      <c r="AB758" s="224"/>
      <c r="AC758" s="224"/>
      <c r="AD758" s="224"/>
      <c r="AE758" s="224"/>
      <c r="AF758" s="224"/>
      <c r="AG758" s="224"/>
      <c r="AH758" s="224"/>
      <c r="AI758" s="224"/>
      <c r="AJ758" s="126"/>
      <c r="AK758" s="126"/>
      <c r="AL758" s="126"/>
      <c r="AM758" s="126"/>
      <c r="AN758" s="126"/>
    </row>
    <row r="759" spans="1:40" ht="15.75" customHeight="1">
      <c r="A759" s="221" t="str">
        <f t="shared" si="2"/>
        <v/>
      </c>
      <c r="B759" s="222"/>
      <c r="C759" s="222"/>
      <c r="D759" s="222" t="str">
        <f t="array" ref="D759">IF(F759="","",INDEX(#REF!,MATCH(F759,#REF!,0)))</f>
        <v/>
      </c>
      <c r="E759" s="222" t="str">
        <f t="array" ref="E759">IF(F759="","",INDEX(#REF!,MATCH(F759,#REF!,0)))</f>
        <v/>
      </c>
      <c r="F759" s="222"/>
      <c r="G759" s="222"/>
      <c r="H759" s="223"/>
      <c r="I759" s="222"/>
      <c r="J759" s="222"/>
      <c r="K759" s="222"/>
      <c r="L759" s="222"/>
      <c r="M759" s="222"/>
      <c r="N759" s="222"/>
      <c r="O759" s="222"/>
      <c r="P759" s="224"/>
      <c r="Q759" s="224"/>
      <c r="R759" s="224"/>
      <c r="S759" s="224"/>
      <c r="T759" s="224"/>
      <c r="U759" s="224"/>
      <c r="V759" s="224"/>
      <c r="W759" s="224"/>
      <c r="X759" s="224"/>
      <c r="Y759" s="222"/>
      <c r="Z759" s="222"/>
      <c r="AA759" s="224"/>
      <c r="AB759" s="224"/>
      <c r="AC759" s="224"/>
      <c r="AD759" s="224"/>
      <c r="AE759" s="224"/>
      <c r="AF759" s="224"/>
      <c r="AG759" s="224"/>
      <c r="AH759" s="224"/>
      <c r="AI759" s="224"/>
      <c r="AJ759" s="126"/>
      <c r="AK759" s="126"/>
      <c r="AL759" s="126"/>
      <c r="AM759" s="126"/>
      <c r="AN759" s="126"/>
    </row>
    <row r="760" spans="1:40" ht="15.75" customHeight="1">
      <c r="A760" s="221" t="str">
        <f t="shared" si="2"/>
        <v/>
      </c>
      <c r="B760" s="222"/>
      <c r="C760" s="222"/>
      <c r="D760" s="222" t="str">
        <f t="array" ref="D760">IF(F760="","",INDEX(#REF!,MATCH(F760,#REF!,0)))</f>
        <v/>
      </c>
      <c r="E760" s="222" t="str">
        <f t="array" ref="E760">IF(F760="","",INDEX(#REF!,MATCH(F760,#REF!,0)))</f>
        <v/>
      </c>
      <c r="F760" s="222"/>
      <c r="G760" s="222"/>
      <c r="H760" s="223"/>
      <c r="I760" s="222"/>
      <c r="J760" s="222"/>
      <c r="K760" s="222"/>
      <c r="L760" s="222"/>
      <c r="M760" s="222"/>
      <c r="N760" s="222"/>
      <c r="O760" s="222"/>
      <c r="P760" s="224"/>
      <c r="Q760" s="224"/>
      <c r="R760" s="224"/>
      <c r="S760" s="224"/>
      <c r="T760" s="224"/>
      <c r="U760" s="224"/>
      <c r="V760" s="224"/>
      <c r="W760" s="224"/>
      <c r="X760" s="224"/>
      <c r="Y760" s="222"/>
      <c r="Z760" s="222"/>
      <c r="AA760" s="224"/>
      <c r="AB760" s="224"/>
      <c r="AC760" s="224"/>
      <c r="AD760" s="224"/>
      <c r="AE760" s="224"/>
      <c r="AF760" s="224"/>
      <c r="AG760" s="224"/>
      <c r="AH760" s="224"/>
      <c r="AI760" s="224"/>
      <c r="AJ760" s="126"/>
      <c r="AK760" s="126"/>
      <c r="AL760" s="126"/>
      <c r="AM760" s="126"/>
      <c r="AN760" s="126"/>
    </row>
    <row r="761" spans="1:40" ht="15.75" customHeight="1">
      <c r="A761" s="221" t="str">
        <f t="shared" si="2"/>
        <v/>
      </c>
      <c r="B761" s="222"/>
      <c r="C761" s="222"/>
      <c r="D761" s="222" t="str">
        <f t="array" ref="D761">IF(F761="","",INDEX(#REF!,MATCH(F761,#REF!,0)))</f>
        <v/>
      </c>
      <c r="E761" s="222" t="str">
        <f t="array" ref="E761">IF(F761="","",INDEX(#REF!,MATCH(F761,#REF!,0)))</f>
        <v/>
      </c>
      <c r="F761" s="222"/>
      <c r="G761" s="222"/>
      <c r="H761" s="223"/>
      <c r="I761" s="222"/>
      <c r="J761" s="222"/>
      <c r="K761" s="222"/>
      <c r="L761" s="222"/>
      <c r="M761" s="222"/>
      <c r="N761" s="222"/>
      <c r="O761" s="222"/>
      <c r="P761" s="224"/>
      <c r="Q761" s="224"/>
      <c r="R761" s="224"/>
      <c r="S761" s="224"/>
      <c r="T761" s="224"/>
      <c r="U761" s="224"/>
      <c r="V761" s="224"/>
      <c r="W761" s="224"/>
      <c r="X761" s="224"/>
      <c r="Y761" s="222"/>
      <c r="Z761" s="222"/>
      <c r="AA761" s="224"/>
      <c r="AB761" s="224"/>
      <c r="AC761" s="224"/>
      <c r="AD761" s="224"/>
      <c r="AE761" s="224"/>
      <c r="AF761" s="224"/>
      <c r="AG761" s="224"/>
      <c r="AH761" s="224"/>
      <c r="AI761" s="224"/>
      <c r="AJ761" s="126"/>
      <c r="AK761" s="126"/>
      <c r="AL761" s="126"/>
      <c r="AM761" s="126"/>
      <c r="AN761" s="126"/>
    </row>
    <row r="762" spans="1:40" ht="15.75" customHeight="1">
      <c r="A762" s="221" t="str">
        <f t="shared" si="2"/>
        <v/>
      </c>
      <c r="B762" s="222"/>
      <c r="C762" s="222"/>
      <c r="D762" s="222" t="str">
        <f t="array" ref="D762">IF(F762="","",INDEX(#REF!,MATCH(F762,#REF!,0)))</f>
        <v/>
      </c>
      <c r="E762" s="222" t="str">
        <f t="array" ref="E762">IF(F762="","",INDEX(#REF!,MATCH(F762,#REF!,0)))</f>
        <v/>
      </c>
      <c r="F762" s="222"/>
      <c r="G762" s="222"/>
      <c r="H762" s="223"/>
      <c r="I762" s="222"/>
      <c r="J762" s="222"/>
      <c r="K762" s="222"/>
      <c r="L762" s="222"/>
      <c r="M762" s="222"/>
      <c r="N762" s="222"/>
      <c r="O762" s="222"/>
      <c r="P762" s="224"/>
      <c r="Q762" s="224"/>
      <c r="R762" s="224"/>
      <c r="S762" s="224"/>
      <c r="T762" s="224"/>
      <c r="U762" s="224"/>
      <c r="V762" s="224"/>
      <c r="W762" s="224"/>
      <c r="X762" s="224"/>
      <c r="Y762" s="222"/>
      <c r="Z762" s="222"/>
      <c r="AA762" s="224"/>
      <c r="AB762" s="224"/>
      <c r="AC762" s="224"/>
      <c r="AD762" s="224"/>
      <c r="AE762" s="224"/>
      <c r="AF762" s="224"/>
      <c r="AG762" s="224"/>
      <c r="AH762" s="224"/>
      <c r="AI762" s="224"/>
      <c r="AJ762" s="126"/>
      <c r="AK762" s="126"/>
      <c r="AL762" s="126"/>
      <c r="AM762" s="126"/>
      <c r="AN762" s="126"/>
    </row>
    <row r="763" spans="1:40" ht="15.75" customHeight="1">
      <c r="A763" s="221" t="str">
        <f t="shared" si="2"/>
        <v/>
      </c>
      <c r="B763" s="222"/>
      <c r="C763" s="222"/>
      <c r="D763" s="222" t="str">
        <f t="array" ref="D763">IF(F763="","",INDEX(#REF!,MATCH(F763,#REF!,0)))</f>
        <v/>
      </c>
      <c r="E763" s="222" t="str">
        <f t="array" ref="E763">IF(F763="","",INDEX(#REF!,MATCH(F763,#REF!,0)))</f>
        <v/>
      </c>
      <c r="F763" s="222"/>
      <c r="G763" s="222"/>
      <c r="H763" s="223"/>
      <c r="I763" s="222"/>
      <c r="J763" s="222"/>
      <c r="K763" s="222"/>
      <c r="L763" s="222"/>
      <c r="M763" s="222"/>
      <c r="N763" s="222"/>
      <c r="O763" s="222"/>
      <c r="P763" s="224"/>
      <c r="Q763" s="224"/>
      <c r="R763" s="224"/>
      <c r="S763" s="224"/>
      <c r="T763" s="224"/>
      <c r="U763" s="224"/>
      <c r="V763" s="224"/>
      <c r="W763" s="224"/>
      <c r="X763" s="224"/>
      <c r="Y763" s="222"/>
      <c r="Z763" s="222"/>
      <c r="AA763" s="224"/>
      <c r="AB763" s="224"/>
      <c r="AC763" s="224"/>
      <c r="AD763" s="224"/>
      <c r="AE763" s="224"/>
      <c r="AF763" s="224"/>
      <c r="AG763" s="224"/>
      <c r="AH763" s="224"/>
      <c r="AI763" s="224"/>
      <c r="AJ763" s="126"/>
      <c r="AK763" s="126"/>
      <c r="AL763" s="126"/>
      <c r="AM763" s="126"/>
      <c r="AN763" s="126"/>
    </row>
    <row r="764" spans="1:40" ht="15.75" customHeight="1">
      <c r="A764" s="221" t="str">
        <f t="shared" si="2"/>
        <v/>
      </c>
      <c r="B764" s="222"/>
      <c r="C764" s="222"/>
      <c r="D764" s="222" t="str">
        <f t="array" ref="D764">IF(F764="","",INDEX(#REF!,MATCH(F764,#REF!,0)))</f>
        <v/>
      </c>
      <c r="E764" s="222" t="str">
        <f t="array" ref="E764">IF(F764="","",INDEX(#REF!,MATCH(F764,#REF!,0)))</f>
        <v/>
      </c>
      <c r="F764" s="222"/>
      <c r="G764" s="222"/>
      <c r="H764" s="223"/>
      <c r="I764" s="222"/>
      <c r="J764" s="222"/>
      <c r="K764" s="222"/>
      <c r="L764" s="222"/>
      <c r="M764" s="222"/>
      <c r="N764" s="222"/>
      <c r="O764" s="222"/>
      <c r="P764" s="224"/>
      <c r="Q764" s="224"/>
      <c r="R764" s="224"/>
      <c r="S764" s="224"/>
      <c r="T764" s="224"/>
      <c r="U764" s="224"/>
      <c r="V764" s="224"/>
      <c r="W764" s="224"/>
      <c r="X764" s="224"/>
      <c r="Y764" s="222"/>
      <c r="Z764" s="222"/>
      <c r="AA764" s="224"/>
      <c r="AB764" s="224"/>
      <c r="AC764" s="224"/>
      <c r="AD764" s="224"/>
      <c r="AE764" s="224"/>
      <c r="AF764" s="224"/>
      <c r="AG764" s="224"/>
      <c r="AH764" s="224"/>
      <c r="AI764" s="224"/>
      <c r="AJ764" s="126"/>
      <c r="AK764" s="126"/>
      <c r="AL764" s="126"/>
      <c r="AM764" s="126"/>
      <c r="AN764" s="126"/>
    </row>
    <row r="765" spans="1:40" ht="15.75" customHeight="1">
      <c r="A765" s="221" t="str">
        <f t="shared" si="2"/>
        <v/>
      </c>
      <c r="B765" s="222"/>
      <c r="C765" s="222"/>
      <c r="D765" s="222" t="str">
        <f t="array" ref="D765">IF(F765="","",INDEX(#REF!,MATCH(F765,#REF!,0)))</f>
        <v/>
      </c>
      <c r="E765" s="222" t="str">
        <f t="array" ref="E765">IF(F765="","",INDEX(#REF!,MATCH(F765,#REF!,0)))</f>
        <v/>
      </c>
      <c r="F765" s="222"/>
      <c r="G765" s="222"/>
      <c r="H765" s="223"/>
      <c r="I765" s="222"/>
      <c r="J765" s="222"/>
      <c r="K765" s="222"/>
      <c r="L765" s="222"/>
      <c r="M765" s="222"/>
      <c r="N765" s="222"/>
      <c r="O765" s="222"/>
      <c r="P765" s="224"/>
      <c r="Q765" s="224"/>
      <c r="R765" s="224"/>
      <c r="S765" s="224"/>
      <c r="T765" s="224"/>
      <c r="U765" s="224"/>
      <c r="V765" s="224"/>
      <c r="W765" s="224"/>
      <c r="X765" s="224"/>
      <c r="Y765" s="222"/>
      <c r="Z765" s="222"/>
      <c r="AA765" s="224"/>
      <c r="AB765" s="224"/>
      <c r="AC765" s="224"/>
      <c r="AD765" s="224"/>
      <c r="AE765" s="224"/>
      <c r="AF765" s="224"/>
      <c r="AG765" s="224"/>
      <c r="AH765" s="224"/>
      <c r="AI765" s="224"/>
      <c r="AJ765" s="126"/>
      <c r="AK765" s="126"/>
      <c r="AL765" s="126"/>
      <c r="AM765" s="126"/>
      <c r="AN765" s="126"/>
    </row>
    <row r="766" spans="1:40" ht="15.75" customHeight="1">
      <c r="A766" s="221" t="str">
        <f t="shared" si="2"/>
        <v/>
      </c>
      <c r="B766" s="222"/>
      <c r="C766" s="222"/>
      <c r="D766" s="222" t="str">
        <f t="array" ref="D766">IF(F766="","",INDEX(#REF!,MATCH(F766,#REF!,0)))</f>
        <v/>
      </c>
      <c r="E766" s="222" t="str">
        <f t="array" ref="E766">IF(F766="","",INDEX(#REF!,MATCH(F766,#REF!,0)))</f>
        <v/>
      </c>
      <c r="F766" s="222"/>
      <c r="G766" s="222"/>
      <c r="H766" s="223"/>
      <c r="I766" s="222"/>
      <c r="J766" s="222"/>
      <c r="K766" s="222"/>
      <c r="L766" s="222"/>
      <c r="M766" s="222"/>
      <c r="N766" s="222"/>
      <c r="O766" s="222"/>
      <c r="P766" s="224"/>
      <c r="Q766" s="224"/>
      <c r="R766" s="224"/>
      <c r="S766" s="224"/>
      <c r="T766" s="224"/>
      <c r="U766" s="224"/>
      <c r="V766" s="224"/>
      <c r="W766" s="224"/>
      <c r="X766" s="224"/>
      <c r="Y766" s="222"/>
      <c r="Z766" s="222"/>
      <c r="AA766" s="224"/>
      <c r="AB766" s="224"/>
      <c r="AC766" s="224"/>
      <c r="AD766" s="224"/>
      <c r="AE766" s="224"/>
      <c r="AF766" s="224"/>
      <c r="AG766" s="224"/>
      <c r="AH766" s="224"/>
      <c r="AI766" s="224"/>
      <c r="AJ766" s="126"/>
      <c r="AK766" s="126"/>
      <c r="AL766" s="126"/>
      <c r="AM766" s="126"/>
      <c r="AN766" s="126"/>
    </row>
    <row r="767" spans="1:40" ht="15.75" customHeight="1">
      <c r="A767" s="221" t="str">
        <f t="shared" si="2"/>
        <v/>
      </c>
      <c r="B767" s="222"/>
      <c r="C767" s="222"/>
      <c r="D767" s="222" t="str">
        <f t="array" ref="D767">IF(F767="","",INDEX(#REF!,MATCH(F767,#REF!,0)))</f>
        <v/>
      </c>
      <c r="E767" s="222" t="str">
        <f t="array" ref="E767">IF(F767="","",INDEX(#REF!,MATCH(F767,#REF!,0)))</f>
        <v/>
      </c>
      <c r="F767" s="222"/>
      <c r="G767" s="222"/>
      <c r="H767" s="223"/>
      <c r="I767" s="222"/>
      <c r="J767" s="222"/>
      <c r="K767" s="222"/>
      <c r="L767" s="222"/>
      <c r="M767" s="222"/>
      <c r="N767" s="222"/>
      <c r="O767" s="222"/>
      <c r="P767" s="224"/>
      <c r="Q767" s="224"/>
      <c r="R767" s="224"/>
      <c r="S767" s="224"/>
      <c r="T767" s="224"/>
      <c r="U767" s="224"/>
      <c r="V767" s="224"/>
      <c r="W767" s="224"/>
      <c r="X767" s="224"/>
      <c r="Y767" s="222"/>
      <c r="Z767" s="222"/>
      <c r="AA767" s="224"/>
      <c r="AB767" s="224"/>
      <c r="AC767" s="224"/>
      <c r="AD767" s="224"/>
      <c r="AE767" s="224"/>
      <c r="AF767" s="224"/>
      <c r="AG767" s="224"/>
      <c r="AH767" s="224"/>
      <c r="AI767" s="224"/>
      <c r="AJ767" s="126"/>
      <c r="AK767" s="126"/>
      <c r="AL767" s="126"/>
      <c r="AM767" s="126"/>
      <c r="AN767" s="126"/>
    </row>
    <row r="768" spans="1:40" ht="15.75" customHeight="1">
      <c r="A768" s="221" t="str">
        <f t="shared" si="2"/>
        <v/>
      </c>
      <c r="B768" s="222"/>
      <c r="C768" s="222"/>
      <c r="D768" s="222" t="str">
        <f t="array" ref="D768">IF(F768="","",INDEX(#REF!,MATCH(F768,#REF!,0)))</f>
        <v/>
      </c>
      <c r="E768" s="222" t="str">
        <f t="array" ref="E768">IF(F768="","",INDEX(#REF!,MATCH(F768,#REF!,0)))</f>
        <v/>
      </c>
      <c r="F768" s="222"/>
      <c r="G768" s="222"/>
      <c r="H768" s="223"/>
      <c r="I768" s="222"/>
      <c r="J768" s="222"/>
      <c r="K768" s="222"/>
      <c r="L768" s="222"/>
      <c r="M768" s="222"/>
      <c r="N768" s="222"/>
      <c r="O768" s="222"/>
      <c r="P768" s="224"/>
      <c r="Q768" s="224"/>
      <c r="R768" s="224"/>
      <c r="S768" s="224"/>
      <c r="T768" s="224"/>
      <c r="U768" s="224"/>
      <c r="V768" s="224"/>
      <c r="W768" s="224"/>
      <c r="X768" s="224"/>
      <c r="Y768" s="222"/>
      <c r="Z768" s="222"/>
      <c r="AA768" s="224"/>
      <c r="AB768" s="224"/>
      <c r="AC768" s="224"/>
      <c r="AD768" s="224"/>
      <c r="AE768" s="224"/>
      <c r="AF768" s="224"/>
      <c r="AG768" s="224"/>
      <c r="AH768" s="224"/>
      <c r="AI768" s="224"/>
      <c r="AJ768" s="126"/>
      <c r="AK768" s="126"/>
      <c r="AL768" s="126"/>
      <c r="AM768" s="126"/>
      <c r="AN768" s="126"/>
    </row>
    <row r="769" spans="1:40" ht="15.75" customHeight="1">
      <c r="A769" s="221" t="str">
        <f t="shared" si="2"/>
        <v/>
      </c>
      <c r="B769" s="222"/>
      <c r="C769" s="222"/>
      <c r="D769" s="222" t="str">
        <f t="array" ref="D769">IF(F769="","",INDEX(#REF!,MATCH(F769,#REF!,0)))</f>
        <v/>
      </c>
      <c r="E769" s="222" t="str">
        <f t="array" ref="E769">IF(F769="","",INDEX(#REF!,MATCH(F769,#REF!,0)))</f>
        <v/>
      </c>
      <c r="F769" s="222"/>
      <c r="G769" s="222"/>
      <c r="H769" s="223"/>
      <c r="I769" s="222"/>
      <c r="J769" s="222"/>
      <c r="K769" s="222"/>
      <c r="L769" s="222"/>
      <c r="M769" s="222"/>
      <c r="N769" s="222"/>
      <c r="O769" s="222"/>
      <c r="P769" s="224"/>
      <c r="Q769" s="224"/>
      <c r="R769" s="224"/>
      <c r="S769" s="224"/>
      <c r="T769" s="224"/>
      <c r="U769" s="224"/>
      <c r="V769" s="224"/>
      <c r="W769" s="224"/>
      <c r="X769" s="224"/>
      <c r="Y769" s="222"/>
      <c r="Z769" s="222"/>
      <c r="AA769" s="224"/>
      <c r="AB769" s="224"/>
      <c r="AC769" s="224"/>
      <c r="AD769" s="224"/>
      <c r="AE769" s="224"/>
      <c r="AF769" s="224"/>
      <c r="AG769" s="224"/>
      <c r="AH769" s="224"/>
      <c r="AI769" s="224"/>
      <c r="AJ769" s="126"/>
      <c r="AK769" s="126"/>
      <c r="AL769" s="126"/>
      <c r="AM769" s="126"/>
      <c r="AN769" s="126"/>
    </row>
    <row r="770" spans="1:40" ht="15.75" customHeight="1">
      <c r="A770" s="221" t="str">
        <f t="shared" si="2"/>
        <v/>
      </c>
      <c r="B770" s="222"/>
      <c r="C770" s="222"/>
      <c r="D770" s="222" t="str">
        <f t="array" ref="D770">IF(F770="","",INDEX(#REF!,MATCH(F770,#REF!,0)))</f>
        <v/>
      </c>
      <c r="E770" s="222" t="str">
        <f t="array" ref="E770">IF(F770="","",INDEX(#REF!,MATCH(F770,#REF!,0)))</f>
        <v/>
      </c>
      <c r="F770" s="222"/>
      <c r="G770" s="222"/>
      <c r="H770" s="223"/>
      <c r="I770" s="222"/>
      <c r="J770" s="222"/>
      <c r="K770" s="222"/>
      <c r="L770" s="222"/>
      <c r="M770" s="222"/>
      <c r="N770" s="222"/>
      <c r="O770" s="222"/>
      <c r="P770" s="224"/>
      <c r="Q770" s="224"/>
      <c r="R770" s="224"/>
      <c r="S770" s="224"/>
      <c r="T770" s="224"/>
      <c r="U770" s="224"/>
      <c r="V770" s="224"/>
      <c r="W770" s="224"/>
      <c r="X770" s="224"/>
      <c r="Y770" s="222"/>
      <c r="Z770" s="222"/>
      <c r="AA770" s="224"/>
      <c r="AB770" s="224"/>
      <c r="AC770" s="224"/>
      <c r="AD770" s="224"/>
      <c r="AE770" s="224"/>
      <c r="AF770" s="224"/>
      <c r="AG770" s="224"/>
      <c r="AH770" s="224"/>
      <c r="AI770" s="224"/>
      <c r="AJ770" s="126"/>
      <c r="AK770" s="126"/>
      <c r="AL770" s="126"/>
      <c r="AM770" s="126"/>
      <c r="AN770" s="126"/>
    </row>
    <row r="771" spans="1:40" ht="15.75" customHeight="1">
      <c r="A771" s="221" t="str">
        <f t="shared" si="2"/>
        <v/>
      </c>
      <c r="B771" s="222"/>
      <c r="C771" s="222"/>
      <c r="D771" s="222" t="str">
        <f t="array" ref="D771">IF(F771="","",INDEX(#REF!,MATCH(F771,#REF!,0)))</f>
        <v/>
      </c>
      <c r="E771" s="222" t="str">
        <f t="array" ref="E771">IF(F771="","",INDEX(#REF!,MATCH(F771,#REF!,0)))</f>
        <v/>
      </c>
      <c r="F771" s="222"/>
      <c r="G771" s="222"/>
      <c r="H771" s="223"/>
      <c r="I771" s="222"/>
      <c r="J771" s="222"/>
      <c r="K771" s="222"/>
      <c r="L771" s="222"/>
      <c r="M771" s="222"/>
      <c r="N771" s="222"/>
      <c r="O771" s="222"/>
      <c r="P771" s="224"/>
      <c r="Q771" s="224"/>
      <c r="R771" s="224"/>
      <c r="S771" s="224"/>
      <c r="T771" s="224"/>
      <c r="U771" s="224"/>
      <c r="V771" s="224"/>
      <c r="W771" s="224"/>
      <c r="X771" s="224"/>
      <c r="Y771" s="222"/>
      <c r="Z771" s="222"/>
      <c r="AA771" s="224"/>
      <c r="AB771" s="224"/>
      <c r="AC771" s="224"/>
      <c r="AD771" s="224"/>
      <c r="AE771" s="224"/>
      <c r="AF771" s="224"/>
      <c r="AG771" s="224"/>
      <c r="AH771" s="224"/>
      <c r="AI771" s="224"/>
      <c r="AJ771" s="126"/>
      <c r="AK771" s="126"/>
      <c r="AL771" s="126"/>
      <c r="AM771" s="126"/>
      <c r="AN771" s="126"/>
    </row>
    <row r="772" spans="1:40" ht="15.75" customHeight="1">
      <c r="A772" s="221" t="str">
        <f t="shared" si="2"/>
        <v/>
      </c>
      <c r="B772" s="222"/>
      <c r="C772" s="222"/>
      <c r="D772" s="222" t="str">
        <f t="array" ref="D772">IF(F772="","",INDEX(#REF!,MATCH(F772,#REF!,0)))</f>
        <v/>
      </c>
      <c r="E772" s="222" t="str">
        <f t="array" ref="E772">IF(F772="","",INDEX(#REF!,MATCH(F772,#REF!,0)))</f>
        <v/>
      </c>
      <c r="F772" s="222"/>
      <c r="G772" s="222"/>
      <c r="H772" s="223"/>
      <c r="I772" s="222"/>
      <c r="J772" s="222"/>
      <c r="K772" s="222"/>
      <c r="L772" s="222"/>
      <c r="M772" s="222"/>
      <c r="N772" s="222"/>
      <c r="O772" s="222"/>
      <c r="P772" s="224"/>
      <c r="Q772" s="224"/>
      <c r="R772" s="224"/>
      <c r="S772" s="224"/>
      <c r="T772" s="224"/>
      <c r="U772" s="224"/>
      <c r="V772" s="224"/>
      <c r="W772" s="224"/>
      <c r="X772" s="224"/>
      <c r="Y772" s="222"/>
      <c r="Z772" s="222"/>
      <c r="AA772" s="224"/>
      <c r="AB772" s="224"/>
      <c r="AC772" s="224"/>
      <c r="AD772" s="224"/>
      <c r="AE772" s="224"/>
      <c r="AF772" s="224"/>
      <c r="AG772" s="224"/>
      <c r="AH772" s="224"/>
      <c r="AI772" s="224"/>
      <c r="AJ772" s="126"/>
      <c r="AK772" s="126"/>
      <c r="AL772" s="126"/>
      <c r="AM772" s="126"/>
      <c r="AN772" s="126"/>
    </row>
    <row r="773" spans="1:40" ht="15.75" customHeight="1">
      <c r="A773" s="221" t="str">
        <f t="shared" si="2"/>
        <v/>
      </c>
      <c r="B773" s="222"/>
      <c r="C773" s="222"/>
      <c r="D773" s="222" t="str">
        <f t="array" ref="D773">IF(F773="","",INDEX(#REF!,MATCH(F773,#REF!,0)))</f>
        <v/>
      </c>
      <c r="E773" s="222" t="str">
        <f t="array" ref="E773">IF(F773="","",INDEX(#REF!,MATCH(F773,#REF!,0)))</f>
        <v/>
      </c>
      <c r="F773" s="222"/>
      <c r="G773" s="222"/>
      <c r="H773" s="223"/>
      <c r="I773" s="222"/>
      <c r="J773" s="222"/>
      <c r="K773" s="222"/>
      <c r="L773" s="222"/>
      <c r="M773" s="222"/>
      <c r="N773" s="222"/>
      <c r="O773" s="222"/>
      <c r="P773" s="224"/>
      <c r="Q773" s="224"/>
      <c r="R773" s="224"/>
      <c r="S773" s="224"/>
      <c r="T773" s="224"/>
      <c r="U773" s="224"/>
      <c r="V773" s="224"/>
      <c r="W773" s="224"/>
      <c r="X773" s="224"/>
      <c r="Y773" s="222"/>
      <c r="Z773" s="222"/>
      <c r="AA773" s="224"/>
      <c r="AB773" s="224"/>
      <c r="AC773" s="224"/>
      <c r="AD773" s="224"/>
      <c r="AE773" s="224"/>
      <c r="AF773" s="224"/>
      <c r="AG773" s="224"/>
      <c r="AH773" s="224"/>
      <c r="AI773" s="224"/>
      <c r="AJ773" s="126"/>
      <c r="AK773" s="126"/>
      <c r="AL773" s="126"/>
      <c r="AM773" s="126"/>
      <c r="AN773" s="126"/>
    </row>
    <row r="774" spans="1:40" ht="15.75" customHeight="1">
      <c r="A774" s="221" t="str">
        <f t="shared" si="2"/>
        <v/>
      </c>
      <c r="B774" s="222"/>
      <c r="C774" s="222"/>
      <c r="D774" s="222" t="str">
        <f t="array" ref="D774">IF(F774="","",INDEX(#REF!,MATCH(F774,#REF!,0)))</f>
        <v/>
      </c>
      <c r="E774" s="222" t="str">
        <f t="array" ref="E774">IF(F774="","",INDEX(#REF!,MATCH(F774,#REF!,0)))</f>
        <v/>
      </c>
      <c r="F774" s="222"/>
      <c r="G774" s="222"/>
      <c r="H774" s="223"/>
      <c r="I774" s="222"/>
      <c r="J774" s="222"/>
      <c r="K774" s="222"/>
      <c r="L774" s="222"/>
      <c r="M774" s="222"/>
      <c r="N774" s="222"/>
      <c r="O774" s="222"/>
      <c r="P774" s="224"/>
      <c r="Q774" s="224"/>
      <c r="R774" s="224"/>
      <c r="S774" s="224"/>
      <c r="T774" s="224"/>
      <c r="U774" s="224"/>
      <c r="V774" s="224"/>
      <c r="W774" s="224"/>
      <c r="X774" s="224"/>
      <c r="Y774" s="222"/>
      <c r="Z774" s="222"/>
      <c r="AA774" s="224"/>
      <c r="AB774" s="224"/>
      <c r="AC774" s="224"/>
      <c r="AD774" s="224"/>
      <c r="AE774" s="224"/>
      <c r="AF774" s="224"/>
      <c r="AG774" s="224"/>
      <c r="AH774" s="224"/>
      <c r="AI774" s="224"/>
      <c r="AJ774" s="126"/>
      <c r="AK774" s="126"/>
      <c r="AL774" s="126"/>
      <c r="AM774" s="126"/>
      <c r="AN774" s="126"/>
    </row>
    <row r="775" spans="1:40" ht="15.75" customHeight="1">
      <c r="A775" s="221" t="str">
        <f t="shared" si="2"/>
        <v/>
      </c>
      <c r="B775" s="222"/>
      <c r="C775" s="222"/>
      <c r="D775" s="222" t="str">
        <f t="array" ref="D775">IF(F775="","",INDEX(#REF!,MATCH(F775,#REF!,0)))</f>
        <v/>
      </c>
      <c r="E775" s="222" t="str">
        <f t="array" ref="E775">IF(F775="","",INDEX(#REF!,MATCH(F775,#REF!,0)))</f>
        <v/>
      </c>
      <c r="F775" s="222"/>
      <c r="G775" s="222"/>
      <c r="H775" s="223"/>
      <c r="I775" s="222"/>
      <c r="J775" s="222"/>
      <c r="K775" s="222"/>
      <c r="L775" s="222"/>
      <c r="M775" s="222"/>
      <c r="N775" s="222"/>
      <c r="O775" s="222"/>
      <c r="P775" s="224"/>
      <c r="Q775" s="224"/>
      <c r="R775" s="224"/>
      <c r="S775" s="224"/>
      <c r="T775" s="224"/>
      <c r="U775" s="224"/>
      <c r="V775" s="224"/>
      <c r="W775" s="224"/>
      <c r="X775" s="224"/>
      <c r="Y775" s="222"/>
      <c r="Z775" s="222"/>
      <c r="AA775" s="224"/>
      <c r="AB775" s="224"/>
      <c r="AC775" s="224"/>
      <c r="AD775" s="224"/>
      <c r="AE775" s="224"/>
      <c r="AF775" s="224"/>
      <c r="AG775" s="224"/>
      <c r="AH775" s="224"/>
      <c r="AI775" s="224"/>
      <c r="AJ775" s="126"/>
      <c r="AK775" s="126"/>
      <c r="AL775" s="126"/>
      <c r="AM775" s="126"/>
      <c r="AN775" s="126"/>
    </row>
    <row r="776" spans="1:40" ht="15.75" customHeight="1">
      <c r="A776" s="221" t="str">
        <f t="shared" si="2"/>
        <v/>
      </c>
      <c r="B776" s="222"/>
      <c r="C776" s="222"/>
      <c r="D776" s="222" t="str">
        <f t="array" ref="D776">IF(F776="","",INDEX(#REF!,MATCH(F776,#REF!,0)))</f>
        <v/>
      </c>
      <c r="E776" s="222" t="str">
        <f t="array" ref="E776">IF(F776="","",INDEX(#REF!,MATCH(F776,#REF!,0)))</f>
        <v/>
      </c>
      <c r="F776" s="222"/>
      <c r="G776" s="222"/>
      <c r="H776" s="223"/>
      <c r="I776" s="222"/>
      <c r="J776" s="222"/>
      <c r="K776" s="222"/>
      <c r="L776" s="222"/>
      <c r="M776" s="222"/>
      <c r="N776" s="222"/>
      <c r="O776" s="222"/>
      <c r="P776" s="224"/>
      <c r="Q776" s="224"/>
      <c r="R776" s="224"/>
      <c r="S776" s="224"/>
      <c r="T776" s="224"/>
      <c r="U776" s="224"/>
      <c r="V776" s="224"/>
      <c r="W776" s="224"/>
      <c r="X776" s="224"/>
      <c r="Y776" s="222"/>
      <c r="Z776" s="222"/>
      <c r="AA776" s="224"/>
      <c r="AB776" s="224"/>
      <c r="AC776" s="224"/>
      <c r="AD776" s="224"/>
      <c r="AE776" s="224"/>
      <c r="AF776" s="224"/>
      <c r="AG776" s="224"/>
      <c r="AH776" s="224"/>
      <c r="AI776" s="224"/>
      <c r="AJ776" s="126"/>
      <c r="AK776" s="126"/>
      <c r="AL776" s="126"/>
      <c r="AM776" s="126"/>
      <c r="AN776" s="126"/>
    </row>
    <row r="777" spans="1:40" ht="15.75" customHeight="1">
      <c r="A777" s="221" t="str">
        <f t="shared" si="2"/>
        <v/>
      </c>
      <c r="B777" s="222"/>
      <c r="C777" s="222"/>
      <c r="D777" s="222" t="str">
        <f t="array" ref="D777">IF(F777="","",INDEX(#REF!,MATCH(F777,#REF!,0)))</f>
        <v/>
      </c>
      <c r="E777" s="222" t="str">
        <f t="array" ref="E777">IF(F777="","",INDEX(#REF!,MATCH(F777,#REF!,0)))</f>
        <v/>
      </c>
      <c r="F777" s="222"/>
      <c r="G777" s="222"/>
      <c r="H777" s="223"/>
      <c r="I777" s="222"/>
      <c r="J777" s="222"/>
      <c r="K777" s="222"/>
      <c r="L777" s="222"/>
      <c r="M777" s="222"/>
      <c r="N777" s="222"/>
      <c r="O777" s="222"/>
      <c r="P777" s="224"/>
      <c r="Q777" s="224"/>
      <c r="R777" s="224"/>
      <c r="S777" s="224"/>
      <c r="T777" s="224"/>
      <c r="U777" s="224"/>
      <c r="V777" s="224"/>
      <c r="W777" s="224"/>
      <c r="X777" s="224"/>
      <c r="Y777" s="222"/>
      <c r="Z777" s="222"/>
      <c r="AA777" s="224"/>
      <c r="AB777" s="224"/>
      <c r="AC777" s="224"/>
      <c r="AD777" s="224"/>
      <c r="AE777" s="224"/>
      <c r="AF777" s="224"/>
      <c r="AG777" s="224"/>
      <c r="AH777" s="224"/>
      <c r="AI777" s="224"/>
      <c r="AJ777" s="126"/>
      <c r="AK777" s="126"/>
      <c r="AL777" s="126"/>
      <c r="AM777" s="126"/>
      <c r="AN777" s="126"/>
    </row>
    <row r="778" spans="1:40" ht="15.75" customHeight="1">
      <c r="A778" s="221" t="str">
        <f t="shared" si="2"/>
        <v/>
      </c>
      <c r="B778" s="222"/>
      <c r="C778" s="222"/>
      <c r="D778" s="222" t="str">
        <f t="array" ref="D778">IF(F778="","",INDEX(#REF!,MATCH(F778,#REF!,0)))</f>
        <v/>
      </c>
      <c r="E778" s="222" t="str">
        <f t="array" ref="E778">IF(F778="","",INDEX(#REF!,MATCH(F778,#REF!,0)))</f>
        <v/>
      </c>
      <c r="F778" s="222"/>
      <c r="G778" s="222"/>
      <c r="H778" s="223"/>
      <c r="I778" s="222"/>
      <c r="J778" s="222"/>
      <c r="K778" s="222"/>
      <c r="L778" s="222"/>
      <c r="M778" s="222"/>
      <c r="N778" s="222"/>
      <c r="O778" s="222"/>
      <c r="P778" s="224"/>
      <c r="Q778" s="224"/>
      <c r="R778" s="224"/>
      <c r="S778" s="224"/>
      <c r="T778" s="224"/>
      <c r="U778" s="224"/>
      <c r="V778" s="224"/>
      <c r="W778" s="224"/>
      <c r="X778" s="224"/>
      <c r="Y778" s="222"/>
      <c r="Z778" s="222"/>
      <c r="AA778" s="224"/>
      <c r="AB778" s="224"/>
      <c r="AC778" s="224"/>
      <c r="AD778" s="224"/>
      <c r="AE778" s="224"/>
      <c r="AF778" s="224"/>
      <c r="AG778" s="224"/>
      <c r="AH778" s="224"/>
      <c r="AI778" s="224"/>
      <c r="AJ778" s="126"/>
      <c r="AK778" s="126"/>
      <c r="AL778" s="126"/>
      <c r="AM778" s="126"/>
      <c r="AN778" s="126"/>
    </row>
    <row r="779" spans="1:40" ht="15.75" customHeight="1">
      <c r="A779" s="221" t="str">
        <f t="shared" si="2"/>
        <v/>
      </c>
      <c r="B779" s="222"/>
      <c r="C779" s="222"/>
      <c r="D779" s="222" t="str">
        <f t="array" ref="D779">IF(F779="","",INDEX(#REF!,MATCH(F779,#REF!,0)))</f>
        <v/>
      </c>
      <c r="E779" s="222" t="str">
        <f t="array" ref="E779">IF(F779="","",INDEX(#REF!,MATCH(F779,#REF!,0)))</f>
        <v/>
      </c>
      <c r="F779" s="222"/>
      <c r="G779" s="222"/>
      <c r="H779" s="223"/>
      <c r="I779" s="222"/>
      <c r="J779" s="222"/>
      <c r="K779" s="222"/>
      <c r="L779" s="222"/>
      <c r="M779" s="222"/>
      <c r="N779" s="222"/>
      <c r="O779" s="222"/>
      <c r="P779" s="224"/>
      <c r="Q779" s="224"/>
      <c r="R779" s="224"/>
      <c r="S779" s="224"/>
      <c r="T779" s="224"/>
      <c r="U779" s="224"/>
      <c r="V779" s="224"/>
      <c r="W779" s="224"/>
      <c r="X779" s="224"/>
      <c r="Y779" s="222"/>
      <c r="Z779" s="222"/>
      <c r="AA779" s="224"/>
      <c r="AB779" s="224"/>
      <c r="AC779" s="224"/>
      <c r="AD779" s="224"/>
      <c r="AE779" s="224"/>
      <c r="AF779" s="224"/>
      <c r="AG779" s="224"/>
      <c r="AH779" s="224"/>
      <c r="AI779" s="224"/>
      <c r="AJ779" s="126"/>
      <c r="AK779" s="126"/>
      <c r="AL779" s="126"/>
      <c r="AM779" s="126"/>
      <c r="AN779" s="126"/>
    </row>
    <row r="780" spans="1:40" ht="15.75" customHeight="1">
      <c r="A780" s="221" t="str">
        <f t="shared" si="2"/>
        <v/>
      </c>
      <c r="B780" s="222"/>
      <c r="C780" s="222"/>
      <c r="D780" s="222" t="str">
        <f t="array" ref="D780">IF(F780="","",INDEX(#REF!,MATCH(F780,#REF!,0)))</f>
        <v/>
      </c>
      <c r="E780" s="222" t="str">
        <f t="array" ref="E780">IF(F780="","",INDEX(#REF!,MATCH(F780,#REF!,0)))</f>
        <v/>
      </c>
      <c r="F780" s="222"/>
      <c r="G780" s="222"/>
      <c r="H780" s="223"/>
      <c r="I780" s="222"/>
      <c r="J780" s="222"/>
      <c r="K780" s="222"/>
      <c r="L780" s="222"/>
      <c r="M780" s="222"/>
      <c r="N780" s="222"/>
      <c r="O780" s="222"/>
      <c r="P780" s="224"/>
      <c r="Q780" s="224"/>
      <c r="R780" s="224"/>
      <c r="S780" s="224"/>
      <c r="T780" s="224"/>
      <c r="U780" s="224"/>
      <c r="V780" s="224"/>
      <c r="W780" s="224"/>
      <c r="X780" s="224"/>
      <c r="Y780" s="222"/>
      <c r="Z780" s="222"/>
      <c r="AA780" s="224"/>
      <c r="AB780" s="224"/>
      <c r="AC780" s="224"/>
      <c r="AD780" s="224"/>
      <c r="AE780" s="224"/>
      <c r="AF780" s="224"/>
      <c r="AG780" s="224"/>
      <c r="AH780" s="224"/>
      <c r="AI780" s="224"/>
      <c r="AJ780" s="126"/>
      <c r="AK780" s="126"/>
      <c r="AL780" s="126"/>
      <c r="AM780" s="126"/>
      <c r="AN780" s="126"/>
    </row>
    <row r="781" spans="1:40" ht="15.75" customHeight="1">
      <c r="A781" s="221" t="str">
        <f t="shared" si="2"/>
        <v/>
      </c>
      <c r="B781" s="222"/>
      <c r="C781" s="222"/>
      <c r="D781" s="222" t="str">
        <f t="array" ref="D781">IF(F781="","",INDEX(#REF!,MATCH(F781,#REF!,0)))</f>
        <v/>
      </c>
      <c r="E781" s="222" t="str">
        <f t="array" ref="E781">IF(F781="","",INDEX(#REF!,MATCH(F781,#REF!,0)))</f>
        <v/>
      </c>
      <c r="F781" s="222"/>
      <c r="G781" s="222"/>
      <c r="H781" s="223"/>
      <c r="I781" s="222"/>
      <c r="J781" s="222"/>
      <c r="K781" s="222"/>
      <c r="L781" s="222"/>
      <c r="M781" s="222"/>
      <c r="N781" s="222"/>
      <c r="O781" s="222"/>
      <c r="P781" s="224"/>
      <c r="Q781" s="224"/>
      <c r="R781" s="224"/>
      <c r="S781" s="224"/>
      <c r="T781" s="224"/>
      <c r="U781" s="224"/>
      <c r="V781" s="224"/>
      <c r="W781" s="224"/>
      <c r="X781" s="224"/>
      <c r="Y781" s="222"/>
      <c r="Z781" s="222"/>
      <c r="AA781" s="224"/>
      <c r="AB781" s="224"/>
      <c r="AC781" s="224"/>
      <c r="AD781" s="224"/>
      <c r="AE781" s="224"/>
      <c r="AF781" s="224"/>
      <c r="AG781" s="224"/>
      <c r="AH781" s="224"/>
      <c r="AI781" s="224"/>
      <c r="AJ781" s="126"/>
      <c r="AK781" s="126"/>
      <c r="AL781" s="126"/>
      <c r="AM781" s="126"/>
      <c r="AN781" s="126"/>
    </row>
    <row r="782" spans="1:40" ht="15.75" customHeight="1">
      <c r="A782" s="221" t="str">
        <f t="shared" si="2"/>
        <v/>
      </c>
      <c r="B782" s="222"/>
      <c r="C782" s="222"/>
      <c r="D782" s="222" t="str">
        <f t="array" ref="D782">IF(F782="","",INDEX(#REF!,MATCH(F782,#REF!,0)))</f>
        <v/>
      </c>
      <c r="E782" s="222" t="str">
        <f t="array" ref="E782">IF(F782="","",INDEX(#REF!,MATCH(F782,#REF!,0)))</f>
        <v/>
      </c>
      <c r="F782" s="222"/>
      <c r="G782" s="222"/>
      <c r="H782" s="223"/>
      <c r="I782" s="222"/>
      <c r="J782" s="222"/>
      <c r="K782" s="222"/>
      <c r="L782" s="222"/>
      <c r="M782" s="222"/>
      <c r="N782" s="222"/>
      <c r="O782" s="222"/>
      <c r="P782" s="224"/>
      <c r="Q782" s="224"/>
      <c r="R782" s="224"/>
      <c r="S782" s="224"/>
      <c r="T782" s="224"/>
      <c r="U782" s="224"/>
      <c r="V782" s="224"/>
      <c r="W782" s="224"/>
      <c r="X782" s="224"/>
      <c r="Y782" s="222"/>
      <c r="Z782" s="222"/>
      <c r="AA782" s="224"/>
      <c r="AB782" s="224"/>
      <c r="AC782" s="224"/>
      <c r="AD782" s="224"/>
      <c r="AE782" s="224"/>
      <c r="AF782" s="224"/>
      <c r="AG782" s="224"/>
      <c r="AH782" s="224"/>
      <c r="AI782" s="224"/>
      <c r="AJ782" s="126"/>
      <c r="AK782" s="126"/>
      <c r="AL782" s="126"/>
      <c r="AM782" s="126"/>
      <c r="AN782" s="126"/>
    </row>
    <row r="783" spans="1:40" ht="15.75" customHeight="1">
      <c r="A783" s="221" t="str">
        <f t="shared" si="2"/>
        <v/>
      </c>
      <c r="B783" s="222"/>
      <c r="C783" s="222"/>
      <c r="D783" s="222" t="str">
        <f t="array" ref="D783">IF(F783="","",INDEX(#REF!,MATCH(F783,#REF!,0)))</f>
        <v/>
      </c>
      <c r="E783" s="222" t="str">
        <f t="array" ref="E783">IF(F783="","",INDEX(#REF!,MATCH(F783,#REF!,0)))</f>
        <v/>
      </c>
      <c r="F783" s="222"/>
      <c r="G783" s="222"/>
      <c r="H783" s="223"/>
      <c r="I783" s="222"/>
      <c r="J783" s="222"/>
      <c r="K783" s="222"/>
      <c r="L783" s="222"/>
      <c r="M783" s="222"/>
      <c r="N783" s="222"/>
      <c r="O783" s="222"/>
      <c r="P783" s="224"/>
      <c r="Q783" s="224"/>
      <c r="R783" s="224"/>
      <c r="S783" s="224"/>
      <c r="T783" s="224"/>
      <c r="U783" s="224"/>
      <c r="V783" s="224"/>
      <c r="W783" s="224"/>
      <c r="X783" s="224"/>
      <c r="Y783" s="222"/>
      <c r="Z783" s="222"/>
      <c r="AA783" s="224"/>
      <c r="AB783" s="224"/>
      <c r="AC783" s="224"/>
      <c r="AD783" s="224"/>
      <c r="AE783" s="224"/>
      <c r="AF783" s="224"/>
      <c r="AG783" s="224"/>
      <c r="AH783" s="224"/>
      <c r="AI783" s="224"/>
      <c r="AJ783" s="126"/>
      <c r="AK783" s="126"/>
      <c r="AL783" s="126"/>
      <c r="AM783" s="126"/>
      <c r="AN783" s="126"/>
    </row>
    <row r="784" spans="1:40" ht="15.75" customHeight="1">
      <c r="A784" s="221" t="str">
        <f t="shared" si="2"/>
        <v/>
      </c>
      <c r="B784" s="222"/>
      <c r="C784" s="222"/>
      <c r="D784" s="222" t="str">
        <f t="array" ref="D784">IF(F784="","",INDEX(#REF!,MATCH(F784,#REF!,0)))</f>
        <v/>
      </c>
      <c r="E784" s="222" t="str">
        <f t="array" ref="E784">IF(F784="","",INDEX(#REF!,MATCH(F784,#REF!,0)))</f>
        <v/>
      </c>
      <c r="F784" s="222"/>
      <c r="G784" s="222"/>
      <c r="H784" s="223"/>
      <c r="I784" s="222"/>
      <c r="J784" s="222"/>
      <c r="K784" s="222"/>
      <c r="L784" s="222"/>
      <c r="M784" s="222"/>
      <c r="N784" s="222"/>
      <c r="O784" s="222"/>
      <c r="P784" s="224"/>
      <c r="Q784" s="224"/>
      <c r="R784" s="224"/>
      <c r="S784" s="224"/>
      <c r="T784" s="224"/>
      <c r="U784" s="224"/>
      <c r="V784" s="224"/>
      <c r="W784" s="224"/>
      <c r="X784" s="224"/>
      <c r="Y784" s="222"/>
      <c r="Z784" s="222"/>
      <c r="AA784" s="224"/>
      <c r="AB784" s="224"/>
      <c r="AC784" s="224"/>
      <c r="AD784" s="224"/>
      <c r="AE784" s="224"/>
      <c r="AF784" s="224"/>
      <c r="AG784" s="224"/>
      <c r="AH784" s="224"/>
      <c r="AI784" s="224"/>
      <c r="AJ784" s="126"/>
      <c r="AK784" s="126"/>
      <c r="AL784" s="126"/>
      <c r="AM784" s="126"/>
      <c r="AN784" s="126"/>
    </row>
    <row r="785" spans="1:40" ht="15.75" customHeight="1">
      <c r="A785" s="221" t="str">
        <f t="shared" si="2"/>
        <v/>
      </c>
      <c r="B785" s="222"/>
      <c r="C785" s="222"/>
      <c r="D785" s="222" t="str">
        <f t="array" ref="D785">IF(F785="","",INDEX(#REF!,MATCH(F785,#REF!,0)))</f>
        <v/>
      </c>
      <c r="E785" s="222" t="str">
        <f t="array" ref="E785">IF(F785="","",INDEX(#REF!,MATCH(F785,#REF!,0)))</f>
        <v/>
      </c>
      <c r="F785" s="222"/>
      <c r="G785" s="222"/>
      <c r="H785" s="223"/>
      <c r="I785" s="222"/>
      <c r="J785" s="222"/>
      <c r="K785" s="222"/>
      <c r="L785" s="222"/>
      <c r="M785" s="222"/>
      <c r="N785" s="222"/>
      <c r="O785" s="222"/>
      <c r="P785" s="224"/>
      <c r="Q785" s="224"/>
      <c r="R785" s="224"/>
      <c r="S785" s="224"/>
      <c r="T785" s="224"/>
      <c r="U785" s="224"/>
      <c r="V785" s="224"/>
      <c r="W785" s="224"/>
      <c r="X785" s="224"/>
      <c r="Y785" s="222"/>
      <c r="Z785" s="222"/>
      <c r="AA785" s="224"/>
      <c r="AB785" s="224"/>
      <c r="AC785" s="224"/>
      <c r="AD785" s="224"/>
      <c r="AE785" s="224"/>
      <c r="AF785" s="224"/>
      <c r="AG785" s="224"/>
      <c r="AH785" s="224"/>
      <c r="AI785" s="224"/>
      <c r="AJ785" s="126"/>
      <c r="AK785" s="126"/>
      <c r="AL785" s="126"/>
      <c r="AM785" s="126"/>
      <c r="AN785" s="126"/>
    </row>
    <row r="786" spans="1:40" ht="15.75" customHeight="1">
      <c r="A786" s="221" t="str">
        <f t="shared" si="2"/>
        <v/>
      </c>
      <c r="B786" s="222"/>
      <c r="C786" s="222"/>
      <c r="D786" s="222" t="str">
        <f t="array" ref="D786">IF(F786="","",INDEX(#REF!,MATCH(F786,#REF!,0)))</f>
        <v/>
      </c>
      <c r="E786" s="222" t="str">
        <f t="array" ref="E786">IF(F786="","",INDEX(#REF!,MATCH(F786,#REF!,0)))</f>
        <v/>
      </c>
      <c r="F786" s="222"/>
      <c r="G786" s="222"/>
      <c r="H786" s="223"/>
      <c r="I786" s="222"/>
      <c r="J786" s="222"/>
      <c r="K786" s="222"/>
      <c r="L786" s="222"/>
      <c r="M786" s="222"/>
      <c r="N786" s="222"/>
      <c r="O786" s="222"/>
      <c r="P786" s="224"/>
      <c r="Q786" s="224"/>
      <c r="R786" s="224"/>
      <c r="S786" s="224"/>
      <c r="T786" s="224"/>
      <c r="U786" s="224"/>
      <c r="V786" s="224"/>
      <c r="W786" s="224"/>
      <c r="X786" s="224"/>
      <c r="Y786" s="222"/>
      <c r="Z786" s="222"/>
      <c r="AA786" s="224"/>
      <c r="AB786" s="224"/>
      <c r="AC786" s="224"/>
      <c r="AD786" s="224"/>
      <c r="AE786" s="224"/>
      <c r="AF786" s="224"/>
      <c r="AG786" s="224"/>
      <c r="AH786" s="224"/>
      <c r="AI786" s="224"/>
      <c r="AJ786" s="126"/>
      <c r="AK786" s="126"/>
      <c r="AL786" s="126"/>
      <c r="AM786" s="126"/>
      <c r="AN786" s="126"/>
    </row>
    <row r="787" spans="1:40" ht="15.75" customHeight="1">
      <c r="A787" s="221" t="str">
        <f t="shared" si="2"/>
        <v/>
      </c>
      <c r="B787" s="222"/>
      <c r="C787" s="222"/>
      <c r="D787" s="222" t="str">
        <f t="array" ref="D787">IF(F787="","",INDEX(#REF!,MATCH(F787,#REF!,0)))</f>
        <v/>
      </c>
      <c r="E787" s="222" t="str">
        <f t="array" ref="E787">IF(F787="","",INDEX(#REF!,MATCH(F787,#REF!,0)))</f>
        <v/>
      </c>
      <c r="F787" s="222"/>
      <c r="G787" s="222"/>
      <c r="H787" s="223"/>
      <c r="I787" s="222"/>
      <c r="J787" s="222"/>
      <c r="K787" s="222"/>
      <c r="L787" s="222"/>
      <c r="M787" s="222"/>
      <c r="N787" s="222"/>
      <c r="O787" s="222"/>
      <c r="P787" s="224"/>
      <c r="Q787" s="224"/>
      <c r="R787" s="224"/>
      <c r="S787" s="224"/>
      <c r="T787" s="224"/>
      <c r="U787" s="224"/>
      <c r="V787" s="224"/>
      <c r="W787" s="224"/>
      <c r="X787" s="224"/>
      <c r="Y787" s="222"/>
      <c r="Z787" s="222"/>
      <c r="AA787" s="224"/>
      <c r="AB787" s="224"/>
      <c r="AC787" s="224"/>
      <c r="AD787" s="224"/>
      <c r="AE787" s="224"/>
      <c r="AF787" s="224"/>
      <c r="AG787" s="224"/>
      <c r="AH787" s="224"/>
      <c r="AI787" s="224"/>
      <c r="AJ787" s="126"/>
      <c r="AK787" s="126"/>
      <c r="AL787" s="126"/>
      <c r="AM787" s="126"/>
      <c r="AN787" s="126"/>
    </row>
    <row r="788" spans="1:40" ht="15.75" customHeight="1">
      <c r="A788" s="221" t="str">
        <f t="shared" si="2"/>
        <v/>
      </c>
      <c r="B788" s="222"/>
      <c r="C788" s="222"/>
      <c r="D788" s="222" t="str">
        <f t="array" ref="D788">IF(F788="","",INDEX(#REF!,MATCH(F788,#REF!,0)))</f>
        <v/>
      </c>
      <c r="E788" s="222" t="str">
        <f t="array" ref="E788">IF(F788="","",INDEX(#REF!,MATCH(F788,#REF!,0)))</f>
        <v/>
      </c>
      <c r="F788" s="222"/>
      <c r="G788" s="222"/>
      <c r="H788" s="223"/>
      <c r="I788" s="222"/>
      <c r="J788" s="222"/>
      <c r="K788" s="222"/>
      <c r="L788" s="222"/>
      <c r="M788" s="222"/>
      <c r="N788" s="222"/>
      <c r="O788" s="222"/>
      <c r="P788" s="224"/>
      <c r="Q788" s="224"/>
      <c r="R788" s="224"/>
      <c r="S788" s="224"/>
      <c r="T788" s="224"/>
      <c r="U788" s="224"/>
      <c r="V788" s="224"/>
      <c r="W788" s="224"/>
      <c r="X788" s="224"/>
      <c r="Y788" s="222"/>
      <c r="Z788" s="222"/>
      <c r="AA788" s="224"/>
      <c r="AB788" s="224"/>
      <c r="AC788" s="224"/>
      <c r="AD788" s="224"/>
      <c r="AE788" s="224"/>
      <c r="AF788" s="224"/>
      <c r="AG788" s="224"/>
      <c r="AH788" s="224"/>
      <c r="AI788" s="224"/>
      <c r="AJ788" s="126"/>
      <c r="AK788" s="126"/>
      <c r="AL788" s="126"/>
      <c r="AM788" s="126"/>
      <c r="AN788" s="126"/>
    </row>
    <row r="789" spans="1:40" ht="15.75" customHeight="1">
      <c r="A789" s="221" t="str">
        <f t="shared" si="2"/>
        <v/>
      </c>
      <c r="B789" s="222"/>
      <c r="C789" s="222"/>
      <c r="D789" s="222" t="str">
        <f t="array" ref="D789">IF(F789="","",INDEX(#REF!,MATCH(F789,#REF!,0)))</f>
        <v/>
      </c>
      <c r="E789" s="222" t="str">
        <f t="array" ref="E789">IF(F789="","",INDEX(#REF!,MATCH(F789,#REF!,0)))</f>
        <v/>
      </c>
      <c r="F789" s="222"/>
      <c r="G789" s="222"/>
      <c r="H789" s="223"/>
      <c r="I789" s="222"/>
      <c r="J789" s="222"/>
      <c r="K789" s="222"/>
      <c r="L789" s="222"/>
      <c r="M789" s="222"/>
      <c r="N789" s="222"/>
      <c r="O789" s="222"/>
      <c r="P789" s="224"/>
      <c r="Q789" s="224"/>
      <c r="R789" s="224"/>
      <c r="S789" s="224"/>
      <c r="T789" s="224"/>
      <c r="U789" s="224"/>
      <c r="V789" s="224"/>
      <c r="W789" s="224"/>
      <c r="X789" s="224"/>
      <c r="Y789" s="222"/>
      <c r="Z789" s="222"/>
      <c r="AA789" s="224"/>
      <c r="AB789" s="224"/>
      <c r="AC789" s="224"/>
      <c r="AD789" s="224"/>
      <c r="AE789" s="224"/>
      <c r="AF789" s="224"/>
      <c r="AG789" s="224"/>
      <c r="AH789" s="224"/>
      <c r="AI789" s="224"/>
      <c r="AJ789" s="126"/>
      <c r="AK789" s="126"/>
      <c r="AL789" s="126"/>
      <c r="AM789" s="126"/>
      <c r="AN789" s="126"/>
    </row>
    <row r="790" spans="1:40" ht="15.75" customHeight="1">
      <c r="A790" s="221" t="str">
        <f t="shared" si="2"/>
        <v/>
      </c>
      <c r="B790" s="222"/>
      <c r="C790" s="222"/>
      <c r="D790" s="222" t="str">
        <f t="array" ref="D790">IF(F790="","",INDEX(#REF!,MATCH(F790,#REF!,0)))</f>
        <v/>
      </c>
      <c r="E790" s="222" t="str">
        <f t="array" ref="E790">IF(F790="","",INDEX(#REF!,MATCH(F790,#REF!,0)))</f>
        <v/>
      </c>
      <c r="F790" s="222"/>
      <c r="G790" s="222"/>
      <c r="H790" s="223"/>
      <c r="I790" s="222"/>
      <c r="J790" s="222"/>
      <c r="K790" s="222"/>
      <c r="L790" s="222"/>
      <c r="M790" s="222"/>
      <c r="N790" s="222"/>
      <c r="O790" s="222"/>
      <c r="P790" s="224"/>
      <c r="Q790" s="224"/>
      <c r="R790" s="224"/>
      <c r="S790" s="224"/>
      <c r="T790" s="224"/>
      <c r="U790" s="224"/>
      <c r="V790" s="224"/>
      <c r="W790" s="224"/>
      <c r="X790" s="224"/>
      <c r="Y790" s="222"/>
      <c r="Z790" s="222"/>
      <c r="AA790" s="224"/>
      <c r="AB790" s="224"/>
      <c r="AC790" s="224"/>
      <c r="AD790" s="224"/>
      <c r="AE790" s="224"/>
      <c r="AF790" s="224"/>
      <c r="AG790" s="224"/>
      <c r="AH790" s="224"/>
      <c r="AI790" s="224"/>
      <c r="AJ790" s="126"/>
      <c r="AK790" s="126"/>
      <c r="AL790" s="126"/>
      <c r="AM790" s="126"/>
      <c r="AN790" s="126"/>
    </row>
    <row r="791" spans="1:40" ht="15.75" customHeight="1">
      <c r="A791" s="221" t="str">
        <f t="shared" si="2"/>
        <v/>
      </c>
      <c r="B791" s="222"/>
      <c r="C791" s="222"/>
      <c r="D791" s="222" t="str">
        <f t="array" ref="D791">IF(F791="","",INDEX(#REF!,MATCH(F791,#REF!,0)))</f>
        <v/>
      </c>
      <c r="E791" s="222" t="str">
        <f t="array" ref="E791">IF(F791="","",INDEX(#REF!,MATCH(F791,#REF!,0)))</f>
        <v/>
      </c>
      <c r="F791" s="222"/>
      <c r="G791" s="222"/>
      <c r="H791" s="223"/>
      <c r="I791" s="222"/>
      <c r="J791" s="222"/>
      <c r="K791" s="222"/>
      <c r="L791" s="222"/>
      <c r="M791" s="222"/>
      <c r="N791" s="222"/>
      <c r="O791" s="222"/>
      <c r="P791" s="224"/>
      <c r="Q791" s="224"/>
      <c r="R791" s="224"/>
      <c r="S791" s="224"/>
      <c r="T791" s="224"/>
      <c r="U791" s="224"/>
      <c r="V791" s="224"/>
      <c r="W791" s="224"/>
      <c r="X791" s="224"/>
      <c r="Y791" s="222"/>
      <c r="Z791" s="222"/>
      <c r="AA791" s="224"/>
      <c r="AB791" s="224"/>
      <c r="AC791" s="224"/>
      <c r="AD791" s="224"/>
      <c r="AE791" s="224"/>
      <c r="AF791" s="224"/>
      <c r="AG791" s="224"/>
      <c r="AH791" s="224"/>
      <c r="AI791" s="224"/>
      <c r="AJ791" s="126"/>
      <c r="AK791" s="126"/>
      <c r="AL791" s="126"/>
      <c r="AM791" s="126"/>
      <c r="AN791" s="126"/>
    </row>
    <row r="792" spans="1:40" ht="15.75" customHeight="1">
      <c r="A792" s="221" t="str">
        <f t="shared" si="2"/>
        <v/>
      </c>
      <c r="B792" s="222"/>
      <c r="C792" s="222"/>
      <c r="D792" s="222" t="str">
        <f t="array" ref="D792">IF(F792="","",INDEX(#REF!,MATCH(F792,#REF!,0)))</f>
        <v/>
      </c>
      <c r="E792" s="222" t="str">
        <f t="array" ref="E792">IF(F792="","",INDEX(#REF!,MATCH(F792,#REF!,0)))</f>
        <v/>
      </c>
      <c r="F792" s="222"/>
      <c r="G792" s="222"/>
      <c r="H792" s="223"/>
      <c r="I792" s="222"/>
      <c r="J792" s="222"/>
      <c r="K792" s="222"/>
      <c r="L792" s="222"/>
      <c r="M792" s="222"/>
      <c r="N792" s="222"/>
      <c r="O792" s="222"/>
      <c r="P792" s="224"/>
      <c r="Q792" s="224"/>
      <c r="R792" s="224"/>
      <c r="S792" s="224"/>
      <c r="T792" s="224"/>
      <c r="U792" s="224"/>
      <c r="V792" s="224"/>
      <c r="W792" s="224"/>
      <c r="X792" s="224"/>
      <c r="Y792" s="222"/>
      <c r="Z792" s="222"/>
      <c r="AA792" s="224"/>
      <c r="AB792" s="224"/>
      <c r="AC792" s="224"/>
      <c r="AD792" s="224"/>
      <c r="AE792" s="224"/>
      <c r="AF792" s="224"/>
      <c r="AG792" s="224"/>
      <c r="AH792" s="224"/>
      <c r="AI792" s="224"/>
      <c r="AJ792" s="126"/>
      <c r="AK792" s="126"/>
      <c r="AL792" s="126"/>
      <c r="AM792" s="126"/>
      <c r="AN792" s="126"/>
    </row>
    <row r="793" spans="1:40" ht="15.75" customHeight="1">
      <c r="A793" s="221" t="str">
        <f t="shared" si="2"/>
        <v/>
      </c>
      <c r="B793" s="222"/>
      <c r="C793" s="222"/>
      <c r="D793" s="222" t="str">
        <f t="array" ref="D793">IF(F793="","",INDEX(#REF!,MATCH(F793,#REF!,0)))</f>
        <v/>
      </c>
      <c r="E793" s="222" t="str">
        <f t="array" ref="E793">IF(F793="","",INDEX(#REF!,MATCH(F793,#REF!,0)))</f>
        <v/>
      </c>
      <c r="F793" s="222"/>
      <c r="G793" s="222"/>
      <c r="H793" s="223"/>
      <c r="I793" s="222"/>
      <c r="J793" s="222"/>
      <c r="K793" s="222"/>
      <c r="L793" s="222"/>
      <c r="M793" s="222"/>
      <c r="N793" s="222"/>
      <c r="O793" s="222"/>
      <c r="P793" s="224"/>
      <c r="Q793" s="224"/>
      <c r="R793" s="224"/>
      <c r="S793" s="224"/>
      <c r="T793" s="224"/>
      <c r="U793" s="224"/>
      <c r="V793" s="224"/>
      <c r="W793" s="224"/>
      <c r="X793" s="224"/>
      <c r="Y793" s="222"/>
      <c r="Z793" s="222"/>
      <c r="AA793" s="224"/>
      <c r="AB793" s="224"/>
      <c r="AC793" s="224"/>
      <c r="AD793" s="224"/>
      <c r="AE793" s="224"/>
      <c r="AF793" s="224"/>
      <c r="AG793" s="224"/>
      <c r="AH793" s="224"/>
      <c r="AI793" s="224"/>
      <c r="AJ793" s="126"/>
      <c r="AK793" s="126"/>
      <c r="AL793" s="126"/>
      <c r="AM793" s="126"/>
      <c r="AN793" s="126"/>
    </row>
    <row r="794" spans="1:40" ht="15.75" customHeight="1">
      <c r="A794" s="221" t="str">
        <f t="shared" si="2"/>
        <v/>
      </c>
      <c r="B794" s="222"/>
      <c r="C794" s="222"/>
      <c r="D794" s="222" t="str">
        <f t="array" ref="D794">IF(F794="","",INDEX(#REF!,MATCH(F794,#REF!,0)))</f>
        <v/>
      </c>
      <c r="E794" s="222" t="str">
        <f t="array" ref="E794">IF(F794="","",INDEX(#REF!,MATCH(F794,#REF!,0)))</f>
        <v/>
      </c>
      <c r="F794" s="222"/>
      <c r="G794" s="222"/>
      <c r="H794" s="223"/>
      <c r="I794" s="222"/>
      <c r="J794" s="222"/>
      <c r="K794" s="222"/>
      <c r="L794" s="222"/>
      <c r="M794" s="222"/>
      <c r="N794" s="222"/>
      <c r="O794" s="222"/>
      <c r="P794" s="224"/>
      <c r="Q794" s="224"/>
      <c r="R794" s="224"/>
      <c r="S794" s="224"/>
      <c r="T794" s="224"/>
      <c r="U794" s="224"/>
      <c r="V794" s="224"/>
      <c r="W794" s="224"/>
      <c r="X794" s="224"/>
      <c r="Y794" s="222"/>
      <c r="Z794" s="222"/>
      <c r="AA794" s="224"/>
      <c r="AB794" s="224"/>
      <c r="AC794" s="224"/>
      <c r="AD794" s="224"/>
      <c r="AE794" s="224"/>
      <c r="AF794" s="224"/>
      <c r="AG794" s="224"/>
      <c r="AH794" s="224"/>
      <c r="AI794" s="224"/>
      <c r="AJ794" s="126"/>
      <c r="AK794" s="126"/>
      <c r="AL794" s="126"/>
      <c r="AM794" s="126"/>
      <c r="AN794" s="126"/>
    </row>
    <row r="795" spans="1:40" ht="15.75" customHeight="1">
      <c r="A795" s="221" t="str">
        <f t="shared" si="2"/>
        <v/>
      </c>
      <c r="B795" s="222"/>
      <c r="C795" s="222"/>
      <c r="D795" s="222" t="str">
        <f t="array" ref="D795">IF(F795="","",INDEX(#REF!,MATCH(F795,#REF!,0)))</f>
        <v/>
      </c>
      <c r="E795" s="222" t="str">
        <f t="array" ref="E795">IF(F795="","",INDEX(#REF!,MATCH(F795,#REF!,0)))</f>
        <v/>
      </c>
      <c r="F795" s="222"/>
      <c r="G795" s="222"/>
      <c r="H795" s="223"/>
      <c r="I795" s="222"/>
      <c r="J795" s="222"/>
      <c r="K795" s="222"/>
      <c r="L795" s="222"/>
      <c r="M795" s="222"/>
      <c r="N795" s="222"/>
      <c r="O795" s="222"/>
      <c r="P795" s="224"/>
      <c r="Q795" s="224"/>
      <c r="R795" s="224"/>
      <c r="S795" s="224"/>
      <c r="T795" s="224"/>
      <c r="U795" s="224"/>
      <c r="V795" s="224"/>
      <c r="W795" s="224"/>
      <c r="X795" s="224"/>
      <c r="Y795" s="222"/>
      <c r="Z795" s="222"/>
      <c r="AA795" s="224"/>
      <c r="AB795" s="224"/>
      <c r="AC795" s="224"/>
      <c r="AD795" s="224"/>
      <c r="AE795" s="224"/>
      <c r="AF795" s="224"/>
      <c r="AG795" s="224"/>
      <c r="AH795" s="224"/>
      <c r="AI795" s="224"/>
      <c r="AJ795" s="126"/>
      <c r="AK795" s="126"/>
      <c r="AL795" s="126"/>
      <c r="AM795" s="126"/>
      <c r="AN795" s="126"/>
    </row>
    <row r="796" spans="1:40" ht="15.75" customHeight="1">
      <c r="A796" s="221" t="str">
        <f t="shared" si="2"/>
        <v/>
      </c>
      <c r="B796" s="222"/>
      <c r="C796" s="222"/>
      <c r="D796" s="222" t="str">
        <f t="array" ref="D796">IF(F796="","",INDEX(#REF!,MATCH(F796,#REF!,0)))</f>
        <v/>
      </c>
      <c r="E796" s="222" t="str">
        <f t="array" ref="E796">IF(F796="","",INDEX(#REF!,MATCH(F796,#REF!,0)))</f>
        <v/>
      </c>
      <c r="F796" s="222"/>
      <c r="G796" s="222"/>
      <c r="H796" s="223"/>
      <c r="I796" s="222"/>
      <c r="J796" s="222"/>
      <c r="K796" s="222"/>
      <c r="L796" s="222"/>
      <c r="M796" s="222"/>
      <c r="N796" s="222"/>
      <c r="O796" s="222"/>
      <c r="P796" s="224"/>
      <c r="Q796" s="224"/>
      <c r="R796" s="224"/>
      <c r="S796" s="224"/>
      <c r="T796" s="224"/>
      <c r="U796" s="224"/>
      <c r="V796" s="224"/>
      <c r="W796" s="224"/>
      <c r="X796" s="224"/>
      <c r="Y796" s="222"/>
      <c r="Z796" s="222"/>
      <c r="AA796" s="224"/>
      <c r="AB796" s="224"/>
      <c r="AC796" s="224"/>
      <c r="AD796" s="224"/>
      <c r="AE796" s="224"/>
      <c r="AF796" s="224"/>
      <c r="AG796" s="224"/>
      <c r="AH796" s="224"/>
      <c r="AI796" s="224"/>
      <c r="AJ796" s="126"/>
      <c r="AK796" s="126"/>
      <c r="AL796" s="126"/>
      <c r="AM796" s="126"/>
      <c r="AN796" s="126"/>
    </row>
    <row r="797" spans="1:40" ht="15.75" customHeight="1">
      <c r="A797" s="221" t="str">
        <f t="shared" si="2"/>
        <v/>
      </c>
      <c r="B797" s="222"/>
      <c r="C797" s="222"/>
      <c r="D797" s="222" t="str">
        <f t="array" ref="D797">IF(F797="","",INDEX(#REF!,MATCH(F797,#REF!,0)))</f>
        <v/>
      </c>
      <c r="E797" s="222" t="str">
        <f t="array" ref="E797">IF(F797="","",INDEX(#REF!,MATCH(F797,#REF!,0)))</f>
        <v/>
      </c>
      <c r="F797" s="222"/>
      <c r="G797" s="222"/>
      <c r="H797" s="223"/>
      <c r="I797" s="222"/>
      <c r="J797" s="222"/>
      <c r="K797" s="222"/>
      <c r="L797" s="222"/>
      <c r="M797" s="222"/>
      <c r="N797" s="222"/>
      <c r="O797" s="222"/>
      <c r="P797" s="224"/>
      <c r="Q797" s="224"/>
      <c r="R797" s="224"/>
      <c r="S797" s="224"/>
      <c r="T797" s="224"/>
      <c r="U797" s="224"/>
      <c r="V797" s="224"/>
      <c r="W797" s="224"/>
      <c r="X797" s="224"/>
      <c r="Y797" s="222"/>
      <c r="Z797" s="222"/>
      <c r="AA797" s="224"/>
      <c r="AB797" s="224"/>
      <c r="AC797" s="224"/>
      <c r="AD797" s="224"/>
      <c r="AE797" s="224"/>
      <c r="AF797" s="224"/>
      <c r="AG797" s="224"/>
      <c r="AH797" s="224"/>
      <c r="AI797" s="224"/>
      <c r="AJ797" s="126"/>
      <c r="AK797" s="126"/>
      <c r="AL797" s="126"/>
      <c r="AM797" s="126"/>
      <c r="AN797" s="126"/>
    </row>
    <row r="798" spans="1:40" ht="15.75" customHeight="1">
      <c r="A798" s="221" t="str">
        <f t="shared" si="2"/>
        <v/>
      </c>
      <c r="B798" s="222"/>
      <c r="C798" s="222"/>
      <c r="D798" s="222" t="str">
        <f t="array" ref="D798">IF(F798="","",INDEX(#REF!,MATCH(F798,#REF!,0)))</f>
        <v/>
      </c>
      <c r="E798" s="222" t="str">
        <f t="array" ref="E798">IF(F798="","",INDEX(#REF!,MATCH(F798,#REF!,0)))</f>
        <v/>
      </c>
      <c r="F798" s="222"/>
      <c r="G798" s="222"/>
      <c r="H798" s="223"/>
      <c r="I798" s="222"/>
      <c r="J798" s="222"/>
      <c r="K798" s="222"/>
      <c r="L798" s="222"/>
      <c r="M798" s="222"/>
      <c r="N798" s="222"/>
      <c r="O798" s="222"/>
      <c r="P798" s="224"/>
      <c r="Q798" s="224"/>
      <c r="R798" s="224"/>
      <c r="S798" s="224"/>
      <c r="T798" s="224"/>
      <c r="U798" s="224"/>
      <c r="V798" s="224"/>
      <c r="W798" s="224"/>
      <c r="X798" s="224"/>
      <c r="Y798" s="222"/>
      <c r="Z798" s="222"/>
      <c r="AA798" s="224"/>
      <c r="AB798" s="224"/>
      <c r="AC798" s="224"/>
      <c r="AD798" s="224"/>
      <c r="AE798" s="224"/>
      <c r="AF798" s="224"/>
      <c r="AG798" s="224"/>
      <c r="AH798" s="224"/>
      <c r="AI798" s="224"/>
      <c r="AJ798" s="126"/>
      <c r="AK798" s="126"/>
      <c r="AL798" s="126"/>
      <c r="AM798" s="126"/>
      <c r="AN798" s="126"/>
    </row>
    <row r="799" spans="1:40" ht="15.75" customHeight="1">
      <c r="A799" s="221" t="str">
        <f t="shared" si="2"/>
        <v/>
      </c>
      <c r="B799" s="222"/>
      <c r="C799" s="222"/>
      <c r="D799" s="222" t="str">
        <f t="array" ref="D799">IF(F799="","",INDEX(#REF!,MATCH(F799,#REF!,0)))</f>
        <v/>
      </c>
      <c r="E799" s="222" t="str">
        <f t="array" ref="E799">IF(F799="","",INDEX(#REF!,MATCH(F799,#REF!,0)))</f>
        <v/>
      </c>
      <c r="F799" s="222"/>
      <c r="G799" s="222"/>
      <c r="H799" s="223"/>
      <c r="I799" s="222"/>
      <c r="J799" s="222"/>
      <c r="K799" s="222"/>
      <c r="L799" s="222"/>
      <c r="M799" s="222"/>
      <c r="N799" s="222"/>
      <c r="O799" s="222"/>
      <c r="P799" s="224"/>
      <c r="Q799" s="224"/>
      <c r="R799" s="224"/>
      <c r="S799" s="224"/>
      <c r="T799" s="224"/>
      <c r="U799" s="224"/>
      <c r="V799" s="224"/>
      <c r="W799" s="224"/>
      <c r="X799" s="224"/>
      <c r="Y799" s="222"/>
      <c r="Z799" s="222"/>
      <c r="AA799" s="224"/>
      <c r="AB799" s="224"/>
      <c r="AC799" s="224"/>
      <c r="AD799" s="224"/>
      <c r="AE799" s="224"/>
      <c r="AF799" s="224"/>
      <c r="AG799" s="224"/>
      <c r="AH799" s="224"/>
      <c r="AI799" s="224"/>
      <c r="AJ799" s="126"/>
      <c r="AK799" s="126"/>
      <c r="AL799" s="126"/>
      <c r="AM799" s="126"/>
      <c r="AN799" s="126"/>
    </row>
    <row r="800" spans="1:40" ht="15.75" customHeight="1">
      <c r="A800" s="221" t="str">
        <f t="shared" si="2"/>
        <v/>
      </c>
      <c r="B800" s="222"/>
      <c r="C800" s="222"/>
      <c r="D800" s="222" t="str">
        <f t="array" ref="D800">IF(F800="","",INDEX(#REF!,MATCH(F800,#REF!,0)))</f>
        <v/>
      </c>
      <c r="E800" s="222" t="str">
        <f t="array" ref="E800">IF(F800="","",INDEX(#REF!,MATCH(F800,#REF!,0)))</f>
        <v/>
      </c>
      <c r="F800" s="222"/>
      <c r="G800" s="222"/>
      <c r="H800" s="223"/>
      <c r="I800" s="222"/>
      <c r="J800" s="222"/>
      <c r="K800" s="222"/>
      <c r="L800" s="222"/>
      <c r="M800" s="222"/>
      <c r="N800" s="222"/>
      <c r="O800" s="222"/>
      <c r="P800" s="224"/>
      <c r="Q800" s="224"/>
      <c r="R800" s="224"/>
      <c r="S800" s="224"/>
      <c r="T800" s="224"/>
      <c r="U800" s="224"/>
      <c r="V800" s="224"/>
      <c r="W800" s="224"/>
      <c r="X800" s="224"/>
      <c r="Y800" s="222"/>
      <c r="Z800" s="222"/>
      <c r="AA800" s="224"/>
      <c r="AB800" s="224"/>
      <c r="AC800" s="224"/>
      <c r="AD800" s="224"/>
      <c r="AE800" s="224"/>
      <c r="AF800" s="224"/>
      <c r="AG800" s="224"/>
      <c r="AH800" s="224"/>
      <c r="AI800" s="224"/>
      <c r="AJ800" s="126"/>
      <c r="AK800" s="126"/>
      <c r="AL800" s="126"/>
      <c r="AM800" s="126"/>
      <c r="AN800" s="126"/>
    </row>
    <row r="801" spans="1:40" ht="15.75" customHeight="1">
      <c r="A801" s="221" t="str">
        <f t="shared" si="2"/>
        <v/>
      </c>
      <c r="B801" s="222"/>
      <c r="C801" s="222"/>
      <c r="D801" s="222" t="str">
        <f t="array" ref="D801">IF(F801="","",INDEX(#REF!,MATCH(F801,#REF!,0)))</f>
        <v/>
      </c>
      <c r="E801" s="222" t="str">
        <f t="array" ref="E801">IF(F801="","",INDEX(#REF!,MATCH(F801,#REF!,0)))</f>
        <v/>
      </c>
      <c r="F801" s="222"/>
      <c r="G801" s="222"/>
      <c r="H801" s="223"/>
      <c r="I801" s="222"/>
      <c r="J801" s="222"/>
      <c r="K801" s="222"/>
      <c r="L801" s="222"/>
      <c r="M801" s="222"/>
      <c r="N801" s="222"/>
      <c r="O801" s="222"/>
      <c r="P801" s="224"/>
      <c r="Q801" s="224"/>
      <c r="R801" s="224"/>
      <c r="S801" s="224"/>
      <c r="T801" s="224"/>
      <c r="U801" s="224"/>
      <c r="V801" s="224"/>
      <c r="W801" s="224"/>
      <c r="X801" s="224"/>
      <c r="Y801" s="222"/>
      <c r="Z801" s="222"/>
      <c r="AA801" s="224"/>
      <c r="AB801" s="224"/>
      <c r="AC801" s="224"/>
      <c r="AD801" s="224"/>
      <c r="AE801" s="224"/>
      <c r="AF801" s="224"/>
      <c r="AG801" s="224"/>
      <c r="AH801" s="224"/>
      <c r="AI801" s="224"/>
      <c r="AJ801" s="126"/>
      <c r="AK801" s="126"/>
      <c r="AL801" s="126"/>
      <c r="AM801" s="126"/>
      <c r="AN801" s="126"/>
    </row>
    <row r="802" spans="1:40" ht="15.75" customHeight="1">
      <c r="A802" s="221" t="str">
        <f t="shared" si="2"/>
        <v/>
      </c>
      <c r="B802" s="222"/>
      <c r="C802" s="222"/>
      <c r="D802" s="222" t="str">
        <f t="array" ref="D802">IF(F802="","",INDEX(#REF!,MATCH(F802,#REF!,0)))</f>
        <v/>
      </c>
      <c r="E802" s="222" t="str">
        <f t="array" ref="E802">IF(F802="","",INDEX(#REF!,MATCH(F802,#REF!,0)))</f>
        <v/>
      </c>
      <c r="F802" s="222"/>
      <c r="G802" s="222"/>
      <c r="H802" s="223"/>
      <c r="I802" s="222"/>
      <c r="J802" s="222"/>
      <c r="K802" s="222"/>
      <c r="L802" s="222"/>
      <c r="M802" s="222"/>
      <c r="N802" s="222"/>
      <c r="O802" s="222"/>
      <c r="P802" s="224"/>
      <c r="Q802" s="224"/>
      <c r="R802" s="224"/>
      <c r="S802" s="224"/>
      <c r="T802" s="224"/>
      <c r="U802" s="224"/>
      <c r="V802" s="224"/>
      <c r="W802" s="224"/>
      <c r="X802" s="224"/>
      <c r="Y802" s="222"/>
      <c r="Z802" s="222"/>
      <c r="AA802" s="224"/>
      <c r="AB802" s="224"/>
      <c r="AC802" s="224"/>
      <c r="AD802" s="224"/>
      <c r="AE802" s="224"/>
      <c r="AF802" s="224"/>
      <c r="AG802" s="224"/>
      <c r="AH802" s="224"/>
      <c r="AI802" s="224"/>
      <c r="AJ802" s="126"/>
      <c r="AK802" s="126"/>
      <c r="AL802" s="126"/>
      <c r="AM802" s="126"/>
      <c r="AN802" s="126"/>
    </row>
    <row r="803" spans="1:40" ht="15.75" customHeight="1">
      <c r="A803" s="221" t="str">
        <f t="shared" si="2"/>
        <v/>
      </c>
      <c r="B803" s="222"/>
      <c r="C803" s="222"/>
      <c r="D803" s="222" t="str">
        <f t="array" ref="D803">IF(F803="","",INDEX(#REF!,MATCH(F803,#REF!,0)))</f>
        <v/>
      </c>
      <c r="E803" s="222" t="str">
        <f t="array" ref="E803">IF(F803="","",INDEX(#REF!,MATCH(F803,#REF!,0)))</f>
        <v/>
      </c>
      <c r="F803" s="222"/>
      <c r="G803" s="222"/>
      <c r="H803" s="223"/>
      <c r="I803" s="222"/>
      <c r="J803" s="222"/>
      <c r="K803" s="222"/>
      <c r="L803" s="222"/>
      <c r="M803" s="222"/>
      <c r="N803" s="222"/>
      <c r="O803" s="222"/>
      <c r="P803" s="224"/>
      <c r="Q803" s="224"/>
      <c r="R803" s="224"/>
      <c r="S803" s="224"/>
      <c r="T803" s="224"/>
      <c r="U803" s="224"/>
      <c r="V803" s="224"/>
      <c r="W803" s="224"/>
      <c r="X803" s="224"/>
      <c r="Y803" s="222"/>
      <c r="Z803" s="222"/>
      <c r="AA803" s="224"/>
      <c r="AB803" s="224"/>
      <c r="AC803" s="224"/>
      <c r="AD803" s="224"/>
      <c r="AE803" s="224"/>
      <c r="AF803" s="224"/>
      <c r="AG803" s="224"/>
      <c r="AH803" s="224"/>
      <c r="AI803" s="224"/>
      <c r="AJ803" s="126"/>
      <c r="AK803" s="126"/>
      <c r="AL803" s="126"/>
      <c r="AM803" s="126"/>
      <c r="AN803" s="126"/>
    </row>
    <row r="804" spans="1:40" ht="15.75" customHeight="1">
      <c r="A804" s="221" t="str">
        <f t="shared" si="2"/>
        <v/>
      </c>
      <c r="B804" s="222"/>
      <c r="C804" s="222"/>
      <c r="D804" s="222" t="str">
        <f t="array" ref="D804">IF(F804="","",INDEX(#REF!,MATCH(F804,#REF!,0)))</f>
        <v/>
      </c>
      <c r="E804" s="222" t="str">
        <f t="array" ref="E804">IF(F804="","",INDEX(#REF!,MATCH(F804,#REF!,0)))</f>
        <v/>
      </c>
      <c r="F804" s="222"/>
      <c r="G804" s="222"/>
      <c r="H804" s="223"/>
      <c r="I804" s="222"/>
      <c r="J804" s="222"/>
      <c r="K804" s="222"/>
      <c r="L804" s="222"/>
      <c r="M804" s="222"/>
      <c r="N804" s="222"/>
      <c r="O804" s="222"/>
      <c r="P804" s="224"/>
      <c r="Q804" s="224"/>
      <c r="R804" s="224"/>
      <c r="S804" s="224"/>
      <c r="T804" s="224"/>
      <c r="U804" s="224"/>
      <c r="V804" s="224"/>
      <c r="W804" s="224"/>
      <c r="X804" s="224"/>
      <c r="Y804" s="222"/>
      <c r="Z804" s="222"/>
      <c r="AA804" s="224"/>
      <c r="AB804" s="224"/>
      <c r="AC804" s="224"/>
      <c r="AD804" s="224"/>
      <c r="AE804" s="224"/>
      <c r="AF804" s="224"/>
      <c r="AG804" s="224"/>
      <c r="AH804" s="224"/>
      <c r="AI804" s="224"/>
      <c r="AJ804" s="126"/>
      <c r="AK804" s="126"/>
      <c r="AL804" s="126"/>
      <c r="AM804" s="126"/>
      <c r="AN804" s="126"/>
    </row>
    <row r="805" spans="1:40" ht="15.75" customHeight="1">
      <c r="A805" s="221" t="str">
        <f t="shared" si="2"/>
        <v/>
      </c>
      <c r="B805" s="222"/>
      <c r="C805" s="222"/>
      <c r="D805" s="222" t="str">
        <f t="array" ref="D805">IF(F805="","",INDEX(#REF!,MATCH(F805,#REF!,0)))</f>
        <v/>
      </c>
      <c r="E805" s="222" t="str">
        <f t="array" ref="E805">IF(F805="","",INDEX(#REF!,MATCH(F805,#REF!,0)))</f>
        <v/>
      </c>
      <c r="F805" s="222"/>
      <c r="G805" s="222"/>
      <c r="H805" s="223"/>
      <c r="I805" s="222"/>
      <c r="J805" s="222"/>
      <c r="K805" s="222"/>
      <c r="L805" s="222"/>
      <c r="M805" s="222"/>
      <c r="N805" s="222"/>
      <c r="O805" s="222"/>
      <c r="P805" s="224"/>
      <c r="Q805" s="224"/>
      <c r="R805" s="224"/>
      <c r="S805" s="224"/>
      <c r="T805" s="224"/>
      <c r="U805" s="224"/>
      <c r="V805" s="224"/>
      <c r="W805" s="224"/>
      <c r="X805" s="224"/>
      <c r="Y805" s="222"/>
      <c r="Z805" s="222"/>
      <c r="AA805" s="224"/>
      <c r="AB805" s="224"/>
      <c r="AC805" s="224"/>
      <c r="AD805" s="224"/>
      <c r="AE805" s="224"/>
      <c r="AF805" s="224"/>
      <c r="AG805" s="224"/>
      <c r="AH805" s="224"/>
      <c r="AI805" s="224"/>
      <c r="AJ805" s="126"/>
      <c r="AK805" s="126"/>
      <c r="AL805" s="126"/>
      <c r="AM805" s="126"/>
      <c r="AN805" s="126"/>
    </row>
    <row r="806" spans="1:40" ht="15.75" customHeight="1">
      <c r="A806" s="221" t="str">
        <f t="shared" si="2"/>
        <v/>
      </c>
      <c r="B806" s="222"/>
      <c r="C806" s="222"/>
      <c r="D806" s="222" t="str">
        <f t="array" ref="D806">IF(F806="","",INDEX(#REF!,MATCH(F806,#REF!,0)))</f>
        <v/>
      </c>
      <c r="E806" s="222" t="str">
        <f t="array" ref="E806">IF(F806="","",INDEX(#REF!,MATCH(F806,#REF!,0)))</f>
        <v/>
      </c>
      <c r="F806" s="222"/>
      <c r="G806" s="222"/>
      <c r="H806" s="223"/>
      <c r="I806" s="222"/>
      <c r="J806" s="222"/>
      <c r="K806" s="222"/>
      <c r="L806" s="222"/>
      <c r="M806" s="222"/>
      <c r="N806" s="222"/>
      <c r="O806" s="222"/>
      <c r="P806" s="224"/>
      <c r="Q806" s="224"/>
      <c r="R806" s="224"/>
      <c r="S806" s="224"/>
      <c r="T806" s="224"/>
      <c r="U806" s="224"/>
      <c r="V806" s="224"/>
      <c r="W806" s="224"/>
      <c r="X806" s="224"/>
      <c r="Y806" s="222"/>
      <c r="Z806" s="222"/>
      <c r="AA806" s="224"/>
      <c r="AB806" s="224"/>
      <c r="AC806" s="224"/>
      <c r="AD806" s="224"/>
      <c r="AE806" s="224"/>
      <c r="AF806" s="224"/>
      <c r="AG806" s="224"/>
      <c r="AH806" s="224"/>
      <c r="AI806" s="224"/>
      <c r="AJ806" s="126"/>
      <c r="AK806" s="126"/>
      <c r="AL806" s="126"/>
      <c r="AM806" s="126"/>
      <c r="AN806" s="126"/>
    </row>
    <row r="807" spans="1:40" ht="15.75" customHeight="1">
      <c r="A807" s="221" t="str">
        <f t="shared" si="2"/>
        <v/>
      </c>
      <c r="B807" s="222"/>
      <c r="C807" s="222"/>
      <c r="D807" s="222" t="str">
        <f t="array" ref="D807">IF(F807="","",INDEX(#REF!,MATCH(F807,#REF!,0)))</f>
        <v/>
      </c>
      <c r="E807" s="222" t="str">
        <f t="array" ref="E807">IF(F807="","",INDEX(#REF!,MATCH(F807,#REF!,0)))</f>
        <v/>
      </c>
      <c r="F807" s="222"/>
      <c r="G807" s="222"/>
      <c r="H807" s="223"/>
      <c r="I807" s="222"/>
      <c r="J807" s="222"/>
      <c r="K807" s="222"/>
      <c r="L807" s="222"/>
      <c r="M807" s="222"/>
      <c r="N807" s="222"/>
      <c r="O807" s="222"/>
      <c r="P807" s="224"/>
      <c r="Q807" s="224"/>
      <c r="R807" s="224"/>
      <c r="S807" s="224"/>
      <c r="T807" s="224"/>
      <c r="U807" s="224"/>
      <c r="V807" s="224"/>
      <c r="W807" s="224"/>
      <c r="X807" s="224"/>
      <c r="Y807" s="222"/>
      <c r="Z807" s="222"/>
      <c r="AA807" s="224"/>
      <c r="AB807" s="224"/>
      <c r="AC807" s="224"/>
      <c r="AD807" s="224"/>
      <c r="AE807" s="224"/>
      <c r="AF807" s="224"/>
      <c r="AG807" s="224"/>
      <c r="AH807" s="224"/>
      <c r="AI807" s="224"/>
      <c r="AJ807" s="126"/>
      <c r="AK807" s="126"/>
      <c r="AL807" s="126"/>
      <c r="AM807" s="126"/>
      <c r="AN807" s="126"/>
    </row>
    <row r="808" spans="1:40" ht="15.75" customHeight="1">
      <c r="A808" s="221" t="str">
        <f t="shared" si="2"/>
        <v/>
      </c>
      <c r="B808" s="222"/>
      <c r="C808" s="222"/>
      <c r="D808" s="222" t="str">
        <f t="array" ref="D808">IF(F808="","",INDEX(#REF!,MATCH(F808,#REF!,0)))</f>
        <v/>
      </c>
      <c r="E808" s="222" t="str">
        <f t="array" ref="E808">IF(F808="","",INDEX(#REF!,MATCH(F808,#REF!,0)))</f>
        <v/>
      </c>
      <c r="F808" s="222"/>
      <c r="G808" s="222"/>
      <c r="H808" s="223"/>
      <c r="I808" s="222"/>
      <c r="J808" s="222"/>
      <c r="K808" s="222"/>
      <c r="L808" s="222"/>
      <c r="M808" s="222"/>
      <c r="N808" s="222"/>
      <c r="O808" s="222"/>
      <c r="P808" s="224"/>
      <c r="Q808" s="224"/>
      <c r="R808" s="224"/>
      <c r="S808" s="224"/>
      <c r="T808" s="224"/>
      <c r="U808" s="224"/>
      <c r="V808" s="224"/>
      <c r="W808" s="224"/>
      <c r="X808" s="224"/>
      <c r="Y808" s="222"/>
      <c r="Z808" s="222"/>
      <c r="AA808" s="224"/>
      <c r="AB808" s="224"/>
      <c r="AC808" s="224"/>
      <c r="AD808" s="224"/>
      <c r="AE808" s="224"/>
      <c r="AF808" s="224"/>
      <c r="AG808" s="224"/>
      <c r="AH808" s="224"/>
      <c r="AI808" s="224"/>
      <c r="AJ808" s="126"/>
      <c r="AK808" s="126"/>
      <c r="AL808" s="126"/>
      <c r="AM808" s="126"/>
      <c r="AN808" s="126"/>
    </row>
    <row r="809" spans="1:40" ht="15.75" customHeight="1">
      <c r="A809" s="221" t="str">
        <f t="shared" si="2"/>
        <v/>
      </c>
      <c r="B809" s="222"/>
      <c r="C809" s="222"/>
      <c r="D809" s="222" t="str">
        <f t="array" ref="D809">IF(F809="","",INDEX(#REF!,MATCH(F809,#REF!,0)))</f>
        <v/>
      </c>
      <c r="E809" s="222" t="str">
        <f t="array" ref="E809">IF(F809="","",INDEX(#REF!,MATCH(F809,#REF!,0)))</f>
        <v/>
      </c>
      <c r="F809" s="222"/>
      <c r="G809" s="222"/>
      <c r="H809" s="223"/>
      <c r="I809" s="222"/>
      <c r="J809" s="222"/>
      <c r="K809" s="222"/>
      <c r="L809" s="222"/>
      <c r="M809" s="222"/>
      <c r="N809" s="222"/>
      <c r="O809" s="222"/>
      <c r="P809" s="224"/>
      <c r="Q809" s="224"/>
      <c r="R809" s="224"/>
      <c r="S809" s="224"/>
      <c r="T809" s="224"/>
      <c r="U809" s="224"/>
      <c r="V809" s="224"/>
      <c r="W809" s="224"/>
      <c r="X809" s="224"/>
      <c r="Y809" s="222"/>
      <c r="Z809" s="222"/>
      <c r="AA809" s="224"/>
      <c r="AB809" s="224"/>
      <c r="AC809" s="224"/>
      <c r="AD809" s="224"/>
      <c r="AE809" s="224"/>
      <c r="AF809" s="224"/>
      <c r="AG809" s="224"/>
      <c r="AH809" s="224"/>
      <c r="AI809" s="224"/>
      <c r="AJ809" s="126"/>
      <c r="AK809" s="126"/>
      <c r="AL809" s="126"/>
      <c r="AM809" s="126"/>
      <c r="AN809" s="126"/>
    </row>
    <row r="810" spans="1:40" ht="15.75" customHeight="1">
      <c r="A810" s="221" t="str">
        <f t="shared" si="2"/>
        <v/>
      </c>
      <c r="B810" s="222"/>
      <c r="C810" s="222"/>
      <c r="D810" s="222" t="str">
        <f t="array" ref="D810">IF(F810="","",INDEX(#REF!,MATCH(F810,#REF!,0)))</f>
        <v/>
      </c>
      <c r="E810" s="222" t="str">
        <f t="array" ref="E810">IF(F810="","",INDEX(#REF!,MATCH(F810,#REF!,0)))</f>
        <v/>
      </c>
      <c r="F810" s="222"/>
      <c r="G810" s="222"/>
      <c r="H810" s="223"/>
      <c r="I810" s="222"/>
      <c r="J810" s="222"/>
      <c r="K810" s="222"/>
      <c r="L810" s="222"/>
      <c r="M810" s="222"/>
      <c r="N810" s="222"/>
      <c r="O810" s="222"/>
      <c r="P810" s="224"/>
      <c r="Q810" s="224"/>
      <c r="R810" s="224"/>
      <c r="S810" s="224"/>
      <c r="T810" s="224"/>
      <c r="U810" s="224"/>
      <c r="V810" s="224"/>
      <c r="W810" s="224"/>
      <c r="X810" s="224"/>
      <c r="Y810" s="222"/>
      <c r="Z810" s="222"/>
      <c r="AA810" s="224"/>
      <c r="AB810" s="224"/>
      <c r="AC810" s="224"/>
      <c r="AD810" s="224"/>
      <c r="AE810" s="224"/>
      <c r="AF810" s="224"/>
      <c r="AG810" s="224"/>
      <c r="AH810" s="224"/>
      <c r="AI810" s="224"/>
      <c r="AJ810" s="126"/>
      <c r="AK810" s="126"/>
      <c r="AL810" s="126"/>
      <c r="AM810" s="126"/>
      <c r="AN810" s="126"/>
    </row>
    <row r="811" spans="1:40" ht="15.75" customHeight="1">
      <c r="A811" s="221" t="str">
        <f t="shared" si="2"/>
        <v/>
      </c>
      <c r="B811" s="222"/>
      <c r="C811" s="222"/>
      <c r="D811" s="222" t="str">
        <f t="array" ref="D811">IF(F811="","",INDEX(#REF!,MATCH(F811,#REF!,0)))</f>
        <v/>
      </c>
      <c r="E811" s="222" t="str">
        <f t="array" ref="E811">IF(F811="","",INDEX(#REF!,MATCH(F811,#REF!,0)))</f>
        <v/>
      </c>
      <c r="F811" s="222"/>
      <c r="G811" s="222"/>
      <c r="H811" s="223"/>
      <c r="I811" s="222"/>
      <c r="J811" s="222"/>
      <c r="K811" s="222"/>
      <c r="L811" s="222"/>
      <c r="M811" s="222"/>
      <c r="N811" s="222"/>
      <c r="O811" s="222"/>
      <c r="P811" s="224"/>
      <c r="Q811" s="224"/>
      <c r="R811" s="224"/>
      <c r="S811" s="224"/>
      <c r="T811" s="224"/>
      <c r="U811" s="224"/>
      <c r="V811" s="224"/>
      <c r="W811" s="224"/>
      <c r="X811" s="224"/>
      <c r="Y811" s="222"/>
      <c r="Z811" s="222"/>
      <c r="AA811" s="224"/>
      <c r="AB811" s="224"/>
      <c r="AC811" s="224"/>
      <c r="AD811" s="224"/>
      <c r="AE811" s="224"/>
      <c r="AF811" s="224"/>
      <c r="AG811" s="224"/>
      <c r="AH811" s="224"/>
      <c r="AI811" s="224"/>
      <c r="AJ811" s="126"/>
      <c r="AK811" s="126"/>
      <c r="AL811" s="126"/>
      <c r="AM811" s="126"/>
      <c r="AN811" s="126"/>
    </row>
    <row r="812" spans="1:40" ht="15.75" customHeight="1">
      <c r="A812" s="221" t="str">
        <f t="shared" si="2"/>
        <v/>
      </c>
      <c r="B812" s="222"/>
      <c r="C812" s="222"/>
      <c r="D812" s="222" t="str">
        <f t="array" ref="D812">IF(F812="","",INDEX(#REF!,MATCH(F812,#REF!,0)))</f>
        <v/>
      </c>
      <c r="E812" s="222" t="str">
        <f t="array" ref="E812">IF(F812="","",INDEX(#REF!,MATCH(F812,#REF!,0)))</f>
        <v/>
      </c>
      <c r="F812" s="222"/>
      <c r="G812" s="222"/>
      <c r="H812" s="223"/>
      <c r="I812" s="222"/>
      <c r="J812" s="222"/>
      <c r="K812" s="222"/>
      <c r="L812" s="222"/>
      <c r="M812" s="222"/>
      <c r="N812" s="222"/>
      <c r="O812" s="222"/>
      <c r="P812" s="224"/>
      <c r="Q812" s="224"/>
      <c r="R812" s="224"/>
      <c r="S812" s="224"/>
      <c r="T812" s="224"/>
      <c r="U812" s="224"/>
      <c r="V812" s="224"/>
      <c r="W812" s="224"/>
      <c r="X812" s="224"/>
      <c r="Y812" s="222"/>
      <c r="Z812" s="222"/>
      <c r="AA812" s="224"/>
      <c r="AB812" s="224"/>
      <c r="AC812" s="224"/>
      <c r="AD812" s="224"/>
      <c r="AE812" s="224"/>
      <c r="AF812" s="224"/>
      <c r="AG812" s="224"/>
      <c r="AH812" s="224"/>
      <c r="AI812" s="224"/>
      <c r="AJ812" s="126"/>
      <c r="AK812" s="126"/>
      <c r="AL812" s="126"/>
      <c r="AM812" s="126"/>
      <c r="AN812" s="126"/>
    </row>
    <row r="813" spans="1:40" ht="15.75" customHeight="1">
      <c r="A813" s="221" t="str">
        <f t="shared" si="2"/>
        <v/>
      </c>
      <c r="B813" s="222"/>
      <c r="C813" s="222"/>
      <c r="D813" s="222" t="str">
        <f t="array" ref="D813">IF(F813="","",INDEX(#REF!,MATCH(F813,#REF!,0)))</f>
        <v/>
      </c>
      <c r="E813" s="222" t="str">
        <f t="array" ref="E813">IF(F813="","",INDEX(#REF!,MATCH(F813,#REF!,0)))</f>
        <v/>
      </c>
      <c r="F813" s="222"/>
      <c r="G813" s="222"/>
      <c r="H813" s="223"/>
      <c r="I813" s="222"/>
      <c r="J813" s="222"/>
      <c r="K813" s="222"/>
      <c r="L813" s="222"/>
      <c r="M813" s="222"/>
      <c r="N813" s="222"/>
      <c r="O813" s="222"/>
      <c r="P813" s="224"/>
      <c r="Q813" s="224"/>
      <c r="R813" s="224"/>
      <c r="S813" s="224"/>
      <c r="T813" s="224"/>
      <c r="U813" s="224"/>
      <c r="V813" s="224"/>
      <c r="W813" s="224"/>
      <c r="X813" s="224"/>
      <c r="Y813" s="222"/>
      <c r="Z813" s="222"/>
      <c r="AA813" s="224"/>
      <c r="AB813" s="224"/>
      <c r="AC813" s="224"/>
      <c r="AD813" s="224"/>
      <c r="AE813" s="224"/>
      <c r="AF813" s="224"/>
      <c r="AG813" s="224"/>
      <c r="AH813" s="224"/>
      <c r="AI813" s="224"/>
      <c r="AJ813" s="126"/>
      <c r="AK813" s="126"/>
      <c r="AL813" s="126"/>
      <c r="AM813" s="126"/>
      <c r="AN813" s="126"/>
    </row>
    <row r="814" spans="1:40" ht="15.75" customHeight="1">
      <c r="A814" s="221" t="str">
        <f t="shared" si="2"/>
        <v/>
      </c>
      <c r="B814" s="222"/>
      <c r="C814" s="222"/>
      <c r="D814" s="222" t="str">
        <f t="array" ref="D814">IF(F814="","",INDEX(#REF!,MATCH(F814,#REF!,0)))</f>
        <v/>
      </c>
      <c r="E814" s="222" t="str">
        <f t="array" ref="E814">IF(F814="","",INDEX(#REF!,MATCH(F814,#REF!,0)))</f>
        <v/>
      </c>
      <c r="F814" s="222"/>
      <c r="G814" s="222"/>
      <c r="H814" s="223"/>
      <c r="I814" s="222"/>
      <c r="J814" s="222"/>
      <c r="K814" s="222"/>
      <c r="L814" s="222"/>
      <c r="M814" s="222"/>
      <c r="N814" s="222"/>
      <c r="O814" s="222"/>
      <c r="P814" s="224"/>
      <c r="Q814" s="224"/>
      <c r="R814" s="224"/>
      <c r="S814" s="224"/>
      <c r="T814" s="224"/>
      <c r="U814" s="224"/>
      <c r="V814" s="224"/>
      <c r="W814" s="224"/>
      <c r="X814" s="224"/>
      <c r="Y814" s="222"/>
      <c r="Z814" s="222"/>
      <c r="AA814" s="224"/>
      <c r="AB814" s="224"/>
      <c r="AC814" s="224"/>
      <c r="AD814" s="224"/>
      <c r="AE814" s="224"/>
      <c r="AF814" s="224"/>
      <c r="AG814" s="224"/>
      <c r="AH814" s="224"/>
      <c r="AI814" s="224"/>
      <c r="AJ814" s="126"/>
      <c r="AK814" s="126"/>
      <c r="AL814" s="126"/>
      <c r="AM814" s="126"/>
      <c r="AN814" s="126"/>
    </row>
    <row r="815" spans="1:40" ht="15.75" customHeight="1">
      <c r="A815" s="221" t="str">
        <f t="shared" si="2"/>
        <v/>
      </c>
      <c r="B815" s="222"/>
      <c r="C815" s="222"/>
      <c r="D815" s="222" t="str">
        <f t="array" ref="D815">IF(F815="","",INDEX(#REF!,MATCH(F815,#REF!,0)))</f>
        <v/>
      </c>
      <c r="E815" s="222" t="str">
        <f t="array" ref="E815">IF(F815="","",INDEX(#REF!,MATCH(F815,#REF!,0)))</f>
        <v/>
      </c>
      <c r="F815" s="222"/>
      <c r="G815" s="222"/>
      <c r="H815" s="223"/>
      <c r="I815" s="222"/>
      <c r="J815" s="222"/>
      <c r="K815" s="222"/>
      <c r="L815" s="222"/>
      <c r="M815" s="222"/>
      <c r="N815" s="222"/>
      <c r="O815" s="222"/>
      <c r="P815" s="224"/>
      <c r="Q815" s="224"/>
      <c r="R815" s="224"/>
      <c r="S815" s="224"/>
      <c r="T815" s="224"/>
      <c r="U815" s="224"/>
      <c r="V815" s="224"/>
      <c r="W815" s="224"/>
      <c r="X815" s="224"/>
      <c r="Y815" s="222"/>
      <c r="Z815" s="222"/>
      <c r="AA815" s="224"/>
      <c r="AB815" s="224"/>
      <c r="AC815" s="224"/>
      <c r="AD815" s="224"/>
      <c r="AE815" s="224"/>
      <c r="AF815" s="224"/>
      <c r="AG815" s="224"/>
      <c r="AH815" s="224"/>
      <c r="AI815" s="224"/>
      <c r="AJ815" s="126"/>
      <c r="AK815" s="126"/>
      <c r="AL815" s="126"/>
      <c r="AM815" s="126"/>
      <c r="AN815" s="126"/>
    </row>
    <row r="816" spans="1:40" ht="15.75" customHeight="1">
      <c r="A816" s="221" t="str">
        <f t="shared" si="2"/>
        <v/>
      </c>
      <c r="B816" s="222"/>
      <c r="C816" s="222"/>
      <c r="D816" s="222" t="str">
        <f t="array" ref="D816">IF(F816="","",INDEX(#REF!,MATCH(F816,#REF!,0)))</f>
        <v/>
      </c>
      <c r="E816" s="222" t="str">
        <f t="array" ref="E816">IF(F816="","",INDEX(#REF!,MATCH(F816,#REF!,0)))</f>
        <v/>
      </c>
      <c r="F816" s="222"/>
      <c r="G816" s="222"/>
      <c r="H816" s="223"/>
      <c r="I816" s="222"/>
      <c r="J816" s="222"/>
      <c r="K816" s="222"/>
      <c r="L816" s="222"/>
      <c r="M816" s="222"/>
      <c r="N816" s="222"/>
      <c r="O816" s="222"/>
      <c r="P816" s="224"/>
      <c r="Q816" s="224"/>
      <c r="R816" s="224"/>
      <c r="S816" s="224"/>
      <c r="T816" s="224"/>
      <c r="U816" s="224"/>
      <c r="V816" s="224"/>
      <c r="W816" s="224"/>
      <c r="X816" s="224"/>
      <c r="Y816" s="222"/>
      <c r="Z816" s="222"/>
      <c r="AA816" s="224"/>
      <c r="AB816" s="224"/>
      <c r="AC816" s="224"/>
      <c r="AD816" s="224"/>
      <c r="AE816" s="224"/>
      <c r="AF816" s="224"/>
      <c r="AG816" s="224"/>
      <c r="AH816" s="224"/>
      <c r="AI816" s="224"/>
      <c r="AJ816" s="126"/>
      <c r="AK816" s="126"/>
      <c r="AL816" s="126"/>
      <c r="AM816" s="126"/>
      <c r="AN816" s="126"/>
    </row>
    <row r="817" spans="1:40" ht="15.75" customHeight="1">
      <c r="A817" s="221" t="str">
        <f t="shared" si="2"/>
        <v/>
      </c>
      <c r="B817" s="222"/>
      <c r="C817" s="222"/>
      <c r="D817" s="222" t="str">
        <f t="array" ref="D817">IF(F817="","",INDEX(#REF!,MATCH(F817,#REF!,0)))</f>
        <v/>
      </c>
      <c r="E817" s="222" t="str">
        <f t="array" ref="E817">IF(F817="","",INDEX(#REF!,MATCH(F817,#REF!,0)))</f>
        <v/>
      </c>
      <c r="F817" s="222"/>
      <c r="G817" s="222"/>
      <c r="H817" s="223"/>
      <c r="I817" s="222"/>
      <c r="J817" s="222"/>
      <c r="K817" s="222"/>
      <c r="L817" s="222"/>
      <c r="M817" s="222"/>
      <c r="N817" s="222"/>
      <c r="O817" s="222"/>
      <c r="P817" s="224"/>
      <c r="Q817" s="224"/>
      <c r="R817" s="224"/>
      <c r="S817" s="224"/>
      <c r="T817" s="224"/>
      <c r="U817" s="224"/>
      <c r="V817" s="224"/>
      <c r="W817" s="224"/>
      <c r="X817" s="224"/>
      <c r="Y817" s="222"/>
      <c r="Z817" s="222"/>
      <c r="AA817" s="224"/>
      <c r="AB817" s="224"/>
      <c r="AC817" s="224"/>
      <c r="AD817" s="224"/>
      <c r="AE817" s="224"/>
      <c r="AF817" s="224"/>
      <c r="AG817" s="224"/>
      <c r="AH817" s="224"/>
      <c r="AI817" s="224"/>
      <c r="AJ817" s="126"/>
      <c r="AK817" s="126"/>
      <c r="AL817" s="126"/>
      <c r="AM817" s="126"/>
      <c r="AN817" s="126"/>
    </row>
    <row r="818" spans="1:40" ht="15.75" customHeight="1">
      <c r="A818" s="221" t="str">
        <f t="shared" si="2"/>
        <v/>
      </c>
      <c r="B818" s="222"/>
      <c r="C818" s="222"/>
      <c r="D818" s="222" t="str">
        <f t="array" ref="D818">IF(F818="","",INDEX(#REF!,MATCH(F818,#REF!,0)))</f>
        <v/>
      </c>
      <c r="E818" s="222" t="str">
        <f t="array" ref="E818">IF(F818="","",INDEX(#REF!,MATCH(F818,#REF!,0)))</f>
        <v/>
      </c>
      <c r="F818" s="222"/>
      <c r="G818" s="222"/>
      <c r="H818" s="223"/>
      <c r="I818" s="222"/>
      <c r="J818" s="222"/>
      <c r="K818" s="222"/>
      <c r="L818" s="222"/>
      <c r="M818" s="222"/>
      <c r="N818" s="222"/>
      <c r="O818" s="222"/>
      <c r="P818" s="224"/>
      <c r="Q818" s="224"/>
      <c r="R818" s="224"/>
      <c r="S818" s="224"/>
      <c r="T818" s="224"/>
      <c r="U818" s="224"/>
      <c r="V818" s="224"/>
      <c r="W818" s="224"/>
      <c r="X818" s="224"/>
      <c r="Y818" s="222"/>
      <c r="Z818" s="222"/>
      <c r="AA818" s="224"/>
      <c r="AB818" s="224"/>
      <c r="AC818" s="224"/>
      <c r="AD818" s="224"/>
      <c r="AE818" s="224"/>
      <c r="AF818" s="224"/>
      <c r="AG818" s="224"/>
      <c r="AH818" s="224"/>
      <c r="AI818" s="224"/>
      <c r="AJ818" s="126"/>
      <c r="AK818" s="126"/>
      <c r="AL818" s="126"/>
      <c r="AM818" s="126"/>
      <c r="AN818" s="126"/>
    </row>
    <row r="819" spans="1:40" ht="15.75" customHeight="1">
      <c r="A819" s="221" t="str">
        <f t="shared" si="2"/>
        <v/>
      </c>
      <c r="B819" s="222"/>
      <c r="C819" s="222"/>
      <c r="D819" s="222" t="str">
        <f t="array" ref="D819">IF(F819="","",INDEX(#REF!,MATCH(F819,#REF!,0)))</f>
        <v/>
      </c>
      <c r="E819" s="222" t="str">
        <f t="array" ref="E819">IF(F819="","",INDEX(#REF!,MATCH(F819,#REF!,0)))</f>
        <v/>
      </c>
      <c r="F819" s="222"/>
      <c r="G819" s="222"/>
      <c r="H819" s="223"/>
      <c r="I819" s="222"/>
      <c r="J819" s="222"/>
      <c r="K819" s="222"/>
      <c r="L819" s="222"/>
      <c r="M819" s="222"/>
      <c r="N819" s="222"/>
      <c r="O819" s="222"/>
      <c r="P819" s="224"/>
      <c r="Q819" s="224"/>
      <c r="R819" s="224"/>
      <c r="S819" s="224"/>
      <c r="T819" s="224"/>
      <c r="U819" s="224"/>
      <c r="V819" s="224"/>
      <c r="W819" s="224"/>
      <c r="X819" s="224"/>
      <c r="Y819" s="222"/>
      <c r="Z819" s="222"/>
      <c r="AA819" s="224"/>
      <c r="AB819" s="224"/>
      <c r="AC819" s="224"/>
      <c r="AD819" s="224"/>
      <c r="AE819" s="224"/>
      <c r="AF819" s="224"/>
      <c r="AG819" s="224"/>
      <c r="AH819" s="224"/>
      <c r="AI819" s="224"/>
      <c r="AJ819" s="126"/>
      <c r="AK819" s="126"/>
      <c r="AL819" s="126"/>
      <c r="AM819" s="126"/>
      <c r="AN819" s="126"/>
    </row>
    <row r="820" spans="1:40" ht="15.75" customHeight="1">
      <c r="A820" s="221" t="str">
        <f t="shared" si="2"/>
        <v/>
      </c>
      <c r="B820" s="222"/>
      <c r="C820" s="222"/>
      <c r="D820" s="222" t="str">
        <f t="array" ref="D820">IF(F820="","",INDEX(#REF!,MATCH(F820,#REF!,0)))</f>
        <v/>
      </c>
      <c r="E820" s="222" t="str">
        <f t="array" ref="E820">IF(F820="","",INDEX(#REF!,MATCH(F820,#REF!,0)))</f>
        <v/>
      </c>
      <c r="F820" s="222"/>
      <c r="G820" s="222"/>
      <c r="H820" s="223"/>
      <c r="I820" s="222"/>
      <c r="J820" s="222"/>
      <c r="K820" s="222"/>
      <c r="L820" s="222"/>
      <c r="M820" s="222"/>
      <c r="N820" s="222"/>
      <c r="O820" s="222"/>
      <c r="P820" s="224"/>
      <c r="Q820" s="224"/>
      <c r="R820" s="224"/>
      <c r="S820" s="224"/>
      <c r="T820" s="224"/>
      <c r="U820" s="224"/>
      <c r="V820" s="224"/>
      <c r="W820" s="224"/>
      <c r="X820" s="224"/>
      <c r="Y820" s="222"/>
      <c r="Z820" s="222"/>
      <c r="AA820" s="224"/>
      <c r="AB820" s="224"/>
      <c r="AC820" s="224"/>
      <c r="AD820" s="224"/>
      <c r="AE820" s="224"/>
      <c r="AF820" s="224"/>
      <c r="AG820" s="224"/>
      <c r="AH820" s="224"/>
      <c r="AI820" s="224"/>
      <c r="AJ820" s="126"/>
      <c r="AK820" s="126"/>
      <c r="AL820" s="126"/>
      <c r="AM820" s="126"/>
      <c r="AN820" s="126"/>
    </row>
    <row r="821" spans="1:40" ht="15.75" customHeight="1">
      <c r="A821" s="221" t="str">
        <f t="shared" si="2"/>
        <v/>
      </c>
      <c r="B821" s="222"/>
      <c r="C821" s="222"/>
      <c r="D821" s="222" t="str">
        <f t="array" ref="D821">IF(F821="","",INDEX(#REF!,MATCH(F821,#REF!,0)))</f>
        <v/>
      </c>
      <c r="E821" s="222" t="str">
        <f t="array" ref="E821">IF(F821="","",INDEX(#REF!,MATCH(F821,#REF!,0)))</f>
        <v/>
      </c>
      <c r="F821" s="222"/>
      <c r="G821" s="222"/>
      <c r="H821" s="223"/>
      <c r="I821" s="222"/>
      <c r="J821" s="222"/>
      <c r="K821" s="222"/>
      <c r="L821" s="222"/>
      <c r="M821" s="222"/>
      <c r="N821" s="222"/>
      <c r="O821" s="222"/>
      <c r="P821" s="224"/>
      <c r="Q821" s="224"/>
      <c r="R821" s="224"/>
      <c r="S821" s="224"/>
      <c r="T821" s="224"/>
      <c r="U821" s="224"/>
      <c r="V821" s="224"/>
      <c r="W821" s="224"/>
      <c r="X821" s="224"/>
      <c r="Y821" s="222"/>
      <c r="Z821" s="222"/>
      <c r="AA821" s="224"/>
      <c r="AB821" s="224"/>
      <c r="AC821" s="224"/>
      <c r="AD821" s="224"/>
      <c r="AE821" s="224"/>
      <c r="AF821" s="224"/>
      <c r="AG821" s="224"/>
      <c r="AH821" s="224"/>
      <c r="AI821" s="224"/>
      <c r="AJ821" s="126"/>
      <c r="AK821" s="126"/>
      <c r="AL821" s="126"/>
      <c r="AM821" s="126"/>
      <c r="AN821" s="126"/>
    </row>
    <row r="822" spans="1:40" ht="15.75" customHeight="1">
      <c r="A822" s="221" t="str">
        <f t="shared" si="2"/>
        <v/>
      </c>
      <c r="B822" s="222"/>
      <c r="C822" s="222"/>
      <c r="D822" s="222" t="str">
        <f t="array" ref="D822">IF(F822="","",INDEX(#REF!,MATCH(F822,#REF!,0)))</f>
        <v/>
      </c>
      <c r="E822" s="222" t="str">
        <f t="array" ref="E822">IF(F822="","",INDEX(#REF!,MATCH(F822,#REF!,0)))</f>
        <v/>
      </c>
      <c r="F822" s="222"/>
      <c r="G822" s="222"/>
      <c r="H822" s="223"/>
      <c r="I822" s="222"/>
      <c r="J822" s="222"/>
      <c r="K822" s="222"/>
      <c r="L822" s="222"/>
      <c r="M822" s="222"/>
      <c r="N822" s="222"/>
      <c r="O822" s="222"/>
      <c r="P822" s="224"/>
      <c r="Q822" s="224"/>
      <c r="R822" s="224"/>
      <c r="S822" s="224"/>
      <c r="T822" s="224"/>
      <c r="U822" s="224"/>
      <c r="V822" s="224"/>
      <c r="W822" s="224"/>
      <c r="X822" s="224"/>
      <c r="Y822" s="222"/>
      <c r="Z822" s="222"/>
      <c r="AA822" s="224"/>
      <c r="AB822" s="224"/>
      <c r="AC822" s="224"/>
      <c r="AD822" s="224"/>
      <c r="AE822" s="224"/>
      <c r="AF822" s="224"/>
      <c r="AG822" s="224"/>
      <c r="AH822" s="224"/>
      <c r="AI822" s="224"/>
      <c r="AJ822" s="126"/>
      <c r="AK822" s="126"/>
      <c r="AL822" s="126"/>
      <c r="AM822" s="126"/>
      <c r="AN822" s="126"/>
    </row>
    <row r="823" spans="1:40" ht="15.75" customHeight="1">
      <c r="A823" s="221" t="str">
        <f t="shared" si="2"/>
        <v/>
      </c>
      <c r="B823" s="222"/>
      <c r="C823" s="222"/>
      <c r="D823" s="222" t="str">
        <f t="array" ref="D823">IF(F823="","",INDEX(#REF!,MATCH(F823,#REF!,0)))</f>
        <v/>
      </c>
      <c r="E823" s="222" t="str">
        <f t="array" ref="E823">IF(F823="","",INDEX(#REF!,MATCH(F823,#REF!,0)))</f>
        <v/>
      </c>
      <c r="F823" s="222"/>
      <c r="G823" s="222"/>
      <c r="H823" s="223"/>
      <c r="I823" s="222"/>
      <c r="J823" s="222"/>
      <c r="K823" s="222"/>
      <c r="L823" s="222"/>
      <c r="M823" s="222"/>
      <c r="N823" s="222"/>
      <c r="O823" s="222"/>
      <c r="P823" s="224"/>
      <c r="Q823" s="224"/>
      <c r="R823" s="224"/>
      <c r="S823" s="224"/>
      <c r="T823" s="224"/>
      <c r="U823" s="224"/>
      <c r="V823" s="224"/>
      <c r="W823" s="224"/>
      <c r="X823" s="224"/>
      <c r="Y823" s="222"/>
      <c r="Z823" s="222"/>
      <c r="AA823" s="224"/>
      <c r="AB823" s="224"/>
      <c r="AC823" s="224"/>
      <c r="AD823" s="224"/>
      <c r="AE823" s="224"/>
      <c r="AF823" s="224"/>
      <c r="AG823" s="224"/>
      <c r="AH823" s="224"/>
      <c r="AI823" s="224"/>
      <c r="AJ823" s="126"/>
      <c r="AK823" s="126"/>
      <c r="AL823" s="126"/>
      <c r="AM823" s="126"/>
      <c r="AN823" s="126"/>
    </row>
    <row r="824" spans="1:40" ht="15.75" customHeight="1">
      <c r="A824" s="221" t="str">
        <f t="shared" si="2"/>
        <v/>
      </c>
      <c r="B824" s="222"/>
      <c r="C824" s="222"/>
      <c r="D824" s="222" t="str">
        <f t="array" ref="D824">IF(F824="","",INDEX(#REF!,MATCH(F824,#REF!,0)))</f>
        <v/>
      </c>
      <c r="E824" s="222" t="str">
        <f t="array" ref="E824">IF(F824="","",INDEX(#REF!,MATCH(F824,#REF!,0)))</f>
        <v/>
      </c>
      <c r="F824" s="222"/>
      <c r="G824" s="222"/>
      <c r="H824" s="223"/>
      <c r="I824" s="222"/>
      <c r="J824" s="222"/>
      <c r="K824" s="222"/>
      <c r="L824" s="222"/>
      <c r="M824" s="222"/>
      <c r="N824" s="222"/>
      <c r="O824" s="222"/>
      <c r="P824" s="224"/>
      <c r="Q824" s="224"/>
      <c r="R824" s="224"/>
      <c r="S824" s="224"/>
      <c r="T824" s="224"/>
      <c r="U824" s="224"/>
      <c r="V824" s="224"/>
      <c r="W824" s="224"/>
      <c r="X824" s="224"/>
      <c r="Y824" s="222"/>
      <c r="Z824" s="222"/>
      <c r="AA824" s="224"/>
      <c r="AB824" s="224"/>
      <c r="AC824" s="224"/>
      <c r="AD824" s="224"/>
      <c r="AE824" s="224"/>
      <c r="AF824" s="224"/>
      <c r="AG824" s="224"/>
      <c r="AH824" s="224"/>
      <c r="AI824" s="224"/>
      <c r="AJ824" s="126"/>
      <c r="AK824" s="126"/>
      <c r="AL824" s="126"/>
      <c r="AM824" s="126"/>
      <c r="AN824" s="126"/>
    </row>
    <row r="825" spans="1:40" ht="15.75" customHeight="1">
      <c r="A825" s="221" t="str">
        <f t="shared" si="2"/>
        <v/>
      </c>
      <c r="B825" s="222"/>
      <c r="C825" s="222"/>
      <c r="D825" s="222" t="str">
        <f t="array" ref="D825">IF(F825="","",INDEX(#REF!,MATCH(F825,#REF!,0)))</f>
        <v/>
      </c>
      <c r="E825" s="222" t="str">
        <f t="array" ref="E825">IF(F825="","",INDEX(#REF!,MATCH(F825,#REF!,0)))</f>
        <v/>
      </c>
      <c r="F825" s="222"/>
      <c r="G825" s="222"/>
      <c r="H825" s="223"/>
      <c r="I825" s="222"/>
      <c r="J825" s="222"/>
      <c r="K825" s="222"/>
      <c r="L825" s="222"/>
      <c r="M825" s="222"/>
      <c r="N825" s="222"/>
      <c r="O825" s="222"/>
      <c r="P825" s="224"/>
      <c r="Q825" s="224"/>
      <c r="R825" s="224"/>
      <c r="S825" s="224"/>
      <c r="T825" s="224"/>
      <c r="U825" s="224"/>
      <c r="V825" s="224"/>
      <c r="W825" s="224"/>
      <c r="X825" s="224"/>
      <c r="Y825" s="222"/>
      <c r="Z825" s="222"/>
      <c r="AA825" s="224"/>
      <c r="AB825" s="224"/>
      <c r="AC825" s="224"/>
      <c r="AD825" s="224"/>
      <c r="AE825" s="224"/>
      <c r="AF825" s="224"/>
      <c r="AG825" s="224"/>
      <c r="AH825" s="224"/>
      <c r="AI825" s="224"/>
      <c r="AJ825" s="126"/>
      <c r="AK825" s="126"/>
      <c r="AL825" s="126"/>
      <c r="AM825" s="126"/>
      <c r="AN825" s="126"/>
    </row>
    <row r="826" spans="1:40" ht="15.75" customHeight="1">
      <c r="A826" s="221" t="str">
        <f t="shared" si="2"/>
        <v/>
      </c>
      <c r="B826" s="222"/>
      <c r="C826" s="222"/>
      <c r="D826" s="222" t="str">
        <f t="array" ref="D826">IF(F826="","",INDEX(#REF!,MATCH(F826,#REF!,0)))</f>
        <v/>
      </c>
      <c r="E826" s="222" t="str">
        <f t="array" ref="E826">IF(F826="","",INDEX(#REF!,MATCH(F826,#REF!,0)))</f>
        <v/>
      </c>
      <c r="F826" s="222"/>
      <c r="G826" s="222"/>
      <c r="H826" s="223"/>
      <c r="I826" s="222"/>
      <c r="J826" s="222"/>
      <c r="K826" s="222"/>
      <c r="L826" s="222"/>
      <c r="M826" s="222"/>
      <c r="N826" s="222"/>
      <c r="O826" s="222"/>
      <c r="P826" s="224"/>
      <c r="Q826" s="224"/>
      <c r="R826" s="224"/>
      <c r="S826" s="224"/>
      <c r="T826" s="224"/>
      <c r="U826" s="224"/>
      <c r="V826" s="224"/>
      <c r="W826" s="224"/>
      <c r="X826" s="224"/>
      <c r="Y826" s="222"/>
      <c r="Z826" s="222"/>
      <c r="AA826" s="224"/>
      <c r="AB826" s="224"/>
      <c r="AC826" s="224"/>
      <c r="AD826" s="224"/>
      <c r="AE826" s="224"/>
      <c r="AF826" s="224"/>
      <c r="AG826" s="224"/>
      <c r="AH826" s="224"/>
      <c r="AI826" s="224"/>
      <c r="AJ826" s="126"/>
      <c r="AK826" s="126"/>
      <c r="AL826" s="126"/>
      <c r="AM826" s="126"/>
      <c r="AN826" s="126"/>
    </row>
    <row r="827" spans="1:40" ht="15.75" customHeight="1">
      <c r="A827" s="221" t="str">
        <f t="shared" si="2"/>
        <v/>
      </c>
      <c r="B827" s="222"/>
      <c r="C827" s="222"/>
      <c r="D827" s="222" t="str">
        <f t="array" ref="D827">IF(F827="","",INDEX(#REF!,MATCH(F827,#REF!,0)))</f>
        <v/>
      </c>
      <c r="E827" s="222" t="str">
        <f t="array" ref="E827">IF(F827="","",INDEX(#REF!,MATCH(F827,#REF!,0)))</f>
        <v/>
      </c>
      <c r="F827" s="222"/>
      <c r="G827" s="222"/>
      <c r="H827" s="223"/>
      <c r="I827" s="222"/>
      <c r="J827" s="222"/>
      <c r="K827" s="222"/>
      <c r="L827" s="222"/>
      <c r="M827" s="222"/>
      <c r="N827" s="222"/>
      <c r="O827" s="222"/>
      <c r="P827" s="224"/>
      <c r="Q827" s="224"/>
      <c r="R827" s="224"/>
      <c r="S827" s="224"/>
      <c r="T827" s="224"/>
      <c r="U827" s="224"/>
      <c r="V827" s="224"/>
      <c r="W827" s="224"/>
      <c r="X827" s="224"/>
      <c r="Y827" s="222"/>
      <c r="Z827" s="222"/>
      <c r="AA827" s="224"/>
      <c r="AB827" s="224"/>
      <c r="AC827" s="224"/>
      <c r="AD827" s="224"/>
      <c r="AE827" s="224"/>
      <c r="AF827" s="224"/>
      <c r="AG827" s="224"/>
      <c r="AH827" s="224"/>
      <c r="AI827" s="224"/>
      <c r="AJ827" s="126"/>
      <c r="AK827" s="126"/>
      <c r="AL827" s="126"/>
      <c r="AM827" s="126"/>
      <c r="AN827" s="126"/>
    </row>
    <row r="828" spans="1:40" ht="15.75" customHeight="1">
      <c r="A828" s="221" t="str">
        <f t="shared" si="2"/>
        <v/>
      </c>
      <c r="B828" s="222"/>
      <c r="C828" s="222"/>
      <c r="D828" s="222" t="str">
        <f t="array" ref="D828">IF(F828="","",INDEX(#REF!,MATCH(F828,#REF!,0)))</f>
        <v/>
      </c>
      <c r="E828" s="222" t="str">
        <f t="array" ref="E828">IF(F828="","",INDEX(#REF!,MATCH(F828,#REF!,0)))</f>
        <v/>
      </c>
      <c r="F828" s="222"/>
      <c r="G828" s="222"/>
      <c r="H828" s="223"/>
      <c r="I828" s="222"/>
      <c r="J828" s="222"/>
      <c r="K828" s="222"/>
      <c r="L828" s="222"/>
      <c r="M828" s="222"/>
      <c r="N828" s="222"/>
      <c r="O828" s="222"/>
      <c r="P828" s="224"/>
      <c r="Q828" s="224"/>
      <c r="R828" s="224"/>
      <c r="S828" s="224"/>
      <c r="T828" s="224"/>
      <c r="U828" s="224"/>
      <c r="V828" s="224"/>
      <c r="W828" s="224"/>
      <c r="X828" s="224"/>
      <c r="Y828" s="222"/>
      <c r="Z828" s="222"/>
      <c r="AA828" s="224"/>
      <c r="AB828" s="224"/>
      <c r="AC828" s="224"/>
      <c r="AD828" s="224"/>
      <c r="AE828" s="224"/>
      <c r="AF828" s="224"/>
      <c r="AG828" s="224"/>
      <c r="AH828" s="224"/>
      <c r="AI828" s="224"/>
      <c r="AJ828" s="126"/>
      <c r="AK828" s="126"/>
      <c r="AL828" s="126"/>
      <c r="AM828" s="126"/>
      <c r="AN828" s="126"/>
    </row>
    <row r="829" spans="1:40" ht="15.75" customHeight="1">
      <c r="A829" s="221" t="str">
        <f t="shared" si="2"/>
        <v/>
      </c>
      <c r="B829" s="222"/>
      <c r="C829" s="222"/>
      <c r="D829" s="222" t="str">
        <f t="array" ref="D829">IF(F829="","",INDEX(#REF!,MATCH(F829,#REF!,0)))</f>
        <v/>
      </c>
      <c r="E829" s="222" t="str">
        <f t="array" ref="E829">IF(F829="","",INDEX(#REF!,MATCH(F829,#REF!,0)))</f>
        <v/>
      </c>
      <c r="F829" s="222"/>
      <c r="G829" s="222"/>
      <c r="H829" s="223"/>
      <c r="I829" s="222"/>
      <c r="J829" s="222"/>
      <c r="K829" s="222"/>
      <c r="L829" s="222"/>
      <c r="M829" s="222"/>
      <c r="N829" s="222"/>
      <c r="O829" s="222"/>
      <c r="P829" s="224"/>
      <c r="Q829" s="224"/>
      <c r="R829" s="224"/>
      <c r="S829" s="224"/>
      <c r="T829" s="224"/>
      <c r="U829" s="224"/>
      <c r="V829" s="224"/>
      <c r="W829" s="224"/>
      <c r="X829" s="224"/>
      <c r="Y829" s="222"/>
      <c r="Z829" s="222"/>
      <c r="AA829" s="224"/>
      <c r="AB829" s="224"/>
      <c r="AC829" s="224"/>
      <c r="AD829" s="224"/>
      <c r="AE829" s="224"/>
      <c r="AF829" s="224"/>
      <c r="AG829" s="224"/>
      <c r="AH829" s="224"/>
      <c r="AI829" s="224"/>
      <c r="AJ829" s="126"/>
      <c r="AK829" s="126"/>
      <c r="AL829" s="126"/>
      <c r="AM829" s="126"/>
      <c r="AN829" s="126"/>
    </row>
    <row r="830" spans="1:40" ht="15.75" customHeight="1">
      <c r="A830" s="221" t="str">
        <f t="shared" si="2"/>
        <v/>
      </c>
      <c r="B830" s="222"/>
      <c r="C830" s="222"/>
      <c r="D830" s="222" t="str">
        <f t="array" ref="D830">IF(F830="","",INDEX(#REF!,MATCH(F830,#REF!,0)))</f>
        <v/>
      </c>
      <c r="E830" s="222" t="str">
        <f t="array" ref="E830">IF(F830="","",INDEX(#REF!,MATCH(F830,#REF!,0)))</f>
        <v/>
      </c>
      <c r="F830" s="222"/>
      <c r="G830" s="222"/>
      <c r="H830" s="223"/>
      <c r="I830" s="222"/>
      <c r="J830" s="222"/>
      <c r="K830" s="222"/>
      <c r="L830" s="222"/>
      <c r="M830" s="222"/>
      <c r="N830" s="222"/>
      <c r="O830" s="222"/>
      <c r="P830" s="224"/>
      <c r="Q830" s="224"/>
      <c r="R830" s="224"/>
      <c r="S830" s="224"/>
      <c r="T830" s="224"/>
      <c r="U830" s="224"/>
      <c r="V830" s="224"/>
      <c r="W830" s="224"/>
      <c r="X830" s="224"/>
      <c r="Y830" s="222"/>
      <c r="Z830" s="222"/>
      <c r="AA830" s="224"/>
      <c r="AB830" s="224"/>
      <c r="AC830" s="224"/>
      <c r="AD830" s="224"/>
      <c r="AE830" s="224"/>
      <c r="AF830" s="224"/>
      <c r="AG830" s="224"/>
      <c r="AH830" s="224"/>
      <c r="AI830" s="224"/>
      <c r="AJ830" s="126"/>
      <c r="AK830" s="126"/>
      <c r="AL830" s="126"/>
      <c r="AM830" s="126"/>
      <c r="AN830" s="126"/>
    </row>
    <row r="831" spans="1:40" ht="15.75" customHeight="1">
      <c r="A831" s="221" t="str">
        <f t="shared" si="2"/>
        <v/>
      </c>
      <c r="B831" s="222"/>
      <c r="C831" s="222"/>
      <c r="D831" s="222" t="str">
        <f t="array" ref="D831">IF(F831="","",INDEX(#REF!,MATCH(F831,#REF!,0)))</f>
        <v/>
      </c>
      <c r="E831" s="222" t="str">
        <f t="array" ref="E831">IF(F831="","",INDEX(#REF!,MATCH(F831,#REF!,0)))</f>
        <v/>
      </c>
      <c r="F831" s="222"/>
      <c r="G831" s="222"/>
      <c r="H831" s="223"/>
      <c r="I831" s="222"/>
      <c r="J831" s="222"/>
      <c r="K831" s="222"/>
      <c r="L831" s="222"/>
      <c r="M831" s="222"/>
      <c r="N831" s="222"/>
      <c r="O831" s="222"/>
      <c r="P831" s="224"/>
      <c r="Q831" s="224"/>
      <c r="R831" s="224"/>
      <c r="S831" s="224"/>
      <c r="T831" s="224"/>
      <c r="U831" s="224"/>
      <c r="V831" s="224"/>
      <c r="W831" s="224"/>
      <c r="X831" s="224"/>
      <c r="Y831" s="222"/>
      <c r="Z831" s="222"/>
      <c r="AA831" s="224"/>
      <c r="AB831" s="224"/>
      <c r="AC831" s="224"/>
      <c r="AD831" s="224"/>
      <c r="AE831" s="224"/>
      <c r="AF831" s="224"/>
      <c r="AG831" s="224"/>
      <c r="AH831" s="224"/>
      <c r="AI831" s="224"/>
      <c r="AJ831" s="126"/>
      <c r="AK831" s="126"/>
      <c r="AL831" s="126"/>
      <c r="AM831" s="126"/>
      <c r="AN831" s="126"/>
    </row>
    <row r="832" spans="1:40" ht="15.75" customHeight="1">
      <c r="A832" s="221" t="str">
        <f t="shared" si="2"/>
        <v/>
      </c>
      <c r="B832" s="222"/>
      <c r="C832" s="222"/>
      <c r="D832" s="222" t="str">
        <f t="array" ref="D832">IF(F832="","",INDEX(#REF!,MATCH(F832,#REF!,0)))</f>
        <v/>
      </c>
      <c r="E832" s="222" t="str">
        <f t="array" ref="E832">IF(F832="","",INDEX(#REF!,MATCH(F832,#REF!,0)))</f>
        <v/>
      </c>
      <c r="F832" s="222"/>
      <c r="G832" s="222"/>
      <c r="H832" s="223"/>
      <c r="I832" s="222"/>
      <c r="J832" s="222"/>
      <c r="K832" s="222"/>
      <c r="L832" s="222"/>
      <c r="M832" s="222"/>
      <c r="N832" s="222"/>
      <c r="O832" s="222"/>
      <c r="P832" s="224"/>
      <c r="Q832" s="224"/>
      <c r="R832" s="224"/>
      <c r="S832" s="224"/>
      <c r="T832" s="224"/>
      <c r="U832" s="224"/>
      <c r="V832" s="224"/>
      <c r="W832" s="224"/>
      <c r="X832" s="224"/>
      <c r="Y832" s="222"/>
      <c r="Z832" s="222"/>
      <c r="AA832" s="224"/>
      <c r="AB832" s="224"/>
      <c r="AC832" s="224"/>
      <c r="AD832" s="224"/>
      <c r="AE832" s="224"/>
      <c r="AF832" s="224"/>
      <c r="AG832" s="224"/>
      <c r="AH832" s="224"/>
      <c r="AI832" s="224"/>
      <c r="AJ832" s="126"/>
      <c r="AK832" s="126"/>
      <c r="AL832" s="126"/>
      <c r="AM832" s="126"/>
      <c r="AN832" s="126"/>
    </row>
    <row r="833" spans="1:40" ht="15.75" customHeight="1">
      <c r="A833" s="221" t="str">
        <f t="shared" si="2"/>
        <v/>
      </c>
      <c r="B833" s="222"/>
      <c r="C833" s="222"/>
      <c r="D833" s="222" t="str">
        <f t="array" ref="D833">IF(F833="","",INDEX(#REF!,MATCH(F833,#REF!,0)))</f>
        <v/>
      </c>
      <c r="E833" s="222" t="str">
        <f t="array" ref="E833">IF(F833="","",INDEX(#REF!,MATCH(F833,#REF!,0)))</f>
        <v/>
      </c>
      <c r="F833" s="222"/>
      <c r="G833" s="222"/>
      <c r="H833" s="223"/>
      <c r="I833" s="222"/>
      <c r="J833" s="222"/>
      <c r="K833" s="222"/>
      <c r="L833" s="222"/>
      <c r="M833" s="222"/>
      <c r="N833" s="222"/>
      <c r="O833" s="222"/>
      <c r="P833" s="224"/>
      <c r="Q833" s="224"/>
      <c r="R833" s="224"/>
      <c r="S833" s="224"/>
      <c r="T833" s="224"/>
      <c r="U833" s="224"/>
      <c r="V833" s="224"/>
      <c r="W833" s="224"/>
      <c r="X833" s="224"/>
      <c r="Y833" s="222"/>
      <c r="Z833" s="222"/>
      <c r="AA833" s="224"/>
      <c r="AB833" s="224"/>
      <c r="AC833" s="224"/>
      <c r="AD833" s="224"/>
      <c r="AE833" s="224"/>
      <c r="AF833" s="224"/>
      <c r="AG833" s="224"/>
      <c r="AH833" s="224"/>
      <c r="AI833" s="224"/>
      <c r="AJ833" s="126"/>
      <c r="AK833" s="126"/>
      <c r="AL833" s="126"/>
      <c r="AM833" s="126"/>
      <c r="AN833" s="126"/>
    </row>
    <row r="834" spans="1:40" ht="15.75" customHeight="1">
      <c r="A834" s="221" t="str">
        <f t="shared" si="2"/>
        <v/>
      </c>
      <c r="B834" s="222"/>
      <c r="C834" s="222"/>
      <c r="D834" s="222" t="str">
        <f t="array" ref="D834">IF(F834="","",INDEX(#REF!,MATCH(F834,#REF!,0)))</f>
        <v/>
      </c>
      <c r="E834" s="222" t="str">
        <f t="array" ref="E834">IF(F834="","",INDEX(#REF!,MATCH(F834,#REF!,0)))</f>
        <v/>
      </c>
      <c r="F834" s="222"/>
      <c r="G834" s="222"/>
      <c r="H834" s="223"/>
      <c r="I834" s="222"/>
      <c r="J834" s="222"/>
      <c r="K834" s="222"/>
      <c r="L834" s="222"/>
      <c r="M834" s="222"/>
      <c r="N834" s="222"/>
      <c r="O834" s="222"/>
      <c r="P834" s="224"/>
      <c r="Q834" s="224"/>
      <c r="R834" s="224"/>
      <c r="S834" s="224"/>
      <c r="T834" s="224"/>
      <c r="U834" s="224"/>
      <c r="V834" s="224"/>
      <c r="W834" s="224"/>
      <c r="X834" s="224"/>
      <c r="Y834" s="222"/>
      <c r="Z834" s="222"/>
      <c r="AA834" s="224"/>
      <c r="AB834" s="224"/>
      <c r="AC834" s="224"/>
      <c r="AD834" s="224"/>
      <c r="AE834" s="224"/>
      <c r="AF834" s="224"/>
      <c r="AG834" s="224"/>
      <c r="AH834" s="224"/>
      <c r="AI834" s="224"/>
      <c r="AJ834" s="126"/>
      <c r="AK834" s="126"/>
      <c r="AL834" s="126"/>
      <c r="AM834" s="126"/>
      <c r="AN834" s="126"/>
    </row>
    <row r="835" spans="1:40" ht="15.75" customHeight="1">
      <c r="A835" s="221" t="str">
        <f t="shared" si="2"/>
        <v/>
      </c>
      <c r="B835" s="222"/>
      <c r="C835" s="222"/>
      <c r="D835" s="222" t="str">
        <f t="array" ref="D835">IF(F835="","",INDEX(#REF!,MATCH(F835,#REF!,0)))</f>
        <v/>
      </c>
      <c r="E835" s="222" t="str">
        <f t="array" ref="E835">IF(F835="","",INDEX(#REF!,MATCH(F835,#REF!,0)))</f>
        <v/>
      </c>
      <c r="F835" s="222"/>
      <c r="G835" s="222"/>
      <c r="H835" s="223"/>
      <c r="I835" s="222"/>
      <c r="J835" s="222"/>
      <c r="K835" s="222"/>
      <c r="L835" s="222"/>
      <c r="M835" s="222"/>
      <c r="N835" s="222"/>
      <c r="O835" s="222"/>
      <c r="P835" s="224"/>
      <c r="Q835" s="224"/>
      <c r="R835" s="224"/>
      <c r="S835" s="224"/>
      <c r="T835" s="224"/>
      <c r="U835" s="224"/>
      <c r="V835" s="224"/>
      <c r="W835" s="224"/>
      <c r="X835" s="224"/>
      <c r="Y835" s="222"/>
      <c r="Z835" s="222"/>
      <c r="AA835" s="224"/>
      <c r="AB835" s="224"/>
      <c r="AC835" s="224"/>
      <c r="AD835" s="224"/>
      <c r="AE835" s="224"/>
      <c r="AF835" s="224"/>
      <c r="AG835" s="224"/>
      <c r="AH835" s="224"/>
      <c r="AI835" s="224"/>
      <c r="AJ835" s="126"/>
      <c r="AK835" s="126"/>
      <c r="AL835" s="126"/>
      <c r="AM835" s="126"/>
      <c r="AN835" s="126"/>
    </row>
    <row r="836" spans="1:40" ht="15.75" customHeight="1">
      <c r="A836" s="221" t="str">
        <f t="shared" si="2"/>
        <v/>
      </c>
      <c r="B836" s="222"/>
      <c r="C836" s="222"/>
      <c r="D836" s="222" t="str">
        <f t="array" ref="D836">IF(F836="","",INDEX(#REF!,MATCH(F836,#REF!,0)))</f>
        <v/>
      </c>
      <c r="E836" s="222" t="str">
        <f t="array" ref="E836">IF(F836="","",INDEX(#REF!,MATCH(F836,#REF!,0)))</f>
        <v/>
      </c>
      <c r="F836" s="222"/>
      <c r="G836" s="222"/>
      <c r="H836" s="223"/>
      <c r="I836" s="222"/>
      <c r="J836" s="222"/>
      <c r="K836" s="222"/>
      <c r="L836" s="222"/>
      <c r="M836" s="222"/>
      <c r="N836" s="222"/>
      <c r="O836" s="222"/>
      <c r="P836" s="224"/>
      <c r="Q836" s="224"/>
      <c r="R836" s="224"/>
      <c r="S836" s="224"/>
      <c r="T836" s="224"/>
      <c r="U836" s="224"/>
      <c r="V836" s="224"/>
      <c r="W836" s="224"/>
      <c r="X836" s="224"/>
      <c r="Y836" s="222"/>
      <c r="Z836" s="222"/>
      <c r="AA836" s="224"/>
      <c r="AB836" s="224"/>
      <c r="AC836" s="224"/>
      <c r="AD836" s="224"/>
      <c r="AE836" s="224"/>
      <c r="AF836" s="224"/>
      <c r="AG836" s="224"/>
      <c r="AH836" s="224"/>
      <c r="AI836" s="224"/>
      <c r="AJ836" s="126"/>
      <c r="AK836" s="126"/>
      <c r="AL836" s="126"/>
      <c r="AM836" s="126"/>
      <c r="AN836" s="126"/>
    </row>
    <row r="837" spans="1:40" ht="15.75" customHeight="1">
      <c r="A837" s="221" t="str">
        <f t="shared" si="2"/>
        <v/>
      </c>
      <c r="B837" s="222"/>
      <c r="C837" s="222"/>
      <c r="D837" s="222" t="str">
        <f t="array" ref="D837">IF(F837="","",INDEX(#REF!,MATCH(F837,#REF!,0)))</f>
        <v/>
      </c>
      <c r="E837" s="222" t="str">
        <f t="array" ref="E837">IF(F837="","",INDEX(#REF!,MATCH(F837,#REF!,0)))</f>
        <v/>
      </c>
      <c r="F837" s="222"/>
      <c r="G837" s="222"/>
      <c r="H837" s="223"/>
      <c r="I837" s="222"/>
      <c r="J837" s="222"/>
      <c r="K837" s="222"/>
      <c r="L837" s="222"/>
      <c r="M837" s="222"/>
      <c r="N837" s="222"/>
      <c r="O837" s="222"/>
      <c r="P837" s="224"/>
      <c r="Q837" s="224"/>
      <c r="R837" s="224"/>
      <c r="S837" s="224"/>
      <c r="T837" s="224"/>
      <c r="U837" s="224"/>
      <c r="V837" s="224"/>
      <c r="W837" s="224"/>
      <c r="X837" s="224"/>
      <c r="Y837" s="222"/>
      <c r="Z837" s="222"/>
      <c r="AA837" s="224"/>
      <c r="AB837" s="224"/>
      <c r="AC837" s="224"/>
      <c r="AD837" s="224"/>
      <c r="AE837" s="224"/>
      <c r="AF837" s="224"/>
      <c r="AG837" s="224"/>
      <c r="AH837" s="224"/>
      <c r="AI837" s="224"/>
      <c r="AJ837" s="126"/>
      <c r="AK837" s="126"/>
      <c r="AL837" s="126"/>
      <c r="AM837" s="126"/>
      <c r="AN837" s="126"/>
    </row>
    <row r="838" spans="1:40" ht="15.75" customHeight="1">
      <c r="A838" s="221" t="str">
        <f t="shared" si="2"/>
        <v/>
      </c>
      <c r="B838" s="222"/>
      <c r="C838" s="222"/>
      <c r="D838" s="222" t="str">
        <f t="array" ref="D838">IF(F838="","",INDEX(#REF!,MATCH(F838,#REF!,0)))</f>
        <v/>
      </c>
      <c r="E838" s="222" t="str">
        <f t="array" ref="E838">IF(F838="","",INDEX(#REF!,MATCH(F838,#REF!,0)))</f>
        <v/>
      </c>
      <c r="F838" s="222"/>
      <c r="G838" s="222"/>
      <c r="H838" s="223"/>
      <c r="I838" s="222"/>
      <c r="J838" s="222"/>
      <c r="K838" s="222"/>
      <c r="L838" s="222"/>
      <c r="M838" s="222"/>
      <c r="N838" s="222"/>
      <c r="O838" s="222"/>
      <c r="P838" s="224"/>
      <c r="Q838" s="224"/>
      <c r="R838" s="224"/>
      <c r="S838" s="224"/>
      <c r="T838" s="224"/>
      <c r="U838" s="224"/>
      <c r="V838" s="224"/>
      <c r="W838" s="224"/>
      <c r="X838" s="224"/>
      <c r="Y838" s="222"/>
      <c r="Z838" s="222"/>
      <c r="AA838" s="224"/>
      <c r="AB838" s="224"/>
      <c r="AC838" s="224"/>
      <c r="AD838" s="224"/>
      <c r="AE838" s="224"/>
      <c r="AF838" s="224"/>
      <c r="AG838" s="224"/>
      <c r="AH838" s="224"/>
      <c r="AI838" s="224"/>
      <c r="AJ838" s="126"/>
      <c r="AK838" s="126"/>
      <c r="AL838" s="126"/>
      <c r="AM838" s="126"/>
      <c r="AN838" s="126"/>
    </row>
    <row r="839" spans="1:40" ht="15.75" customHeight="1">
      <c r="A839" s="221" t="str">
        <f t="shared" si="2"/>
        <v/>
      </c>
      <c r="B839" s="222"/>
      <c r="C839" s="222"/>
      <c r="D839" s="222" t="str">
        <f t="array" ref="D839">IF(F839="","",INDEX(#REF!,MATCH(F839,#REF!,0)))</f>
        <v/>
      </c>
      <c r="E839" s="222" t="str">
        <f t="array" ref="E839">IF(F839="","",INDEX(#REF!,MATCH(F839,#REF!,0)))</f>
        <v/>
      </c>
      <c r="F839" s="222"/>
      <c r="G839" s="222"/>
      <c r="H839" s="223"/>
      <c r="I839" s="222"/>
      <c r="J839" s="222"/>
      <c r="K839" s="222"/>
      <c r="L839" s="222"/>
      <c r="M839" s="222"/>
      <c r="N839" s="222"/>
      <c r="O839" s="222"/>
      <c r="P839" s="224"/>
      <c r="Q839" s="224"/>
      <c r="R839" s="224"/>
      <c r="S839" s="224"/>
      <c r="T839" s="224"/>
      <c r="U839" s="224"/>
      <c r="V839" s="224"/>
      <c r="W839" s="224"/>
      <c r="X839" s="224"/>
      <c r="Y839" s="222"/>
      <c r="Z839" s="222"/>
      <c r="AA839" s="224"/>
      <c r="AB839" s="224"/>
      <c r="AC839" s="224"/>
      <c r="AD839" s="224"/>
      <c r="AE839" s="224"/>
      <c r="AF839" s="224"/>
      <c r="AG839" s="224"/>
      <c r="AH839" s="224"/>
      <c r="AI839" s="224"/>
      <c r="AJ839" s="126"/>
      <c r="AK839" s="126"/>
      <c r="AL839" s="126"/>
      <c r="AM839" s="126"/>
      <c r="AN839" s="126"/>
    </row>
    <row r="840" spans="1:40" ht="15.75" customHeight="1">
      <c r="A840" s="221" t="str">
        <f t="shared" si="2"/>
        <v/>
      </c>
      <c r="B840" s="222"/>
      <c r="C840" s="222"/>
      <c r="D840" s="222" t="str">
        <f t="array" ref="D840">IF(F840="","",INDEX(#REF!,MATCH(F840,#REF!,0)))</f>
        <v/>
      </c>
      <c r="E840" s="222" t="str">
        <f t="array" ref="E840">IF(F840="","",INDEX(#REF!,MATCH(F840,#REF!,0)))</f>
        <v/>
      </c>
      <c r="F840" s="222"/>
      <c r="G840" s="222"/>
      <c r="H840" s="223"/>
      <c r="I840" s="222"/>
      <c r="J840" s="222"/>
      <c r="K840" s="222"/>
      <c r="L840" s="222"/>
      <c r="M840" s="222"/>
      <c r="N840" s="222"/>
      <c r="O840" s="222"/>
      <c r="P840" s="224"/>
      <c r="Q840" s="224"/>
      <c r="R840" s="224"/>
      <c r="S840" s="224"/>
      <c r="T840" s="224"/>
      <c r="U840" s="224"/>
      <c r="V840" s="224"/>
      <c r="W840" s="224"/>
      <c r="X840" s="224"/>
      <c r="Y840" s="222"/>
      <c r="Z840" s="222"/>
      <c r="AA840" s="224"/>
      <c r="AB840" s="224"/>
      <c r="AC840" s="224"/>
      <c r="AD840" s="224"/>
      <c r="AE840" s="224"/>
      <c r="AF840" s="224"/>
      <c r="AG840" s="224"/>
      <c r="AH840" s="224"/>
      <c r="AI840" s="224"/>
      <c r="AJ840" s="126"/>
      <c r="AK840" s="126"/>
      <c r="AL840" s="126"/>
      <c r="AM840" s="126"/>
      <c r="AN840" s="126"/>
    </row>
    <row r="841" spans="1:40" ht="15.75" customHeight="1">
      <c r="A841" s="221" t="str">
        <f t="shared" si="2"/>
        <v/>
      </c>
      <c r="B841" s="222"/>
      <c r="C841" s="222"/>
      <c r="D841" s="222" t="str">
        <f t="array" ref="D841">IF(F841="","",INDEX(#REF!,MATCH(F841,#REF!,0)))</f>
        <v/>
      </c>
      <c r="E841" s="222" t="str">
        <f t="array" ref="E841">IF(F841="","",INDEX(#REF!,MATCH(F841,#REF!,0)))</f>
        <v/>
      </c>
      <c r="F841" s="222"/>
      <c r="G841" s="222"/>
      <c r="H841" s="223"/>
      <c r="I841" s="222"/>
      <c r="J841" s="222"/>
      <c r="K841" s="222"/>
      <c r="L841" s="222"/>
      <c r="M841" s="222"/>
      <c r="N841" s="222"/>
      <c r="O841" s="222"/>
      <c r="P841" s="224"/>
      <c r="Q841" s="224"/>
      <c r="R841" s="224"/>
      <c r="S841" s="224"/>
      <c r="T841" s="224"/>
      <c r="U841" s="224"/>
      <c r="V841" s="224"/>
      <c r="W841" s="224"/>
      <c r="X841" s="224"/>
      <c r="Y841" s="222"/>
      <c r="Z841" s="222"/>
      <c r="AA841" s="224"/>
      <c r="AB841" s="224"/>
      <c r="AC841" s="224"/>
      <c r="AD841" s="224"/>
      <c r="AE841" s="224"/>
      <c r="AF841" s="224"/>
      <c r="AG841" s="224"/>
      <c r="AH841" s="224"/>
      <c r="AI841" s="224"/>
      <c r="AJ841" s="126"/>
      <c r="AK841" s="126"/>
      <c r="AL841" s="126"/>
      <c r="AM841" s="126"/>
      <c r="AN841" s="126"/>
    </row>
    <row r="842" spans="1:40" ht="15.75" customHeight="1">
      <c r="A842" s="221" t="str">
        <f t="shared" si="2"/>
        <v/>
      </c>
      <c r="B842" s="222"/>
      <c r="C842" s="222"/>
      <c r="D842" s="222" t="str">
        <f t="array" ref="D842">IF(F842="","",INDEX(#REF!,MATCH(F842,#REF!,0)))</f>
        <v/>
      </c>
      <c r="E842" s="222" t="str">
        <f t="array" ref="E842">IF(F842="","",INDEX(#REF!,MATCH(F842,#REF!,0)))</f>
        <v/>
      </c>
      <c r="F842" s="222"/>
      <c r="G842" s="222"/>
      <c r="H842" s="223"/>
      <c r="I842" s="222"/>
      <c r="J842" s="222"/>
      <c r="K842" s="222"/>
      <c r="L842" s="222"/>
      <c r="M842" s="222"/>
      <c r="N842" s="222"/>
      <c r="O842" s="222"/>
      <c r="P842" s="224"/>
      <c r="Q842" s="224"/>
      <c r="R842" s="224"/>
      <c r="S842" s="224"/>
      <c r="T842" s="224"/>
      <c r="U842" s="224"/>
      <c r="V842" s="224"/>
      <c r="W842" s="224"/>
      <c r="X842" s="224"/>
      <c r="Y842" s="222"/>
      <c r="Z842" s="222"/>
      <c r="AA842" s="224"/>
      <c r="AB842" s="224"/>
      <c r="AC842" s="224"/>
      <c r="AD842" s="224"/>
      <c r="AE842" s="224"/>
      <c r="AF842" s="224"/>
      <c r="AG842" s="224"/>
      <c r="AH842" s="224"/>
      <c r="AI842" s="224"/>
      <c r="AJ842" s="126"/>
      <c r="AK842" s="126"/>
      <c r="AL842" s="126"/>
      <c r="AM842" s="126"/>
      <c r="AN842" s="126"/>
    </row>
    <row r="843" spans="1:40" ht="15.75" customHeight="1">
      <c r="A843" s="221" t="str">
        <f t="shared" si="2"/>
        <v/>
      </c>
      <c r="B843" s="222"/>
      <c r="C843" s="222"/>
      <c r="D843" s="222" t="str">
        <f t="array" ref="D843">IF(F843="","",INDEX(#REF!,MATCH(F843,#REF!,0)))</f>
        <v/>
      </c>
      <c r="E843" s="222" t="str">
        <f t="array" ref="E843">IF(F843="","",INDEX(#REF!,MATCH(F843,#REF!,0)))</f>
        <v/>
      </c>
      <c r="F843" s="222"/>
      <c r="G843" s="222"/>
      <c r="H843" s="223"/>
      <c r="I843" s="222"/>
      <c r="J843" s="222"/>
      <c r="K843" s="222"/>
      <c r="L843" s="222"/>
      <c r="M843" s="222"/>
      <c r="N843" s="222"/>
      <c r="O843" s="222"/>
      <c r="P843" s="224"/>
      <c r="Q843" s="224"/>
      <c r="R843" s="224"/>
      <c r="S843" s="224"/>
      <c r="T843" s="224"/>
      <c r="U843" s="224"/>
      <c r="V843" s="224"/>
      <c r="W843" s="224"/>
      <c r="X843" s="224"/>
      <c r="Y843" s="222"/>
      <c r="Z843" s="222"/>
      <c r="AA843" s="224"/>
      <c r="AB843" s="224"/>
      <c r="AC843" s="224"/>
      <c r="AD843" s="224"/>
      <c r="AE843" s="224"/>
      <c r="AF843" s="224"/>
      <c r="AG843" s="224"/>
      <c r="AH843" s="224"/>
      <c r="AI843" s="224"/>
      <c r="AJ843" s="126"/>
      <c r="AK843" s="126"/>
      <c r="AL843" s="126"/>
      <c r="AM843" s="126"/>
      <c r="AN843" s="126"/>
    </row>
    <row r="844" spans="1:40" ht="15.75" customHeight="1">
      <c r="A844" s="221" t="str">
        <f t="shared" si="2"/>
        <v/>
      </c>
      <c r="B844" s="222"/>
      <c r="C844" s="222"/>
      <c r="D844" s="222" t="str">
        <f t="array" ref="D844">IF(F844="","",INDEX(#REF!,MATCH(F844,#REF!,0)))</f>
        <v/>
      </c>
      <c r="E844" s="222" t="str">
        <f t="array" ref="E844">IF(F844="","",INDEX(#REF!,MATCH(F844,#REF!,0)))</f>
        <v/>
      </c>
      <c r="F844" s="222"/>
      <c r="G844" s="222"/>
      <c r="H844" s="223"/>
      <c r="I844" s="222"/>
      <c r="J844" s="222"/>
      <c r="K844" s="222"/>
      <c r="L844" s="222"/>
      <c r="M844" s="222"/>
      <c r="N844" s="222"/>
      <c r="O844" s="222"/>
      <c r="P844" s="224"/>
      <c r="Q844" s="224"/>
      <c r="R844" s="224"/>
      <c r="S844" s="224"/>
      <c r="T844" s="224"/>
      <c r="U844" s="224"/>
      <c r="V844" s="224"/>
      <c r="W844" s="224"/>
      <c r="X844" s="224"/>
      <c r="Y844" s="222"/>
      <c r="Z844" s="222"/>
      <c r="AA844" s="224"/>
      <c r="AB844" s="224"/>
      <c r="AC844" s="224"/>
      <c r="AD844" s="224"/>
      <c r="AE844" s="224"/>
      <c r="AF844" s="224"/>
      <c r="AG844" s="224"/>
      <c r="AH844" s="224"/>
      <c r="AI844" s="224"/>
      <c r="AJ844" s="126"/>
      <c r="AK844" s="126"/>
      <c r="AL844" s="126"/>
      <c r="AM844" s="126"/>
      <c r="AN844" s="126"/>
    </row>
    <row r="845" spans="1:40" ht="15.75" customHeight="1">
      <c r="A845" s="221" t="str">
        <f t="shared" si="2"/>
        <v/>
      </c>
      <c r="B845" s="222"/>
      <c r="C845" s="222"/>
      <c r="D845" s="222" t="str">
        <f t="array" ref="D845">IF(F845="","",INDEX(#REF!,MATCH(F845,#REF!,0)))</f>
        <v/>
      </c>
      <c r="E845" s="222" t="str">
        <f t="array" ref="E845">IF(F845="","",INDEX(#REF!,MATCH(F845,#REF!,0)))</f>
        <v/>
      </c>
      <c r="F845" s="222"/>
      <c r="G845" s="222"/>
      <c r="H845" s="223"/>
      <c r="I845" s="222"/>
      <c r="J845" s="222"/>
      <c r="K845" s="222"/>
      <c r="L845" s="222"/>
      <c r="M845" s="222"/>
      <c r="N845" s="222"/>
      <c r="O845" s="222"/>
      <c r="P845" s="224"/>
      <c r="Q845" s="224"/>
      <c r="R845" s="224"/>
      <c r="S845" s="224"/>
      <c r="T845" s="224"/>
      <c r="U845" s="224"/>
      <c r="V845" s="224"/>
      <c r="W845" s="224"/>
      <c r="X845" s="224"/>
      <c r="Y845" s="222"/>
      <c r="Z845" s="222"/>
      <c r="AA845" s="224"/>
      <c r="AB845" s="224"/>
      <c r="AC845" s="224"/>
      <c r="AD845" s="224"/>
      <c r="AE845" s="224"/>
      <c r="AF845" s="224"/>
      <c r="AG845" s="224"/>
      <c r="AH845" s="224"/>
      <c r="AI845" s="224"/>
      <c r="AJ845" s="126"/>
      <c r="AK845" s="126"/>
      <c r="AL845" s="126"/>
      <c r="AM845" s="126"/>
      <c r="AN845" s="126"/>
    </row>
    <row r="846" spans="1:40" ht="15.75" customHeight="1">
      <c r="A846" s="221" t="str">
        <f t="shared" si="2"/>
        <v/>
      </c>
      <c r="B846" s="222"/>
      <c r="C846" s="222"/>
      <c r="D846" s="222" t="str">
        <f t="array" ref="D846">IF(F846="","",INDEX(#REF!,MATCH(F846,#REF!,0)))</f>
        <v/>
      </c>
      <c r="E846" s="222" t="str">
        <f t="array" ref="E846">IF(F846="","",INDEX(#REF!,MATCH(F846,#REF!,0)))</f>
        <v/>
      </c>
      <c r="F846" s="222"/>
      <c r="G846" s="222"/>
      <c r="H846" s="223"/>
      <c r="I846" s="222"/>
      <c r="J846" s="222"/>
      <c r="K846" s="222"/>
      <c r="L846" s="222"/>
      <c r="M846" s="222"/>
      <c r="N846" s="222"/>
      <c r="O846" s="222"/>
      <c r="P846" s="224"/>
      <c r="Q846" s="224"/>
      <c r="R846" s="224"/>
      <c r="S846" s="224"/>
      <c r="T846" s="224"/>
      <c r="U846" s="224"/>
      <c r="V846" s="224"/>
      <c r="W846" s="224"/>
      <c r="X846" s="224"/>
      <c r="Y846" s="222"/>
      <c r="Z846" s="222"/>
      <c r="AA846" s="224"/>
      <c r="AB846" s="224"/>
      <c r="AC846" s="224"/>
      <c r="AD846" s="224"/>
      <c r="AE846" s="224"/>
      <c r="AF846" s="224"/>
      <c r="AG846" s="224"/>
      <c r="AH846" s="224"/>
      <c r="AI846" s="224"/>
      <c r="AJ846" s="126"/>
      <c r="AK846" s="126"/>
      <c r="AL846" s="126"/>
      <c r="AM846" s="126"/>
      <c r="AN846" s="126"/>
    </row>
    <row r="847" spans="1:40" ht="15.75" customHeight="1">
      <c r="A847" s="221" t="str">
        <f t="shared" si="2"/>
        <v/>
      </c>
      <c r="B847" s="222"/>
      <c r="C847" s="222"/>
      <c r="D847" s="222" t="str">
        <f t="array" ref="D847">IF(F847="","",INDEX(#REF!,MATCH(F847,#REF!,0)))</f>
        <v/>
      </c>
      <c r="E847" s="222" t="str">
        <f t="array" ref="E847">IF(F847="","",INDEX(#REF!,MATCH(F847,#REF!,0)))</f>
        <v/>
      </c>
      <c r="F847" s="222"/>
      <c r="G847" s="222"/>
      <c r="H847" s="223"/>
      <c r="I847" s="222"/>
      <c r="J847" s="222"/>
      <c r="K847" s="222"/>
      <c r="L847" s="222"/>
      <c r="M847" s="222"/>
      <c r="N847" s="222"/>
      <c r="O847" s="222"/>
      <c r="P847" s="224"/>
      <c r="Q847" s="224"/>
      <c r="R847" s="224"/>
      <c r="S847" s="224"/>
      <c r="T847" s="224"/>
      <c r="U847" s="224"/>
      <c r="V847" s="224"/>
      <c r="W847" s="224"/>
      <c r="X847" s="224"/>
      <c r="Y847" s="222"/>
      <c r="Z847" s="222"/>
      <c r="AA847" s="224"/>
      <c r="AB847" s="224"/>
      <c r="AC847" s="224"/>
      <c r="AD847" s="224"/>
      <c r="AE847" s="224"/>
      <c r="AF847" s="224"/>
      <c r="AG847" s="224"/>
      <c r="AH847" s="224"/>
      <c r="AI847" s="224"/>
      <c r="AJ847" s="126"/>
      <c r="AK847" s="126"/>
      <c r="AL847" s="126"/>
      <c r="AM847" s="126"/>
      <c r="AN847" s="126"/>
    </row>
    <row r="848" spans="1:40" ht="15.75" customHeight="1">
      <c r="A848" s="221" t="str">
        <f t="shared" si="2"/>
        <v/>
      </c>
      <c r="B848" s="222"/>
      <c r="C848" s="222"/>
      <c r="D848" s="222" t="str">
        <f t="array" ref="D848">IF(F848="","",INDEX(#REF!,MATCH(F848,#REF!,0)))</f>
        <v/>
      </c>
      <c r="E848" s="222" t="str">
        <f t="array" ref="E848">IF(F848="","",INDEX(#REF!,MATCH(F848,#REF!,0)))</f>
        <v/>
      </c>
      <c r="F848" s="222"/>
      <c r="G848" s="222"/>
      <c r="H848" s="223"/>
      <c r="I848" s="222"/>
      <c r="J848" s="222"/>
      <c r="K848" s="222"/>
      <c r="L848" s="222"/>
      <c r="M848" s="222"/>
      <c r="N848" s="222"/>
      <c r="O848" s="222"/>
      <c r="P848" s="224"/>
      <c r="Q848" s="224"/>
      <c r="R848" s="224"/>
      <c r="S848" s="224"/>
      <c r="T848" s="224"/>
      <c r="U848" s="224"/>
      <c r="V848" s="224"/>
      <c r="W848" s="224"/>
      <c r="X848" s="224"/>
      <c r="Y848" s="222"/>
      <c r="Z848" s="222"/>
      <c r="AA848" s="224"/>
      <c r="AB848" s="224"/>
      <c r="AC848" s="224"/>
      <c r="AD848" s="224"/>
      <c r="AE848" s="224"/>
      <c r="AF848" s="224"/>
      <c r="AG848" s="224"/>
      <c r="AH848" s="224"/>
      <c r="AI848" s="224"/>
      <c r="AJ848" s="126"/>
      <c r="AK848" s="126"/>
      <c r="AL848" s="126"/>
      <c r="AM848" s="126"/>
      <c r="AN848" s="126"/>
    </row>
    <row r="849" spans="1:40" ht="15.75" customHeight="1">
      <c r="A849" s="221" t="str">
        <f t="shared" si="2"/>
        <v/>
      </c>
      <c r="B849" s="222"/>
      <c r="C849" s="222"/>
      <c r="D849" s="222" t="str">
        <f t="array" ref="D849">IF(F849="","",INDEX(#REF!,MATCH(F849,#REF!,0)))</f>
        <v/>
      </c>
      <c r="E849" s="222" t="str">
        <f t="array" ref="E849">IF(F849="","",INDEX(#REF!,MATCH(F849,#REF!,0)))</f>
        <v/>
      </c>
      <c r="F849" s="222"/>
      <c r="G849" s="222"/>
      <c r="H849" s="223"/>
      <c r="I849" s="222"/>
      <c r="J849" s="222"/>
      <c r="K849" s="222"/>
      <c r="L849" s="222"/>
      <c r="M849" s="222"/>
      <c r="N849" s="222"/>
      <c r="O849" s="222"/>
      <c r="P849" s="224"/>
      <c r="Q849" s="224"/>
      <c r="R849" s="224"/>
      <c r="S849" s="224"/>
      <c r="T849" s="224"/>
      <c r="U849" s="224"/>
      <c r="V849" s="224"/>
      <c r="W849" s="224"/>
      <c r="X849" s="224"/>
      <c r="Y849" s="222"/>
      <c r="Z849" s="222"/>
      <c r="AA849" s="224"/>
      <c r="AB849" s="224"/>
      <c r="AC849" s="224"/>
      <c r="AD849" s="224"/>
      <c r="AE849" s="224"/>
      <c r="AF849" s="224"/>
      <c r="AG849" s="224"/>
      <c r="AH849" s="224"/>
      <c r="AI849" s="224"/>
      <c r="AJ849" s="126"/>
      <c r="AK849" s="126"/>
      <c r="AL849" s="126"/>
      <c r="AM849" s="126"/>
      <c r="AN849" s="126"/>
    </row>
    <row r="850" spans="1:40" ht="15.75" customHeight="1">
      <c r="A850" s="221" t="str">
        <f t="shared" si="2"/>
        <v/>
      </c>
      <c r="B850" s="222"/>
      <c r="C850" s="222"/>
      <c r="D850" s="222" t="str">
        <f t="array" ref="D850">IF(F850="","",INDEX(#REF!,MATCH(F850,#REF!,0)))</f>
        <v/>
      </c>
      <c r="E850" s="222" t="str">
        <f t="array" ref="E850">IF(F850="","",INDEX(#REF!,MATCH(F850,#REF!,0)))</f>
        <v/>
      </c>
      <c r="F850" s="222"/>
      <c r="G850" s="222"/>
      <c r="H850" s="223"/>
      <c r="I850" s="222"/>
      <c r="J850" s="222"/>
      <c r="K850" s="222"/>
      <c r="L850" s="222"/>
      <c r="M850" s="222"/>
      <c r="N850" s="222"/>
      <c r="O850" s="222"/>
      <c r="P850" s="224"/>
      <c r="Q850" s="224"/>
      <c r="R850" s="224"/>
      <c r="S850" s="224"/>
      <c r="T850" s="224"/>
      <c r="U850" s="224"/>
      <c r="V850" s="224"/>
      <c r="W850" s="224"/>
      <c r="X850" s="224"/>
      <c r="Y850" s="222"/>
      <c r="Z850" s="222"/>
      <c r="AA850" s="224"/>
      <c r="AB850" s="224"/>
      <c r="AC850" s="224"/>
      <c r="AD850" s="224"/>
      <c r="AE850" s="224"/>
      <c r="AF850" s="224"/>
      <c r="AG850" s="224"/>
      <c r="AH850" s="224"/>
      <c r="AI850" s="224"/>
      <c r="AJ850" s="126"/>
      <c r="AK850" s="126"/>
      <c r="AL850" s="126"/>
      <c r="AM850" s="126"/>
      <c r="AN850" s="126"/>
    </row>
    <row r="851" spans="1:40" ht="15.75" customHeight="1">
      <c r="A851" s="221" t="str">
        <f t="shared" si="2"/>
        <v/>
      </c>
      <c r="B851" s="222"/>
      <c r="C851" s="222"/>
      <c r="D851" s="222" t="str">
        <f t="array" ref="D851">IF(F851="","",INDEX(#REF!,MATCH(F851,#REF!,0)))</f>
        <v/>
      </c>
      <c r="E851" s="222" t="str">
        <f t="array" ref="E851">IF(F851="","",INDEX(#REF!,MATCH(F851,#REF!,0)))</f>
        <v/>
      </c>
      <c r="F851" s="222"/>
      <c r="G851" s="222"/>
      <c r="H851" s="223"/>
      <c r="I851" s="222"/>
      <c r="J851" s="222"/>
      <c r="K851" s="222"/>
      <c r="L851" s="222"/>
      <c r="M851" s="222"/>
      <c r="N851" s="222"/>
      <c r="O851" s="222"/>
      <c r="P851" s="224"/>
      <c r="Q851" s="224"/>
      <c r="R851" s="224"/>
      <c r="S851" s="224"/>
      <c r="T851" s="224"/>
      <c r="U851" s="224"/>
      <c r="V851" s="224"/>
      <c r="W851" s="224"/>
      <c r="X851" s="224"/>
      <c r="Y851" s="222"/>
      <c r="Z851" s="222"/>
      <c r="AA851" s="224"/>
      <c r="AB851" s="224"/>
      <c r="AC851" s="224"/>
      <c r="AD851" s="224"/>
      <c r="AE851" s="224"/>
      <c r="AF851" s="224"/>
      <c r="AG851" s="224"/>
      <c r="AH851" s="224"/>
      <c r="AI851" s="224"/>
      <c r="AJ851" s="126"/>
      <c r="AK851" s="126"/>
      <c r="AL851" s="126"/>
      <c r="AM851" s="126"/>
      <c r="AN851" s="126"/>
    </row>
    <row r="852" spans="1:40" ht="15.75" customHeight="1">
      <c r="A852" s="221" t="str">
        <f t="shared" si="2"/>
        <v/>
      </c>
      <c r="B852" s="222"/>
      <c r="C852" s="222"/>
      <c r="D852" s="222" t="str">
        <f t="array" ref="D852">IF(F852="","",INDEX(#REF!,MATCH(F852,#REF!,0)))</f>
        <v/>
      </c>
      <c r="E852" s="222" t="str">
        <f t="array" ref="E852">IF(F852="","",INDEX(#REF!,MATCH(F852,#REF!,0)))</f>
        <v/>
      </c>
      <c r="F852" s="222"/>
      <c r="G852" s="222"/>
      <c r="H852" s="223"/>
      <c r="I852" s="222"/>
      <c r="J852" s="222"/>
      <c r="K852" s="222"/>
      <c r="L852" s="222"/>
      <c r="M852" s="222"/>
      <c r="N852" s="222"/>
      <c r="O852" s="222"/>
      <c r="P852" s="224"/>
      <c r="Q852" s="224"/>
      <c r="R852" s="224"/>
      <c r="S852" s="224"/>
      <c r="T852" s="224"/>
      <c r="U852" s="224"/>
      <c r="V852" s="224"/>
      <c r="W852" s="224"/>
      <c r="X852" s="224"/>
      <c r="Y852" s="222"/>
      <c r="Z852" s="222"/>
      <c r="AA852" s="224"/>
      <c r="AB852" s="224"/>
      <c r="AC852" s="224"/>
      <c r="AD852" s="224"/>
      <c r="AE852" s="224"/>
      <c r="AF852" s="224"/>
      <c r="AG852" s="224"/>
      <c r="AH852" s="224"/>
      <c r="AI852" s="224"/>
      <c r="AJ852" s="126"/>
      <c r="AK852" s="126"/>
      <c r="AL852" s="126"/>
      <c r="AM852" s="126"/>
      <c r="AN852" s="126"/>
    </row>
    <row r="853" spans="1:40" ht="15.75" customHeight="1">
      <c r="A853" s="221" t="str">
        <f t="shared" si="2"/>
        <v/>
      </c>
      <c r="B853" s="222"/>
      <c r="C853" s="222"/>
      <c r="D853" s="222" t="str">
        <f t="array" ref="D853">IF(F853="","",INDEX(#REF!,MATCH(F853,#REF!,0)))</f>
        <v/>
      </c>
      <c r="E853" s="222" t="str">
        <f t="array" ref="E853">IF(F853="","",INDEX(#REF!,MATCH(F853,#REF!,0)))</f>
        <v/>
      </c>
      <c r="F853" s="222"/>
      <c r="G853" s="222"/>
      <c r="H853" s="223"/>
      <c r="I853" s="222"/>
      <c r="J853" s="222"/>
      <c r="K853" s="222"/>
      <c r="L853" s="222"/>
      <c r="M853" s="222"/>
      <c r="N853" s="222"/>
      <c r="O853" s="222"/>
      <c r="P853" s="224"/>
      <c r="Q853" s="224"/>
      <c r="R853" s="224"/>
      <c r="S853" s="224"/>
      <c r="T853" s="224"/>
      <c r="U853" s="224"/>
      <c r="V853" s="224"/>
      <c r="W853" s="224"/>
      <c r="X853" s="224"/>
      <c r="Y853" s="222"/>
      <c r="Z853" s="222"/>
      <c r="AA853" s="224"/>
      <c r="AB853" s="224"/>
      <c r="AC853" s="224"/>
      <c r="AD853" s="224"/>
      <c r="AE853" s="224"/>
      <c r="AF853" s="224"/>
      <c r="AG853" s="224"/>
      <c r="AH853" s="224"/>
      <c r="AI853" s="224"/>
      <c r="AJ853" s="126"/>
      <c r="AK853" s="126"/>
      <c r="AL853" s="126"/>
      <c r="AM853" s="126"/>
      <c r="AN853" s="126"/>
    </row>
    <row r="854" spans="1:40" ht="15.75" customHeight="1">
      <c r="A854" s="221" t="str">
        <f t="shared" si="2"/>
        <v/>
      </c>
      <c r="B854" s="222"/>
      <c r="C854" s="222"/>
      <c r="D854" s="222" t="str">
        <f t="array" ref="D854">IF(F854="","",INDEX(#REF!,MATCH(F854,#REF!,0)))</f>
        <v/>
      </c>
      <c r="E854" s="222" t="str">
        <f t="array" ref="E854">IF(F854="","",INDEX(#REF!,MATCH(F854,#REF!,0)))</f>
        <v/>
      </c>
      <c r="F854" s="222"/>
      <c r="G854" s="222"/>
      <c r="H854" s="223"/>
      <c r="I854" s="222"/>
      <c r="J854" s="222"/>
      <c r="K854" s="222"/>
      <c r="L854" s="222"/>
      <c r="M854" s="222"/>
      <c r="N854" s="222"/>
      <c r="O854" s="222"/>
      <c r="P854" s="224"/>
      <c r="Q854" s="224"/>
      <c r="R854" s="224"/>
      <c r="S854" s="224"/>
      <c r="T854" s="224"/>
      <c r="U854" s="224"/>
      <c r="V854" s="224"/>
      <c r="W854" s="224"/>
      <c r="X854" s="224"/>
      <c r="Y854" s="222"/>
      <c r="Z854" s="222"/>
      <c r="AA854" s="224"/>
      <c r="AB854" s="224"/>
      <c r="AC854" s="224"/>
      <c r="AD854" s="224"/>
      <c r="AE854" s="224"/>
      <c r="AF854" s="224"/>
      <c r="AG854" s="224"/>
      <c r="AH854" s="224"/>
      <c r="AI854" s="224"/>
      <c r="AJ854" s="126"/>
      <c r="AK854" s="126"/>
      <c r="AL854" s="126"/>
      <c r="AM854" s="126"/>
      <c r="AN854" s="126"/>
    </row>
    <row r="855" spans="1:40" ht="15.75" customHeight="1">
      <c r="A855" s="221" t="str">
        <f t="shared" si="2"/>
        <v/>
      </c>
      <c r="B855" s="222"/>
      <c r="C855" s="222"/>
      <c r="D855" s="222" t="str">
        <f t="array" ref="D855">IF(F855="","",INDEX(#REF!,MATCH(F855,#REF!,0)))</f>
        <v/>
      </c>
      <c r="E855" s="222" t="str">
        <f t="array" ref="E855">IF(F855="","",INDEX(#REF!,MATCH(F855,#REF!,0)))</f>
        <v/>
      </c>
      <c r="F855" s="222"/>
      <c r="G855" s="222"/>
      <c r="H855" s="223"/>
      <c r="I855" s="222"/>
      <c r="J855" s="222"/>
      <c r="K855" s="222"/>
      <c r="L855" s="222"/>
      <c r="M855" s="222"/>
      <c r="N855" s="222"/>
      <c r="O855" s="222"/>
      <c r="P855" s="224"/>
      <c r="Q855" s="224"/>
      <c r="R855" s="224"/>
      <c r="S855" s="224"/>
      <c r="T855" s="224"/>
      <c r="U855" s="224"/>
      <c r="V855" s="224"/>
      <c r="W855" s="224"/>
      <c r="X855" s="224"/>
      <c r="Y855" s="222"/>
      <c r="Z855" s="222"/>
      <c r="AA855" s="224"/>
      <c r="AB855" s="224"/>
      <c r="AC855" s="224"/>
      <c r="AD855" s="224"/>
      <c r="AE855" s="224"/>
      <c r="AF855" s="224"/>
      <c r="AG855" s="224"/>
      <c r="AH855" s="224"/>
      <c r="AI855" s="224"/>
      <c r="AJ855" s="126"/>
      <c r="AK855" s="126"/>
      <c r="AL855" s="126"/>
      <c r="AM855" s="126"/>
      <c r="AN855" s="126"/>
    </row>
    <row r="856" spans="1:40" ht="15.75" customHeight="1">
      <c r="A856" s="221" t="str">
        <f t="shared" si="2"/>
        <v/>
      </c>
      <c r="B856" s="222"/>
      <c r="C856" s="222"/>
      <c r="D856" s="222" t="str">
        <f t="array" ref="D856">IF(F856="","",INDEX(#REF!,MATCH(F856,#REF!,0)))</f>
        <v/>
      </c>
      <c r="E856" s="222" t="str">
        <f t="array" ref="E856">IF(F856="","",INDEX(#REF!,MATCH(F856,#REF!,0)))</f>
        <v/>
      </c>
      <c r="F856" s="222"/>
      <c r="G856" s="222"/>
      <c r="H856" s="223"/>
      <c r="I856" s="222"/>
      <c r="J856" s="222"/>
      <c r="K856" s="222"/>
      <c r="L856" s="222"/>
      <c r="M856" s="222"/>
      <c r="N856" s="222"/>
      <c r="O856" s="222"/>
      <c r="P856" s="224"/>
      <c r="Q856" s="224"/>
      <c r="R856" s="224"/>
      <c r="S856" s="224"/>
      <c r="T856" s="224"/>
      <c r="U856" s="224"/>
      <c r="V856" s="224"/>
      <c r="W856" s="224"/>
      <c r="X856" s="224"/>
      <c r="Y856" s="222"/>
      <c r="Z856" s="222"/>
      <c r="AA856" s="224"/>
      <c r="AB856" s="224"/>
      <c r="AC856" s="224"/>
      <c r="AD856" s="224"/>
      <c r="AE856" s="224"/>
      <c r="AF856" s="224"/>
      <c r="AG856" s="224"/>
      <c r="AH856" s="224"/>
      <c r="AI856" s="224"/>
      <c r="AJ856" s="126"/>
      <c r="AK856" s="126"/>
      <c r="AL856" s="126"/>
      <c r="AM856" s="126"/>
      <c r="AN856" s="126"/>
    </row>
    <row r="857" spans="1:40" ht="15.75" customHeight="1">
      <c r="A857" s="221" t="str">
        <f t="shared" si="2"/>
        <v/>
      </c>
      <c r="B857" s="222"/>
      <c r="C857" s="222"/>
      <c r="D857" s="222" t="str">
        <f t="array" ref="D857">IF(F857="","",INDEX(#REF!,MATCH(F857,#REF!,0)))</f>
        <v/>
      </c>
      <c r="E857" s="222" t="str">
        <f t="array" ref="E857">IF(F857="","",INDEX(#REF!,MATCH(F857,#REF!,0)))</f>
        <v/>
      </c>
      <c r="F857" s="222"/>
      <c r="G857" s="222"/>
      <c r="H857" s="223"/>
      <c r="I857" s="222"/>
      <c r="J857" s="222"/>
      <c r="K857" s="222"/>
      <c r="L857" s="222"/>
      <c r="M857" s="222"/>
      <c r="N857" s="222"/>
      <c r="O857" s="222"/>
      <c r="P857" s="224"/>
      <c r="Q857" s="224"/>
      <c r="R857" s="224"/>
      <c r="S857" s="224"/>
      <c r="T857" s="224"/>
      <c r="U857" s="224"/>
      <c r="V857" s="224"/>
      <c r="W857" s="224"/>
      <c r="X857" s="224"/>
      <c r="Y857" s="222"/>
      <c r="Z857" s="222"/>
      <c r="AA857" s="224"/>
      <c r="AB857" s="224"/>
      <c r="AC857" s="224"/>
      <c r="AD857" s="224"/>
      <c r="AE857" s="224"/>
      <c r="AF857" s="224"/>
      <c r="AG857" s="224"/>
      <c r="AH857" s="224"/>
      <c r="AI857" s="224"/>
      <c r="AJ857" s="126"/>
      <c r="AK857" s="126"/>
      <c r="AL857" s="126"/>
      <c r="AM857" s="126"/>
      <c r="AN857" s="126"/>
    </row>
    <row r="858" spans="1:40" ht="15.75" customHeight="1">
      <c r="A858" s="221" t="str">
        <f t="shared" si="2"/>
        <v/>
      </c>
      <c r="B858" s="222"/>
      <c r="C858" s="222"/>
      <c r="D858" s="222" t="str">
        <f t="array" ref="D858">IF(F858="","",INDEX(#REF!,MATCH(F858,#REF!,0)))</f>
        <v/>
      </c>
      <c r="E858" s="222" t="str">
        <f t="array" ref="E858">IF(F858="","",INDEX(#REF!,MATCH(F858,#REF!,0)))</f>
        <v/>
      </c>
      <c r="F858" s="222"/>
      <c r="G858" s="222"/>
      <c r="H858" s="223"/>
      <c r="I858" s="222"/>
      <c r="J858" s="222"/>
      <c r="K858" s="222"/>
      <c r="L858" s="222"/>
      <c r="M858" s="222"/>
      <c r="N858" s="222"/>
      <c r="O858" s="222"/>
      <c r="P858" s="224"/>
      <c r="Q858" s="224"/>
      <c r="R858" s="224"/>
      <c r="S858" s="224"/>
      <c r="T858" s="224"/>
      <c r="U858" s="224"/>
      <c r="V858" s="224"/>
      <c r="W858" s="224"/>
      <c r="X858" s="224"/>
      <c r="Y858" s="222"/>
      <c r="Z858" s="222"/>
      <c r="AA858" s="224"/>
      <c r="AB858" s="224"/>
      <c r="AC858" s="224"/>
      <c r="AD858" s="224"/>
      <c r="AE858" s="224"/>
      <c r="AF858" s="224"/>
      <c r="AG858" s="224"/>
      <c r="AH858" s="224"/>
      <c r="AI858" s="224"/>
      <c r="AJ858" s="126"/>
      <c r="AK858" s="126"/>
      <c r="AL858" s="126"/>
      <c r="AM858" s="126"/>
      <c r="AN858" s="126"/>
    </row>
    <row r="859" spans="1:40" ht="15.75" customHeight="1">
      <c r="A859" s="221" t="str">
        <f t="shared" si="2"/>
        <v/>
      </c>
      <c r="B859" s="222"/>
      <c r="C859" s="222"/>
      <c r="D859" s="222" t="str">
        <f t="array" ref="D859">IF(F859="","",INDEX(#REF!,MATCH(F859,#REF!,0)))</f>
        <v/>
      </c>
      <c r="E859" s="222" t="str">
        <f t="array" ref="E859">IF(F859="","",INDEX(#REF!,MATCH(F859,#REF!,0)))</f>
        <v/>
      </c>
      <c r="F859" s="222"/>
      <c r="G859" s="222"/>
      <c r="H859" s="223"/>
      <c r="I859" s="222"/>
      <c r="J859" s="222"/>
      <c r="K859" s="222"/>
      <c r="L859" s="222"/>
      <c r="M859" s="222"/>
      <c r="N859" s="222"/>
      <c r="O859" s="222"/>
      <c r="P859" s="224"/>
      <c r="Q859" s="224"/>
      <c r="R859" s="224"/>
      <c r="S859" s="224"/>
      <c r="T859" s="224"/>
      <c r="U859" s="224"/>
      <c r="V859" s="224"/>
      <c r="W859" s="224"/>
      <c r="X859" s="224"/>
      <c r="Y859" s="222"/>
      <c r="Z859" s="222"/>
      <c r="AA859" s="224"/>
      <c r="AB859" s="224"/>
      <c r="AC859" s="224"/>
      <c r="AD859" s="224"/>
      <c r="AE859" s="224"/>
      <c r="AF859" s="224"/>
      <c r="AG859" s="224"/>
      <c r="AH859" s="224"/>
      <c r="AI859" s="224"/>
      <c r="AJ859" s="126"/>
      <c r="AK859" s="126"/>
      <c r="AL859" s="126"/>
      <c r="AM859" s="126"/>
      <c r="AN859" s="126"/>
    </row>
    <row r="860" spans="1:40" ht="15.75" customHeight="1">
      <c r="A860" s="221" t="str">
        <f t="shared" si="2"/>
        <v/>
      </c>
      <c r="B860" s="222"/>
      <c r="C860" s="222"/>
      <c r="D860" s="222" t="str">
        <f t="array" ref="D860">IF(F860="","",INDEX(#REF!,MATCH(F860,#REF!,0)))</f>
        <v/>
      </c>
      <c r="E860" s="222" t="str">
        <f t="array" ref="E860">IF(F860="","",INDEX(#REF!,MATCH(F860,#REF!,0)))</f>
        <v/>
      </c>
      <c r="F860" s="222"/>
      <c r="G860" s="222"/>
      <c r="H860" s="223"/>
      <c r="I860" s="222"/>
      <c r="J860" s="222"/>
      <c r="K860" s="222"/>
      <c r="L860" s="222"/>
      <c r="M860" s="222"/>
      <c r="N860" s="222"/>
      <c r="O860" s="222"/>
      <c r="P860" s="224"/>
      <c r="Q860" s="224"/>
      <c r="R860" s="224"/>
      <c r="S860" s="224"/>
      <c r="T860" s="224"/>
      <c r="U860" s="224"/>
      <c r="V860" s="224"/>
      <c r="W860" s="224"/>
      <c r="X860" s="224"/>
      <c r="Y860" s="222"/>
      <c r="Z860" s="222"/>
      <c r="AA860" s="224"/>
      <c r="AB860" s="224"/>
      <c r="AC860" s="224"/>
      <c r="AD860" s="224"/>
      <c r="AE860" s="224"/>
      <c r="AF860" s="224"/>
      <c r="AG860" s="224"/>
      <c r="AH860" s="224"/>
      <c r="AI860" s="224"/>
      <c r="AJ860" s="126"/>
      <c r="AK860" s="126"/>
      <c r="AL860" s="126"/>
      <c r="AM860" s="126"/>
      <c r="AN860" s="126"/>
    </row>
    <row r="861" spans="1:40" ht="15.75" customHeight="1">
      <c r="A861" s="221" t="str">
        <f t="shared" si="2"/>
        <v/>
      </c>
      <c r="B861" s="222"/>
      <c r="C861" s="222"/>
      <c r="D861" s="222" t="str">
        <f t="array" ref="D861">IF(F861="","",INDEX(#REF!,MATCH(F861,#REF!,0)))</f>
        <v/>
      </c>
      <c r="E861" s="222" t="str">
        <f t="array" ref="E861">IF(F861="","",INDEX(#REF!,MATCH(F861,#REF!,0)))</f>
        <v/>
      </c>
      <c r="F861" s="222"/>
      <c r="G861" s="222"/>
      <c r="H861" s="223"/>
      <c r="I861" s="222"/>
      <c r="J861" s="222"/>
      <c r="K861" s="222"/>
      <c r="L861" s="222"/>
      <c r="M861" s="222"/>
      <c r="N861" s="222"/>
      <c r="O861" s="222"/>
      <c r="P861" s="224"/>
      <c r="Q861" s="224"/>
      <c r="R861" s="224"/>
      <c r="S861" s="224"/>
      <c r="T861" s="224"/>
      <c r="U861" s="224"/>
      <c r="V861" s="224"/>
      <c r="W861" s="224"/>
      <c r="X861" s="224"/>
      <c r="Y861" s="222"/>
      <c r="Z861" s="222"/>
      <c r="AA861" s="224"/>
      <c r="AB861" s="224"/>
      <c r="AC861" s="224"/>
      <c r="AD861" s="224"/>
      <c r="AE861" s="224"/>
      <c r="AF861" s="224"/>
      <c r="AG861" s="224"/>
      <c r="AH861" s="224"/>
      <c r="AI861" s="224"/>
      <c r="AJ861" s="126"/>
      <c r="AK861" s="126"/>
      <c r="AL861" s="126"/>
      <c r="AM861" s="126"/>
      <c r="AN861" s="126"/>
    </row>
    <row r="862" spans="1:40" ht="15.75" customHeight="1">
      <c r="A862" s="221" t="str">
        <f t="shared" si="2"/>
        <v/>
      </c>
      <c r="B862" s="222"/>
      <c r="C862" s="222"/>
      <c r="D862" s="222" t="str">
        <f t="array" ref="D862">IF(F862="","",INDEX(#REF!,MATCH(F862,#REF!,0)))</f>
        <v/>
      </c>
      <c r="E862" s="222" t="str">
        <f t="array" ref="E862">IF(F862="","",INDEX(#REF!,MATCH(F862,#REF!,0)))</f>
        <v/>
      </c>
      <c r="F862" s="222"/>
      <c r="G862" s="222"/>
      <c r="H862" s="223"/>
      <c r="I862" s="222"/>
      <c r="J862" s="222"/>
      <c r="K862" s="222"/>
      <c r="L862" s="222"/>
      <c r="M862" s="222"/>
      <c r="N862" s="222"/>
      <c r="O862" s="222"/>
      <c r="P862" s="224"/>
      <c r="Q862" s="224"/>
      <c r="R862" s="224"/>
      <c r="S862" s="224"/>
      <c r="T862" s="224"/>
      <c r="U862" s="224"/>
      <c r="V862" s="224"/>
      <c r="W862" s="224"/>
      <c r="X862" s="224"/>
      <c r="Y862" s="222"/>
      <c r="Z862" s="222"/>
      <c r="AA862" s="224"/>
      <c r="AB862" s="224"/>
      <c r="AC862" s="224"/>
      <c r="AD862" s="224"/>
      <c r="AE862" s="224"/>
      <c r="AF862" s="224"/>
      <c r="AG862" s="224"/>
      <c r="AH862" s="224"/>
      <c r="AI862" s="224"/>
      <c r="AJ862" s="126"/>
      <c r="AK862" s="126"/>
      <c r="AL862" s="126"/>
      <c r="AM862" s="126"/>
      <c r="AN862" s="126"/>
    </row>
    <row r="863" spans="1:40" ht="15.75" customHeight="1">
      <c r="A863" s="221" t="str">
        <f t="shared" si="2"/>
        <v/>
      </c>
      <c r="B863" s="222"/>
      <c r="C863" s="222"/>
      <c r="D863" s="222" t="str">
        <f t="array" ref="D863">IF(F863="","",INDEX(#REF!,MATCH(F863,#REF!,0)))</f>
        <v/>
      </c>
      <c r="E863" s="222" t="str">
        <f t="array" ref="E863">IF(F863="","",INDEX(#REF!,MATCH(F863,#REF!,0)))</f>
        <v/>
      </c>
      <c r="F863" s="222"/>
      <c r="G863" s="222"/>
      <c r="H863" s="223"/>
      <c r="I863" s="222"/>
      <c r="J863" s="222"/>
      <c r="K863" s="222"/>
      <c r="L863" s="222"/>
      <c r="M863" s="222"/>
      <c r="N863" s="222"/>
      <c r="O863" s="222"/>
      <c r="P863" s="224"/>
      <c r="Q863" s="224"/>
      <c r="R863" s="224"/>
      <c r="S863" s="224"/>
      <c r="T863" s="224"/>
      <c r="U863" s="224"/>
      <c r="V863" s="224"/>
      <c r="W863" s="224"/>
      <c r="X863" s="224"/>
      <c r="Y863" s="222"/>
      <c r="Z863" s="222"/>
      <c r="AA863" s="224"/>
      <c r="AB863" s="224"/>
      <c r="AC863" s="224"/>
      <c r="AD863" s="224"/>
      <c r="AE863" s="224"/>
      <c r="AF863" s="224"/>
      <c r="AG863" s="224"/>
      <c r="AH863" s="224"/>
      <c r="AI863" s="224"/>
      <c r="AJ863" s="126"/>
      <c r="AK863" s="126"/>
      <c r="AL863" s="126"/>
      <c r="AM863" s="126"/>
      <c r="AN863" s="126"/>
    </row>
    <row r="864" spans="1:40" ht="15.75" customHeight="1">
      <c r="A864" s="221" t="str">
        <f t="shared" si="2"/>
        <v/>
      </c>
      <c r="B864" s="222"/>
      <c r="C864" s="222"/>
      <c r="D864" s="222" t="str">
        <f t="array" ref="D864">IF(F864="","",INDEX(#REF!,MATCH(F864,#REF!,0)))</f>
        <v/>
      </c>
      <c r="E864" s="222" t="str">
        <f t="array" ref="E864">IF(F864="","",INDEX(#REF!,MATCH(F864,#REF!,0)))</f>
        <v/>
      </c>
      <c r="F864" s="222"/>
      <c r="G864" s="222"/>
      <c r="H864" s="223"/>
      <c r="I864" s="222"/>
      <c r="J864" s="222"/>
      <c r="K864" s="222"/>
      <c r="L864" s="222"/>
      <c r="M864" s="222"/>
      <c r="N864" s="222"/>
      <c r="O864" s="222"/>
      <c r="P864" s="224"/>
      <c r="Q864" s="224"/>
      <c r="R864" s="224"/>
      <c r="S864" s="224"/>
      <c r="T864" s="224"/>
      <c r="U864" s="224"/>
      <c r="V864" s="224"/>
      <c r="W864" s="224"/>
      <c r="X864" s="224"/>
      <c r="Y864" s="222"/>
      <c r="Z864" s="222"/>
      <c r="AA864" s="224"/>
      <c r="AB864" s="224"/>
      <c r="AC864" s="224"/>
      <c r="AD864" s="224"/>
      <c r="AE864" s="224"/>
      <c r="AF864" s="224"/>
      <c r="AG864" s="224"/>
      <c r="AH864" s="224"/>
      <c r="AI864" s="224"/>
      <c r="AJ864" s="126"/>
      <c r="AK864" s="126"/>
      <c r="AL864" s="126"/>
      <c r="AM864" s="126"/>
      <c r="AN864" s="126"/>
    </row>
    <row r="865" spans="1:40" ht="15.75" customHeight="1">
      <c r="A865" s="221" t="str">
        <f t="shared" si="2"/>
        <v/>
      </c>
      <c r="B865" s="222"/>
      <c r="C865" s="222"/>
      <c r="D865" s="222" t="str">
        <f t="array" ref="D865">IF(F865="","",INDEX(#REF!,MATCH(F865,#REF!,0)))</f>
        <v/>
      </c>
      <c r="E865" s="222" t="str">
        <f t="array" ref="E865">IF(F865="","",INDEX(#REF!,MATCH(F865,#REF!,0)))</f>
        <v/>
      </c>
      <c r="F865" s="222"/>
      <c r="G865" s="222"/>
      <c r="H865" s="223"/>
      <c r="I865" s="222"/>
      <c r="J865" s="222"/>
      <c r="K865" s="222"/>
      <c r="L865" s="222"/>
      <c r="M865" s="222"/>
      <c r="N865" s="222"/>
      <c r="O865" s="222"/>
      <c r="P865" s="224"/>
      <c r="Q865" s="224"/>
      <c r="R865" s="224"/>
      <c r="S865" s="224"/>
      <c r="T865" s="224"/>
      <c r="U865" s="224"/>
      <c r="V865" s="224"/>
      <c r="W865" s="224"/>
      <c r="X865" s="224"/>
      <c r="Y865" s="222"/>
      <c r="Z865" s="222"/>
      <c r="AA865" s="224"/>
      <c r="AB865" s="224"/>
      <c r="AC865" s="224"/>
      <c r="AD865" s="224"/>
      <c r="AE865" s="224"/>
      <c r="AF865" s="224"/>
      <c r="AG865" s="224"/>
      <c r="AH865" s="224"/>
      <c r="AI865" s="224"/>
      <c r="AJ865" s="126"/>
      <c r="AK865" s="126"/>
      <c r="AL865" s="126"/>
      <c r="AM865" s="126"/>
      <c r="AN865" s="126"/>
    </row>
    <row r="866" spans="1:40" ht="15.75" customHeight="1">
      <c r="A866" s="221" t="str">
        <f t="shared" si="2"/>
        <v/>
      </c>
      <c r="B866" s="222"/>
      <c r="C866" s="222"/>
      <c r="D866" s="222" t="str">
        <f t="array" ref="D866">IF(F866="","",INDEX(#REF!,MATCH(F866,#REF!,0)))</f>
        <v/>
      </c>
      <c r="E866" s="222" t="str">
        <f t="array" ref="E866">IF(F866="","",INDEX(#REF!,MATCH(F866,#REF!,0)))</f>
        <v/>
      </c>
      <c r="F866" s="222"/>
      <c r="G866" s="222"/>
      <c r="H866" s="223"/>
      <c r="I866" s="222"/>
      <c r="J866" s="222"/>
      <c r="K866" s="222"/>
      <c r="L866" s="222"/>
      <c r="M866" s="222"/>
      <c r="N866" s="222"/>
      <c r="O866" s="222"/>
      <c r="P866" s="224"/>
      <c r="Q866" s="224"/>
      <c r="R866" s="224"/>
      <c r="S866" s="224"/>
      <c r="T866" s="224"/>
      <c r="U866" s="224"/>
      <c r="V866" s="224"/>
      <c r="W866" s="224"/>
      <c r="X866" s="224"/>
      <c r="Y866" s="222"/>
      <c r="Z866" s="222"/>
      <c r="AA866" s="224"/>
      <c r="AB866" s="224"/>
      <c r="AC866" s="224"/>
      <c r="AD866" s="224"/>
      <c r="AE866" s="224"/>
      <c r="AF866" s="224"/>
      <c r="AG866" s="224"/>
      <c r="AH866" s="224"/>
      <c r="AI866" s="224"/>
      <c r="AJ866" s="126"/>
      <c r="AK866" s="126"/>
      <c r="AL866" s="126"/>
      <c r="AM866" s="126"/>
      <c r="AN866" s="126"/>
    </row>
    <row r="867" spans="1:40" ht="15.75" customHeight="1">
      <c r="A867" s="221" t="str">
        <f t="shared" si="2"/>
        <v/>
      </c>
      <c r="B867" s="222"/>
      <c r="C867" s="222"/>
      <c r="D867" s="222" t="str">
        <f t="array" ref="D867">IF(F867="","",INDEX(#REF!,MATCH(F867,#REF!,0)))</f>
        <v/>
      </c>
      <c r="E867" s="222" t="str">
        <f t="array" ref="E867">IF(F867="","",INDEX(#REF!,MATCH(F867,#REF!,0)))</f>
        <v/>
      </c>
      <c r="F867" s="222"/>
      <c r="G867" s="222"/>
      <c r="H867" s="223"/>
      <c r="I867" s="222"/>
      <c r="J867" s="222"/>
      <c r="K867" s="222"/>
      <c r="L867" s="222"/>
      <c r="M867" s="222"/>
      <c r="N867" s="222"/>
      <c r="O867" s="222"/>
      <c r="P867" s="224"/>
      <c r="Q867" s="224"/>
      <c r="R867" s="224"/>
      <c r="S867" s="224"/>
      <c r="T867" s="224"/>
      <c r="U867" s="224"/>
      <c r="V867" s="224"/>
      <c r="W867" s="224"/>
      <c r="X867" s="224"/>
      <c r="Y867" s="222"/>
      <c r="Z867" s="222"/>
      <c r="AA867" s="224"/>
      <c r="AB867" s="224"/>
      <c r="AC867" s="224"/>
      <c r="AD867" s="224"/>
      <c r="AE867" s="224"/>
      <c r="AF867" s="224"/>
      <c r="AG867" s="224"/>
      <c r="AH867" s="224"/>
      <c r="AI867" s="224"/>
      <c r="AJ867" s="126"/>
      <c r="AK867" s="126"/>
      <c r="AL867" s="126"/>
      <c r="AM867" s="126"/>
      <c r="AN867" s="126"/>
    </row>
    <row r="868" spans="1:40" ht="15.75" customHeight="1">
      <c r="A868" s="221" t="str">
        <f t="shared" si="2"/>
        <v/>
      </c>
      <c r="B868" s="222"/>
      <c r="C868" s="222"/>
      <c r="D868" s="222" t="str">
        <f t="array" ref="D868">IF(F868="","",INDEX(#REF!,MATCH(F868,#REF!,0)))</f>
        <v/>
      </c>
      <c r="E868" s="222" t="str">
        <f t="array" ref="E868">IF(F868="","",INDEX(#REF!,MATCH(F868,#REF!,0)))</f>
        <v/>
      </c>
      <c r="F868" s="222"/>
      <c r="G868" s="222"/>
      <c r="H868" s="223"/>
      <c r="I868" s="222"/>
      <c r="J868" s="222"/>
      <c r="K868" s="222"/>
      <c r="L868" s="222"/>
      <c r="M868" s="222"/>
      <c r="N868" s="222"/>
      <c r="O868" s="222"/>
      <c r="P868" s="224"/>
      <c r="Q868" s="224"/>
      <c r="R868" s="224"/>
      <c r="S868" s="224"/>
      <c r="T868" s="224"/>
      <c r="U868" s="224"/>
      <c r="V868" s="224"/>
      <c r="W868" s="224"/>
      <c r="X868" s="224"/>
      <c r="Y868" s="222"/>
      <c r="Z868" s="222"/>
      <c r="AA868" s="224"/>
      <c r="AB868" s="224"/>
      <c r="AC868" s="224"/>
      <c r="AD868" s="224"/>
      <c r="AE868" s="224"/>
      <c r="AF868" s="224"/>
      <c r="AG868" s="224"/>
      <c r="AH868" s="224"/>
      <c r="AI868" s="224"/>
      <c r="AJ868" s="126"/>
      <c r="AK868" s="126"/>
      <c r="AL868" s="126"/>
      <c r="AM868" s="126"/>
      <c r="AN868" s="126"/>
    </row>
    <row r="869" spans="1:40" ht="15.75" customHeight="1">
      <c r="A869" s="221" t="str">
        <f t="shared" si="2"/>
        <v/>
      </c>
      <c r="B869" s="222"/>
      <c r="C869" s="222"/>
      <c r="D869" s="222" t="str">
        <f t="array" ref="D869">IF(F869="","",INDEX(#REF!,MATCH(F869,#REF!,0)))</f>
        <v/>
      </c>
      <c r="E869" s="222" t="str">
        <f t="array" ref="E869">IF(F869="","",INDEX(#REF!,MATCH(F869,#REF!,0)))</f>
        <v/>
      </c>
      <c r="F869" s="222"/>
      <c r="G869" s="222"/>
      <c r="H869" s="223"/>
      <c r="I869" s="222"/>
      <c r="J869" s="222"/>
      <c r="K869" s="222"/>
      <c r="L869" s="222"/>
      <c r="M869" s="222"/>
      <c r="N869" s="222"/>
      <c r="O869" s="222"/>
      <c r="P869" s="224"/>
      <c r="Q869" s="224"/>
      <c r="R869" s="224"/>
      <c r="S869" s="224"/>
      <c r="T869" s="224"/>
      <c r="U869" s="224"/>
      <c r="V869" s="224"/>
      <c r="W869" s="224"/>
      <c r="X869" s="224"/>
      <c r="Y869" s="222"/>
      <c r="Z869" s="222"/>
      <c r="AA869" s="224"/>
      <c r="AB869" s="224"/>
      <c r="AC869" s="224"/>
      <c r="AD869" s="224"/>
      <c r="AE869" s="224"/>
      <c r="AF869" s="224"/>
      <c r="AG869" s="224"/>
      <c r="AH869" s="224"/>
      <c r="AI869" s="224"/>
      <c r="AJ869" s="126"/>
      <c r="AK869" s="126"/>
      <c r="AL869" s="126"/>
      <c r="AM869" s="126"/>
      <c r="AN869" s="126"/>
    </row>
    <row r="870" spans="1:40" ht="15.75" customHeight="1">
      <c r="A870" s="221" t="str">
        <f t="shared" si="2"/>
        <v/>
      </c>
      <c r="B870" s="222"/>
      <c r="C870" s="222"/>
      <c r="D870" s="222" t="str">
        <f t="array" ref="D870">IF(F870="","",INDEX(#REF!,MATCH(F870,#REF!,0)))</f>
        <v/>
      </c>
      <c r="E870" s="222" t="str">
        <f t="array" ref="E870">IF(F870="","",INDEX(#REF!,MATCH(F870,#REF!,0)))</f>
        <v/>
      </c>
      <c r="F870" s="222"/>
      <c r="G870" s="222"/>
      <c r="H870" s="223"/>
      <c r="I870" s="222"/>
      <c r="J870" s="222"/>
      <c r="K870" s="222"/>
      <c r="L870" s="222"/>
      <c r="M870" s="222"/>
      <c r="N870" s="222"/>
      <c r="O870" s="222"/>
      <c r="P870" s="224"/>
      <c r="Q870" s="224"/>
      <c r="R870" s="224"/>
      <c r="S870" s="224"/>
      <c r="T870" s="224"/>
      <c r="U870" s="224"/>
      <c r="V870" s="224"/>
      <c r="W870" s="224"/>
      <c r="X870" s="224"/>
      <c r="Y870" s="222"/>
      <c r="Z870" s="222"/>
      <c r="AA870" s="224"/>
      <c r="AB870" s="224"/>
      <c r="AC870" s="224"/>
      <c r="AD870" s="224"/>
      <c r="AE870" s="224"/>
      <c r="AF870" s="224"/>
      <c r="AG870" s="224"/>
      <c r="AH870" s="224"/>
      <c r="AI870" s="224"/>
      <c r="AJ870" s="126"/>
      <c r="AK870" s="126"/>
      <c r="AL870" s="126"/>
      <c r="AM870" s="126"/>
      <c r="AN870" s="126"/>
    </row>
    <row r="871" spans="1:40" ht="15.75" customHeight="1">
      <c r="A871" s="221" t="str">
        <f t="shared" si="2"/>
        <v/>
      </c>
      <c r="B871" s="222"/>
      <c r="C871" s="222"/>
      <c r="D871" s="222" t="str">
        <f t="array" ref="D871">IF(F871="","",INDEX(#REF!,MATCH(F871,#REF!,0)))</f>
        <v/>
      </c>
      <c r="E871" s="222" t="str">
        <f t="array" ref="E871">IF(F871="","",INDEX(#REF!,MATCH(F871,#REF!,0)))</f>
        <v/>
      </c>
      <c r="F871" s="222"/>
      <c r="G871" s="222"/>
      <c r="H871" s="223"/>
      <c r="I871" s="222"/>
      <c r="J871" s="222"/>
      <c r="K871" s="222"/>
      <c r="L871" s="222"/>
      <c r="M871" s="222"/>
      <c r="N871" s="222"/>
      <c r="O871" s="222"/>
      <c r="P871" s="224"/>
      <c r="Q871" s="224"/>
      <c r="R871" s="224"/>
      <c r="S871" s="224"/>
      <c r="T871" s="224"/>
      <c r="U871" s="224"/>
      <c r="V871" s="224"/>
      <c r="W871" s="224"/>
      <c r="X871" s="224"/>
      <c r="Y871" s="222"/>
      <c r="Z871" s="222"/>
      <c r="AA871" s="224"/>
      <c r="AB871" s="224"/>
      <c r="AC871" s="224"/>
      <c r="AD871" s="224"/>
      <c r="AE871" s="224"/>
      <c r="AF871" s="224"/>
      <c r="AG871" s="224"/>
      <c r="AH871" s="224"/>
      <c r="AI871" s="224"/>
      <c r="AJ871" s="126"/>
      <c r="AK871" s="126"/>
      <c r="AL871" s="126"/>
      <c r="AM871" s="126"/>
      <c r="AN871" s="126"/>
    </row>
    <row r="872" spans="1:40" ht="15.75" customHeight="1">
      <c r="A872" s="221" t="str">
        <f t="shared" si="2"/>
        <v/>
      </c>
      <c r="B872" s="222"/>
      <c r="C872" s="222"/>
      <c r="D872" s="222" t="str">
        <f t="array" ref="D872">IF(F872="","",INDEX(#REF!,MATCH(F872,#REF!,0)))</f>
        <v/>
      </c>
      <c r="E872" s="222" t="str">
        <f t="array" ref="E872">IF(F872="","",INDEX(#REF!,MATCH(F872,#REF!,0)))</f>
        <v/>
      </c>
      <c r="F872" s="222"/>
      <c r="G872" s="222"/>
      <c r="H872" s="223"/>
      <c r="I872" s="222"/>
      <c r="J872" s="222"/>
      <c r="K872" s="222"/>
      <c r="L872" s="222"/>
      <c r="M872" s="222"/>
      <c r="N872" s="222"/>
      <c r="O872" s="222"/>
      <c r="P872" s="224"/>
      <c r="Q872" s="224"/>
      <c r="R872" s="224"/>
      <c r="S872" s="224"/>
      <c r="T872" s="224"/>
      <c r="U872" s="224"/>
      <c r="V872" s="224"/>
      <c r="W872" s="224"/>
      <c r="X872" s="224"/>
      <c r="Y872" s="222"/>
      <c r="Z872" s="222"/>
      <c r="AA872" s="224"/>
      <c r="AB872" s="224"/>
      <c r="AC872" s="224"/>
      <c r="AD872" s="224"/>
      <c r="AE872" s="224"/>
      <c r="AF872" s="224"/>
      <c r="AG872" s="224"/>
      <c r="AH872" s="224"/>
      <c r="AI872" s="224"/>
      <c r="AJ872" s="126"/>
      <c r="AK872" s="126"/>
      <c r="AL872" s="126"/>
      <c r="AM872" s="126"/>
      <c r="AN872" s="126"/>
    </row>
    <row r="873" spans="1:40" ht="15.75" customHeight="1">
      <c r="A873" s="221" t="str">
        <f t="shared" si="2"/>
        <v/>
      </c>
      <c r="B873" s="222"/>
      <c r="C873" s="222"/>
      <c r="D873" s="222" t="str">
        <f t="array" ref="D873">IF(F873="","",INDEX(#REF!,MATCH(F873,#REF!,0)))</f>
        <v/>
      </c>
      <c r="E873" s="222" t="str">
        <f t="array" ref="E873">IF(F873="","",INDEX(#REF!,MATCH(F873,#REF!,0)))</f>
        <v/>
      </c>
      <c r="F873" s="222"/>
      <c r="G873" s="222"/>
      <c r="H873" s="223"/>
      <c r="I873" s="222"/>
      <c r="J873" s="222"/>
      <c r="K873" s="222"/>
      <c r="L873" s="222"/>
      <c r="M873" s="222"/>
      <c r="N873" s="222"/>
      <c r="O873" s="222"/>
      <c r="P873" s="224"/>
      <c r="Q873" s="224"/>
      <c r="R873" s="224"/>
      <c r="S873" s="224"/>
      <c r="T873" s="224"/>
      <c r="U873" s="224"/>
      <c r="V873" s="224"/>
      <c r="W873" s="224"/>
      <c r="X873" s="224"/>
      <c r="Y873" s="222"/>
      <c r="Z873" s="222"/>
      <c r="AA873" s="224"/>
      <c r="AB873" s="224"/>
      <c r="AC873" s="224"/>
      <c r="AD873" s="224"/>
      <c r="AE873" s="224"/>
      <c r="AF873" s="224"/>
      <c r="AG873" s="224"/>
      <c r="AH873" s="224"/>
      <c r="AI873" s="224"/>
      <c r="AJ873" s="126"/>
      <c r="AK873" s="126"/>
      <c r="AL873" s="126"/>
      <c r="AM873" s="126"/>
      <c r="AN873" s="126"/>
    </row>
    <row r="874" spans="1:40" ht="15.75" customHeight="1">
      <c r="A874" s="221" t="str">
        <f t="shared" si="2"/>
        <v/>
      </c>
      <c r="B874" s="222"/>
      <c r="C874" s="222"/>
      <c r="D874" s="222" t="str">
        <f t="array" ref="D874">IF(F874="","",INDEX(#REF!,MATCH(F874,#REF!,0)))</f>
        <v/>
      </c>
      <c r="E874" s="222" t="str">
        <f t="array" ref="E874">IF(F874="","",INDEX(#REF!,MATCH(F874,#REF!,0)))</f>
        <v/>
      </c>
      <c r="F874" s="222"/>
      <c r="G874" s="222"/>
      <c r="H874" s="223"/>
      <c r="I874" s="222"/>
      <c r="J874" s="222"/>
      <c r="K874" s="222"/>
      <c r="L874" s="222"/>
      <c r="M874" s="222"/>
      <c r="N874" s="222"/>
      <c r="O874" s="222"/>
      <c r="P874" s="224"/>
      <c r="Q874" s="224"/>
      <c r="R874" s="224"/>
      <c r="S874" s="224"/>
      <c r="T874" s="224"/>
      <c r="U874" s="224"/>
      <c r="V874" s="224"/>
      <c r="W874" s="224"/>
      <c r="X874" s="224"/>
      <c r="Y874" s="222"/>
      <c r="Z874" s="222"/>
      <c r="AA874" s="224"/>
      <c r="AB874" s="224"/>
      <c r="AC874" s="224"/>
      <c r="AD874" s="224"/>
      <c r="AE874" s="224"/>
      <c r="AF874" s="224"/>
      <c r="AG874" s="224"/>
      <c r="AH874" s="224"/>
      <c r="AI874" s="224"/>
      <c r="AJ874" s="126"/>
      <c r="AK874" s="126"/>
      <c r="AL874" s="126"/>
      <c r="AM874" s="126"/>
      <c r="AN874" s="126"/>
    </row>
    <row r="875" spans="1:40" ht="15.75" customHeight="1">
      <c r="A875" s="221" t="str">
        <f t="shared" si="2"/>
        <v/>
      </c>
      <c r="B875" s="222"/>
      <c r="C875" s="222"/>
      <c r="D875" s="222" t="str">
        <f t="array" ref="D875">IF(F875="","",INDEX(#REF!,MATCH(F875,#REF!,0)))</f>
        <v/>
      </c>
      <c r="E875" s="222" t="str">
        <f t="array" ref="E875">IF(F875="","",INDEX(#REF!,MATCH(F875,#REF!,0)))</f>
        <v/>
      </c>
      <c r="F875" s="222"/>
      <c r="G875" s="222"/>
      <c r="H875" s="223"/>
      <c r="I875" s="222"/>
      <c r="J875" s="222"/>
      <c r="K875" s="222"/>
      <c r="L875" s="222"/>
      <c r="M875" s="222"/>
      <c r="N875" s="222"/>
      <c r="O875" s="222"/>
      <c r="P875" s="224"/>
      <c r="Q875" s="224"/>
      <c r="R875" s="224"/>
      <c r="S875" s="224"/>
      <c r="T875" s="224"/>
      <c r="U875" s="224"/>
      <c r="V875" s="224"/>
      <c r="W875" s="224"/>
      <c r="X875" s="224"/>
      <c r="Y875" s="222"/>
      <c r="Z875" s="222"/>
      <c r="AA875" s="224"/>
      <c r="AB875" s="224"/>
      <c r="AC875" s="224"/>
      <c r="AD875" s="224"/>
      <c r="AE875" s="224"/>
      <c r="AF875" s="224"/>
      <c r="AG875" s="224"/>
      <c r="AH875" s="224"/>
      <c r="AI875" s="224"/>
      <c r="AJ875" s="126"/>
      <c r="AK875" s="126"/>
      <c r="AL875" s="126"/>
      <c r="AM875" s="126"/>
      <c r="AN875" s="126"/>
    </row>
    <row r="876" spans="1:40" ht="15.75" customHeight="1">
      <c r="A876" s="221" t="str">
        <f t="shared" si="2"/>
        <v/>
      </c>
      <c r="B876" s="222"/>
      <c r="C876" s="222"/>
      <c r="D876" s="222" t="str">
        <f t="array" ref="D876">IF(F876="","",INDEX(#REF!,MATCH(F876,#REF!,0)))</f>
        <v/>
      </c>
      <c r="E876" s="222" t="str">
        <f t="array" ref="E876">IF(F876="","",INDEX(#REF!,MATCH(F876,#REF!,0)))</f>
        <v/>
      </c>
      <c r="F876" s="222"/>
      <c r="G876" s="222"/>
      <c r="H876" s="223"/>
      <c r="I876" s="222"/>
      <c r="J876" s="222"/>
      <c r="K876" s="222"/>
      <c r="L876" s="222"/>
      <c r="M876" s="222"/>
      <c r="N876" s="222"/>
      <c r="O876" s="222"/>
      <c r="P876" s="224"/>
      <c r="Q876" s="224"/>
      <c r="R876" s="224"/>
      <c r="S876" s="224"/>
      <c r="T876" s="224"/>
      <c r="U876" s="224"/>
      <c r="V876" s="224"/>
      <c r="W876" s="224"/>
      <c r="X876" s="224"/>
      <c r="Y876" s="222"/>
      <c r="Z876" s="222"/>
      <c r="AA876" s="224"/>
      <c r="AB876" s="224"/>
      <c r="AC876" s="224"/>
      <c r="AD876" s="224"/>
      <c r="AE876" s="224"/>
      <c r="AF876" s="224"/>
      <c r="AG876" s="224"/>
      <c r="AH876" s="224"/>
      <c r="AI876" s="224"/>
      <c r="AJ876" s="126"/>
      <c r="AK876" s="126"/>
      <c r="AL876" s="126"/>
      <c r="AM876" s="126"/>
      <c r="AN876" s="126"/>
    </row>
    <row r="877" spans="1:40" ht="15.75" customHeight="1">
      <c r="A877" s="221" t="str">
        <f t="shared" si="2"/>
        <v/>
      </c>
      <c r="B877" s="222"/>
      <c r="C877" s="222"/>
      <c r="D877" s="222" t="str">
        <f t="array" ref="D877">IF(F877="","",INDEX(#REF!,MATCH(F877,#REF!,0)))</f>
        <v/>
      </c>
      <c r="E877" s="222" t="str">
        <f t="array" ref="E877">IF(F877="","",INDEX(#REF!,MATCH(F877,#REF!,0)))</f>
        <v/>
      </c>
      <c r="F877" s="222"/>
      <c r="G877" s="222"/>
      <c r="H877" s="223"/>
      <c r="I877" s="222"/>
      <c r="J877" s="222"/>
      <c r="K877" s="222"/>
      <c r="L877" s="222"/>
      <c r="M877" s="222"/>
      <c r="N877" s="222"/>
      <c r="O877" s="222"/>
      <c r="P877" s="224"/>
      <c r="Q877" s="224"/>
      <c r="R877" s="224"/>
      <c r="S877" s="224"/>
      <c r="T877" s="224"/>
      <c r="U877" s="224"/>
      <c r="V877" s="224"/>
      <c r="W877" s="224"/>
      <c r="X877" s="224"/>
      <c r="Y877" s="222"/>
      <c r="Z877" s="222"/>
      <c r="AA877" s="224"/>
      <c r="AB877" s="224"/>
      <c r="AC877" s="224"/>
      <c r="AD877" s="224"/>
      <c r="AE877" s="224"/>
      <c r="AF877" s="224"/>
      <c r="AG877" s="224"/>
      <c r="AH877" s="224"/>
      <c r="AI877" s="224"/>
      <c r="AJ877" s="126"/>
      <c r="AK877" s="126"/>
      <c r="AL877" s="126"/>
      <c r="AM877" s="126"/>
      <c r="AN877" s="126"/>
    </row>
    <row r="878" spans="1:40" ht="15.75" customHeight="1">
      <c r="A878" s="221" t="str">
        <f t="shared" si="2"/>
        <v/>
      </c>
      <c r="B878" s="222"/>
      <c r="C878" s="222"/>
      <c r="D878" s="222" t="str">
        <f t="array" ref="D878">IF(F878="","",INDEX(#REF!,MATCH(F878,#REF!,0)))</f>
        <v/>
      </c>
      <c r="E878" s="222" t="str">
        <f t="array" ref="E878">IF(F878="","",INDEX(#REF!,MATCH(F878,#REF!,0)))</f>
        <v/>
      </c>
      <c r="F878" s="222"/>
      <c r="G878" s="222"/>
      <c r="H878" s="223"/>
      <c r="I878" s="222"/>
      <c r="J878" s="222"/>
      <c r="K878" s="222"/>
      <c r="L878" s="222"/>
      <c r="M878" s="222"/>
      <c r="N878" s="222"/>
      <c r="O878" s="222"/>
      <c r="P878" s="224"/>
      <c r="Q878" s="224"/>
      <c r="R878" s="224"/>
      <c r="S878" s="224"/>
      <c r="T878" s="224"/>
      <c r="U878" s="224"/>
      <c r="V878" s="224"/>
      <c r="W878" s="224"/>
      <c r="X878" s="224"/>
      <c r="Y878" s="222"/>
      <c r="Z878" s="222"/>
      <c r="AA878" s="224"/>
      <c r="AB878" s="224"/>
      <c r="AC878" s="224"/>
      <c r="AD878" s="224"/>
      <c r="AE878" s="224"/>
      <c r="AF878" s="224"/>
      <c r="AG878" s="224"/>
      <c r="AH878" s="224"/>
      <c r="AI878" s="224"/>
      <c r="AJ878" s="126"/>
      <c r="AK878" s="126"/>
      <c r="AL878" s="126"/>
      <c r="AM878" s="126"/>
      <c r="AN878" s="126"/>
    </row>
    <row r="879" spans="1:40" ht="15.75" customHeight="1">
      <c r="A879" s="221" t="str">
        <f t="shared" si="2"/>
        <v/>
      </c>
      <c r="B879" s="222"/>
      <c r="C879" s="222"/>
      <c r="D879" s="222" t="str">
        <f t="array" ref="D879">IF(F879="","",INDEX(#REF!,MATCH(F879,#REF!,0)))</f>
        <v/>
      </c>
      <c r="E879" s="222" t="str">
        <f t="array" ref="E879">IF(F879="","",INDEX(#REF!,MATCH(F879,#REF!,0)))</f>
        <v/>
      </c>
      <c r="F879" s="222"/>
      <c r="G879" s="222"/>
      <c r="H879" s="223"/>
      <c r="I879" s="222"/>
      <c r="J879" s="222"/>
      <c r="K879" s="222"/>
      <c r="L879" s="222"/>
      <c r="M879" s="222"/>
      <c r="N879" s="222"/>
      <c r="O879" s="222"/>
      <c r="P879" s="224"/>
      <c r="Q879" s="224"/>
      <c r="R879" s="224"/>
      <c r="S879" s="224"/>
      <c r="T879" s="224"/>
      <c r="U879" s="224"/>
      <c r="V879" s="224"/>
      <c r="W879" s="224"/>
      <c r="X879" s="224"/>
      <c r="Y879" s="222"/>
      <c r="Z879" s="222"/>
      <c r="AA879" s="224"/>
      <c r="AB879" s="224"/>
      <c r="AC879" s="224"/>
      <c r="AD879" s="224"/>
      <c r="AE879" s="224"/>
      <c r="AF879" s="224"/>
      <c r="AG879" s="224"/>
      <c r="AH879" s="224"/>
      <c r="AI879" s="224"/>
      <c r="AJ879" s="126"/>
      <c r="AK879" s="126"/>
      <c r="AL879" s="126"/>
      <c r="AM879" s="126"/>
      <c r="AN879" s="126"/>
    </row>
    <row r="880" spans="1:40" ht="15.75" customHeight="1">
      <c r="A880" s="221" t="str">
        <f t="shared" si="2"/>
        <v/>
      </c>
      <c r="B880" s="222"/>
      <c r="C880" s="222"/>
      <c r="D880" s="222" t="str">
        <f t="array" ref="D880">IF(F880="","",INDEX(#REF!,MATCH(F880,#REF!,0)))</f>
        <v/>
      </c>
      <c r="E880" s="222" t="str">
        <f t="array" ref="E880">IF(F880="","",INDEX(#REF!,MATCH(F880,#REF!,0)))</f>
        <v/>
      </c>
      <c r="F880" s="222"/>
      <c r="G880" s="222"/>
      <c r="H880" s="223"/>
      <c r="I880" s="222"/>
      <c r="J880" s="222"/>
      <c r="K880" s="222"/>
      <c r="L880" s="222"/>
      <c r="M880" s="222"/>
      <c r="N880" s="222"/>
      <c r="O880" s="222"/>
      <c r="P880" s="224"/>
      <c r="Q880" s="224"/>
      <c r="R880" s="224"/>
      <c r="S880" s="224"/>
      <c r="T880" s="224"/>
      <c r="U880" s="224"/>
      <c r="V880" s="224"/>
      <c r="W880" s="224"/>
      <c r="X880" s="224"/>
      <c r="Y880" s="222"/>
      <c r="Z880" s="222"/>
      <c r="AA880" s="224"/>
      <c r="AB880" s="224"/>
      <c r="AC880" s="224"/>
      <c r="AD880" s="224"/>
      <c r="AE880" s="224"/>
      <c r="AF880" s="224"/>
      <c r="AG880" s="224"/>
      <c r="AH880" s="224"/>
      <c r="AI880" s="224"/>
      <c r="AJ880" s="126"/>
      <c r="AK880" s="126"/>
      <c r="AL880" s="126"/>
      <c r="AM880" s="126"/>
      <c r="AN880" s="126"/>
    </row>
    <row r="881" spans="1:40" ht="15.75" customHeight="1">
      <c r="A881" s="221" t="str">
        <f t="shared" si="2"/>
        <v/>
      </c>
      <c r="B881" s="222"/>
      <c r="C881" s="222"/>
      <c r="D881" s="222" t="str">
        <f t="array" ref="D881">IF(F881="","",INDEX(#REF!,MATCH(F881,#REF!,0)))</f>
        <v/>
      </c>
      <c r="E881" s="222" t="str">
        <f t="array" ref="E881">IF(F881="","",INDEX(#REF!,MATCH(F881,#REF!,0)))</f>
        <v/>
      </c>
      <c r="F881" s="222"/>
      <c r="G881" s="222"/>
      <c r="H881" s="223"/>
      <c r="I881" s="222"/>
      <c r="J881" s="222"/>
      <c r="K881" s="222"/>
      <c r="L881" s="222"/>
      <c r="M881" s="222"/>
      <c r="N881" s="222"/>
      <c r="O881" s="222"/>
      <c r="P881" s="224"/>
      <c r="Q881" s="224"/>
      <c r="R881" s="224"/>
      <c r="S881" s="224"/>
      <c r="T881" s="224"/>
      <c r="U881" s="224"/>
      <c r="V881" s="224"/>
      <c r="W881" s="224"/>
      <c r="X881" s="224"/>
      <c r="Y881" s="222"/>
      <c r="Z881" s="222"/>
      <c r="AA881" s="224"/>
      <c r="AB881" s="224"/>
      <c r="AC881" s="224"/>
      <c r="AD881" s="224"/>
      <c r="AE881" s="224"/>
      <c r="AF881" s="224"/>
      <c r="AG881" s="224"/>
      <c r="AH881" s="224"/>
      <c r="AI881" s="224"/>
      <c r="AJ881" s="126"/>
      <c r="AK881" s="126"/>
      <c r="AL881" s="126"/>
      <c r="AM881" s="126"/>
      <c r="AN881" s="126"/>
    </row>
    <row r="882" spans="1:40" ht="15.75" customHeight="1">
      <c r="A882" s="221" t="str">
        <f t="shared" si="2"/>
        <v/>
      </c>
      <c r="B882" s="222"/>
      <c r="C882" s="222"/>
      <c r="D882" s="222" t="str">
        <f t="array" ref="D882">IF(F882="","",INDEX(#REF!,MATCH(F882,#REF!,0)))</f>
        <v/>
      </c>
      <c r="E882" s="222" t="str">
        <f t="array" ref="E882">IF(F882="","",INDEX(#REF!,MATCH(F882,#REF!,0)))</f>
        <v/>
      </c>
      <c r="F882" s="222"/>
      <c r="G882" s="222"/>
      <c r="H882" s="223"/>
      <c r="I882" s="222"/>
      <c r="J882" s="222"/>
      <c r="K882" s="222"/>
      <c r="L882" s="222"/>
      <c r="M882" s="222"/>
      <c r="N882" s="222"/>
      <c r="O882" s="222"/>
      <c r="P882" s="224"/>
      <c r="Q882" s="224"/>
      <c r="R882" s="224"/>
      <c r="S882" s="224"/>
      <c r="T882" s="224"/>
      <c r="U882" s="224"/>
      <c r="V882" s="224"/>
      <c r="W882" s="224"/>
      <c r="X882" s="224"/>
      <c r="Y882" s="222"/>
      <c r="Z882" s="222"/>
      <c r="AA882" s="224"/>
      <c r="AB882" s="224"/>
      <c r="AC882" s="224"/>
      <c r="AD882" s="224"/>
      <c r="AE882" s="224"/>
      <c r="AF882" s="224"/>
      <c r="AG882" s="224"/>
      <c r="AH882" s="224"/>
      <c r="AI882" s="224"/>
      <c r="AJ882" s="126"/>
      <c r="AK882" s="126"/>
      <c r="AL882" s="126"/>
      <c r="AM882" s="126"/>
      <c r="AN882" s="126"/>
    </row>
    <row r="883" spans="1:40" ht="15.75" customHeight="1">
      <c r="A883" s="221" t="str">
        <f t="shared" si="2"/>
        <v/>
      </c>
      <c r="B883" s="222"/>
      <c r="C883" s="222"/>
      <c r="D883" s="222" t="str">
        <f t="array" ref="D883">IF(F883="","",INDEX(#REF!,MATCH(F883,#REF!,0)))</f>
        <v/>
      </c>
      <c r="E883" s="222" t="str">
        <f t="array" ref="E883">IF(F883="","",INDEX(#REF!,MATCH(F883,#REF!,0)))</f>
        <v/>
      </c>
      <c r="F883" s="222"/>
      <c r="G883" s="222"/>
      <c r="H883" s="223"/>
      <c r="I883" s="222"/>
      <c r="J883" s="222"/>
      <c r="K883" s="222"/>
      <c r="L883" s="222"/>
      <c r="M883" s="222"/>
      <c r="N883" s="222"/>
      <c r="O883" s="222"/>
      <c r="P883" s="224"/>
      <c r="Q883" s="224"/>
      <c r="R883" s="224"/>
      <c r="S883" s="224"/>
      <c r="T883" s="224"/>
      <c r="U883" s="224"/>
      <c r="V883" s="224"/>
      <c r="W883" s="224"/>
      <c r="X883" s="224"/>
      <c r="Y883" s="222"/>
      <c r="Z883" s="222"/>
      <c r="AA883" s="224"/>
      <c r="AB883" s="224"/>
      <c r="AC883" s="224"/>
      <c r="AD883" s="224"/>
      <c r="AE883" s="224"/>
      <c r="AF883" s="224"/>
      <c r="AG883" s="224"/>
      <c r="AH883" s="224"/>
      <c r="AI883" s="224"/>
      <c r="AJ883" s="126"/>
      <c r="AK883" s="126"/>
      <c r="AL883" s="126"/>
      <c r="AM883" s="126"/>
      <c r="AN883" s="126"/>
    </row>
    <row r="884" spans="1:40" ht="15.75" customHeight="1">
      <c r="A884" s="221" t="str">
        <f t="shared" si="2"/>
        <v/>
      </c>
      <c r="B884" s="222"/>
      <c r="C884" s="222"/>
      <c r="D884" s="222" t="str">
        <f t="array" ref="D884">IF(F884="","",INDEX(#REF!,MATCH(F884,#REF!,0)))</f>
        <v/>
      </c>
      <c r="E884" s="222" t="str">
        <f t="array" ref="E884">IF(F884="","",INDEX(#REF!,MATCH(F884,#REF!,0)))</f>
        <v/>
      </c>
      <c r="F884" s="222"/>
      <c r="G884" s="222"/>
      <c r="H884" s="223"/>
      <c r="I884" s="222"/>
      <c r="J884" s="222"/>
      <c r="K884" s="222"/>
      <c r="L884" s="222"/>
      <c r="M884" s="222"/>
      <c r="N884" s="222"/>
      <c r="O884" s="222"/>
      <c r="P884" s="224"/>
      <c r="Q884" s="224"/>
      <c r="R884" s="224"/>
      <c r="S884" s="224"/>
      <c r="T884" s="224"/>
      <c r="U884" s="224"/>
      <c r="V884" s="224"/>
      <c r="W884" s="224"/>
      <c r="X884" s="224"/>
      <c r="Y884" s="222"/>
      <c r="Z884" s="222"/>
      <c r="AA884" s="224"/>
      <c r="AB884" s="224"/>
      <c r="AC884" s="224"/>
      <c r="AD884" s="224"/>
      <c r="AE884" s="224"/>
      <c r="AF884" s="224"/>
      <c r="AG884" s="224"/>
      <c r="AH884" s="224"/>
      <c r="AI884" s="224"/>
      <c r="AJ884" s="126"/>
      <c r="AK884" s="126"/>
      <c r="AL884" s="126"/>
      <c r="AM884" s="126"/>
      <c r="AN884" s="126"/>
    </row>
    <row r="885" spans="1:40" ht="15.75" customHeight="1">
      <c r="A885" s="221" t="str">
        <f t="shared" si="2"/>
        <v/>
      </c>
      <c r="B885" s="222"/>
      <c r="C885" s="222"/>
      <c r="D885" s="222" t="str">
        <f t="array" ref="D885">IF(F885="","",INDEX(#REF!,MATCH(F885,#REF!,0)))</f>
        <v/>
      </c>
      <c r="E885" s="222" t="str">
        <f t="array" ref="E885">IF(F885="","",INDEX(#REF!,MATCH(F885,#REF!,0)))</f>
        <v/>
      </c>
      <c r="F885" s="222"/>
      <c r="G885" s="222"/>
      <c r="H885" s="223"/>
      <c r="I885" s="222"/>
      <c r="J885" s="222"/>
      <c r="K885" s="222"/>
      <c r="L885" s="222"/>
      <c r="M885" s="222"/>
      <c r="N885" s="222"/>
      <c r="O885" s="222"/>
      <c r="P885" s="224"/>
      <c r="Q885" s="224"/>
      <c r="R885" s="224"/>
      <c r="S885" s="224"/>
      <c r="T885" s="224"/>
      <c r="U885" s="224"/>
      <c r="V885" s="224"/>
      <c r="W885" s="224"/>
      <c r="X885" s="224"/>
      <c r="Y885" s="222"/>
      <c r="Z885" s="222"/>
      <c r="AA885" s="224"/>
      <c r="AB885" s="224"/>
      <c r="AC885" s="224"/>
      <c r="AD885" s="224"/>
      <c r="AE885" s="224"/>
      <c r="AF885" s="224"/>
      <c r="AG885" s="224"/>
      <c r="AH885" s="224"/>
      <c r="AI885" s="224"/>
      <c r="AJ885" s="126"/>
      <c r="AK885" s="126"/>
      <c r="AL885" s="126"/>
      <c r="AM885" s="126"/>
      <c r="AN885" s="126"/>
    </row>
    <row r="886" spans="1:40" ht="15.75" customHeight="1">
      <c r="A886" s="221" t="str">
        <f t="shared" si="2"/>
        <v/>
      </c>
      <c r="B886" s="222"/>
      <c r="C886" s="222"/>
      <c r="D886" s="222" t="str">
        <f t="array" ref="D886">IF(F886="","",INDEX(#REF!,MATCH(F886,#REF!,0)))</f>
        <v/>
      </c>
      <c r="E886" s="222" t="str">
        <f t="array" ref="E886">IF(F886="","",INDEX(#REF!,MATCH(F886,#REF!,0)))</f>
        <v/>
      </c>
      <c r="F886" s="222"/>
      <c r="G886" s="222"/>
      <c r="H886" s="223"/>
      <c r="I886" s="222"/>
      <c r="J886" s="222"/>
      <c r="K886" s="222"/>
      <c r="L886" s="222"/>
      <c r="M886" s="222"/>
      <c r="N886" s="222"/>
      <c r="O886" s="222"/>
      <c r="P886" s="224"/>
      <c r="Q886" s="224"/>
      <c r="R886" s="224"/>
      <c r="S886" s="224"/>
      <c r="T886" s="224"/>
      <c r="U886" s="224"/>
      <c r="V886" s="224"/>
      <c r="W886" s="224"/>
      <c r="X886" s="224"/>
      <c r="Y886" s="222"/>
      <c r="Z886" s="222"/>
      <c r="AA886" s="224"/>
      <c r="AB886" s="224"/>
      <c r="AC886" s="224"/>
      <c r="AD886" s="224"/>
      <c r="AE886" s="224"/>
      <c r="AF886" s="224"/>
      <c r="AG886" s="224"/>
      <c r="AH886" s="224"/>
      <c r="AI886" s="224"/>
      <c r="AJ886" s="126"/>
      <c r="AK886" s="126"/>
      <c r="AL886" s="126"/>
      <c r="AM886" s="126"/>
      <c r="AN886" s="126"/>
    </row>
    <row r="887" spans="1:40" ht="15.75" customHeight="1">
      <c r="A887" s="221" t="str">
        <f t="shared" si="2"/>
        <v/>
      </c>
      <c r="B887" s="222"/>
      <c r="C887" s="222"/>
      <c r="D887" s="222" t="str">
        <f t="array" ref="D887">IF(F887="","",INDEX(#REF!,MATCH(F887,#REF!,0)))</f>
        <v/>
      </c>
      <c r="E887" s="222" t="str">
        <f t="array" ref="E887">IF(F887="","",INDEX(#REF!,MATCH(F887,#REF!,0)))</f>
        <v/>
      </c>
      <c r="F887" s="222"/>
      <c r="G887" s="222"/>
      <c r="H887" s="223"/>
      <c r="I887" s="222"/>
      <c r="J887" s="222"/>
      <c r="K887" s="222"/>
      <c r="L887" s="222"/>
      <c r="M887" s="222"/>
      <c r="N887" s="222"/>
      <c r="O887" s="222"/>
      <c r="P887" s="224"/>
      <c r="Q887" s="224"/>
      <c r="R887" s="224"/>
      <c r="S887" s="224"/>
      <c r="T887" s="224"/>
      <c r="U887" s="224"/>
      <c r="V887" s="224"/>
      <c r="W887" s="224"/>
      <c r="X887" s="224"/>
      <c r="Y887" s="222"/>
      <c r="Z887" s="222"/>
      <c r="AA887" s="224"/>
      <c r="AB887" s="224"/>
      <c r="AC887" s="224"/>
      <c r="AD887" s="224"/>
      <c r="AE887" s="224"/>
      <c r="AF887" s="224"/>
      <c r="AG887" s="224"/>
      <c r="AH887" s="224"/>
      <c r="AI887" s="224"/>
      <c r="AJ887" s="126"/>
      <c r="AK887" s="126"/>
      <c r="AL887" s="126"/>
      <c r="AM887" s="126"/>
      <c r="AN887" s="126"/>
    </row>
    <row r="888" spans="1:40" ht="15.75" customHeight="1">
      <c r="A888" s="221" t="str">
        <f t="shared" si="2"/>
        <v/>
      </c>
      <c r="B888" s="222"/>
      <c r="C888" s="222"/>
      <c r="D888" s="222" t="str">
        <f t="array" ref="D888">IF(F888="","",INDEX(#REF!,MATCH(F888,#REF!,0)))</f>
        <v/>
      </c>
      <c r="E888" s="222" t="str">
        <f t="array" ref="E888">IF(F888="","",INDEX(#REF!,MATCH(F888,#REF!,0)))</f>
        <v/>
      </c>
      <c r="F888" s="222"/>
      <c r="G888" s="222"/>
      <c r="H888" s="223"/>
      <c r="I888" s="222"/>
      <c r="J888" s="222"/>
      <c r="K888" s="222"/>
      <c r="L888" s="222"/>
      <c r="M888" s="222"/>
      <c r="N888" s="222"/>
      <c r="O888" s="222"/>
      <c r="P888" s="224"/>
      <c r="Q888" s="224"/>
      <c r="R888" s="224"/>
      <c r="S888" s="224"/>
      <c r="T888" s="224"/>
      <c r="U888" s="224"/>
      <c r="V888" s="224"/>
      <c r="W888" s="224"/>
      <c r="X888" s="224"/>
      <c r="Y888" s="222"/>
      <c r="Z888" s="222"/>
      <c r="AA888" s="224"/>
      <c r="AB888" s="224"/>
      <c r="AC888" s="224"/>
      <c r="AD888" s="224"/>
      <c r="AE888" s="224"/>
      <c r="AF888" s="224"/>
      <c r="AG888" s="224"/>
      <c r="AH888" s="224"/>
      <c r="AI888" s="224"/>
      <c r="AJ888" s="126"/>
      <c r="AK888" s="126"/>
      <c r="AL888" s="126"/>
      <c r="AM888" s="126"/>
      <c r="AN888" s="126"/>
    </row>
    <row r="889" spans="1:40" ht="15.75" customHeight="1">
      <c r="A889" s="221" t="str">
        <f t="shared" si="2"/>
        <v/>
      </c>
      <c r="B889" s="222"/>
      <c r="C889" s="222"/>
      <c r="D889" s="222" t="str">
        <f t="array" ref="D889">IF(F889="","",INDEX(#REF!,MATCH(F889,#REF!,0)))</f>
        <v/>
      </c>
      <c r="E889" s="222" t="str">
        <f t="array" ref="E889">IF(F889="","",INDEX(#REF!,MATCH(F889,#REF!,0)))</f>
        <v/>
      </c>
      <c r="F889" s="222"/>
      <c r="G889" s="222"/>
      <c r="H889" s="223"/>
      <c r="I889" s="222"/>
      <c r="J889" s="222"/>
      <c r="K889" s="222"/>
      <c r="L889" s="222"/>
      <c r="M889" s="222"/>
      <c r="N889" s="222"/>
      <c r="O889" s="222"/>
      <c r="P889" s="224"/>
      <c r="Q889" s="224"/>
      <c r="R889" s="224"/>
      <c r="S889" s="224"/>
      <c r="T889" s="224"/>
      <c r="U889" s="224"/>
      <c r="V889" s="224"/>
      <c r="W889" s="224"/>
      <c r="X889" s="224"/>
      <c r="Y889" s="222"/>
      <c r="Z889" s="222"/>
      <c r="AA889" s="224"/>
      <c r="AB889" s="224"/>
      <c r="AC889" s="224"/>
      <c r="AD889" s="224"/>
      <c r="AE889" s="224"/>
      <c r="AF889" s="224"/>
      <c r="AG889" s="224"/>
      <c r="AH889" s="224"/>
      <c r="AI889" s="224"/>
      <c r="AJ889" s="126"/>
      <c r="AK889" s="126"/>
      <c r="AL889" s="126"/>
      <c r="AM889" s="126"/>
      <c r="AN889" s="126"/>
    </row>
    <row r="890" spans="1:40" ht="15.75" customHeight="1">
      <c r="A890" s="221" t="str">
        <f t="shared" si="2"/>
        <v/>
      </c>
      <c r="B890" s="222"/>
      <c r="C890" s="222"/>
      <c r="D890" s="222" t="str">
        <f t="array" ref="D890">IF(F890="","",INDEX(#REF!,MATCH(F890,#REF!,0)))</f>
        <v/>
      </c>
      <c r="E890" s="222" t="str">
        <f t="array" ref="E890">IF(F890="","",INDEX(#REF!,MATCH(F890,#REF!,0)))</f>
        <v/>
      </c>
      <c r="F890" s="222"/>
      <c r="G890" s="222"/>
      <c r="H890" s="223"/>
      <c r="I890" s="222"/>
      <c r="J890" s="222"/>
      <c r="K890" s="222"/>
      <c r="L890" s="222"/>
      <c r="M890" s="222"/>
      <c r="N890" s="222"/>
      <c r="O890" s="222"/>
      <c r="P890" s="224"/>
      <c r="Q890" s="224"/>
      <c r="R890" s="224"/>
      <c r="S890" s="224"/>
      <c r="T890" s="224"/>
      <c r="U890" s="224"/>
      <c r="V890" s="224"/>
      <c r="W890" s="224"/>
      <c r="X890" s="224"/>
      <c r="Y890" s="222"/>
      <c r="Z890" s="222"/>
      <c r="AA890" s="224"/>
      <c r="AB890" s="224"/>
      <c r="AC890" s="224"/>
      <c r="AD890" s="224"/>
      <c r="AE890" s="224"/>
      <c r="AF890" s="224"/>
      <c r="AG890" s="224"/>
      <c r="AH890" s="224"/>
      <c r="AI890" s="224"/>
      <c r="AJ890" s="126"/>
      <c r="AK890" s="126"/>
      <c r="AL890" s="126"/>
      <c r="AM890" s="126"/>
      <c r="AN890" s="126"/>
    </row>
    <row r="891" spans="1:40" ht="15.75" customHeight="1">
      <c r="A891" s="221" t="str">
        <f t="shared" si="2"/>
        <v/>
      </c>
      <c r="B891" s="222"/>
      <c r="C891" s="222"/>
      <c r="D891" s="222" t="str">
        <f t="array" ref="D891">IF(F891="","",INDEX(#REF!,MATCH(F891,#REF!,0)))</f>
        <v/>
      </c>
      <c r="E891" s="222" t="str">
        <f t="array" ref="E891">IF(F891="","",INDEX(#REF!,MATCH(F891,#REF!,0)))</f>
        <v/>
      </c>
      <c r="F891" s="222"/>
      <c r="G891" s="222"/>
      <c r="H891" s="223"/>
      <c r="I891" s="222"/>
      <c r="J891" s="222"/>
      <c r="K891" s="222"/>
      <c r="L891" s="222"/>
      <c r="M891" s="222"/>
      <c r="N891" s="222"/>
      <c r="O891" s="222"/>
      <c r="P891" s="224"/>
      <c r="Q891" s="224"/>
      <c r="R891" s="224"/>
      <c r="S891" s="224"/>
      <c r="T891" s="224"/>
      <c r="U891" s="224"/>
      <c r="V891" s="224"/>
      <c r="W891" s="224"/>
      <c r="X891" s="224"/>
      <c r="Y891" s="222"/>
      <c r="Z891" s="222"/>
      <c r="AA891" s="224"/>
      <c r="AB891" s="224"/>
      <c r="AC891" s="224"/>
      <c r="AD891" s="224"/>
      <c r="AE891" s="224"/>
      <c r="AF891" s="224"/>
      <c r="AG891" s="224"/>
      <c r="AH891" s="224"/>
      <c r="AI891" s="224"/>
      <c r="AJ891" s="126"/>
      <c r="AK891" s="126"/>
      <c r="AL891" s="126"/>
      <c r="AM891" s="126"/>
      <c r="AN891" s="126"/>
    </row>
    <row r="892" spans="1:40" ht="15.75" customHeight="1">
      <c r="A892" s="221" t="str">
        <f t="shared" si="2"/>
        <v/>
      </c>
      <c r="B892" s="222"/>
      <c r="C892" s="222"/>
      <c r="D892" s="222" t="str">
        <f t="array" ref="D892">IF(F892="","",INDEX(#REF!,MATCH(F892,#REF!,0)))</f>
        <v/>
      </c>
      <c r="E892" s="222" t="str">
        <f t="array" ref="E892">IF(F892="","",INDEX(#REF!,MATCH(F892,#REF!,0)))</f>
        <v/>
      </c>
      <c r="F892" s="222"/>
      <c r="G892" s="222"/>
      <c r="H892" s="223"/>
      <c r="I892" s="222"/>
      <c r="J892" s="222"/>
      <c r="K892" s="222"/>
      <c r="L892" s="222"/>
      <c r="M892" s="222"/>
      <c r="N892" s="222"/>
      <c r="O892" s="222"/>
      <c r="P892" s="224"/>
      <c r="Q892" s="224"/>
      <c r="R892" s="224"/>
      <c r="S892" s="224"/>
      <c r="T892" s="224"/>
      <c r="U892" s="224"/>
      <c r="V892" s="224"/>
      <c r="W892" s="224"/>
      <c r="X892" s="224"/>
      <c r="Y892" s="222"/>
      <c r="Z892" s="222"/>
      <c r="AA892" s="224"/>
      <c r="AB892" s="224"/>
      <c r="AC892" s="224"/>
      <c r="AD892" s="224"/>
      <c r="AE892" s="224"/>
      <c r="AF892" s="224"/>
      <c r="AG892" s="224"/>
      <c r="AH892" s="224"/>
      <c r="AI892" s="224"/>
      <c r="AJ892" s="126"/>
      <c r="AK892" s="126"/>
      <c r="AL892" s="126"/>
      <c r="AM892" s="126"/>
      <c r="AN892" s="126"/>
    </row>
    <row r="893" spans="1:40" ht="15.75" customHeight="1">
      <c r="A893" s="221" t="str">
        <f t="shared" si="2"/>
        <v/>
      </c>
      <c r="B893" s="222"/>
      <c r="C893" s="222"/>
      <c r="D893" s="222" t="str">
        <f t="array" ref="D893">IF(F893="","",INDEX(#REF!,MATCH(F893,#REF!,0)))</f>
        <v/>
      </c>
      <c r="E893" s="222" t="str">
        <f t="array" ref="E893">IF(F893="","",INDEX(#REF!,MATCH(F893,#REF!,0)))</f>
        <v/>
      </c>
      <c r="F893" s="222"/>
      <c r="G893" s="222"/>
      <c r="H893" s="223"/>
      <c r="I893" s="222"/>
      <c r="J893" s="222"/>
      <c r="K893" s="222"/>
      <c r="L893" s="222"/>
      <c r="M893" s="222"/>
      <c r="N893" s="222"/>
      <c r="O893" s="222"/>
      <c r="P893" s="224"/>
      <c r="Q893" s="224"/>
      <c r="R893" s="224"/>
      <c r="S893" s="224"/>
      <c r="T893" s="224"/>
      <c r="U893" s="224"/>
      <c r="V893" s="224"/>
      <c r="W893" s="224"/>
      <c r="X893" s="224"/>
      <c r="Y893" s="222"/>
      <c r="Z893" s="222"/>
      <c r="AA893" s="224"/>
      <c r="AB893" s="224"/>
      <c r="AC893" s="224"/>
      <c r="AD893" s="224"/>
      <c r="AE893" s="224"/>
      <c r="AF893" s="224"/>
      <c r="AG893" s="224"/>
      <c r="AH893" s="224"/>
      <c r="AI893" s="224"/>
      <c r="AJ893" s="126"/>
      <c r="AK893" s="126"/>
      <c r="AL893" s="126"/>
      <c r="AM893" s="126"/>
      <c r="AN893" s="126"/>
    </row>
    <row r="894" spans="1:40" ht="15.75" customHeight="1">
      <c r="A894" s="221" t="str">
        <f t="shared" si="2"/>
        <v/>
      </c>
      <c r="B894" s="222"/>
      <c r="C894" s="222"/>
      <c r="D894" s="222" t="str">
        <f t="array" ref="D894">IF(F894="","",INDEX(#REF!,MATCH(F894,#REF!,0)))</f>
        <v/>
      </c>
      <c r="E894" s="222" t="str">
        <f t="array" ref="E894">IF(F894="","",INDEX(#REF!,MATCH(F894,#REF!,0)))</f>
        <v/>
      </c>
      <c r="F894" s="222"/>
      <c r="G894" s="222"/>
      <c r="H894" s="223"/>
      <c r="I894" s="222"/>
      <c r="J894" s="222"/>
      <c r="K894" s="222"/>
      <c r="L894" s="222"/>
      <c r="M894" s="222"/>
      <c r="N894" s="222"/>
      <c r="O894" s="222"/>
      <c r="P894" s="224"/>
      <c r="Q894" s="224"/>
      <c r="R894" s="224"/>
      <c r="S894" s="224"/>
      <c r="T894" s="224"/>
      <c r="U894" s="224"/>
      <c r="V894" s="224"/>
      <c r="W894" s="224"/>
      <c r="X894" s="224"/>
      <c r="Y894" s="222"/>
      <c r="Z894" s="222"/>
      <c r="AA894" s="224"/>
      <c r="AB894" s="224"/>
      <c r="AC894" s="224"/>
      <c r="AD894" s="224"/>
      <c r="AE894" s="224"/>
      <c r="AF894" s="224"/>
      <c r="AG894" s="224"/>
      <c r="AH894" s="224"/>
      <c r="AI894" s="224"/>
      <c r="AJ894" s="126"/>
      <c r="AK894" s="126"/>
      <c r="AL894" s="126"/>
      <c r="AM894" s="126"/>
      <c r="AN894" s="126"/>
    </row>
    <row r="895" spans="1:40" ht="15.75" customHeight="1">
      <c r="A895" s="221" t="str">
        <f t="shared" si="2"/>
        <v/>
      </c>
      <c r="B895" s="222"/>
      <c r="C895" s="222"/>
      <c r="D895" s="222" t="str">
        <f t="array" ref="D895">IF(F895="","",INDEX(#REF!,MATCH(F895,#REF!,0)))</f>
        <v/>
      </c>
      <c r="E895" s="222" t="str">
        <f t="array" ref="E895">IF(F895="","",INDEX(#REF!,MATCH(F895,#REF!,0)))</f>
        <v/>
      </c>
      <c r="F895" s="222"/>
      <c r="G895" s="222"/>
      <c r="H895" s="223"/>
      <c r="I895" s="222"/>
      <c r="J895" s="222"/>
      <c r="K895" s="222"/>
      <c r="L895" s="222"/>
      <c r="M895" s="222"/>
      <c r="N895" s="222"/>
      <c r="O895" s="222"/>
      <c r="P895" s="224"/>
      <c r="Q895" s="224"/>
      <c r="R895" s="224"/>
      <c r="S895" s="224"/>
      <c r="T895" s="224"/>
      <c r="U895" s="224"/>
      <c r="V895" s="224"/>
      <c r="W895" s="224"/>
      <c r="X895" s="224"/>
      <c r="Y895" s="222"/>
      <c r="Z895" s="222"/>
      <c r="AA895" s="224"/>
      <c r="AB895" s="224"/>
      <c r="AC895" s="224"/>
      <c r="AD895" s="224"/>
      <c r="AE895" s="224"/>
      <c r="AF895" s="224"/>
      <c r="AG895" s="224"/>
      <c r="AH895" s="224"/>
      <c r="AI895" s="224"/>
      <c r="AJ895" s="126"/>
      <c r="AK895" s="126"/>
      <c r="AL895" s="126"/>
      <c r="AM895" s="126"/>
      <c r="AN895" s="126"/>
    </row>
    <row r="896" spans="1:40" ht="15.75" customHeight="1">
      <c r="A896" s="221" t="str">
        <f t="shared" si="2"/>
        <v/>
      </c>
      <c r="B896" s="222"/>
      <c r="C896" s="222"/>
      <c r="D896" s="222" t="str">
        <f t="array" ref="D896">IF(F896="","",INDEX(#REF!,MATCH(F896,#REF!,0)))</f>
        <v/>
      </c>
      <c r="E896" s="222" t="str">
        <f t="array" ref="E896">IF(F896="","",INDEX(#REF!,MATCH(F896,#REF!,0)))</f>
        <v/>
      </c>
      <c r="F896" s="222"/>
      <c r="G896" s="222"/>
      <c r="H896" s="223"/>
      <c r="I896" s="222"/>
      <c r="J896" s="222"/>
      <c r="K896" s="222"/>
      <c r="L896" s="222"/>
      <c r="M896" s="222"/>
      <c r="N896" s="222"/>
      <c r="O896" s="222"/>
      <c r="P896" s="224"/>
      <c r="Q896" s="224"/>
      <c r="R896" s="224"/>
      <c r="S896" s="224"/>
      <c r="T896" s="224"/>
      <c r="U896" s="224"/>
      <c r="V896" s="224"/>
      <c r="W896" s="224"/>
      <c r="X896" s="224"/>
      <c r="Y896" s="222"/>
      <c r="Z896" s="222"/>
      <c r="AA896" s="224"/>
      <c r="AB896" s="224"/>
      <c r="AC896" s="224"/>
      <c r="AD896" s="224"/>
      <c r="AE896" s="224"/>
      <c r="AF896" s="224"/>
      <c r="AG896" s="224"/>
      <c r="AH896" s="224"/>
      <c r="AI896" s="224"/>
      <c r="AJ896" s="126"/>
      <c r="AK896" s="126"/>
      <c r="AL896" s="126"/>
      <c r="AM896" s="126"/>
      <c r="AN896" s="126"/>
    </row>
    <row r="897" spans="1:40" ht="15.75" customHeight="1">
      <c r="A897" s="221" t="str">
        <f t="shared" si="2"/>
        <v/>
      </c>
      <c r="B897" s="222"/>
      <c r="C897" s="222"/>
      <c r="D897" s="222" t="str">
        <f t="array" ref="D897">IF(F897="","",INDEX(#REF!,MATCH(F897,#REF!,0)))</f>
        <v/>
      </c>
      <c r="E897" s="222" t="str">
        <f t="array" ref="E897">IF(F897="","",INDEX(#REF!,MATCH(F897,#REF!,0)))</f>
        <v/>
      </c>
      <c r="F897" s="222"/>
      <c r="G897" s="222"/>
      <c r="H897" s="223"/>
      <c r="I897" s="222"/>
      <c r="J897" s="222"/>
      <c r="K897" s="222"/>
      <c r="L897" s="222"/>
      <c r="M897" s="222"/>
      <c r="N897" s="222"/>
      <c r="O897" s="222"/>
      <c r="P897" s="224"/>
      <c r="Q897" s="224"/>
      <c r="R897" s="224"/>
      <c r="S897" s="224"/>
      <c r="T897" s="224"/>
      <c r="U897" s="224"/>
      <c r="V897" s="224"/>
      <c r="W897" s="224"/>
      <c r="X897" s="224"/>
      <c r="Y897" s="222"/>
      <c r="Z897" s="222"/>
      <c r="AA897" s="224"/>
      <c r="AB897" s="224"/>
      <c r="AC897" s="224"/>
      <c r="AD897" s="224"/>
      <c r="AE897" s="224"/>
      <c r="AF897" s="224"/>
      <c r="AG897" s="224"/>
      <c r="AH897" s="224"/>
      <c r="AI897" s="224"/>
      <c r="AJ897" s="126"/>
      <c r="AK897" s="126"/>
      <c r="AL897" s="126"/>
      <c r="AM897" s="126"/>
      <c r="AN897" s="126"/>
    </row>
    <row r="898" spans="1:40" ht="15.75" customHeight="1">
      <c r="A898" s="221" t="str">
        <f t="shared" si="2"/>
        <v/>
      </c>
      <c r="B898" s="222"/>
      <c r="C898" s="222"/>
      <c r="D898" s="222" t="str">
        <f t="array" ref="D898">IF(F898="","",INDEX(#REF!,MATCH(F898,#REF!,0)))</f>
        <v/>
      </c>
      <c r="E898" s="222" t="str">
        <f t="array" ref="E898">IF(F898="","",INDEX(#REF!,MATCH(F898,#REF!,0)))</f>
        <v/>
      </c>
      <c r="F898" s="222"/>
      <c r="G898" s="222"/>
      <c r="H898" s="223"/>
      <c r="I898" s="222"/>
      <c r="J898" s="222"/>
      <c r="K898" s="222"/>
      <c r="L898" s="222"/>
      <c r="M898" s="222"/>
      <c r="N898" s="222"/>
      <c r="O898" s="222"/>
      <c r="P898" s="224"/>
      <c r="Q898" s="224"/>
      <c r="R898" s="224"/>
      <c r="S898" s="224"/>
      <c r="T898" s="224"/>
      <c r="U898" s="224"/>
      <c r="V898" s="224"/>
      <c r="W898" s="224"/>
      <c r="X898" s="224"/>
      <c r="Y898" s="222"/>
      <c r="Z898" s="222"/>
      <c r="AA898" s="224"/>
      <c r="AB898" s="224"/>
      <c r="AC898" s="224"/>
      <c r="AD898" s="224"/>
      <c r="AE898" s="224"/>
      <c r="AF898" s="224"/>
      <c r="AG898" s="224"/>
      <c r="AH898" s="224"/>
      <c r="AI898" s="224"/>
      <c r="AJ898" s="126"/>
      <c r="AK898" s="126"/>
      <c r="AL898" s="126"/>
      <c r="AM898" s="126"/>
      <c r="AN898" s="126"/>
    </row>
    <row r="899" spans="1:40" ht="15.75" customHeight="1">
      <c r="A899" s="221" t="str">
        <f t="shared" si="2"/>
        <v/>
      </c>
      <c r="B899" s="222"/>
      <c r="C899" s="222"/>
      <c r="D899" s="222" t="str">
        <f t="array" ref="D899">IF(F899="","",INDEX(#REF!,MATCH(F899,#REF!,0)))</f>
        <v/>
      </c>
      <c r="E899" s="222" t="str">
        <f t="array" ref="E899">IF(F899="","",INDEX(#REF!,MATCH(F899,#REF!,0)))</f>
        <v/>
      </c>
      <c r="F899" s="222"/>
      <c r="G899" s="222"/>
      <c r="H899" s="223"/>
      <c r="I899" s="222"/>
      <c r="J899" s="222"/>
      <c r="K899" s="222"/>
      <c r="L899" s="222"/>
      <c r="M899" s="222"/>
      <c r="N899" s="222"/>
      <c r="O899" s="222"/>
      <c r="P899" s="224"/>
      <c r="Q899" s="224"/>
      <c r="R899" s="224"/>
      <c r="S899" s="224"/>
      <c r="T899" s="224"/>
      <c r="U899" s="224"/>
      <c r="V899" s="224"/>
      <c r="W899" s="224"/>
      <c r="X899" s="224"/>
      <c r="Y899" s="222"/>
      <c r="Z899" s="222"/>
      <c r="AA899" s="224"/>
      <c r="AB899" s="224"/>
      <c r="AC899" s="224"/>
      <c r="AD899" s="224"/>
      <c r="AE899" s="224"/>
      <c r="AF899" s="224"/>
      <c r="AG899" s="224"/>
      <c r="AH899" s="224"/>
      <c r="AI899" s="224"/>
      <c r="AJ899" s="126"/>
      <c r="AK899" s="126"/>
      <c r="AL899" s="126"/>
      <c r="AM899" s="126"/>
      <c r="AN899" s="126"/>
    </row>
    <row r="900" spans="1:40" ht="15.75" customHeight="1">
      <c r="A900" s="221" t="str">
        <f t="shared" si="2"/>
        <v/>
      </c>
      <c r="B900" s="222"/>
      <c r="C900" s="222"/>
      <c r="D900" s="222" t="str">
        <f t="array" ref="D900">IF(F900="","",INDEX(#REF!,MATCH(F900,#REF!,0)))</f>
        <v/>
      </c>
      <c r="E900" s="222" t="str">
        <f t="array" ref="E900">IF(F900="","",INDEX(#REF!,MATCH(F900,#REF!,0)))</f>
        <v/>
      </c>
      <c r="F900" s="222"/>
      <c r="G900" s="222"/>
      <c r="H900" s="223"/>
      <c r="I900" s="222"/>
      <c r="J900" s="222"/>
      <c r="K900" s="222"/>
      <c r="L900" s="222"/>
      <c r="M900" s="222"/>
      <c r="N900" s="222"/>
      <c r="O900" s="222"/>
      <c r="P900" s="224"/>
      <c r="Q900" s="224"/>
      <c r="R900" s="224"/>
      <c r="S900" s="224"/>
      <c r="T900" s="224"/>
      <c r="U900" s="224"/>
      <c r="V900" s="224"/>
      <c r="W900" s="224"/>
      <c r="X900" s="224"/>
      <c r="Y900" s="222"/>
      <c r="Z900" s="222"/>
      <c r="AA900" s="224"/>
      <c r="AB900" s="224"/>
      <c r="AC900" s="224"/>
      <c r="AD900" s="224"/>
      <c r="AE900" s="224"/>
      <c r="AF900" s="224"/>
      <c r="AG900" s="224"/>
      <c r="AH900" s="224"/>
      <c r="AI900" s="224"/>
      <c r="AJ900" s="126"/>
      <c r="AK900" s="126"/>
      <c r="AL900" s="126"/>
      <c r="AM900" s="126"/>
      <c r="AN900" s="126"/>
    </row>
    <row r="901" spans="1:40" ht="15.75" customHeight="1">
      <c r="A901" s="221" t="str">
        <f t="shared" si="2"/>
        <v/>
      </c>
      <c r="B901" s="222"/>
      <c r="C901" s="222"/>
      <c r="D901" s="222" t="str">
        <f t="array" ref="D901">IF(F901="","",INDEX(#REF!,MATCH(F901,#REF!,0)))</f>
        <v/>
      </c>
      <c r="E901" s="222" t="str">
        <f t="array" ref="E901">IF(F901="","",INDEX(#REF!,MATCH(F901,#REF!,0)))</f>
        <v/>
      </c>
      <c r="F901" s="222"/>
      <c r="G901" s="222"/>
      <c r="H901" s="223"/>
      <c r="I901" s="222"/>
      <c r="J901" s="222"/>
      <c r="K901" s="222"/>
      <c r="L901" s="222"/>
      <c r="M901" s="222"/>
      <c r="N901" s="222"/>
      <c r="O901" s="222"/>
      <c r="P901" s="224"/>
      <c r="Q901" s="224"/>
      <c r="R901" s="224"/>
      <c r="S901" s="224"/>
      <c r="T901" s="224"/>
      <c r="U901" s="224"/>
      <c r="V901" s="224"/>
      <c r="W901" s="224"/>
      <c r="X901" s="224"/>
      <c r="Y901" s="222"/>
      <c r="Z901" s="222"/>
      <c r="AA901" s="224"/>
      <c r="AB901" s="224"/>
      <c r="AC901" s="224"/>
      <c r="AD901" s="224"/>
      <c r="AE901" s="224"/>
      <c r="AF901" s="224"/>
      <c r="AG901" s="224"/>
      <c r="AH901" s="224"/>
      <c r="AI901" s="224"/>
      <c r="AJ901" s="126"/>
      <c r="AK901" s="126"/>
      <c r="AL901" s="126"/>
      <c r="AM901" s="126"/>
      <c r="AN901" s="126"/>
    </row>
    <row r="902" spans="1:40" ht="15.75" customHeight="1">
      <c r="A902" s="221" t="str">
        <f t="shared" si="2"/>
        <v/>
      </c>
      <c r="B902" s="222"/>
      <c r="C902" s="222"/>
      <c r="D902" s="222" t="str">
        <f t="array" ref="D902">IF(F902="","",INDEX(#REF!,MATCH(F902,#REF!,0)))</f>
        <v/>
      </c>
      <c r="E902" s="222" t="str">
        <f t="array" ref="E902">IF(F902="","",INDEX(#REF!,MATCH(F902,#REF!,0)))</f>
        <v/>
      </c>
      <c r="F902" s="222"/>
      <c r="G902" s="222"/>
      <c r="H902" s="223"/>
      <c r="I902" s="222"/>
      <c r="J902" s="222"/>
      <c r="K902" s="222"/>
      <c r="L902" s="222"/>
      <c r="M902" s="222"/>
      <c r="N902" s="222"/>
      <c r="O902" s="222"/>
      <c r="P902" s="224"/>
      <c r="Q902" s="224"/>
      <c r="R902" s="224"/>
      <c r="S902" s="224"/>
      <c r="T902" s="224"/>
      <c r="U902" s="224"/>
      <c r="V902" s="224"/>
      <c r="W902" s="224"/>
      <c r="X902" s="224"/>
      <c r="Y902" s="222"/>
      <c r="Z902" s="222"/>
      <c r="AA902" s="224"/>
      <c r="AB902" s="224"/>
      <c r="AC902" s="224"/>
      <c r="AD902" s="224"/>
      <c r="AE902" s="224"/>
      <c r="AF902" s="224"/>
      <c r="AG902" s="224"/>
      <c r="AH902" s="224"/>
      <c r="AI902" s="224"/>
      <c r="AJ902" s="126"/>
      <c r="AK902" s="126"/>
      <c r="AL902" s="126"/>
      <c r="AM902" s="126"/>
      <c r="AN902" s="126"/>
    </row>
    <row r="903" spans="1:40" ht="15.75" customHeight="1">
      <c r="A903" s="221" t="str">
        <f t="shared" si="2"/>
        <v/>
      </c>
      <c r="B903" s="222"/>
      <c r="C903" s="222"/>
      <c r="D903" s="222" t="str">
        <f t="array" ref="D903">IF(F903="","",INDEX(#REF!,MATCH(F903,#REF!,0)))</f>
        <v/>
      </c>
      <c r="E903" s="222" t="str">
        <f t="array" ref="E903">IF(F903="","",INDEX(#REF!,MATCH(F903,#REF!,0)))</f>
        <v/>
      </c>
      <c r="F903" s="222"/>
      <c r="G903" s="222"/>
      <c r="H903" s="223"/>
      <c r="I903" s="222"/>
      <c r="J903" s="222"/>
      <c r="K903" s="222"/>
      <c r="L903" s="222"/>
      <c r="M903" s="222"/>
      <c r="N903" s="222"/>
      <c r="O903" s="222"/>
      <c r="P903" s="224"/>
      <c r="Q903" s="224"/>
      <c r="R903" s="224"/>
      <c r="S903" s="224"/>
      <c r="T903" s="224"/>
      <c r="U903" s="224"/>
      <c r="V903" s="224"/>
      <c r="W903" s="224"/>
      <c r="X903" s="224"/>
      <c r="Y903" s="222"/>
      <c r="Z903" s="222"/>
      <c r="AA903" s="224"/>
      <c r="AB903" s="224"/>
      <c r="AC903" s="224"/>
      <c r="AD903" s="224"/>
      <c r="AE903" s="224"/>
      <c r="AF903" s="224"/>
      <c r="AG903" s="224"/>
      <c r="AH903" s="224"/>
      <c r="AI903" s="224"/>
      <c r="AJ903" s="126"/>
      <c r="AK903" s="126"/>
      <c r="AL903" s="126"/>
      <c r="AM903" s="126"/>
      <c r="AN903" s="126"/>
    </row>
    <row r="904" spans="1:40" ht="15.75" customHeight="1">
      <c r="A904" s="221" t="str">
        <f t="shared" si="2"/>
        <v/>
      </c>
      <c r="B904" s="222"/>
      <c r="C904" s="222"/>
      <c r="D904" s="222" t="str">
        <f t="array" ref="D904">IF(F904="","",INDEX(#REF!,MATCH(F904,#REF!,0)))</f>
        <v/>
      </c>
      <c r="E904" s="222" t="str">
        <f t="array" ref="E904">IF(F904="","",INDEX(#REF!,MATCH(F904,#REF!,0)))</f>
        <v/>
      </c>
      <c r="F904" s="222"/>
      <c r="G904" s="222"/>
      <c r="H904" s="223"/>
      <c r="I904" s="222"/>
      <c r="J904" s="222"/>
      <c r="K904" s="222"/>
      <c r="L904" s="222"/>
      <c r="M904" s="222"/>
      <c r="N904" s="222"/>
      <c r="O904" s="222"/>
      <c r="P904" s="224"/>
      <c r="Q904" s="224"/>
      <c r="R904" s="224"/>
      <c r="S904" s="224"/>
      <c r="T904" s="224"/>
      <c r="U904" s="224"/>
      <c r="V904" s="224"/>
      <c r="W904" s="224"/>
      <c r="X904" s="224"/>
      <c r="Y904" s="222"/>
      <c r="Z904" s="222"/>
      <c r="AA904" s="224"/>
      <c r="AB904" s="224"/>
      <c r="AC904" s="224"/>
      <c r="AD904" s="224"/>
      <c r="AE904" s="224"/>
      <c r="AF904" s="224"/>
      <c r="AG904" s="224"/>
      <c r="AH904" s="224"/>
      <c r="AI904" s="224"/>
      <c r="AJ904" s="126"/>
      <c r="AK904" s="126"/>
      <c r="AL904" s="126"/>
      <c r="AM904" s="126"/>
      <c r="AN904" s="126"/>
    </row>
    <row r="905" spans="1:40" ht="15.75" customHeight="1">
      <c r="A905" s="221" t="str">
        <f t="shared" si="2"/>
        <v/>
      </c>
      <c r="B905" s="222"/>
      <c r="C905" s="222"/>
      <c r="D905" s="222" t="str">
        <f t="array" ref="D905">IF(F905="","",INDEX(#REF!,MATCH(F905,#REF!,0)))</f>
        <v/>
      </c>
      <c r="E905" s="222" t="str">
        <f t="array" ref="E905">IF(F905="","",INDEX(#REF!,MATCH(F905,#REF!,0)))</f>
        <v/>
      </c>
      <c r="F905" s="222"/>
      <c r="G905" s="222"/>
      <c r="H905" s="223"/>
      <c r="I905" s="222"/>
      <c r="J905" s="222"/>
      <c r="K905" s="222"/>
      <c r="L905" s="222"/>
      <c r="M905" s="222"/>
      <c r="N905" s="222"/>
      <c r="O905" s="222"/>
      <c r="P905" s="224"/>
      <c r="Q905" s="224"/>
      <c r="R905" s="224"/>
      <c r="S905" s="224"/>
      <c r="T905" s="224"/>
      <c r="U905" s="224"/>
      <c r="V905" s="224"/>
      <c r="W905" s="224"/>
      <c r="X905" s="224"/>
      <c r="Y905" s="222"/>
      <c r="Z905" s="222"/>
      <c r="AA905" s="224"/>
      <c r="AB905" s="224"/>
      <c r="AC905" s="224"/>
      <c r="AD905" s="224"/>
      <c r="AE905" s="224"/>
      <c r="AF905" s="224"/>
      <c r="AG905" s="224"/>
      <c r="AH905" s="224"/>
      <c r="AI905" s="224"/>
      <c r="AJ905" s="126"/>
      <c r="AK905" s="126"/>
      <c r="AL905" s="126"/>
      <c r="AM905" s="126"/>
      <c r="AN905" s="126"/>
    </row>
    <row r="906" spans="1:40" ht="15.75" customHeight="1">
      <c r="A906" s="221" t="str">
        <f t="shared" si="2"/>
        <v/>
      </c>
      <c r="B906" s="222"/>
      <c r="C906" s="222"/>
      <c r="D906" s="222" t="str">
        <f t="array" ref="D906">IF(F906="","",INDEX(#REF!,MATCH(F906,#REF!,0)))</f>
        <v/>
      </c>
      <c r="E906" s="222" t="str">
        <f t="array" ref="E906">IF(F906="","",INDEX(#REF!,MATCH(F906,#REF!,0)))</f>
        <v/>
      </c>
      <c r="F906" s="222"/>
      <c r="G906" s="222"/>
      <c r="H906" s="223"/>
      <c r="I906" s="222"/>
      <c r="J906" s="222"/>
      <c r="K906" s="222"/>
      <c r="L906" s="222"/>
      <c r="M906" s="222"/>
      <c r="N906" s="222"/>
      <c r="O906" s="222"/>
      <c r="P906" s="224"/>
      <c r="Q906" s="224"/>
      <c r="R906" s="224"/>
      <c r="S906" s="224"/>
      <c r="T906" s="224"/>
      <c r="U906" s="224"/>
      <c r="V906" s="224"/>
      <c r="W906" s="224"/>
      <c r="X906" s="224"/>
      <c r="Y906" s="222"/>
      <c r="Z906" s="222"/>
      <c r="AA906" s="224"/>
      <c r="AB906" s="224"/>
      <c r="AC906" s="224"/>
      <c r="AD906" s="224"/>
      <c r="AE906" s="224"/>
      <c r="AF906" s="224"/>
      <c r="AG906" s="224"/>
      <c r="AH906" s="224"/>
      <c r="AI906" s="224"/>
      <c r="AJ906" s="126"/>
      <c r="AK906" s="126"/>
      <c r="AL906" s="126"/>
      <c r="AM906" s="126"/>
      <c r="AN906" s="126"/>
    </row>
    <row r="907" spans="1:40" ht="15.75" customHeight="1">
      <c r="A907" s="221" t="str">
        <f t="shared" si="2"/>
        <v/>
      </c>
      <c r="B907" s="222"/>
      <c r="C907" s="222"/>
      <c r="D907" s="222" t="str">
        <f t="array" ref="D907">IF(F907="","",INDEX(#REF!,MATCH(F907,#REF!,0)))</f>
        <v/>
      </c>
      <c r="E907" s="222" t="str">
        <f t="array" ref="E907">IF(F907="","",INDEX(#REF!,MATCH(F907,#REF!,0)))</f>
        <v/>
      </c>
      <c r="F907" s="222"/>
      <c r="G907" s="222"/>
      <c r="H907" s="223"/>
      <c r="I907" s="222"/>
      <c r="J907" s="222"/>
      <c r="K907" s="222"/>
      <c r="L907" s="222"/>
      <c r="M907" s="222"/>
      <c r="N907" s="222"/>
      <c r="O907" s="222"/>
      <c r="P907" s="224"/>
      <c r="Q907" s="224"/>
      <c r="R907" s="224"/>
      <c r="S907" s="224"/>
      <c r="T907" s="224"/>
      <c r="U907" s="224"/>
      <c r="V907" s="224"/>
      <c r="W907" s="224"/>
      <c r="X907" s="224"/>
      <c r="Y907" s="222"/>
      <c r="Z907" s="222"/>
      <c r="AA907" s="224"/>
      <c r="AB907" s="224"/>
      <c r="AC907" s="224"/>
      <c r="AD907" s="224"/>
      <c r="AE907" s="224"/>
      <c r="AF907" s="224"/>
      <c r="AG907" s="224"/>
      <c r="AH907" s="224"/>
      <c r="AI907" s="224"/>
      <c r="AJ907" s="126"/>
      <c r="AK907" s="126"/>
      <c r="AL907" s="126"/>
      <c r="AM907" s="126"/>
      <c r="AN907" s="126"/>
    </row>
    <row r="908" spans="1:40" ht="15.75" customHeight="1">
      <c r="A908" s="221" t="str">
        <f t="shared" si="2"/>
        <v/>
      </c>
      <c r="B908" s="222"/>
      <c r="C908" s="222"/>
      <c r="D908" s="222" t="str">
        <f t="array" ref="D908">IF(F908="","",INDEX(#REF!,MATCH(F908,#REF!,0)))</f>
        <v/>
      </c>
      <c r="E908" s="222" t="str">
        <f t="array" ref="E908">IF(F908="","",INDEX(#REF!,MATCH(F908,#REF!,0)))</f>
        <v/>
      </c>
      <c r="F908" s="222"/>
      <c r="G908" s="222"/>
      <c r="H908" s="223"/>
      <c r="I908" s="222"/>
      <c r="J908" s="222"/>
      <c r="K908" s="222"/>
      <c r="L908" s="222"/>
      <c r="M908" s="222"/>
      <c r="N908" s="222"/>
      <c r="O908" s="222"/>
      <c r="P908" s="224"/>
      <c r="Q908" s="224"/>
      <c r="R908" s="224"/>
      <c r="S908" s="224"/>
      <c r="T908" s="224"/>
      <c r="U908" s="224"/>
      <c r="V908" s="224"/>
      <c r="W908" s="224"/>
      <c r="X908" s="224"/>
      <c r="Y908" s="222"/>
      <c r="Z908" s="222"/>
      <c r="AA908" s="224"/>
      <c r="AB908" s="224"/>
      <c r="AC908" s="224"/>
      <c r="AD908" s="224"/>
      <c r="AE908" s="224"/>
      <c r="AF908" s="224"/>
      <c r="AG908" s="224"/>
      <c r="AH908" s="224"/>
      <c r="AI908" s="224"/>
      <c r="AJ908" s="126"/>
      <c r="AK908" s="126"/>
      <c r="AL908" s="126"/>
      <c r="AM908" s="126"/>
      <c r="AN908" s="126"/>
    </row>
    <row r="909" spans="1:40" ht="15.75" customHeight="1">
      <c r="A909" s="221" t="str">
        <f t="shared" si="2"/>
        <v/>
      </c>
      <c r="B909" s="222"/>
      <c r="C909" s="222"/>
      <c r="D909" s="222" t="str">
        <f t="array" ref="D909">IF(F909="","",INDEX(#REF!,MATCH(F909,#REF!,0)))</f>
        <v/>
      </c>
      <c r="E909" s="222" t="str">
        <f t="array" ref="E909">IF(F909="","",INDEX(#REF!,MATCH(F909,#REF!,0)))</f>
        <v/>
      </c>
      <c r="F909" s="222"/>
      <c r="G909" s="222"/>
      <c r="H909" s="223"/>
      <c r="I909" s="222"/>
      <c r="J909" s="222"/>
      <c r="K909" s="222"/>
      <c r="L909" s="222"/>
      <c r="M909" s="222"/>
      <c r="N909" s="222"/>
      <c r="O909" s="222"/>
      <c r="P909" s="224"/>
      <c r="Q909" s="224"/>
      <c r="R909" s="224"/>
      <c r="S909" s="224"/>
      <c r="T909" s="224"/>
      <c r="U909" s="224"/>
      <c r="V909" s="224"/>
      <c r="W909" s="224"/>
      <c r="X909" s="224"/>
      <c r="Y909" s="222"/>
      <c r="Z909" s="222"/>
      <c r="AA909" s="224"/>
      <c r="AB909" s="224"/>
      <c r="AC909" s="224"/>
      <c r="AD909" s="224"/>
      <c r="AE909" s="224"/>
      <c r="AF909" s="224"/>
      <c r="AG909" s="224"/>
      <c r="AH909" s="224"/>
      <c r="AI909" s="224"/>
      <c r="AJ909" s="126"/>
      <c r="AK909" s="126"/>
      <c r="AL909" s="126"/>
      <c r="AM909" s="126"/>
      <c r="AN909" s="126"/>
    </row>
    <row r="910" spans="1:40" ht="15.75" customHeight="1">
      <c r="A910" s="221" t="str">
        <f t="shared" si="2"/>
        <v/>
      </c>
      <c r="B910" s="222"/>
      <c r="C910" s="222"/>
      <c r="D910" s="222" t="str">
        <f t="array" ref="D910">IF(F910="","",INDEX(#REF!,MATCH(F910,#REF!,0)))</f>
        <v/>
      </c>
      <c r="E910" s="222" t="str">
        <f t="array" ref="E910">IF(F910="","",INDEX(#REF!,MATCH(F910,#REF!,0)))</f>
        <v/>
      </c>
      <c r="F910" s="222"/>
      <c r="G910" s="222"/>
      <c r="H910" s="223"/>
      <c r="I910" s="222"/>
      <c r="J910" s="222"/>
      <c r="K910" s="222"/>
      <c r="L910" s="222"/>
      <c r="M910" s="222"/>
      <c r="N910" s="222"/>
      <c r="O910" s="222"/>
      <c r="P910" s="224"/>
      <c r="Q910" s="224"/>
      <c r="R910" s="224"/>
      <c r="S910" s="224"/>
      <c r="T910" s="224"/>
      <c r="U910" s="224"/>
      <c r="V910" s="224"/>
      <c r="W910" s="224"/>
      <c r="X910" s="224"/>
      <c r="Y910" s="222"/>
      <c r="Z910" s="222"/>
      <c r="AA910" s="224"/>
      <c r="AB910" s="224"/>
      <c r="AC910" s="224"/>
      <c r="AD910" s="224"/>
      <c r="AE910" s="224"/>
      <c r="AF910" s="224"/>
      <c r="AG910" s="224"/>
      <c r="AH910" s="224"/>
      <c r="AI910" s="224"/>
      <c r="AJ910" s="126"/>
      <c r="AK910" s="126"/>
      <c r="AL910" s="126"/>
      <c r="AM910" s="126"/>
      <c r="AN910" s="126"/>
    </row>
    <row r="911" spans="1:40" ht="15.75" customHeight="1">
      <c r="A911" s="221" t="str">
        <f t="shared" si="2"/>
        <v/>
      </c>
      <c r="B911" s="222"/>
      <c r="C911" s="222"/>
      <c r="D911" s="222" t="str">
        <f t="array" ref="D911">IF(F911="","",INDEX(#REF!,MATCH(F911,#REF!,0)))</f>
        <v/>
      </c>
      <c r="E911" s="222" t="str">
        <f t="array" ref="E911">IF(F911="","",INDEX(#REF!,MATCH(F911,#REF!,0)))</f>
        <v/>
      </c>
      <c r="F911" s="222"/>
      <c r="G911" s="222"/>
      <c r="H911" s="223"/>
      <c r="I911" s="222"/>
      <c r="J911" s="222"/>
      <c r="K911" s="222"/>
      <c r="L911" s="222"/>
      <c r="M911" s="222"/>
      <c r="N911" s="222"/>
      <c r="O911" s="222"/>
      <c r="P911" s="224"/>
      <c r="Q911" s="224"/>
      <c r="R911" s="224"/>
      <c r="S911" s="224"/>
      <c r="T911" s="224"/>
      <c r="U911" s="224"/>
      <c r="V911" s="224"/>
      <c r="W911" s="224"/>
      <c r="X911" s="224"/>
      <c r="Y911" s="222"/>
      <c r="Z911" s="222"/>
      <c r="AA911" s="224"/>
      <c r="AB911" s="224"/>
      <c r="AC911" s="224"/>
      <c r="AD911" s="224"/>
      <c r="AE911" s="224"/>
      <c r="AF911" s="224"/>
      <c r="AG911" s="224"/>
      <c r="AH911" s="224"/>
      <c r="AI911" s="224"/>
      <c r="AJ911" s="126"/>
      <c r="AK911" s="126"/>
      <c r="AL911" s="126"/>
      <c r="AM911" s="126"/>
      <c r="AN911" s="126"/>
    </row>
    <row r="912" spans="1:40" ht="15.75" customHeight="1">
      <c r="A912" s="221" t="str">
        <f t="shared" si="2"/>
        <v/>
      </c>
      <c r="B912" s="222"/>
      <c r="C912" s="222"/>
      <c r="D912" s="222" t="str">
        <f t="array" ref="D912">IF(F912="","",INDEX(#REF!,MATCH(F912,#REF!,0)))</f>
        <v/>
      </c>
      <c r="E912" s="222" t="str">
        <f t="array" ref="E912">IF(F912="","",INDEX(#REF!,MATCH(F912,#REF!,0)))</f>
        <v/>
      </c>
      <c r="F912" s="222"/>
      <c r="G912" s="222"/>
      <c r="H912" s="223"/>
      <c r="I912" s="222"/>
      <c r="J912" s="222"/>
      <c r="K912" s="222"/>
      <c r="L912" s="222"/>
      <c r="M912" s="222"/>
      <c r="N912" s="222"/>
      <c r="O912" s="222"/>
      <c r="P912" s="224"/>
      <c r="Q912" s="224"/>
      <c r="R912" s="224"/>
      <c r="S912" s="224"/>
      <c r="T912" s="224"/>
      <c r="U912" s="224"/>
      <c r="V912" s="224"/>
      <c r="W912" s="224"/>
      <c r="X912" s="224"/>
      <c r="Y912" s="222"/>
      <c r="Z912" s="222"/>
      <c r="AA912" s="224"/>
      <c r="AB912" s="224"/>
      <c r="AC912" s="224"/>
      <c r="AD912" s="224"/>
      <c r="AE912" s="224"/>
      <c r="AF912" s="224"/>
      <c r="AG912" s="224"/>
      <c r="AH912" s="224"/>
      <c r="AI912" s="224"/>
      <c r="AJ912" s="126"/>
      <c r="AK912" s="126"/>
      <c r="AL912" s="126"/>
      <c r="AM912" s="126"/>
      <c r="AN912" s="126"/>
    </row>
    <row r="913" spans="1:40" ht="15.75" customHeight="1">
      <c r="A913" s="221" t="str">
        <f t="shared" si="2"/>
        <v/>
      </c>
      <c r="B913" s="222"/>
      <c r="C913" s="222"/>
      <c r="D913" s="222" t="str">
        <f t="array" ref="D913">IF(F913="","",INDEX(#REF!,MATCH(F913,#REF!,0)))</f>
        <v/>
      </c>
      <c r="E913" s="222" t="str">
        <f t="array" ref="E913">IF(F913="","",INDEX(#REF!,MATCH(F913,#REF!,0)))</f>
        <v/>
      </c>
      <c r="F913" s="222"/>
      <c r="G913" s="222"/>
      <c r="H913" s="223"/>
      <c r="I913" s="222"/>
      <c r="J913" s="222"/>
      <c r="K913" s="222"/>
      <c r="L913" s="222"/>
      <c r="M913" s="222"/>
      <c r="N913" s="222"/>
      <c r="O913" s="222"/>
      <c r="P913" s="224"/>
      <c r="Q913" s="224"/>
      <c r="R913" s="224"/>
      <c r="S913" s="224"/>
      <c r="T913" s="224"/>
      <c r="U913" s="224"/>
      <c r="V913" s="224"/>
      <c r="W913" s="224"/>
      <c r="X913" s="224"/>
      <c r="Y913" s="222"/>
      <c r="Z913" s="222"/>
      <c r="AA913" s="224"/>
      <c r="AB913" s="224"/>
      <c r="AC913" s="224"/>
      <c r="AD913" s="224"/>
      <c r="AE913" s="224"/>
      <c r="AF913" s="224"/>
      <c r="AG913" s="224"/>
      <c r="AH913" s="224"/>
      <c r="AI913" s="224"/>
      <c r="AJ913" s="126"/>
      <c r="AK913" s="126"/>
      <c r="AL913" s="126"/>
      <c r="AM913" s="126"/>
      <c r="AN913" s="126"/>
    </row>
    <row r="914" spans="1:40" ht="15.75" customHeight="1">
      <c r="A914" s="221" t="str">
        <f t="shared" si="2"/>
        <v/>
      </c>
      <c r="B914" s="222"/>
      <c r="C914" s="222"/>
      <c r="D914" s="222" t="str">
        <f t="array" ref="D914">IF(F914="","",INDEX(#REF!,MATCH(F914,#REF!,0)))</f>
        <v/>
      </c>
      <c r="E914" s="222" t="str">
        <f t="array" ref="E914">IF(F914="","",INDEX(#REF!,MATCH(F914,#REF!,0)))</f>
        <v/>
      </c>
      <c r="F914" s="222"/>
      <c r="G914" s="222"/>
      <c r="H914" s="223"/>
      <c r="I914" s="222"/>
      <c r="J914" s="222"/>
      <c r="K914" s="222"/>
      <c r="L914" s="222"/>
      <c r="M914" s="222"/>
      <c r="N914" s="222"/>
      <c r="O914" s="222"/>
      <c r="P914" s="224"/>
      <c r="Q914" s="224"/>
      <c r="R914" s="224"/>
      <c r="S914" s="224"/>
      <c r="T914" s="224"/>
      <c r="U914" s="224"/>
      <c r="V914" s="224"/>
      <c r="W914" s="224"/>
      <c r="X914" s="224"/>
      <c r="Y914" s="222"/>
      <c r="Z914" s="222"/>
      <c r="AA914" s="224"/>
      <c r="AB914" s="224"/>
      <c r="AC914" s="224"/>
      <c r="AD914" s="224"/>
      <c r="AE914" s="224"/>
      <c r="AF914" s="224"/>
      <c r="AG914" s="224"/>
      <c r="AH914" s="224"/>
      <c r="AI914" s="224"/>
      <c r="AJ914" s="126"/>
      <c r="AK914" s="126"/>
      <c r="AL914" s="126"/>
      <c r="AM914" s="126"/>
      <c r="AN914" s="126"/>
    </row>
    <row r="915" spans="1:40" ht="15.75" customHeight="1">
      <c r="A915" s="221" t="str">
        <f t="shared" si="2"/>
        <v/>
      </c>
      <c r="B915" s="222"/>
      <c r="C915" s="222"/>
      <c r="D915" s="222" t="str">
        <f t="array" ref="D915">IF(F915="","",INDEX(#REF!,MATCH(F915,#REF!,0)))</f>
        <v/>
      </c>
      <c r="E915" s="222" t="str">
        <f t="array" ref="E915">IF(F915="","",INDEX(#REF!,MATCH(F915,#REF!,0)))</f>
        <v/>
      </c>
      <c r="F915" s="222"/>
      <c r="G915" s="222"/>
      <c r="H915" s="223"/>
      <c r="I915" s="222"/>
      <c r="J915" s="222"/>
      <c r="K915" s="222"/>
      <c r="L915" s="222"/>
      <c r="M915" s="222"/>
      <c r="N915" s="222"/>
      <c r="O915" s="222"/>
      <c r="P915" s="224"/>
      <c r="Q915" s="224"/>
      <c r="R915" s="224"/>
      <c r="S915" s="224"/>
      <c r="T915" s="224"/>
      <c r="U915" s="224"/>
      <c r="V915" s="224"/>
      <c r="W915" s="224"/>
      <c r="X915" s="224"/>
      <c r="Y915" s="222"/>
      <c r="Z915" s="222"/>
      <c r="AA915" s="224"/>
      <c r="AB915" s="224"/>
      <c r="AC915" s="224"/>
      <c r="AD915" s="224"/>
      <c r="AE915" s="224"/>
      <c r="AF915" s="224"/>
      <c r="AG915" s="224"/>
      <c r="AH915" s="224"/>
      <c r="AI915" s="224"/>
      <c r="AJ915" s="126"/>
      <c r="AK915" s="126"/>
      <c r="AL915" s="126"/>
      <c r="AM915" s="126"/>
      <c r="AN915" s="126"/>
    </row>
    <row r="916" spans="1:40" ht="15.75" customHeight="1">
      <c r="A916" s="221" t="str">
        <f t="shared" si="2"/>
        <v/>
      </c>
      <c r="B916" s="222"/>
      <c r="C916" s="222"/>
      <c r="D916" s="222" t="str">
        <f t="array" ref="D916">IF(F916="","",INDEX(#REF!,MATCH(F916,#REF!,0)))</f>
        <v/>
      </c>
      <c r="E916" s="222" t="str">
        <f t="array" ref="E916">IF(F916="","",INDEX(#REF!,MATCH(F916,#REF!,0)))</f>
        <v/>
      </c>
      <c r="F916" s="222"/>
      <c r="G916" s="222"/>
      <c r="H916" s="223"/>
      <c r="I916" s="222"/>
      <c r="J916" s="222"/>
      <c r="K916" s="222"/>
      <c r="L916" s="222"/>
      <c r="M916" s="222"/>
      <c r="N916" s="222"/>
      <c r="O916" s="222"/>
      <c r="P916" s="224"/>
      <c r="Q916" s="224"/>
      <c r="R916" s="224"/>
      <c r="S916" s="224"/>
      <c r="T916" s="224"/>
      <c r="U916" s="224"/>
      <c r="V916" s="224"/>
      <c r="W916" s="224"/>
      <c r="X916" s="224"/>
      <c r="Y916" s="222"/>
      <c r="Z916" s="222"/>
      <c r="AA916" s="224"/>
      <c r="AB916" s="224"/>
      <c r="AC916" s="224"/>
      <c r="AD916" s="224"/>
      <c r="AE916" s="224"/>
      <c r="AF916" s="224"/>
      <c r="AG916" s="224"/>
      <c r="AH916" s="224"/>
      <c r="AI916" s="224"/>
      <c r="AJ916" s="126"/>
      <c r="AK916" s="126"/>
      <c r="AL916" s="126"/>
      <c r="AM916" s="126"/>
      <c r="AN916" s="126"/>
    </row>
    <row r="917" spans="1:40" ht="15.75" customHeight="1">
      <c r="A917" s="221" t="str">
        <f t="shared" si="2"/>
        <v/>
      </c>
      <c r="B917" s="222"/>
      <c r="C917" s="222"/>
      <c r="D917" s="222" t="str">
        <f t="array" ref="D917">IF(F917="","",INDEX(#REF!,MATCH(F917,#REF!,0)))</f>
        <v/>
      </c>
      <c r="E917" s="222" t="str">
        <f t="array" ref="E917">IF(F917="","",INDEX(#REF!,MATCH(F917,#REF!,0)))</f>
        <v/>
      </c>
      <c r="F917" s="222"/>
      <c r="G917" s="222"/>
      <c r="H917" s="223"/>
      <c r="I917" s="222"/>
      <c r="J917" s="222"/>
      <c r="K917" s="222"/>
      <c r="L917" s="222"/>
      <c r="M917" s="222"/>
      <c r="N917" s="222"/>
      <c r="O917" s="222"/>
      <c r="P917" s="224"/>
      <c r="Q917" s="224"/>
      <c r="R917" s="224"/>
      <c r="S917" s="224"/>
      <c r="T917" s="224"/>
      <c r="U917" s="224"/>
      <c r="V917" s="224"/>
      <c r="W917" s="224"/>
      <c r="X917" s="224"/>
      <c r="Y917" s="222"/>
      <c r="Z917" s="222"/>
      <c r="AA917" s="224"/>
      <c r="AB917" s="224"/>
      <c r="AC917" s="224"/>
      <c r="AD917" s="224"/>
      <c r="AE917" s="224"/>
      <c r="AF917" s="224"/>
      <c r="AG917" s="224"/>
      <c r="AH917" s="224"/>
      <c r="AI917" s="224"/>
      <c r="AJ917" s="126"/>
      <c r="AK917" s="126"/>
      <c r="AL917" s="126"/>
      <c r="AM917" s="126"/>
      <c r="AN917" s="126"/>
    </row>
    <row r="918" spans="1:40" ht="15.75" customHeight="1">
      <c r="A918" s="221" t="str">
        <f t="shared" si="2"/>
        <v/>
      </c>
      <c r="B918" s="222"/>
      <c r="C918" s="222"/>
      <c r="D918" s="222" t="str">
        <f t="array" ref="D918">IF(F918="","",INDEX(#REF!,MATCH(F918,#REF!,0)))</f>
        <v/>
      </c>
      <c r="E918" s="222" t="str">
        <f t="array" ref="E918">IF(F918="","",INDEX(#REF!,MATCH(F918,#REF!,0)))</f>
        <v/>
      </c>
      <c r="F918" s="222"/>
      <c r="G918" s="222"/>
      <c r="H918" s="223"/>
      <c r="I918" s="222"/>
      <c r="J918" s="222"/>
      <c r="K918" s="222"/>
      <c r="L918" s="222"/>
      <c r="M918" s="222"/>
      <c r="N918" s="222"/>
      <c r="O918" s="222"/>
      <c r="P918" s="224"/>
      <c r="Q918" s="224"/>
      <c r="R918" s="224"/>
      <c r="S918" s="224"/>
      <c r="T918" s="224"/>
      <c r="U918" s="224"/>
      <c r="V918" s="224"/>
      <c r="W918" s="224"/>
      <c r="X918" s="224"/>
      <c r="Y918" s="222"/>
      <c r="Z918" s="222"/>
      <c r="AA918" s="224"/>
      <c r="AB918" s="224"/>
      <c r="AC918" s="224"/>
      <c r="AD918" s="224"/>
      <c r="AE918" s="224"/>
      <c r="AF918" s="224"/>
      <c r="AG918" s="224"/>
      <c r="AH918" s="224"/>
      <c r="AI918" s="224"/>
      <c r="AJ918" s="126"/>
      <c r="AK918" s="126"/>
      <c r="AL918" s="126"/>
      <c r="AM918" s="126"/>
      <c r="AN918" s="126"/>
    </row>
    <row r="919" spans="1:40" ht="15.75" customHeight="1">
      <c r="A919" s="221" t="str">
        <f t="shared" si="2"/>
        <v/>
      </c>
      <c r="B919" s="222"/>
      <c r="C919" s="222"/>
      <c r="D919" s="222" t="str">
        <f t="array" ref="D919">IF(F919="","",INDEX(#REF!,MATCH(F919,#REF!,0)))</f>
        <v/>
      </c>
      <c r="E919" s="222" t="str">
        <f t="array" ref="E919">IF(F919="","",INDEX(#REF!,MATCH(F919,#REF!,0)))</f>
        <v/>
      </c>
      <c r="F919" s="222"/>
      <c r="G919" s="222"/>
      <c r="H919" s="223"/>
      <c r="I919" s="222"/>
      <c r="J919" s="222"/>
      <c r="K919" s="222"/>
      <c r="L919" s="222"/>
      <c r="M919" s="222"/>
      <c r="N919" s="222"/>
      <c r="O919" s="222"/>
      <c r="P919" s="224"/>
      <c r="Q919" s="224"/>
      <c r="R919" s="224"/>
      <c r="S919" s="224"/>
      <c r="T919" s="224"/>
      <c r="U919" s="224"/>
      <c r="V919" s="224"/>
      <c r="W919" s="224"/>
      <c r="X919" s="224"/>
      <c r="Y919" s="222"/>
      <c r="Z919" s="222"/>
      <c r="AA919" s="224"/>
      <c r="AB919" s="224"/>
      <c r="AC919" s="224"/>
      <c r="AD919" s="224"/>
      <c r="AE919" s="224"/>
      <c r="AF919" s="224"/>
      <c r="AG919" s="224"/>
      <c r="AH919" s="224"/>
      <c r="AI919" s="224"/>
      <c r="AJ919" s="126"/>
      <c r="AK919" s="126"/>
      <c r="AL919" s="126"/>
      <c r="AM919" s="126"/>
      <c r="AN919" s="126"/>
    </row>
    <row r="920" spans="1:40" ht="15.75" customHeight="1">
      <c r="A920" s="221" t="str">
        <f t="shared" si="2"/>
        <v/>
      </c>
      <c r="B920" s="222"/>
      <c r="C920" s="222"/>
      <c r="D920" s="222" t="str">
        <f t="array" ref="D920">IF(F920="","",INDEX(#REF!,MATCH(F920,#REF!,0)))</f>
        <v/>
      </c>
      <c r="E920" s="222" t="str">
        <f t="array" ref="E920">IF(F920="","",INDEX(#REF!,MATCH(F920,#REF!,0)))</f>
        <v/>
      </c>
      <c r="F920" s="222"/>
      <c r="G920" s="222"/>
      <c r="H920" s="223"/>
      <c r="I920" s="222"/>
      <c r="J920" s="222"/>
      <c r="K920" s="222"/>
      <c r="L920" s="222"/>
      <c r="M920" s="222"/>
      <c r="N920" s="222"/>
      <c r="O920" s="222"/>
      <c r="P920" s="224"/>
      <c r="Q920" s="224"/>
      <c r="R920" s="224"/>
      <c r="S920" s="224"/>
      <c r="T920" s="224"/>
      <c r="U920" s="224"/>
      <c r="V920" s="224"/>
      <c r="W920" s="224"/>
      <c r="X920" s="224"/>
      <c r="Y920" s="222"/>
      <c r="Z920" s="222"/>
      <c r="AA920" s="224"/>
      <c r="AB920" s="224"/>
      <c r="AC920" s="224"/>
      <c r="AD920" s="224"/>
      <c r="AE920" s="224"/>
      <c r="AF920" s="224"/>
      <c r="AG920" s="224"/>
      <c r="AH920" s="224"/>
      <c r="AI920" s="224"/>
      <c r="AJ920" s="126"/>
      <c r="AK920" s="126"/>
      <c r="AL920" s="126"/>
      <c r="AM920" s="126"/>
      <c r="AN920" s="126"/>
    </row>
    <row r="921" spans="1:40" ht="15.75" customHeight="1">
      <c r="A921" s="221" t="str">
        <f t="shared" si="2"/>
        <v/>
      </c>
      <c r="B921" s="222"/>
      <c r="C921" s="222"/>
      <c r="D921" s="222" t="str">
        <f t="array" ref="D921">IF(F921="","",INDEX(#REF!,MATCH(F921,#REF!,0)))</f>
        <v/>
      </c>
      <c r="E921" s="222" t="str">
        <f t="array" ref="E921">IF(F921="","",INDEX(#REF!,MATCH(F921,#REF!,0)))</f>
        <v/>
      </c>
      <c r="F921" s="222"/>
      <c r="G921" s="222"/>
      <c r="H921" s="223"/>
      <c r="I921" s="222"/>
      <c r="J921" s="222"/>
      <c r="K921" s="222"/>
      <c r="L921" s="222"/>
      <c r="M921" s="222"/>
      <c r="N921" s="222"/>
      <c r="O921" s="222"/>
      <c r="P921" s="224"/>
      <c r="Q921" s="224"/>
      <c r="R921" s="224"/>
      <c r="S921" s="224"/>
      <c r="T921" s="224"/>
      <c r="U921" s="224"/>
      <c r="V921" s="224"/>
      <c r="W921" s="224"/>
      <c r="X921" s="224"/>
      <c r="Y921" s="222"/>
      <c r="Z921" s="222"/>
      <c r="AA921" s="224"/>
      <c r="AB921" s="224"/>
      <c r="AC921" s="224"/>
      <c r="AD921" s="224"/>
      <c r="AE921" s="224"/>
      <c r="AF921" s="224"/>
      <c r="AG921" s="224"/>
      <c r="AH921" s="224"/>
      <c r="AI921" s="224"/>
      <c r="AJ921" s="126"/>
      <c r="AK921" s="126"/>
      <c r="AL921" s="126"/>
      <c r="AM921" s="126"/>
      <c r="AN921" s="126"/>
    </row>
    <row r="922" spans="1:40" ht="15.75" customHeight="1">
      <c r="A922" s="221" t="str">
        <f t="shared" si="2"/>
        <v/>
      </c>
      <c r="B922" s="222"/>
      <c r="C922" s="222"/>
      <c r="D922" s="222" t="str">
        <f t="array" ref="D922">IF(F922="","",INDEX(#REF!,MATCH(F922,#REF!,0)))</f>
        <v/>
      </c>
      <c r="E922" s="222" t="str">
        <f t="array" ref="E922">IF(F922="","",INDEX(#REF!,MATCH(F922,#REF!,0)))</f>
        <v/>
      </c>
      <c r="F922" s="222"/>
      <c r="G922" s="222"/>
      <c r="H922" s="223"/>
      <c r="I922" s="222"/>
      <c r="J922" s="222"/>
      <c r="K922" s="222"/>
      <c r="L922" s="222"/>
      <c r="M922" s="222"/>
      <c r="N922" s="222"/>
      <c r="O922" s="222"/>
      <c r="P922" s="224"/>
      <c r="Q922" s="224"/>
      <c r="R922" s="224"/>
      <c r="S922" s="224"/>
      <c r="T922" s="224"/>
      <c r="U922" s="224"/>
      <c r="V922" s="224"/>
      <c r="W922" s="224"/>
      <c r="X922" s="224"/>
      <c r="Y922" s="222"/>
      <c r="Z922" s="222"/>
      <c r="AA922" s="224"/>
      <c r="AB922" s="224"/>
      <c r="AC922" s="224"/>
      <c r="AD922" s="224"/>
      <c r="AE922" s="224"/>
      <c r="AF922" s="224"/>
      <c r="AG922" s="224"/>
      <c r="AH922" s="224"/>
      <c r="AI922" s="224"/>
      <c r="AJ922" s="126"/>
      <c r="AK922" s="126"/>
      <c r="AL922" s="126"/>
      <c r="AM922" s="126"/>
      <c r="AN922" s="126"/>
    </row>
    <row r="923" spans="1:40" ht="15.75" customHeight="1">
      <c r="A923" s="221" t="str">
        <f t="shared" si="2"/>
        <v/>
      </c>
      <c r="B923" s="222"/>
      <c r="C923" s="222"/>
      <c r="D923" s="222" t="str">
        <f t="array" ref="D923">IF(F923="","",INDEX(#REF!,MATCH(F923,#REF!,0)))</f>
        <v/>
      </c>
      <c r="E923" s="222" t="str">
        <f t="array" ref="E923">IF(F923="","",INDEX(#REF!,MATCH(F923,#REF!,0)))</f>
        <v/>
      </c>
      <c r="F923" s="222"/>
      <c r="G923" s="222"/>
      <c r="H923" s="223"/>
      <c r="I923" s="222"/>
      <c r="J923" s="222"/>
      <c r="K923" s="222"/>
      <c r="L923" s="222"/>
      <c r="M923" s="222"/>
      <c r="N923" s="222"/>
      <c r="O923" s="222"/>
      <c r="P923" s="224"/>
      <c r="Q923" s="224"/>
      <c r="R923" s="224"/>
      <c r="S923" s="224"/>
      <c r="T923" s="224"/>
      <c r="U923" s="224"/>
      <c r="V923" s="224"/>
      <c r="W923" s="224"/>
      <c r="X923" s="224"/>
      <c r="Y923" s="222"/>
      <c r="Z923" s="222"/>
      <c r="AA923" s="224"/>
      <c r="AB923" s="224"/>
      <c r="AC923" s="224"/>
      <c r="AD923" s="224"/>
      <c r="AE923" s="224"/>
      <c r="AF923" s="224"/>
      <c r="AG923" s="224"/>
      <c r="AH923" s="224"/>
      <c r="AI923" s="224"/>
      <c r="AJ923" s="126"/>
      <c r="AK923" s="126"/>
      <c r="AL923" s="126"/>
      <c r="AM923" s="126"/>
      <c r="AN923" s="126"/>
    </row>
    <row r="924" spans="1:40" ht="15.75" customHeight="1">
      <c r="A924" s="221" t="str">
        <f t="shared" si="2"/>
        <v/>
      </c>
      <c r="B924" s="222"/>
      <c r="C924" s="222"/>
      <c r="D924" s="222" t="str">
        <f t="array" ref="D924">IF(F924="","",INDEX(#REF!,MATCH(F924,#REF!,0)))</f>
        <v/>
      </c>
      <c r="E924" s="222" t="str">
        <f t="array" ref="E924">IF(F924="","",INDEX(#REF!,MATCH(F924,#REF!,0)))</f>
        <v/>
      </c>
      <c r="F924" s="222"/>
      <c r="G924" s="222"/>
      <c r="H924" s="223"/>
      <c r="I924" s="222"/>
      <c r="J924" s="222"/>
      <c r="K924" s="222"/>
      <c r="L924" s="222"/>
      <c r="M924" s="222"/>
      <c r="N924" s="222"/>
      <c r="O924" s="222"/>
      <c r="P924" s="224"/>
      <c r="Q924" s="224"/>
      <c r="R924" s="224"/>
      <c r="S924" s="224"/>
      <c r="T924" s="224"/>
      <c r="U924" s="224"/>
      <c r="V924" s="224"/>
      <c r="W924" s="224"/>
      <c r="X924" s="224"/>
      <c r="Y924" s="222"/>
      <c r="Z924" s="222"/>
      <c r="AA924" s="224"/>
      <c r="AB924" s="224"/>
      <c r="AC924" s="224"/>
      <c r="AD924" s="224"/>
      <c r="AE924" s="224"/>
      <c r="AF924" s="224"/>
      <c r="AG924" s="224"/>
      <c r="AH924" s="224"/>
      <c r="AI924" s="224"/>
      <c r="AJ924" s="126"/>
      <c r="AK924" s="126"/>
      <c r="AL924" s="126"/>
      <c r="AM924" s="126"/>
      <c r="AN924" s="126"/>
    </row>
    <row r="925" spans="1:40" ht="15.75" customHeight="1">
      <c r="A925" s="221" t="str">
        <f t="shared" si="2"/>
        <v/>
      </c>
      <c r="B925" s="222"/>
      <c r="C925" s="222"/>
      <c r="D925" s="222" t="str">
        <f t="array" ref="D925">IF(F925="","",INDEX(#REF!,MATCH(F925,#REF!,0)))</f>
        <v/>
      </c>
      <c r="E925" s="222" t="str">
        <f t="array" ref="E925">IF(F925="","",INDEX(#REF!,MATCH(F925,#REF!,0)))</f>
        <v/>
      </c>
      <c r="F925" s="222"/>
      <c r="G925" s="222"/>
      <c r="H925" s="223"/>
      <c r="I925" s="222"/>
      <c r="J925" s="222"/>
      <c r="K925" s="222"/>
      <c r="L925" s="222"/>
      <c r="M925" s="222"/>
      <c r="N925" s="222"/>
      <c r="O925" s="222"/>
      <c r="P925" s="224"/>
      <c r="Q925" s="224"/>
      <c r="R925" s="224"/>
      <c r="S925" s="224"/>
      <c r="T925" s="224"/>
      <c r="U925" s="224"/>
      <c r="V925" s="224"/>
      <c r="W925" s="224"/>
      <c r="X925" s="224"/>
      <c r="Y925" s="222"/>
      <c r="Z925" s="222"/>
      <c r="AA925" s="224"/>
      <c r="AB925" s="224"/>
      <c r="AC925" s="224"/>
      <c r="AD925" s="224"/>
      <c r="AE925" s="224"/>
      <c r="AF925" s="224"/>
      <c r="AG925" s="224"/>
      <c r="AH925" s="224"/>
      <c r="AI925" s="224"/>
      <c r="AJ925" s="126"/>
      <c r="AK925" s="126"/>
      <c r="AL925" s="126"/>
      <c r="AM925" s="126"/>
      <c r="AN925" s="126"/>
    </row>
    <row r="926" spans="1:40" ht="15.75" customHeight="1">
      <c r="A926" s="221" t="str">
        <f t="shared" si="2"/>
        <v/>
      </c>
      <c r="B926" s="222"/>
      <c r="C926" s="222"/>
      <c r="D926" s="222" t="str">
        <f t="array" ref="D926">IF(F926="","",INDEX(#REF!,MATCH(F926,#REF!,0)))</f>
        <v/>
      </c>
      <c r="E926" s="222" t="str">
        <f t="array" ref="E926">IF(F926="","",INDEX(#REF!,MATCH(F926,#REF!,0)))</f>
        <v/>
      </c>
      <c r="F926" s="222"/>
      <c r="G926" s="222"/>
      <c r="H926" s="223"/>
      <c r="I926" s="222"/>
      <c r="J926" s="222"/>
      <c r="K926" s="222"/>
      <c r="L926" s="222"/>
      <c r="M926" s="222"/>
      <c r="N926" s="222"/>
      <c r="O926" s="222"/>
      <c r="P926" s="224"/>
      <c r="Q926" s="224"/>
      <c r="R926" s="224"/>
      <c r="S926" s="224"/>
      <c r="T926" s="224"/>
      <c r="U926" s="224"/>
      <c r="V926" s="224"/>
      <c r="W926" s="224"/>
      <c r="X926" s="224"/>
      <c r="Y926" s="222"/>
      <c r="Z926" s="222"/>
      <c r="AA926" s="224"/>
      <c r="AB926" s="224"/>
      <c r="AC926" s="224"/>
      <c r="AD926" s="224"/>
      <c r="AE926" s="224"/>
      <c r="AF926" s="224"/>
      <c r="AG926" s="224"/>
      <c r="AH926" s="224"/>
      <c r="AI926" s="224"/>
      <c r="AJ926" s="126"/>
      <c r="AK926" s="126"/>
      <c r="AL926" s="126"/>
      <c r="AM926" s="126"/>
      <c r="AN926" s="126"/>
    </row>
    <row r="927" spans="1:40" ht="15.75" customHeight="1">
      <c r="A927" s="221" t="str">
        <f t="shared" si="2"/>
        <v/>
      </c>
      <c r="B927" s="222"/>
      <c r="C927" s="222"/>
      <c r="D927" s="222" t="str">
        <f t="array" ref="D927">IF(F927="","",INDEX(#REF!,MATCH(F927,#REF!,0)))</f>
        <v/>
      </c>
      <c r="E927" s="222" t="str">
        <f t="array" ref="E927">IF(F927="","",INDEX(#REF!,MATCH(F927,#REF!,0)))</f>
        <v/>
      </c>
      <c r="F927" s="222"/>
      <c r="G927" s="222"/>
      <c r="H927" s="223"/>
      <c r="I927" s="222"/>
      <c r="J927" s="222"/>
      <c r="K927" s="222"/>
      <c r="L927" s="222"/>
      <c r="M927" s="222"/>
      <c r="N927" s="222"/>
      <c r="O927" s="222"/>
      <c r="P927" s="224"/>
      <c r="Q927" s="224"/>
      <c r="R927" s="224"/>
      <c r="S927" s="224"/>
      <c r="T927" s="224"/>
      <c r="U927" s="224"/>
      <c r="V927" s="224"/>
      <c r="W927" s="224"/>
      <c r="X927" s="224"/>
      <c r="Y927" s="222"/>
      <c r="Z927" s="222"/>
      <c r="AA927" s="224"/>
      <c r="AB927" s="224"/>
      <c r="AC927" s="224"/>
      <c r="AD927" s="224"/>
      <c r="AE927" s="224"/>
      <c r="AF927" s="224"/>
      <c r="AG927" s="224"/>
      <c r="AH927" s="224"/>
      <c r="AI927" s="224"/>
      <c r="AJ927" s="126"/>
      <c r="AK927" s="126"/>
      <c r="AL927" s="126"/>
      <c r="AM927" s="126"/>
      <c r="AN927" s="126"/>
    </row>
    <row r="928" spans="1:40" ht="15.75" customHeight="1">
      <c r="A928" s="221" t="str">
        <f t="shared" si="2"/>
        <v/>
      </c>
      <c r="B928" s="222"/>
      <c r="C928" s="222"/>
      <c r="D928" s="222" t="str">
        <f t="array" ref="D928">IF(F928="","",INDEX(#REF!,MATCH(F928,#REF!,0)))</f>
        <v/>
      </c>
      <c r="E928" s="222" t="str">
        <f t="array" ref="E928">IF(F928="","",INDEX(#REF!,MATCH(F928,#REF!,0)))</f>
        <v/>
      </c>
      <c r="F928" s="222"/>
      <c r="G928" s="222"/>
      <c r="H928" s="223"/>
      <c r="I928" s="222"/>
      <c r="J928" s="222"/>
      <c r="K928" s="222"/>
      <c r="L928" s="222"/>
      <c r="M928" s="222"/>
      <c r="N928" s="222"/>
      <c r="O928" s="222"/>
      <c r="P928" s="224"/>
      <c r="Q928" s="224"/>
      <c r="R928" s="224"/>
      <c r="S928" s="224"/>
      <c r="T928" s="224"/>
      <c r="U928" s="224"/>
      <c r="V928" s="224"/>
      <c r="W928" s="224"/>
      <c r="X928" s="224"/>
      <c r="Y928" s="222"/>
      <c r="Z928" s="222"/>
      <c r="AA928" s="224"/>
      <c r="AB928" s="224"/>
      <c r="AC928" s="224"/>
      <c r="AD928" s="224"/>
      <c r="AE928" s="224"/>
      <c r="AF928" s="224"/>
      <c r="AG928" s="224"/>
      <c r="AH928" s="224"/>
      <c r="AI928" s="224"/>
      <c r="AJ928" s="126"/>
      <c r="AK928" s="126"/>
      <c r="AL928" s="126"/>
      <c r="AM928" s="126"/>
      <c r="AN928" s="126"/>
    </row>
    <row r="929" spans="1:40" ht="15.75" customHeight="1">
      <c r="A929" s="221" t="str">
        <f t="shared" si="2"/>
        <v/>
      </c>
      <c r="B929" s="222"/>
      <c r="C929" s="222"/>
      <c r="D929" s="222" t="str">
        <f t="array" ref="D929">IF(F929="","",INDEX(#REF!,MATCH(F929,#REF!,0)))</f>
        <v/>
      </c>
      <c r="E929" s="222" t="str">
        <f t="array" ref="E929">IF(F929="","",INDEX(#REF!,MATCH(F929,#REF!,0)))</f>
        <v/>
      </c>
      <c r="F929" s="222"/>
      <c r="G929" s="222"/>
      <c r="H929" s="223"/>
      <c r="I929" s="222"/>
      <c r="J929" s="222"/>
      <c r="K929" s="222"/>
      <c r="L929" s="222"/>
      <c r="M929" s="222"/>
      <c r="N929" s="222"/>
      <c r="O929" s="222"/>
      <c r="P929" s="224"/>
      <c r="Q929" s="224"/>
      <c r="R929" s="224"/>
      <c r="S929" s="224"/>
      <c r="T929" s="224"/>
      <c r="U929" s="224"/>
      <c r="V929" s="224"/>
      <c r="W929" s="224"/>
      <c r="X929" s="224"/>
      <c r="Y929" s="222"/>
      <c r="Z929" s="222"/>
      <c r="AA929" s="224"/>
      <c r="AB929" s="224"/>
      <c r="AC929" s="224"/>
      <c r="AD929" s="224"/>
      <c r="AE929" s="224"/>
      <c r="AF929" s="224"/>
      <c r="AG929" s="224"/>
      <c r="AH929" s="224"/>
      <c r="AI929" s="224"/>
      <c r="AJ929" s="126"/>
      <c r="AK929" s="126"/>
      <c r="AL929" s="126"/>
      <c r="AM929" s="126"/>
      <c r="AN929" s="126"/>
    </row>
    <row r="930" spans="1:40" ht="15.75" customHeight="1">
      <c r="A930" s="221" t="str">
        <f t="shared" si="2"/>
        <v/>
      </c>
      <c r="B930" s="222"/>
      <c r="C930" s="222"/>
      <c r="D930" s="222" t="str">
        <f t="array" ref="D930">IF(F930="","",INDEX(#REF!,MATCH(F930,#REF!,0)))</f>
        <v/>
      </c>
      <c r="E930" s="222" t="str">
        <f t="array" ref="E930">IF(F930="","",INDEX(#REF!,MATCH(F930,#REF!,0)))</f>
        <v/>
      </c>
      <c r="F930" s="222"/>
      <c r="G930" s="222"/>
      <c r="H930" s="223"/>
      <c r="I930" s="222"/>
      <c r="J930" s="222"/>
      <c r="K930" s="222"/>
      <c r="L930" s="222"/>
      <c r="M930" s="222"/>
      <c r="N930" s="222"/>
      <c r="O930" s="222"/>
      <c r="P930" s="224"/>
      <c r="Q930" s="224"/>
      <c r="R930" s="224"/>
      <c r="S930" s="224"/>
      <c r="T930" s="224"/>
      <c r="U930" s="224"/>
      <c r="V930" s="224"/>
      <c r="W930" s="224"/>
      <c r="X930" s="224"/>
      <c r="Y930" s="222"/>
      <c r="Z930" s="222"/>
      <c r="AA930" s="224"/>
      <c r="AB930" s="224"/>
      <c r="AC930" s="224"/>
      <c r="AD930" s="224"/>
      <c r="AE930" s="224"/>
      <c r="AF930" s="224"/>
      <c r="AG930" s="224"/>
      <c r="AH930" s="224"/>
      <c r="AI930" s="224"/>
      <c r="AJ930" s="126"/>
      <c r="AK930" s="126"/>
      <c r="AL930" s="126"/>
      <c r="AM930" s="126"/>
      <c r="AN930" s="126"/>
    </row>
    <row r="931" spans="1:40" ht="15.75" customHeight="1">
      <c r="A931" s="221" t="str">
        <f t="shared" si="2"/>
        <v/>
      </c>
      <c r="B931" s="222"/>
      <c r="C931" s="222"/>
      <c r="D931" s="222" t="str">
        <f t="array" ref="D931">IF(F931="","",INDEX(#REF!,MATCH(F931,#REF!,0)))</f>
        <v/>
      </c>
      <c r="E931" s="222" t="str">
        <f t="array" ref="E931">IF(F931="","",INDEX(#REF!,MATCH(F931,#REF!,0)))</f>
        <v/>
      </c>
      <c r="F931" s="222"/>
      <c r="G931" s="222"/>
      <c r="H931" s="223"/>
      <c r="I931" s="222"/>
      <c r="J931" s="222"/>
      <c r="K931" s="222"/>
      <c r="L931" s="222"/>
      <c r="M931" s="222"/>
      <c r="N931" s="222"/>
      <c r="O931" s="222"/>
      <c r="P931" s="224"/>
      <c r="Q931" s="224"/>
      <c r="R931" s="224"/>
      <c r="S931" s="224"/>
      <c r="T931" s="224"/>
      <c r="U931" s="224"/>
      <c r="V931" s="224"/>
      <c r="W931" s="224"/>
      <c r="X931" s="224"/>
      <c r="Y931" s="222"/>
      <c r="Z931" s="222"/>
      <c r="AA931" s="224"/>
      <c r="AB931" s="224"/>
      <c r="AC931" s="224"/>
      <c r="AD931" s="224"/>
      <c r="AE931" s="224"/>
      <c r="AF931" s="224"/>
      <c r="AG931" s="224"/>
      <c r="AH931" s="224"/>
      <c r="AI931" s="224"/>
      <c r="AJ931" s="126"/>
      <c r="AK931" s="126"/>
      <c r="AL931" s="126"/>
      <c r="AM931" s="126"/>
      <c r="AN931" s="126"/>
    </row>
    <row r="932" spans="1:40" ht="15.75" customHeight="1">
      <c r="A932" s="221" t="str">
        <f t="shared" si="2"/>
        <v/>
      </c>
      <c r="B932" s="222"/>
      <c r="C932" s="222"/>
      <c r="D932" s="222" t="str">
        <f t="array" ref="D932">IF(F932="","",INDEX(#REF!,MATCH(F932,#REF!,0)))</f>
        <v/>
      </c>
      <c r="E932" s="222" t="str">
        <f t="array" ref="E932">IF(F932="","",INDEX(#REF!,MATCH(F932,#REF!,0)))</f>
        <v/>
      </c>
      <c r="F932" s="222"/>
      <c r="G932" s="222"/>
      <c r="H932" s="223"/>
      <c r="I932" s="222"/>
      <c r="J932" s="222"/>
      <c r="K932" s="222"/>
      <c r="L932" s="222"/>
      <c r="M932" s="222"/>
      <c r="N932" s="222"/>
      <c r="O932" s="222"/>
      <c r="P932" s="224"/>
      <c r="Q932" s="224"/>
      <c r="R932" s="224"/>
      <c r="S932" s="224"/>
      <c r="T932" s="224"/>
      <c r="U932" s="224"/>
      <c r="V932" s="224"/>
      <c r="W932" s="224"/>
      <c r="X932" s="224"/>
      <c r="Y932" s="222"/>
      <c r="Z932" s="222"/>
      <c r="AA932" s="224"/>
      <c r="AB932" s="224"/>
      <c r="AC932" s="224"/>
      <c r="AD932" s="224"/>
      <c r="AE932" s="224"/>
      <c r="AF932" s="224"/>
      <c r="AG932" s="224"/>
      <c r="AH932" s="224"/>
      <c r="AI932" s="224"/>
      <c r="AJ932" s="126"/>
      <c r="AK932" s="126"/>
      <c r="AL932" s="126"/>
      <c r="AM932" s="126"/>
      <c r="AN932" s="126"/>
    </row>
    <row r="933" spans="1:40" ht="15.75" customHeight="1">
      <c r="A933" s="221" t="str">
        <f t="shared" si="2"/>
        <v/>
      </c>
      <c r="B933" s="222"/>
      <c r="C933" s="222"/>
      <c r="D933" s="222" t="str">
        <f t="array" ref="D933">IF(F933="","",INDEX(#REF!,MATCH(F933,#REF!,0)))</f>
        <v/>
      </c>
      <c r="E933" s="222" t="str">
        <f t="array" ref="E933">IF(F933="","",INDEX(#REF!,MATCH(F933,#REF!,0)))</f>
        <v/>
      </c>
      <c r="F933" s="222"/>
      <c r="G933" s="222"/>
      <c r="H933" s="223"/>
      <c r="I933" s="222"/>
      <c r="J933" s="222"/>
      <c r="K933" s="222"/>
      <c r="L933" s="222"/>
      <c r="M933" s="222"/>
      <c r="N933" s="222"/>
      <c r="O933" s="222"/>
      <c r="P933" s="224"/>
      <c r="Q933" s="224"/>
      <c r="R933" s="224"/>
      <c r="S933" s="224"/>
      <c r="T933" s="224"/>
      <c r="U933" s="224"/>
      <c r="V933" s="224"/>
      <c r="W933" s="224"/>
      <c r="X933" s="224"/>
      <c r="Y933" s="222"/>
      <c r="Z933" s="222"/>
      <c r="AA933" s="224"/>
      <c r="AB933" s="224"/>
      <c r="AC933" s="224"/>
      <c r="AD933" s="224"/>
      <c r="AE933" s="224"/>
      <c r="AF933" s="224"/>
      <c r="AG933" s="224"/>
      <c r="AH933" s="224"/>
      <c r="AI933" s="224"/>
      <c r="AJ933" s="126"/>
      <c r="AK933" s="126"/>
      <c r="AL933" s="126"/>
      <c r="AM933" s="126"/>
      <c r="AN933" s="126"/>
    </row>
    <row r="934" spans="1:40" ht="15.75" customHeight="1">
      <c r="A934" s="221" t="str">
        <f t="shared" si="2"/>
        <v/>
      </c>
      <c r="B934" s="222"/>
      <c r="C934" s="222"/>
      <c r="D934" s="222" t="str">
        <f t="array" ref="D934">IF(F934="","",INDEX(#REF!,MATCH(F934,#REF!,0)))</f>
        <v/>
      </c>
      <c r="E934" s="222" t="str">
        <f t="array" ref="E934">IF(F934="","",INDEX(#REF!,MATCH(F934,#REF!,0)))</f>
        <v/>
      </c>
      <c r="F934" s="222"/>
      <c r="G934" s="222"/>
      <c r="H934" s="223"/>
      <c r="I934" s="222"/>
      <c r="J934" s="222"/>
      <c r="K934" s="222"/>
      <c r="L934" s="222"/>
      <c r="M934" s="222"/>
      <c r="N934" s="222"/>
      <c r="O934" s="222"/>
      <c r="P934" s="224"/>
      <c r="Q934" s="224"/>
      <c r="R934" s="224"/>
      <c r="S934" s="224"/>
      <c r="T934" s="224"/>
      <c r="U934" s="224"/>
      <c r="V934" s="224"/>
      <c r="W934" s="224"/>
      <c r="X934" s="224"/>
      <c r="Y934" s="222"/>
      <c r="Z934" s="222"/>
      <c r="AA934" s="224"/>
      <c r="AB934" s="224"/>
      <c r="AC934" s="224"/>
      <c r="AD934" s="224"/>
      <c r="AE934" s="224"/>
      <c r="AF934" s="224"/>
      <c r="AG934" s="224"/>
      <c r="AH934" s="224"/>
      <c r="AI934" s="224"/>
      <c r="AJ934" s="126"/>
      <c r="AK934" s="126"/>
      <c r="AL934" s="126"/>
      <c r="AM934" s="126"/>
      <c r="AN934" s="126"/>
    </row>
    <row r="935" spans="1:40" ht="15.75" customHeight="1">
      <c r="A935" s="221" t="str">
        <f t="shared" si="2"/>
        <v/>
      </c>
      <c r="B935" s="222"/>
      <c r="C935" s="222"/>
      <c r="D935" s="222" t="str">
        <f t="array" ref="D935">IF(F935="","",INDEX(#REF!,MATCH(F935,#REF!,0)))</f>
        <v/>
      </c>
      <c r="E935" s="222" t="str">
        <f t="array" ref="E935">IF(F935="","",INDEX(#REF!,MATCH(F935,#REF!,0)))</f>
        <v/>
      </c>
      <c r="F935" s="222"/>
      <c r="G935" s="222"/>
      <c r="H935" s="223"/>
      <c r="I935" s="222"/>
      <c r="J935" s="222"/>
      <c r="K935" s="222"/>
      <c r="L935" s="222"/>
      <c r="M935" s="222"/>
      <c r="N935" s="222"/>
      <c r="O935" s="222"/>
      <c r="P935" s="224"/>
      <c r="Q935" s="224"/>
      <c r="R935" s="224"/>
      <c r="S935" s="224"/>
      <c r="T935" s="224"/>
      <c r="U935" s="224"/>
      <c r="V935" s="224"/>
      <c r="W935" s="224"/>
      <c r="X935" s="224"/>
      <c r="Y935" s="222"/>
      <c r="Z935" s="222"/>
      <c r="AA935" s="224"/>
      <c r="AB935" s="224"/>
      <c r="AC935" s="224"/>
      <c r="AD935" s="224"/>
      <c r="AE935" s="224"/>
      <c r="AF935" s="224"/>
      <c r="AG935" s="224"/>
      <c r="AH935" s="224"/>
      <c r="AI935" s="224"/>
      <c r="AJ935" s="126"/>
      <c r="AK935" s="126"/>
      <c r="AL935" s="126"/>
      <c r="AM935" s="126"/>
      <c r="AN935" s="126"/>
    </row>
    <row r="936" spans="1:40" ht="15.75" customHeight="1">
      <c r="A936" s="221" t="str">
        <f t="shared" si="2"/>
        <v/>
      </c>
      <c r="B936" s="222"/>
      <c r="C936" s="222"/>
      <c r="D936" s="222" t="str">
        <f t="array" ref="D936">IF(F936="","",INDEX(#REF!,MATCH(F936,#REF!,0)))</f>
        <v/>
      </c>
      <c r="E936" s="222" t="str">
        <f t="array" ref="E936">IF(F936="","",INDEX(#REF!,MATCH(F936,#REF!,0)))</f>
        <v/>
      </c>
      <c r="F936" s="222"/>
      <c r="G936" s="222"/>
      <c r="H936" s="223"/>
      <c r="I936" s="222"/>
      <c r="J936" s="222"/>
      <c r="K936" s="222"/>
      <c r="L936" s="222"/>
      <c r="M936" s="222"/>
      <c r="N936" s="222"/>
      <c r="O936" s="222"/>
      <c r="P936" s="224"/>
      <c r="Q936" s="224"/>
      <c r="R936" s="224"/>
      <c r="S936" s="224"/>
      <c r="T936" s="224"/>
      <c r="U936" s="224"/>
      <c r="V936" s="224"/>
      <c r="W936" s="224"/>
      <c r="X936" s="224"/>
      <c r="Y936" s="222"/>
      <c r="Z936" s="222"/>
      <c r="AA936" s="224"/>
      <c r="AB936" s="224"/>
      <c r="AC936" s="224"/>
      <c r="AD936" s="224"/>
      <c r="AE936" s="224"/>
      <c r="AF936" s="224"/>
      <c r="AG936" s="224"/>
      <c r="AH936" s="224"/>
      <c r="AI936" s="224"/>
      <c r="AJ936" s="126"/>
      <c r="AK936" s="126"/>
      <c r="AL936" s="126"/>
      <c r="AM936" s="126"/>
      <c r="AN936" s="126"/>
    </row>
    <row r="937" spans="1:40" ht="15.75" customHeight="1">
      <c r="A937" s="221" t="str">
        <f t="shared" si="2"/>
        <v/>
      </c>
      <c r="B937" s="222"/>
      <c r="C937" s="222"/>
      <c r="D937" s="222" t="str">
        <f t="array" ref="D937">IF(F937="","",INDEX(#REF!,MATCH(F937,#REF!,0)))</f>
        <v/>
      </c>
      <c r="E937" s="222" t="str">
        <f t="array" ref="E937">IF(F937="","",INDEX(#REF!,MATCH(F937,#REF!,0)))</f>
        <v/>
      </c>
      <c r="F937" s="222"/>
      <c r="G937" s="222"/>
      <c r="H937" s="223"/>
      <c r="I937" s="222"/>
      <c r="J937" s="222"/>
      <c r="K937" s="222"/>
      <c r="L937" s="222"/>
      <c r="M937" s="222"/>
      <c r="N937" s="222"/>
      <c r="O937" s="222"/>
      <c r="P937" s="224"/>
      <c r="Q937" s="224"/>
      <c r="R937" s="224"/>
      <c r="S937" s="224"/>
      <c r="T937" s="224"/>
      <c r="U937" s="224"/>
      <c r="V937" s="224"/>
      <c r="W937" s="224"/>
      <c r="X937" s="224"/>
      <c r="Y937" s="222"/>
      <c r="Z937" s="222"/>
      <c r="AA937" s="224"/>
      <c r="AB937" s="224"/>
      <c r="AC937" s="224"/>
      <c r="AD937" s="224"/>
      <c r="AE937" s="224"/>
      <c r="AF937" s="224"/>
      <c r="AG937" s="224"/>
      <c r="AH937" s="224"/>
      <c r="AI937" s="224"/>
      <c r="AJ937" s="126"/>
      <c r="AK937" s="126"/>
      <c r="AL937" s="126"/>
      <c r="AM937" s="126"/>
      <c r="AN937" s="126"/>
    </row>
    <row r="938" spans="1:40" ht="15.75" customHeight="1">
      <c r="A938" s="221" t="str">
        <f t="shared" si="2"/>
        <v/>
      </c>
      <c r="B938" s="222"/>
      <c r="C938" s="222"/>
      <c r="D938" s="222" t="str">
        <f t="array" ref="D938">IF(F938="","",INDEX(#REF!,MATCH(F938,#REF!,0)))</f>
        <v/>
      </c>
      <c r="E938" s="222" t="str">
        <f t="array" ref="E938">IF(F938="","",INDEX(#REF!,MATCH(F938,#REF!,0)))</f>
        <v/>
      </c>
      <c r="F938" s="222"/>
      <c r="G938" s="222"/>
      <c r="H938" s="223"/>
      <c r="I938" s="222"/>
      <c r="J938" s="222"/>
      <c r="K938" s="222"/>
      <c r="L938" s="222"/>
      <c r="M938" s="222"/>
      <c r="N938" s="222"/>
      <c r="O938" s="222"/>
      <c r="P938" s="224"/>
      <c r="Q938" s="224"/>
      <c r="R938" s="224"/>
      <c r="S938" s="224"/>
      <c r="T938" s="224"/>
      <c r="U938" s="224"/>
      <c r="V938" s="224"/>
      <c r="W938" s="224"/>
      <c r="X938" s="224"/>
      <c r="Y938" s="222"/>
      <c r="Z938" s="222"/>
      <c r="AA938" s="224"/>
      <c r="AB938" s="224"/>
      <c r="AC938" s="224"/>
      <c r="AD938" s="224"/>
      <c r="AE938" s="224"/>
      <c r="AF938" s="224"/>
      <c r="AG938" s="224"/>
      <c r="AH938" s="224"/>
      <c r="AI938" s="224"/>
      <c r="AJ938" s="126"/>
      <c r="AK938" s="126"/>
      <c r="AL938" s="126"/>
      <c r="AM938" s="126"/>
      <c r="AN938" s="126"/>
    </row>
    <row r="939" spans="1:40" ht="15.75" customHeight="1">
      <c r="A939" s="221" t="str">
        <f t="shared" si="2"/>
        <v/>
      </c>
      <c r="B939" s="222"/>
      <c r="C939" s="222"/>
      <c r="D939" s="222" t="str">
        <f t="array" ref="D939">IF(F939="","",INDEX(#REF!,MATCH(F939,#REF!,0)))</f>
        <v/>
      </c>
      <c r="E939" s="222" t="str">
        <f t="array" ref="E939">IF(F939="","",INDEX(#REF!,MATCH(F939,#REF!,0)))</f>
        <v/>
      </c>
      <c r="F939" s="222"/>
      <c r="G939" s="222"/>
      <c r="H939" s="223"/>
      <c r="I939" s="222"/>
      <c r="J939" s="222"/>
      <c r="K939" s="222"/>
      <c r="L939" s="222"/>
      <c r="M939" s="222"/>
      <c r="N939" s="222"/>
      <c r="O939" s="222"/>
      <c r="P939" s="224"/>
      <c r="Q939" s="224"/>
      <c r="R939" s="224"/>
      <c r="S939" s="224"/>
      <c r="T939" s="224"/>
      <c r="U939" s="224"/>
      <c r="V939" s="224"/>
      <c r="W939" s="224"/>
      <c r="X939" s="224"/>
      <c r="Y939" s="222"/>
      <c r="Z939" s="222"/>
      <c r="AA939" s="224"/>
      <c r="AB939" s="224"/>
      <c r="AC939" s="224"/>
      <c r="AD939" s="224"/>
      <c r="AE939" s="224"/>
      <c r="AF939" s="224"/>
      <c r="AG939" s="224"/>
      <c r="AH939" s="224"/>
      <c r="AI939" s="224"/>
      <c r="AJ939" s="126"/>
      <c r="AK939" s="126"/>
      <c r="AL939" s="126"/>
      <c r="AM939" s="126"/>
      <c r="AN939" s="126"/>
    </row>
    <row r="940" spans="1:40" ht="15.75" customHeight="1">
      <c r="A940" s="221" t="str">
        <f t="shared" si="2"/>
        <v/>
      </c>
      <c r="B940" s="222"/>
      <c r="C940" s="222"/>
      <c r="D940" s="222" t="str">
        <f t="array" ref="D940">IF(F940="","",INDEX(#REF!,MATCH(F940,#REF!,0)))</f>
        <v/>
      </c>
      <c r="E940" s="222" t="str">
        <f t="array" ref="E940">IF(F940="","",INDEX(#REF!,MATCH(F940,#REF!,0)))</f>
        <v/>
      </c>
      <c r="F940" s="222"/>
      <c r="G940" s="222"/>
      <c r="H940" s="223"/>
      <c r="I940" s="222"/>
      <c r="J940" s="222"/>
      <c r="K940" s="222"/>
      <c r="L940" s="222"/>
      <c r="M940" s="222"/>
      <c r="N940" s="222"/>
      <c r="O940" s="222"/>
      <c r="P940" s="224"/>
      <c r="Q940" s="224"/>
      <c r="R940" s="224"/>
      <c r="S940" s="224"/>
      <c r="T940" s="224"/>
      <c r="U940" s="224"/>
      <c r="V940" s="224"/>
      <c r="W940" s="224"/>
      <c r="X940" s="224"/>
      <c r="Y940" s="222"/>
      <c r="Z940" s="222"/>
      <c r="AA940" s="224"/>
      <c r="AB940" s="224"/>
      <c r="AC940" s="224"/>
      <c r="AD940" s="224"/>
      <c r="AE940" s="224"/>
      <c r="AF940" s="224"/>
      <c r="AG940" s="224"/>
      <c r="AH940" s="224"/>
      <c r="AI940" s="224"/>
      <c r="AJ940" s="126"/>
      <c r="AK940" s="126"/>
      <c r="AL940" s="126"/>
      <c r="AM940" s="126"/>
      <c r="AN940" s="126"/>
    </row>
    <row r="941" spans="1:40" ht="15.75" customHeight="1">
      <c r="A941" s="221" t="str">
        <f t="shared" si="2"/>
        <v/>
      </c>
      <c r="B941" s="222"/>
      <c r="C941" s="222"/>
      <c r="D941" s="222" t="str">
        <f t="array" ref="D941">IF(F941="","",INDEX(#REF!,MATCH(F941,#REF!,0)))</f>
        <v/>
      </c>
      <c r="E941" s="222" t="str">
        <f t="array" ref="E941">IF(F941="","",INDEX(#REF!,MATCH(F941,#REF!,0)))</f>
        <v/>
      </c>
      <c r="F941" s="222"/>
      <c r="G941" s="222"/>
      <c r="H941" s="223"/>
      <c r="I941" s="222"/>
      <c r="J941" s="222"/>
      <c r="K941" s="222"/>
      <c r="L941" s="222"/>
      <c r="M941" s="222"/>
      <c r="N941" s="222"/>
      <c r="O941" s="222"/>
      <c r="P941" s="224"/>
      <c r="Q941" s="224"/>
      <c r="R941" s="224"/>
      <c r="S941" s="224"/>
      <c r="T941" s="224"/>
      <c r="U941" s="224"/>
      <c r="V941" s="224"/>
      <c r="W941" s="224"/>
      <c r="X941" s="224"/>
      <c r="Y941" s="222"/>
      <c r="Z941" s="222"/>
      <c r="AA941" s="224"/>
      <c r="AB941" s="224"/>
      <c r="AC941" s="224"/>
      <c r="AD941" s="224"/>
      <c r="AE941" s="224"/>
      <c r="AF941" s="224"/>
      <c r="AG941" s="224"/>
      <c r="AH941" s="224"/>
      <c r="AI941" s="224"/>
      <c r="AJ941" s="126"/>
      <c r="AK941" s="126"/>
      <c r="AL941" s="126"/>
      <c r="AM941" s="126"/>
      <c r="AN941" s="126"/>
    </row>
    <row r="942" spans="1:40" ht="15.75" customHeight="1">
      <c r="A942" s="221" t="str">
        <f t="shared" si="2"/>
        <v/>
      </c>
      <c r="B942" s="222"/>
      <c r="C942" s="222"/>
      <c r="D942" s="222" t="str">
        <f t="array" ref="D942">IF(F942="","",INDEX(#REF!,MATCH(F942,#REF!,0)))</f>
        <v/>
      </c>
      <c r="E942" s="222" t="str">
        <f t="array" ref="E942">IF(F942="","",INDEX(#REF!,MATCH(F942,#REF!,0)))</f>
        <v/>
      </c>
      <c r="F942" s="222"/>
      <c r="G942" s="222"/>
      <c r="H942" s="223"/>
      <c r="I942" s="222"/>
      <c r="J942" s="222"/>
      <c r="K942" s="222"/>
      <c r="L942" s="222"/>
      <c r="M942" s="222"/>
      <c r="N942" s="222"/>
      <c r="O942" s="222"/>
      <c r="P942" s="224"/>
      <c r="Q942" s="224"/>
      <c r="R942" s="224"/>
      <c r="S942" s="224"/>
      <c r="T942" s="224"/>
      <c r="U942" s="224"/>
      <c r="V942" s="224"/>
      <c r="W942" s="224"/>
      <c r="X942" s="224"/>
      <c r="Y942" s="222"/>
      <c r="Z942" s="222"/>
      <c r="AA942" s="224"/>
      <c r="AB942" s="224"/>
      <c r="AC942" s="224"/>
      <c r="AD942" s="224"/>
      <c r="AE942" s="224"/>
      <c r="AF942" s="224"/>
      <c r="AG942" s="224"/>
      <c r="AH942" s="224"/>
      <c r="AI942" s="224"/>
      <c r="AJ942" s="126"/>
      <c r="AK942" s="126"/>
      <c r="AL942" s="126"/>
      <c r="AM942" s="126"/>
      <c r="AN942" s="126"/>
    </row>
    <row r="943" spans="1:40" ht="15.75" customHeight="1">
      <c r="A943" s="221" t="str">
        <f t="shared" si="2"/>
        <v/>
      </c>
      <c r="B943" s="222"/>
      <c r="C943" s="222"/>
      <c r="D943" s="222" t="str">
        <f t="array" ref="D943">IF(F943="","",INDEX(#REF!,MATCH(F943,#REF!,0)))</f>
        <v/>
      </c>
      <c r="E943" s="222" t="str">
        <f t="array" ref="E943">IF(F943="","",INDEX(#REF!,MATCH(F943,#REF!,0)))</f>
        <v/>
      </c>
      <c r="F943" s="222"/>
      <c r="G943" s="222"/>
      <c r="H943" s="223"/>
      <c r="I943" s="222"/>
      <c r="J943" s="222"/>
      <c r="K943" s="222"/>
      <c r="L943" s="222"/>
      <c r="M943" s="222"/>
      <c r="N943" s="222"/>
      <c r="O943" s="222"/>
      <c r="P943" s="224"/>
      <c r="Q943" s="224"/>
      <c r="R943" s="224"/>
      <c r="S943" s="224"/>
      <c r="T943" s="224"/>
      <c r="U943" s="224"/>
      <c r="V943" s="224"/>
      <c r="W943" s="224"/>
      <c r="X943" s="224"/>
      <c r="Y943" s="222"/>
      <c r="Z943" s="222"/>
      <c r="AA943" s="224"/>
      <c r="AB943" s="224"/>
      <c r="AC943" s="224"/>
      <c r="AD943" s="224"/>
      <c r="AE943" s="224"/>
      <c r="AF943" s="224"/>
      <c r="AG943" s="224"/>
      <c r="AH943" s="224"/>
      <c r="AI943" s="224"/>
      <c r="AJ943" s="126"/>
      <c r="AK943" s="126"/>
      <c r="AL943" s="126"/>
      <c r="AM943" s="126"/>
      <c r="AN943" s="126"/>
    </row>
    <row r="944" spans="1:40" ht="15.75" customHeight="1">
      <c r="A944" s="221" t="str">
        <f t="shared" si="2"/>
        <v/>
      </c>
      <c r="B944" s="222"/>
      <c r="C944" s="222"/>
      <c r="D944" s="222" t="str">
        <f t="array" ref="D944">IF(F944="","",INDEX(#REF!,MATCH(F944,#REF!,0)))</f>
        <v/>
      </c>
      <c r="E944" s="222" t="str">
        <f t="array" ref="E944">IF(F944="","",INDEX(#REF!,MATCH(F944,#REF!,0)))</f>
        <v/>
      </c>
      <c r="F944" s="222"/>
      <c r="G944" s="222"/>
      <c r="H944" s="223"/>
      <c r="I944" s="222"/>
      <c r="J944" s="222"/>
      <c r="K944" s="222"/>
      <c r="L944" s="222"/>
      <c r="M944" s="222"/>
      <c r="N944" s="222"/>
      <c r="O944" s="222"/>
      <c r="P944" s="224"/>
      <c r="Q944" s="224"/>
      <c r="R944" s="224"/>
      <c r="S944" s="224"/>
      <c r="T944" s="224"/>
      <c r="U944" s="224"/>
      <c r="V944" s="224"/>
      <c r="W944" s="224"/>
      <c r="X944" s="224"/>
      <c r="Y944" s="222"/>
      <c r="Z944" s="222"/>
      <c r="AA944" s="224"/>
      <c r="AB944" s="224"/>
      <c r="AC944" s="224"/>
      <c r="AD944" s="224"/>
      <c r="AE944" s="224"/>
      <c r="AF944" s="224"/>
      <c r="AG944" s="224"/>
      <c r="AH944" s="224"/>
      <c r="AI944" s="224"/>
      <c r="AJ944" s="126"/>
      <c r="AK944" s="126"/>
      <c r="AL944" s="126"/>
      <c r="AM944" s="126"/>
      <c r="AN944" s="126"/>
    </row>
    <row r="945" spans="1:40" ht="15.75" customHeight="1">
      <c r="A945" s="221" t="str">
        <f t="shared" si="2"/>
        <v/>
      </c>
      <c r="B945" s="222"/>
      <c r="C945" s="222"/>
      <c r="D945" s="222" t="str">
        <f t="array" ref="D945">IF(F945="","",INDEX(#REF!,MATCH(F945,#REF!,0)))</f>
        <v/>
      </c>
      <c r="E945" s="222" t="str">
        <f t="array" ref="E945">IF(F945="","",INDEX(#REF!,MATCH(F945,#REF!,0)))</f>
        <v/>
      </c>
      <c r="F945" s="222"/>
      <c r="G945" s="222"/>
      <c r="H945" s="223"/>
      <c r="I945" s="222"/>
      <c r="J945" s="222"/>
      <c r="K945" s="222"/>
      <c r="L945" s="222"/>
      <c r="M945" s="222"/>
      <c r="N945" s="222"/>
      <c r="O945" s="222"/>
      <c r="P945" s="224"/>
      <c r="Q945" s="224"/>
      <c r="R945" s="224"/>
      <c r="S945" s="224"/>
      <c r="T945" s="224"/>
      <c r="U945" s="224"/>
      <c r="V945" s="224"/>
      <c r="W945" s="224"/>
      <c r="X945" s="224"/>
      <c r="Y945" s="222"/>
      <c r="Z945" s="222"/>
      <c r="AA945" s="224"/>
      <c r="AB945" s="224"/>
      <c r="AC945" s="224"/>
      <c r="AD945" s="224"/>
      <c r="AE945" s="224"/>
      <c r="AF945" s="224"/>
      <c r="AG945" s="224"/>
      <c r="AH945" s="224"/>
      <c r="AI945" s="224"/>
      <c r="AJ945" s="126"/>
      <c r="AK945" s="126"/>
      <c r="AL945" s="126"/>
      <c r="AM945" s="126"/>
      <c r="AN945" s="126"/>
    </row>
    <row r="946" spans="1:40" ht="15.75" customHeight="1">
      <c r="A946" s="221" t="str">
        <f t="shared" si="2"/>
        <v/>
      </c>
      <c r="B946" s="222"/>
      <c r="C946" s="222"/>
      <c r="D946" s="222" t="str">
        <f t="array" ref="D946">IF(F946="","",INDEX(#REF!,MATCH(F946,#REF!,0)))</f>
        <v/>
      </c>
      <c r="E946" s="222" t="str">
        <f t="array" ref="E946">IF(F946="","",INDEX(#REF!,MATCH(F946,#REF!,0)))</f>
        <v/>
      </c>
      <c r="F946" s="222"/>
      <c r="G946" s="222"/>
      <c r="H946" s="223"/>
      <c r="I946" s="222"/>
      <c r="J946" s="222"/>
      <c r="K946" s="222"/>
      <c r="L946" s="222"/>
      <c r="M946" s="222"/>
      <c r="N946" s="222"/>
      <c r="O946" s="222"/>
      <c r="P946" s="224"/>
      <c r="Q946" s="224"/>
      <c r="R946" s="224"/>
      <c r="S946" s="224"/>
      <c r="T946" s="224"/>
      <c r="U946" s="224"/>
      <c r="V946" s="224"/>
      <c r="W946" s="224"/>
      <c r="X946" s="224"/>
      <c r="Y946" s="222"/>
      <c r="Z946" s="222"/>
      <c r="AA946" s="224"/>
      <c r="AB946" s="224"/>
      <c r="AC946" s="224"/>
      <c r="AD946" s="224"/>
      <c r="AE946" s="224"/>
      <c r="AF946" s="224"/>
      <c r="AG946" s="224"/>
      <c r="AH946" s="224"/>
      <c r="AI946" s="224"/>
      <c r="AJ946" s="126"/>
      <c r="AK946" s="126"/>
      <c r="AL946" s="126"/>
      <c r="AM946" s="126"/>
      <c r="AN946" s="126"/>
    </row>
    <row r="947" spans="1:40" ht="15.75" customHeight="1">
      <c r="A947" s="221" t="str">
        <f t="shared" si="2"/>
        <v/>
      </c>
      <c r="B947" s="222"/>
      <c r="C947" s="222"/>
      <c r="D947" s="222" t="str">
        <f t="array" ref="D947">IF(F947="","",INDEX(#REF!,MATCH(F947,#REF!,0)))</f>
        <v/>
      </c>
      <c r="E947" s="222" t="str">
        <f t="array" ref="E947">IF(F947="","",INDEX(#REF!,MATCH(F947,#REF!,0)))</f>
        <v/>
      </c>
      <c r="F947" s="222"/>
      <c r="G947" s="222"/>
      <c r="H947" s="223"/>
      <c r="I947" s="222"/>
      <c r="J947" s="222"/>
      <c r="K947" s="222"/>
      <c r="L947" s="222"/>
      <c r="M947" s="222"/>
      <c r="N947" s="222"/>
      <c r="O947" s="222"/>
      <c r="P947" s="224"/>
      <c r="Q947" s="224"/>
      <c r="R947" s="224"/>
      <c r="S947" s="224"/>
      <c r="T947" s="224"/>
      <c r="U947" s="224"/>
      <c r="V947" s="224"/>
      <c r="W947" s="224"/>
      <c r="X947" s="224"/>
      <c r="Y947" s="222"/>
      <c r="Z947" s="222"/>
      <c r="AA947" s="224"/>
      <c r="AB947" s="224"/>
      <c r="AC947" s="224"/>
      <c r="AD947" s="224"/>
      <c r="AE947" s="224"/>
      <c r="AF947" s="224"/>
      <c r="AG947" s="224"/>
      <c r="AH947" s="224"/>
      <c r="AI947" s="224"/>
      <c r="AJ947" s="126"/>
      <c r="AK947" s="126"/>
      <c r="AL947" s="126"/>
      <c r="AM947" s="126"/>
      <c r="AN947" s="126"/>
    </row>
    <row r="948" spans="1:40" ht="15.75" customHeight="1">
      <c r="A948" s="221" t="str">
        <f t="shared" si="2"/>
        <v/>
      </c>
      <c r="B948" s="222"/>
      <c r="C948" s="222"/>
      <c r="D948" s="222" t="str">
        <f t="array" ref="D948">IF(F948="","",INDEX(#REF!,MATCH(F948,#REF!,0)))</f>
        <v/>
      </c>
      <c r="E948" s="222" t="str">
        <f t="array" ref="E948">IF(F948="","",INDEX(#REF!,MATCH(F948,#REF!,0)))</f>
        <v/>
      </c>
      <c r="F948" s="222"/>
      <c r="G948" s="222"/>
      <c r="H948" s="223"/>
      <c r="I948" s="222"/>
      <c r="J948" s="222"/>
      <c r="K948" s="222"/>
      <c r="L948" s="222"/>
      <c r="M948" s="222"/>
      <c r="N948" s="222"/>
      <c r="O948" s="222"/>
      <c r="P948" s="224"/>
      <c r="Q948" s="224"/>
      <c r="R948" s="224"/>
      <c r="S948" s="224"/>
      <c r="T948" s="224"/>
      <c r="U948" s="224"/>
      <c r="V948" s="224"/>
      <c r="W948" s="224"/>
      <c r="X948" s="224"/>
      <c r="Y948" s="222"/>
      <c r="Z948" s="222"/>
      <c r="AA948" s="224"/>
      <c r="AB948" s="224"/>
      <c r="AC948" s="224"/>
      <c r="AD948" s="224"/>
      <c r="AE948" s="224"/>
      <c r="AF948" s="224"/>
      <c r="AG948" s="224"/>
      <c r="AH948" s="224"/>
      <c r="AI948" s="224"/>
      <c r="AJ948" s="126"/>
      <c r="AK948" s="126"/>
      <c r="AL948" s="126"/>
      <c r="AM948" s="126"/>
      <c r="AN948" s="126"/>
    </row>
    <row r="949" spans="1:40" ht="15.75" customHeight="1">
      <c r="A949" s="221" t="str">
        <f t="shared" si="2"/>
        <v/>
      </c>
      <c r="B949" s="222"/>
      <c r="C949" s="222"/>
      <c r="D949" s="222" t="str">
        <f t="array" ref="D949">IF(F949="","",INDEX(#REF!,MATCH(F949,#REF!,0)))</f>
        <v/>
      </c>
      <c r="E949" s="222" t="str">
        <f t="array" ref="E949">IF(F949="","",INDEX(#REF!,MATCH(F949,#REF!,0)))</f>
        <v/>
      </c>
      <c r="F949" s="222"/>
      <c r="G949" s="222"/>
      <c r="H949" s="223"/>
      <c r="I949" s="222"/>
      <c r="J949" s="222"/>
      <c r="K949" s="222"/>
      <c r="L949" s="222"/>
      <c r="M949" s="222"/>
      <c r="N949" s="222"/>
      <c r="O949" s="222"/>
      <c r="P949" s="224"/>
      <c r="Q949" s="224"/>
      <c r="R949" s="224"/>
      <c r="S949" s="224"/>
      <c r="T949" s="224"/>
      <c r="U949" s="224"/>
      <c r="V949" s="224"/>
      <c r="W949" s="224"/>
      <c r="X949" s="224"/>
      <c r="Y949" s="222"/>
      <c r="Z949" s="222"/>
      <c r="AA949" s="224"/>
      <c r="AB949" s="224"/>
      <c r="AC949" s="224"/>
      <c r="AD949" s="224"/>
      <c r="AE949" s="224"/>
      <c r="AF949" s="224"/>
      <c r="AG949" s="224"/>
      <c r="AH949" s="224"/>
      <c r="AI949" s="224"/>
      <c r="AJ949" s="126"/>
      <c r="AK949" s="126"/>
      <c r="AL949" s="126"/>
      <c r="AM949" s="126"/>
      <c r="AN949" s="126"/>
    </row>
    <row r="950" spans="1:40" ht="15.75" customHeight="1">
      <c r="A950" s="221" t="str">
        <f t="shared" si="2"/>
        <v/>
      </c>
      <c r="B950" s="222"/>
      <c r="C950" s="222"/>
      <c r="D950" s="222" t="str">
        <f t="array" ref="D950">IF(F950="","",INDEX(#REF!,MATCH(F950,#REF!,0)))</f>
        <v/>
      </c>
      <c r="E950" s="222" t="str">
        <f t="array" ref="E950">IF(F950="","",INDEX(#REF!,MATCH(F950,#REF!,0)))</f>
        <v/>
      </c>
      <c r="F950" s="222"/>
      <c r="G950" s="222"/>
      <c r="H950" s="223"/>
      <c r="I950" s="222"/>
      <c r="J950" s="222"/>
      <c r="K950" s="222"/>
      <c r="L950" s="222"/>
      <c r="M950" s="222"/>
      <c r="N950" s="222"/>
      <c r="O950" s="222"/>
      <c r="P950" s="224"/>
      <c r="Q950" s="224"/>
      <c r="R950" s="224"/>
      <c r="S950" s="224"/>
      <c r="T950" s="224"/>
      <c r="U950" s="224"/>
      <c r="V950" s="224"/>
      <c r="W950" s="224"/>
      <c r="X950" s="224"/>
      <c r="Y950" s="222"/>
      <c r="Z950" s="222"/>
      <c r="AA950" s="224"/>
      <c r="AB950" s="224"/>
      <c r="AC950" s="224"/>
      <c r="AD950" s="224"/>
      <c r="AE950" s="224"/>
      <c r="AF950" s="224"/>
      <c r="AG950" s="224"/>
      <c r="AH950" s="224"/>
      <c r="AI950" s="224"/>
      <c r="AJ950" s="126"/>
      <c r="AK950" s="126"/>
      <c r="AL950" s="126"/>
      <c r="AM950" s="126"/>
      <c r="AN950" s="126"/>
    </row>
    <row r="951" spans="1:40" ht="15.75" customHeight="1">
      <c r="A951" s="221" t="str">
        <f t="shared" si="2"/>
        <v/>
      </c>
      <c r="B951" s="222"/>
      <c r="C951" s="222"/>
      <c r="D951" s="222" t="str">
        <f t="array" ref="D951">IF(F951="","",INDEX(#REF!,MATCH(F951,#REF!,0)))</f>
        <v/>
      </c>
      <c r="E951" s="222" t="str">
        <f t="array" ref="E951">IF(F951="","",INDEX(#REF!,MATCH(F951,#REF!,0)))</f>
        <v/>
      </c>
      <c r="F951" s="222"/>
      <c r="G951" s="222"/>
      <c r="H951" s="223"/>
      <c r="I951" s="222"/>
      <c r="J951" s="222"/>
      <c r="K951" s="222"/>
      <c r="L951" s="222"/>
      <c r="M951" s="222"/>
      <c r="N951" s="222"/>
      <c r="O951" s="222"/>
      <c r="P951" s="224"/>
      <c r="Q951" s="224"/>
      <c r="R951" s="224"/>
      <c r="S951" s="224"/>
      <c r="T951" s="224"/>
      <c r="U951" s="224"/>
      <c r="V951" s="224"/>
      <c r="W951" s="224"/>
      <c r="X951" s="224"/>
      <c r="Y951" s="222"/>
      <c r="Z951" s="222"/>
      <c r="AA951" s="224"/>
      <c r="AB951" s="224"/>
      <c r="AC951" s="224"/>
      <c r="AD951" s="224"/>
      <c r="AE951" s="224"/>
      <c r="AF951" s="224"/>
      <c r="AG951" s="224"/>
      <c r="AH951" s="224"/>
      <c r="AI951" s="224"/>
      <c r="AJ951" s="126"/>
      <c r="AK951" s="126"/>
      <c r="AL951" s="126"/>
      <c r="AM951" s="126"/>
      <c r="AN951" s="126"/>
    </row>
    <row r="952" spans="1:40" ht="15.75" customHeight="1">
      <c r="A952" s="221" t="str">
        <f t="shared" si="2"/>
        <v/>
      </c>
      <c r="B952" s="222"/>
      <c r="C952" s="222"/>
      <c r="D952" s="222" t="str">
        <f t="array" ref="D952">IF(F952="","",INDEX(#REF!,MATCH(F952,#REF!,0)))</f>
        <v/>
      </c>
      <c r="E952" s="222" t="str">
        <f t="array" ref="E952">IF(F952="","",INDEX(#REF!,MATCH(F952,#REF!,0)))</f>
        <v/>
      </c>
      <c r="F952" s="222"/>
      <c r="G952" s="222"/>
      <c r="H952" s="223"/>
      <c r="I952" s="222"/>
      <c r="J952" s="222"/>
      <c r="K952" s="222"/>
      <c r="L952" s="222"/>
      <c r="M952" s="222"/>
      <c r="N952" s="222"/>
      <c r="O952" s="222"/>
      <c r="P952" s="224"/>
      <c r="Q952" s="224"/>
      <c r="R952" s="224"/>
      <c r="S952" s="224"/>
      <c r="T952" s="224"/>
      <c r="U952" s="224"/>
      <c r="V952" s="224"/>
      <c r="W952" s="224"/>
      <c r="X952" s="224"/>
      <c r="Y952" s="222"/>
      <c r="Z952" s="222"/>
      <c r="AA952" s="224"/>
      <c r="AB952" s="224"/>
      <c r="AC952" s="224"/>
      <c r="AD952" s="224"/>
      <c r="AE952" s="224"/>
      <c r="AF952" s="224"/>
      <c r="AG952" s="224"/>
      <c r="AH952" s="224"/>
      <c r="AI952" s="224"/>
      <c r="AJ952" s="126"/>
      <c r="AK952" s="126"/>
      <c r="AL952" s="126"/>
      <c r="AM952" s="126"/>
      <c r="AN952" s="126"/>
    </row>
    <row r="953" spans="1:40" ht="15.75" customHeight="1">
      <c r="A953" s="221" t="str">
        <f t="shared" si="2"/>
        <v/>
      </c>
      <c r="B953" s="222"/>
      <c r="C953" s="222"/>
      <c r="D953" s="222" t="str">
        <f t="array" ref="D953">IF(F953="","",INDEX(#REF!,MATCH(F953,#REF!,0)))</f>
        <v/>
      </c>
      <c r="E953" s="222" t="str">
        <f t="array" ref="E953">IF(F953="","",INDEX(#REF!,MATCH(F953,#REF!,0)))</f>
        <v/>
      </c>
      <c r="F953" s="222"/>
      <c r="G953" s="222"/>
      <c r="H953" s="223"/>
      <c r="I953" s="222"/>
      <c r="J953" s="222"/>
      <c r="K953" s="222"/>
      <c r="L953" s="222"/>
      <c r="M953" s="222"/>
      <c r="N953" s="222"/>
      <c r="O953" s="222"/>
      <c r="P953" s="224"/>
      <c r="Q953" s="224"/>
      <c r="R953" s="224"/>
      <c r="S953" s="224"/>
      <c r="T953" s="224"/>
      <c r="U953" s="224"/>
      <c r="V953" s="224"/>
      <c r="W953" s="224"/>
      <c r="X953" s="224"/>
      <c r="Y953" s="222"/>
      <c r="Z953" s="222"/>
      <c r="AA953" s="224"/>
      <c r="AB953" s="224"/>
      <c r="AC953" s="224"/>
      <c r="AD953" s="224"/>
      <c r="AE953" s="224"/>
      <c r="AF953" s="224"/>
      <c r="AG953" s="224"/>
      <c r="AH953" s="224"/>
      <c r="AI953" s="224"/>
      <c r="AJ953" s="126"/>
      <c r="AK953" s="126"/>
      <c r="AL953" s="126"/>
      <c r="AM953" s="126"/>
      <c r="AN953" s="126"/>
    </row>
    <row r="954" spans="1:40" ht="15.75" customHeight="1">
      <c r="A954" s="221" t="str">
        <f t="shared" si="2"/>
        <v/>
      </c>
      <c r="B954" s="222"/>
      <c r="C954" s="222"/>
      <c r="D954" s="222" t="str">
        <f t="array" ref="D954">IF(F954="","",INDEX(#REF!,MATCH(F954,#REF!,0)))</f>
        <v/>
      </c>
      <c r="E954" s="222" t="str">
        <f t="array" ref="E954">IF(F954="","",INDEX(#REF!,MATCH(F954,#REF!,0)))</f>
        <v/>
      </c>
      <c r="F954" s="222"/>
      <c r="G954" s="222"/>
      <c r="H954" s="223"/>
      <c r="I954" s="222"/>
      <c r="J954" s="222"/>
      <c r="K954" s="222"/>
      <c r="L954" s="222"/>
      <c r="M954" s="222"/>
      <c r="N954" s="222"/>
      <c r="O954" s="222"/>
      <c r="P954" s="224"/>
      <c r="Q954" s="224"/>
      <c r="R954" s="224"/>
      <c r="S954" s="224"/>
      <c r="T954" s="224"/>
      <c r="U954" s="224"/>
      <c r="V954" s="224"/>
      <c r="W954" s="224"/>
      <c r="X954" s="224"/>
      <c r="Y954" s="222"/>
      <c r="Z954" s="222"/>
      <c r="AA954" s="224"/>
      <c r="AB954" s="224"/>
      <c r="AC954" s="224"/>
      <c r="AD954" s="224"/>
      <c r="AE954" s="224"/>
      <c r="AF954" s="224"/>
      <c r="AG954" s="224"/>
      <c r="AH954" s="224"/>
      <c r="AI954" s="224"/>
      <c r="AJ954" s="126"/>
      <c r="AK954" s="126"/>
      <c r="AL954" s="126"/>
      <c r="AM954" s="126"/>
      <c r="AN954" s="126"/>
    </row>
    <row r="955" spans="1:40" ht="15.75" customHeight="1">
      <c r="A955" s="221" t="str">
        <f t="shared" si="2"/>
        <v/>
      </c>
      <c r="B955" s="222"/>
      <c r="C955" s="222"/>
      <c r="D955" s="222" t="str">
        <f t="array" ref="D955">IF(F955="","",INDEX(#REF!,MATCH(F955,#REF!,0)))</f>
        <v/>
      </c>
      <c r="E955" s="222" t="str">
        <f t="array" ref="E955">IF(F955="","",INDEX(#REF!,MATCH(F955,#REF!,0)))</f>
        <v/>
      </c>
      <c r="F955" s="222"/>
      <c r="G955" s="222"/>
      <c r="H955" s="223"/>
      <c r="I955" s="222"/>
      <c r="J955" s="222"/>
      <c r="K955" s="222"/>
      <c r="L955" s="222"/>
      <c r="M955" s="222"/>
      <c r="N955" s="222"/>
      <c r="O955" s="222"/>
      <c r="P955" s="224"/>
      <c r="Q955" s="224"/>
      <c r="R955" s="224"/>
      <c r="S955" s="224"/>
      <c r="T955" s="224"/>
      <c r="U955" s="224"/>
      <c r="V955" s="224"/>
      <c r="W955" s="224"/>
      <c r="X955" s="224"/>
      <c r="Y955" s="222"/>
      <c r="Z955" s="222"/>
      <c r="AA955" s="224"/>
      <c r="AB955" s="224"/>
      <c r="AC955" s="224"/>
      <c r="AD955" s="224"/>
      <c r="AE955" s="224"/>
      <c r="AF955" s="224"/>
      <c r="AG955" s="224"/>
      <c r="AH955" s="224"/>
      <c r="AI955" s="224"/>
      <c r="AJ955" s="126"/>
      <c r="AK955" s="126"/>
      <c r="AL955" s="126"/>
      <c r="AM955" s="126"/>
      <c r="AN955" s="126"/>
    </row>
    <row r="956" spans="1:40" ht="15.75" customHeight="1">
      <c r="A956" s="221" t="str">
        <f t="shared" si="2"/>
        <v/>
      </c>
      <c r="B956" s="222"/>
      <c r="C956" s="222"/>
      <c r="D956" s="222" t="str">
        <f t="array" ref="D956">IF(F956="","",INDEX(#REF!,MATCH(F956,#REF!,0)))</f>
        <v/>
      </c>
      <c r="E956" s="222" t="str">
        <f t="array" ref="E956">IF(F956="","",INDEX(#REF!,MATCH(F956,#REF!,0)))</f>
        <v/>
      </c>
      <c r="F956" s="222"/>
      <c r="G956" s="222"/>
      <c r="H956" s="223"/>
      <c r="I956" s="222"/>
      <c r="J956" s="222"/>
      <c r="K956" s="222"/>
      <c r="L956" s="222"/>
      <c r="M956" s="222"/>
      <c r="N956" s="222"/>
      <c r="O956" s="222"/>
      <c r="P956" s="224"/>
      <c r="Q956" s="224"/>
      <c r="R956" s="224"/>
      <c r="S956" s="224"/>
      <c r="T956" s="224"/>
      <c r="U956" s="224"/>
      <c r="V956" s="224"/>
      <c r="W956" s="224"/>
      <c r="X956" s="224"/>
      <c r="Y956" s="222"/>
      <c r="Z956" s="222"/>
      <c r="AA956" s="224"/>
      <c r="AB956" s="224"/>
      <c r="AC956" s="224"/>
      <c r="AD956" s="224"/>
      <c r="AE956" s="224"/>
      <c r="AF956" s="224"/>
      <c r="AG956" s="224"/>
      <c r="AH956" s="224"/>
      <c r="AI956" s="224"/>
      <c r="AJ956" s="126"/>
      <c r="AK956" s="126"/>
      <c r="AL956" s="126"/>
      <c r="AM956" s="126"/>
      <c r="AN956" s="126"/>
    </row>
    <row r="957" spans="1:40" ht="15.75" customHeight="1">
      <c r="A957" s="221" t="str">
        <f t="shared" si="2"/>
        <v/>
      </c>
      <c r="B957" s="222"/>
      <c r="C957" s="222"/>
      <c r="D957" s="222" t="str">
        <f t="array" ref="D957">IF(F957="","",INDEX(#REF!,MATCH(F957,#REF!,0)))</f>
        <v/>
      </c>
      <c r="E957" s="222" t="str">
        <f t="array" ref="E957">IF(F957="","",INDEX(#REF!,MATCH(F957,#REF!,0)))</f>
        <v/>
      </c>
      <c r="F957" s="222"/>
      <c r="G957" s="222"/>
      <c r="H957" s="223"/>
      <c r="I957" s="222"/>
      <c r="J957" s="222"/>
      <c r="K957" s="222"/>
      <c r="L957" s="222"/>
      <c r="M957" s="222"/>
      <c r="N957" s="222"/>
      <c r="O957" s="222"/>
      <c r="P957" s="224"/>
      <c r="Q957" s="224"/>
      <c r="R957" s="224"/>
      <c r="S957" s="224"/>
      <c r="T957" s="224"/>
      <c r="U957" s="224"/>
      <c r="V957" s="224"/>
      <c r="W957" s="224"/>
      <c r="X957" s="224"/>
      <c r="Y957" s="222"/>
      <c r="Z957" s="222"/>
      <c r="AA957" s="224"/>
      <c r="AB957" s="224"/>
      <c r="AC957" s="224"/>
      <c r="AD957" s="224"/>
      <c r="AE957" s="224"/>
      <c r="AF957" s="224"/>
      <c r="AG957" s="224"/>
      <c r="AH957" s="224"/>
      <c r="AI957" s="224"/>
      <c r="AJ957" s="126"/>
      <c r="AK957" s="126"/>
      <c r="AL957" s="126"/>
      <c r="AM957" s="126"/>
      <c r="AN957" s="126"/>
    </row>
    <row r="958" spans="1:40" ht="15.75" customHeight="1">
      <c r="A958" s="221" t="str">
        <f t="shared" si="2"/>
        <v/>
      </c>
      <c r="B958" s="222"/>
      <c r="C958" s="222"/>
      <c r="D958" s="222" t="str">
        <f t="array" ref="D958">IF(F958="","",INDEX(#REF!,MATCH(F958,#REF!,0)))</f>
        <v/>
      </c>
      <c r="E958" s="222" t="str">
        <f t="array" ref="E958">IF(F958="","",INDEX(#REF!,MATCH(F958,#REF!,0)))</f>
        <v/>
      </c>
      <c r="F958" s="222"/>
      <c r="G958" s="222"/>
      <c r="H958" s="223"/>
      <c r="I958" s="222"/>
      <c r="J958" s="222"/>
      <c r="K958" s="222"/>
      <c r="L958" s="222"/>
      <c r="M958" s="222"/>
      <c r="N958" s="222"/>
      <c r="O958" s="222"/>
      <c r="P958" s="224"/>
      <c r="Q958" s="224"/>
      <c r="R958" s="224"/>
      <c r="S958" s="224"/>
      <c r="T958" s="224"/>
      <c r="U958" s="224"/>
      <c r="V958" s="224"/>
      <c r="W958" s="224"/>
      <c r="X958" s="224"/>
      <c r="Y958" s="222"/>
      <c r="Z958" s="222"/>
      <c r="AA958" s="224"/>
      <c r="AB958" s="224"/>
      <c r="AC958" s="224"/>
      <c r="AD958" s="224"/>
      <c r="AE958" s="224"/>
      <c r="AF958" s="224"/>
      <c r="AG958" s="224"/>
      <c r="AH958" s="224"/>
      <c r="AI958" s="224"/>
      <c r="AJ958" s="126"/>
      <c r="AK958" s="126"/>
      <c r="AL958" s="126"/>
      <c r="AM958" s="126"/>
      <c r="AN958" s="126"/>
    </row>
    <row r="959" spans="1:40" ht="15.75" customHeight="1">
      <c r="A959" s="221" t="str">
        <f t="shared" si="2"/>
        <v/>
      </c>
      <c r="B959" s="222"/>
      <c r="C959" s="222"/>
      <c r="D959" s="222" t="str">
        <f t="array" ref="D959">IF(F959="","",INDEX(#REF!,MATCH(F959,#REF!,0)))</f>
        <v/>
      </c>
      <c r="E959" s="222" t="str">
        <f t="array" ref="E959">IF(F959="","",INDEX(#REF!,MATCH(F959,#REF!,0)))</f>
        <v/>
      </c>
      <c r="F959" s="222"/>
      <c r="G959" s="222"/>
      <c r="H959" s="223"/>
      <c r="I959" s="222"/>
      <c r="J959" s="222"/>
      <c r="K959" s="222"/>
      <c r="L959" s="222"/>
      <c r="M959" s="222"/>
      <c r="N959" s="222"/>
      <c r="O959" s="222"/>
      <c r="P959" s="224"/>
      <c r="Q959" s="224"/>
      <c r="R959" s="224"/>
      <c r="S959" s="224"/>
      <c r="T959" s="224"/>
      <c r="U959" s="224"/>
      <c r="V959" s="224"/>
      <c r="W959" s="224"/>
      <c r="X959" s="224"/>
      <c r="Y959" s="222"/>
      <c r="Z959" s="222"/>
      <c r="AA959" s="224"/>
      <c r="AB959" s="224"/>
      <c r="AC959" s="224"/>
      <c r="AD959" s="224"/>
      <c r="AE959" s="224"/>
      <c r="AF959" s="224"/>
      <c r="AG959" s="224"/>
      <c r="AH959" s="224"/>
      <c r="AI959" s="224"/>
      <c r="AJ959" s="126"/>
      <c r="AK959" s="126"/>
      <c r="AL959" s="126"/>
      <c r="AM959" s="126"/>
      <c r="AN959" s="126"/>
    </row>
    <row r="960" spans="1:40" ht="15.75" customHeight="1">
      <c r="A960" s="221" t="str">
        <f t="shared" si="2"/>
        <v/>
      </c>
      <c r="B960" s="222"/>
      <c r="C960" s="222"/>
      <c r="D960" s="222" t="str">
        <f t="array" ref="D960">IF(F960="","",INDEX(#REF!,MATCH(F960,#REF!,0)))</f>
        <v/>
      </c>
      <c r="E960" s="222" t="str">
        <f t="array" ref="E960">IF(F960="","",INDEX(#REF!,MATCH(F960,#REF!,0)))</f>
        <v/>
      </c>
      <c r="F960" s="222"/>
      <c r="G960" s="222"/>
      <c r="H960" s="223"/>
      <c r="I960" s="222"/>
      <c r="J960" s="222"/>
      <c r="K960" s="222"/>
      <c r="L960" s="222"/>
      <c r="M960" s="222"/>
      <c r="N960" s="222"/>
      <c r="O960" s="222"/>
      <c r="P960" s="224"/>
      <c r="Q960" s="224"/>
      <c r="R960" s="224"/>
      <c r="S960" s="224"/>
      <c r="T960" s="224"/>
      <c r="U960" s="224"/>
      <c r="V960" s="224"/>
      <c r="W960" s="224"/>
      <c r="X960" s="224"/>
      <c r="Y960" s="222"/>
      <c r="Z960" s="222"/>
      <c r="AA960" s="224"/>
      <c r="AB960" s="224"/>
      <c r="AC960" s="224"/>
      <c r="AD960" s="224"/>
      <c r="AE960" s="224"/>
      <c r="AF960" s="224"/>
      <c r="AG960" s="224"/>
      <c r="AH960" s="224"/>
      <c r="AI960" s="224"/>
      <c r="AJ960" s="126"/>
      <c r="AK960" s="126"/>
      <c r="AL960" s="126"/>
      <c r="AM960" s="126"/>
      <c r="AN960" s="126"/>
    </row>
    <row r="961" spans="1:40" ht="15.75" customHeight="1">
      <c r="A961" s="221" t="str">
        <f t="shared" si="2"/>
        <v/>
      </c>
      <c r="B961" s="222"/>
      <c r="C961" s="222"/>
      <c r="D961" s="222" t="str">
        <f t="array" ref="D961">IF(F961="","",INDEX(#REF!,MATCH(F961,#REF!,0)))</f>
        <v/>
      </c>
      <c r="E961" s="222" t="str">
        <f t="array" ref="E961">IF(F961="","",INDEX(#REF!,MATCH(F961,#REF!,0)))</f>
        <v/>
      </c>
      <c r="F961" s="222"/>
      <c r="G961" s="222"/>
      <c r="H961" s="223"/>
      <c r="I961" s="222"/>
      <c r="J961" s="222"/>
      <c r="K961" s="222"/>
      <c r="L961" s="222"/>
      <c r="M961" s="222"/>
      <c r="N961" s="222"/>
      <c r="O961" s="222"/>
      <c r="P961" s="224"/>
      <c r="Q961" s="224"/>
      <c r="R961" s="224"/>
      <c r="S961" s="224"/>
      <c r="T961" s="224"/>
      <c r="U961" s="224"/>
      <c r="V961" s="224"/>
      <c r="W961" s="224"/>
      <c r="X961" s="224"/>
      <c r="Y961" s="222"/>
      <c r="Z961" s="222"/>
      <c r="AA961" s="224"/>
      <c r="AB961" s="224"/>
      <c r="AC961" s="224"/>
      <c r="AD961" s="224"/>
      <c r="AE961" s="224"/>
      <c r="AF961" s="224"/>
      <c r="AG961" s="224"/>
      <c r="AH961" s="224"/>
      <c r="AI961" s="224"/>
      <c r="AJ961" s="126"/>
      <c r="AK961" s="126"/>
      <c r="AL961" s="126"/>
      <c r="AM961" s="126"/>
      <c r="AN961" s="126"/>
    </row>
    <row r="962" spans="1:40" ht="15.75" customHeight="1">
      <c r="A962" s="221" t="str">
        <f t="shared" si="2"/>
        <v/>
      </c>
      <c r="B962" s="222"/>
      <c r="C962" s="222"/>
      <c r="D962" s="222" t="str">
        <f t="array" ref="D962">IF(F962="","",INDEX(#REF!,MATCH(F962,#REF!,0)))</f>
        <v/>
      </c>
      <c r="E962" s="222" t="str">
        <f t="array" ref="E962">IF(F962="","",INDEX(#REF!,MATCH(F962,#REF!,0)))</f>
        <v/>
      </c>
      <c r="F962" s="222"/>
      <c r="G962" s="222"/>
      <c r="H962" s="223"/>
      <c r="I962" s="222"/>
      <c r="J962" s="222"/>
      <c r="K962" s="222"/>
      <c r="L962" s="222"/>
      <c r="M962" s="222"/>
      <c r="N962" s="222"/>
      <c r="O962" s="222"/>
      <c r="P962" s="224"/>
      <c r="Q962" s="224"/>
      <c r="R962" s="224"/>
      <c r="S962" s="224"/>
      <c r="T962" s="224"/>
      <c r="U962" s="224"/>
      <c r="V962" s="224"/>
      <c r="W962" s="224"/>
      <c r="X962" s="224"/>
      <c r="Y962" s="222"/>
      <c r="Z962" s="222"/>
      <c r="AA962" s="224"/>
      <c r="AB962" s="224"/>
      <c r="AC962" s="224"/>
      <c r="AD962" s="224"/>
      <c r="AE962" s="224"/>
      <c r="AF962" s="224"/>
      <c r="AG962" s="224"/>
      <c r="AH962" s="224"/>
      <c r="AI962" s="224"/>
      <c r="AJ962" s="126"/>
      <c r="AK962" s="126"/>
      <c r="AL962" s="126"/>
      <c r="AM962" s="126"/>
      <c r="AN962" s="126"/>
    </row>
    <row r="963" spans="1:40" ht="15.75" customHeight="1">
      <c r="A963" s="221" t="str">
        <f t="shared" si="2"/>
        <v/>
      </c>
      <c r="B963" s="222"/>
      <c r="C963" s="222"/>
      <c r="D963" s="222" t="str">
        <f t="array" ref="D963">IF(F963="","",INDEX(#REF!,MATCH(F963,#REF!,0)))</f>
        <v/>
      </c>
      <c r="E963" s="222" t="str">
        <f t="array" ref="E963">IF(F963="","",INDEX(#REF!,MATCH(F963,#REF!,0)))</f>
        <v/>
      </c>
      <c r="F963" s="222"/>
      <c r="G963" s="222"/>
      <c r="H963" s="223"/>
      <c r="I963" s="222"/>
      <c r="J963" s="222"/>
      <c r="K963" s="222"/>
      <c r="L963" s="222"/>
      <c r="M963" s="222"/>
      <c r="N963" s="222"/>
      <c r="O963" s="222"/>
      <c r="P963" s="224"/>
      <c r="Q963" s="224"/>
      <c r="R963" s="224"/>
      <c r="S963" s="224"/>
      <c r="T963" s="224"/>
      <c r="U963" s="224"/>
      <c r="V963" s="224"/>
      <c r="W963" s="224"/>
      <c r="X963" s="224"/>
      <c r="Y963" s="222"/>
      <c r="Z963" s="222"/>
      <c r="AA963" s="224"/>
      <c r="AB963" s="224"/>
      <c r="AC963" s="224"/>
      <c r="AD963" s="224"/>
      <c r="AE963" s="224"/>
      <c r="AF963" s="224"/>
      <c r="AG963" s="224"/>
      <c r="AH963" s="224"/>
      <c r="AI963" s="224"/>
      <c r="AJ963" s="126"/>
      <c r="AK963" s="126"/>
      <c r="AL963" s="126"/>
      <c r="AM963" s="126"/>
      <c r="AN963" s="126"/>
    </row>
    <row r="964" spans="1:40" ht="15.75" customHeight="1">
      <c r="A964" s="221" t="str">
        <f t="shared" si="2"/>
        <v/>
      </c>
      <c r="B964" s="222"/>
      <c r="C964" s="222"/>
      <c r="D964" s="222" t="str">
        <f t="array" ref="D964">IF(F964="","",INDEX(#REF!,MATCH(F964,#REF!,0)))</f>
        <v/>
      </c>
      <c r="E964" s="222" t="str">
        <f t="array" ref="E964">IF(F964="","",INDEX(#REF!,MATCH(F964,#REF!,0)))</f>
        <v/>
      </c>
      <c r="F964" s="222"/>
      <c r="G964" s="222"/>
      <c r="H964" s="223"/>
      <c r="I964" s="222"/>
      <c r="J964" s="222"/>
      <c r="K964" s="222"/>
      <c r="L964" s="222"/>
      <c r="M964" s="222"/>
      <c r="N964" s="222"/>
      <c r="O964" s="222"/>
      <c r="P964" s="224"/>
      <c r="Q964" s="224"/>
      <c r="R964" s="224"/>
      <c r="S964" s="224"/>
      <c r="T964" s="224"/>
      <c r="U964" s="224"/>
      <c r="V964" s="224"/>
      <c r="W964" s="224"/>
      <c r="X964" s="224"/>
      <c r="Y964" s="222"/>
      <c r="Z964" s="222"/>
      <c r="AA964" s="224"/>
      <c r="AB964" s="224"/>
      <c r="AC964" s="224"/>
      <c r="AD964" s="224"/>
      <c r="AE964" s="224"/>
      <c r="AF964" s="224"/>
      <c r="AG964" s="224"/>
      <c r="AH964" s="224"/>
      <c r="AI964" s="224"/>
      <c r="AJ964" s="126"/>
      <c r="AK964" s="126"/>
      <c r="AL964" s="126"/>
      <c r="AM964" s="126"/>
      <c r="AN964" s="126"/>
    </row>
    <row r="965" spans="1:40" ht="15.75" customHeight="1">
      <c r="A965" s="221" t="str">
        <f t="shared" si="2"/>
        <v/>
      </c>
      <c r="B965" s="222"/>
      <c r="C965" s="222"/>
      <c r="D965" s="222" t="str">
        <f t="array" ref="D965">IF(F965="","",INDEX(#REF!,MATCH(F965,#REF!,0)))</f>
        <v/>
      </c>
      <c r="E965" s="222" t="str">
        <f t="array" ref="E965">IF(F965="","",INDEX(#REF!,MATCH(F965,#REF!,0)))</f>
        <v/>
      </c>
      <c r="F965" s="222"/>
      <c r="G965" s="222"/>
      <c r="H965" s="223"/>
      <c r="I965" s="222"/>
      <c r="J965" s="222"/>
      <c r="K965" s="222"/>
      <c r="L965" s="222"/>
      <c r="M965" s="222"/>
      <c r="N965" s="222"/>
      <c r="O965" s="222"/>
      <c r="P965" s="224"/>
      <c r="Q965" s="224"/>
      <c r="R965" s="224"/>
      <c r="S965" s="224"/>
      <c r="T965" s="224"/>
      <c r="U965" s="224"/>
      <c r="V965" s="224"/>
      <c r="W965" s="224"/>
      <c r="X965" s="224"/>
      <c r="Y965" s="222"/>
      <c r="Z965" s="222"/>
      <c r="AA965" s="224"/>
      <c r="AB965" s="224"/>
      <c r="AC965" s="224"/>
      <c r="AD965" s="224"/>
      <c r="AE965" s="224"/>
      <c r="AF965" s="224"/>
      <c r="AG965" s="224"/>
      <c r="AH965" s="224"/>
      <c r="AI965" s="224"/>
      <c r="AJ965" s="126"/>
      <c r="AK965" s="126"/>
      <c r="AL965" s="126"/>
      <c r="AM965" s="126"/>
      <c r="AN965" s="126"/>
    </row>
    <row r="966" spans="1:40" ht="15.75" customHeight="1">
      <c r="A966" s="221" t="str">
        <f t="shared" si="2"/>
        <v/>
      </c>
      <c r="B966" s="222"/>
      <c r="C966" s="222"/>
      <c r="D966" s="222" t="str">
        <f t="array" ref="D966">IF(F966="","",INDEX(#REF!,MATCH(F966,#REF!,0)))</f>
        <v/>
      </c>
      <c r="E966" s="222" t="str">
        <f t="array" ref="E966">IF(F966="","",INDEX(#REF!,MATCH(F966,#REF!,0)))</f>
        <v/>
      </c>
      <c r="F966" s="222"/>
      <c r="G966" s="222"/>
      <c r="H966" s="223"/>
      <c r="I966" s="222"/>
      <c r="J966" s="222"/>
      <c r="K966" s="222"/>
      <c r="L966" s="222"/>
      <c r="M966" s="222"/>
      <c r="N966" s="222"/>
      <c r="O966" s="222"/>
      <c r="P966" s="224"/>
      <c r="Q966" s="224"/>
      <c r="R966" s="224"/>
      <c r="S966" s="224"/>
      <c r="T966" s="224"/>
      <c r="U966" s="224"/>
      <c r="V966" s="224"/>
      <c r="W966" s="224"/>
      <c r="X966" s="224"/>
      <c r="Y966" s="222"/>
      <c r="Z966" s="222"/>
      <c r="AA966" s="224"/>
      <c r="AB966" s="224"/>
      <c r="AC966" s="224"/>
      <c r="AD966" s="224"/>
      <c r="AE966" s="224"/>
      <c r="AF966" s="224"/>
      <c r="AG966" s="224"/>
      <c r="AH966" s="224"/>
      <c r="AI966" s="224"/>
      <c r="AJ966" s="126"/>
      <c r="AK966" s="126"/>
      <c r="AL966" s="126"/>
      <c r="AM966" s="126"/>
      <c r="AN966" s="126"/>
    </row>
    <row r="967" spans="1:40" ht="15.75" customHeight="1">
      <c r="A967" s="221" t="str">
        <f t="shared" si="2"/>
        <v/>
      </c>
      <c r="B967" s="222"/>
      <c r="C967" s="222"/>
      <c r="D967" s="222" t="str">
        <f t="array" ref="D967">IF(F967="","",INDEX(#REF!,MATCH(F967,#REF!,0)))</f>
        <v/>
      </c>
      <c r="E967" s="222" t="str">
        <f t="array" ref="E967">IF(F967="","",INDEX(#REF!,MATCH(F967,#REF!,0)))</f>
        <v/>
      </c>
      <c r="F967" s="222"/>
      <c r="G967" s="222"/>
      <c r="H967" s="223"/>
      <c r="I967" s="222"/>
      <c r="J967" s="222"/>
      <c r="K967" s="222"/>
      <c r="L967" s="222"/>
      <c r="M967" s="222"/>
      <c r="N967" s="222"/>
      <c r="O967" s="222"/>
      <c r="P967" s="224"/>
      <c r="Q967" s="224"/>
      <c r="R967" s="224"/>
      <c r="S967" s="224"/>
      <c r="T967" s="224"/>
      <c r="U967" s="224"/>
      <c r="V967" s="224"/>
      <c r="W967" s="224"/>
      <c r="X967" s="224"/>
      <c r="Y967" s="222"/>
      <c r="Z967" s="222"/>
      <c r="AA967" s="224"/>
      <c r="AB967" s="224"/>
      <c r="AC967" s="224"/>
      <c r="AD967" s="224"/>
      <c r="AE967" s="224"/>
      <c r="AF967" s="224"/>
      <c r="AG967" s="224"/>
      <c r="AH967" s="224"/>
      <c r="AI967" s="224"/>
      <c r="AJ967" s="126"/>
      <c r="AK967" s="126"/>
      <c r="AL967" s="126"/>
      <c r="AM967" s="126"/>
      <c r="AN967" s="126"/>
    </row>
    <row r="968" spans="1:40" ht="15.75" customHeight="1">
      <c r="A968" s="221" t="str">
        <f t="shared" si="2"/>
        <v/>
      </c>
      <c r="B968" s="222"/>
      <c r="C968" s="222"/>
      <c r="D968" s="222" t="str">
        <f t="array" ref="D968">IF(F968="","",INDEX(#REF!,MATCH(F968,#REF!,0)))</f>
        <v/>
      </c>
      <c r="E968" s="222" t="str">
        <f t="array" ref="E968">IF(F968="","",INDEX(#REF!,MATCH(F968,#REF!,0)))</f>
        <v/>
      </c>
      <c r="F968" s="222"/>
      <c r="G968" s="222"/>
      <c r="H968" s="223"/>
      <c r="I968" s="222"/>
      <c r="J968" s="222"/>
      <c r="K968" s="222"/>
      <c r="L968" s="222"/>
      <c r="M968" s="222"/>
      <c r="N968" s="222"/>
      <c r="O968" s="222"/>
      <c r="P968" s="224"/>
      <c r="Q968" s="224"/>
      <c r="R968" s="224"/>
      <c r="S968" s="224"/>
      <c r="T968" s="224"/>
      <c r="U968" s="224"/>
      <c r="V968" s="224"/>
      <c r="W968" s="224"/>
      <c r="X968" s="224"/>
      <c r="Y968" s="222"/>
      <c r="Z968" s="222"/>
      <c r="AA968" s="224"/>
      <c r="AB968" s="224"/>
      <c r="AC968" s="224"/>
      <c r="AD968" s="224"/>
      <c r="AE968" s="224"/>
      <c r="AF968" s="224"/>
      <c r="AG968" s="224"/>
      <c r="AH968" s="224"/>
      <c r="AI968" s="224"/>
      <c r="AJ968" s="126"/>
      <c r="AK968" s="126"/>
      <c r="AL968" s="126"/>
      <c r="AM968" s="126"/>
      <c r="AN968" s="126"/>
    </row>
    <row r="969" spans="1:40" ht="15.75" customHeight="1">
      <c r="A969" s="221" t="str">
        <f t="shared" si="2"/>
        <v/>
      </c>
      <c r="B969" s="222"/>
      <c r="C969" s="222"/>
      <c r="D969" s="222" t="str">
        <f t="array" ref="D969">IF(F969="","",INDEX(#REF!,MATCH(F969,#REF!,0)))</f>
        <v/>
      </c>
      <c r="E969" s="222" t="str">
        <f t="array" ref="E969">IF(F969="","",INDEX(#REF!,MATCH(F969,#REF!,0)))</f>
        <v/>
      </c>
      <c r="F969" s="222"/>
      <c r="G969" s="222"/>
      <c r="H969" s="223"/>
      <c r="I969" s="222"/>
      <c r="J969" s="222"/>
      <c r="K969" s="222"/>
      <c r="L969" s="222"/>
      <c r="M969" s="222"/>
      <c r="N969" s="222"/>
      <c r="O969" s="222"/>
      <c r="P969" s="224"/>
      <c r="Q969" s="224"/>
      <c r="R969" s="224"/>
      <c r="S969" s="224"/>
      <c r="T969" s="224"/>
      <c r="U969" s="224"/>
      <c r="V969" s="224"/>
      <c r="W969" s="224"/>
      <c r="X969" s="224"/>
      <c r="Y969" s="222"/>
      <c r="Z969" s="222"/>
      <c r="AA969" s="224"/>
      <c r="AB969" s="224"/>
      <c r="AC969" s="224"/>
      <c r="AD969" s="224"/>
      <c r="AE969" s="224"/>
      <c r="AF969" s="224"/>
      <c r="AG969" s="224"/>
      <c r="AH969" s="224"/>
      <c r="AI969" s="224"/>
      <c r="AJ969" s="126"/>
      <c r="AK969" s="126"/>
      <c r="AL969" s="126"/>
      <c r="AM969" s="126"/>
      <c r="AN969" s="126"/>
    </row>
    <row r="970" spans="1:40" ht="15.75" customHeight="1">
      <c r="A970" s="221" t="str">
        <f t="shared" si="2"/>
        <v/>
      </c>
      <c r="B970" s="222"/>
      <c r="C970" s="222"/>
      <c r="D970" s="222" t="str">
        <f t="array" ref="D970">IF(F970="","",INDEX(#REF!,MATCH(F970,#REF!,0)))</f>
        <v/>
      </c>
      <c r="E970" s="222" t="str">
        <f t="array" ref="E970">IF(F970="","",INDEX(#REF!,MATCH(F970,#REF!,0)))</f>
        <v/>
      </c>
      <c r="F970" s="222"/>
      <c r="G970" s="222"/>
      <c r="H970" s="223"/>
      <c r="I970" s="222"/>
      <c r="J970" s="222"/>
      <c r="K970" s="222"/>
      <c r="L970" s="222"/>
      <c r="M970" s="222"/>
      <c r="N970" s="222"/>
      <c r="O970" s="222"/>
      <c r="P970" s="224"/>
      <c r="Q970" s="224"/>
      <c r="R970" s="224"/>
      <c r="S970" s="224"/>
      <c r="T970" s="224"/>
      <c r="U970" s="224"/>
      <c r="V970" s="224"/>
      <c r="W970" s="224"/>
      <c r="X970" s="224"/>
      <c r="Y970" s="222"/>
      <c r="Z970" s="222"/>
      <c r="AA970" s="224"/>
      <c r="AB970" s="224"/>
      <c r="AC970" s="224"/>
      <c r="AD970" s="224"/>
      <c r="AE970" s="224"/>
      <c r="AF970" s="224"/>
      <c r="AG970" s="224"/>
      <c r="AH970" s="224"/>
      <c r="AI970" s="224"/>
      <c r="AJ970" s="126"/>
      <c r="AK970" s="126"/>
      <c r="AL970" s="126"/>
      <c r="AM970" s="126"/>
      <c r="AN970" s="126"/>
    </row>
    <row r="971" spans="1:40" ht="15.75" customHeight="1">
      <c r="A971" s="221" t="str">
        <f t="shared" si="2"/>
        <v/>
      </c>
      <c r="B971" s="222"/>
      <c r="C971" s="222"/>
      <c r="D971" s="222" t="str">
        <f t="array" ref="D971">IF(F971="","",INDEX(#REF!,MATCH(F971,#REF!,0)))</f>
        <v/>
      </c>
      <c r="E971" s="222" t="str">
        <f t="array" ref="E971">IF(F971="","",INDEX(#REF!,MATCH(F971,#REF!,0)))</f>
        <v/>
      </c>
      <c r="F971" s="222"/>
      <c r="G971" s="222"/>
      <c r="H971" s="223"/>
      <c r="I971" s="222"/>
      <c r="J971" s="222"/>
      <c r="K971" s="222"/>
      <c r="L971" s="222"/>
      <c r="M971" s="222"/>
      <c r="N971" s="222"/>
      <c r="O971" s="222"/>
      <c r="P971" s="224"/>
      <c r="Q971" s="224"/>
      <c r="R971" s="224"/>
      <c r="S971" s="224"/>
      <c r="T971" s="224"/>
      <c r="U971" s="224"/>
      <c r="V971" s="224"/>
      <c r="W971" s="224"/>
      <c r="X971" s="224"/>
      <c r="Y971" s="222"/>
      <c r="Z971" s="222"/>
      <c r="AA971" s="224"/>
      <c r="AB971" s="224"/>
      <c r="AC971" s="224"/>
      <c r="AD971" s="224"/>
      <c r="AE971" s="224"/>
      <c r="AF971" s="224"/>
      <c r="AG971" s="224"/>
      <c r="AH971" s="224"/>
      <c r="AI971" s="224"/>
      <c r="AJ971" s="126"/>
      <c r="AK971" s="126"/>
      <c r="AL971" s="126"/>
      <c r="AM971" s="126"/>
      <c r="AN971" s="126"/>
    </row>
    <row r="972" spans="1:40" ht="15.75" customHeight="1">
      <c r="A972" s="221" t="str">
        <f t="shared" si="2"/>
        <v/>
      </c>
      <c r="B972" s="222"/>
      <c r="C972" s="222"/>
      <c r="D972" s="222" t="str">
        <f t="array" ref="D972">IF(F972="","",INDEX(#REF!,MATCH(F972,#REF!,0)))</f>
        <v/>
      </c>
      <c r="E972" s="222" t="str">
        <f t="array" ref="E972">IF(F972="","",INDEX(#REF!,MATCH(F972,#REF!,0)))</f>
        <v/>
      </c>
      <c r="F972" s="222"/>
      <c r="G972" s="222"/>
      <c r="H972" s="223"/>
      <c r="I972" s="222"/>
      <c r="J972" s="222"/>
      <c r="K972" s="222"/>
      <c r="L972" s="222"/>
      <c r="M972" s="222"/>
      <c r="N972" s="222"/>
      <c r="O972" s="222"/>
      <c r="P972" s="224"/>
      <c r="Q972" s="224"/>
      <c r="R972" s="224"/>
      <c r="S972" s="224"/>
      <c r="T972" s="224"/>
      <c r="U972" s="224"/>
      <c r="V972" s="224"/>
      <c r="W972" s="224"/>
      <c r="X972" s="224"/>
      <c r="Y972" s="222"/>
      <c r="Z972" s="222"/>
      <c r="AA972" s="224"/>
      <c r="AB972" s="224"/>
      <c r="AC972" s="224"/>
      <c r="AD972" s="224"/>
      <c r="AE972" s="224"/>
      <c r="AF972" s="224"/>
      <c r="AG972" s="224"/>
      <c r="AH972" s="224"/>
      <c r="AI972" s="224"/>
      <c r="AJ972" s="126"/>
      <c r="AK972" s="126"/>
      <c r="AL972" s="126"/>
      <c r="AM972" s="126"/>
      <c r="AN972" s="126"/>
    </row>
    <row r="973" spans="1:40" ht="15.75" customHeight="1">
      <c r="A973" s="221" t="str">
        <f t="shared" si="2"/>
        <v/>
      </c>
      <c r="B973" s="222"/>
      <c r="C973" s="222"/>
      <c r="D973" s="222" t="str">
        <f t="array" ref="D973">IF(F973="","",INDEX(#REF!,MATCH(F973,#REF!,0)))</f>
        <v/>
      </c>
      <c r="E973" s="222" t="str">
        <f t="array" ref="E973">IF(F973="","",INDEX(#REF!,MATCH(F973,#REF!,0)))</f>
        <v/>
      </c>
      <c r="F973" s="222"/>
      <c r="G973" s="222"/>
      <c r="H973" s="223"/>
      <c r="I973" s="222"/>
      <c r="J973" s="222"/>
      <c r="K973" s="222"/>
      <c r="L973" s="222"/>
      <c r="M973" s="222"/>
      <c r="N973" s="222"/>
      <c r="O973" s="222"/>
      <c r="P973" s="224"/>
      <c r="Q973" s="224"/>
      <c r="R973" s="224"/>
      <c r="S973" s="224"/>
      <c r="T973" s="224"/>
      <c r="U973" s="224"/>
      <c r="V973" s="224"/>
      <c r="W973" s="224"/>
      <c r="X973" s="224"/>
      <c r="Y973" s="222"/>
      <c r="Z973" s="222"/>
      <c r="AA973" s="224"/>
      <c r="AB973" s="224"/>
      <c r="AC973" s="224"/>
      <c r="AD973" s="224"/>
      <c r="AE973" s="224"/>
      <c r="AF973" s="224"/>
      <c r="AG973" s="224"/>
      <c r="AH973" s="224"/>
      <c r="AI973" s="224"/>
      <c r="AJ973" s="126"/>
      <c r="AK973" s="126"/>
      <c r="AL973" s="126"/>
      <c r="AM973" s="126"/>
      <c r="AN973" s="126"/>
    </row>
    <row r="974" spans="1:40" ht="15.75" customHeight="1">
      <c r="A974" s="221" t="str">
        <f t="shared" si="2"/>
        <v/>
      </c>
      <c r="B974" s="222"/>
      <c r="C974" s="222"/>
      <c r="D974" s="222" t="str">
        <f t="array" ref="D974">IF(F974="","",INDEX(#REF!,MATCH(F974,#REF!,0)))</f>
        <v/>
      </c>
      <c r="E974" s="222" t="str">
        <f t="array" ref="E974">IF(F974="","",INDEX(#REF!,MATCH(F974,#REF!,0)))</f>
        <v/>
      </c>
      <c r="F974" s="222"/>
      <c r="G974" s="222"/>
      <c r="H974" s="223"/>
      <c r="I974" s="222"/>
      <c r="J974" s="222"/>
      <c r="K974" s="222"/>
      <c r="L974" s="222"/>
      <c r="M974" s="222"/>
      <c r="N974" s="222"/>
      <c r="O974" s="222"/>
      <c r="P974" s="224"/>
      <c r="Q974" s="224"/>
      <c r="R974" s="224"/>
      <c r="S974" s="224"/>
      <c r="T974" s="224"/>
      <c r="U974" s="224"/>
      <c r="V974" s="224"/>
      <c r="W974" s="224"/>
      <c r="X974" s="224"/>
      <c r="Y974" s="222"/>
      <c r="Z974" s="222"/>
      <c r="AA974" s="224"/>
      <c r="AB974" s="224"/>
      <c r="AC974" s="224"/>
      <c r="AD974" s="224"/>
      <c r="AE974" s="224"/>
      <c r="AF974" s="224"/>
      <c r="AG974" s="224"/>
      <c r="AH974" s="224"/>
      <c r="AI974" s="224"/>
      <c r="AJ974" s="126"/>
      <c r="AK974" s="126"/>
      <c r="AL974" s="126"/>
      <c r="AM974" s="126"/>
      <c r="AN974" s="126"/>
    </row>
    <row r="975" spans="1:40" ht="15.75" customHeight="1">
      <c r="A975" s="221" t="str">
        <f t="shared" si="2"/>
        <v/>
      </c>
      <c r="B975" s="222"/>
      <c r="C975" s="222"/>
      <c r="D975" s="222" t="str">
        <f t="array" ref="D975">IF(F975="","",INDEX(#REF!,MATCH(F975,#REF!,0)))</f>
        <v/>
      </c>
      <c r="E975" s="222" t="str">
        <f t="array" ref="E975">IF(F975="","",INDEX(#REF!,MATCH(F975,#REF!,0)))</f>
        <v/>
      </c>
      <c r="F975" s="222"/>
      <c r="G975" s="222"/>
      <c r="H975" s="223"/>
      <c r="I975" s="222"/>
      <c r="J975" s="222"/>
      <c r="K975" s="222"/>
      <c r="L975" s="222"/>
      <c r="M975" s="222"/>
      <c r="N975" s="222"/>
      <c r="O975" s="222"/>
      <c r="P975" s="224"/>
      <c r="Q975" s="224"/>
      <c r="R975" s="224"/>
      <c r="S975" s="224"/>
      <c r="T975" s="224"/>
      <c r="U975" s="224"/>
      <c r="V975" s="224"/>
      <c r="W975" s="224"/>
      <c r="X975" s="224"/>
      <c r="Y975" s="222"/>
      <c r="Z975" s="222"/>
      <c r="AA975" s="224"/>
      <c r="AB975" s="224"/>
      <c r="AC975" s="224"/>
      <c r="AD975" s="224"/>
      <c r="AE975" s="224"/>
      <c r="AF975" s="224"/>
      <c r="AG975" s="224"/>
      <c r="AH975" s="224"/>
      <c r="AI975" s="224"/>
      <c r="AJ975" s="126"/>
      <c r="AK975" s="126"/>
      <c r="AL975" s="126"/>
      <c r="AM975" s="126"/>
      <c r="AN975" s="126"/>
    </row>
    <row r="976" spans="1:40" ht="15.75" customHeight="1">
      <c r="A976" s="221" t="str">
        <f t="shared" si="2"/>
        <v/>
      </c>
      <c r="B976" s="222"/>
      <c r="C976" s="222"/>
      <c r="D976" s="222" t="str">
        <f t="array" ref="D976">IF(F976="","",INDEX(#REF!,MATCH(F976,#REF!,0)))</f>
        <v/>
      </c>
      <c r="E976" s="222" t="str">
        <f t="array" ref="E976">IF(F976="","",INDEX(#REF!,MATCH(F976,#REF!,0)))</f>
        <v/>
      </c>
      <c r="F976" s="222"/>
      <c r="G976" s="222"/>
      <c r="H976" s="223"/>
      <c r="I976" s="222"/>
      <c r="J976" s="222"/>
      <c r="K976" s="222"/>
      <c r="L976" s="222"/>
      <c r="M976" s="222"/>
      <c r="N976" s="222"/>
      <c r="O976" s="222"/>
      <c r="P976" s="224"/>
      <c r="Q976" s="224"/>
      <c r="R976" s="224"/>
      <c r="S976" s="224"/>
      <c r="T976" s="224"/>
      <c r="U976" s="224"/>
      <c r="V976" s="224"/>
      <c r="W976" s="224"/>
      <c r="X976" s="224"/>
      <c r="Y976" s="222"/>
      <c r="Z976" s="222"/>
      <c r="AA976" s="224"/>
      <c r="AB976" s="224"/>
      <c r="AC976" s="224"/>
      <c r="AD976" s="224"/>
      <c r="AE976" s="224"/>
      <c r="AF976" s="224"/>
      <c r="AG976" s="224"/>
      <c r="AH976" s="224"/>
      <c r="AI976" s="224"/>
      <c r="AJ976" s="126"/>
      <c r="AK976" s="126"/>
      <c r="AL976" s="126"/>
      <c r="AM976" s="126"/>
      <c r="AN976" s="126"/>
    </row>
    <row r="977" spans="1:40" ht="15.75" customHeight="1">
      <c r="A977" s="221" t="str">
        <f t="shared" si="2"/>
        <v/>
      </c>
      <c r="B977" s="222"/>
      <c r="C977" s="222"/>
      <c r="D977" s="222" t="str">
        <f t="array" ref="D977">IF(F977="","",INDEX(#REF!,MATCH(F977,#REF!,0)))</f>
        <v/>
      </c>
      <c r="E977" s="222" t="str">
        <f t="array" ref="E977">IF(F977="","",INDEX(#REF!,MATCH(F977,#REF!,0)))</f>
        <v/>
      </c>
      <c r="F977" s="222"/>
      <c r="G977" s="222"/>
      <c r="H977" s="223"/>
      <c r="I977" s="222"/>
      <c r="J977" s="222"/>
      <c r="K977" s="222"/>
      <c r="L977" s="222"/>
      <c r="M977" s="222"/>
      <c r="N977" s="222"/>
      <c r="O977" s="222"/>
      <c r="P977" s="224"/>
      <c r="Q977" s="224"/>
      <c r="R977" s="224"/>
      <c r="S977" s="224"/>
      <c r="T977" s="224"/>
      <c r="U977" s="224"/>
      <c r="V977" s="224"/>
      <c r="W977" s="224"/>
      <c r="X977" s="224"/>
      <c r="Y977" s="222"/>
      <c r="Z977" s="222"/>
      <c r="AA977" s="224"/>
      <c r="AB977" s="224"/>
      <c r="AC977" s="224"/>
      <c r="AD977" s="224"/>
      <c r="AE977" s="224"/>
      <c r="AF977" s="224"/>
      <c r="AG977" s="224"/>
      <c r="AH977" s="224"/>
      <c r="AI977" s="224"/>
      <c r="AJ977" s="126"/>
      <c r="AK977" s="126"/>
      <c r="AL977" s="126"/>
      <c r="AM977" s="126"/>
      <c r="AN977" s="126"/>
    </row>
    <row r="978" spans="1:40" ht="15.75" customHeight="1">
      <c r="A978" s="221" t="str">
        <f t="shared" si="2"/>
        <v/>
      </c>
      <c r="B978" s="222"/>
      <c r="C978" s="222"/>
      <c r="D978" s="222" t="str">
        <f t="array" ref="D978">IF(F978="","",INDEX(#REF!,MATCH(F978,#REF!,0)))</f>
        <v/>
      </c>
      <c r="E978" s="222" t="str">
        <f t="array" ref="E978">IF(F978="","",INDEX(#REF!,MATCH(F978,#REF!,0)))</f>
        <v/>
      </c>
      <c r="F978" s="222"/>
      <c r="G978" s="222"/>
      <c r="H978" s="223"/>
      <c r="I978" s="222"/>
      <c r="J978" s="222"/>
      <c r="K978" s="222"/>
      <c r="L978" s="222"/>
      <c r="M978" s="222"/>
      <c r="N978" s="222"/>
      <c r="O978" s="222"/>
      <c r="P978" s="224"/>
      <c r="Q978" s="224"/>
      <c r="R978" s="224"/>
      <c r="S978" s="224"/>
      <c r="T978" s="224"/>
      <c r="U978" s="224"/>
      <c r="V978" s="224"/>
      <c r="W978" s="224"/>
      <c r="X978" s="224"/>
      <c r="Y978" s="222"/>
      <c r="Z978" s="222"/>
      <c r="AA978" s="224"/>
      <c r="AB978" s="224"/>
      <c r="AC978" s="224"/>
      <c r="AD978" s="224"/>
      <c r="AE978" s="224"/>
      <c r="AF978" s="224"/>
      <c r="AG978" s="224"/>
      <c r="AH978" s="224"/>
      <c r="AI978" s="224"/>
      <c r="AJ978" s="126"/>
      <c r="AK978" s="126"/>
      <c r="AL978" s="126"/>
      <c r="AM978" s="126"/>
      <c r="AN978" s="126"/>
    </row>
    <row r="979" spans="1:40" ht="15.75" customHeight="1">
      <c r="A979" s="221" t="str">
        <f t="shared" si="2"/>
        <v/>
      </c>
      <c r="B979" s="222"/>
      <c r="C979" s="222"/>
      <c r="D979" s="222" t="str">
        <f t="array" ref="D979">IF(F979="","",INDEX(#REF!,MATCH(F979,#REF!,0)))</f>
        <v/>
      </c>
      <c r="E979" s="222" t="str">
        <f t="array" ref="E979">IF(F979="","",INDEX(#REF!,MATCH(F979,#REF!,0)))</f>
        <v/>
      </c>
      <c r="F979" s="222"/>
      <c r="G979" s="222"/>
      <c r="H979" s="223"/>
      <c r="I979" s="222"/>
      <c r="J979" s="222"/>
      <c r="K979" s="222"/>
      <c r="L979" s="222"/>
      <c r="M979" s="222"/>
      <c r="N979" s="222"/>
      <c r="O979" s="222"/>
      <c r="P979" s="224"/>
      <c r="Q979" s="224"/>
      <c r="R979" s="224"/>
      <c r="S979" s="224"/>
      <c r="T979" s="224"/>
      <c r="U979" s="224"/>
      <c r="V979" s="224"/>
      <c r="W979" s="224"/>
      <c r="X979" s="224"/>
      <c r="Y979" s="222"/>
      <c r="Z979" s="222"/>
      <c r="AA979" s="224"/>
      <c r="AB979" s="224"/>
      <c r="AC979" s="224"/>
      <c r="AD979" s="224"/>
      <c r="AE979" s="224"/>
      <c r="AF979" s="224"/>
      <c r="AG979" s="224"/>
      <c r="AH979" s="224"/>
      <c r="AI979" s="224"/>
      <c r="AJ979" s="126"/>
      <c r="AK979" s="126"/>
      <c r="AL979" s="126"/>
      <c r="AM979" s="126"/>
      <c r="AN979" s="126"/>
    </row>
    <row r="980" spans="1:40" ht="15.75" customHeight="1">
      <c r="A980" s="221" t="str">
        <f t="shared" si="2"/>
        <v/>
      </c>
      <c r="B980" s="222"/>
      <c r="C980" s="222"/>
      <c r="D980" s="222" t="str">
        <f t="array" ref="D980">IF(F980="","",INDEX(#REF!,MATCH(F980,#REF!,0)))</f>
        <v/>
      </c>
      <c r="E980" s="222" t="str">
        <f t="array" ref="E980">IF(F980="","",INDEX(#REF!,MATCH(F980,#REF!,0)))</f>
        <v/>
      </c>
      <c r="F980" s="222"/>
      <c r="G980" s="222"/>
      <c r="H980" s="223"/>
      <c r="I980" s="222"/>
      <c r="J980" s="222"/>
      <c r="K980" s="222"/>
      <c r="L980" s="222"/>
      <c r="M980" s="222"/>
      <c r="N980" s="222"/>
      <c r="O980" s="222"/>
      <c r="P980" s="224"/>
      <c r="Q980" s="224"/>
      <c r="R980" s="224"/>
      <c r="S980" s="224"/>
      <c r="T980" s="224"/>
      <c r="U980" s="224"/>
      <c r="V980" s="224"/>
      <c r="W980" s="224"/>
      <c r="X980" s="224"/>
      <c r="Y980" s="222"/>
      <c r="Z980" s="222"/>
      <c r="AA980" s="224"/>
      <c r="AB980" s="224"/>
      <c r="AC980" s="224"/>
      <c r="AD980" s="224"/>
      <c r="AE980" s="224"/>
      <c r="AF980" s="224"/>
      <c r="AG980" s="224"/>
      <c r="AH980" s="224"/>
      <c r="AI980" s="224"/>
      <c r="AJ980" s="126"/>
      <c r="AK980" s="126"/>
      <c r="AL980" s="126"/>
      <c r="AM980" s="126"/>
      <c r="AN980" s="126"/>
    </row>
    <row r="981" spans="1:40" ht="15.75" customHeight="1">
      <c r="A981" s="221" t="str">
        <f t="shared" si="2"/>
        <v/>
      </c>
      <c r="B981" s="222"/>
      <c r="C981" s="222"/>
      <c r="D981" s="222" t="str">
        <f t="array" ref="D981">IF(F981="","",INDEX(#REF!,MATCH(F981,#REF!,0)))</f>
        <v/>
      </c>
      <c r="E981" s="222" t="str">
        <f t="array" ref="E981">IF(F981="","",INDEX(#REF!,MATCH(F981,#REF!,0)))</f>
        <v/>
      </c>
      <c r="F981" s="222"/>
      <c r="G981" s="222"/>
      <c r="H981" s="223"/>
      <c r="I981" s="222"/>
      <c r="J981" s="222"/>
      <c r="K981" s="222"/>
      <c r="L981" s="222"/>
      <c r="M981" s="222"/>
      <c r="N981" s="222"/>
      <c r="O981" s="222"/>
      <c r="P981" s="224"/>
      <c r="Q981" s="224"/>
      <c r="R981" s="224"/>
      <c r="S981" s="224"/>
      <c r="T981" s="224"/>
      <c r="U981" s="224"/>
      <c r="V981" s="224"/>
      <c r="W981" s="224"/>
      <c r="X981" s="224"/>
      <c r="Y981" s="222"/>
      <c r="Z981" s="222"/>
      <c r="AA981" s="224"/>
      <c r="AB981" s="224"/>
      <c r="AC981" s="224"/>
      <c r="AD981" s="224"/>
      <c r="AE981" s="224"/>
      <c r="AF981" s="224"/>
      <c r="AG981" s="224"/>
      <c r="AH981" s="224"/>
      <c r="AI981" s="224"/>
      <c r="AJ981" s="126"/>
      <c r="AK981" s="126"/>
      <c r="AL981" s="126"/>
      <c r="AM981" s="126"/>
      <c r="AN981" s="126"/>
    </row>
    <row r="982" spans="1:40" ht="15.75" customHeight="1">
      <c r="A982" s="221" t="str">
        <f t="shared" si="2"/>
        <v/>
      </c>
      <c r="B982" s="222"/>
      <c r="C982" s="222"/>
      <c r="D982" s="222" t="str">
        <f t="array" ref="D982">IF(F982="","",INDEX(#REF!,MATCH(F982,#REF!,0)))</f>
        <v/>
      </c>
      <c r="E982" s="222" t="str">
        <f t="array" ref="E982">IF(F982="","",INDEX(#REF!,MATCH(F982,#REF!,0)))</f>
        <v/>
      </c>
      <c r="F982" s="222"/>
      <c r="G982" s="222"/>
      <c r="H982" s="223"/>
      <c r="I982" s="222"/>
      <c r="J982" s="222"/>
      <c r="K982" s="222"/>
      <c r="L982" s="222"/>
      <c r="M982" s="222"/>
      <c r="N982" s="222"/>
      <c r="O982" s="222"/>
      <c r="P982" s="224"/>
      <c r="Q982" s="224"/>
      <c r="R982" s="224"/>
      <c r="S982" s="224"/>
      <c r="T982" s="224"/>
      <c r="U982" s="224"/>
      <c r="V982" s="224"/>
      <c r="W982" s="224"/>
      <c r="X982" s="224"/>
      <c r="Y982" s="222"/>
      <c r="Z982" s="222"/>
      <c r="AA982" s="224"/>
      <c r="AB982" s="224"/>
      <c r="AC982" s="224"/>
      <c r="AD982" s="224"/>
      <c r="AE982" s="224"/>
      <c r="AF982" s="224"/>
      <c r="AG982" s="224"/>
      <c r="AH982" s="224"/>
      <c r="AI982" s="224"/>
      <c r="AJ982" s="126"/>
      <c r="AK982" s="126"/>
      <c r="AL982" s="126"/>
      <c r="AM982" s="126"/>
      <c r="AN982" s="126"/>
    </row>
    <row r="983" spans="1:40" ht="15.75" customHeight="1">
      <c r="A983" s="221" t="str">
        <f t="shared" si="2"/>
        <v/>
      </c>
      <c r="B983" s="222"/>
      <c r="C983" s="222"/>
      <c r="D983" s="222" t="str">
        <f t="array" ref="D983">IF(F983="","",INDEX(#REF!,MATCH(F983,#REF!,0)))</f>
        <v/>
      </c>
      <c r="E983" s="222" t="str">
        <f t="array" ref="E983">IF(F983="","",INDEX(#REF!,MATCH(F983,#REF!,0)))</f>
        <v/>
      </c>
      <c r="F983" s="222"/>
      <c r="G983" s="222"/>
      <c r="H983" s="223"/>
      <c r="I983" s="222"/>
      <c r="J983" s="222"/>
      <c r="K983" s="222"/>
      <c r="L983" s="222"/>
      <c r="M983" s="222"/>
      <c r="N983" s="222"/>
      <c r="O983" s="222"/>
      <c r="P983" s="224"/>
      <c r="Q983" s="224"/>
      <c r="R983" s="224"/>
      <c r="S983" s="224"/>
      <c r="T983" s="224"/>
      <c r="U983" s="224"/>
      <c r="V983" s="224"/>
      <c r="W983" s="224"/>
      <c r="X983" s="224"/>
      <c r="Y983" s="222"/>
      <c r="Z983" s="222"/>
      <c r="AA983" s="224"/>
      <c r="AB983" s="224"/>
      <c r="AC983" s="224"/>
      <c r="AD983" s="224"/>
      <c r="AE983" s="224"/>
      <c r="AF983" s="224"/>
      <c r="AG983" s="224"/>
      <c r="AH983" s="224"/>
      <c r="AI983" s="224"/>
      <c r="AJ983" s="126"/>
      <c r="AK983" s="126"/>
      <c r="AL983" s="126"/>
      <c r="AM983" s="126"/>
      <c r="AN983" s="126"/>
    </row>
    <row r="984" spans="1:40" ht="15.75" customHeight="1">
      <c r="A984" s="221" t="str">
        <f t="shared" si="2"/>
        <v/>
      </c>
      <c r="B984" s="222"/>
      <c r="C984" s="222"/>
      <c r="D984" s="222" t="str">
        <f t="array" ref="D984">IF(F984="","",INDEX(#REF!,MATCH(F984,#REF!,0)))</f>
        <v/>
      </c>
      <c r="E984" s="222" t="str">
        <f t="array" ref="E984">IF(F984="","",INDEX(#REF!,MATCH(F984,#REF!,0)))</f>
        <v/>
      </c>
      <c r="F984" s="222"/>
      <c r="G984" s="222"/>
      <c r="H984" s="223"/>
      <c r="I984" s="222"/>
      <c r="J984" s="222"/>
      <c r="K984" s="222"/>
      <c r="L984" s="222"/>
      <c r="M984" s="222"/>
      <c r="N984" s="222"/>
      <c r="O984" s="222"/>
      <c r="P984" s="224"/>
      <c r="Q984" s="224"/>
      <c r="R984" s="224"/>
      <c r="S984" s="224"/>
      <c r="T984" s="224"/>
      <c r="U984" s="224"/>
      <c r="V984" s="224"/>
      <c r="W984" s="224"/>
      <c r="X984" s="224"/>
      <c r="Y984" s="222"/>
      <c r="Z984" s="222"/>
      <c r="AA984" s="224"/>
      <c r="AB984" s="224"/>
      <c r="AC984" s="224"/>
      <c r="AD984" s="224"/>
      <c r="AE984" s="224"/>
      <c r="AF984" s="224"/>
      <c r="AG984" s="224"/>
      <c r="AH984" s="224"/>
      <c r="AI984" s="224"/>
      <c r="AJ984" s="126"/>
      <c r="AK984" s="126"/>
      <c r="AL984" s="126"/>
      <c r="AM984" s="126"/>
      <c r="AN984" s="126"/>
    </row>
    <row r="985" spans="1:40" ht="15.75" customHeight="1">
      <c r="A985" s="221" t="str">
        <f t="shared" si="2"/>
        <v/>
      </c>
      <c r="B985" s="222"/>
      <c r="C985" s="222"/>
      <c r="D985" s="222" t="str">
        <f t="array" ref="D985">IF(F985="","",INDEX(#REF!,MATCH(F985,#REF!,0)))</f>
        <v/>
      </c>
      <c r="E985" s="222" t="str">
        <f t="array" ref="E985">IF(F985="","",INDEX(#REF!,MATCH(F985,#REF!,0)))</f>
        <v/>
      </c>
      <c r="F985" s="222"/>
      <c r="G985" s="222"/>
      <c r="H985" s="223"/>
      <c r="I985" s="222"/>
      <c r="J985" s="222"/>
      <c r="K985" s="222"/>
      <c r="L985" s="222"/>
      <c r="M985" s="222"/>
      <c r="N985" s="222"/>
      <c r="O985" s="222"/>
      <c r="P985" s="224"/>
      <c r="Q985" s="224"/>
      <c r="R985" s="224"/>
      <c r="S985" s="224"/>
      <c r="T985" s="224"/>
      <c r="U985" s="224"/>
      <c r="V985" s="224"/>
      <c r="W985" s="224"/>
      <c r="X985" s="224"/>
      <c r="Y985" s="222"/>
      <c r="Z985" s="222"/>
      <c r="AA985" s="224"/>
      <c r="AB985" s="224"/>
      <c r="AC985" s="224"/>
      <c r="AD985" s="224"/>
      <c r="AE985" s="224"/>
      <c r="AF985" s="224"/>
      <c r="AG985" s="224"/>
      <c r="AH985" s="224"/>
      <c r="AI985" s="224"/>
      <c r="AJ985" s="126"/>
      <c r="AK985" s="126"/>
      <c r="AL985" s="126"/>
      <c r="AM985" s="126"/>
      <c r="AN985" s="126"/>
    </row>
    <row r="986" spans="1:40" ht="15.75" customHeight="1">
      <c r="A986" s="221" t="str">
        <f t="shared" si="2"/>
        <v/>
      </c>
      <c r="B986" s="222"/>
      <c r="C986" s="222"/>
      <c r="D986" s="222" t="str">
        <f t="array" ref="D986">IF(F986="","",INDEX(#REF!,MATCH(F986,#REF!,0)))</f>
        <v/>
      </c>
      <c r="E986" s="222" t="str">
        <f t="array" ref="E986">IF(F986="","",INDEX(#REF!,MATCH(F986,#REF!,0)))</f>
        <v/>
      </c>
      <c r="F986" s="222"/>
      <c r="G986" s="222"/>
      <c r="H986" s="223"/>
      <c r="I986" s="222"/>
      <c r="J986" s="222"/>
      <c r="K986" s="222"/>
      <c r="L986" s="222"/>
      <c r="M986" s="222"/>
      <c r="N986" s="222"/>
      <c r="O986" s="222"/>
      <c r="P986" s="224"/>
      <c r="Q986" s="224"/>
      <c r="R986" s="224"/>
      <c r="S986" s="224"/>
      <c r="T986" s="224"/>
      <c r="U986" s="224"/>
      <c r="V986" s="224"/>
      <c r="W986" s="224"/>
      <c r="X986" s="224"/>
      <c r="Y986" s="222"/>
      <c r="Z986" s="222"/>
      <c r="AA986" s="224"/>
      <c r="AB986" s="224"/>
      <c r="AC986" s="224"/>
      <c r="AD986" s="224"/>
      <c r="AE986" s="224"/>
      <c r="AF986" s="224"/>
      <c r="AG986" s="224"/>
      <c r="AH986" s="224"/>
      <c r="AI986" s="224"/>
      <c r="AJ986" s="126"/>
      <c r="AK986" s="126"/>
      <c r="AL986" s="126"/>
      <c r="AM986" s="126"/>
      <c r="AN986" s="126"/>
    </row>
    <row r="987" spans="1:40" ht="15.75" customHeight="1">
      <c r="A987" s="221" t="str">
        <f t="shared" si="2"/>
        <v/>
      </c>
      <c r="B987" s="222"/>
      <c r="C987" s="222"/>
      <c r="D987" s="222" t="str">
        <f t="array" ref="D987">IF(F987="","",INDEX(#REF!,MATCH(F987,#REF!,0)))</f>
        <v/>
      </c>
      <c r="E987" s="222" t="str">
        <f t="array" ref="E987">IF(F987="","",INDEX(#REF!,MATCH(F987,#REF!,0)))</f>
        <v/>
      </c>
      <c r="F987" s="222"/>
      <c r="G987" s="222"/>
      <c r="H987" s="223"/>
      <c r="I987" s="222"/>
      <c r="J987" s="222"/>
      <c r="K987" s="222"/>
      <c r="L987" s="222"/>
      <c r="M987" s="222"/>
      <c r="N987" s="222"/>
      <c r="O987" s="222"/>
      <c r="P987" s="224"/>
      <c r="Q987" s="224"/>
      <c r="R987" s="224"/>
      <c r="S987" s="224"/>
      <c r="T987" s="224"/>
      <c r="U987" s="224"/>
      <c r="V987" s="224"/>
      <c r="W987" s="224"/>
      <c r="X987" s="224"/>
      <c r="Y987" s="222"/>
      <c r="Z987" s="222"/>
      <c r="AA987" s="224"/>
      <c r="AB987" s="224"/>
      <c r="AC987" s="224"/>
      <c r="AD987" s="224"/>
      <c r="AE987" s="224"/>
      <c r="AF987" s="224"/>
      <c r="AG987" s="224"/>
      <c r="AH987" s="224"/>
      <c r="AI987" s="224"/>
      <c r="AJ987" s="126"/>
      <c r="AK987" s="126"/>
      <c r="AL987" s="126"/>
      <c r="AM987" s="126"/>
      <c r="AN987" s="126"/>
    </row>
    <row r="988" spans="1:40" ht="15.75" customHeight="1">
      <c r="A988" s="221" t="str">
        <f t="shared" si="2"/>
        <v/>
      </c>
      <c r="B988" s="222"/>
      <c r="C988" s="222"/>
      <c r="D988" s="222" t="str">
        <f t="array" ref="D988">IF(F988="","",INDEX(#REF!,MATCH(F988,#REF!,0)))</f>
        <v/>
      </c>
      <c r="E988" s="222" t="str">
        <f t="array" ref="E988">IF(F988="","",INDEX(#REF!,MATCH(F988,#REF!,0)))</f>
        <v/>
      </c>
      <c r="F988" s="222"/>
      <c r="G988" s="222"/>
      <c r="H988" s="223"/>
      <c r="I988" s="222"/>
      <c r="J988" s="222"/>
      <c r="K988" s="222"/>
      <c r="L988" s="222"/>
      <c r="M988" s="222"/>
      <c r="N988" s="222"/>
      <c r="O988" s="222"/>
      <c r="P988" s="224"/>
      <c r="Q988" s="224"/>
      <c r="R988" s="224"/>
      <c r="S988" s="224"/>
      <c r="T988" s="224"/>
      <c r="U988" s="224"/>
      <c r="V988" s="224"/>
      <c r="W988" s="224"/>
      <c r="X988" s="224"/>
      <c r="Y988" s="222"/>
      <c r="Z988" s="222"/>
      <c r="AA988" s="224"/>
      <c r="AB988" s="224"/>
      <c r="AC988" s="224"/>
      <c r="AD988" s="224"/>
      <c r="AE988" s="224"/>
      <c r="AF988" s="224"/>
      <c r="AG988" s="224"/>
      <c r="AH988" s="224"/>
      <c r="AI988" s="224"/>
      <c r="AJ988" s="126"/>
      <c r="AK988" s="126"/>
      <c r="AL988" s="126"/>
      <c r="AM988" s="126"/>
      <c r="AN988" s="126"/>
    </row>
    <row r="989" spans="1:40" ht="15.75" customHeight="1">
      <c r="A989" s="221" t="str">
        <f t="shared" si="2"/>
        <v/>
      </c>
      <c r="B989" s="222"/>
      <c r="C989" s="222"/>
      <c r="D989" s="222" t="str">
        <f t="array" ref="D989">IF(F989="","",INDEX(#REF!,MATCH(F989,#REF!,0)))</f>
        <v/>
      </c>
      <c r="E989" s="222" t="str">
        <f t="array" ref="E989">IF(F989="","",INDEX(#REF!,MATCH(F989,#REF!,0)))</f>
        <v/>
      </c>
      <c r="F989" s="222"/>
      <c r="G989" s="222"/>
      <c r="H989" s="223"/>
      <c r="I989" s="222"/>
      <c r="J989" s="222"/>
      <c r="K989" s="222"/>
      <c r="L989" s="222"/>
      <c r="M989" s="222"/>
      <c r="N989" s="222"/>
      <c r="O989" s="222"/>
      <c r="P989" s="224"/>
      <c r="Q989" s="224"/>
      <c r="R989" s="224"/>
      <c r="S989" s="224"/>
      <c r="T989" s="224"/>
      <c r="U989" s="224"/>
      <c r="V989" s="224"/>
      <c r="W989" s="224"/>
      <c r="X989" s="224"/>
      <c r="Y989" s="222"/>
      <c r="Z989" s="222"/>
      <c r="AA989" s="224"/>
      <c r="AB989" s="224"/>
      <c r="AC989" s="224"/>
      <c r="AD989" s="224"/>
      <c r="AE989" s="224"/>
      <c r="AF989" s="224"/>
      <c r="AG989" s="224"/>
      <c r="AH989" s="224"/>
      <c r="AI989" s="224"/>
      <c r="AJ989" s="126"/>
      <c r="AK989" s="126"/>
      <c r="AL989" s="126"/>
      <c r="AM989" s="126"/>
      <c r="AN989" s="126"/>
    </row>
    <row r="990" spans="1:40" ht="15.75" customHeight="1">
      <c r="A990" s="221" t="str">
        <f t="shared" si="2"/>
        <v/>
      </c>
      <c r="B990" s="222"/>
      <c r="C990" s="222"/>
      <c r="D990" s="222" t="str">
        <f t="array" ref="D990">IF(F990="","",INDEX(#REF!,MATCH(F990,#REF!,0)))</f>
        <v/>
      </c>
      <c r="E990" s="222" t="str">
        <f t="array" ref="E990">IF(F990="","",INDEX(#REF!,MATCH(F990,#REF!,0)))</f>
        <v/>
      </c>
      <c r="F990" s="222"/>
      <c r="G990" s="222"/>
      <c r="H990" s="223"/>
      <c r="I990" s="222"/>
      <c r="J990" s="222"/>
      <c r="K990" s="222"/>
      <c r="L990" s="222"/>
      <c r="M990" s="222"/>
      <c r="N990" s="222"/>
      <c r="O990" s="222"/>
      <c r="P990" s="224"/>
      <c r="Q990" s="224"/>
      <c r="R990" s="224"/>
      <c r="S990" s="224"/>
      <c r="T990" s="224"/>
      <c r="U990" s="224"/>
      <c r="V990" s="224"/>
      <c r="W990" s="224"/>
      <c r="X990" s="224"/>
      <c r="Y990" s="222"/>
      <c r="Z990" s="222"/>
      <c r="AA990" s="224"/>
      <c r="AB990" s="224"/>
      <c r="AC990" s="224"/>
      <c r="AD990" s="224"/>
      <c r="AE990" s="224"/>
      <c r="AF990" s="224"/>
      <c r="AG990" s="224"/>
      <c r="AH990" s="224"/>
      <c r="AI990" s="224"/>
      <c r="AJ990" s="126"/>
      <c r="AK990" s="126"/>
      <c r="AL990" s="126"/>
      <c r="AM990" s="126"/>
      <c r="AN990" s="126"/>
    </row>
    <row r="991" spans="1:40" ht="15.75" customHeight="1">
      <c r="A991" s="221" t="str">
        <f t="shared" si="2"/>
        <v/>
      </c>
      <c r="B991" s="222"/>
      <c r="C991" s="222"/>
      <c r="D991" s="222" t="str">
        <f t="array" ref="D991">IF(F991="","",INDEX(#REF!,MATCH(F991,#REF!,0)))</f>
        <v/>
      </c>
      <c r="E991" s="222" t="str">
        <f t="array" ref="E991">IF(F991="","",INDEX(#REF!,MATCH(F991,#REF!,0)))</f>
        <v/>
      </c>
      <c r="F991" s="222"/>
      <c r="G991" s="222"/>
      <c r="H991" s="223"/>
      <c r="I991" s="222"/>
      <c r="J991" s="222"/>
      <c r="K991" s="222"/>
      <c r="L991" s="222"/>
      <c r="M991" s="222"/>
      <c r="N991" s="222"/>
      <c r="O991" s="222"/>
      <c r="P991" s="224"/>
      <c r="Q991" s="224"/>
      <c r="R991" s="224"/>
      <c r="S991" s="224"/>
      <c r="T991" s="224"/>
      <c r="U991" s="224"/>
      <c r="V991" s="224"/>
      <c r="W991" s="224"/>
      <c r="X991" s="224"/>
      <c r="Y991" s="222"/>
      <c r="Z991" s="222"/>
      <c r="AA991" s="224"/>
      <c r="AB991" s="224"/>
      <c r="AC991" s="224"/>
      <c r="AD991" s="224"/>
      <c r="AE991" s="224"/>
      <c r="AF991" s="224"/>
      <c r="AG991" s="224"/>
      <c r="AH991" s="224"/>
      <c r="AI991" s="224"/>
      <c r="AJ991" s="126"/>
      <c r="AK991" s="126"/>
      <c r="AL991" s="126"/>
      <c r="AM991" s="126"/>
      <c r="AN991" s="126"/>
    </row>
    <row r="992" spans="1:40" ht="15.75" customHeight="1">
      <c r="A992" s="221" t="str">
        <f t="shared" si="2"/>
        <v/>
      </c>
      <c r="B992" s="222"/>
      <c r="C992" s="222"/>
      <c r="D992" s="222" t="str">
        <f t="array" ref="D992">IF(F992="","",INDEX(#REF!,MATCH(F992,#REF!,0)))</f>
        <v/>
      </c>
      <c r="E992" s="222" t="str">
        <f t="array" ref="E992">IF(F992="","",INDEX(#REF!,MATCH(F992,#REF!,0)))</f>
        <v/>
      </c>
      <c r="F992" s="222"/>
      <c r="G992" s="222"/>
      <c r="H992" s="223"/>
      <c r="I992" s="222"/>
      <c r="J992" s="222"/>
      <c r="K992" s="222"/>
      <c r="L992" s="222"/>
      <c r="M992" s="222"/>
      <c r="N992" s="222"/>
      <c r="O992" s="222"/>
      <c r="P992" s="224"/>
      <c r="Q992" s="224"/>
      <c r="R992" s="224"/>
      <c r="S992" s="224"/>
      <c r="T992" s="224"/>
      <c r="U992" s="224"/>
      <c r="V992" s="224"/>
      <c r="W992" s="224"/>
      <c r="X992" s="224"/>
      <c r="Y992" s="222"/>
      <c r="Z992" s="222"/>
      <c r="AA992" s="224"/>
      <c r="AB992" s="224"/>
      <c r="AC992" s="224"/>
      <c r="AD992" s="224"/>
      <c r="AE992" s="224"/>
      <c r="AF992" s="224"/>
      <c r="AG992" s="224"/>
      <c r="AH992" s="224"/>
      <c r="AI992" s="224"/>
      <c r="AJ992" s="126"/>
      <c r="AK992" s="126"/>
      <c r="AL992" s="126"/>
      <c r="AM992" s="126"/>
      <c r="AN992" s="126"/>
    </row>
    <row r="993" spans="1:40" ht="15.75" customHeight="1">
      <c r="A993" s="221" t="str">
        <f t="shared" si="2"/>
        <v/>
      </c>
      <c r="B993" s="222"/>
      <c r="C993" s="222"/>
      <c r="D993" s="222" t="str">
        <f t="array" ref="D993">IF(F993="","",INDEX(#REF!,MATCH(F993,#REF!,0)))</f>
        <v/>
      </c>
      <c r="E993" s="222" t="str">
        <f t="array" ref="E993">IF(F993="","",INDEX(#REF!,MATCH(F993,#REF!,0)))</f>
        <v/>
      </c>
      <c r="F993" s="222"/>
      <c r="G993" s="222"/>
      <c r="H993" s="223"/>
      <c r="I993" s="222"/>
      <c r="J993" s="222"/>
      <c r="K993" s="222"/>
      <c r="L993" s="222"/>
      <c r="M993" s="222"/>
      <c r="N993" s="222"/>
      <c r="O993" s="222"/>
      <c r="P993" s="224"/>
      <c r="Q993" s="224"/>
      <c r="R993" s="224"/>
      <c r="S993" s="224"/>
      <c r="T993" s="224"/>
      <c r="U993" s="224"/>
      <c r="V993" s="224"/>
      <c r="W993" s="224"/>
      <c r="X993" s="224"/>
      <c r="Y993" s="222"/>
      <c r="Z993" s="222"/>
      <c r="AA993" s="224"/>
      <c r="AB993" s="224"/>
      <c r="AC993" s="224"/>
      <c r="AD993" s="224"/>
      <c r="AE993" s="224"/>
      <c r="AF993" s="224"/>
      <c r="AG993" s="224"/>
      <c r="AH993" s="224"/>
      <c r="AI993" s="224"/>
      <c r="AJ993" s="126"/>
      <c r="AK993" s="126"/>
      <c r="AL993" s="126"/>
      <c r="AM993" s="126"/>
      <c r="AN993" s="126"/>
    </row>
    <row r="994" spans="1:40" ht="15.75" customHeight="1">
      <c r="A994" s="221" t="str">
        <f t="shared" si="2"/>
        <v/>
      </c>
      <c r="B994" s="222"/>
      <c r="C994" s="222"/>
      <c r="D994" s="222" t="str">
        <f t="array" ref="D994">IF(F994="","",INDEX(#REF!,MATCH(F994,#REF!,0)))</f>
        <v/>
      </c>
      <c r="E994" s="222" t="str">
        <f t="array" ref="E994">IF(F994="","",INDEX(#REF!,MATCH(F994,#REF!,0)))</f>
        <v/>
      </c>
      <c r="F994" s="222"/>
      <c r="G994" s="222"/>
      <c r="H994" s="223"/>
      <c r="I994" s="222"/>
      <c r="J994" s="222"/>
      <c r="K994" s="222"/>
      <c r="L994" s="222"/>
      <c r="M994" s="222"/>
      <c r="N994" s="222"/>
      <c r="O994" s="222"/>
      <c r="P994" s="224"/>
      <c r="Q994" s="224"/>
      <c r="R994" s="224"/>
      <c r="S994" s="224"/>
      <c r="T994" s="224"/>
      <c r="U994" s="224"/>
      <c r="V994" s="224"/>
      <c r="W994" s="224"/>
      <c r="X994" s="224"/>
      <c r="Y994" s="222"/>
      <c r="Z994" s="222"/>
      <c r="AA994" s="224"/>
      <c r="AB994" s="224"/>
      <c r="AC994" s="224"/>
      <c r="AD994" s="224"/>
      <c r="AE994" s="224"/>
      <c r="AF994" s="224"/>
      <c r="AG994" s="224"/>
      <c r="AH994" s="224"/>
      <c r="AI994" s="224"/>
      <c r="AJ994" s="126"/>
      <c r="AK994" s="126"/>
      <c r="AL994" s="126"/>
      <c r="AM994" s="126"/>
      <c r="AN994" s="126"/>
    </row>
    <row r="995" spans="1:40" ht="15.75" customHeight="1">
      <c r="A995" s="221" t="str">
        <f t="shared" si="2"/>
        <v/>
      </c>
      <c r="B995" s="222"/>
      <c r="C995" s="222"/>
      <c r="D995" s="222" t="str">
        <f t="array" ref="D995">IF(F995="","",INDEX(#REF!,MATCH(F995,#REF!,0)))</f>
        <v/>
      </c>
      <c r="E995" s="222" t="str">
        <f t="array" ref="E995">IF(F995="","",INDEX(#REF!,MATCH(F995,#REF!,0)))</f>
        <v/>
      </c>
      <c r="F995" s="222"/>
      <c r="G995" s="222"/>
      <c r="H995" s="223"/>
      <c r="I995" s="222"/>
      <c r="J995" s="222"/>
      <c r="K995" s="222"/>
      <c r="L995" s="222"/>
      <c r="M995" s="222"/>
      <c r="N995" s="222"/>
      <c r="O995" s="222"/>
      <c r="P995" s="224"/>
      <c r="Q995" s="224"/>
      <c r="R995" s="224"/>
      <c r="S995" s="224"/>
      <c r="T995" s="224"/>
      <c r="U995" s="224"/>
      <c r="V995" s="224"/>
      <c r="W995" s="224"/>
      <c r="X995" s="224"/>
      <c r="Y995" s="222"/>
      <c r="Z995" s="222"/>
      <c r="AA995" s="224"/>
      <c r="AB995" s="224"/>
      <c r="AC995" s="224"/>
      <c r="AD995" s="224"/>
      <c r="AE995" s="224"/>
      <c r="AF995" s="224"/>
      <c r="AG995" s="224"/>
      <c r="AH995" s="224"/>
      <c r="AI995" s="224"/>
      <c r="AJ995" s="126"/>
      <c r="AK995" s="126"/>
      <c r="AL995" s="126"/>
      <c r="AM995" s="126"/>
      <c r="AN995" s="126"/>
    </row>
    <row r="996" spans="1:40" ht="15.75" customHeight="1">
      <c r="A996" s="221" t="str">
        <f t="shared" si="2"/>
        <v/>
      </c>
      <c r="B996" s="222"/>
      <c r="C996" s="222"/>
      <c r="D996" s="222" t="str">
        <f t="array" ref="D996">IF(F996="","",INDEX(#REF!,MATCH(F996,#REF!,0)))</f>
        <v/>
      </c>
      <c r="E996" s="222" t="str">
        <f t="array" ref="E996">IF(F996="","",INDEX(#REF!,MATCH(F996,#REF!,0)))</f>
        <v/>
      </c>
      <c r="F996" s="222"/>
      <c r="G996" s="222"/>
      <c r="H996" s="223"/>
      <c r="I996" s="222"/>
      <c r="J996" s="222"/>
      <c r="K996" s="222"/>
      <c r="L996" s="222"/>
      <c r="M996" s="222"/>
      <c r="N996" s="222"/>
      <c r="O996" s="222"/>
      <c r="P996" s="224"/>
      <c r="Q996" s="224"/>
      <c r="R996" s="224"/>
      <c r="S996" s="224"/>
      <c r="T996" s="224"/>
      <c r="U996" s="224"/>
      <c r="V996" s="224"/>
      <c r="W996" s="224"/>
      <c r="X996" s="224"/>
      <c r="Y996" s="222"/>
      <c r="Z996" s="222"/>
      <c r="AA996" s="224"/>
      <c r="AB996" s="224"/>
      <c r="AC996" s="224"/>
      <c r="AD996" s="224"/>
      <c r="AE996" s="224"/>
      <c r="AF996" s="224"/>
      <c r="AG996" s="224"/>
      <c r="AH996" s="224"/>
      <c r="AI996" s="224"/>
      <c r="AJ996" s="126"/>
      <c r="AK996" s="126"/>
      <c r="AL996" s="126"/>
      <c r="AM996" s="126"/>
      <c r="AN996" s="126"/>
    </row>
    <row r="997" spans="1:40" ht="15.75" customHeight="1">
      <c r="A997" s="221" t="str">
        <f t="shared" si="2"/>
        <v/>
      </c>
      <c r="B997" s="222"/>
      <c r="C997" s="222"/>
      <c r="D997" s="222" t="str">
        <f t="array" ref="D997">IF(F997="","",INDEX(#REF!,MATCH(F997,#REF!,0)))</f>
        <v/>
      </c>
      <c r="E997" s="222" t="str">
        <f t="array" ref="E997">IF(F997="","",INDEX(#REF!,MATCH(F997,#REF!,0)))</f>
        <v/>
      </c>
      <c r="F997" s="222"/>
      <c r="G997" s="222"/>
      <c r="H997" s="223"/>
      <c r="I997" s="222"/>
      <c r="J997" s="222"/>
      <c r="K997" s="222"/>
      <c r="L997" s="222"/>
      <c r="M997" s="222"/>
      <c r="N997" s="222"/>
      <c r="O997" s="222"/>
      <c r="P997" s="224"/>
      <c r="Q997" s="224"/>
      <c r="R997" s="224"/>
      <c r="S997" s="224"/>
      <c r="T997" s="224"/>
      <c r="U997" s="224"/>
      <c r="V997" s="224"/>
      <c r="W997" s="224"/>
      <c r="X997" s="224"/>
      <c r="Y997" s="222"/>
      <c r="Z997" s="222"/>
      <c r="AA997" s="224"/>
      <c r="AB997" s="224"/>
      <c r="AC997" s="224"/>
      <c r="AD997" s="224"/>
      <c r="AE997" s="224"/>
      <c r="AF997" s="224"/>
      <c r="AG997" s="224"/>
      <c r="AH997" s="224"/>
      <c r="AI997" s="224"/>
      <c r="AJ997" s="126"/>
      <c r="AK997" s="126"/>
      <c r="AL997" s="126"/>
      <c r="AM997" s="126"/>
      <c r="AN997" s="126"/>
    </row>
    <row r="998" spans="1:40" ht="15.75" customHeight="1">
      <c r="A998" s="221" t="str">
        <f t="shared" si="2"/>
        <v/>
      </c>
      <c r="B998" s="222"/>
      <c r="C998" s="222"/>
      <c r="D998" s="222" t="str">
        <f t="array" ref="D998">IF(F998="","",INDEX(#REF!,MATCH(F998,#REF!,0)))</f>
        <v/>
      </c>
      <c r="E998" s="222" t="str">
        <f t="array" ref="E998">IF(F998="","",INDEX(#REF!,MATCH(F998,#REF!,0)))</f>
        <v/>
      </c>
      <c r="F998" s="222"/>
      <c r="G998" s="222"/>
      <c r="H998" s="223"/>
      <c r="I998" s="222"/>
      <c r="J998" s="222"/>
      <c r="K998" s="222"/>
      <c r="L998" s="222"/>
      <c r="M998" s="222"/>
      <c r="N998" s="222"/>
      <c r="O998" s="222"/>
      <c r="P998" s="224"/>
      <c r="Q998" s="224"/>
      <c r="R998" s="224"/>
      <c r="S998" s="224"/>
      <c r="T998" s="224"/>
      <c r="U998" s="224"/>
      <c r="V998" s="224"/>
      <c r="W998" s="224"/>
      <c r="X998" s="224"/>
      <c r="Y998" s="222"/>
      <c r="Z998" s="222"/>
      <c r="AA998" s="224"/>
      <c r="AB998" s="224"/>
      <c r="AC998" s="224"/>
      <c r="AD998" s="224"/>
      <c r="AE998" s="224"/>
      <c r="AF998" s="224"/>
      <c r="AG998" s="224"/>
      <c r="AH998" s="224"/>
      <c r="AI998" s="224"/>
      <c r="AJ998" s="126"/>
      <c r="AK998" s="126"/>
      <c r="AL998" s="126"/>
      <c r="AM998" s="126"/>
      <c r="AN998" s="126"/>
    </row>
    <row r="999" spans="1:40" ht="15.75" customHeight="1">
      <c r="A999" s="221" t="str">
        <f t="shared" si="2"/>
        <v/>
      </c>
      <c r="B999" s="222"/>
      <c r="C999" s="222"/>
      <c r="D999" s="222" t="str">
        <f t="array" ref="D999">IF(F999="","",INDEX(#REF!,MATCH(F999,#REF!,0)))</f>
        <v/>
      </c>
      <c r="E999" s="222" t="str">
        <f t="array" ref="E999">IF(F999="","",INDEX(#REF!,MATCH(F999,#REF!,0)))</f>
        <v/>
      </c>
      <c r="F999" s="222"/>
      <c r="G999" s="222"/>
      <c r="H999" s="223"/>
      <c r="I999" s="222"/>
      <c r="J999" s="222"/>
      <c r="K999" s="222"/>
      <c r="L999" s="222"/>
      <c r="M999" s="222"/>
      <c r="N999" s="222"/>
      <c r="O999" s="222"/>
      <c r="P999" s="224"/>
      <c r="Q999" s="224"/>
      <c r="R999" s="224"/>
      <c r="S999" s="224"/>
      <c r="T999" s="224"/>
      <c r="U999" s="224"/>
      <c r="V999" s="224"/>
      <c r="W999" s="224"/>
      <c r="X999" s="224"/>
      <c r="Y999" s="222"/>
      <c r="Z999" s="222"/>
      <c r="AA999" s="224"/>
      <c r="AB999" s="224"/>
      <c r="AC999" s="224"/>
      <c r="AD999" s="224"/>
      <c r="AE999" s="224"/>
      <c r="AF999" s="224"/>
      <c r="AG999" s="224"/>
      <c r="AH999" s="224"/>
      <c r="AI999" s="224"/>
      <c r="AJ999" s="126"/>
      <c r="AK999" s="126"/>
      <c r="AL999" s="126"/>
      <c r="AM999" s="126"/>
      <c r="AN999" s="126"/>
    </row>
    <row r="1000" spans="1:40" ht="15.75" customHeight="1">
      <c r="A1000" s="221" t="str">
        <f t="shared" si="2"/>
        <v/>
      </c>
      <c r="B1000" s="222"/>
      <c r="C1000" s="222"/>
      <c r="D1000" s="222" t="str">
        <f t="array" ref="D1000">IF(F1000="","",INDEX(#REF!,MATCH(F1000,#REF!,0)))</f>
        <v/>
      </c>
      <c r="E1000" s="222" t="str">
        <f t="array" ref="E1000">IF(F1000="","",INDEX(#REF!,MATCH(F1000,#REF!,0)))</f>
        <v/>
      </c>
      <c r="F1000" s="222"/>
      <c r="G1000" s="222"/>
      <c r="H1000" s="223"/>
      <c r="I1000" s="222"/>
      <c r="J1000" s="222"/>
      <c r="K1000" s="222"/>
      <c r="L1000" s="222"/>
      <c r="M1000" s="222"/>
      <c r="N1000" s="222"/>
      <c r="O1000" s="222"/>
      <c r="P1000" s="224"/>
      <c r="Q1000" s="224"/>
      <c r="R1000" s="224"/>
      <c r="S1000" s="224"/>
      <c r="T1000" s="224"/>
      <c r="U1000" s="224"/>
      <c r="V1000" s="224"/>
      <c r="W1000" s="224"/>
      <c r="X1000" s="224"/>
      <c r="Y1000" s="222"/>
      <c r="Z1000" s="222"/>
      <c r="AA1000" s="224"/>
      <c r="AB1000" s="224"/>
      <c r="AC1000" s="224"/>
      <c r="AD1000" s="224"/>
      <c r="AE1000" s="224"/>
      <c r="AF1000" s="224"/>
      <c r="AG1000" s="224"/>
      <c r="AH1000" s="224"/>
      <c r="AI1000" s="224"/>
      <c r="AJ1000" s="126"/>
      <c r="AK1000" s="126"/>
      <c r="AL1000" s="126"/>
      <c r="AM1000" s="126"/>
      <c r="AN1000" s="126"/>
    </row>
    <row r="1001" spans="1:40" ht="15.75" customHeight="1">
      <c r="A1001" s="221" t="str">
        <f t="shared" si="2"/>
        <v/>
      </c>
      <c r="B1001" s="222"/>
      <c r="C1001" s="222"/>
      <c r="D1001" s="222" t="str">
        <f t="array" ref="D1001">IF(F1001="","",INDEX(#REF!,MATCH(F1001,#REF!,0)))</f>
        <v/>
      </c>
      <c r="E1001" s="222" t="str">
        <f t="array" ref="E1001">IF(F1001="","",INDEX(#REF!,MATCH(F1001,#REF!,0)))</f>
        <v/>
      </c>
      <c r="F1001" s="222"/>
      <c r="G1001" s="222"/>
      <c r="H1001" s="223"/>
      <c r="I1001" s="222"/>
      <c r="J1001" s="222"/>
      <c r="K1001" s="222"/>
      <c r="L1001" s="222"/>
      <c r="M1001" s="222"/>
      <c r="N1001" s="222"/>
      <c r="O1001" s="222"/>
      <c r="P1001" s="224"/>
      <c r="Q1001" s="224"/>
      <c r="R1001" s="224"/>
      <c r="S1001" s="224"/>
      <c r="T1001" s="224"/>
      <c r="U1001" s="224"/>
      <c r="V1001" s="224"/>
      <c r="W1001" s="224"/>
      <c r="X1001" s="224"/>
      <c r="Y1001" s="222"/>
      <c r="Z1001" s="222"/>
      <c r="AA1001" s="224"/>
      <c r="AB1001" s="224"/>
      <c r="AC1001" s="224"/>
      <c r="AD1001" s="224"/>
      <c r="AE1001" s="224"/>
      <c r="AF1001" s="224"/>
      <c r="AG1001" s="224"/>
      <c r="AH1001" s="224"/>
      <c r="AI1001" s="224"/>
      <c r="AJ1001" s="126"/>
      <c r="AK1001" s="126"/>
      <c r="AL1001" s="126"/>
      <c r="AM1001" s="126"/>
      <c r="AN1001" s="126"/>
    </row>
    <row r="1002" spans="1:40" ht="15.75" customHeight="1">
      <c r="A1002" s="221" t="str">
        <f t="shared" si="2"/>
        <v/>
      </c>
      <c r="B1002" s="222"/>
      <c r="C1002" s="222"/>
      <c r="D1002" s="222" t="str">
        <f t="array" ref="D1002">IF(F1002="","",INDEX(#REF!,MATCH(F1002,#REF!,0)))</f>
        <v/>
      </c>
      <c r="E1002" s="222" t="str">
        <f t="array" ref="E1002">IF(F1002="","",INDEX(#REF!,MATCH(F1002,#REF!,0)))</f>
        <v/>
      </c>
      <c r="F1002" s="222"/>
      <c r="G1002" s="222"/>
      <c r="H1002" s="223"/>
      <c r="I1002" s="222"/>
      <c r="J1002" s="222"/>
      <c r="K1002" s="222"/>
      <c r="L1002" s="222"/>
      <c r="M1002" s="222"/>
      <c r="N1002" s="222"/>
      <c r="O1002" s="222"/>
      <c r="P1002" s="224"/>
      <c r="Q1002" s="224"/>
      <c r="R1002" s="224"/>
      <c r="S1002" s="224"/>
      <c r="T1002" s="224"/>
      <c r="U1002" s="224"/>
      <c r="V1002" s="224"/>
      <c r="W1002" s="224"/>
      <c r="X1002" s="224"/>
      <c r="Y1002" s="222"/>
      <c r="Z1002" s="222"/>
      <c r="AA1002" s="224"/>
      <c r="AB1002" s="224"/>
      <c r="AC1002" s="224"/>
      <c r="AD1002" s="224"/>
      <c r="AE1002" s="224"/>
      <c r="AF1002" s="224"/>
      <c r="AG1002" s="224"/>
      <c r="AH1002" s="224"/>
      <c r="AI1002" s="224"/>
      <c r="AJ1002" s="126"/>
      <c r="AK1002" s="126"/>
      <c r="AL1002" s="126"/>
      <c r="AM1002" s="126"/>
      <c r="AN1002" s="126"/>
    </row>
    <row r="1003" spans="1:40" ht="15.75" customHeight="1">
      <c r="A1003" s="221" t="str">
        <f t="shared" si="2"/>
        <v/>
      </c>
      <c r="B1003" s="222"/>
      <c r="C1003" s="222"/>
      <c r="D1003" s="222" t="str">
        <f t="array" ref="D1003">IF(F1003="","",INDEX(#REF!,MATCH(F1003,#REF!,0)))</f>
        <v/>
      </c>
      <c r="E1003" s="222" t="str">
        <f t="array" ref="E1003">IF(F1003="","",INDEX(#REF!,MATCH(F1003,#REF!,0)))</f>
        <v/>
      </c>
      <c r="F1003" s="222"/>
      <c r="G1003" s="222"/>
      <c r="H1003" s="223"/>
      <c r="I1003" s="222"/>
      <c r="J1003" s="222"/>
      <c r="K1003" s="222"/>
      <c r="L1003" s="222"/>
      <c r="M1003" s="222"/>
      <c r="N1003" s="222"/>
      <c r="O1003" s="222"/>
      <c r="P1003" s="224"/>
      <c r="Q1003" s="224"/>
      <c r="R1003" s="224"/>
      <c r="S1003" s="224"/>
      <c r="T1003" s="224"/>
      <c r="U1003" s="224"/>
      <c r="V1003" s="224"/>
      <c r="W1003" s="224"/>
      <c r="X1003" s="224"/>
      <c r="Y1003" s="222"/>
      <c r="Z1003" s="222"/>
      <c r="AA1003" s="224"/>
      <c r="AB1003" s="224"/>
      <c r="AC1003" s="224"/>
      <c r="AD1003" s="224"/>
      <c r="AE1003" s="224"/>
      <c r="AF1003" s="224"/>
      <c r="AG1003" s="224"/>
      <c r="AH1003" s="224"/>
      <c r="AI1003" s="224"/>
      <c r="AJ1003" s="126"/>
      <c r="AK1003" s="126"/>
      <c r="AL1003" s="126"/>
      <c r="AM1003" s="126"/>
      <c r="AN1003" s="126"/>
    </row>
    <row r="1004" spans="1:40" ht="15.75" customHeight="1">
      <c r="A1004" s="221" t="str">
        <f t="shared" si="2"/>
        <v/>
      </c>
      <c r="B1004" s="222"/>
      <c r="C1004" s="222"/>
      <c r="D1004" s="222" t="str">
        <f t="array" ref="D1004">IF(F1004="","",INDEX(#REF!,MATCH(F1004,#REF!,0)))</f>
        <v/>
      </c>
      <c r="E1004" s="222" t="str">
        <f t="array" ref="E1004">IF(F1004="","",INDEX(#REF!,MATCH(F1004,#REF!,0)))</f>
        <v/>
      </c>
      <c r="F1004" s="222"/>
      <c r="G1004" s="222"/>
      <c r="H1004" s="223"/>
      <c r="I1004" s="222"/>
      <c r="J1004" s="222"/>
      <c r="K1004" s="222"/>
      <c r="L1004" s="222"/>
      <c r="M1004" s="222"/>
      <c r="N1004" s="222"/>
      <c r="O1004" s="222"/>
      <c r="P1004" s="224"/>
      <c r="Q1004" s="224"/>
      <c r="R1004" s="224"/>
      <c r="S1004" s="224"/>
      <c r="T1004" s="224"/>
      <c r="U1004" s="224"/>
      <c r="V1004" s="224"/>
      <c r="W1004" s="224"/>
      <c r="X1004" s="224"/>
      <c r="Y1004" s="222"/>
      <c r="Z1004" s="222"/>
      <c r="AA1004" s="224"/>
      <c r="AB1004" s="224"/>
      <c r="AC1004" s="224"/>
      <c r="AD1004" s="224"/>
      <c r="AE1004" s="224"/>
      <c r="AF1004" s="224"/>
      <c r="AG1004" s="224"/>
      <c r="AH1004" s="224"/>
      <c r="AI1004" s="224"/>
      <c r="AJ1004" s="126"/>
      <c r="AK1004" s="126"/>
      <c r="AL1004" s="126"/>
      <c r="AM1004" s="126"/>
      <c r="AN1004" s="126"/>
    </row>
    <row r="1005" spans="1:40" ht="15.75" customHeight="1">
      <c r="A1005" s="221" t="str">
        <f t="shared" si="2"/>
        <v/>
      </c>
      <c r="B1005" s="222"/>
      <c r="C1005" s="222"/>
      <c r="D1005" s="222" t="str">
        <f t="array" ref="D1005">IF(F1005="","",INDEX(#REF!,MATCH(F1005,#REF!,0)))</f>
        <v/>
      </c>
      <c r="E1005" s="222" t="str">
        <f t="array" ref="E1005">IF(F1005="","",INDEX(#REF!,MATCH(F1005,#REF!,0)))</f>
        <v/>
      </c>
      <c r="F1005" s="222"/>
      <c r="G1005" s="222"/>
      <c r="H1005" s="223"/>
      <c r="I1005" s="222"/>
      <c r="J1005" s="222"/>
      <c r="K1005" s="222"/>
      <c r="L1005" s="222"/>
      <c r="M1005" s="222"/>
      <c r="N1005" s="222"/>
      <c r="O1005" s="222"/>
      <c r="P1005" s="224"/>
      <c r="Q1005" s="224"/>
      <c r="R1005" s="224"/>
      <c r="S1005" s="224"/>
      <c r="T1005" s="224"/>
      <c r="U1005" s="224"/>
      <c r="V1005" s="224"/>
      <c r="W1005" s="224"/>
      <c r="X1005" s="224"/>
      <c r="Y1005" s="222"/>
      <c r="Z1005" s="222"/>
      <c r="AA1005" s="224"/>
      <c r="AB1005" s="224"/>
      <c r="AC1005" s="224"/>
      <c r="AD1005" s="224"/>
      <c r="AE1005" s="224"/>
      <c r="AF1005" s="224"/>
      <c r="AG1005" s="224"/>
      <c r="AH1005" s="224"/>
      <c r="AI1005" s="224"/>
      <c r="AJ1005" s="126"/>
      <c r="AK1005" s="126"/>
      <c r="AL1005" s="126"/>
      <c r="AM1005" s="126"/>
      <c r="AN1005" s="126"/>
    </row>
    <row r="1006" spans="1:40" ht="15.75" customHeight="1">
      <c r="A1006" s="221" t="str">
        <f t="shared" si="2"/>
        <v/>
      </c>
      <c r="B1006" s="222"/>
      <c r="C1006" s="222"/>
      <c r="D1006" s="222" t="str">
        <f t="array" ref="D1006">IF(F1006="","",INDEX(#REF!,MATCH(F1006,#REF!,0)))</f>
        <v/>
      </c>
      <c r="E1006" s="222" t="str">
        <f t="array" ref="E1006">IF(F1006="","",INDEX(#REF!,MATCH(F1006,#REF!,0)))</f>
        <v/>
      </c>
      <c r="F1006" s="222"/>
      <c r="G1006" s="222"/>
      <c r="H1006" s="223"/>
      <c r="I1006" s="222"/>
      <c r="J1006" s="222"/>
      <c r="K1006" s="222"/>
      <c r="L1006" s="222"/>
      <c r="M1006" s="222"/>
      <c r="N1006" s="222"/>
      <c r="O1006" s="222"/>
      <c r="P1006" s="224"/>
      <c r="Q1006" s="224"/>
      <c r="R1006" s="224"/>
      <c r="S1006" s="224"/>
      <c r="T1006" s="224"/>
      <c r="U1006" s="224"/>
      <c r="V1006" s="224"/>
      <c r="W1006" s="224"/>
      <c r="X1006" s="224"/>
      <c r="Y1006" s="222"/>
      <c r="Z1006" s="222"/>
      <c r="AA1006" s="224"/>
      <c r="AB1006" s="224"/>
      <c r="AC1006" s="224"/>
      <c r="AD1006" s="224"/>
      <c r="AE1006" s="224"/>
      <c r="AF1006" s="224"/>
      <c r="AG1006" s="224"/>
      <c r="AH1006" s="224"/>
      <c r="AI1006" s="224"/>
      <c r="AJ1006" s="126"/>
      <c r="AK1006" s="126"/>
      <c r="AL1006" s="126"/>
      <c r="AM1006" s="126"/>
      <c r="AN1006" s="126"/>
    </row>
  </sheetData>
  <mergeCells count="15">
    <mergeCell ref="M5:M6"/>
    <mergeCell ref="N5:N6"/>
    <mergeCell ref="O5:O6"/>
    <mergeCell ref="A5:A6"/>
    <mergeCell ref="B5:B6"/>
    <mergeCell ref="C5:C6"/>
    <mergeCell ref="D5:D6"/>
    <mergeCell ref="E5:E6"/>
    <mergeCell ref="F5:F6"/>
    <mergeCell ref="G5:G6"/>
    <mergeCell ref="H5:H6"/>
    <mergeCell ref="I5:I6"/>
    <mergeCell ref="J5:J6"/>
    <mergeCell ref="K5:K6"/>
    <mergeCell ref="L5:L6"/>
  </mergeCells>
  <conditionalFormatting sqref="B7:C206">
    <cfRule type="containsBlanks" dxfId="69" priority="1">
      <formula>LEN(TRIM(B7))=0</formula>
    </cfRule>
  </conditionalFormatting>
  <conditionalFormatting sqref="F7:AI206">
    <cfRule type="containsBlanks" dxfId="68" priority="2">
      <formula>LEN(TRIM(F7))=0</formula>
    </cfRule>
  </conditionalFormatting>
  <conditionalFormatting sqref="B207:C404">
    <cfRule type="containsBlanks" dxfId="67" priority="3">
      <formula>LEN(TRIM(B207))=0</formula>
    </cfRule>
  </conditionalFormatting>
  <conditionalFormatting sqref="F207:AI404">
    <cfRule type="containsBlanks" dxfId="66" priority="4">
      <formula>LEN(TRIM(F207))=0</formula>
    </cfRule>
  </conditionalFormatting>
  <conditionalFormatting sqref="B405:C602">
    <cfRule type="containsBlanks" dxfId="65" priority="5">
      <formula>LEN(TRIM(B405))=0</formula>
    </cfRule>
  </conditionalFormatting>
  <conditionalFormatting sqref="F405:AI602">
    <cfRule type="containsBlanks" dxfId="64" priority="6">
      <formula>LEN(TRIM(F405))=0</formula>
    </cfRule>
  </conditionalFormatting>
  <conditionalFormatting sqref="B603:C800">
    <cfRule type="containsBlanks" dxfId="63" priority="7">
      <formula>LEN(TRIM(B603))=0</formula>
    </cfRule>
  </conditionalFormatting>
  <conditionalFormatting sqref="F603:AI800">
    <cfRule type="containsBlanks" dxfId="62" priority="8">
      <formula>LEN(TRIM(F603))=0</formula>
    </cfRule>
  </conditionalFormatting>
  <conditionalFormatting sqref="B801:C998">
    <cfRule type="containsBlanks" dxfId="61" priority="9">
      <formula>LEN(TRIM(B801))=0</formula>
    </cfRule>
  </conditionalFormatting>
  <conditionalFormatting sqref="F801:AI998">
    <cfRule type="containsBlanks" dxfId="60" priority="10">
      <formula>LEN(TRIM(F801))=0</formula>
    </cfRule>
  </conditionalFormatting>
  <conditionalFormatting sqref="B999:C1006">
    <cfRule type="containsBlanks" dxfId="59" priority="11">
      <formula>LEN(TRIM(B999))=0</formula>
    </cfRule>
  </conditionalFormatting>
  <conditionalFormatting sqref="F999:AI1006">
    <cfRule type="containsBlanks" dxfId="58" priority="12">
      <formula>LEN(TRIM(F999))=0</formula>
    </cfRule>
  </conditionalFormatting>
  <dataValidations count="2">
    <dataValidation type="decimal" operator="greaterThanOrEqual" allowBlank="1" showErrorMessage="1" sqref="L7:M1006 P7:AI1006">
      <formula1>0</formula1>
    </dataValidation>
    <dataValidation type="list" allowBlank="1" showErrorMessage="1" sqref="C7:C1006">
      <formula1>"MIR,Indicador de Gestión"</formula1>
    </dataValidation>
  </dataValidations>
  <pageMargins left="1.299212598425197" right="0.70866141732283472" top="0.74803149606299213" bottom="0.74803149606299213" header="0" footer="0"/>
  <pageSetup paperSize="5" scale="22" orientation="landscape"/>
  <headerFooter>
    <oddFooter>&amp;RAvance de programas y/o procesos concluidos Página &amp;P de</oddFooter>
  </headerFooter>
  <extLst>
    <ext xmlns:x14="http://schemas.microsoft.com/office/spreadsheetml/2009/9/main" uri="{CCE6A557-97BC-4b89-ADB6-D9C93CAAB3DF}">
      <x14:dataValidations xmlns:xm="http://schemas.microsoft.com/office/excel/2006/main" count="4">
        <x14:dataValidation type="list" allowBlank="1" showErrorMessage="1">
          <x14:formula1>
            <xm:f>#REF!</xm:f>
          </x14:formula1>
          <xm:sqref>N7:N1006</xm:sqref>
        </x14:dataValidation>
        <x14:dataValidation type="list" allowBlank="1" showErrorMessage="1">
          <x14:formula1>
            <xm:f>#REF!</xm:f>
          </x14:formula1>
          <xm:sqref>F7:F1006</xm:sqref>
        </x14:dataValidation>
        <x14:dataValidation type="list" allowBlank="1" showErrorMessage="1">
          <x14:formula1>
            <xm:f>#REF!</xm:f>
          </x14:formula1>
          <xm:sqref>O7:O1006</xm:sqref>
        </x14:dataValidation>
        <x14:dataValidation type="list" allowBlank="1" showErrorMessage="1">
          <x14:formula1>
            <xm:f>#REF!</xm:f>
          </x14:formula1>
          <xm:sqref>G7:G1006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92D050"/>
  </sheetPr>
  <dimension ref="A1:AR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8" width="2.85546875" customWidth="1"/>
    <col min="9" max="10" width="2.85546875" hidden="1" customWidth="1"/>
    <col min="11" max="11" width="3" hidden="1" customWidth="1"/>
    <col min="12" max="40" width="2.85546875" hidden="1" customWidth="1"/>
    <col min="41" max="41" width="9.42578125" hidden="1" customWidth="1"/>
    <col min="42" max="42" width="11.5703125" hidden="1" customWidth="1"/>
    <col min="43" max="43" width="9.7109375" hidden="1" customWidth="1"/>
    <col min="44" max="44" width="16.28515625" hidden="1" customWidth="1"/>
  </cols>
  <sheetData>
    <row r="1" spans="1:44" ht="42.75" customHeight="1">
      <c r="A1" s="810" t="str">
        <f>"Nombre del Ente Público: "&amp;Validacion!A2</f>
        <v>Nombre del Ente Público: Guadalajara</v>
      </c>
      <c r="B1" s="746"/>
      <c r="C1" s="746"/>
      <c r="D1" s="746"/>
      <c r="E1" s="746"/>
      <c r="F1" s="746"/>
      <c r="G1" s="747"/>
      <c r="H1" s="131"/>
      <c r="I1" s="131"/>
      <c r="J1" s="131"/>
      <c r="K1" s="131"/>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row>
    <row r="2" spans="1:44" ht="18.75">
      <c r="A2" s="811" t="s">
        <v>6254</v>
      </c>
      <c r="B2" s="749"/>
      <c r="C2" s="749"/>
      <c r="D2" s="749"/>
      <c r="E2" s="749"/>
      <c r="F2" s="749"/>
      <c r="G2" s="750"/>
      <c r="H2" s="131"/>
      <c r="I2" s="131"/>
      <c r="J2" s="131"/>
      <c r="K2" s="131"/>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row>
    <row r="3" spans="1:44" ht="18.75">
      <c r="A3" s="811" t="s">
        <v>6255</v>
      </c>
      <c r="B3" s="749"/>
      <c r="C3" s="749"/>
      <c r="D3" s="749"/>
      <c r="E3" s="749"/>
      <c r="F3" s="749"/>
      <c r="G3" s="750"/>
      <c r="H3" s="131"/>
      <c r="I3" s="131"/>
      <c r="J3" s="131"/>
      <c r="K3" s="131"/>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row>
    <row r="4" spans="1:44" ht="15.75">
      <c r="A4" s="812" t="e">
        <f>'F6'!A3</f>
        <v>#REF!</v>
      </c>
      <c r="B4" s="749"/>
      <c r="C4" s="749"/>
      <c r="D4" s="749"/>
      <c r="E4" s="749"/>
      <c r="F4" s="749"/>
      <c r="G4" s="750"/>
      <c r="H4" s="131"/>
      <c r="I4" s="131"/>
      <c r="J4" s="131"/>
      <c r="K4" s="131"/>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row>
    <row r="5" spans="1:44" ht="15.75">
      <c r="A5" s="813" t="s">
        <v>4426</v>
      </c>
      <c r="B5" s="753"/>
      <c r="C5" s="753"/>
      <c r="D5" s="753"/>
      <c r="E5" s="753"/>
      <c r="F5" s="753"/>
      <c r="G5" s="754"/>
      <c r="H5" s="131"/>
      <c r="I5" s="131"/>
      <c r="J5" s="131"/>
      <c r="K5" s="131"/>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row>
    <row r="6" spans="1:44">
      <c r="A6" s="814" t="s">
        <v>4379</v>
      </c>
      <c r="B6" s="817" t="s">
        <v>88</v>
      </c>
      <c r="C6" s="756"/>
      <c r="D6" s="756"/>
      <c r="E6" s="756"/>
      <c r="F6" s="733"/>
      <c r="G6" s="809" t="s">
        <v>6256</v>
      </c>
      <c r="H6" s="131"/>
      <c r="I6" s="131"/>
      <c r="J6" s="131"/>
      <c r="K6" s="131"/>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row>
    <row r="7" spans="1:44" ht="30">
      <c r="A7" s="730"/>
      <c r="B7" s="226" t="s">
        <v>6257</v>
      </c>
      <c r="C7" s="226" t="s">
        <v>4431</v>
      </c>
      <c r="D7" s="226" t="s">
        <v>4432</v>
      </c>
      <c r="E7" s="226" t="s">
        <v>4433</v>
      </c>
      <c r="F7" s="227" t="s">
        <v>6258</v>
      </c>
      <c r="G7" s="730"/>
      <c r="H7" s="131"/>
      <c r="I7" s="131"/>
      <c r="J7" s="131"/>
      <c r="K7" s="131"/>
      <c r="L7" s="228"/>
      <c r="M7" s="229" t="str">
        <f>IF(AND(F18A!$A9=0),"",F18A!$A9)</f>
        <v/>
      </c>
      <c r="N7" s="229" t="str">
        <f>IF(AND(F18A!$A10=0),"",F18A!$A10)</f>
        <v/>
      </c>
      <c r="O7" s="229" t="str">
        <f>IF(AND(F18A!$A11=0),"",F18A!$A11)</f>
        <v/>
      </c>
      <c r="P7" s="229" t="str">
        <f>IF(AND(F18A!$A12=0),"",F18A!$A12)</f>
        <v/>
      </c>
      <c r="Q7" s="229" t="str">
        <f>IF(AND(F18A!$A13=0),"",F18A!$A13)</f>
        <v/>
      </c>
      <c r="R7" s="229" t="str">
        <f>IF(AND(F18A!$A14=0),"",F18A!$A14)</f>
        <v/>
      </c>
      <c r="S7" s="229" t="str">
        <f>IF(AND(F18A!$A15=0),"",F18A!$A15)</f>
        <v/>
      </c>
      <c r="T7" s="229" t="str">
        <f>IF(AND(F18A!$A16=0),"",F18A!$A16)</f>
        <v/>
      </c>
      <c r="U7" s="229" t="str">
        <f>IF(AND(F18A!$A17=0),"",F18A!$A17)</f>
        <v/>
      </c>
      <c r="V7" s="229" t="str">
        <f>IF(AND(F18A!$A18=0),"",F18A!$A18)</f>
        <v/>
      </c>
      <c r="W7" s="229" t="str">
        <f>IF(AND(F18A!$A19=0),"",F18A!$A19)</f>
        <v/>
      </c>
      <c r="X7" s="229" t="str">
        <f>IF(AND(F18A!$A20=0),"",F18A!$A20)</f>
        <v/>
      </c>
      <c r="Y7" s="229" t="str">
        <f>IF(AND(F18A!$A21=0),"",F18A!$A21)</f>
        <v/>
      </c>
      <c r="Z7" s="229" t="str">
        <f>IF(AND(F18A!$A22=0),"",F18A!$A22)</f>
        <v/>
      </c>
      <c r="AA7" s="229" t="str">
        <f>IF(AND(F18A!$A23=0),"",F18A!$A23)</f>
        <v/>
      </c>
      <c r="AB7" s="229" t="str">
        <f>IF(AND(F18A!$A24=0),"",F18A!$A24)</f>
        <v/>
      </c>
      <c r="AC7" s="229" t="str">
        <f>IF(AND(F18A!$A25=0),"",F18A!$A25)</f>
        <v/>
      </c>
      <c r="AD7" s="229" t="str">
        <f>IF(AND(F18A!$A26=0),"",F18A!$A26)</f>
        <v/>
      </c>
      <c r="AE7" s="229" t="str">
        <f>IF(AND(F18A!$A27=0),"",F18A!$A27)</f>
        <v/>
      </c>
      <c r="AF7" s="229" t="str">
        <f>IF(AND(F18A!$A28=0),"",F18A!$A28)</f>
        <v/>
      </c>
      <c r="AG7" s="229" t="str">
        <f>IF(AND(F18A!$A29=0),"",F18A!$A29)</f>
        <v/>
      </c>
      <c r="AH7" s="229" t="str">
        <f>IF(AND(F18A!$A30=0),"",F18A!$A30)</f>
        <v/>
      </c>
      <c r="AI7" s="229" t="str">
        <f>IF(AND(F18A!$A31=0),"",F18A!$A31)</f>
        <v/>
      </c>
      <c r="AJ7" s="229" t="str">
        <f>IF(AND(F18A!$A32=0),"",F18A!$A32)</f>
        <v/>
      </c>
      <c r="AK7" s="229" t="str">
        <f>IF(AND(F18A!$A33=0),"",F18A!$A33)</f>
        <v/>
      </c>
      <c r="AL7" s="225"/>
      <c r="AM7" s="225"/>
      <c r="AN7" s="225"/>
      <c r="AO7" s="225"/>
      <c r="AP7" s="225"/>
      <c r="AQ7" s="225"/>
      <c r="AR7" s="225"/>
    </row>
    <row r="8" spans="1:44">
      <c r="A8" s="230" t="str">
        <f t="shared" ref="A8:A57" si="0">IFERROR(AR8,"")</f>
        <v/>
      </c>
      <c r="B8" s="231">
        <f>SUMIF(F18A!$A$9:$A$60,'F18'!A8,F18A!$B$9:$B$60)</f>
        <v>0</v>
      </c>
      <c r="C8" s="231">
        <f>SUMIF(F18A!$A$9:$A$60,'F18'!A8,F18A!$C$9:$C$60)</f>
        <v>0</v>
      </c>
      <c r="D8" s="232">
        <f t="shared" ref="D8:D57" si="1">B8+C8</f>
        <v>0</v>
      </c>
      <c r="E8" s="231">
        <f>SUMIF(F18A!$A$9:$A$60,'F18'!A8,F18A!$E$9:$E$60)</f>
        <v>0</v>
      </c>
      <c r="F8" s="231">
        <f>SUMIF(F18A!$A$9:$A$60,'F18'!A8,F18A!$F$9:$F$60)</f>
        <v>0</v>
      </c>
      <c r="G8" s="232">
        <f t="shared" ref="G8:G57" si="2">D8-E8</f>
        <v>0</v>
      </c>
      <c r="H8" s="131"/>
      <c r="I8" s="131"/>
      <c r="J8" s="131"/>
      <c r="K8" s="178" t="str">
        <f t="shared" ref="K8:K32" si="3">IF(SUM(M8:AK8)=25,L8,"")</f>
        <v/>
      </c>
      <c r="L8" s="229" t="str">
        <f>IF(AND(F18A!A36=0),"",F18A!A36)</f>
        <v/>
      </c>
      <c r="M8" s="233" t="str">
        <f>IF(AND(M7&lt;&gt;L8),1,"")</f>
        <v/>
      </c>
      <c r="N8" s="233" t="str">
        <f>IF(AND(N7&lt;&gt;L8),1,"")</f>
        <v/>
      </c>
      <c r="O8" s="233" t="str">
        <f>IF(AND(O7&lt;&gt;L8),1,"")</f>
        <v/>
      </c>
      <c r="P8" s="233" t="str">
        <f>IF(AND(P7&lt;&gt;L8),1,"")</f>
        <v/>
      </c>
      <c r="Q8" s="233" t="str">
        <f>IF(AND(Q7&lt;&gt;L8),1,"")</f>
        <v/>
      </c>
      <c r="R8" s="233" t="str">
        <f>IF(AND(R7&lt;&gt;L8),1,"")</f>
        <v/>
      </c>
      <c r="S8" s="233" t="str">
        <f>IF(AND(S7&lt;&gt;L8),1,"")</f>
        <v/>
      </c>
      <c r="T8" s="233" t="str">
        <f>IF(AND(T7&lt;&gt;L8),1,"")</f>
        <v/>
      </c>
      <c r="U8" s="233" t="str">
        <f>IF(AND(U7&lt;&gt;L8),1,"")</f>
        <v/>
      </c>
      <c r="V8" s="233" t="str">
        <f>IF(AND(V7&lt;&gt;L8),1,"")</f>
        <v/>
      </c>
      <c r="W8" s="233" t="str">
        <f>IF(AND(W7&lt;&gt;L8),1,"")</f>
        <v/>
      </c>
      <c r="X8" s="233" t="str">
        <f>IF(AND(X7&lt;&gt;L8),1,"")</f>
        <v/>
      </c>
      <c r="Y8" s="233" t="str">
        <f>IF(AND(Y7&lt;&gt;L8),1,"")</f>
        <v/>
      </c>
      <c r="Z8" s="233" t="str">
        <f>IF(AND(Z7&lt;&gt;L8),1,"")</f>
        <v/>
      </c>
      <c r="AA8" s="233" t="str">
        <f>IF(AND(AA7&lt;&gt;L8),1,"")</f>
        <v/>
      </c>
      <c r="AB8" s="233" t="str">
        <f>IF(AND(AB7&lt;&gt;L8),1,"")</f>
        <v/>
      </c>
      <c r="AC8" s="233" t="str">
        <f>IF(AND(AC7&lt;&gt;L8),1,"")</f>
        <v/>
      </c>
      <c r="AD8" s="233" t="str">
        <f>IF(AND(AD7&lt;&gt;L8),1,"")</f>
        <v/>
      </c>
      <c r="AE8" s="233" t="str">
        <f>IF(AND(AE7&lt;&gt;L8),1,"")</f>
        <v/>
      </c>
      <c r="AF8" s="233" t="str">
        <f>IF(AND(AF7&lt;&gt;L8),1,"")</f>
        <v/>
      </c>
      <c r="AG8" s="233" t="str">
        <f>IF(AND(AG7&lt;&gt;L8),1,"")</f>
        <v/>
      </c>
      <c r="AH8" s="233" t="str">
        <f>IF(AND(AH7&lt;&gt;L8),1,"")</f>
        <v/>
      </c>
      <c r="AI8" s="233" t="str">
        <f>IF(AND(AI7&lt;&gt;L8),1,"")</f>
        <v/>
      </c>
      <c r="AJ8" s="233" t="str">
        <f>IF(AND(AJ7&lt;&gt;L8),1,"")</f>
        <v/>
      </c>
      <c r="AK8" s="233" t="str">
        <f>IF(AND(AK7&lt;&gt;L8),1,"")</f>
        <v/>
      </c>
      <c r="AL8" s="225"/>
      <c r="AM8" s="225"/>
      <c r="AN8" s="234" t="str">
        <f>M$7</f>
        <v/>
      </c>
      <c r="AO8" s="225" t="b">
        <f t="shared" ref="AO8:AO13" si="4">IF(AN$8:AN$57&lt;&gt;"",ROW(AN8:AN57))</f>
        <v>0</v>
      </c>
      <c r="AP8" s="225">
        <v>1</v>
      </c>
      <c r="AQ8" s="225" t="e">
        <f t="shared" ref="AQ8:AQ57" si="5">SMALL(AO$8:AO$57,AP8)</f>
        <v>#NUM!</v>
      </c>
      <c r="AR8" s="235" t="e">
        <f t="shared" ref="AR8:AR57" si="6">INDEX(AN:AN,AQ$8:AQ$57)</f>
        <v>#NUM!</v>
      </c>
    </row>
    <row r="9" spans="1:44">
      <c r="A9" s="236" t="str">
        <f t="shared" si="0"/>
        <v/>
      </c>
      <c r="B9" s="153">
        <f>SUMIF(F18A!$A$9:$A$60,'F18'!A9,F18A!$B$9:$B$60)</f>
        <v>0</v>
      </c>
      <c r="C9" s="153">
        <f>SUMIF(F18A!$A$9:$A$60,'F18'!A9,F18A!$C$9:$C$60)</f>
        <v>0</v>
      </c>
      <c r="D9" s="237">
        <f t="shared" si="1"/>
        <v>0</v>
      </c>
      <c r="E9" s="153">
        <f>SUMIF(F18A!$A$9:$A$60,'F18'!A9,F18A!$E$9:$E$60)</f>
        <v>0</v>
      </c>
      <c r="F9" s="153">
        <f>SUMIF(F18A!$A$9:$A$60,'F18'!A9,F18A!$F$9:$F$60)</f>
        <v>0</v>
      </c>
      <c r="G9" s="237">
        <f t="shared" si="2"/>
        <v>0</v>
      </c>
      <c r="H9" s="131"/>
      <c r="I9" s="131"/>
      <c r="J9" s="131"/>
      <c r="K9" s="178" t="str">
        <f t="shared" si="3"/>
        <v/>
      </c>
      <c r="L9" s="229" t="str">
        <f>IF(AND(F18A!A37=0),"",F18A!A37)</f>
        <v/>
      </c>
      <c r="M9" s="233" t="str">
        <f>IF(AND(M7&lt;&gt;L9),1,"")</f>
        <v/>
      </c>
      <c r="N9" s="233" t="str">
        <f>IF(AND(N7&lt;&gt;L9),1,"")</f>
        <v/>
      </c>
      <c r="O9" s="233" t="str">
        <f>IF(AND(O7&lt;&gt;L9),1,"")</f>
        <v/>
      </c>
      <c r="P9" s="233" t="str">
        <f>IF(AND(P7&lt;&gt;L9),1,"")</f>
        <v/>
      </c>
      <c r="Q9" s="233" t="str">
        <f>IF(AND(Q7&lt;&gt;L9),1,"")</f>
        <v/>
      </c>
      <c r="R9" s="233" t="str">
        <f>IF(AND(R7&lt;&gt;L9),1,"")</f>
        <v/>
      </c>
      <c r="S9" s="233" t="str">
        <f>IF(AND(S7&lt;&gt;L9),1,"")</f>
        <v/>
      </c>
      <c r="T9" s="233" t="str">
        <f>IF(AND(T7&lt;&gt;L9),1,"")</f>
        <v/>
      </c>
      <c r="U9" s="233" t="str">
        <f>IF(AND(U7&lt;&gt;L9),1,"")</f>
        <v/>
      </c>
      <c r="V9" s="233" t="str">
        <f>IF(AND(V7&lt;&gt;L9),1,"")</f>
        <v/>
      </c>
      <c r="W9" s="233" t="str">
        <f>IF(AND(W7&lt;&gt;L9),1,"")</f>
        <v/>
      </c>
      <c r="X9" s="233" t="str">
        <f>IF(AND(X7&lt;&gt;L9),1,"")</f>
        <v/>
      </c>
      <c r="Y9" s="233" t="str">
        <f>IF(AND(Y7&lt;&gt;L9),1,"")</f>
        <v/>
      </c>
      <c r="Z9" s="233" t="str">
        <f>IF(AND(Z7&lt;&gt;L9),1,"")</f>
        <v/>
      </c>
      <c r="AA9" s="233" t="str">
        <f>IF(AND(AA7&lt;&gt;L9),1,"")</f>
        <v/>
      </c>
      <c r="AB9" s="233" t="str">
        <f>IF(AND(AB7&lt;&gt;L9),1,"")</f>
        <v/>
      </c>
      <c r="AC9" s="233" t="str">
        <f>IF(AND(AC7&lt;&gt;L9),1,"")</f>
        <v/>
      </c>
      <c r="AD9" s="233" t="str">
        <f>IF(AND(AD7&lt;&gt;L9),1,"")</f>
        <v/>
      </c>
      <c r="AE9" s="233" t="str">
        <f>IF(AND(AE7&lt;&gt;L9),1,"")</f>
        <v/>
      </c>
      <c r="AF9" s="233" t="str">
        <f>IF(AND(AF7&lt;&gt;L9),1,"")</f>
        <v/>
      </c>
      <c r="AG9" s="233" t="str">
        <f>IF(AND(AG7&lt;&gt;L9),1,"")</f>
        <v/>
      </c>
      <c r="AH9" s="233" t="str">
        <f>IF(AND(AH7&lt;&gt;L9),1,"")</f>
        <v/>
      </c>
      <c r="AI9" s="233" t="str">
        <f>IF(AND(AI7&lt;&gt;L9),1,"")</f>
        <v/>
      </c>
      <c r="AJ9" s="233" t="str">
        <f>IF(AND(AJ7&lt;&gt;L9),1,"")</f>
        <v/>
      </c>
      <c r="AK9" s="233" t="str">
        <f>IF(AND(AK7&lt;&gt;L9),1,"")</f>
        <v/>
      </c>
      <c r="AL9" s="225"/>
      <c r="AM9" s="225"/>
      <c r="AN9" s="234" t="str">
        <f>N$7</f>
        <v/>
      </c>
      <c r="AO9" s="225" t="b">
        <f t="shared" si="4"/>
        <v>0</v>
      </c>
      <c r="AP9" s="225">
        <v>2</v>
      </c>
      <c r="AQ9" s="225" t="e">
        <f t="shared" si="5"/>
        <v>#NUM!</v>
      </c>
      <c r="AR9" s="235" t="e">
        <f t="shared" si="6"/>
        <v>#NUM!</v>
      </c>
    </row>
    <row r="10" spans="1:44">
      <c r="A10" s="236" t="str">
        <f t="shared" si="0"/>
        <v/>
      </c>
      <c r="B10" s="153">
        <f>SUMIF(F18A!$A$9:$A$60,'F18'!A10,F18A!$B$9:$B$60)</f>
        <v>0</v>
      </c>
      <c r="C10" s="153">
        <f>SUMIF(F18A!$A$9:$A$60,'F18'!A10,F18A!$C$9:$C$60)</f>
        <v>0</v>
      </c>
      <c r="D10" s="237">
        <f t="shared" si="1"/>
        <v>0</v>
      </c>
      <c r="E10" s="153">
        <f>SUMIF(F18A!$A$9:$A$60,'F18'!A10,F18A!$E$9:$E$60)</f>
        <v>0</v>
      </c>
      <c r="F10" s="153">
        <f>SUMIF(F18A!$A$9:$A$60,'F18'!A10,F18A!$F$9:$F$60)</f>
        <v>0</v>
      </c>
      <c r="G10" s="237">
        <f t="shared" si="2"/>
        <v>0</v>
      </c>
      <c r="H10" s="131"/>
      <c r="I10" s="131"/>
      <c r="J10" s="131"/>
      <c r="K10" s="178" t="str">
        <f t="shared" si="3"/>
        <v/>
      </c>
      <c r="L10" s="229" t="str">
        <f>IF(AND(F18A!A38=0),"",F18A!A38)</f>
        <v/>
      </c>
      <c r="M10" s="233" t="str">
        <f>IF(AND(M7&lt;&gt;L10),1,"")</f>
        <v/>
      </c>
      <c r="N10" s="233" t="str">
        <f>IF(AND(N7&lt;&gt;L10),1,"")</f>
        <v/>
      </c>
      <c r="O10" s="233" t="str">
        <f>IF(AND(O7&lt;&gt;L10),1,"")</f>
        <v/>
      </c>
      <c r="P10" s="233" t="str">
        <f>IF(AND(P7&lt;&gt;L10),1,"")</f>
        <v/>
      </c>
      <c r="Q10" s="233" t="str">
        <f>IF(AND(Q7&lt;&gt;L10),1,"")</f>
        <v/>
      </c>
      <c r="R10" s="233" t="str">
        <f>IF(AND(R7&lt;&gt;L10),1,"")</f>
        <v/>
      </c>
      <c r="S10" s="233" t="str">
        <f>IF(AND(S7&lt;&gt;L10),1,"")</f>
        <v/>
      </c>
      <c r="T10" s="233" t="str">
        <f>IF(AND(T7&lt;&gt;L10),1,"")</f>
        <v/>
      </c>
      <c r="U10" s="233" t="str">
        <f>IF(AND(U7&lt;&gt;L10),1,"")</f>
        <v/>
      </c>
      <c r="V10" s="233" t="str">
        <f>IF(AND(V7&lt;&gt;L10),1,"")</f>
        <v/>
      </c>
      <c r="W10" s="233" t="str">
        <f>IF(AND(W7&lt;&gt;L10),1,"")</f>
        <v/>
      </c>
      <c r="X10" s="233" t="str">
        <f>IF(AND(X7&lt;&gt;L10),1,"")</f>
        <v/>
      </c>
      <c r="Y10" s="233" t="str">
        <f>IF(AND(Y7&lt;&gt;L10),1,"")</f>
        <v/>
      </c>
      <c r="Z10" s="233" t="str">
        <f>IF(AND(Z7&lt;&gt;L10),1,"")</f>
        <v/>
      </c>
      <c r="AA10" s="233" t="str">
        <f>IF(AND(AA7&lt;&gt;L10),1,"")</f>
        <v/>
      </c>
      <c r="AB10" s="233" t="str">
        <f>IF(AND(AB7&lt;&gt;L10),1,"")</f>
        <v/>
      </c>
      <c r="AC10" s="233" t="str">
        <f>IF(AND(AC7&lt;&gt;L10),1,"")</f>
        <v/>
      </c>
      <c r="AD10" s="233" t="str">
        <f>IF(AND(AD7&lt;&gt;L10),1,"")</f>
        <v/>
      </c>
      <c r="AE10" s="233" t="str">
        <f>IF(AND(AE7&lt;&gt;L10),1,"")</f>
        <v/>
      </c>
      <c r="AF10" s="233" t="str">
        <f>IF(AND(AF7&lt;&gt;L10),1,"")</f>
        <v/>
      </c>
      <c r="AG10" s="233" t="str">
        <f>IF(AND(AG7&lt;&gt;L10),1,"")</f>
        <v/>
      </c>
      <c r="AH10" s="233" t="str">
        <f>IF(AND(AH7&lt;&gt;L10),1,"")</f>
        <v/>
      </c>
      <c r="AI10" s="233" t="str">
        <f>IF(AND(AI7&lt;&gt;L10),1,"")</f>
        <v/>
      </c>
      <c r="AJ10" s="233" t="str">
        <f>IF(AND(AJ7&lt;&gt;L10),1,"")</f>
        <v/>
      </c>
      <c r="AK10" s="233" t="str">
        <f>IF(AND(AK7&lt;&gt;L10),1,"")</f>
        <v/>
      </c>
      <c r="AL10" s="225"/>
      <c r="AM10" s="225"/>
      <c r="AN10" s="234" t="str">
        <f>O$7</f>
        <v/>
      </c>
      <c r="AO10" s="225" t="b">
        <f t="shared" si="4"/>
        <v>0</v>
      </c>
      <c r="AP10" s="225">
        <v>3</v>
      </c>
      <c r="AQ10" s="225" t="e">
        <f t="shared" si="5"/>
        <v>#NUM!</v>
      </c>
      <c r="AR10" s="235" t="e">
        <f t="shared" si="6"/>
        <v>#NUM!</v>
      </c>
    </row>
    <row r="11" spans="1:44">
      <c r="A11" s="236" t="str">
        <f t="shared" si="0"/>
        <v/>
      </c>
      <c r="B11" s="153">
        <f>SUMIF(F18A!$A$9:$A$60,'F18'!A11,F18A!$B$9:$B$60)</f>
        <v>0</v>
      </c>
      <c r="C11" s="153">
        <f>SUMIF(F18A!$A$9:$A$60,'F18'!A11,F18A!$C$9:$C$60)</f>
        <v>0</v>
      </c>
      <c r="D11" s="237">
        <f t="shared" si="1"/>
        <v>0</v>
      </c>
      <c r="E11" s="153">
        <f>SUMIF(F18A!$A$9:$A$60,'F18'!A11,F18A!$E$9:$E$60)</f>
        <v>0</v>
      </c>
      <c r="F11" s="153">
        <f>SUMIF(F18A!$A$9:$A$60,'F18'!A11,F18A!$F$9:$F$60)</f>
        <v>0</v>
      </c>
      <c r="G11" s="237">
        <f t="shared" si="2"/>
        <v>0</v>
      </c>
      <c r="H11" s="131"/>
      <c r="I11" s="131"/>
      <c r="J11" s="131"/>
      <c r="K11" s="178" t="str">
        <f t="shared" si="3"/>
        <v/>
      </c>
      <c r="L11" s="229" t="str">
        <f>IF(AND(F18A!A39=0),"",F18A!A39)</f>
        <v/>
      </c>
      <c r="M11" s="233" t="str">
        <f>IF(AND(M7&lt;&gt;L11),1,"")</f>
        <v/>
      </c>
      <c r="N11" s="233" t="str">
        <f>IF(AND(N7&lt;&gt;L11),1,"")</f>
        <v/>
      </c>
      <c r="O11" s="233" t="str">
        <f>IF(AND(O7&lt;&gt;L11),1,"")</f>
        <v/>
      </c>
      <c r="P11" s="233" t="str">
        <f>IF(AND(P7&lt;&gt;L11),1,"")</f>
        <v/>
      </c>
      <c r="Q11" s="233" t="str">
        <f>IF(AND(Q7&lt;&gt;L11),1,"")</f>
        <v/>
      </c>
      <c r="R11" s="233" t="str">
        <f>IF(AND(R7&lt;&gt;L11),1,"")</f>
        <v/>
      </c>
      <c r="S11" s="233" t="str">
        <f>IF(AND(S7&lt;&gt;L11),1,"")</f>
        <v/>
      </c>
      <c r="T11" s="233" t="str">
        <f>IF(AND(T7&lt;&gt;L11),1,"")</f>
        <v/>
      </c>
      <c r="U11" s="233" t="str">
        <f>IF(AND(U7&lt;&gt;L11),1,"")</f>
        <v/>
      </c>
      <c r="V11" s="233" t="str">
        <f>IF(AND(V7&lt;&gt;L11),1,"")</f>
        <v/>
      </c>
      <c r="W11" s="233" t="str">
        <f>IF(AND(W7&lt;&gt;L11),1,"")</f>
        <v/>
      </c>
      <c r="X11" s="233" t="str">
        <f>IF(AND(X7&lt;&gt;L11),1,"")</f>
        <v/>
      </c>
      <c r="Y11" s="233" t="str">
        <f>IF(AND(Y7&lt;&gt;L11),1,"")</f>
        <v/>
      </c>
      <c r="Z11" s="233" t="str">
        <f>IF(AND(Z7&lt;&gt;L11),1,"")</f>
        <v/>
      </c>
      <c r="AA11" s="233" t="str">
        <f>IF(AND(AA7&lt;&gt;L11),1,"")</f>
        <v/>
      </c>
      <c r="AB11" s="233" t="str">
        <f>IF(AND(AB7&lt;&gt;L11),1,"")</f>
        <v/>
      </c>
      <c r="AC11" s="233" t="str">
        <f>IF(AND(AC7&lt;&gt;L11),1,"")</f>
        <v/>
      </c>
      <c r="AD11" s="233" t="str">
        <f>IF(AND(AD7&lt;&gt;L11),1,"")</f>
        <v/>
      </c>
      <c r="AE11" s="233" t="str">
        <f>IF(AND(AE7&lt;&gt;L11),1,"")</f>
        <v/>
      </c>
      <c r="AF11" s="233" t="str">
        <f>IF(AND(AF7&lt;&gt;L11),1,"")</f>
        <v/>
      </c>
      <c r="AG11" s="233" t="str">
        <f>IF(AND(AG7&lt;&gt;L11),1,"")</f>
        <v/>
      </c>
      <c r="AH11" s="233" t="str">
        <f>IF(AND(AH7&lt;&gt;L11),1,"")</f>
        <v/>
      </c>
      <c r="AI11" s="233" t="str">
        <f>IF(AND(AI7&lt;&gt;L11),1,"")</f>
        <v/>
      </c>
      <c r="AJ11" s="233" t="str">
        <f>IF(AND(AJ7&lt;&gt;L11),1,"")</f>
        <v/>
      </c>
      <c r="AK11" s="233" t="str">
        <f>IF(AND(AK7&lt;&gt;L11),1,"")</f>
        <v/>
      </c>
      <c r="AL11" s="225"/>
      <c r="AM11" s="225"/>
      <c r="AN11" s="234" t="str">
        <f>P$7</f>
        <v/>
      </c>
      <c r="AO11" s="225" t="b">
        <f t="shared" si="4"/>
        <v>0</v>
      </c>
      <c r="AP11" s="225">
        <v>4</v>
      </c>
      <c r="AQ11" s="225" t="e">
        <f t="shared" si="5"/>
        <v>#NUM!</v>
      </c>
      <c r="AR11" s="235" t="e">
        <f t="shared" si="6"/>
        <v>#NUM!</v>
      </c>
    </row>
    <row r="12" spans="1:44">
      <c r="A12" s="236" t="str">
        <f t="shared" si="0"/>
        <v/>
      </c>
      <c r="B12" s="153">
        <f>SUMIF(F18A!$A$9:$A$60,'F18'!A12,F18A!$B$9:$B$60)</f>
        <v>0</v>
      </c>
      <c r="C12" s="153">
        <f>SUMIF(F18A!$A$9:$A$60,'F18'!A12,F18A!$C$9:$C$60)</f>
        <v>0</v>
      </c>
      <c r="D12" s="237">
        <f t="shared" si="1"/>
        <v>0</v>
      </c>
      <c r="E12" s="153">
        <f>SUMIF(F18A!$A$9:$A$60,'F18'!A12,F18A!$E$9:$E$60)</f>
        <v>0</v>
      </c>
      <c r="F12" s="153">
        <f>SUMIF(F18A!$A$9:$A$60,'F18'!A12,F18A!$F$9:$F$60)</f>
        <v>0</v>
      </c>
      <c r="G12" s="237">
        <f t="shared" si="2"/>
        <v>0</v>
      </c>
      <c r="H12" s="131"/>
      <c r="I12" s="131"/>
      <c r="J12" s="131"/>
      <c r="K12" s="178" t="str">
        <f t="shared" si="3"/>
        <v/>
      </c>
      <c r="L12" s="229" t="str">
        <f>IF(AND(F18A!A40=0),"",F18A!A40)</f>
        <v/>
      </c>
      <c r="M12" s="233" t="str">
        <f>IF(AND(M7&lt;&gt;L12),1,"")</f>
        <v/>
      </c>
      <c r="N12" s="233" t="str">
        <f>IF(AND(N7&lt;&gt;L12),1,"")</f>
        <v/>
      </c>
      <c r="O12" s="233" t="str">
        <f>IF(AND(O7&lt;&gt;L12),1,"")</f>
        <v/>
      </c>
      <c r="P12" s="233" t="str">
        <f>IF(AND(P7&lt;&gt;L12),1,"")</f>
        <v/>
      </c>
      <c r="Q12" s="233" t="str">
        <f>IF(AND(Q7&lt;&gt;L12),1,"")</f>
        <v/>
      </c>
      <c r="R12" s="233" t="str">
        <f>IF(AND(R7&lt;&gt;L12),1,"")</f>
        <v/>
      </c>
      <c r="S12" s="233" t="str">
        <f>IF(AND(S7&lt;&gt;L12),1,"")</f>
        <v/>
      </c>
      <c r="T12" s="233" t="str">
        <f>IF(AND(T7&lt;&gt;L12),1,"")</f>
        <v/>
      </c>
      <c r="U12" s="233" t="str">
        <f>IF(AND(U7&lt;&gt;L12),1,"")</f>
        <v/>
      </c>
      <c r="V12" s="233" t="str">
        <f>IF(AND(V7&lt;&gt;L12),1,"")</f>
        <v/>
      </c>
      <c r="W12" s="233" t="str">
        <f>IF(AND(W7&lt;&gt;L12),1,"")</f>
        <v/>
      </c>
      <c r="X12" s="233" t="str">
        <f>IF(AND(X7&lt;&gt;L12),1,"")</f>
        <v/>
      </c>
      <c r="Y12" s="233" t="str">
        <f>IF(AND(Y7&lt;&gt;L12),1,"")</f>
        <v/>
      </c>
      <c r="Z12" s="233" t="str">
        <f>IF(AND(Z7&lt;&gt;L12),1,"")</f>
        <v/>
      </c>
      <c r="AA12" s="233" t="str">
        <f>IF(AND(AA7&lt;&gt;L12),1,"")</f>
        <v/>
      </c>
      <c r="AB12" s="233" t="str">
        <f>IF(AND(AB7&lt;&gt;L12),1,"")</f>
        <v/>
      </c>
      <c r="AC12" s="233" t="str">
        <f>IF(AND(AC7&lt;&gt;L12),1,"")</f>
        <v/>
      </c>
      <c r="AD12" s="233" t="str">
        <f>IF(AND(AD7&lt;&gt;L12),1,"")</f>
        <v/>
      </c>
      <c r="AE12" s="233" t="str">
        <f>IF(AND(AE7&lt;&gt;L12),1,"")</f>
        <v/>
      </c>
      <c r="AF12" s="233" t="str">
        <f>IF(AND(AF7&lt;&gt;L12),1,"")</f>
        <v/>
      </c>
      <c r="AG12" s="233" t="str">
        <f>IF(AND(AG7&lt;&gt;L12),1,"")</f>
        <v/>
      </c>
      <c r="AH12" s="233" t="str">
        <f>IF(AND(AH7&lt;&gt;L12),1,"")</f>
        <v/>
      </c>
      <c r="AI12" s="233" t="str">
        <f>IF(AND(AI7&lt;&gt;L12),1,"")</f>
        <v/>
      </c>
      <c r="AJ12" s="233" t="str">
        <f>IF(AND(AJ7&lt;&gt;L12),1,"")</f>
        <v/>
      </c>
      <c r="AK12" s="233" t="str">
        <f>IF(AND(AK7&lt;&gt;L12),1,"")</f>
        <v/>
      </c>
      <c r="AL12" s="225"/>
      <c r="AM12" s="225"/>
      <c r="AN12" s="234" t="str">
        <f>Q$7</f>
        <v/>
      </c>
      <c r="AO12" s="225" t="b">
        <f t="shared" si="4"/>
        <v>0</v>
      </c>
      <c r="AP12" s="225">
        <v>5</v>
      </c>
      <c r="AQ12" s="225" t="e">
        <f t="shared" si="5"/>
        <v>#NUM!</v>
      </c>
      <c r="AR12" s="235" t="e">
        <f t="shared" si="6"/>
        <v>#NUM!</v>
      </c>
    </row>
    <row r="13" spans="1:44">
      <c r="A13" s="236" t="str">
        <f t="shared" si="0"/>
        <v/>
      </c>
      <c r="B13" s="153">
        <f>SUMIF(F18A!$A$9:$A$60,'F18'!A13,F18A!$B$9:$B$60)</f>
        <v>0</v>
      </c>
      <c r="C13" s="153">
        <f>SUMIF(F18A!$A$9:$A$60,'F18'!A13,F18A!$C$9:$C$60)</f>
        <v>0</v>
      </c>
      <c r="D13" s="237">
        <f t="shared" si="1"/>
        <v>0</v>
      </c>
      <c r="E13" s="153">
        <f>SUMIF(F18A!$A$9:$A$60,'F18'!A13,F18A!$E$9:$E$60)</f>
        <v>0</v>
      </c>
      <c r="F13" s="153">
        <f>SUMIF(F18A!$A$9:$A$60,'F18'!A13,F18A!$F$9:$F$60)</f>
        <v>0</v>
      </c>
      <c r="G13" s="237">
        <f t="shared" si="2"/>
        <v>0</v>
      </c>
      <c r="H13" s="131"/>
      <c r="I13" s="131"/>
      <c r="J13" s="131"/>
      <c r="K13" s="178" t="str">
        <f t="shared" si="3"/>
        <v/>
      </c>
      <c r="L13" s="229" t="str">
        <f>IF(AND(F18A!A41=0),"",F18A!A41)</f>
        <v/>
      </c>
      <c r="M13" s="233" t="str">
        <f>IF(AND(M7&lt;&gt;L13),1,"")</f>
        <v/>
      </c>
      <c r="N13" s="233" t="str">
        <f>IF(AND(N7&lt;&gt;L13),1,"")</f>
        <v/>
      </c>
      <c r="O13" s="233" t="str">
        <f>IF(AND(O7&lt;&gt;L13),1,"")</f>
        <v/>
      </c>
      <c r="P13" s="233" t="str">
        <f>IF(AND(P7&lt;&gt;L13),1,"")</f>
        <v/>
      </c>
      <c r="Q13" s="233" t="str">
        <f>IF(AND(Q7&lt;&gt;L13),1,"")</f>
        <v/>
      </c>
      <c r="R13" s="233" t="str">
        <f>IF(AND(R7&lt;&gt;L13),1,"")</f>
        <v/>
      </c>
      <c r="S13" s="233" t="str">
        <f>IF(AND(S7&lt;&gt;L13),1,"")</f>
        <v/>
      </c>
      <c r="T13" s="233" t="str">
        <f>IF(AND(T7&lt;&gt;L13),1,"")</f>
        <v/>
      </c>
      <c r="U13" s="233" t="str">
        <f>IF(AND(U7&lt;&gt;L13),1,"")</f>
        <v/>
      </c>
      <c r="V13" s="233" t="str">
        <f>IF(AND(V7&lt;&gt;L13),1,"")</f>
        <v/>
      </c>
      <c r="W13" s="233" t="str">
        <f>IF(AND(W7&lt;&gt;L13),1,"")</f>
        <v/>
      </c>
      <c r="X13" s="233" t="str">
        <f>IF(AND(X7&lt;&gt;L13),1,"")</f>
        <v/>
      </c>
      <c r="Y13" s="233" t="str">
        <f>IF(AND(Y7&lt;&gt;L13),1,"")</f>
        <v/>
      </c>
      <c r="Z13" s="233" t="str">
        <f>IF(AND(Z7&lt;&gt;L13),1,"")</f>
        <v/>
      </c>
      <c r="AA13" s="233" t="str">
        <f>IF(AND(AA7&lt;&gt;L13),1,"")</f>
        <v/>
      </c>
      <c r="AB13" s="233" t="str">
        <f>IF(AND(AB7&lt;&gt;L13),1,"")</f>
        <v/>
      </c>
      <c r="AC13" s="233" t="str">
        <f>IF(AND(AC7&lt;&gt;L13),1,"")</f>
        <v/>
      </c>
      <c r="AD13" s="233" t="str">
        <f>IF(AND(AD7&lt;&gt;L13),1,"")</f>
        <v/>
      </c>
      <c r="AE13" s="233" t="str">
        <f>IF(AND(AE7&lt;&gt;L13),1,"")</f>
        <v/>
      </c>
      <c r="AF13" s="233" t="str">
        <f>IF(AND(AF7&lt;&gt;L13),1,"")</f>
        <v/>
      </c>
      <c r="AG13" s="233" t="str">
        <f>IF(AND(AG7&lt;&gt;L13),1,"")</f>
        <v/>
      </c>
      <c r="AH13" s="233" t="str">
        <f>IF(AND(AH7&lt;&gt;L13),1,"")</f>
        <v/>
      </c>
      <c r="AI13" s="233" t="str">
        <f>IF(AND(AI7&lt;&gt;L13),1,"")</f>
        <v/>
      </c>
      <c r="AJ13" s="233" t="str">
        <f>IF(AND(AJ7&lt;&gt;L13),1,"")</f>
        <v/>
      </c>
      <c r="AK13" s="233" t="str">
        <f>IF(AND(AK7&lt;&gt;L13),1,"")</f>
        <v/>
      </c>
      <c r="AL13" s="225"/>
      <c r="AM13" s="225"/>
      <c r="AN13" s="234" t="str">
        <f>R$7</f>
        <v/>
      </c>
      <c r="AO13" s="225" t="b">
        <f t="shared" si="4"/>
        <v>0</v>
      </c>
      <c r="AP13" s="225">
        <v>6</v>
      </c>
      <c r="AQ13" s="225" t="e">
        <f t="shared" si="5"/>
        <v>#NUM!</v>
      </c>
      <c r="AR13" s="235" t="e">
        <f t="shared" si="6"/>
        <v>#NUM!</v>
      </c>
    </row>
    <row r="14" spans="1:44">
      <c r="A14" s="236" t="str">
        <f t="shared" si="0"/>
        <v/>
      </c>
      <c r="B14" s="153">
        <f>SUMIF(F18A!$A$9:$A$60,'F18'!A14,F18A!$B$9:$B$60)</f>
        <v>0</v>
      </c>
      <c r="C14" s="153">
        <f>SUMIF(F18A!$A$9:$A$60,'F18'!A14,F18A!$C$9:$C$60)</f>
        <v>0</v>
      </c>
      <c r="D14" s="237">
        <f t="shared" si="1"/>
        <v>0</v>
      </c>
      <c r="E14" s="153">
        <f>SUMIF(F18A!$A$9:$A$60,'F18'!A14,F18A!$E$9:$E$60)</f>
        <v>0</v>
      </c>
      <c r="F14" s="153">
        <f>SUMIF(F18A!$A$9:$A$60,'F18'!A14,F18A!$F$9:$F$60)</f>
        <v>0</v>
      </c>
      <c r="G14" s="237">
        <f t="shared" si="2"/>
        <v>0</v>
      </c>
      <c r="H14" s="131"/>
      <c r="I14" s="131"/>
      <c r="J14" s="131"/>
      <c r="K14" s="178" t="str">
        <f t="shared" si="3"/>
        <v/>
      </c>
      <c r="L14" s="229" t="str">
        <f>IF(AND(F18A!A42=0),"",F18A!A42)</f>
        <v/>
      </c>
      <c r="M14" s="233" t="str">
        <f>IF(AND(M7&lt;&gt;L14),1,"")</f>
        <v/>
      </c>
      <c r="N14" s="233" t="str">
        <f>IF(AND(N7&lt;&gt;L14),1,"")</f>
        <v/>
      </c>
      <c r="O14" s="233" t="str">
        <f>IF(AND(O7&lt;&gt;L14),1,"")</f>
        <v/>
      </c>
      <c r="P14" s="233" t="str">
        <f>IF(AND(P7&lt;&gt;L14),1,"")</f>
        <v/>
      </c>
      <c r="Q14" s="233" t="str">
        <f>IF(AND(Q7&lt;&gt;L14),1,"")</f>
        <v/>
      </c>
      <c r="R14" s="233" t="str">
        <f>IF(AND(R7&lt;&gt;L14),1,"")</f>
        <v/>
      </c>
      <c r="S14" s="233" t="str">
        <f>IF(AND(S7&lt;&gt;L14),1,"")</f>
        <v/>
      </c>
      <c r="T14" s="233" t="str">
        <f>IF(AND(T7&lt;&gt;L14),1,"")</f>
        <v/>
      </c>
      <c r="U14" s="233" t="str">
        <f>IF(AND(U7&lt;&gt;L14),1,"")</f>
        <v/>
      </c>
      <c r="V14" s="233" t="str">
        <f>IF(AND(V7&lt;&gt;L14),1,"")</f>
        <v/>
      </c>
      <c r="W14" s="233" t="str">
        <f>IF(AND(W7&lt;&gt;L14),1,"")</f>
        <v/>
      </c>
      <c r="X14" s="233" t="str">
        <f>IF(AND(X7&lt;&gt;L14),1,"")</f>
        <v/>
      </c>
      <c r="Y14" s="233" t="str">
        <f>IF(AND(Y7&lt;&gt;L14),1,"")</f>
        <v/>
      </c>
      <c r="Z14" s="233" t="str">
        <f>IF(AND(Z7&lt;&gt;L14),1,"")</f>
        <v/>
      </c>
      <c r="AA14" s="233" t="str">
        <f>IF(AND(AA7&lt;&gt;L14),1,"")</f>
        <v/>
      </c>
      <c r="AB14" s="233" t="str">
        <f>IF(AND(AB7&lt;&gt;L14),1,"")</f>
        <v/>
      </c>
      <c r="AC14" s="233" t="str">
        <f>IF(AND(AC7&lt;&gt;L14),1,"")</f>
        <v/>
      </c>
      <c r="AD14" s="233" t="str">
        <f>IF(AND(AD7&lt;&gt;L14),1,"")</f>
        <v/>
      </c>
      <c r="AE14" s="233" t="str">
        <f>IF(AND(AE7&lt;&gt;L14),1,"")</f>
        <v/>
      </c>
      <c r="AF14" s="233" t="str">
        <f>IF(AND(AF7&lt;&gt;L14),1,"")</f>
        <v/>
      </c>
      <c r="AG14" s="233" t="str">
        <f>IF(AND(AG7&lt;&gt;L14),1,"")</f>
        <v/>
      </c>
      <c r="AH14" s="233" t="str">
        <f>IF(AND(AH7&lt;&gt;L14),1,"")</f>
        <v/>
      </c>
      <c r="AI14" s="233" t="str">
        <f>IF(AND(AI7&lt;&gt;L14),1,"")</f>
        <v/>
      </c>
      <c r="AJ14" s="233" t="str">
        <f>IF(AND(AJ7&lt;&gt;L14),1,"")</f>
        <v/>
      </c>
      <c r="AK14" s="233" t="str">
        <f>IF(AND(AK7&lt;&gt;L14),1,"")</f>
        <v/>
      </c>
      <c r="AL14" s="225"/>
      <c r="AM14" s="225"/>
      <c r="AN14" s="234" t="str">
        <f>S$7</f>
        <v/>
      </c>
      <c r="AO14" s="225" t="b">
        <f>IF(AN$8:AN$57&lt;&gt;"",ROW(AN14:AN62))</f>
        <v>0</v>
      </c>
      <c r="AP14" s="225">
        <v>7</v>
      </c>
      <c r="AQ14" s="225" t="e">
        <f t="shared" si="5"/>
        <v>#NUM!</v>
      </c>
      <c r="AR14" s="235" t="e">
        <f t="shared" si="6"/>
        <v>#NUM!</v>
      </c>
    </row>
    <row r="15" spans="1:44">
      <c r="A15" s="236" t="str">
        <f t="shared" si="0"/>
        <v/>
      </c>
      <c r="B15" s="153">
        <f>SUMIF(F18A!$A$9:$A$60,'F18'!A15,F18A!$B$9:$B$60)</f>
        <v>0</v>
      </c>
      <c r="C15" s="153">
        <f>SUMIF(F18A!$A$9:$A$60,'F18'!A15,F18A!$C$9:$C$60)</f>
        <v>0</v>
      </c>
      <c r="D15" s="237">
        <f t="shared" si="1"/>
        <v>0</v>
      </c>
      <c r="E15" s="153">
        <f>SUMIF(F18A!$A$9:$A$60,'F18'!A15,F18A!$E$9:$E$60)</f>
        <v>0</v>
      </c>
      <c r="F15" s="153">
        <f>SUMIF(F18A!$A$9:$A$60,'F18'!A15,F18A!$F$9:$F$60)</f>
        <v>0</v>
      </c>
      <c r="G15" s="237">
        <f t="shared" si="2"/>
        <v>0</v>
      </c>
      <c r="H15" s="131"/>
      <c r="I15" s="131"/>
      <c r="J15" s="131"/>
      <c r="K15" s="178" t="str">
        <f t="shared" si="3"/>
        <v/>
      </c>
      <c r="L15" s="229" t="str">
        <f>IF(AND(F18A!A43=0),"",F18A!A43)</f>
        <v/>
      </c>
      <c r="M15" s="233" t="str">
        <f>IF(AND(M7&lt;&gt;L15),1,"")</f>
        <v/>
      </c>
      <c r="N15" s="233" t="str">
        <f>IF(AND(N7&lt;&gt;L15),1,"")</f>
        <v/>
      </c>
      <c r="O15" s="233" t="str">
        <f>IF(AND(O7&lt;&gt;L15),1,"")</f>
        <v/>
      </c>
      <c r="P15" s="233" t="str">
        <f>IF(AND(P7&lt;&gt;L15),1,"")</f>
        <v/>
      </c>
      <c r="Q15" s="233" t="str">
        <f>IF(AND(Q7&lt;&gt;L15),1,"")</f>
        <v/>
      </c>
      <c r="R15" s="233" t="str">
        <f>IF(AND(R7&lt;&gt;L15),1,"")</f>
        <v/>
      </c>
      <c r="S15" s="233" t="str">
        <f>IF(AND(S7&lt;&gt;L15),1,"")</f>
        <v/>
      </c>
      <c r="T15" s="233" t="str">
        <f>IF(AND(T7&lt;&gt;L15),1,"")</f>
        <v/>
      </c>
      <c r="U15" s="233" t="str">
        <f>IF(AND(U7&lt;&gt;L15),1,"")</f>
        <v/>
      </c>
      <c r="V15" s="233" t="str">
        <f>IF(AND(V7&lt;&gt;L15),1,"")</f>
        <v/>
      </c>
      <c r="W15" s="233" t="str">
        <f>IF(AND(W7&lt;&gt;L15),1,"")</f>
        <v/>
      </c>
      <c r="X15" s="233" t="str">
        <f>IF(AND(X7&lt;&gt;L15),1,"")</f>
        <v/>
      </c>
      <c r="Y15" s="233" t="str">
        <f>IF(AND(Y7&lt;&gt;L15),1,"")</f>
        <v/>
      </c>
      <c r="Z15" s="233" t="str">
        <f>IF(AND(Z7&lt;&gt;L15),1,"")</f>
        <v/>
      </c>
      <c r="AA15" s="233" t="str">
        <f>IF(AND(AA7&lt;&gt;L15),1,"")</f>
        <v/>
      </c>
      <c r="AB15" s="233" t="str">
        <f>IF(AND(AB7&lt;&gt;L15),1,"")</f>
        <v/>
      </c>
      <c r="AC15" s="233" t="str">
        <f>IF(AND(AC7&lt;&gt;L15),1,"")</f>
        <v/>
      </c>
      <c r="AD15" s="233" t="str">
        <f>IF(AND(AD7&lt;&gt;L15),1,"")</f>
        <v/>
      </c>
      <c r="AE15" s="233" t="str">
        <f>IF(AND(AE7&lt;&gt;L15),1,"")</f>
        <v/>
      </c>
      <c r="AF15" s="233" t="str">
        <f>IF(AND(AF7&lt;&gt;L15),1,"")</f>
        <v/>
      </c>
      <c r="AG15" s="233" t="str">
        <f>IF(AND(AG7&lt;&gt;L15),1,"")</f>
        <v/>
      </c>
      <c r="AH15" s="233" t="str">
        <f>IF(AND(AH7&lt;&gt;L15),1,"")</f>
        <v/>
      </c>
      <c r="AI15" s="233" t="str">
        <f>IF(AND(AI7&lt;&gt;L15),1,"")</f>
        <v/>
      </c>
      <c r="AJ15" s="233" t="str">
        <f>IF(AND(AJ7&lt;&gt;L15),1,"")</f>
        <v/>
      </c>
      <c r="AK15" s="233" t="str">
        <f>IF(AND(AK7&lt;&gt;L15),1,"")</f>
        <v/>
      </c>
      <c r="AL15" s="225"/>
      <c r="AM15" s="225"/>
      <c r="AN15" s="234" t="str">
        <f>T$7</f>
        <v/>
      </c>
      <c r="AO15" s="225" t="b">
        <f>IF(AN$8:AN$57&lt;&gt;"",ROW(AN15:AN62))</f>
        <v>0</v>
      </c>
      <c r="AP15" s="225">
        <v>8</v>
      </c>
      <c r="AQ15" s="225" t="e">
        <f t="shared" si="5"/>
        <v>#NUM!</v>
      </c>
      <c r="AR15" s="235" t="e">
        <f t="shared" si="6"/>
        <v>#NUM!</v>
      </c>
    </row>
    <row r="16" spans="1:44">
      <c r="A16" s="236" t="str">
        <f t="shared" si="0"/>
        <v/>
      </c>
      <c r="B16" s="153">
        <f>SUMIF(F18A!$A$9:$A$60,'F18'!A16,F18A!$B$9:$B$60)</f>
        <v>0</v>
      </c>
      <c r="C16" s="153">
        <f>SUMIF(F18A!$A$9:$A$60,'F18'!A16,F18A!$C$9:$C$60)</f>
        <v>0</v>
      </c>
      <c r="D16" s="237">
        <f t="shared" si="1"/>
        <v>0</v>
      </c>
      <c r="E16" s="153">
        <f>SUMIF(F18A!$A$9:$A$60,'F18'!A16,F18A!$E$9:$E$60)</f>
        <v>0</v>
      </c>
      <c r="F16" s="153">
        <f>SUMIF(F18A!$A$9:$A$60,'F18'!A16,F18A!$F$9:$F$60)</f>
        <v>0</v>
      </c>
      <c r="G16" s="237">
        <f t="shared" si="2"/>
        <v>0</v>
      </c>
      <c r="H16" s="131"/>
      <c r="I16" s="131"/>
      <c r="J16" s="131"/>
      <c r="K16" s="178" t="str">
        <f t="shared" si="3"/>
        <v/>
      </c>
      <c r="L16" s="229" t="str">
        <f>IF(AND(F18A!A44=0),"",F18A!A44)</f>
        <v/>
      </c>
      <c r="M16" s="233" t="str">
        <f>IF(AND(M7&lt;&gt;L16),1,"")</f>
        <v/>
      </c>
      <c r="N16" s="233" t="str">
        <f>IF(AND(N7&lt;&gt;L16),1,"")</f>
        <v/>
      </c>
      <c r="O16" s="233" t="str">
        <f>IF(AND(O7&lt;&gt;L16),1,"")</f>
        <v/>
      </c>
      <c r="P16" s="233" t="str">
        <f>IF(AND(P7&lt;&gt;L16),1,"")</f>
        <v/>
      </c>
      <c r="Q16" s="233" t="str">
        <f>IF(AND(Q7&lt;&gt;L16),1,"")</f>
        <v/>
      </c>
      <c r="R16" s="233" t="str">
        <f>IF(AND(R7&lt;&gt;L16),1,"")</f>
        <v/>
      </c>
      <c r="S16" s="233" t="str">
        <f>IF(AND(S7&lt;&gt;L16),1,"")</f>
        <v/>
      </c>
      <c r="T16" s="233" t="str">
        <f>IF(AND(T7&lt;&gt;L16),1,"")</f>
        <v/>
      </c>
      <c r="U16" s="233" t="str">
        <f>IF(AND(U7&lt;&gt;L16),1,"")</f>
        <v/>
      </c>
      <c r="V16" s="233" t="str">
        <f>IF(AND(V7&lt;&gt;L16),1,"")</f>
        <v/>
      </c>
      <c r="W16" s="233" t="str">
        <f>IF(AND(W7&lt;&gt;L16),1,"")</f>
        <v/>
      </c>
      <c r="X16" s="233" t="str">
        <f>IF(AND(X7&lt;&gt;L16),1,"")</f>
        <v/>
      </c>
      <c r="Y16" s="233" t="str">
        <f>IF(AND(Y7&lt;&gt;L16),1,"")</f>
        <v/>
      </c>
      <c r="Z16" s="233" t="str">
        <f>IF(AND(Z7&lt;&gt;L16),1,"")</f>
        <v/>
      </c>
      <c r="AA16" s="233" t="str">
        <f>IF(AND(AA7&lt;&gt;L16),1,"")</f>
        <v/>
      </c>
      <c r="AB16" s="233" t="str">
        <f>IF(AND(AB7&lt;&gt;L16),1,"")</f>
        <v/>
      </c>
      <c r="AC16" s="233" t="str">
        <f>IF(AND(AC7&lt;&gt;L16),1,"")</f>
        <v/>
      </c>
      <c r="AD16" s="233" t="str">
        <f>IF(AND(AD7&lt;&gt;L16),1,"")</f>
        <v/>
      </c>
      <c r="AE16" s="233" t="str">
        <f>IF(AND(AE7&lt;&gt;L16),1,"")</f>
        <v/>
      </c>
      <c r="AF16" s="233" t="str">
        <f>IF(AND(AF7&lt;&gt;L16),1,"")</f>
        <v/>
      </c>
      <c r="AG16" s="233" t="str">
        <f>IF(AND(AG7&lt;&gt;L16),1,"")</f>
        <v/>
      </c>
      <c r="AH16" s="233" t="str">
        <f>IF(AND(AH7&lt;&gt;L16),1,"")</f>
        <v/>
      </c>
      <c r="AI16" s="233" t="str">
        <f>IF(AND(AI7&lt;&gt;L16),1,"")</f>
        <v/>
      </c>
      <c r="AJ16" s="233" t="str">
        <f>IF(AND(AJ7&lt;&gt;L16),1,"")</f>
        <v/>
      </c>
      <c r="AK16" s="233" t="str">
        <f>IF(AND(AK7&lt;&gt;L16),1,"")</f>
        <v/>
      </c>
      <c r="AL16" s="225"/>
      <c r="AM16" s="225"/>
      <c r="AN16" s="234" t="str">
        <f>U$7</f>
        <v/>
      </c>
      <c r="AO16" s="225" t="b">
        <f>IF(AN$8:AN$57&lt;&gt;"",ROW(AN16:AN62))</f>
        <v>0</v>
      </c>
      <c r="AP16" s="225">
        <v>9</v>
      </c>
      <c r="AQ16" s="225" t="e">
        <f t="shared" si="5"/>
        <v>#NUM!</v>
      </c>
      <c r="AR16" s="235" t="e">
        <f t="shared" si="6"/>
        <v>#NUM!</v>
      </c>
    </row>
    <row r="17" spans="1:44">
      <c r="A17" s="236" t="str">
        <f t="shared" si="0"/>
        <v/>
      </c>
      <c r="B17" s="153">
        <f>SUMIF(F18A!$A$9:$A$60,'F18'!A17,F18A!$B$9:$B$60)</f>
        <v>0</v>
      </c>
      <c r="C17" s="153">
        <f>SUMIF(F18A!$A$9:$A$60,'F18'!A17,F18A!$C$9:$C$60)</f>
        <v>0</v>
      </c>
      <c r="D17" s="237">
        <f t="shared" si="1"/>
        <v>0</v>
      </c>
      <c r="E17" s="153">
        <f>SUMIF(F18A!$A$9:$A$60,'F18'!A17,F18A!$E$9:$E$60)</f>
        <v>0</v>
      </c>
      <c r="F17" s="153">
        <f>SUMIF(F18A!$A$9:$A$60,'F18'!A17,F18A!$F$9:$F$60)</f>
        <v>0</v>
      </c>
      <c r="G17" s="237">
        <f t="shared" si="2"/>
        <v>0</v>
      </c>
      <c r="H17" s="131"/>
      <c r="I17" s="131"/>
      <c r="J17" s="131"/>
      <c r="K17" s="178" t="str">
        <f t="shared" si="3"/>
        <v/>
      </c>
      <c r="L17" s="229" t="str">
        <f>IF(AND(F18A!A45=0),"",F18A!A45)</f>
        <v/>
      </c>
      <c r="M17" s="233" t="str">
        <f>IF(AND(M7&lt;&gt;L17),1,"")</f>
        <v/>
      </c>
      <c r="N17" s="233" t="str">
        <f>IF(AND(N7&lt;&gt;L17),1,"")</f>
        <v/>
      </c>
      <c r="O17" s="233" t="str">
        <f>IF(AND(O7&lt;&gt;L17),1,"")</f>
        <v/>
      </c>
      <c r="P17" s="233" t="str">
        <f>IF(AND(P7&lt;&gt;L17),1,"")</f>
        <v/>
      </c>
      <c r="Q17" s="233" t="str">
        <f>IF(AND(Q7&lt;&gt;L17),1,"")</f>
        <v/>
      </c>
      <c r="R17" s="233" t="str">
        <f>IF(AND(R7&lt;&gt;L17),1,"")</f>
        <v/>
      </c>
      <c r="S17" s="233" t="str">
        <f>IF(AND(S7&lt;&gt;L17),1,"")</f>
        <v/>
      </c>
      <c r="T17" s="233" t="str">
        <f>IF(AND(T7&lt;&gt;L17),1,"")</f>
        <v/>
      </c>
      <c r="U17" s="233" t="str">
        <f>IF(AND(U7&lt;&gt;L17),1,"")</f>
        <v/>
      </c>
      <c r="V17" s="233" t="str">
        <f>IF(AND(V7&lt;&gt;L17),1,"")</f>
        <v/>
      </c>
      <c r="W17" s="233" t="str">
        <f>IF(AND(W7&lt;&gt;L17),1,"")</f>
        <v/>
      </c>
      <c r="X17" s="233" t="str">
        <f>IF(AND(X7&lt;&gt;L17),1,"")</f>
        <v/>
      </c>
      <c r="Y17" s="233" t="str">
        <f>IF(AND(Y7&lt;&gt;L17),1,"")</f>
        <v/>
      </c>
      <c r="Z17" s="233" t="str">
        <f>IF(AND(Z7&lt;&gt;L17),1,"")</f>
        <v/>
      </c>
      <c r="AA17" s="233" t="str">
        <f>IF(AND(AA7&lt;&gt;L17),1,"")</f>
        <v/>
      </c>
      <c r="AB17" s="233" t="str">
        <f>IF(AND(AB7&lt;&gt;L17),1,"")</f>
        <v/>
      </c>
      <c r="AC17" s="233" t="str">
        <f>IF(AND(AC7&lt;&gt;L17),1,"")</f>
        <v/>
      </c>
      <c r="AD17" s="233" t="str">
        <f>IF(AND(AD7&lt;&gt;L17),1,"")</f>
        <v/>
      </c>
      <c r="AE17" s="233" t="str">
        <f>IF(AND(AE7&lt;&gt;L17),1,"")</f>
        <v/>
      </c>
      <c r="AF17" s="233" t="str">
        <f>IF(AND(AF7&lt;&gt;L17),1,"")</f>
        <v/>
      </c>
      <c r="AG17" s="233" t="str">
        <f>IF(AND(AG7&lt;&gt;L17),1,"")</f>
        <v/>
      </c>
      <c r="AH17" s="233" t="str">
        <f>IF(AND(AH7&lt;&gt;L17),1,"")</f>
        <v/>
      </c>
      <c r="AI17" s="233" t="str">
        <f>IF(AND(AI7&lt;&gt;L17),1,"")</f>
        <v/>
      </c>
      <c r="AJ17" s="233" t="str">
        <f>IF(AND(AJ7&lt;&gt;L17),1,"")</f>
        <v/>
      </c>
      <c r="AK17" s="233" t="str">
        <f>IF(AND(AK7&lt;&gt;L17),1,"")</f>
        <v/>
      </c>
      <c r="AL17" s="225"/>
      <c r="AM17" s="225"/>
      <c r="AN17" s="234" t="str">
        <f>V$7</f>
        <v/>
      </c>
      <c r="AO17" s="225" t="b">
        <f>IF(AN$8:AN$57&lt;&gt;"",ROW(AN17:AN62))</f>
        <v>0</v>
      </c>
      <c r="AP17" s="225">
        <v>10</v>
      </c>
      <c r="AQ17" s="225" t="e">
        <f t="shared" si="5"/>
        <v>#NUM!</v>
      </c>
      <c r="AR17" s="235" t="e">
        <f t="shared" si="6"/>
        <v>#NUM!</v>
      </c>
    </row>
    <row r="18" spans="1:44">
      <c r="A18" s="236" t="str">
        <f t="shared" si="0"/>
        <v/>
      </c>
      <c r="B18" s="153">
        <f>SUMIF(F18A!$A$9:$A$60,'F18'!A18,F18A!$B$9:$B$60)</f>
        <v>0</v>
      </c>
      <c r="C18" s="153">
        <f>SUMIF(F18A!$A$9:$A$60,'F18'!A18,F18A!$C$9:$C$60)</f>
        <v>0</v>
      </c>
      <c r="D18" s="237">
        <f t="shared" si="1"/>
        <v>0</v>
      </c>
      <c r="E18" s="153">
        <f>SUMIF(F18A!$A$9:$A$60,'F18'!A18,F18A!$E$9:$E$60)</f>
        <v>0</v>
      </c>
      <c r="F18" s="153">
        <f>SUMIF(F18A!$A$9:$A$60,'F18'!A18,F18A!$F$9:$F$60)</f>
        <v>0</v>
      </c>
      <c r="G18" s="237">
        <f t="shared" si="2"/>
        <v>0</v>
      </c>
      <c r="H18" s="131"/>
      <c r="I18" s="131"/>
      <c r="J18" s="131"/>
      <c r="K18" s="178" t="str">
        <f t="shared" si="3"/>
        <v/>
      </c>
      <c r="L18" s="229" t="str">
        <f>IF(AND(F18A!A46=0),"",F18A!A46)</f>
        <v/>
      </c>
      <c r="M18" s="233" t="str">
        <f>IF(AND(M7&lt;&gt;L18),1,"")</f>
        <v/>
      </c>
      <c r="N18" s="233" t="str">
        <f>IF(AND(N7&lt;&gt;L18),1,"")</f>
        <v/>
      </c>
      <c r="O18" s="233" t="str">
        <f>IF(AND(O7&lt;&gt;L18),1,"")</f>
        <v/>
      </c>
      <c r="P18" s="233" t="str">
        <f>IF(AND(P7&lt;&gt;L18),1,"")</f>
        <v/>
      </c>
      <c r="Q18" s="233" t="str">
        <f>IF(AND(Q7&lt;&gt;L18),1,"")</f>
        <v/>
      </c>
      <c r="R18" s="233" t="str">
        <f>IF(AND(R7&lt;&gt;L18),1,"")</f>
        <v/>
      </c>
      <c r="S18" s="233" t="str">
        <f>IF(AND(S7&lt;&gt;L18),1,"")</f>
        <v/>
      </c>
      <c r="T18" s="233" t="str">
        <f>IF(AND(T7&lt;&gt;L18),1,"")</f>
        <v/>
      </c>
      <c r="U18" s="233" t="str">
        <f>IF(AND(U7&lt;&gt;L18),1,"")</f>
        <v/>
      </c>
      <c r="V18" s="233" t="str">
        <f>IF(AND(V7&lt;&gt;L18),1,"")</f>
        <v/>
      </c>
      <c r="W18" s="233" t="str">
        <f>IF(AND(W7&lt;&gt;L18),1,"")</f>
        <v/>
      </c>
      <c r="X18" s="233" t="str">
        <f>IF(AND(X7&lt;&gt;L18),1,"")</f>
        <v/>
      </c>
      <c r="Y18" s="233" t="str">
        <f>IF(AND(Y7&lt;&gt;L18),1,"")</f>
        <v/>
      </c>
      <c r="Z18" s="233" t="str">
        <f>IF(AND(Z7&lt;&gt;L18),1,"")</f>
        <v/>
      </c>
      <c r="AA18" s="233" t="str">
        <f>IF(AND(AA7&lt;&gt;L18),1,"")</f>
        <v/>
      </c>
      <c r="AB18" s="233" t="str">
        <f>IF(AND(AB7&lt;&gt;L18),1,"")</f>
        <v/>
      </c>
      <c r="AC18" s="233" t="str">
        <f>IF(AND(AC7&lt;&gt;L18),1,"")</f>
        <v/>
      </c>
      <c r="AD18" s="233" t="str">
        <f>IF(AND(AD7&lt;&gt;L18),1,"")</f>
        <v/>
      </c>
      <c r="AE18" s="233" t="str">
        <f>IF(AND(AE7&lt;&gt;L18),1,"")</f>
        <v/>
      </c>
      <c r="AF18" s="233" t="str">
        <f>IF(AND(AF7&lt;&gt;L18),1,"")</f>
        <v/>
      </c>
      <c r="AG18" s="233" t="str">
        <f>IF(AND(AG7&lt;&gt;L18),1,"")</f>
        <v/>
      </c>
      <c r="AH18" s="233" t="str">
        <f>IF(AND(AH7&lt;&gt;L18),1,"")</f>
        <v/>
      </c>
      <c r="AI18" s="233" t="str">
        <f>IF(AND(AI7&lt;&gt;L18),1,"")</f>
        <v/>
      </c>
      <c r="AJ18" s="233" t="str">
        <f>IF(AND(AJ7&lt;&gt;L18),1,"")</f>
        <v/>
      </c>
      <c r="AK18" s="233" t="str">
        <f>IF(AND(AK7&lt;&gt;L18),1,"")</f>
        <v/>
      </c>
      <c r="AL18" s="225"/>
      <c r="AM18" s="225"/>
      <c r="AN18" s="234" t="str">
        <f>W$7</f>
        <v/>
      </c>
      <c r="AO18" s="225" t="b">
        <f>IF(AN$8:AN$57&lt;&gt;"",ROW(AN18:AN62))</f>
        <v>0</v>
      </c>
      <c r="AP18" s="225">
        <v>11</v>
      </c>
      <c r="AQ18" s="225" t="e">
        <f t="shared" si="5"/>
        <v>#NUM!</v>
      </c>
      <c r="AR18" s="235" t="e">
        <f t="shared" si="6"/>
        <v>#NUM!</v>
      </c>
    </row>
    <row r="19" spans="1:44">
      <c r="A19" s="236" t="str">
        <f t="shared" si="0"/>
        <v/>
      </c>
      <c r="B19" s="153">
        <f>SUMIF(F18A!$A$9:$A$60,'F18'!A19,F18A!$B$9:$B$60)</f>
        <v>0</v>
      </c>
      <c r="C19" s="153">
        <f>SUMIF(F18A!$A$9:$A$60,'F18'!A19,F18A!$C$9:$C$60)</f>
        <v>0</v>
      </c>
      <c r="D19" s="237">
        <f t="shared" si="1"/>
        <v>0</v>
      </c>
      <c r="E19" s="153">
        <f>SUMIF(F18A!$A$9:$A$60,'F18'!A19,F18A!$E$9:$E$60)</f>
        <v>0</v>
      </c>
      <c r="F19" s="153">
        <f>SUMIF(F18A!$A$9:$A$60,'F18'!A19,F18A!$F$9:$F$60)</f>
        <v>0</v>
      </c>
      <c r="G19" s="237">
        <f t="shared" si="2"/>
        <v>0</v>
      </c>
      <c r="H19" s="131"/>
      <c r="I19" s="131"/>
      <c r="J19" s="131"/>
      <c r="K19" s="178" t="str">
        <f t="shared" si="3"/>
        <v/>
      </c>
      <c r="L19" s="229" t="str">
        <f>IF(AND(F18A!A47=0),"",F18A!A47)</f>
        <v/>
      </c>
      <c r="M19" s="233" t="str">
        <f>IF(AND(M7&lt;&gt;L19),1,"")</f>
        <v/>
      </c>
      <c r="N19" s="233" t="str">
        <f>IF(AND(N7&lt;&gt;L19),1,"")</f>
        <v/>
      </c>
      <c r="O19" s="233" t="str">
        <f>IF(AND(O7&lt;&gt;L19),1,"")</f>
        <v/>
      </c>
      <c r="P19" s="233" t="str">
        <f>IF(AND(P7&lt;&gt;L19),1,"")</f>
        <v/>
      </c>
      <c r="Q19" s="233" t="str">
        <f>IF(AND(Q7&lt;&gt;L19),1,"")</f>
        <v/>
      </c>
      <c r="R19" s="233" t="str">
        <f>IF(AND(R7&lt;&gt;L19),1,"")</f>
        <v/>
      </c>
      <c r="S19" s="233" t="str">
        <f>IF(AND(S7&lt;&gt;L19),1,"")</f>
        <v/>
      </c>
      <c r="T19" s="233" t="str">
        <f>IF(AND(T7&lt;&gt;L19),1,"")</f>
        <v/>
      </c>
      <c r="U19" s="233" t="str">
        <f>IF(AND(U7&lt;&gt;L19),1,"")</f>
        <v/>
      </c>
      <c r="V19" s="233" t="str">
        <f>IF(AND(V7&lt;&gt;L19),1,"")</f>
        <v/>
      </c>
      <c r="W19" s="233" t="str">
        <f>IF(AND(W7&lt;&gt;L19),1,"")</f>
        <v/>
      </c>
      <c r="X19" s="233" t="str">
        <f>IF(AND(X7&lt;&gt;L19),1,"")</f>
        <v/>
      </c>
      <c r="Y19" s="233" t="str">
        <f>IF(AND(Y7&lt;&gt;L19),1,"")</f>
        <v/>
      </c>
      <c r="Z19" s="233" t="str">
        <f>IF(AND(Z7&lt;&gt;L19),1,"")</f>
        <v/>
      </c>
      <c r="AA19" s="233" t="str">
        <f>IF(AND(AA7&lt;&gt;L19),1,"")</f>
        <v/>
      </c>
      <c r="AB19" s="233" t="str">
        <f>IF(AND(AB7&lt;&gt;L19),1,"")</f>
        <v/>
      </c>
      <c r="AC19" s="233" t="str">
        <f>IF(AND(AC7&lt;&gt;L19),1,"")</f>
        <v/>
      </c>
      <c r="AD19" s="233" t="str">
        <f>IF(AND(AD7&lt;&gt;L19),1,"")</f>
        <v/>
      </c>
      <c r="AE19" s="233" t="str">
        <f>IF(AND(AE7&lt;&gt;L19),1,"")</f>
        <v/>
      </c>
      <c r="AF19" s="233" t="str">
        <f>IF(AND(AF7&lt;&gt;L19),1,"")</f>
        <v/>
      </c>
      <c r="AG19" s="233" t="str">
        <f>IF(AND(AG7&lt;&gt;L19),1,"")</f>
        <v/>
      </c>
      <c r="AH19" s="233" t="str">
        <f>IF(AND(AH7&lt;&gt;L19),1,"")</f>
        <v/>
      </c>
      <c r="AI19" s="233" t="str">
        <f>IF(AND(AI7&lt;&gt;L19),1,"")</f>
        <v/>
      </c>
      <c r="AJ19" s="233" t="str">
        <f>IF(AND(AJ7&lt;&gt;L19),1,"")</f>
        <v/>
      </c>
      <c r="AK19" s="233" t="str">
        <f>IF(AND(AK7&lt;&gt;L19),1,"")</f>
        <v/>
      </c>
      <c r="AL19" s="225"/>
      <c r="AM19" s="225"/>
      <c r="AN19" s="234" t="str">
        <f>X$7</f>
        <v/>
      </c>
      <c r="AO19" s="225" t="b">
        <f t="shared" ref="AO19:AO40" si="7">IF(AN$8:AN$57&lt;&gt;"",ROW(AN19:AN62))</f>
        <v>0</v>
      </c>
      <c r="AP19" s="225">
        <v>12</v>
      </c>
      <c r="AQ19" s="225" t="e">
        <f t="shared" si="5"/>
        <v>#NUM!</v>
      </c>
      <c r="AR19" s="235" t="e">
        <f t="shared" si="6"/>
        <v>#NUM!</v>
      </c>
    </row>
    <row r="20" spans="1:44">
      <c r="A20" s="236" t="str">
        <f t="shared" si="0"/>
        <v/>
      </c>
      <c r="B20" s="153">
        <f>SUMIF(F18A!$A$9:$A$60,'F18'!A20,F18A!$B$9:$B$60)</f>
        <v>0</v>
      </c>
      <c r="C20" s="153">
        <f>SUMIF(F18A!$A$9:$A$60,'F18'!A20,F18A!$C$9:$C$60)</f>
        <v>0</v>
      </c>
      <c r="D20" s="237">
        <f t="shared" si="1"/>
        <v>0</v>
      </c>
      <c r="E20" s="153">
        <f>SUMIF(F18A!$A$9:$A$60,'F18'!A20,F18A!$E$9:$E$60)</f>
        <v>0</v>
      </c>
      <c r="F20" s="153">
        <f>SUMIF(F18A!$A$9:$A$60,'F18'!A20,F18A!$F$9:$F$60)</f>
        <v>0</v>
      </c>
      <c r="G20" s="237">
        <f t="shared" si="2"/>
        <v>0</v>
      </c>
      <c r="H20" s="131"/>
      <c r="I20" s="131"/>
      <c r="J20" s="131"/>
      <c r="K20" s="178" t="str">
        <f t="shared" si="3"/>
        <v/>
      </c>
      <c r="L20" s="229" t="str">
        <f>IF(AND(F18A!A48=0),"",F18A!A48)</f>
        <v/>
      </c>
      <c r="M20" s="233" t="str">
        <f>IF(AND(M7&lt;&gt;L20),1,"")</f>
        <v/>
      </c>
      <c r="N20" s="233" t="str">
        <f>IF(AND(N7&lt;&gt;L20),1,"")</f>
        <v/>
      </c>
      <c r="O20" s="233" t="str">
        <f>IF(AND(O7&lt;&gt;L20),1,"")</f>
        <v/>
      </c>
      <c r="P20" s="233" t="str">
        <f>IF(AND(P7&lt;&gt;L20),1,"")</f>
        <v/>
      </c>
      <c r="Q20" s="233" t="str">
        <f>IF(AND(Q7&lt;&gt;L20),1,"")</f>
        <v/>
      </c>
      <c r="R20" s="233" t="str">
        <f>IF(AND(R7&lt;&gt;L20),1,"")</f>
        <v/>
      </c>
      <c r="S20" s="233" t="str">
        <f>IF(AND(S7&lt;&gt;L20),1,"")</f>
        <v/>
      </c>
      <c r="T20" s="233" t="str">
        <f>IF(AND(T7&lt;&gt;L20),1,"")</f>
        <v/>
      </c>
      <c r="U20" s="233" t="str">
        <f>IF(AND(U7&lt;&gt;L20),1,"")</f>
        <v/>
      </c>
      <c r="V20" s="233" t="str">
        <f>IF(AND(V7&lt;&gt;L20),1,"")</f>
        <v/>
      </c>
      <c r="W20" s="233" t="str">
        <f>IF(AND(W7&lt;&gt;L20),1,"")</f>
        <v/>
      </c>
      <c r="X20" s="233" t="str">
        <f>IF(AND(X7&lt;&gt;L20),1,"")</f>
        <v/>
      </c>
      <c r="Y20" s="233" t="str">
        <f>IF(AND(Y7&lt;&gt;L20),1,"")</f>
        <v/>
      </c>
      <c r="Z20" s="233" t="str">
        <f>IF(AND(Z7&lt;&gt;L20),1,"")</f>
        <v/>
      </c>
      <c r="AA20" s="233" t="str">
        <f>IF(AND(AA7&lt;&gt;L20),1,"")</f>
        <v/>
      </c>
      <c r="AB20" s="233" t="str">
        <f>IF(AND(AB7&lt;&gt;L20),1,"")</f>
        <v/>
      </c>
      <c r="AC20" s="233" t="str">
        <f>IF(AND(AC7&lt;&gt;L20),1,"")</f>
        <v/>
      </c>
      <c r="AD20" s="233" t="str">
        <f>IF(AND(AD7&lt;&gt;L20),1,"")</f>
        <v/>
      </c>
      <c r="AE20" s="233" t="str">
        <f>IF(AND(AE7&lt;&gt;L20),1,"")</f>
        <v/>
      </c>
      <c r="AF20" s="233" t="str">
        <f>IF(AND(AF7&lt;&gt;L20),1,"")</f>
        <v/>
      </c>
      <c r="AG20" s="233" t="str">
        <f>IF(AND(AG7&lt;&gt;L20),1,"")</f>
        <v/>
      </c>
      <c r="AH20" s="233" t="str">
        <f>IF(AND(AH7&lt;&gt;L20),1,"")</f>
        <v/>
      </c>
      <c r="AI20" s="233" t="str">
        <f>IF(AND(AI7&lt;&gt;L20),1,"")</f>
        <v/>
      </c>
      <c r="AJ20" s="233" t="str">
        <f>IF(AND(AJ7&lt;&gt;L20),1,"")</f>
        <v/>
      </c>
      <c r="AK20" s="233" t="str">
        <f>IF(AND(AK7&lt;&gt;L20),1,"")</f>
        <v/>
      </c>
      <c r="AL20" s="225"/>
      <c r="AM20" s="225"/>
      <c r="AN20" s="234" t="str">
        <f>Y$7</f>
        <v/>
      </c>
      <c r="AO20" s="225" t="b">
        <f t="shared" si="7"/>
        <v>0</v>
      </c>
      <c r="AP20" s="225">
        <v>13</v>
      </c>
      <c r="AQ20" s="225" t="e">
        <f t="shared" si="5"/>
        <v>#NUM!</v>
      </c>
      <c r="AR20" s="235" t="e">
        <f t="shared" si="6"/>
        <v>#NUM!</v>
      </c>
    </row>
    <row r="21" spans="1:44" ht="15.75" customHeight="1">
      <c r="A21" s="236" t="str">
        <f t="shared" si="0"/>
        <v/>
      </c>
      <c r="B21" s="153">
        <f>SUMIF(F18A!$A$9:$A$60,'F18'!A21,F18A!$B$9:$B$60)</f>
        <v>0</v>
      </c>
      <c r="C21" s="153">
        <f>SUMIF(F18A!$A$9:$A$60,'F18'!A21,F18A!$C$9:$C$60)</f>
        <v>0</v>
      </c>
      <c r="D21" s="237">
        <f t="shared" si="1"/>
        <v>0</v>
      </c>
      <c r="E21" s="153">
        <f>SUMIF(F18A!$A$9:$A$60,'F18'!A21,F18A!$E$9:$E$60)</f>
        <v>0</v>
      </c>
      <c r="F21" s="153">
        <f>SUMIF(F18A!$A$9:$A$60,'F18'!A21,F18A!$F$9:$F$60)</f>
        <v>0</v>
      </c>
      <c r="G21" s="237">
        <f t="shared" si="2"/>
        <v>0</v>
      </c>
      <c r="H21" s="131"/>
      <c r="I21" s="131"/>
      <c r="J21" s="131"/>
      <c r="K21" s="178" t="str">
        <f t="shared" si="3"/>
        <v/>
      </c>
      <c r="L21" s="229" t="str">
        <f>IF(AND(F18A!A49=0),"",F18A!A49)</f>
        <v/>
      </c>
      <c r="M21" s="233" t="str">
        <f>IF(AND(M7&lt;&gt;L21),1,"")</f>
        <v/>
      </c>
      <c r="N21" s="233" t="str">
        <f>IF(AND(N7&lt;&gt;L21),1,"")</f>
        <v/>
      </c>
      <c r="O21" s="233" t="str">
        <f>IF(AND(O7&lt;&gt;L21),1,"")</f>
        <v/>
      </c>
      <c r="P21" s="233" t="str">
        <f>IF(AND(P7&lt;&gt;L21),1,"")</f>
        <v/>
      </c>
      <c r="Q21" s="233" t="str">
        <f>IF(AND(Q7&lt;&gt;L21),1,"")</f>
        <v/>
      </c>
      <c r="R21" s="233" t="str">
        <f>IF(AND(R7&lt;&gt;L21),1,"")</f>
        <v/>
      </c>
      <c r="S21" s="233" t="str">
        <f>IF(AND(S7&lt;&gt;L21),1,"")</f>
        <v/>
      </c>
      <c r="T21" s="233" t="str">
        <f>IF(AND(T7&lt;&gt;L21),1,"")</f>
        <v/>
      </c>
      <c r="U21" s="233" t="str">
        <f>IF(AND(U7&lt;&gt;L21),1,"")</f>
        <v/>
      </c>
      <c r="V21" s="233" t="str">
        <f>IF(AND(V7&lt;&gt;L21),1,"")</f>
        <v/>
      </c>
      <c r="W21" s="233" t="str">
        <f>IF(AND(W7&lt;&gt;L21),1,"")</f>
        <v/>
      </c>
      <c r="X21" s="233" t="str">
        <f>IF(AND(X7&lt;&gt;L21),1,"")</f>
        <v/>
      </c>
      <c r="Y21" s="233" t="str">
        <f>IF(AND(Y7&lt;&gt;L21),1,"")</f>
        <v/>
      </c>
      <c r="Z21" s="233" t="str">
        <f>IF(AND(Z7&lt;&gt;L21),1,"")</f>
        <v/>
      </c>
      <c r="AA21" s="233" t="str">
        <f>IF(AND(AA7&lt;&gt;L21),1,"")</f>
        <v/>
      </c>
      <c r="AB21" s="233" t="str">
        <f>IF(AND(AB7&lt;&gt;L21),1,"")</f>
        <v/>
      </c>
      <c r="AC21" s="233" t="str">
        <f>IF(AND(AC7&lt;&gt;L21),1,"")</f>
        <v/>
      </c>
      <c r="AD21" s="233" t="str">
        <f>IF(AND(AD7&lt;&gt;L21),1,"")</f>
        <v/>
      </c>
      <c r="AE21" s="233" t="str">
        <f>IF(AND(AE7&lt;&gt;L21),1,"")</f>
        <v/>
      </c>
      <c r="AF21" s="233" t="str">
        <f>IF(AND(AF7&lt;&gt;L21),1,"")</f>
        <v/>
      </c>
      <c r="AG21" s="233" t="str">
        <f>IF(AND(AG7&lt;&gt;L21),1,"")</f>
        <v/>
      </c>
      <c r="AH21" s="233" t="str">
        <f>IF(AND(AH7&lt;&gt;L21),1,"")</f>
        <v/>
      </c>
      <c r="AI21" s="233" t="str">
        <f>IF(AND(AI7&lt;&gt;L21),1,"")</f>
        <v/>
      </c>
      <c r="AJ21" s="233" t="str">
        <f>IF(AND(AJ7&lt;&gt;L21),1,"")</f>
        <v/>
      </c>
      <c r="AK21" s="233" t="str">
        <f>IF(AND(AK7&lt;&gt;L21),1,"")</f>
        <v/>
      </c>
      <c r="AL21" s="225"/>
      <c r="AM21" s="225"/>
      <c r="AN21" s="234" t="str">
        <f>Z$7</f>
        <v/>
      </c>
      <c r="AO21" s="225" t="b">
        <f t="shared" si="7"/>
        <v>0</v>
      </c>
      <c r="AP21" s="225">
        <v>14</v>
      </c>
      <c r="AQ21" s="225" t="e">
        <f t="shared" si="5"/>
        <v>#NUM!</v>
      </c>
      <c r="AR21" s="235" t="e">
        <f t="shared" si="6"/>
        <v>#NUM!</v>
      </c>
    </row>
    <row r="22" spans="1:44" ht="15.75" customHeight="1">
      <c r="A22" s="236" t="str">
        <f t="shared" si="0"/>
        <v/>
      </c>
      <c r="B22" s="153">
        <f>SUMIF(F18A!$A$9:$A$60,'F18'!A22,F18A!$B$9:$B$60)</f>
        <v>0</v>
      </c>
      <c r="C22" s="153">
        <f>SUMIF(F18A!$A$9:$A$60,'F18'!A22,F18A!$C$9:$C$60)</f>
        <v>0</v>
      </c>
      <c r="D22" s="237">
        <f t="shared" si="1"/>
        <v>0</v>
      </c>
      <c r="E22" s="153">
        <f>SUMIF(F18A!$A$9:$A$60,'F18'!A22,F18A!$E$9:$E$60)</f>
        <v>0</v>
      </c>
      <c r="F22" s="153">
        <f>SUMIF(F18A!$A$9:$A$60,'F18'!A22,F18A!$F$9:$F$60)</f>
        <v>0</v>
      </c>
      <c r="G22" s="237">
        <f t="shared" si="2"/>
        <v>0</v>
      </c>
      <c r="H22" s="131"/>
      <c r="I22" s="131"/>
      <c r="J22" s="131"/>
      <c r="K22" s="178" t="str">
        <f t="shared" si="3"/>
        <v/>
      </c>
      <c r="L22" s="229" t="str">
        <f>IF(AND(F18A!A50=0),"",F18A!A50)</f>
        <v/>
      </c>
      <c r="M22" s="233" t="str">
        <f>IF(AND(M7&lt;&gt;L22),1,"")</f>
        <v/>
      </c>
      <c r="N22" s="233" t="str">
        <f>IF(AND(N7&lt;&gt;L22),1,"")</f>
        <v/>
      </c>
      <c r="O22" s="233" t="str">
        <f>IF(AND(O7&lt;&gt;L22),1,"")</f>
        <v/>
      </c>
      <c r="P22" s="233" t="str">
        <f>IF(AND(P7&lt;&gt;L22),1,"")</f>
        <v/>
      </c>
      <c r="Q22" s="233" t="str">
        <f>IF(AND(Q7&lt;&gt;L22),1,"")</f>
        <v/>
      </c>
      <c r="R22" s="233" t="str">
        <f>IF(AND(R7&lt;&gt;L22),1,"")</f>
        <v/>
      </c>
      <c r="S22" s="233" t="str">
        <f>IF(AND(S7&lt;&gt;L22),1,"")</f>
        <v/>
      </c>
      <c r="T22" s="233" t="str">
        <f>IF(AND(T7&lt;&gt;L22),1,"")</f>
        <v/>
      </c>
      <c r="U22" s="233" t="str">
        <f>IF(AND(U7&lt;&gt;L22),1,"")</f>
        <v/>
      </c>
      <c r="V22" s="233" t="str">
        <f>IF(AND(V7&lt;&gt;L22),1,"")</f>
        <v/>
      </c>
      <c r="W22" s="233" t="str">
        <f>IF(AND(W7&lt;&gt;L22),1,"")</f>
        <v/>
      </c>
      <c r="X22" s="233" t="str">
        <f>IF(AND(X7&lt;&gt;L22),1,"")</f>
        <v/>
      </c>
      <c r="Y22" s="233" t="str">
        <f>IF(AND(Y7&lt;&gt;L22),1,"")</f>
        <v/>
      </c>
      <c r="Z22" s="233" t="str">
        <f>IF(AND(Z7&lt;&gt;L22),1,"")</f>
        <v/>
      </c>
      <c r="AA22" s="233" t="str">
        <f>IF(AND(AA7&lt;&gt;L22),1,"")</f>
        <v/>
      </c>
      <c r="AB22" s="233" t="str">
        <f>IF(AND(AB7&lt;&gt;L22),1,"")</f>
        <v/>
      </c>
      <c r="AC22" s="233" t="str">
        <f>IF(AND(AC7&lt;&gt;L22),1,"")</f>
        <v/>
      </c>
      <c r="AD22" s="233" t="str">
        <f>IF(AND(AD7&lt;&gt;L22),1,"")</f>
        <v/>
      </c>
      <c r="AE22" s="233" t="str">
        <f>IF(AND(AE7&lt;&gt;L22),1,"")</f>
        <v/>
      </c>
      <c r="AF22" s="233" t="str">
        <f>IF(AND(AF7&lt;&gt;L22),1,"")</f>
        <v/>
      </c>
      <c r="AG22" s="233" t="str">
        <f>IF(AND(AG7&lt;&gt;L22),1,"")</f>
        <v/>
      </c>
      <c r="AH22" s="233" t="str">
        <f>IF(AND(AH7&lt;&gt;L22),1,"")</f>
        <v/>
      </c>
      <c r="AI22" s="233" t="str">
        <f>IF(AND(AI7&lt;&gt;L22),1,"")</f>
        <v/>
      </c>
      <c r="AJ22" s="233" t="str">
        <f>IF(AND(AJ7&lt;&gt;L22),1,"")</f>
        <v/>
      </c>
      <c r="AK22" s="233" t="str">
        <f>IF(AND(AK7&lt;&gt;L22),1,"")</f>
        <v/>
      </c>
      <c r="AL22" s="225"/>
      <c r="AM22" s="225"/>
      <c r="AN22" s="234" t="str">
        <f>AA$7</f>
        <v/>
      </c>
      <c r="AO22" s="225" t="b">
        <f t="shared" si="7"/>
        <v>0</v>
      </c>
      <c r="AP22" s="225">
        <v>15</v>
      </c>
      <c r="AQ22" s="225" t="e">
        <f t="shared" si="5"/>
        <v>#NUM!</v>
      </c>
      <c r="AR22" s="235" t="e">
        <f t="shared" si="6"/>
        <v>#NUM!</v>
      </c>
    </row>
    <row r="23" spans="1:44" ht="15.75" customHeight="1">
      <c r="A23" s="236" t="str">
        <f t="shared" si="0"/>
        <v/>
      </c>
      <c r="B23" s="153">
        <f>SUMIF(F18A!$A$9:$A$60,'F18'!A23,F18A!$B$9:$B$60)</f>
        <v>0</v>
      </c>
      <c r="C23" s="153">
        <f>SUMIF(F18A!$A$9:$A$60,'F18'!A23,F18A!$C$9:$C$60)</f>
        <v>0</v>
      </c>
      <c r="D23" s="237">
        <f t="shared" si="1"/>
        <v>0</v>
      </c>
      <c r="E23" s="153">
        <f>SUMIF(F18A!$A$9:$A$60,'F18'!A23,F18A!$E$9:$E$60)</f>
        <v>0</v>
      </c>
      <c r="F23" s="153">
        <f>SUMIF(F18A!$A$9:$A$60,'F18'!A23,F18A!$F$9:$F$60)</f>
        <v>0</v>
      </c>
      <c r="G23" s="237">
        <f t="shared" si="2"/>
        <v>0</v>
      </c>
      <c r="H23" s="131"/>
      <c r="I23" s="131"/>
      <c r="J23" s="131"/>
      <c r="K23" s="178" t="str">
        <f t="shared" si="3"/>
        <v/>
      </c>
      <c r="L23" s="229" t="str">
        <f>IF(AND(F18A!A51=0),"",F18A!A51)</f>
        <v/>
      </c>
      <c r="M23" s="233" t="str">
        <f>IF(AND(M7&lt;&gt;L23),1,"")</f>
        <v/>
      </c>
      <c r="N23" s="233" t="str">
        <f>IF(AND(N7&lt;&gt;L23),1,"")</f>
        <v/>
      </c>
      <c r="O23" s="233" t="str">
        <f>IF(AND(O7&lt;&gt;L23),1,"")</f>
        <v/>
      </c>
      <c r="P23" s="233" t="str">
        <f>IF(AND(P7&lt;&gt;L23),1,"")</f>
        <v/>
      </c>
      <c r="Q23" s="233" t="str">
        <f>IF(AND(Q7&lt;&gt;L23),1,"")</f>
        <v/>
      </c>
      <c r="R23" s="233" t="str">
        <f>IF(AND(R7&lt;&gt;L23),1,"")</f>
        <v/>
      </c>
      <c r="S23" s="233" t="str">
        <f>IF(AND(S7&lt;&gt;L23),1,"")</f>
        <v/>
      </c>
      <c r="T23" s="233" t="str">
        <f>IF(AND(T7&lt;&gt;L23),1,"")</f>
        <v/>
      </c>
      <c r="U23" s="233" t="str">
        <f>IF(AND(U7&lt;&gt;L23),1,"")</f>
        <v/>
      </c>
      <c r="V23" s="233" t="str">
        <f>IF(AND(V7&lt;&gt;L23),1,"")</f>
        <v/>
      </c>
      <c r="W23" s="233" t="str">
        <f>IF(AND(W7&lt;&gt;L23),1,"")</f>
        <v/>
      </c>
      <c r="X23" s="233" t="str">
        <f>IF(AND(X7&lt;&gt;L23),1,"")</f>
        <v/>
      </c>
      <c r="Y23" s="233" t="str">
        <f>IF(AND(Y7&lt;&gt;L23),1,"")</f>
        <v/>
      </c>
      <c r="Z23" s="233" t="str">
        <f>IF(AND(Z7&lt;&gt;L23),1,"")</f>
        <v/>
      </c>
      <c r="AA23" s="233" t="str">
        <f>IF(AND(AA7&lt;&gt;L23),1,"")</f>
        <v/>
      </c>
      <c r="AB23" s="233" t="str">
        <f>IF(AND(AB7&lt;&gt;L23),1,"")</f>
        <v/>
      </c>
      <c r="AC23" s="233" t="str">
        <f>IF(AND(AC7&lt;&gt;L23),1,"")</f>
        <v/>
      </c>
      <c r="AD23" s="233" t="str">
        <f>IF(AND(AD7&lt;&gt;L23),1,"")</f>
        <v/>
      </c>
      <c r="AE23" s="233" t="str">
        <f>IF(AND(AE7&lt;&gt;L23),1,"")</f>
        <v/>
      </c>
      <c r="AF23" s="233" t="str">
        <f>IF(AND(AF7&lt;&gt;L23),1,"")</f>
        <v/>
      </c>
      <c r="AG23" s="233" t="str">
        <f>IF(AND(AG7&lt;&gt;L23),1,"")</f>
        <v/>
      </c>
      <c r="AH23" s="233" t="str">
        <f>IF(AND(AH7&lt;&gt;L23),1,"")</f>
        <v/>
      </c>
      <c r="AI23" s="233" t="str">
        <f>IF(AND(AI7&lt;&gt;L23),1,"")</f>
        <v/>
      </c>
      <c r="AJ23" s="233" t="str">
        <f>IF(AND(AJ7&lt;&gt;L23),1,"")</f>
        <v/>
      </c>
      <c r="AK23" s="233" t="str">
        <f>IF(AND(AK7&lt;&gt;L23),1,"")</f>
        <v/>
      </c>
      <c r="AL23" s="225"/>
      <c r="AM23" s="225"/>
      <c r="AN23" s="234" t="str">
        <f>AB$7</f>
        <v/>
      </c>
      <c r="AO23" s="225" t="b">
        <f t="shared" si="7"/>
        <v>0</v>
      </c>
      <c r="AP23" s="225">
        <v>16</v>
      </c>
      <c r="AQ23" s="225" t="e">
        <f t="shared" si="5"/>
        <v>#NUM!</v>
      </c>
      <c r="AR23" s="235" t="e">
        <f t="shared" si="6"/>
        <v>#NUM!</v>
      </c>
    </row>
    <row r="24" spans="1:44" ht="15.75" customHeight="1">
      <c r="A24" s="236" t="str">
        <f t="shared" si="0"/>
        <v/>
      </c>
      <c r="B24" s="153">
        <f>SUMIF(F18A!$A$9:$A$60,'F18'!A24,F18A!$B$9:$B$60)</f>
        <v>0</v>
      </c>
      <c r="C24" s="153">
        <f>SUMIF(F18A!$A$9:$A$60,'F18'!A24,F18A!$C$9:$C$60)</f>
        <v>0</v>
      </c>
      <c r="D24" s="237">
        <f t="shared" si="1"/>
        <v>0</v>
      </c>
      <c r="E24" s="153">
        <f>SUMIF(F18A!$A$9:$A$60,'F18'!A24,F18A!$E$9:$E$60)</f>
        <v>0</v>
      </c>
      <c r="F24" s="153">
        <f>SUMIF(F18A!$A$9:$A$60,'F18'!A24,F18A!$F$9:$F$60)</f>
        <v>0</v>
      </c>
      <c r="G24" s="237">
        <f t="shared" si="2"/>
        <v>0</v>
      </c>
      <c r="H24" s="131"/>
      <c r="I24" s="131"/>
      <c r="J24" s="131"/>
      <c r="K24" s="178" t="str">
        <f t="shared" si="3"/>
        <v/>
      </c>
      <c r="L24" s="229" t="str">
        <f>IF(AND(F18A!A52=0),"",F18A!A52)</f>
        <v/>
      </c>
      <c r="M24" s="233" t="str">
        <f>IF(AND(M7&lt;&gt;L24),1,"")</f>
        <v/>
      </c>
      <c r="N24" s="233" t="str">
        <f>IF(AND(N7&lt;&gt;L24),1,"")</f>
        <v/>
      </c>
      <c r="O24" s="233" t="str">
        <f>IF(AND(O7&lt;&gt;L24),1,"")</f>
        <v/>
      </c>
      <c r="P24" s="233" t="str">
        <f>IF(AND(P7&lt;&gt;L24),1,"")</f>
        <v/>
      </c>
      <c r="Q24" s="233" t="str">
        <f>IF(AND(Q7&lt;&gt;L24),1,"")</f>
        <v/>
      </c>
      <c r="R24" s="233" t="str">
        <f>IF(AND(R7&lt;&gt;L24),1,"")</f>
        <v/>
      </c>
      <c r="S24" s="233" t="str">
        <f>IF(AND(S7&lt;&gt;L24),1,"")</f>
        <v/>
      </c>
      <c r="T24" s="233" t="str">
        <f>IF(AND(T7&lt;&gt;L24),1,"")</f>
        <v/>
      </c>
      <c r="U24" s="233" t="str">
        <f>IF(AND(U7&lt;&gt;L24),1,"")</f>
        <v/>
      </c>
      <c r="V24" s="233" t="str">
        <f>IF(AND(V7&lt;&gt;L24),1,"")</f>
        <v/>
      </c>
      <c r="W24" s="233" t="str">
        <f>IF(AND(W7&lt;&gt;L24),1,"")</f>
        <v/>
      </c>
      <c r="X24" s="233" t="str">
        <f>IF(AND(X7&lt;&gt;L24),1,"")</f>
        <v/>
      </c>
      <c r="Y24" s="233" t="str">
        <f>IF(AND(Y7&lt;&gt;L24),1,"")</f>
        <v/>
      </c>
      <c r="Z24" s="233" t="str">
        <f>IF(AND(Z7&lt;&gt;L24),1,"")</f>
        <v/>
      </c>
      <c r="AA24" s="233" t="str">
        <f>IF(AND(AA7&lt;&gt;L24),1,"")</f>
        <v/>
      </c>
      <c r="AB24" s="233" t="str">
        <f>IF(AND(AB7&lt;&gt;L24),1,"")</f>
        <v/>
      </c>
      <c r="AC24" s="233" t="str">
        <f>IF(AND(AC7&lt;&gt;L24),1,"")</f>
        <v/>
      </c>
      <c r="AD24" s="233" t="str">
        <f>IF(AND(AD7&lt;&gt;L24),1,"")</f>
        <v/>
      </c>
      <c r="AE24" s="233" t="str">
        <f>IF(AND(AE7&lt;&gt;L24),1,"")</f>
        <v/>
      </c>
      <c r="AF24" s="233" t="str">
        <f>IF(AND(AF7&lt;&gt;L24),1,"")</f>
        <v/>
      </c>
      <c r="AG24" s="233" t="str">
        <f>IF(AND(AG7&lt;&gt;L24),1,"")</f>
        <v/>
      </c>
      <c r="AH24" s="233" t="str">
        <f>IF(AND(AH7&lt;&gt;L24),1,"")</f>
        <v/>
      </c>
      <c r="AI24" s="233" t="str">
        <f>IF(AND(AI7&lt;&gt;L24),1,"")</f>
        <v/>
      </c>
      <c r="AJ24" s="233" t="str">
        <f>IF(AND(AJ7&lt;&gt;L24),1,"")</f>
        <v/>
      </c>
      <c r="AK24" s="233" t="str">
        <f>IF(AND(AK7&lt;&gt;L24),1,"")</f>
        <v/>
      </c>
      <c r="AL24" s="225"/>
      <c r="AM24" s="225"/>
      <c r="AN24" s="234" t="str">
        <f>AC$7</f>
        <v/>
      </c>
      <c r="AO24" s="225" t="b">
        <f t="shared" si="7"/>
        <v>0</v>
      </c>
      <c r="AP24" s="225">
        <v>17</v>
      </c>
      <c r="AQ24" s="225" t="e">
        <f t="shared" si="5"/>
        <v>#NUM!</v>
      </c>
      <c r="AR24" s="235" t="e">
        <f t="shared" si="6"/>
        <v>#NUM!</v>
      </c>
    </row>
    <row r="25" spans="1:44" ht="15.75" customHeight="1">
      <c r="A25" s="236" t="str">
        <f t="shared" si="0"/>
        <v/>
      </c>
      <c r="B25" s="153">
        <f>SUMIF(F18A!$A$9:$A$60,'F18'!A25,F18A!$B$9:$B$60)</f>
        <v>0</v>
      </c>
      <c r="C25" s="153">
        <f>SUMIF(F18A!$A$9:$A$60,'F18'!A25,F18A!$C$9:$C$60)</f>
        <v>0</v>
      </c>
      <c r="D25" s="237">
        <f t="shared" si="1"/>
        <v>0</v>
      </c>
      <c r="E25" s="153">
        <f>SUMIF(F18A!$A$9:$A$60,'F18'!A25,F18A!$E$9:$E$60)</f>
        <v>0</v>
      </c>
      <c r="F25" s="153">
        <f>SUMIF(F18A!$A$9:$A$60,'F18'!A25,F18A!$F$9:$F$60)</f>
        <v>0</v>
      </c>
      <c r="G25" s="237">
        <f t="shared" si="2"/>
        <v>0</v>
      </c>
      <c r="H25" s="131"/>
      <c r="I25" s="131"/>
      <c r="J25" s="131"/>
      <c r="K25" s="178" t="str">
        <f t="shared" si="3"/>
        <v/>
      </c>
      <c r="L25" s="229" t="str">
        <f>IF(AND(F18A!A53=0),"",F18A!A53)</f>
        <v/>
      </c>
      <c r="M25" s="233" t="str">
        <f>IF(AND(M7&lt;&gt;L25),1,"")</f>
        <v/>
      </c>
      <c r="N25" s="233" t="str">
        <f>IF(AND(N7&lt;&gt;L25),1,"")</f>
        <v/>
      </c>
      <c r="O25" s="233" t="str">
        <f>IF(AND(O7&lt;&gt;L25),1,"")</f>
        <v/>
      </c>
      <c r="P25" s="233" t="str">
        <f>IF(AND(P7&lt;&gt;L25),1,"")</f>
        <v/>
      </c>
      <c r="Q25" s="233" t="str">
        <f>IF(AND(Q7&lt;&gt;L25),1,"")</f>
        <v/>
      </c>
      <c r="R25" s="233" t="str">
        <f>IF(AND(R7&lt;&gt;L25),1,"")</f>
        <v/>
      </c>
      <c r="S25" s="233" t="str">
        <f>IF(AND(S7&lt;&gt;L25),1,"")</f>
        <v/>
      </c>
      <c r="T25" s="233" t="str">
        <f>IF(AND(T7&lt;&gt;L25),1,"")</f>
        <v/>
      </c>
      <c r="U25" s="233" t="str">
        <f>IF(AND(U7&lt;&gt;L25),1,"")</f>
        <v/>
      </c>
      <c r="V25" s="233" t="str">
        <f>IF(AND(V7&lt;&gt;L25),1,"")</f>
        <v/>
      </c>
      <c r="W25" s="233" t="str">
        <f>IF(AND(W7&lt;&gt;L25),1,"")</f>
        <v/>
      </c>
      <c r="X25" s="233" t="str">
        <f>IF(AND(X7&lt;&gt;L25),1,"")</f>
        <v/>
      </c>
      <c r="Y25" s="233" t="str">
        <f>IF(AND(Y7&lt;&gt;L25),1,"")</f>
        <v/>
      </c>
      <c r="Z25" s="233" t="str">
        <f>IF(AND(Z7&lt;&gt;L25),1,"")</f>
        <v/>
      </c>
      <c r="AA25" s="233" t="str">
        <f>IF(AND(AA7&lt;&gt;L25),1,"")</f>
        <v/>
      </c>
      <c r="AB25" s="233" t="str">
        <f>IF(AND(AB7&lt;&gt;L25),1,"")</f>
        <v/>
      </c>
      <c r="AC25" s="233" t="str">
        <f>IF(AND(AC7&lt;&gt;L25),1,"")</f>
        <v/>
      </c>
      <c r="AD25" s="233" t="str">
        <f>IF(AND(AD7&lt;&gt;L25),1,"")</f>
        <v/>
      </c>
      <c r="AE25" s="233" t="str">
        <f>IF(AND(AE7&lt;&gt;L25),1,"")</f>
        <v/>
      </c>
      <c r="AF25" s="233" t="str">
        <f>IF(AND(AF7&lt;&gt;L25),1,"")</f>
        <v/>
      </c>
      <c r="AG25" s="233" t="str">
        <f>IF(AND(AG7&lt;&gt;L25),1,"")</f>
        <v/>
      </c>
      <c r="AH25" s="233" t="str">
        <f>IF(AND(AH7&lt;&gt;L25),1,"")</f>
        <v/>
      </c>
      <c r="AI25" s="233" t="str">
        <f>IF(AND(AI7&lt;&gt;L25),1,"")</f>
        <v/>
      </c>
      <c r="AJ25" s="233" t="str">
        <f>IF(AND(AJ7&lt;&gt;L25),1,"")</f>
        <v/>
      </c>
      <c r="AK25" s="233" t="str">
        <f>IF(AND(AK7&lt;&gt;L25),1,"")</f>
        <v/>
      </c>
      <c r="AL25" s="225"/>
      <c r="AM25" s="225"/>
      <c r="AN25" s="234" t="str">
        <f>AD$7</f>
        <v/>
      </c>
      <c r="AO25" s="225" t="b">
        <f t="shared" si="7"/>
        <v>0</v>
      </c>
      <c r="AP25" s="225">
        <v>18</v>
      </c>
      <c r="AQ25" s="225" t="e">
        <f t="shared" si="5"/>
        <v>#NUM!</v>
      </c>
      <c r="AR25" s="235" t="e">
        <f t="shared" si="6"/>
        <v>#NUM!</v>
      </c>
    </row>
    <row r="26" spans="1:44" ht="15.75" customHeight="1">
      <c r="A26" s="236" t="str">
        <f t="shared" si="0"/>
        <v/>
      </c>
      <c r="B26" s="153">
        <f>SUMIF(F18A!$A$9:$A$60,'F18'!A26,F18A!$B$9:$B$60)</f>
        <v>0</v>
      </c>
      <c r="C26" s="153">
        <f>SUMIF(F18A!$A$9:$A$60,'F18'!A26,F18A!$C$9:$C$60)</f>
        <v>0</v>
      </c>
      <c r="D26" s="237">
        <f t="shared" si="1"/>
        <v>0</v>
      </c>
      <c r="E26" s="153">
        <f>SUMIF(F18A!$A$9:$A$60,'F18'!A26,F18A!$E$9:$E$60)</f>
        <v>0</v>
      </c>
      <c r="F26" s="153">
        <f>SUMIF(F18A!$A$9:$A$60,'F18'!A26,F18A!$F$9:$F$60)</f>
        <v>0</v>
      </c>
      <c r="G26" s="237">
        <f t="shared" si="2"/>
        <v>0</v>
      </c>
      <c r="H26" s="131"/>
      <c r="I26" s="131"/>
      <c r="J26" s="131"/>
      <c r="K26" s="178" t="str">
        <f t="shared" si="3"/>
        <v/>
      </c>
      <c r="L26" s="229" t="str">
        <f>IF(AND(F18A!A54=0),"",F18A!A54)</f>
        <v/>
      </c>
      <c r="M26" s="233" t="str">
        <f>IF(AND(M7&lt;&gt;L26),1,"")</f>
        <v/>
      </c>
      <c r="N26" s="233" t="str">
        <f>IF(AND(N7&lt;&gt;L26),1,"")</f>
        <v/>
      </c>
      <c r="O26" s="233" t="str">
        <f>IF(AND(O7&lt;&gt;L26),1,"")</f>
        <v/>
      </c>
      <c r="P26" s="233" t="str">
        <f>IF(AND(P7&lt;&gt;L26),1,"")</f>
        <v/>
      </c>
      <c r="Q26" s="233" t="str">
        <f>IF(AND(Q7&lt;&gt;L26),1,"")</f>
        <v/>
      </c>
      <c r="R26" s="233" t="str">
        <f>IF(AND(R7&lt;&gt;L26),1,"")</f>
        <v/>
      </c>
      <c r="S26" s="233" t="str">
        <f>IF(AND(S7&lt;&gt;L26),1,"")</f>
        <v/>
      </c>
      <c r="T26" s="233" t="str">
        <f>IF(AND(T7&lt;&gt;L26),1,"")</f>
        <v/>
      </c>
      <c r="U26" s="233" t="str">
        <f>IF(AND(U7&lt;&gt;L26),1,"")</f>
        <v/>
      </c>
      <c r="V26" s="233" t="str">
        <f>IF(AND(V7&lt;&gt;L26),1,"")</f>
        <v/>
      </c>
      <c r="W26" s="233" t="str">
        <f>IF(AND(W7&lt;&gt;L26),1,"")</f>
        <v/>
      </c>
      <c r="X26" s="233" t="str">
        <f>IF(AND(X7&lt;&gt;L26),1,"")</f>
        <v/>
      </c>
      <c r="Y26" s="233" t="str">
        <f>IF(AND(Y7&lt;&gt;L26),1,"")</f>
        <v/>
      </c>
      <c r="Z26" s="233" t="str">
        <f>IF(AND(Z7&lt;&gt;L26),1,"")</f>
        <v/>
      </c>
      <c r="AA26" s="233" t="str">
        <f>IF(AND(AA7&lt;&gt;L26),1,"")</f>
        <v/>
      </c>
      <c r="AB26" s="233" t="str">
        <f>IF(AND(AB7&lt;&gt;L26),1,"")</f>
        <v/>
      </c>
      <c r="AC26" s="233" t="str">
        <f>IF(AND(AC7&lt;&gt;L26),1,"")</f>
        <v/>
      </c>
      <c r="AD26" s="233" t="str">
        <f>IF(AND(AD7&lt;&gt;L26),1,"")</f>
        <v/>
      </c>
      <c r="AE26" s="233" t="str">
        <f>IF(AND(AE7&lt;&gt;L26),1,"")</f>
        <v/>
      </c>
      <c r="AF26" s="233" t="str">
        <f>IF(AND(AF7&lt;&gt;L26),1,"")</f>
        <v/>
      </c>
      <c r="AG26" s="233" t="str">
        <f>IF(AND(AG7&lt;&gt;L26),1,"")</f>
        <v/>
      </c>
      <c r="AH26" s="233" t="str">
        <f>IF(AND(AH7&lt;&gt;L26),1,"")</f>
        <v/>
      </c>
      <c r="AI26" s="233" t="str">
        <f>IF(AND(AI7&lt;&gt;L26),1,"")</f>
        <v/>
      </c>
      <c r="AJ26" s="233" t="str">
        <f>IF(AND(AJ7&lt;&gt;L26),1,"")</f>
        <v/>
      </c>
      <c r="AK26" s="233" t="str">
        <f>IF(AND(AK7&lt;&gt;L26),1,"")</f>
        <v/>
      </c>
      <c r="AL26" s="225"/>
      <c r="AM26" s="225"/>
      <c r="AN26" s="234" t="str">
        <f>AE$7</f>
        <v/>
      </c>
      <c r="AO26" s="225" t="b">
        <f t="shared" si="7"/>
        <v>0</v>
      </c>
      <c r="AP26" s="225">
        <v>19</v>
      </c>
      <c r="AQ26" s="225" t="e">
        <f t="shared" si="5"/>
        <v>#NUM!</v>
      </c>
      <c r="AR26" s="235" t="e">
        <f t="shared" si="6"/>
        <v>#NUM!</v>
      </c>
    </row>
    <row r="27" spans="1:44" ht="15.75" customHeight="1">
      <c r="A27" s="236" t="str">
        <f t="shared" si="0"/>
        <v/>
      </c>
      <c r="B27" s="153">
        <f>SUMIF(F18A!$A$9:$A$60,'F18'!A27,F18A!$B$9:$B$60)</f>
        <v>0</v>
      </c>
      <c r="C27" s="153">
        <f>SUMIF(F18A!$A$9:$A$60,'F18'!A27,F18A!$C$9:$C$60)</f>
        <v>0</v>
      </c>
      <c r="D27" s="237">
        <f t="shared" si="1"/>
        <v>0</v>
      </c>
      <c r="E27" s="153">
        <f>SUMIF(F18A!$A$9:$A$60,'F18'!A27,F18A!$E$9:$E$60)</f>
        <v>0</v>
      </c>
      <c r="F27" s="153">
        <f>SUMIF(F18A!$A$9:$A$60,'F18'!A27,F18A!$F$9:$F$60)</f>
        <v>0</v>
      </c>
      <c r="G27" s="237">
        <f t="shared" si="2"/>
        <v>0</v>
      </c>
      <c r="H27" s="131"/>
      <c r="I27" s="131"/>
      <c r="J27" s="131"/>
      <c r="K27" s="178" t="str">
        <f t="shared" si="3"/>
        <v/>
      </c>
      <c r="L27" s="229" t="str">
        <f>IF(AND(F18A!A55=0),"",F18A!A55)</f>
        <v/>
      </c>
      <c r="M27" s="233" t="str">
        <f>IF(AND(M7&lt;&gt;L27),1,"")</f>
        <v/>
      </c>
      <c r="N27" s="233" t="str">
        <f>IF(AND(N7&lt;&gt;L27),1,"")</f>
        <v/>
      </c>
      <c r="O27" s="233" t="str">
        <f>IF(AND(O7&lt;&gt;L27),1,"")</f>
        <v/>
      </c>
      <c r="P27" s="233" t="str">
        <f>IF(AND(P7&lt;&gt;L27),1,"")</f>
        <v/>
      </c>
      <c r="Q27" s="233" t="str">
        <f>IF(AND(Q7&lt;&gt;L27),1,"")</f>
        <v/>
      </c>
      <c r="R27" s="233" t="str">
        <f>IF(AND(R7&lt;&gt;L27),1,"")</f>
        <v/>
      </c>
      <c r="S27" s="233" t="str">
        <f>IF(AND(S7&lt;&gt;L27),1,"")</f>
        <v/>
      </c>
      <c r="T27" s="233" t="str">
        <f>IF(AND(T7&lt;&gt;L27),1,"")</f>
        <v/>
      </c>
      <c r="U27" s="233" t="str">
        <f>IF(AND(U7&lt;&gt;L27),1,"")</f>
        <v/>
      </c>
      <c r="V27" s="233" t="str">
        <f>IF(AND(V7&lt;&gt;L27),1,"")</f>
        <v/>
      </c>
      <c r="W27" s="233" t="str">
        <f>IF(AND(W7&lt;&gt;L27),1,"")</f>
        <v/>
      </c>
      <c r="X27" s="233" t="str">
        <f>IF(AND(X7&lt;&gt;L27),1,"")</f>
        <v/>
      </c>
      <c r="Y27" s="233" t="str">
        <f>IF(AND(Y7&lt;&gt;L27),1,"")</f>
        <v/>
      </c>
      <c r="Z27" s="233" t="str">
        <f>IF(AND(Z7&lt;&gt;L27),1,"")</f>
        <v/>
      </c>
      <c r="AA27" s="233" t="str">
        <f>IF(AND(AA7&lt;&gt;L27),1,"")</f>
        <v/>
      </c>
      <c r="AB27" s="233" t="str">
        <f>IF(AND(AB7&lt;&gt;L27),1,"")</f>
        <v/>
      </c>
      <c r="AC27" s="233" t="str">
        <f>IF(AND(AC7&lt;&gt;L27),1,"")</f>
        <v/>
      </c>
      <c r="AD27" s="233" t="str">
        <f>IF(AND(AD7&lt;&gt;L27),1,"")</f>
        <v/>
      </c>
      <c r="AE27" s="233" t="str">
        <f>IF(AND(AE7&lt;&gt;L27),1,"")</f>
        <v/>
      </c>
      <c r="AF27" s="233" t="str">
        <f>IF(AND(AF7&lt;&gt;L27),1,"")</f>
        <v/>
      </c>
      <c r="AG27" s="233" t="str">
        <f>IF(AND(AG7&lt;&gt;L27),1,"")</f>
        <v/>
      </c>
      <c r="AH27" s="233" t="str">
        <f>IF(AND(AH7&lt;&gt;L27),1,"")</f>
        <v/>
      </c>
      <c r="AI27" s="233" t="str">
        <f>IF(AND(AI7&lt;&gt;L27),1,"")</f>
        <v/>
      </c>
      <c r="AJ27" s="233" t="str">
        <f>IF(AND(AJ7&lt;&gt;L27),1,"")</f>
        <v/>
      </c>
      <c r="AK27" s="233" t="str">
        <f>IF(AND(AK7&lt;&gt;L27),1,"")</f>
        <v/>
      </c>
      <c r="AL27" s="225"/>
      <c r="AM27" s="225"/>
      <c r="AN27" s="234" t="str">
        <f>AF$7</f>
        <v/>
      </c>
      <c r="AO27" s="225" t="b">
        <f t="shared" si="7"/>
        <v>0</v>
      </c>
      <c r="AP27" s="225">
        <v>20</v>
      </c>
      <c r="AQ27" s="225" t="e">
        <f t="shared" si="5"/>
        <v>#NUM!</v>
      </c>
      <c r="AR27" s="235" t="e">
        <f t="shared" si="6"/>
        <v>#NUM!</v>
      </c>
    </row>
    <row r="28" spans="1:44" ht="15.75" customHeight="1">
      <c r="A28" s="236" t="str">
        <f t="shared" si="0"/>
        <v/>
      </c>
      <c r="B28" s="153">
        <f>SUMIF(F18A!$A$9:$A$60,'F18'!A28,F18A!$B$9:$B$60)</f>
        <v>0</v>
      </c>
      <c r="C28" s="153">
        <f>SUMIF(F18A!$A$9:$A$60,'F18'!A28,F18A!$C$9:$C$60)</f>
        <v>0</v>
      </c>
      <c r="D28" s="237">
        <f t="shared" si="1"/>
        <v>0</v>
      </c>
      <c r="E28" s="153">
        <f>SUMIF(F18A!$A$9:$A$60,'F18'!A28,F18A!$E$9:$E$60)</f>
        <v>0</v>
      </c>
      <c r="F28" s="153">
        <f>SUMIF(F18A!$A$9:$A$60,'F18'!A28,F18A!$F$9:$F$60)</f>
        <v>0</v>
      </c>
      <c r="G28" s="237">
        <f t="shared" si="2"/>
        <v>0</v>
      </c>
      <c r="H28" s="131"/>
      <c r="I28" s="131"/>
      <c r="J28" s="131"/>
      <c r="K28" s="178" t="str">
        <f t="shared" si="3"/>
        <v/>
      </c>
      <c r="L28" s="229" t="str">
        <f>IF(AND(F18A!A56=0),"",F18A!A56)</f>
        <v/>
      </c>
      <c r="M28" s="233" t="str">
        <f>IF(AND(M7&lt;&gt;L28),1,"")</f>
        <v/>
      </c>
      <c r="N28" s="233" t="str">
        <f>IF(AND(N7&lt;&gt;L28),1,"")</f>
        <v/>
      </c>
      <c r="O28" s="233" t="str">
        <f>IF(AND(O7&lt;&gt;L28),1,"")</f>
        <v/>
      </c>
      <c r="P28" s="233" t="str">
        <f>IF(AND(P7&lt;&gt;L28),1,"")</f>
        <v/>
      </c>
      <c r="Q28" s="233" t="str">
        <f>IF(AND(Q7&lt;&gt;L28),1,"")</f>
        <v/>
      </c>
      <c r="R28" s="233" t="str">
        <f>IF(AND(R7&lt;&gt;L28),1,"")</f>
        <v/>
      </c>
      <c r="S28" s="233" t="str">
        <f>IF(AND(S7&lt;&gt;L28),1,"")</f>
        <v/>
      </c>
      <c r="T28" s="233" t="str">
        <f>IF(AND(T7&lt;&gt;L28),1,"")</f>
        <v/>
      </c>
      <c r="U28" s="233" t="str">
        <f>IF(AND(U7&lt;&gt;L28),1,"")</f>
        <v/>
      </c>
      <c r="V28" s="233" t="str">
        <f>IF(AND(V7&lt;&gt;L28),1,"")</f>
        <v/>
      </c>
      <c r="W28" s="233" t="str">
        <f>IF(AND(W7&lt;&gt;L28),1,"")</f>
        <v/>
      </c>
      <c r="X28" s="233" t="str">
        <f>IF(AND(X7&lt;&gt;L28),1,"")</f>
        <v/>
      </c>
      <c r="Y28" s="233" t="str">
        <f>IF(AND(Y7&lt;&gt;L28),1,"")</f>
        <v/>
      </c>
      <c r="Z28" s="233" t="str">
        <f>IF(AND(Z7&lt;&gt;L28),1,"")</f>
        <v/>
      </c>
      <c r="AA28" s="233" t="str">
        <f>IF(AND(AA7&lt;&gt;L28),1,"")</f>
        <v/>
      </c>
      <c r="AB28" s="233" t="str">
        <f>IF(AND(AB7&lt;&gt;L28),1,"")</f>
        <v/>
      </c>
      <c r="AC28" s="233" t="str">
        <f>IF(AND(AC7&lt;&gt;L28),1,"")</f>
        <v/>
      </c>
      <c r="AD28" s="233" t="str">
        <f>IF(AND(AD7&lt;&gt;L28),1,"")</f>
        <v/>
      </c>
      <c r="AE28" s="233" t="str">
        <f>IF(AND(AE7&lt;&gt;L28),1,"")</f>
        <v/>
      </c>
      <c r="AF28" s="233" t="str">
        <f>IF(AND(AF7&lt;&gt;L28),1,"")</f>
        <v/>
      </c>
      <c r="AG28" s="233" t="str">
        <f>IF(AND(AG7&lt;&gt;L28),1,"")</f>
        <v/>
      </c>
      <c r="AH28" s="233" t="str">
        <f>IF(AND(AH7&lt;&gt;L28),1,"")</f>
        <v/>
      </c>
      <c r="AI28" s="233" t="str">
        <f>IF(AND(AI7&lt;&gt;L28),1,"")</f>
        <v/>
      </c>
      <c r="AJ28" s="233" t="str">
        <f>IF(AND(AJ7&lt;&gt;L28),1,"")</f>
        <v/>
      </c>
      <c r="AK28" s="233" t="str">
        <f>IF(AND(AK7&lt;&gt;L28),1,"")</f>
        <v/>
      </c>
      <c r="AL28" s="225"/>
      <c r="AM28" s="225"/>
      <c r="AN28" s="234" t="str">
        <f>AG$7</f>
        <v/>
      </c>
      <c r="AO28" s="225" t="b">
        <f t="shared" si="7"/>
        <v>0</v>
      </c>
      <c r="AP28" s="225">
        <v>21</v>
      </c>
      <c r="AQ28" s="225" t="e">
        <f t="shared" si="5"/>
        <v>#NUM!</v>
      </c>
      <c r="AR28" s="235" t="e">
        <f t="shared" si="6"/>
        <v>#NUM!</v>
      </c>
    </row>
    <row r="29" spans="1:44" ht="15.75" customHeight="1">
      <c r="A29" s="236" t="str">
        <f t="shared" si="0"/>
        <v/>
      </c>
      <c r="B29" s="153">
        <f>SUMIF(F18A!$A$9:$A$60,'F18'!A29,F18A!$B$9:$B$60)</f>
        <v>0</v>
      </c>
      <c r="C29" s="153">
        <f>SUMIF(F18A!$A$9:$A$60,'F18'!A29,F18A!$C$9:$C$60)</f>
        <v>0</v>
      </c>
      <c r="D29" s="237">
        <f t="shared" si="1"/>
        <v>0</v>
      </c>
      <c r="E29" s="153">
        <f>SUMIF(F18A!$A$9:$A$60,'F18'!A29,F18A!$E$9:$E$60)</f>
        <v>0</v>
      </c>
      <c r="F29" s="153">
        <f>SUMIF(F18A!$A$9:$A$60,'F18'!A29,F18A!$F$9:$F$60)</f>
        <v>0</v>
      </c>
      <c r="G29" s="237">
        <f t="shared" si="2"/>
        <v>0</v>
      </c>
      <c r="H29" s="131"/>
      <c r="I29" s="131"/>
      <c r="J29" s="131"/>
      <c r="K29" s="178" t="str">
        <f t="shared" si="3"/>
        <v/>
      </c>
      <c r="L29" s="229" t="str">
        <f>IF(AND(F18A!A57=0),"",F18A!A57)</f>
        <v/>
      </c>
      <c r="M29" s="233" t="str">
        <f>IF(AND(M7&lt;&gt;L29),1,"")</f>
        <v/>
      </c>
      <c r="N29" s="233" t="str">
        <f>IF(AND(N7&lt;&gt;L29),1,"")</f>
        <v/>
      </c>
      <c r="O29" s="233" t="str">
        <f>IF(AND(O7&lt;&gt;L29),1,"")</f>
        <v/>
      </c>
      <c r="P29" s="233" t="str">
        <f>IF(AND(P7&lt;&gt;L29),1,"")</f>
        <v/>
      </c>
      <c r="Q29" s="233" t="str">
        <f>IF(AND(Q7&lt;&gt;L29),1,"")</f>
        <v/>
      </c>
      <c r="R29" s="233" t="str">
        <f>IF(AND(R7&lt;&gt;L29),1,"")</f>
        <v/>
      </c>
      <c r="S29" s="233" t="str">
        <f>IF(AND(S7&lt;&gt;L29),1,"")</f>
        <v/>
      </c>
      <c r="T29" s="233" t="str">
        <f>IF(AND(T7&lt;&gt;L29),1,"")</f>
        <v/>
      </c>
      <c r="U29" s="233" t="str">
        <f>IF(AND(U7&lt;&gt;L29),1,"")</f>
        <v/>
      </c>
      <c r="V29" s="233" t="str">
        <f>IF(AND(V7&lt;&gt;L29),1,"")</f>
        <v/>
      </c>
      <c r="W29" s="233" t="str">
        <f>IF(AND(W7&lt;&gt;L29),1,"")</f>
        <v/>
      </c>
      <c r="X29" s="233" t="str">
        <f>IF(AND(X7&lt;&gt;L29),1,"")</f>
        <v/>
      </c>
      <c r="Y29" s="233" t="str">
        <f>IF(AND(Y7&lt;&gt;L29),1,"")</f>
        <v/>
      </c>
      <c r="Z29" s="233" t="str">
        <f>IF(AND(Z7&lt;&gt;L29),1,"")</f>
        <v/>
      </c>
      <c r="AA29" s="233" t="str">
        <f>IF(AND(AA7&lt;&gt;L29),1,"")</f>
        <v/>
      </c>
      <c r="AB29" s="233" t="str">
        <f>IF(AND(AB7&lt;&gt;L29),1,"")</f>
        <v/>
      </c>
      <c r="AC29" s="233" t="str">
        <f>IF(AND(AC7&lt;&gt;L29),1,"")</f>
        <v/>
      </c>
      <c r="AD29" s="233" t="str">
        <f>IF(AND(AD7&lt;&gt;L29),1,"")</f>
        <v/>
      </c>
      <c r="AE29" s="233" t="str">
        <f>IF(AND(AE7&lt;&gt;L29),1,"")</f>
        <v/>
      </c>
      <c r="AF29" s="233" t="str">
        <f>IF(AND(AF7&lt;&gt;L29),1,"")</f>
        <v/>
      </c>
      <c r="AG29" s="233" t="str">
        <f>IF(AND(AG7&lt;&gt;L29),1,"")</f>
        <v/>
      </c>
      <c r="AH29" s="233" t="str">
        <f>IF(AND(AH7&lt;&gt;L29),1,"")</f>
        <v/>
      </c>
      <c r="AI29" s="233" t="str">
        <f>IF(AND(AI7&lt;&gt;L29),1,"")</f>
        <v/>
      </c>
      <c r="AJ29" s="233" t="str">
        <f>IF(AND(AJ7&lt;&gt;L29),1,"")</f>
        <v/>
      </c>
      <c r="AK29" s="233" t="str">
        <f>IF(AND(AK7&lt;&gt;L29),1,"")</f>
        <v/>
      </c>
      <c r="AL29" s="225"/>
      <c r="AM29" s="225"/>
      <c r="AN29" s="234" t="str">
        <f>AH$7</f>
        <v/>
      </c>
      <c r="AO29" s="225" t="b">
        <f t="shared" si="7"/>
        <v>0</v>
      </c>
      <c r="AP29" s="225">
        <v>22</v>
      </c>
      <c r="AQ29" s="225" t="e">
        <f t="shared" si="5"/>
        <v>#NUM!</v>
      </c>
      <c r="AR29" s="235" t="e">
        <f t="shared" si="6"/>
        <v>#NUM!</v>
      </c>
    </row>
    <row r="30" spans="1:44" ht="15.75" customHeight="1">
      <c r="A30" s="236" t="str">
        <f t="shared" si="0"/>
        <v/>
      </c>
      <c r="B30" s="153">
        <f>SUMIF(F18A!$A$9:$A$60,'F18'!A30,F18A!$B$9:$B$60)</f>
        <v>0</v>
      </c>
      <c r="C30" s="153">
        <f>SUMIF(F18A!$A$9:$A$60,'F18'!A30,F18A!$C$9:$C$60)</f>
        <v>0</v>
      </c>
      <c r="D30" s="237">
        <f t="shared" si="1"/>
        <v>0</v>
      </c>
      <c r="E30" s="153">
        <f>SUMIF(F18A!$A$9:$A$60,'F18'!A30,F18A!$E$9:$E$60)</f>
        <v>0</v>
      </c>
      <c r="F30" s="153">
        <f>SUMIF(F18A!$A$9:$A$60,'F18'!A30,F18A!$F$9:$F$60)</f>
        <v>0</v>
      </c>
      <c r="G30" s="237">
        <f t="shared" si="2"/>
        <v>0</v>
      </c>
      <c r="H30" s="131"/>
      <c r="I30" s="131"/>
      <c r="J30" s="131"/>
      <c r="K30" s="178" t="str">
        <f t="shared" si="3"/>
        <v/>
      </c>
      <c r="L30" s="229" t="str">
        <f>IF(AND(F18A!A58=0),"",F18A!A58)</f>
        <v/>
      </c>
      <c r="M30" s="233" t="str">
        <f>IF(AND(M7&lt;&gt;L30),1,"")</f>
        <v/>
      </c>
      <c r="N30" s="233" t="str">
        <f>IF(AND(N7&lt;&gt;L30),1,"")</f>
        <v/>
      </c>
      <c r="O30" s="233" t="str">
        <f>IF(AND(O7&lt;&gt;L30),1,"")</f>
        <v/>
      </c>
      <c r="P30" s="233" t="str">
        <f>IF(AND(P7&lt;&gt;L30),1,"")</f>
        <v/>
      </c>
      <c r="Q30" s="233" t="str">
        <f>IF(AND(Q7&lt;&gt;L30),1,"")</f>
        <v/>
      </c>
      <c r="R30" s="233" t="str">
        <f>IF(AND(R7&lt;&gt;L30),1,"")</f>
        <v/>
      </c>
      <c r="S30" s="233" t="str">
        <f>IF(AND(S7&lt;&gt;L30),1,"")</f>
        <v/>
      </c>
      <c r="T30" s="233" t="str">
        <f>IF(AND(T7&lt;&gt;L30),1,"")</f>
        <v/>
      </c>
      <c r="U30" s="233" t="str">
        <f>IF(AND(U7&lt;&gt;L30),1,"")</f>
        <v/>
      </c>
      <c r="V30" s="233" t="str">
        <f>IF(AND(V7&lt;&gt;L30),1,"")</f>
        <v/>
      </c>
      <c r="W30" s="233" t="str">
        <f>IF(AND(W7&lt;&gt;L30),1,"")</f>
        <v/>
      </c>
      <c r="X30" s="233" t="str">
        <f>IF(AND(X7&lt;&gt;L30),1,"")</f>
        <v/>
      </c>
      <c r="Y30" s="233" t="str">
        <f>IF(AND(Y7&lt;&gt;L30),1,"")</f>
        <v/>
      </c>
      <c r="Z30" s="233" t="str">
        <f>IF(AND(Z7&lt;&gt;L30),1,"")</f>
        <v/>
      </c>
      <c r="AA30" s="233" t="str">
        <f>IF(AND(AA7&lt;&gt;L30),1,"")</f>
        <v/>
      </c>
      <c r="AB30" s="233" t="str">
        <f>IF(AND(AB7&lt;&gt;L30),1,"")</f>
        <v/>
      </c>
      <c r="AC30" s="233" t="str">
        <f>IF(AND(AC7&lt;&gt;L30),1,"")</f>
        <v/>
      </c>
      <c r="AD30" s="233" t="str">
        <f>IF(AND(AD7&lt;&gt;L30),1,"")</f>
        <v/>
      </c>
      <c r="AE30" s="233" t="str">
        <f>IF(AND(AE7&lt;&gt;L30),1,"")</f>
        <v/>
      </c>
      <c r="AF30" s="233" t="str">
        <f>IF(AND(AF7&lt;&gt;L30),1,"")</f>
        <v/>
      </c>
      <c r="AG30" s="233" t="str">
        <f>IF(AND(AG7&lt;&gt;L30),1,"")</f>
        <v/>
      </c>
      <c r="AH30" s="233" t="str">
        <f>IF(AND(AH7&lt;&gt;L30),1,"")</f>
        <v/>
      </c>
      <c r="AI30" s="233" t="str">
        <f>IF(AND(AI7&lt;&gt;L30),1,"")</f>
        <v/>
      </c>
      <c r="AJ30" s="233" t="str">
        <f>IF(AND(AJ7&lt;&gt;L30),1,"")</f>
        <v/>
      </c>
      <c r="AK30" s="233" t="str">
        <f>IF(AND(AK7&lt;&gt;L30),1,"")</f>
        <v/>
      </c>
      <c r="AL30" s="225"/>
      <c r="AM30" s="225"/>
      <c r="AN30" s="234" t="str">
        <f>AI$7</f>
        <v/>
      </c>
      <c r="AO30" s="225" t="b">
        <f t="shared" si="7"/>
        <v>0</v>
      </c>
      <c r="AP30" s="225">
        <v>23</v>
      </c>
      <c r="AQ30" s="225" t="e">
        <f t="shared" si="5"/>
        <v>#NUM!</v>
      </c>
      <c r="AR30" s="235" t="e">
        <f t="shared" si="6"/>
        <v>#NUM!</v>
      </c>
    </row>
    <row r="31" spans="1:44" ht="15.75" customHeight="1">
      <c r="A31" s="236" t="str">
        <f t="shared" si="0"/>
        <v/>
      </c>
      <c r="B31" s="153">
        <f>SUMIF(F18A!$A$9:$A$60,'F18'!A31,F18A!$B$9:$B$60)</f>
        <v>0</v>
      </c>
      <c r="C31" s="153">
        <f>SUMIF(F18A!$A$9:$A$60,'F18'!A31,F18A!$C$9:$C$60)</f>
        <v>0</v>
      </c>
      <c r="D31" s="237">
        <f t="shared" si="1"/>
        <v>0</v>
      </c>
      <c r="E31" s="153">
        <f>SUMIF(F18A!$A$9:$A$60,'F18'!A31,F18A!$E$9:$E$60)</f>
        <v>0</v>
      </c>
      <c r="F31" s="153">
        <f>SUMIF(F18A!$A$9:$A$60,'F18'!A31,F18A!$F$9:$F$60)</f>
        <v>0</v>
      </c>
      <c r="G31" s="237">
        <f t="shared" si="2"/>
        <v>0</v>
      </c>
      <c r="H31" s="131"/>
      <c r="I31" s="131"/>
      <c r="J31" s="131"/>
      <c r="K31" s="178" t="str">
        <f t="shared" si="3"/>
        <v/>
      </c>
      <c r="L31" s="229" t="str">
        <f>IF(AND(F18A!A59=0),"",F18A!A59)</f>
        <v/>
      </c>
      <c r="M31" s="233" t="str">
        <f>IF(AND(M7&lt;&gt;L31),1,"")</f>
        <v/>
      </c>
      <c r="N31" s="233" t="str">
        <f>IF(AND(N7&lt;&gt;L31),1,"")</f>
        <v/>
      </c>
      <c r="O31" s="233" t="str">
        <f>IF(AND(O7&lt;&gt;L31),1,"")</f>
        <v/>
      </c>
      <c r="P31" s="233" t="str">
        <f>IF(AND(P7&lt;&gt;L31),1,"")</f>
        <v/>
      </c>
      <c r="Q31" s="233" t="str">
        <f>IF(AND(Q7&lt;&gt;L31),1,"")</f>
        <v/>
      </c>
      <c r="R31" s="233" t="str">
        <f>IF(AND(R7&lt;&gt;L31),1,"")</f>
        <v/>
      </c>
      <c r="S31" s="233" t="str">
        <f>IF(AND(S7&lt;&gt;L31),1,"")</f>
        <v/>
      </c>
      <c r="T31" s="233" t="str">
        <f>IF(AND(T7&lt;&gt;L31),1,"")</f>
        <v/>
      </c>
      <c r="U31" s="233" t="str">
        <f>IF(AND(U7&lt;&gt;L31),1,"")</f>
        <v/>
      </c>
      <c r="V31" s="233" t="str">
        <f>IF(AND(V7&lt;&gt;L31),1,"")</f>
        <v/>
      </c>
      <c r="W31" s="233" t="str">
        <f>IF(AND(W7&lt;&gt;L31),1,"")</f>
        <v/>
      </c>
      <c r="X31" s="233" t="str">
        <f>IF(AND(X7&lt;&gt;L31),1,"")</f>
        <v/>
      </c>
      <c r="Y31" s="233" t="str">
        <f>IF(AND(Y7&lt;&gt;L31),1,"")</f>
        <v/>
      </c>
      <c r="Z31" s="233" t="str">
        <f>IF(AND(Z7&lt;&gt;L31),1,"")</f>
        <v/>
      </c>
      <c r="AA31" s="233" t="str">
        <f>IF(AND(AA7&lt;&gt;L31),1,"")</f>
        <v/>
      </c>
      <c r="AB31" s="233" t="str">
        <f>IF(AND(AB7&lt;&gt;L31),1,"")</f>
        <v/>
      </c>
      <c r="AC31" s="233" t="str">
        <f>IF(AND(AC7&lt;&gt;L31),1,"")</f>
        <v/>
      </c>
      <c r="AD31" s="233" t="str">
        <f>IF(AND(AD7&lt;&gt;L31),1,"")</f>
        <v/>
      </c>
      <c r="AE31" s="233" t="str">
        <f>IF(AND(AE7&lt;&gt;L31),1,"")</f>
        <v/>
      </c>
      <c r="AF31" s="233" t="str">
        <f>IF(AND(AF7&lt;&gt;L31),1,"")</f>
        <v/>
      </c>
      <c r="AG31" s="233" t="str">
        <f>IF(AND(AG7&lt;&gt;L31),1,"")</f>
        <v/>
      </c>
      <c r="AH31" s="233" t="str">
        <f>IF(AND(AH7&lt;&gt;L31),1,"")</f>
        <v/>
      </c>
      <c r="AI31" s="233" t="str">
        <f>IF(AND(AI7&lt;&gt;L31),1,"")</f>
        <v/>
      </c>
      <c r="AJ31" s="233" t="str">
        <f>IF(AND(AJ7&lt;&gt;L31),1,"")</f>
        <v/>
      </c>
      <c r="AK31" s="233" t="str">
        <f>IF(AND(AK7&lt;&gt;L31),1,"")</f>
        <v/>
      </c>
      <c r="AL31" s="225"/>
      <c r="AM31" s="225"/>
      <c r="AN31" s="234" t="str">
        <f>AJ$7</f>
        <v/>
      </c>
      <c r="AO31" s="225" t="b">
        <f t="shared" si="7"/>
        <v>0</v>
      </c>
      <c r="AP31" s="225">
        <v>24</v>
      </c>
      <c r="AQ31" s="225" t="e">
        <f t="shared" si="5"/>
        <v>#NUM!</v>
      </c>
      <c r="AR31" s="235" t="e">
        <f t="shared" si="6"/>
        <v>#NUM!</v>
      </c>
    </row>
    <row r="32" spans="1:44" ht="15.75" customHeight="1">
      <c r="A32" s="236" t="str">
        <f t="shared" si="0"/>
        <v/>
      </c>
      <c r="B32" s="153">
        <f>SUMIF(F18A!$A$9:$A$60,'F18'!A32,F18A!$B$9:$B$60)</f>
        <v>0</v>
      </c>
      <c r="C32" s="153">
        <f>SUMIF(F18A!$A$9:$A$60,'F18'!A32,F18A!$C$9:$C$60)</f>
        <v>0</v>
      </c>
      <c r="D32" s="237">
        <f t="shared" si="1"/>
        <v>0</v>
      </c>
      <c r="E32" s="153">
        <f>SUMIF(F18A!$A$9:$A$60,'F18'!A32,F18A!$E$9:$E$60)</f>
        <v>0</v>
      </c>
      <c r="F32" s="153">
        <f>SUMIF(F18A!$A$9:$A$60,'F18'!A32,F18A!$F$9:$F$60)</f>
        <v>0</v>
      </c>
      <c r="G32" s="237">
        <f t="shared" si="2"/>
        <v>0</v>
      </c>
      <c r="H32" s="131"/>
      <c r="I32" s="131"/>
      <c r="J32" s="131"/>
      <c r="K32" s="178" t="str">
        <f t="shared" si="3"/>
        <v/>
      </c>
      <c r="L32" s="229" t="str">
        <f>IF(AND(F18A!A60=0),"",F18A!A60)</f>
        <v/>
      </c>
      <c r="M32" s="233" t="str">
        <f>IF(AND(M7&lt;&gt;L32),1,"")</f>
        <v/>
      </c>
      <c r="N32" s="233" t="str">
        <f>IF(AND(N7&lt;&gt;L32),1,"")</f>
        <v/>
      </c>
      <c r="O32" s="233" t="str">
        <f>IF(AND(O7&lt;&gt;L32),1,"")</f>
        <v/>
      </c>
      <c r="P32" s="233" t="str">
        <f>IF(AND(P7&lt;&gt;L32),1,"")</f>
        <v/>
      </c>
      <c r="Q32" s="233" t="str">
        <f>IF(AND(Q7&lt;&gt;L32),1,"")</f>
        <v/>
      </c>
      <c r="R32" s="233" t="str">
        <f>IF(AND(R7&lt;&gt;L32),1,"")</f>
        <v/>
      </c>
      <c r="S32" s="233" t="str">
        <f>IF(AND(S7&lt;&gt;L32),1,"")</f>
        <v/>
      </c>
      <c r="T32" s="233" t="str">
        <f>IF(AND(T7&lt;&gt;L32),1,"")</f>
        <v/>
      </c>
      <c r="U32" s="233" t="str">
        <f>IF(AND(U7&lt;&gt;L32),1,"")</f>
        <v/>
      </c>
      <c r="V32" s="233" t="str">
        <f>IF(AND(V7&lt;&gt;L32),1,"")</f>
        <v/>
      </c>
      <c r="W32" s="233" t="str">
        <f>IF(AND(W7&lt;&gt;L32),1,"")</f>
        <v/>
      </c>
      <c r="X32" s="233" t="str">
        <f>IF(AND(X7&lt;&gt;L32),1,"")</f>
        <v/>
      </c>
      <c r="Y32" s="233" t="str">
        <f>IF(AND(Y7&lt;&gt;L32),1,"")</f>
        <v/>
      </c>
      <c r="Z32" s="233" t="str">
        <f>IF(AND(Z7&lt;&gt;L32),1,"")</f>
        <v/>
      </c>
      <c r="AA32" s="233" t="str">
        <f>IF(AND(AA7&lt;&gt;L32),1,"")</f>
        <v/>
      </c>
      <c r="AB32" s="233" t="str">
        <f>IF(AND(AB7&lt;&gt;L32),1,"")</f>
        <v/>
      </c>
      <c r="AC32" s="233" t="str">
        <f>IF(AND(AC7&lt;&gt;L32),1,"")</f>
        <v/>
      </c>
      <c r="AD32" s="233" t="str">
        <f>IF(AND(AD7&lt;&gt;L32),1,"")</f>
        <v/>
      </c>
      <c r="AE32" s="233" t="str">
        <f>IF(AND(AE7&lt;&gt;L32),1,"")</f>
        <v/>
      </c>
      <c r="AF32" s="233" t="str">
        <f>IF(AND(AF7&lt;&gt;L32),1,"")</f>
        <v/>
      </c>
      <c r="AG32" s="233" t="str">
        <f>IF(AND(AG7&lt;&gt;L32),1,"")</f>
        <v/>
      </c>
      <c r="AH32" s="233" t="str">
        <f>IF(AND(AH7&lt;&gt;L32),1,"")</f>
        <v/>
      </c>
      <c r="AI32" s="233" t="str">
        <f>IF(AND(AI7&lt;&gt;L32),1,"")</f>
        <v/>
      </c>
      <c r="AJ32" s="233" t="str">
        <f>IF(AND(AJ7&lt;&gt;L32),1,"")</f>
        <v/>
      </c>
      <c r="AK32" s="233" t="str">
        <f>IF(AND(AK7&lt;&gt;L32),1,"")</f>
        <v/>
      </c>
      <c r="AL32" s="225"/>
      <c r="AM32" s="225"/>
      <c r="AN32" s="234" t="str">
        <f>AK$7</f>
        <v/>
      </c>
      <c r="AO32" s="225" t="b">
        <f t="shared" si="7"/>
        <v>0</v>
      </c>
      <c r="AP32" s="225">
        <v>25</v>
      </c>
      <c r="AQ32" s="225" t="e">
        <f t="shared" si="5"/>
        <v>#NUM!</v>
      </c>
      <c r="AR32" s="235" t="e">
        <f t="shared" si="6"/>
        <v>#NUM!</v>
      </c>
    </row>
    <row r="33" spans="1:44" ht="15.75" customHeight="1">
      <c r="A33" s="236" t="str">
        <f t="shared" si="0"/>
        <v/>
      </c>
      <c r="B33" s="153">
        <f>SUMIF(F18A!$A$9:$A$60,'F18'!A33,F18A!$B$9:$B$60)</f>
        <v>0</v>
      </c>
      <c r="C33" s="153">
        <f>SUMIF(F18A!$A$9:$A$60,'F18'!A33,F18A!$C$9:$C$60)</f>
        <v>0</v>
      </c>
      <c r="D33" s="237">
        <f t="shared" si="1"/>
        <v>0</v>
      </c>
      <c r="E33" s="153">
        <f>SUMIF(F18A!$A$9:$A$60,'F18'!A33,F18A!$E$9:$E$60)</f>
        <v>0</v>
      </c>
      <c r="F33" s="153">
        <f>SUMIF(F18A!$A$9:$A$60,'F18'!A33,F18A!$F$9:$F$60)</f>
        <v>0</v>
      </c>
      <c r="G33" s="237">
        <f t="shared" si="2"/>
        <v>0</v>
      </c>
      <c r="H33" s="131"/>
      <c r="I33" s="131"/>
      <c r="J33" s="131"/>
      <c r="K33" s="131"/>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34" t="str">
        <f t="shared" ref="AN33:AN57" si="8">K8</f>
        <v/>
      </c>
      <c r="AO33" s="225" t="b">
        <f t="shared" si="7"/>
        <v>0</v>
      </c>
      <c r="AP33" s="225">
        <v>26</v>
      </c>
      <c r="AQ33" s="225" t="e">
        <f t="shared" si="5"/>
        <v>#NUM!</v>
      </c>
      <c r="AR33" s="235" t="e">
        <f t="shared" si="6"/>
        <v>#NUM!</v>
      </c>
    </row>
    <row r="34" spans="1:44" ht="15.75" customHeight="1">
      <c r="A34" s="236" t="str">
        <f t="shared" si="0"/>
        <v/>
      </c>
      <c r="B34" s="153">
        <f>SUMIF(F18A!$A$9:$A$60,'F18'!A34,F18A!$B$9:$B$60)</f>
        <v>0</v>
      </c>
      <c r="C34" s="153">
        <f>SUMIF(F18A!$A$9:$A$60,'F18'!A34,F18A!$C$9:$C$60)</f>
        <v>0</v>
      </c>
      <c r="D34" s="237">
        <f t="shared" si="1"/>
        <v>0</v>
      </c>
      <c r="E34" s="153">
        <f>SUMIF(F18A!$A$9:$A$60,'F18'!A34,F18A!$E$9:$E$60)</f>
        <v>0</v>
      </c>
      <c r="F34" s="153">
        <f>SUMIF(F18A!$A$9:$A$60,'F18'!A34,F18A!$F$9:$F$60)</f>
        <v>0</v>
      </c>
      <c r="G34" s="237">
        <f t="shared" si="2"/>
        <v>0</v>
      </c>
      <c r="H34" s="131"/>
      <c r="I34" s="131"/>
      <c r="J34" s="131"/>
      <c r="K34" s="131"/>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34" t="str">
        <f t="shared" si="8"/>
        <v/>
      </c>
      <c r="AO34" s="225" t="b">
        <f t="shared" si="7"/>
        <v>0</v>
      </c>
      <c r="AP34" s="225">
        <v>27</v>
      </c>
      <c r="AQ34" s="225" t="e">
        <f t="shared" si="5"/>
        <v>#NUM!</v>
      </c>
      <c r="AR34" s="235" t="e">
        <f t="shared" si="6"/>
        <v>#NUM!</v>
      </c>
    </row>
    <row r="35" spans="1:44" ht="15.75" customHeight="1">
      <c r="A35" s="236" t="str">
        <f t="shared" si="0"/>
        <v/>
      </c>
      <c r="B35" s="153">
        <f>SUMIF(F18A!$A$9:$A$60,'F18'!A35,F18A!$B$9:$B$60)</f>
        <v>0</v>
      </c>
      <c r="C35" s="153">
        <f>SUMIF(F18A!$A$9:$A$60,'F18'!A35,F18A!$C$9:$C$60)</f>
        <v>0</v>
      </c>
      <c r="D35" s="237">
        <f t="shared" si="1"/>
        <v>0</v>
      </c>
      <c r="E35" s="153">
        <f>SUMIF(F18A!$A$9:$A$60,'F18'!A35,F18A!$E$9:$E$60)</f>
        <v>0</v>
      </c>
      <c r="F35" s="153">
        <f>SUMIF(F18A!$A$9:$A$60,'F18'!A35,F18A!$F$9:$F$60)</f>
        <v>0</v>
      </c>
      <c r="G35" s="237">
        <f t="shared" si="2"/>
        <v>0</v>
      </c>
      <c r="H35" s="131"/>
      <c r="I35" s="131"/>
      <c r="J35" s="131"/>
      <c r="K35" s="131"/>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34" t="str">
        <f t="shared" si="8"/>
        <v/>
      </c>
      <c r="AO35" s="225" t="b">
        <f t="shared" si="7"/>
        <v>0</v>
      </c>
      <c r="AP35" s="225">
        <v>28</v>
      </c>
      <c r="AQ35" s="225" t="e">
        <f t="shared" si="5"/>
        <v>#NUM!</v>
      </c>
      <c r="AR35" s="235" t="e">
        <f t="shared" si="6"/>
        <v>#NUM!</v>
      </c>
    </row>
    <row r="36" spans="1:44" ht="15.75" customHeight="1">
      <c r="A36" s="236" t="str">
        <f t="shared" si="0"/>
        <v/>
      </c>
      <c r="B36" s="153">
        <f>SUMIF(F18A!$A$9:$A$60,'F18'!A36,F18A!$B$9:$B$60)</f>
        <v>0</v>
      </c>
      <c r="C36" s="153">
        <f>SUMIF(F18A!$A$9:$A$60,'F18'!A36,F18A!$C$9:$C$60)</f>
        <v>0</v>
      </c>
      <c r="D36" s="237">
        <f t="shared" si="1"/>
        <v>0</v>
      </c>
      <c r="E36" s="153">
        <f>SUMIF(F18A!$A$9:$A$60,'F18'!A36,F18A!$E$9:$E$60)</f>
        <v>0</v>
      </c>
      <c r="F36" s="153">
        <f>SUMIF(F18A!$A$9:$A$60,'F18'!A36,F18A!$F$9:$F$60)</f>
        <v>0</v>
      </c>
      <c r="G36" s="237">
        <f t="shared" si="2"/>
        <v>0</v>
      </c>
      <c r="H36" s="131"/>
      <c r="I36" s="131"/>
      <c r="J36" s="131"/>
      <c r="K36" s="131"/>
      <c r="L36" s="225"/>
      <c r="M36" s="225"/>
      <c r="N36" s="225"/>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25"/>
      <c r="AN36" s="234" t="str">
        <f t="shared" si="8"/>
        <v/>
      </c>
      <c r="AO36" s="225" t="b">
        <f t="shared" si="7"/>
        <v>0</v>
      </c>
      <c r="AP36" s="225">
        <v>29</v>
      </c>
      <c r="AQ36" s="225" t="e">
        <f t="shared" si="5"/>
        <v>#NUM!</v>
      </c>
      <c r="AR36" s="235" t="e">
        <f t="shared" si="6"/>
        <v>#NUM!</v>
      </c>
    </row>
    <row r="37" spans="1:44" ht="15.75" customHeight="1">
      <c r="A37" s="236" t="str">
        <f t="shared" si="0"/>
        <v/>
      </c>
      <c r="B37" s="153">
        <f>SUMIF(F18A!$A$9:$A$60,'F18'!A37,F18A!$B$9:$B$60)</f>
        <v>0</v>
      </c>
      <c r="C37" s="153">
        <f>SUMIF(F18A!$A$9:$A$60,'F18'!A37,F18A!$C$9:$C$60)</f>
        <v>0</v>
      </c>
      <c r="D37" s="237">
        <f t="shared" si="1"/>
        <v>0</v>
      </c>
      <c r="E37" s="153">
        <f>SUMIF(F18A!$A$9:$A$60,'F18'!A37,F18A!$E$9:$E$60)</f>
        <v>0</v>
      </c>
      <c r="F37" s="153">
        <f>SUMIF(F18A!$A$9:$A$60,'F18'!A37,F18A!$F$9:$F$60)</f>
        <v>0</v>
      </c>
      <c r="G37" s="237">
        <f t="shared" si="2"/>
        <v>0</v>
      </c>
      <c r="H37" s="131"/>
      <c r="I37" s="131"/>
      <c r="J37" s="131"/>
      <c r="K37" s="131"/>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34" t="str">
        <f t="shared" si="8"/>
        <v/>
      </c>
      <c r="AO37" s="225" t="b">
        <f t="shared" si="7"/>
        <v>0</v>
      </c>
      <c r="AP37" s="225">
        <v>30</v>
      </c>
      <c r="AQ37" s="225" t="e">
        <f t="shared" si="5"/>
        <v>#NUM!</v>
      </c>
      <c r="AR37" s="235" t="e">
        <f t="shared" si="6"/>
        <v>#NUM!</v>
      </c>
    </row>
    <row r="38" spans="1:44" ht="15.75" customHeight="1">
      <c r="A38" s="236" t="str">
        <f t="shared" si="0"/>
        <v/>
      </c>
      <c r="B38" s="153">
        <f>SUMIF(F18A!$A$9:$A$60,'F18'!A38,F18A!$B$9:$B$60)</f>
        <v>0</v>
      </c>
      <c r="C38" s="153">
        <f>SUMIF(F18A!$A$9:$A$60,'F18'!A38,F18A!$C$9:$C$60)</f>
        <v>0</v>
      </c>
      <c r="D38" s="237">
        <f t="shared" si="1"/>
        <v>0</v>
      </c>
      <c r="E38" s="153">
        <f>SUMIF(F18A!$A$9:$A$60,'F18'!A38,F18A!$E$9:$E$60)</f>
        <v>0</v>
      </c>
      <c r="F38" s="153">
        <f>SUMIF(F18A!$A$9:$A$60,'F18'!A38,F18A!$F$9:$F$60)</f>
        <v>0</v>
      </c>
      <c r="G38" s="237">
        <f t="shared" si="2"/>
        <v>0</v>
      </c>
      <c r="H38" s="131"/>
      <c r="I38" s="131"/>
      <c r="J38" s="131"/>
      <c r="K38" s="131"/>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34" t="str">
        <f t="shared" si="8"/>
        <v/>
      </c>
      <c r="AO38" s="225" t="b">
        <f t="shared" si="7"/>
        <v>0</v>
      </c>
      <c r="AP38" s="225">
        <v>31</v>
      </c>
      <c r="AQ38" s="225" t="e">
        <f t="shared" si="5"/>
        <v>#NUM!</v>
      </c>
      <c r="AR38" s="235" t="e">
        <f t="shared" si="6"/>
        <v>#NUM!</v>
      </c>
    </row>
    <row r="39" spans="1:44" ht="15.75" customHeight="1">
      <c r="A39" s="236" t="str">
        <f t="shared" si="0"/>
        <v/>
      </c>
      <c r="B39" s="153">
        <f>SUMIF(F18A!$A$9:$A$60,'F18'!A39,F18A!$B$9:$B$60)</f>
        <v>0</v>
      </c>
      <c r="C39" s="153">
        <f>SUMIF(F18A!$A$9:$A$60,'F18'!A39,F18A!$C$9:$C$60)</f>
        <v>0</v>
      </c>
      <c r="D39" s="237">
        <f t="shared" si="1"/>
        <v>0</v>
      </c>
      <c r="E39" s="153">
        <f>SUMIF(F18A!$A$9:$A$60,'F18'!A39,F18A!$E$9:$E$60)</f>
        <v>0</v>
      </c>
      <c r="F39" s="153">
        <f>SUMIF(F18A!$A$9:$A$60,'F18'!A39,F18A!$F$9:$F$60)</f>
        <v>0</v>
      </c>
      <c r="G39" s="237">
        <f t="shared" si="2"/>
        <v>0</v>
      </c>
      <c r="H39" s="131"/>
      <c r="I39" s="131"/>
      <c r="J39" s="131"/>
      <c r="K39" s="131"/>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34" t="str">
        <f t="shared" si="8"/>
        <v/>
      </c>
      <c r="AO39" s="225" t="b">
        <f t="shared" si="7"/>
        <v>0</v>
      </c>
      <c r="AP39" s="225">
        <v>32</v>
      </c>
      <c r="AQ39" s="225" t="e">
        <f t="shared" si="5"/>
        <v>#NUM!</v>
      </c>
      <c r="AR39" s="235" t="e">
        <f t="shared" si="6"/>
        <v>#NUM!</v>
      </c>
    </row>
    <row r="40" spans="1:44" ht="15.75" customHeight="1">
      <c r="A40" s="236" t="str">
        <f t="shared" si="0"/>
        <v/>
      </c>
      <c r="B40" s="153">
        <f>SUMIF(F18A!$A$9:$A$60,'F18'!A40,F18A!$B$9:$B$60)</f>
        <v>0</v>
      </c>
      <c r="C40" s="153">
        <f>SUMIF(F18A!$A$9:$A$60,'F18'!A40,F18A!$C$9:$C$60)</f>
        <v>0</v>
      </c>
      <c r="D40" s="237">
        <f t="shared" si="1"/>
        <v>0</v>
      </c>
      <c r="E40" s="153">
        <f>SUMIF(F18A!$A$9:$A$60,'F18'!A40,F18A!$E$9:$E$60)</f>
        <v>0</v>
      </c>
      <c r="F40" s="153">
        <f>SUMIF(F18A!$A$9:$A$60,'F18'!A40,F18A!$F$9:$F$60)</f>
        <v>0</v>
      </c>
      <c r="G40" s="237">
        <f t="shared" si="2"/>
        <v>0</v>
      </c>
      <c r="H40" s="131"/>
      <c r="I40" s="131"/>
      <c r="J40" s="131"/>
      <c r="K40" s="131"/>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34" t="str">
        <f t="shared" si="8"/>
        <v/>
      </c>
      <c r="AO40" s="225" t="b">
        <f t="shared" si="7"/>
        <v>0</v>
      </c>
      <c r="AP40" s="225">
        <v>33</v>
      </c>
      <c r="AQ40" s="225" t="e">
        <f t="shared" si="5"/>
        <v>#NUM!</v>
      </c>
      <c r="AR40" s="235" t="e">
        <f t="shared" si="6"/>
        <v>#NUM!</v>
      </c>
    </row>
    <row r="41" spans="1:44" ht="15" customHeight="1">
      <c r="A41" s="236" t="str">
        <f t="shared" si="0"/>
        <v/>
      </c>
      <c r="B41" s="153">
        <f>SUMIF(F18A!$A$9:$A$60,'F18'!A41,F18A!$B$9:$B$60)</f>
        <v>0</v>
      </c>
      <c r="C41" s="153">
        <f>SUMIF(F18A!$A$9:$A$60,'F18'!A41,F18A!$C$9:$C$60)</f>
        <v>0</v>
      </c>
      <c r="D41" s="237">
        <f t="shared" si="1"/>
        <v>0</v>
      </c>
      <c r="E41" s="153">
        <f>SUMIF(F18A!$A$9:$A$60,'F18'!A41,F18A!$E$9:$E$60)</f>
        <v>0</v>
      </c>
      <c r="F41" s="153">
        <f>SUMIF(F18A!$A$9:$A$60,'F18'!A41,F18A!$F$9:$F$60)</f>
        <v>0</v>
      </c>
      <c r="G41" s="237">
        <f t="shared" si="2"/>
        <v>0</v>
      </c>
      <c r="H41" s="131"/>
      <c r="I41" s="131"/>
      <c r="J41" s="131"/>
      <c r="K41" s="131"/>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34" t="str">
        <f t="shared" si="8"/>
        <v/>
      </c>
      <c r="AO41" s="225" t="b">
        <f>IF(AN$8:AN$57&lt;&gt;"",ROW(AN41:AN85))</f>
        <v>0</v>
      </c>
      <c r="AP41" s="225">
        <v>34</v>
      </c>
      <c r="AQ41" s="225" t="e">
        <f t="shared" si="5"/>
        <v>#NUM!</v>
      </c>
      <c r="AR41" s="235" t="e">
        <f t="shared" si="6"/>
        <v>#NUM!</v>
      </c>
    </row>
    <row r="42" spans="1:44" ht="15.75" customHeight="1">
      <c r="A42" s="236" t="str">
        <f t="shared" si="0"/>
        <v/>
      </c>
      <c r="B42" s="153">
        <f>SUMIF(F18A!$A$9:$A$60,'F18'!A42,F18A!$B$9:$B$60)</f>
        <v>0</v>
      </c>
      <c r="C42" s="153">
        <f>SUMIF(F18A!$A$9:$A$60,'F18'!A42,F18A!$C$9:$C$60)</f>
        <v>0</v>
      </c>
      <c r="D42" s="237">
        <f t="shared" si="1"/>
        <v>0</v>
      </c>
      <c r="E42" s="153">
        <f>SUMIF(F18A!$A$9:$A$60,'F18'!A42,F18A!$E$9:$E$60)</f>
        <v>0</v>
      </c>
      <c r="F42" s="153">
        <f>SUMIF(F18A!$A$9:$A$60,'F18'!A42,F18A!$F$9:$F$60)</f>
        <v>0</v>
      </c>
      <c r="G42" s="237">
        <f t="shared" si="2"/>
        <v>0</v>
      </c>
      <c r="H42" s="131"/>
      <c r="I42" s="131"/>
      <c r="J42" s="131"/>
      <c r="K42" s="131"/>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34" t="str">
        <f t="shared" si="8"/>
        <v/>
      </c>
      <c r="AO42" s="225" t="b">
        <f>IF(AN$8:AN$57&lt;&gt;"",ROW(AN42:AN87))</f>
        <v>0</v>
      </c>
      <c r="AP42" s="225">
        <v>35</v>
      </c>
      <c r="AQ42" s="225" t="e">
        <f t="shared" si="5"/>
        <v>#NUM!</v>
      </c>
      <c r="AR42" s="235" t="e">
        <f t="shared" si="6"/>
        <v>#NUM!</v>
      </c>
    </row>
    <row r="43" spans="1:44" ht="15.75" customHeight="1">
      <c r="A43" s="236" t="str">
        <f t="shared" si="0"/>
        <v/>
      </c>
      <c r="B43" s="153">
        <f>SUMIF(F18A!$A$9:$A$60,'F18'!A43,F18A!$B$9:$B$60)</f>
        <v>0</v>
      </c>
      <c r="C43" s="153">
        <f>SUMIF(F18A!$A$9:$A$60,'F18'!A43,F18A!$C$9:$C$60)</f>
        <v>0</v>
      </c>
      <c r="D43" s="237">
        <f t="shared" si="1"/>
        <v>0</v>
      </c>
      <c r="E43" s="153">
        <f>SUMIF(F18A!$A$9:$A$60,'F18'!A43,F18A!$E$9:$E$60)</f>
        <v>0</v>
      </c>
      <c r="F43" s="153">
        <f>SUMIF(F18A!$A$9:$A$60,'F18'!A43,F18A!$F$9:$F$60)</f>
        <v>0</v>
      </c>
      <c r="G43" s="237">
        <f t="shared" si="2"/>
        <v>0</v>
      </c>
      <c r="H43" s="131"/>
      <c r="I43" s="131"/>
      <c r="J43" s="131"/>
      <c r="K43" s="131"/>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34" t="str">
        <f t="shared" si="8"/>
        <v/>
      </c>
      <c r="AO43" s="225" t="b">
        <f>IF(AN$8:AN$57&lt;&gt;"",ROW(AN43:AN89))</f>
        <v>0</v>
      </c>
      <c r="AP43" s="225">
        <v>36</v>
      </c>
      <c r="AQ43" s="225" t="e">
        <f t="shared" si="5"/>
        <v>#NUM!</v>
      </c>
      <c r="AR43" s="235" t="e">
        <f t="shared" si="6"/>
        <v>#NUM!</v>
      </c>
    </row>
    <row r="44" spans="1:44" ht="15.75" customHeight="1">
      <c r="A44" s="236" t="str">
        <f t="shared" si="0"/>
        <v/>
      </c>
      <c r="B44" s="153">
        <f>SUMIF(F18A!$A$9:$A$60,'F18'!A44,F18A!$B$9:$B$60)</f>
        <v>0</v>
      </c>
      <c r="C44" s="153">
        <f>SUMIF(F18A!$A$9:$A$60,'F18'!A44,F18A!$C$9:$C$60)</f>
        <v>0</v>
      </c>
      <c r="D44" s="237">
        <f t="shared" si="1"/>
        <v>0</v>
      </c>
      <c r="E44" s="153">
        <f>SUMIF(F18A!$A$9:$A$60,'F18'!A44,F18A!$E$9:$E$60)</f>
        <v>0</v>
      </c>
      <c r="F44" s="153">
        <f>SUMIF(F18A!$A$9:$A$60,'F18'!A44,F18A!$F$9:$F$60)</f>
        <v>0</v>
      </c>
      <c r="G44" s="237">
        <f t="shared" si="2"/>
        <v>0</v>
      </c>
      <c r="H44" s="131"/>
      <c r="I44" s="131"/>
      <c r="J44" s="131"/>
      <c r="K44" s="131"/>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34" t="str">
        <f t="shared" si="8"/>
        <v/>
      </c>
      <c r="AO44" s="225" t="b">
        <f t="shared" ref="AO44:AO53" si="9">IF(AN$8:AN$57&lt;&gt;"",ROW(AN44:AN91))</f>
        <v>0</v>
      </c>
      <c r="AP44" s="225">
        <v>37</v>
      </c>
      <c r="AQ44" s="225" t="e">
        <f t="shared" si="5"/>
        <v>#NUM!</v>
      </c>
      <c r="AR44" s="235" t="e">
        <f t="shared" si="6"/>
        <v>#NUM!</v>
      </c>
    </row>
    <row r="45" spans="1:44" ht="15.75" customHeight="1">
      <c r="A45" s="236" t="str">
        <f t="shared" si="0"/>
        <v/>
      </c>
      <c r="B45" s="153">
        <f>SUMIF(F18A!$A$9:$A$60,'F18'!A45,F18A!$B$9:$B$60)</f>
        <v>0</v>
      </c>
      <c r="C45" s="153">
        <f>SUMIF(F18A!$A$9:$A$60,'F18'!A45,F18A!$C$9:$C$60)</f>
        <v>0</v>
      </c>
      <c r="D45" s="237">
        <f t="shared" si="1"/>
        <v>0</v>
      </c>
      <c r="E45" s="153">
        <f>SUMIF(F18A!$A$9:$A$60,'F18'!A45,F18A!$E$9:$E$60)</f>
        <v>0</v>
      </c>
      <c r="F45" s="153">
        <f>SUMIF(F18A!$A$9:$A$60,'F18'!A45,F18A!$F$9:$F$60)</f>
        <v>0</v>
      </c>
      <c r="G45" s="237">
        <f t="shared" si="2"/>
        <v>0</v>
      </c>
      <c r="H45" s="131"/>
      <c r="I45" s="131"/>
      <c r="J45" s="131"/>
      <c r="K45" s="131"/>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34" t="str">
        <f t="shared" si="8"/>
        <v/>
      </c>
      <c r="AO45" s="225" t="b">
        <f t="shared" si="9"/>
        <v>0</v>
      </c>
      <c r="AP45" s="225">
        <v>38</v>
      </c>
      <c r="AQ45" s="225" t="e">
        <f t="shared" si="5"/>
        <v>#NUM!</v>
      </c>
      <c r="AR45" s="235" t="e">
        <f t="shared" si="6"/>
        <v>#NUM!</v>
      </c>
    </row>
    <row r="46" spans="1:44" ht="15.75" customHeight="1">
      <c r="A46" s="236" t="str">
        <f t="shared" si="0"/>
        <v/>
      </c>
      <c r="B46" s="153">
        <f>SUMIF(F18A!$A$9:$A$60,'F18'!A46,F18A!$B$9:$B$60)</f>
        <v>0</v>
      </c>
      <c r="C46" s="153">
        <f>SUMIF(F18A!$A$9:$A$60,'F18'!A46,F18A!$C$9:$C$60)</f>
        <v>0</v>
      </c>
      <c r="D46" s="237">
        <f t="shared" si="1"/>
        <v>0</v>
      </c>
      <c r="E46" s="153">
        <f>SUMIF(F18A!$A$9:$A$60,'F18'!A46,F18A!$E$9:$E$60)</f>
        <v>0</v>
      </c>
      <c r="F46" s="153">
        <f>SUMIF(F18A!$A$9:$A$60,'F18'!A46,F18A!$F$9:$F$60)</f>
        <v>0</v>
      </c>
      <c r="G46" s="237">
        <f t="shared" si="2"/>
        <v>0</v>
      </c>
      <c r="H46" s="131"/>
      <c r="I46" s="131"/>
      <c r="J46" s="131"/>
      <c r="K46" s="131"/>
      <c r="L46" s="225"/>
      <c r="M46" s="225"/>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34" t="str">
        <f t="shared" si="8"/>
        <v/>
      </c>
      <c r="AO46" s="225" t="b">
        <f t="shared" si="9"/>
        <v>0</v>
      </c>
      <c r="AP46" s="225">
        <v>39</v>
      </c>
      <c r="AQ46" s="225" t="e">
        <f t="shared" si="5"/>
        <v>#NUM!</v>
      </c>
      <c r="AR46" s="235" t="e">
        <f t="shared" si="6"/>
        <v>#NUM!</v>
      </c>
    </row>
    <row r="47" spans="1:44" ht="15.75" customHeight="1">
      <c r="A47" s="236" t="str">
        <f t="shared" si="0"/>
        <v/>
      </c>
      <c r="B47" s="153">
        <f>SUMIF(F18A!$A$9:$A$60,'F18'!A47,F18A!$B$9:$B$60)</f>
        <v>0</v>
      </c>
      <c r="C47" s="153">
        <f>SUMIF(F18A!$A$9:$A$60,'F18'!A47,F18A!$C$9:$C$60)</f>
        <v>0</v>
      </c>
      <c r="D47" s="237">
        <f t="shared" si="1"/>
        <v>0</v>
      </c>
      <c r="E47" s="153">
        <f>SUMIF(F18A!$A$9:$A$60,'F18'!A47,F18A!$E$9:$E$60)</f>
        <v>0</v>
      </c>
      <c r="F47" s="153">
        <f>SUMIF(F18A!$A$9:$A$60,'F18'!A47,F18A!$F$9:$F$60)</f>
        <v>0</v>
      </c>
      <c r="G47" s="237">
        <f t="shared" si="2"/>
        <v>0</v>
      </c>
      <c r="H47" s="131"/>
      <c r="I47" s="131"/>
      <c r="J47" s="131"/>
      <c r="K47" s="131"/>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34" t="str">
        <f t="shared" si="8"/>
        <v/>
      </c>
      <c r="AO47" s="225" t="b">
        <f t="shared" si="9"/>
        <v>0</v>
      </c>
      <c r="AP47" s="225">
        <v>40</v>
      </c>
      <c r="AQ47" s="225" t="e">
        <f t="shared" si="5"/>
        <v>#NUM!</v>
      </c>
      <c r="AR47" s="235" t="e">
        <f t="shared" si="6"/>
        <v>#NUM!</v>
      </c>
    </row>
    <row r="48" spans="1:44" ht="15.75" customHeight="1">
      <c r="A48" s="236" t="str">
        <f t="shared" si="0"/>
        <v/>
      </c>
      <c r="B48" s="153">
        <f>SUMIF(F18A!$A$9:$A$60,'F18'!A48,F18A!$B$9:$B$60)</f>
        <v>0</v>
      </c>
      <c r="C48" s="153">
        <f>SUMIF(F18A!$A$9:$A$60,'F18'!A48,F18A!$C$9:$C$60)</f>
        <v>0</v>
      </c>
      <c r="D48" s="237">
        <f t="shared" si="1"/>
        <v>0</v>
      </c>
      <c r="E48" s="153">
        <f>SUMIF(F18A!$A$9:$A$60,'F18'!A48,F18A!$E$9:$E$60)</f>
        <v>0</v>
      </c>
      <c r="F48" s="153">
        <f>SUMIF(F18A!$A$9:$A$60,'F18'!A48,F18A!$F$9:$F$60)</f>
        <v>0</v>
      </c>
      <c r="G48" s="237">
        <f t="shared" si="2"/>
        <v>0</v>
      </c>
      <c r="H48" s="131"/>
      <c r="I48" s="131"/>
      <c r="J48" s="131"/>
      <c r="K48" s="131"/>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34" t="str">
        <f t="shared" si="8"/>
        <v/>
      </c>
      <c r="AO48" s="225" t="b">
        <f t="shared" si="9"/>
        <v>0</v>
      </c>
      <c r="AP48" s="225">
        <v>41</v>
      </c>
      <c r="AQ48" s="225" t="e">
        <f t="shared" si="5"/>
        <v>#NUM!</v>
      </c>
      <c r="AR48" s="235" t="e">
        <f t="shared" si="6"/>
        <v>#NUM!</v>
      </c>
    </row>
    <row r="49" spans="1:44" ht="15.75" customHeight="1">
      <c r="A49" s="236" t="str">
        <f t="shared" si="0"/>
        <v/>
      </c>
      <c r="B49" s="153">
        <f>SUMIF(F18A!$A$9:$A$60,'F18'!A49,F18A!$B$9:$B$60)</f>
        <v>0</v>
      </c>
      <c r="C49" s="153">
        <f>SUMIF(F18A!$A$9:$A$60,'F18'!A49,F18A!$C$9:$C$60)</f>
        <v>0</v>
      </c>
      <c r="D49" s="237">
        <f t="shared" si="1"/>
        <v>0</v>
      </c>
      <c r="E49" s="153">
        <f>SUMIF(F18A!$A$9:$A$60,'F18'!A49,F18A!$E$9:$E$60)</f>
        <v>0</v>
      </c>
      <c r="F49" s="153">
        <f>SUMIF(F18A!$A$9:$A$60,'F18'!A49,F18A!$F$9:$F$60)</f>
        <v>0</v>
      </c>
      <c r="G49" s="237">
        <f t="shared" si="2"/>
        <v>0</v>
      </c>
      <c r="H49" s="131"/>
      <c r="I49" s="131"/>
      <c r="J49" s="131"/>
      <c r="K49" s="131"/>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34" t="str">
        <f t="shared" si="8"/>
        <v/>
      </c>
      <c r="AO49" s="225" t="b">
        <f t="shared" si="9"/>
        <v>0</v>
      </c>
      <c r="AP49" s="225">
        <v>42</v>
      </c>
      <c r="AQ49" s="225" t="e">
        <f t="shared" si="5"/>
        <v>#NUM!</v>
      </c>
      <c r="AR49" s="235" t="e">
        <f t="shared" si="6"/>
        <v>#NUM!</v>
      </c>
    </row>
    <row r="50" spans="1:44" ht="15.75" customHeight="1">
      <c r="A50" s="236" t="str">
        <f t="shared" si="0"/>
        <v/>
      </c>
      <c r="B50" s="153">
        <f>SUMIF(F18A!$A$9:$A$60,'F18'!A50,F18A!$B$9:$B$60)</f>
        <v>0</v>
      </c>
      <c r="C50" s="153">
        <f>SUMIF(F18A!$A$9:$A$60,'F18'!A50,F18A!$C$9:$C$60)</f>
        <v>0</v>
      </c>
      <c r="D50" s="237">
        <f t="shared" si="1"/>
        <v>0</v>
      </c>
      <c r="E50" s="153">
        <f>SUMIF(F18A!$A$9:$A$60,'F18'!A50,F18A!$E$9:$E$60)</f>
        <v>0</v>
      </c>
      <c r="F50" s="153">
        <f>SUMIF(F18A!$A$9:$A$60,'F18'!A50,F18A!$F$9:$F$60)</f>
        <v>0</v>
      </c>
      <c r="G50" s="237">
        <f t="shared" si="2"/>
        <v>0</v>
      </c>
      <c r="H50" s="131"/>
      <c r="I50" s="131"/>
      <c r="J50" s="131"/>
      <c r="K50" s="131"/>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34" t="str">
        <f t="shared" si="8"/>
        <v/>
      </c>
      <c r="AO50" s="225" t="b">
        <f t="shared" si="9"/>
        <v>0</v>
      </c>
      <c r="AP50" s="225">
        <v>43</v>
      </c>
      <c r="AQ50" s="225" t="e">
        <f t="shared" si="5"/>
        <v>#NUM!</v>
      </c>
      <c r="AR50" s="235" t="e">
        <f t="shared" si="6"/>
        <v>#NUM!</v>
      </c>
    </row>
    <row r="51" spans="1:44" ht="15.75" customHeight="1">
      <c r="A51" s="236" t="str">
        <f t="shared" si="0"/>
        <v/>
      </c>
      <c r="B51" s="153">
        <f>SUMIF(F18A!$A$9:$A$60,'F18'!A51,F18A!$B$9:$B$60)</f>
        <v>0</v>
      </c>
      <c r="C51" s="153">
        <f>SUMIF(F18A!$A$9:$A$60,'F18'!A51,F18A!$C$9:$C$60)</f>
        <v>0</v>
      </c>
      <c r="D51" s="237">
        <f t="shared" si="1"/>
        <v>0</v>
      </c>
      <c r="E51" s="153">
        <f>SUMIF(F18A!$A$9:$A$60,'F18'!A51,F18A!$E$9:$E$60)</f>
        <v>0</v>
      </c>
      <c r="F51" s="153">
        <f>SUMIF(F18A!$A$9:$A$60,'F18'!A51,F18A!$F$9:$F$60)</f>
        <v>0</v>
      </c>
      <c r="G51" s="237">
        <f t="shared" si="2"/>
        <v>0</v>
      </c>
      <c r="H51" s="131"/>
      <c r="I51" s="131"/>
      <c r="J51" s="131"/>
      <c r="K51" s="131"/>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34" t="str">
        <f t="shared" si="8"/>
        <v/>
      </c>
      <c r="AO51" s="225" t="b">
        <f t="shared" si="9"/>
        <v>0</v>
      </c>
      <c r="AP51" s="225">
        <v>44</v>
      </c>
      <c r="AQ51" s="225" t="e">
        <f t="shared" si="5"/>
        <v>#NUM!</v>
      </c>
      <c r="AR51" s="235" t="e">
        <f t="shared" si="6"/>
        <v>#NUM!</v>
      </c>
    </row>
    <row r="52" spans="1:44" ht="15.75" customHeight="1">
      <c r="A52" s="236" t="str">
        <f t="shared" si="0"/>
        <v/>
      </c>
      <c r="B52" s="153">
        <f>SUMIF(F18A!$A$9:$A$60,'F18'!A52,F18A!$B$9:$B$60)</f>
        <v>0</v>
      </c>
      <c r="C52" s="153">
        <f>SUMIF(F18A!$A$9:$A$60,'F18'!A52,F18A!$C$9:$C$60)</f>
        <v>0</v>
      </c>
      <c r="D52" s="237">
        <f t="shared" si="1"/>
        <v>0</v>
      </c>
      <c r="E52" s="153">
        <f>SUMIF(F18A!$A$9:$A$60,'F18'!A52,F18A!$E$9:$E$60)</f>
        <v>0</v>
      </c>
      <c r="F52" s="153">
        <f>SUMIF(F18A!$A$9:$A$60,'F18'!A52,F18A!$F$9:$F$60)</f>
        <v>0</v>
      </c>
      <c r="G52" s="237">
        <f t="shared" si="2"/>
        <v>0</v>
      </c>
      <c r="H52" s="131"/>
      <c r="I52" s="131"/>
      <c r="J52" s="131"/>
      <c r="K52" s="131"/>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34" t="str">
        <f t="shared" si="8"/>
        <v/>
      </c>
      <c r="AO52" s="225" t="b">
        <f t="shared" si="9"/>
        <v>0</v>
      </c>
      <c r="AP52" s="225">
        <v>45</v>
      </c>
      <c r="AQ52" s="225" t="e">
        <f t="shared" si="5"/>
        <v>#NUM!</v>
      </c>
      <c r="AR52" s="235" t="e">
        <f t="shared" si="6"/>
        <v>#NUM!</v>
      </c>
    </row>
    <row r="53" spans="1:44" ht="15.75" customHeight="1">
      <c r="A53" s="236" t="str">
        <f t="shared" si="0"/>
        <v/>
      </c>
      <c r="B53" s="153">
        <f>SUMIF(F18A!$A$9:$A$60,'F18'!A53,F18A!$B$9:$B$60)</f>
        <v>0</v>
      </c>
      <c r="C53" s="153">
        <f>SUMIF(F18A!$A$9:$A$60,'F18'!A53,F18A!$C$9:$C$60)</f>
        <v>0</v>
      </c>
      <c r="D53" s="237">
        <f t="shared" si="1"/>
        <v>0</v>
      </c>
      <c r="E53" s="153">
        <f>SUMIF(F18A!$A$9:$A$60,'F18'!A53,F18A!$E$9:$E$60)</f>
        <v>0</v>
      </c>
      <c r="F53" s="153">
        <f>SUMIF(F18A!$A$9:$A$60,'F18'!A53,F18A!$F$9:$F$60)</f>
        <v>0</v>
      </c>
      <c r="G53" s="237">
        <f t="shared" si="2"/>
        <v>0</v>
      </c>
      <c r="H53" s="131"/>
      <c r="I53" s="131"/>
      <c r="J53" s="131"/>
      <c r="K53" s="131"/>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34" t="str">
        <f t="shared" si="8"/>
        <v/>
      </c>
      <c r="AO53" s="225" t="b">
        <f t="shared" si="9"/>
        <v>0</v>
      </c>
      <c r="AP53" s="225">
        <v>46</v>
      </c>
      <c r="AQ53" s="225" t="e">
        <f t="shared" si="5"/>
        <v>#NUM!</v>
      </c>
      <c r="AR53" s="235" t="e">
        <f t="shared" si="6"/>
        <v>#NUM!</v>
      </c>
    </row>
    <row r="54" spans="1:44" ht="15.75" customHeight="1">
      <c r="A54" s="236" t="str">
        <f t="shared" si="0"/>
        <v/>
      </c>
      <c r="B54" s="153">
        <f>SUMIF(F18A!$A$9:$A$60,'F18'!A54,F18A!$B$9:$B$60)</f>
        <v>0</v>
      </c>
      <c r="C54" s="153">
        <f>SUMIF(F18A!$A$9:$A$60,'F18'!A54,F18A!$C$9:$C$60)</f>
        <v>0</v>
      </c>
      <c r="D54" s="237">
        <f t="shared" si="1"/>
        <v>0</v>
      </c>
      <c r="E54" s="153">
        <f>SUMIF(F18A!$A$9:$A$60,'F18'!A54,F18A!$E$9:$E$60)</f>
        <v>0</v>
      </c>
      <c r="F54" s="153">
        <f>SUMIF(F18A!$A$9:$A$60,'F18'!A54,F18A!$F$9:$F$60)</f>
        <v>0</v>
      </c>
      <c r="G54" s="237">
        <f t="shared" si="2"/>
        <v>0</v>
      </c>
      <c r="H54" s="131"/>
      <c r="I54" s="131"/>
      <c r="J54" s="131"/>
      <c r="K54" s="131"/>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34" t="str">
        <f t="shared" si="8"/>
        <v/>
      </c>
      <c r="AO54" s="225" t="b">
        <f>IF(AN$8:AN$57&lt;&gt;"",ROW(AN54:AN100))</f>
        <v>0</v>
      </c>
      <c r="AP54" s="225">
        <v>47</v>
      </c>
      <c r="AQ54" s="225" t="e">
        <f t="shared" si="5"/>
        <v>#NUM!</v>
      </c>
      <c r="AR54" s="235" t="e">
        <f t="shared" si="6"/>
        <v>#NUM!</v>
      </c>
    </row>
    <row r="55" spans="1:44" ht="15.75" customHeight="1">
      <c r="A55" s="236" t="str">
        <f t="shared" si="0"/>
        <v/>
      </c>
      <c r="B55" s="153">
        <f>SUMIF(F18A!$A$9:$A$60,'F18'!A55,F18A!$B$9:$B$60)</f>
        <v>0</v>
      </c>
      <c r="C55" s="153">
        <f>SUMIF(F18A!$A$9:$A$60,'F18'!A55,F18A!$C$9:$C$60)</f>
        <v>0</v>
      </c>
      <c r="D55" s="237">
        <f t="shared" si="1"/>
        <v>0</v>
      </c>
      <c r="E55" s="153">
        <f>SUMIF(F18A!$A$9:$A$60,'F18'!A55,F18A!$E$9:$E$60)</f>
        <v>0</v>
      </c>
      <c r="F55" s="153">
        <f>SUMIF(F18A!$A$9:$A$60,'F18'!A55,F18A!$F$9:$F$60)</f>
        <v>0</v>
      </c>
      <c r="G55" s="237">
        <f t="shared" si="2"/>
        <v>0</v>
      </c>
      <c r="H55" s="131"/>
      <c r="I55" s="131"/>
      <c r="J55" s="131"/>
      <c r="K55" s="131"/>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34" t="str">
        <f t="shared" si="8"/>
        <v/>
      </c>
      <c r="AO55" s="225" t="b">
        <f>IF(AN$8:AN$57&lt;&gt;"",ROW(AN55:AN100))</f>
        <v>0</v>
      </c>
      <c r="AP55" s="225">
        <v>48</v>
      </c>
      <c r="AQ55" s="225" t="e">
        <f t="shared" si="5"/>
        <v>#NUM!</v>
      </c>
      <c r="AR55" s="235" t="e">
        <f t="shared" si="6"/>
        <v>#NUM!</v>
      </c>
    </row>
    <row r="56" spans="1:44" ht="15.75" customHeight="1">
      <c r="A56" s="236" t="str">
        <f t="shared" si="0"/>
        <v/>
      </c>
      <c r="B56" s="153">
        <f>SUMIF(F18A!$A$9:$A$60,'F18'!A56,F18A!$B$9:$B$60)</f>
        <v>0</v>
      </c>
      <c r="C56" s="153">
        <f>SUMIF(F18A!$A$9:$A$60,'F18'!A56,F18A!$C$9:$C$60)</f>
        <v>0</v>
      </c>
      <c r="D56" s="237">
        <f t="shared" si="1"/>
        <v>0</v>
      </c>
      <c r="E56" s="153">
        <f>SUMIF(F18A!$A$9:$A$60,'F18'!A56,F18A!$E$9:$E$60)</f>
        <v>0</v>
      </c>
      <c r="F56" s="153">
        <f>SUMIF(F18A!$A$9:$A$60,'F18'!A56,F18A!$F$9:$F$60)</f>
        <v>0</v>
      </c>
      <c r="G56" s="237">
        <f t="shared" si="2"/>
        <v>0</v>
      </c>
      <c r="H56" s="131"/>
      <c r="I56" s="131"/>
      <c r="J56" s="131"/>
      <c r="K56" s="131"/>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34" t="str">
        <f t="shared" si="8"/>
        <v/>
      </c>
      <c r="AO56" s="225" t="b">
        <f>IF(AN$8:AN$57&lt;&gt;"",ROW(AN56:AN100))</f>
        <v>0</v>
      </c>
      <c r="AP56" s="225">
        <v>49</v>
      </c>
      <c r="AQ56" s="225" t="e">
        <f t="shared" si="5"/>
        <v>#NUM!</v>
      </c>
      <c r="AR56" s="235" t="e">
        <f t="shared" si="6"/>
        <v>#NUM!</v>
      </c>
    </row>
    <row r="57" spans="1:44" ht="15.75" customHeight="1">
      <c r="A57" s="238" t="str">
        <f t="shared" si="0"/>
        <v/>
      </c>
      <c r="B57" s="169">
        <f>SUMIF(F18A!$A$9:$A$60,'F18'!A57,F18A!$B$9:$B$60)</f>
        <v>0</v>
      </c>
      <c r="C57" s="239">
        <f>SUMIF(F18A!$A$9:$A$60,'F18'!A57,F18A!$C$9:$C$60)</f>
        <v>0</v>
      </c>
      <c r="D57" s="240">
        <f t="shared" si="1"/>
        <v>0</v>
      </c>
      <c r="E57" s="153">
        <f>SUMIF(F18A!$A$9:$A$60,'F18'!A57,F18A!$E$9:$E$60)</f>
        <v>0</v>
      </c>
      <c r="F57" s="153">
        <f>SUMIF(F18A!$A$9:$A$60,'F18'!A57,F18A!$F$9:$F$60)</f>
        <v>0</v>
      </c>
      <c r="G57" s="240">
        <f t="shared" si="2"/>
        <v>0</v>
      </c>
      <c r="H57" s="131"/>
      <c r="I57" s="131"/>
      <c r="J57" s="131"/>
      <c r="K57" s="131"/>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34" t="str">
        <f t="shared" si="8"/>
        <v/>
      </c>
      <c r="AO57" s="225" t="b">
        <f>IF(AN$8:AN$57&lt;&gt;"",ROW(AN57:AN100))</f>
        <v>0</v>
      </c>
      <c r="AP57" s="225">
        <v>50</v>
      </c>
      <c r="AQ57" s="225" t="e">
        <f t="shared" si="5"/>
        <v>#NUM!</v>
      </c>
      <c r="AR57" s="235" t="e">
        <f t="shared" si="6"/>
        <v>#NUM!</v>
      </c>
    </row>
    <row r="58" spans="1:44" ht="15.75" customHeight="1">
      <c r="A58" s="241" t="s">
        <v>6259</v>
      </c>
      <c r="B58" s="242">
        <f t="shared" ref="B58:G58" si="10">SUM(B8:B57)</f>
        <v>0</v>
      </c>
      <c r="C58" s="242">
        <f t="shared" si="10"/>
        <v>0</v>
      </c>
      <c r="D58" s="242">
        <f t="shared" si="10"/>
        <v>0</v>
      </c>
      <c r="E58" s="242">
        <f t="shared" si="10"/>
        <v>0</v>
      </c>
      <c r="F58" s="242">
        <f t="shared" si="10"/>
        <v>0</v>
      </c>
      <c r="G58" s="242">
        <f t="shared" si="10"/>
        <v>0</v>
      </c>
      <c r="H58" s="131"/>
      <c r="I58" s="131"/>
      <c r="J58" s="131"/>
      <c r="K58" s="131"/>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Q58" s="225"/>
      <c r="AR58" s="225"/>
    </row>
    <row r="59" spans="1:44" ht="15.75" customHeight="1">
      <c r="A59" s="131"/>
      <c r="B59" s="131"/>
      <c r="C59" s="131"/>
      <c r="D59" s="131"/>
      <c r="E59" s="131"/>
      <c r="F59" s="131"/>
      <c r="G59" s="131"/>
      <c r="H59" s="131"/>
      <c r="I59" s="131"/>
      <c r="J59" s="131"/>
      <c r="K59" s="131"/>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row>
    <row r="60" spans="1:44" ht="48.75" customHeight="1">
      <c r="A60" s="810" t="str">
        <f>"Gobierno (Federal/Estatal/Municipal) de: "&amp;Validacion!A2</f>
        <v>Gobierno (Federal/Estatal/Municipal) de: Guadalajara</v>
      </c>
      <c r="B60" s="746"/>
      <c r="C60" s="746"/>
      <c r="D60" s="746"/>
      <c r="E60" s="746"/>
      <c r="F60" s="746"/>
      <c r="G60" s="747"/>
      <c r="H60" s="131"/>
      <c r="I60" s="131"/>
      <c r="J60" s="131"/>
      <c r="K60" s="131"/>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row>
    <row r="61" spans="1:44" ht="14.25" customHeight="1">
      <c r="A61" s="811" t="s">
        <v>6254</v>
      </c>
      <c r="B61" s="749"/>
      <c r="C61" s="749"/>
      <c r="D61" s="749"/>
      <c r="E61" s="749"/>
      <c r="F61" s="749"/>
      <c r="G61" s="750"/>
      <c r="H61" s="131"/>
      <c r="I61" s="131"/>
      <c r="J61" s="131"/>
      <c r="K61" s="131"/>
      <c r="L61" s="225"/>
      <c r="M61" s="225"/>
      <c r="N61" s="225"/>
      <c r="O61" s="225"/>
      <c r="P61" s="225"/>
      <c r="Q61" s="225"/>
      <c r="R61" s="225"/>
      <c r="S61" s="225"/>
      <c r="T61" s="225"/>
      <c r="U61" s="225"/>
      <c r="V61" s="225"/>
      <c r="W61" s="225"/>
      <c r="X61" s="225"/>
      <c r="Y61" s="225"/>
      <c r="Z61" s="225"/>
      <c r="AA61" s="225"/>
      <c r="AB61" s="225"/>
      <c r="AC61" s="225"/>
      <c r="AD61" s="225"/>
      <c r="AE61" s="225"/>
      <c r="AF61" s="225"/>
      <c r="AG61" s="225"/>
      <c r="AH61" s="225"/>
      <c r="AI61" s="225"/>
      <c r="AJ61" s="225"/>
      <c r="AK61" s="225"/>
      <c r="AL61" s="225"/>
      <c r="AM61" s="225"/>
      <c r="AN61" s="225"/>
      <c r="AO61" s="225"/>
      <c r="AP61" s="225"/>
      <c r="AQ61" s="225"/>
      <c r="AR61" s="225"/>
    </row>
    <row r="62" spans="1:44" ht="15.75" customHeight="1">
      <c r="A62" s="811" t="s">
        <v>6255</v>
      </c>
      <c r="B62" s="749"/>
      <c r="C62" s="749"/>
      <c r="D62" s="749"/>
      <c r="E62" s="749"/>
      <c r="F62" s="749"/>
      <c r="G62" s="750"/>
      <c r="H62" s="131"/>
      <c r="I62" s="131"/>
      <c r="J62" s="131"/>
      <c r="K62" s="131"/>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row>
    <row r="63" spans="1:44" ht="15.75" customHeight="1">
      <c r="A63" s="812" t="e">
        <f>'F6'!A3</f>
        <v>#REF!</v>
      </c>
      <c r="B63" s="749"/>
      <c r="C63" s="749"/>
      <c r="D63" s="749"/>
      <c r="E63" s="749"/>
      <c r="F63" s="749"/>
      <c r="G63" s="750"/>
      <c r="H63" s="131"/>
      <c r="I63" s="131"/>
      <c r="J63" s="131"/>
      <c r="K63" s="131"/>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row>
    <row r="64" spans="1:44" ht="15.75" customHeight="1">
      <c r="A64" s="813" t="s">
        <v>4426</v>
      </c>
      <c r="B64" s="753"/>
      <c r="C64" s="753"/>
      <c r="D64" s="753"/>
      <c r="E64" s="753"/>
      <c r="F64" s="753"/>
      <c r="G64" s="754"/>
      <c r="H64" s="131"/>
      <c r="I64" s="131"/>
      <c r="J64" s="131"/>
      <c r="K64" s="131"/>
      <c r="L64" s="225"/>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row>
    <row r="65" spans="1:44" ht="15.75" customHeight="1">
      <c r="A65" s="814" t="s">
        <v>4379</v>
      </c>
      <c r="B65" s="817" t="s">
        <v>88</v>
      </c>
      <c r="C65" s="756"/>
      <c r="D65" s="756"/>
      <c r="E65" s="756"/>
      <c r="F65" s="733"/>
      <c r="G65" s="809" t="s">
        <v>6256</v>
      </c>
      <c r="H65" s="131"/>
      <c r="I65" s="131"/>
      <c r="J65" s="131"/>
      <c r="K65" s="131"/>
      <c r="L65" s="225"/>
      <c r="M65" s="225"/>
      <c r="N65" s="225"/>
      <c r="O65" s="225"/>
      <c r="P65" s="225"/>
      <c r="Q65" s="225"/>
      <c r="R65" s="225"/>
      <c r="S65" s="225"/>
      <c r="T65" s="225"/>
      <c r="U65" s="225"/>
      <c r="V65" s="225"/>
      <c r="W65" s="225"/>
      <c r="X65" s="225"/>
      <c r="Y65" s="225"/>
      <c r="Z65" s="225"/>
      <c r="AA65" s="225"/>
      <c r="AB65" s="225"/>
      <c r="AC65" s="225"/>
      <c r="AD65" s="225"/>
      <c r="AE65" s="225"/>
      <c r="AF65" s="225"/>
      <c r="AG65" s="225"/>
      <c r="AH65" s="225"/>
      <c r="AI65" s="225"/>
      <c r="AJ65" s="225"/>
      <c r="AK65" s="225"/>
      <c r="AL65" s="225"/>
      <c r="AM65" s="225"/>
      <c r="AN65" s="225"/>
      <c r="AO65" s="225"/>
      <c r="AP65" s="225"/>
      <c r="AQ65" s="225"/>
      <c r="AR65" s="225"/>
    </row>
    <row r="66" spans="1:44" ht="15.75" customHeight="1">
      <c r="A66" s="730"/>
      <c r="B66" s="226" t="s">
        <v>6257</v>
      </c>
      <c r="C66" s="226" t="s">
        <v>4431</v>
      </c>
      <c r="D66" s="226" t="s">
        <v>4432</v>
      </c>
      <c r="E66" s="226" t="s">
        <v>4433</v>
      </c>
      <c r="F66" s="227" t="s">
        <v>6258</v>
      </c>
      <c r="G66" s="730"/>
      <c r="H66" s="131"/>
      <c r="I66" s="131"/>
      <c r="J66" s="131"/>
      <c r="K66" s="131"/>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row>
    <row r="67" spans="1:44" ht="15.75" customHeight="1">
      <c r="A67" s="230"/>
      <c r="B67" s="231"/>
      <c r="C67" s="231"/>
      <c r="D67" s="232"/>
      <c r="E67" s="231"/>
      <c r="F67" s="231"/>
      <c r="G67" s="232"/>
      <c r="H67" s="131"/>
      <c r="I67" s="131"/>
      <c r="J67" s="131"/>
      <c r="K67" s="131"/>
      <c r="L67" s="225"/>
      <c r="M67" s="225"/>
      <c r="N67" s="225"/>
      <c r="O67" s="225"/>
      <c r="P67" s="225"/>
      <c r="Q67" s="225"/>
      <c r="R67" s="225"/>
      <c r="S67" s="225"/>
      <c r="T67" s="225"/>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row>
    <row r="68" spans="1:44" ht="15.75" customHeight="1">
      <c r="A68" s="236" t="s">
        <v>6260</v>
      </c>
      <c r="B68" s="153">
        <v>0</v>
      </c>
      <c r="C68" s="153">
        <v>0</v>
      </c>
      <c r="D68" s="237">
        <f t="shared" ref="D68:D71" si="11">B68+C68</f>
        <v>0</v>
      </c>
      <c r="E68" s="153">
        <v>0</v>
      </c>
      <c r="F68" s="153">
        <v>0</v>
      </c>
      <c r="G68" s="237">
        <f t="shared" ref="G68:G71" si="12">D68-E68</f>
        <v>0</v>
      </c>
      <c r="H68" s="131"/>
      <c r="I68" s="131"/>
      <c r="J68" s="131"/>
      <c r="K68" s="131"/>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row>
    <row r="69" spans="1:44" ht="15.75" customHeight="1">
      <c r="A69" s="236" t="s">
        <v>6261</v>
      </c>
      <c r="B69" s="153">
        <v>0</v>
      </c>
      <c r="C69" s="153">
        <v>0</v>
      </c>
      <c r="D69" s="237">
        <f t="shared" si="11"/>
        <v>0</v>
      </c>
      <c r="E69" s="153">
        <v>0</v>
      </c>
      <c r="F69" s="153">
        <v>0</v>
      </c>
      <c r="G69" s="237">
        <f t="shared" si="12"/>
        <v>0</v>
      </c>
      <c r="H69" s="131"/>
      <c r="I69" s="131"/>
      <c r="J69" s="131"/>
      <c r="K69" s="131"/>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row>
    <row r="70" spans="1:44" ht="15.75" customHeight="1">
      <c r="A70" s="236" t="s">
        <v>6262</v>
      </c>
      <c r="B70" s="153">
        <v>0</v>
      </c>
      <c r="C70" s="153">
        <v>0</v>
      </c>
      <c r="D70" s="237">
        <f t="shared" si="11"/>
        <v>0</v>
      </c>
      <c r="E70" s="153">
        <v>0</v>
      </c>
      <c r="F70" s="153">
        <v>0</v>
      </c>
      <c r="G70" s="237">
        <f t="shared" si="12"/>
        <v>0</v>
      </c>
      <c r="H70" s="131"/>
      <c r="I70" s="131"/>
      <c r="J70" s="131"/>
      <c r="K70" s="131"/>
      <c r="L70" s="225"/>
      <c r="M70" s="225"/>
      <c r="N70" s="225"/>
      <c r="O70" s="225"/>
      <c r="P70" s="225"/>
      <c r="Q70" s="225"/>
      <c r="R70" s="225"/>
      <c r="S70" s="225"/>
      <c r="T70" s="225"/>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row>
    <row r="71" spans="1:44" ht="15.75" customHeight="1">
      <c r="A71" s="236" t="s">
        <v>6263</v>
      </c>
      <c r="B71" s="153">
        <v>0</v>
      </c>
      <c r="C71" s="153">
        <v>0</v>
      </c>
      <c r="D71" s="237">
        <f t="shared" si="11"/>
        <v>0</v>
      </c>
      <c r="E71" s="153">
        <v>0</v>
      </c>
      <c r="F71" s="153">
        <v>0</v>
      </c>
      <c r="G71" s="237">
        <f t="shared" si="12"/>
        <v>0</v>
      </c>
      <c r="H71" s="131"/>
      <c r="I71" s="131"/>
      <c r="J71" s="131"/>
      <c r="K71" s="131"/>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row>
    <row r="72" spans="1:44" ht="15.75" customHeight="1">
      <c r="A72" s="238"/>
      <c r="B72" s="239"/>
      <c r="C72" s="239"/>
      <c r="D72" s="240"/>
      <c r="E72" s="239"/>
      <c r="F72" s="239"/>
      <c r="G72" s="240"/>
      <c r="H72" s="131"/>
      <c r="I72" s="131"/>
      <c r="J72" s="131"/>
      <c r="K72" s="131"/>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row>
    <row r="73" spans="1:44" ht="15.75" customHeight="1">
      <c r="A73" s="243" t="s">
        <v>6264</v>
      </c>
      <c r="B73" s="244">
        <f t="shared" ref="B73:G73" si="13">SUM(B68:B71)</f>
        <v>0</v>
      </c>
      <c r="C73" s="244">
        <f t="shared" si="13"/>
        <v>0</v>
      </c>
      <c r="D73" s="244">
        <f t="shared" si="13"/>
        <v>0</v>
      </c>
      <c r="E73" s="244">
        <f t="shared" si="13"/>
        <v>0</v>
      </c>
      <c r="F73" s="244">
        <f t="shared" si="13"/>
        <v>0</v>
      </c>
      <c r="G73" s="244">
        <f t="shared" si="13"/>
        <v>0</v>
      </c>
      <c r="H73" s="131"/>
      <c r="I73" s="131"/>
      <c r="J73" s="131"/>
      <c r="K73" s="131"/>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row>
    <row r="74" spans="1:44" ht="15.75" customHeight="1">
      <c r="A74" s="131"/>
      <c r="B74" s="131"/>
      <c r="C74" s="131"/>
      <c r="D74" s="131"/>
      <c r="E74" s="131"/>
      <c r="F74" s="131"/>
      <c r="G74" s="131"/>
      <c r="H74" s="131"/>
      <c r="I74" s="131"/>
      <c r="J74" s="131"/>
      <c r="K74" s="131"/>
      <c r="L74" s="225"/>
      <c r="M74" s="225"/>
      <c r="N74" s="225"/>
      <c r="O74" s="225"/>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row>
    <row r="75" spans="1:44" ht="49.5" customHeight="1">
      <c r="A75" s="810" t="str">
        <f>"Sector Paraestatal del Gobierno (Federal/Estatal/Municipal) de: "&amp;Validacion!A2</f>
        <v>Sector Paraestatal del Gobierno (Federal/Estatal/Municipal) de: Guadalajara</v>
      </c>
      <c r="B75" s="746"/>
      <c r="C75" s="746"/>
      <c r="D75" s="746"/>
      <c r="E75" s="746"/>
      <c r="F75" s="746"/>
      <c r="G75" s="747"/>
      <c r="H75" s="131"/>
      <c r="I75" s="131"/>
      <c r="J75" s="131"/>
      <c r="K75" s="131"/>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row>
    <row r="76" spans="1:44" ht="15.75" customHeight="1">
      <c r="A76" s="811" t="s">
        <v>6254</v>
      </c>
      <c r="B76" s="749"/>
      <c r="C76" s="749"/>
      <c r="D76" s="749"/>
      <c r="E76" s="749"/>
      <c r="F76" s="749"/>
      <c r="G76" s="750"/>
      <c r="H76" s="131"/>
      <c r="I76" s="131"/>
      <c r="J76" s="131"/>
      <c r="K76" s="131"/>
      <c r="L76" s="225"/>
      <c r="M76" s="225"/>
      <c r="N76" s="225"/>
      <c r="O76" s="225"/>
      <c r="P76" s="225"/>
      <c r="Q76" s="225"/>
      <c r="R76" s="225"/>
      <c r="S76" s="225"/>
      <c r="T76" s="225"/>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row>
    <row r="77" spans="1:44" ht="15.75" customHeight="1">
      <c r="A77" s="811" t="s">
        <v>6255</v>
      </c>
      <c r="B77" s="749"/>
      <c r="C77" s="749"/>
      <c r="D77" s="749"/>
      <c r="E77" s="749"/>
      <c r="F77" s="749"/>
      <c r="G77" s="750"/>
      <c r="H77" s="131"/>
      <c r="I77" s="131"/>
      <c r="J77" s="131"/>
      <c r="K77" s="131"/>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row>
    <row r="78" spans="1:44" ht="15.75" customHeight="1">
      <c r="A78" s="812" t="e">
        <f>'F6'!A3</f>
        <v>#REF!</v>
      </c>
      <c r="B78" s="749"/>
      <c r="C78" s="749"/>
      <c r="D78" s="749"/>
      <c r="E78" s="749"/>
      <c r="F78" s="749"/>
      <c r="G78" s="750"/>
      <c r="H78" s="131"/>
      <c r="I78" s="131"/>
      <c r="J78" s="131"/>
      <c r="K78" s="131"/>
      <c r="L78" s="225"/>
      <c r="M78" s="225"/>
      <c r="N78" s="225"/>
      <c r="O78" s="225"/>
      <c r="P78" s="225"/>
      <c r="Q78" s="225"/>
      <c r="R78" s="225"/>
      <c r="S78" s="225"/>
      <c r="T78" s="225"/>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row>
    <row r="79" spans="1:44" ht="15.75" customHeight="1">
      <c r="A79" s="813" t="s">
        <v>4426</v>
      </c>
      <c r="B79" s="753"/>
      <c r="C79" s="753"/>
      <c r="D79" s="753"/>
      <c r="E79" s="753"/>
      <c r="F79" s="753"/>
      <c r="G79" s="754"/>
      <c r="H79" s="131"/>
      <c r="I79" s="131"/>
      <c r="J79" s="131"/>
      <c r="K79" s="131"/>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row>
    <row r="80" spans="1:44" ht="15.75" customHeight="1">
      <c r="A80" s="814" t="s">
        <v>4379</v>
      </c>
      <c r="B80" s="817" t="s">
        <v>88</v>
      </c>
      <c r="C80" s="756"/>
      <c r="D80" s="756"/>
      <c r="E80" s="756"/>
      <c r="F80" s="733"/>
      <c r="G80" s="809" t="s">
        <v>6256</v>
      </c>
      <c r="H80" s="131"/>
      <c r="I80" s="131"/>
      <c r="J80" s="131"/>
      <c r="K80" s="131"/>
      <c r="L80" s="225"/>
      <c r="M80" s="225"/>
      <c r="N80" s="225"/>
      <c r="O80" s="225"/>
      <c r="P80" s="225"/>
      <c r="Q80" s="225"/>
      <c r="R80" s="225"/>
      <c r="S80" s="225"/>
      <c r="T80" s="225"/>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row>
    <row r="81" spans="1:44" ht="15.75" customHeight="1">
      <c r="A81" s="730"/>
      <c r="B81" s="226" t="s">
        <v>6257</v>
      </c>
      <c r="C81" s="226" t="s">
        <v>4431</v>
      </c>
      <c r="D81" s="226" t="s">
        <v>4432</v>
      </c>
      <c r="E81" s="226" t="s">
        <v>4433</v>
      </c>
      <c r="F81" s="227" t="s">
        <v>6258</v>
      </c>
      <c r="G81" s="730"/>
      <c r="H81" s="131"/>
      <c r="I81" s="131"/>
      <c r="J81" s="131"/>
      <c r="K81" s="131"/>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row>
    <row r="82" spans="1:44" ht="15.75" customHeight="1">
      <c r="A82" s="230"/>
      <c r="B82" s="231"/>
      <c r="C82" s="231"/>
      <c r="D82" s="232"/>
      <c r="E82" s="231"/>
      <c r="F82" s="231"/>
      <c r="G82" s="232"/>
      <c r="H82" s="131"/>
      <c r="I82" s="131"/>
      <c r="J82" s="131"/>
      <c r="K82" s="131"/>
      <c r="L82" s="225"/>
      <c r="M82" s="225"/>
      <c r="N82" s="225"/>
      <c r="O82" s="225"/>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row>
    <row r="83" spans="1:44" ht="15.75" customHeight="1">
      <c r="A83" s="236" t="s">
        <v>6265</v>
      </c>
      <c r="B83" s="153">
        <v>0</v>
      </c>
      <c r="C83" s="153">
        <v>0</v>
      </c>
      <c r="D83" s="237">
        <f>B83+C83</f>
        <v>0</v>
      </c>
      <c r="E83" s="153">
        <v>0</v>
      </c>
      <c r="F83" s="153">
        <v>0</v>
      </c>
      <c r="G83" s="237">
        <f>D83-E83</f>
        <v>0</v>
      </c>
      <c r="H83" s="131"/>
      <c r="I83" s="131"/>
      <c r="J83" s="131"/>
      <c r="K83" s="131"/>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row>
    <row r="84" spans="1:44" ht="15.75" customHeight="1">
      <c r="A84" s="236"/>
      <c r="B84" s="153"/>
      <c r="C84" s="153"/>
      <c r="D84" s="237"/>
      <c r="E84" s="153"/>
      <c r="F84" s="153"/>
      <c r="G84" s="237"/>
      <c r="H84" s="131"/>
      <c r="I84" s="131"/>
      <c r="J84" s="131"/>
      <c r="K84" s="131"/>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row>
    <row r="85" spans="1:44" ht="15.75" customHeight="1">
      <c r="A85" s="236" t="s">
        <v>6266</v>
      </c>
      <c r="B85" s="153">
        <v>0</v>
      </c>
      <c r="C85" s="153">
        <v>0</v>
      </c>
      <c r="D85" s="237">
        <f>B85+C85</f>
        <v>0</v>
      </c>
      <c r="E85" s="153">
        <v>0</v>
      </c>
      <c r="F85" s="153">
        <v>0</v>
      </c>
      <c r="G85" s="237">
        <f>D85-E85</f>
        <v>0</v>
      </c>
      <c r="H85" s="131"/>
      <c r="I85" s="131"/>
      <c r="J85" s="131"/>
      <c r="K85" s="131"/>
      <c r="L85" s="225"/>
      <c r="M85" s="225"/>
      <c r="N85" s="225"/>
      <c r="O85" s="225"/>
      <c r="P85" s="225"/>
      <c r="Q85" s="225"/>
      <c r="R85" s="225"/>
      <c r="S85" s="225"/>
      <c r="T85" s="225"/>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row>
    <row r="86" spans="1:44" ht="15.75" customHeight="1">
      <c r="A86" s="236"/>
      <c r="B86" s="153"/>
      <c r="C86" s="153"/>
      <c r="D86" s="237"/>
      <c r="E86" s="153"/>
      <c r="F86" s="153"/>
      <c r="G86" s="237"/>
      <c r="H86" s="131"/>
      <c r="I86" s="131"/>
      <c r="J86" s="131"/>
      <c r="K86" s="131"/>
      <c r="L86" s="225"/>
      <c r="M86" s="225"/>
      <c r="N86" s="225"/>
      <c r="O86" s="225"/>
      <c r="P86" s="225"/>
      <c r="Q86" s="225"/>
      <c r="R86" s="225"/>
      <c r="S86" s="225"/>
      <c r="T86" s="225"/>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row>
    <row r="87" spans="1:44" ht="15.75" customHeight="1">
      <c r="A87" s="236" t="s">
        <v>6267</v>
      </c>
      <c r="B87" s="153">
        <v>0</v>
      </c>
      <c r="C87" s="153">
        <v>0</v>
      </c>
      <c r="D87" s="237">
        <f>B87+C87</f>
        <v>0</v>
      </c>
      <c r="E87" s="153">
        <v>0</v>
      </c>
      <c r="F87" s="153">
        <v>0</v>
      </c>
      <c r="G87" s="237">
        <f>D87-E87</f>
        <v>0</v>
      </c>
      <c r="H87" s="131"/>
      <c r="I87" s="131"/>
      <c r="J87" s="131"/>
      <c r="K87" s="131"/>
      <c r="L87" s="225"/>
      <c r="M87" s="225"/>
      <c r="N87" s="225"/>
      <c r="O87" s="225"/>
      <c r="P87" s="225"/>
      <c r="Q87" s="225"/>
      <c r="R87" s="225"/>
      <c r="S87" s="225"/>
      <c r="T87" s="225"/>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row>
    <row r="88" spans="1:44" ht="15.75" customHeight="1">
      <c r="A88" s="238"/>
      <c r="B88" s="153"/>
      <c r="C88" s="153"/>
      <c r="D88" s="237"/>
      <c r="E88" s="153"/>
      <c r="F88" s="153"/>
      <c r="G88" s="237"/>
      <c r="H88" s="131"/>
      <c r="I88" s="131"/>
      <c r="J88" s="131"/>
      <c r="K88" s="131"/>
      <c r="L88" s="225"/>
      <c r="M88" s="225"/>
      <c r="N88" s="225"/>
      <c r="O88" s="225"/>
      <c r="P88" s="225"/>
      <c r="Q88" s="225"/>
      <c r="R88" s="225"/>
      <c r="S88" s="225"/>
      <c r="T88" s="225"/>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row>
    <row r="89" spans="1:44" ht="15.75" customHeight="1">
      <c r="A89" s="245" t="s">
        <v>6268</v>
      </c>
      <c r="B89" s="153">
        <v>0</v>
      </c>
      <c r="C89" s="153">
        <v>0</v>
      </c>
      <c r="D89" s="237">
        <f>B89+C89</f>
        <v>0</v>
      </c>
      <c r="E89" s="153">
        <v>0</v>
      </c>
      <c r="F89" s="153">
        <v>0</v>
      </c>
      <c r="G89" s="237">
        <f>D89-E89</f>
        <v>0</v>
      </c>
      <c r="H89" s="131"/>
      <c r="I89" s="131"/>
      <c r="J89" s="131"/>
      <c r="K89" s="131"/>
      <c r="L89" s="225"/>
      <c r="M89" s="225"/>
      <c r="N89" s="225"/>
      <c r="O89" s="225"/>
      <c r="P89" s="225"/>
      <c r="Q89" s="225"/>
      <c r="R89" s="225"/>
      <c r="S89" s="225"/>
      <c r="T89" s="225"/>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row>
    <row r="90" spans="1:44" ht="15.75" customHeight="1">
      <c r="A90" s="245"/>
      <c r="B90" s="239"/>
      <c r="C90" s="239"/>
      <c r="D90" s="240"/>
      <c r="E90" s="239"/>
      <c r="F90" s="239"/>
      <c r="G90" s="240"/>
      <c r="H90" s="131"/>
      <c r="I90" s="131"/>
      <c r="J90" s="131"/>
      <c r="K90" s="131"/>
      <c r="L90" s="225"/>
      <c r="M90" s="225"/>
      <c r="N90" s="225"/>
      <c r="O90" s="225"/>
      <c r="P90" s="225"/>
      <c r="Q90" s="225"/>
      <c r="R90" s="225"/>
      <c r="S90" s="225"/>
      <c r="T90" s="225"/>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row>
    <row r="91" spans="1:44" ht="15.75" customHeight="1">
      <c r="A91" s="245" t="s">
        <v>6269</v>
      </c>
      <c r="B91" s="153">
        <v>0</v>
      </c>
      <c r="C91" s="153">
        <v>0</v>
      </c>
      <c r="D91" s="237">
        <f>B91+C91</f>
        <v>0</v>
      </c>
      <c r="E91" s="153">
        <v>0</v>
      </c>
      <c r="F91" s="153">
        <v>0</v>
      </c>
      <c r="G91" s="237">
        <f>D91-E91</f>
        <v>0</v>
      </c>
      <c r="H91" s="131"/>
      <c r="I91" s="131"/>
      <c r="J91" s="131"/>
      <c r="K91" s="131"/>
      <c r="L91" s="225"/>
      <c r="M91" s="225"/>
      <c r="N91" s="225"/>
      <c r="O91" s="225"/>
      <c r="P91" s="225"/>
      <c r="Q91" s="225"/>
      <c r="R91" s="225"/>
      <c r="S91" s="225"/>
      <c r="T91" s="225"/>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row>
    <row r="92" spans="1:44" ht="15.75" customHeight="1">
      <c r="A92" s="246"/>
      <c r="B92" s="247"/>
      <c r="C92" s="247"/>
      <c r="D92" s="247"/>
      <c r="E92" s="247"/>
      <c r="F92" s="247"/>
      <c r="G92" s="247"/>
      <c r="H92" s="131"/>
      <c r="I92" s="131"/>
      <c r="J92" s="131"/>
      <c r="K92" s="131"/>
      <c r="L92" s="225"/>
      <c r="M92" s="225"/>
      <c r="N92" s="225"/>
      <c r="O92" s="225"/>
      <c r="P92" s="225"/>
      <c r="Q92" s="225"/>
      <c r="R92" s="225"/>
      <c r="S92" s="225"/>
      <c r="T92" s="225"/>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row>
    <row r="93" spans="1:44" ht="15.75" customHeight="1">
      <c r="A93" s="248" t="s">
        <v>6270</v>
      </c>
      <c r="B93" s="153">
        <v>0</v>
      </c>
      <c r="C93" s="153">
        <v>0</v>
      </c>
      <c r="D93" s="237">
        <f>B93+C93</f>
        <v>0</v>
      </c>
      <c r="E93" s="153">
        <v>0</v>
      </c>
      <c r="F93" s="153">
        <v>0</v>
      </c>
      <c r="G93" s="237">
        <f>D93-E93</f>
        <v>0</v>
      </c>
      <c r="H93" s="131"/>
      <c r="I93" s="131"/>
      <c r="J93" s="131"/>
      <c r="K93" s="131"/>
      <c r="L93" s="225"/>
      <c r="M93" s="225"/>
      <c r="N93" s="225"/>
      <c r="O93" s="225"/>
      <c r="P93" s="225"/>
      <c r="Q93" s="225"/>
      <c r="R93" s="225"/>
      <c r="S93" s="225"/>
      <c r="T93" s="225"/>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row>
    <row r="94" spans="1:44" ht="15.75" customHeight="1">
      <c r="A94" s="246"/>
      <c r="B94" s="247"/>
      <c r="C94" s="247"/>
      <c r="D94" s="247"/>
      <c r="E94" s="247"/>
      <c r="F94" s="247"/>
      <c r="G94" s="247"/>
      <c r="H94" s="131"/>
      <c r="I94" s="131"/>
      <c r="J94" s="131"/>
      <c r="K94" s="131"/>
      <c r="L94" s="225"/>
      <c r="M94" s="225"/>
      <c r="N94" s="225"/>
      <c r="O94" s="225"/>
      <c r="P94" s="225"/>
      <c r="Q94" s="225"/>
      <c r="R94" s="225"/>
      <c r="S94" s="225"/>
      <c r="T94" s="225"/>
      <c r="U94" s="225"/>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row>
    <row r="95" spans="1:44" ht="15.75" customHeight="1">
      <c r="A95" s="246" t="s">
        <v>6271</v>
      </c>
      <c r="B95" s="153">
        <v>0</v>
      </c>
      <c r="C95" s="153">
        <v>0</v>
      </c>
      <c r="D95" s="237">
        <f>B95+C95</f>
        <v>0</v>
      </c>
      <c r="E95" s="153">
        <v>0</v>
      </c>
      <c r="F95" s="153">
        <v>0</v>
      </c>
      <c r="G95" s="237">
        <f>D95-E95</f>
        <v>0</v>
      </c>
      <c r="H95" s="131"/>
      <c r="I95" s="131"/>
      <c r="J95" s="131"/>
      <c r="K95" s="131"/>
      <c r="L95" s="225"/>
      <c r="M95" s="225"/>
      <c r="N95" s="225"/>
      <c r="O95" s="225"/>
      <c r="P95" s="225"/>
      <c r="Q95" s="225"/>
      <c r="R95" s="225"/>
      <c r="S95" s="225"/>
      <c r="T95" s="225"/>
      <c r="U95" s="225"/>
      <c r="V95" s="225"/>
      <c r="W95" s="225"/>
      <c r="X95" s="225"/>
      <c r="Y95" s="225"/>
      <c r="Z95" s="225"/>
      <c r="AA95" s="225"/>
      <c r="AB95" s="225"/>
      <c r="AC95" s="225"/>
      <c r="AD95" s="225"/>
      <c r="AE95" s="225"/>
      <c r="AF95" s="225"/>
      <c r="AG95" s="225"/>
      <c r="AH95" s="225"/>
      <c r="AI95" s="225"/>
      <c r="AJ95" s="225"/>
      <c r="AK95" s="225"/>
      <c r="AL95" s="225"/>
      <c r="AM95" s="225"/>
      <c r="AN95" s="225"/>
      <c r="AO95" s="225"/>
      <c r="AP95" s="225"/>
      <c r="AQ95" s="225"/>
      <c r="AR95" s="225"/>
    </row>
    <row r="96" spans="1:44" ht="15.75" customHeight="1">
      <c r="A96" s="246"/>
      <c r="B96" s="247"/>
      <c r="C96" s="247"/>
      <c r="D96" s="247"/>
      <c r="E96" s="247"/>
      <c r="F96" s="247"/>
      <c r="G96" s="247"/>
      <c r="H96" s="131"/>
      <c r="I96" s="131"/>
      <c r="J96" s="131"/>
      <c r="K96" s="131"/>
      <c r="L96" s="225"/>
      <c r="M96" s="225"/>
      <c r="N96" s="225"/>
      <c r="O96" s="225"/>
      <c r="P96" s="225"/>
      <c r="Q96" s="225"/>
      <c r="R96" s="225"/>
      <c r="S96" s="225"/>
      <c r="T96" s="225"/>
      <c r="U96" s="225"/>
      <c r="V96" s="225"/>
      <c r="W96" s="225"/>
      <c r="X96" s="225"/>
      <c r="Y96" s="225"/>
      <c r="Z96" s="225"/>
      <c r="AA96" s="225"/>
      <c r="AB96" s="225"/>
      <c r="AC96" s="225"/>
      <c r="AD96" s="225"/>
      <c r="AE96" s="225"/>
      <c r="AF96" s="225"/>
      <c r="AG96" s="225"/>
      <c r="AH96" s="225"/>
      <c r="AI96" s="225"/>
      <c r="AJ96" s="225"/>
      <c r="AK96" s="225"/>
      <c r="AL96" s="225"/>
      <c r="AM96" s="225"/>
      <c r="AN96" s="225"/>
      <c r="AO96" s="225"/>
      <c r="AP96" s="225"/>
      <c r="AQ96" s="225"/>
      <c r="AR96" s="225"/>
    </row>
    <row r="97" spans="1:44" ht="15.75" customHeight="1">
      <c r="A97" s="246" t="s">
        <v>6272</v>
      </c>
      <c r="B97" s="153"/>
      <c r="C97" s="153"/>
      <c r="D97" s="237">
        <f>B97+C97</f>
        <v>0</v>
      </c>
      <c r="E97" s="153"/>
      <c r="F97" s="153"/>
      <c r="G97" s="237">
        <f>D97-E97</f>
        <v>0</v>
      </c>
      <c r="H97" s="131"/>
      <c r="I97" s="131"/>
      <c r="J97" s="131"/>
      <c r="K97" s="131"/>
      <c r="L97" s="225"/>
      <c r="M97" s="225"/>
      <c r="N97" s="225"/>
      <c r="O97" s="225"/>
      <c r="P97" s="225"/>
      <c r="Q97" s="225"/>
      <c r="R97" s="225"/>
      <c r="S97" s="225"/>
      <c r="T97" s="225"/>
      <c r="U97" s="225"/>
      <c r="V97" s="225"/>
      <c r="W97" s="225"/>
      <c r="X97" s="225"/>
      <c r="Y97" s="225"/>
      <c r="Z97" s="225"/>
      <c r="AA97" s="225"/>
      <c r="AB97" s="225"/>
      <c r="AC97" s="225"/>
      <c r="AD97" s="225"/>
      <c r="AE97" s="225"/>
      <c r="AF97" s="225"/>
      <c r="AG97" s="225"/>
      <c r="AH97" s="225"/>
      <c r="AI97" s="225"/>
      <c r="AJ97" s="225"/>
      <c r="AK97" s="225"/>
      <c r="AL97" s="225"/>
      <c r="AM97" s="225"/>
      <c r="AN97" s="225"/>
      <c r="AO97" s="225"/>
      <c r="AP97" s="225"/>
      <c r="AQ97" s="225"/>
      <c r="AR97" s="225"/>
    </row>
    <row r="98" spans="1:44" ht="15.75" customHeight="1">
      <c r="A98" s="249"/>
      <c r="B98" s="249"/>
      <c r="C98" s="249"/>
      <c r="D98" s="249"/>
      <c r="E98" s="249"/>
      <c r="F98" s="249"/>
      <c r="G98" s="249"/>
      <c r="H98" s="131"/>
      <c r="I98" s="131"/>
      <c r="J98" s="131"/>
      <c r="K98" s="131"/>
      <c r="L98" s="225"/>
      <c r="M98" s="225"/>
      <c r="N98" s="225"/>
      <c r="O98" s="225"/>
      <c r="P98" s="225"/>
      <c r="Q98" s="225"/>
      <c r="R98" s="225"/>
      <c r="S98" s="225"/>
      <c r="T98" s="225"/>
      <c r="U98" s="225"/>
      <c r="V98" s="225"/>
      <c r="W98" s="225"/>
      <c r="X98" s="225"/>
      <c r="Y98" s="225"/>
      <c r="Z98" s="225"/>
      <c r="AA98" s="225"/>
      <c r="AB98" s="225"/>
      <c r="AC98" s="225"/>
      <c r="AD98" s="225"/>
      <c r="AE98" s="225"/>
      <c r="AF98" s="225"/>
      <c r="AG98" s="225"/>
      <c r="AH98" s="225"/>
      <c r="AI98" s="225"/>
      <c r="AJ98" s="225"/>
      <c r="AK98" s="225"/>
      <c r="AL98" s="225"/>
      <c r="AM98" s="225"/>
      <c r="AN98" s="225"/>
      <c r="AO98" s="225"/>
      <c r="AP98" s="225"/>
      <c r="AQ98" s="225"/>
      <c r="AR98" s="225"/>
    </row>
    <row r="99" spans="1:44" ht="15.75" customHeight="1">
      <c r="A99" s="243" t="s">
        <v>6264</v>
      </c>
      <c r="B99" s="244">
        <f t="shared" ref="B99:G99" si="14">SUM(B83:B97)</f>
        <v>0</v>
      </c>
      <c r="C99" s="244">
        <f t="shared" si="14"/>
        <v>0</v>
      </c>
      <c r="D99" s="244">
        <f t="shared" si="14"/>
        <v>0</v>
      </c>
      <c r="E99" s="244">
        <f t="shared" si="14"/>
        <v>0</v>
      </c>
      <c r="F99" s="244">
        <f t="shared" si="14"/>
        <v>0</v>
      </c>
      <c r="G99" s="244">
        <f t="shared" si="14"/>
        <v>0</v>
      </c>
      <c r="H99" s="131"/>
      <c r="I99" s="131"/>
      <c r="J99" s="131"/>
      <c r="K99" s="131"/>
      <c r="L99" s="225"/>
      <c r="M99" s="225"/>
      <c r="N99" s="225"/>
      <c r="O99" s="225"/>
      <c r="P99" s="225"/>
      <c r="Q99" s="225"/>
      <c r="R99" s="225"/>
      <c r="S99" s="225"/>
      <c r="T99" s="225"/>
      <c r="U99" s="225"/>
      <c r="V99" s="225"/>
      <c r="W99" s="225"/>
      <c r="X99" s="225"/>
      <c r="Y99" s="225"/>
      <c r="Z99" s="225"/>
      <c r="AA99" s="225"/>
      <c r="AB99" s="225"/>
      <c r="AC99" s="225"/>
      <c r="AD99" s="225"/>
      <c r="AE99" s="225"/>
      <c r="AF99" s="225"/>
      <c r="AG99" s="225"/>
      <c r="AH99" s="225"/>
      <c r="AI99" s="225"/>
      <c r="AJ99" s="225"/>
      <c r="AK99" s="225"/>
      <c r="AL99" s="225"/>
      <c r="AM99" s="225"/>
      <c r="AN99" s="225"/>
      <c r="AO99" s="225"/>
      <c r="AP99" s="225"/>
      <c r="AQ99" s="225"/>
      <c r="AR99" s="225"/>
    </row>
    <row r="100" spans="1:44" ht="15.75" customHeight="1">
      <c r="A100" s="131"/>
      <c r="B100" s="131"/>
      <c r="C100" s="131"/>
      <c r="D100" s="131"/>
      <c r="E100" s="131"/>
      <c r="F100" s="131"/>
      <c r="G100" s="131"/>
      <c r="H100" s="131"/>
      <c r="I100" s="131"/>
      <c r="J100" s="131"/>
      <c r="K100" s="131"/>
      <c r="L100" s="225"/>
      <c r="M100" s="225"/>
      <c r="N100" s="225"/>
      <c r="O100" s="225"/>
      <c r="P100" s="225"/>
      <c r="Q100" s="225"/>
      <c r="R100" s="225"/>
      <c r="S100" s="225"/>
      <c r="T100" s="225"/>
      <c r="U100" s="225"/>
      <c r="V100" s="225"/>
      <c r="W100" s="225"/>
      <c r="X100" s="225"/>
      <c r="Y100" s="225"/>
      <c r="Z100" s="225"/>
      <c r="AA100" s="225"/>
      <c r="AB100" s="225"/>
      <c r="AC100" s="225"/>
      <c r="AD100" s="225"/>
      <c r="AE100" s="225"/>
      <c r="AF100" s="225"/>
      <c r="AG100" s="225"/>
      <c r="AH100" s="225"/>
      <c r="AI100" s="225"/>
      <c r="AJ100" s="225"/>
      <c r="AK100" s="225"/>
      <c r="AL100" s="225"/>
      <c r="AM100" s="225"/>
      <c r="AN100" s="225"/>
      <c r="AO100" s="225"/>
      <c r="AP100" s="225"/>
      <c r="AQ100" s="225"/>
      <c r="AR100" s="225"/>
    </row>
    <row r="101" spans="1:44" ht="15.75" customHeight="1">
      <c r="A101" s="250" t="s">
        <v>4422</v>
      </c>
      <c r="B101" s="131"/>
      <c r="C101" s="131"/>
      <c r="D101" s="131"/>
      <c r="E101" s="131"/>
      <c r="F101" s="131"/>
      <c r="G101" s="131"/>
      <c r="H101" s="131"/>
      <c r="I101" s="131"/>
      <c r="J101" s="131"/>
      <c r="K101" s="131"/>
      <c r="L101" s="225"/>
      <c r="M101" s="225"/>
      <c r="N101" s="225"/>
      <c r="O101" s="225"/>
      <c r="P101" s="225"/>
      <c r="Q101" s="225"/>
      <c r="R101" s="225"/>
      <c r="S101" s="225"/>
      <c r="T101" s="225"/>
      <c r="U101" s="225"/>
      <c r="V101" s="225"/>
      <c r="W101" s="225"/>
      <c r="X101" s="225"/>
      <c r="Y101" s="225"/>
      <c r="Z101" s="225"/>
      <c r="AA101" s="225"/>
      <c r="AB101" s="225"/>
      <c r="AC101" s="225"/>
      <c r="AD101" s="225"/>
      <c r="AE101" s="225"/>
      <c r="AF101" s="225"/>
      <c r="AG101" s="225"/>
      <c r="AH101" s="225"/>
      <c r="AI101" s="225"/>
      <c r="AJ101" s="225"/>
      <c r="AK101" s="225"/>
      <c r="AL101" s="225"/>
      <c r="AM101" s="225"/>
      <c r="AN101" s="225"/>
      <c r="AO101" s="225"/>
      <c r="AP101" s="225"/>
      <c r="AQ101" s="225"/>
      <c r="AR101" s="225"/>
    </row>
    <row r="102" spans="1:44" ht="15.75" customHeight="1">
      <c r="A102" s="131"/>
      <c r="B102" s="131"/>
      <c r="C102" s="131"/>
      <c r="D102" s="131"/>
      <c r="E102" s="131"/>
      <c r="F102" s="131"/>
      <c r="G102" s="131"/>
      <c r="H102" s="131"/>
      <c r="I102" s="131"/>
      <c r="J102" s="131"/>
      <c r="K102" s="131"/>
      <c r="L102" s="225"/>
      <c r="M102" s="225"/>
      <c r="N102" s="225"/>
      <c r="O102" s="225"/>
      <c r="P102" s="225"/>
      <c r="Q102" s="225"/>
      <c r="R102" s="225"/>
      <c r="S102" s="225"/>
      <c r="T102" s="225"/>
      <c r="U102" s="225"/>
      <c r="V102" s="225"/>
      <c r="W102" s="225"/>
      <c r="X102" s="225"/>
      <c r="Y102" s="225"/>
      <c r="Z102" s="225"/>
      <c r="AA102" s="225"/>
      <c r="AB102" s="225"/>
      <c r="AC102" s="225"/>
      <c r="AD102" s="225"/>
      <c r="AE102" s="225"/>
      <c r="AF102" s="225"/>
      <c r="AG102" s="225"/>
      <c r="AH102" s="225"/>
      <c r="AI102" s="225"/>
      <c r="AJ102" s="225"/>
      <c r="AK102" s="225"/>
      <c r="AL102" s="225"/>
      <c r="AM102" s="225"/>
      <c r="AN102" s="225"/>
      <c r="AO102" s="225"/>
      <c r="AP102" s="225"/>
      <c r="AQ102" s="225"/>
      <c r="AR102" s="225"/>
    </row>
    <row r="103" spans="1:44" ht="15.75" customHeight="1">
      <c r="A103" s="131"/>
      <c r="B103" s="131"/>
      <c r="C103" s="131"/>
      <c r="D103" s="131"/>
      <c r="E103" s="131"/>
      <c r="F103" s="131"/>
      <c r="G103" s="131"/>
      <c r="H103" s="131"/>
      <c r="I103" s="131"/>
      <c r="J103" s="131"/>
      <c r="K103" s="131"/>
      <c r="L103" s="225"/>
      <c r="M103" s="225"/>
      <c r="N103" s="225"/>
      <c r="O103" s="225"/>
      <c r="P103" s="225"/>
      <c r="Q103" s="225"/>
      <c r="R103" s="225"/>
      <c r="S103" s="225"/>
      <c r="T103" s="225"/>
      <c r="U103" s="225"/>
      <c r="V103" s="225"/>
      <c r="W103" s="225"/>
      <c r="X103" s="225"/>
      <c r="Y103" s="225"/>
      <c r="Z103" s="225"/>
      <c r="AA103" s="225"/>
      <c r="AB103" s="225"/>
      <c r="AC103" s="225"/>
      <c r="AD103" s="225"/>
      <c r="AE103" s="225"/>
      <c r="AF103" s="225"/>
      <c r="AG103" s="225"/>
      <c r="AH103" s="225"/>
      <c r="AI103" s="225"/>
      <c r="AJ103" s="225"/>
      <c r="AK103" s="225"/>
      <c r="AL103" s="225"/>
      <c r="AM103" s="225"/>
      <c r="AN103" s="225"/>
      <c r="AO103" s="225"/>
      <c r="AP103" s="225"/>
      <c r="AQ103" s="225"/>
      <c r="AR103" s="225"/>
    </row>
    <row r="104" spans="1:44" ht="15.75" customHeight="1">
      <c r="A104" s="197"/>
      <c r="B104" s="197"/>
      <c r="C104" s="131"/>
      <c r="D104" s="197"/>
      <c r="E104" s="197"/>
      <c r="F104" s="197"/>
      <c r="G104" s="131"/>
      <c r="H104" s="131"/>
      <c r="I104" s="131"/>
      <c r="J104" s="131"/>
      <c r="K104" s="131"/>
      <c r="L104" s="225"/>
      <c r="M104" s="225"/>
      <c r="N104" s="225"/>
      <c r="O104" s="225"/>
      <c r="P104" s="225"/>
      <c r="Q104" s="225"/>
      <c r="R104" s="225"/>
      <c r="S104" s="225"/>
      <c r="T104" s="225"/>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row>
    <row r="105" spans="1:44" ht="15.75" customHeight="1">
      <c r="A105" s="815" t="str">
        <f>Validacion!A7</f>
        <v>Vero</v>
      </c>
      <c r="B105" s="725"/>
      <c r="C105" s="131"/>
      <c r="D105" s="815" t="str">
        <f>Validacion!A9</f>
        <v>Irlanda</v>
      </c>
      <c r="E105" s="725"/>
      <c r="F105" s="725"/>
      <c r="G105" s="131"/>
      <c r="H105" s="131"/>
      <c r="I105" s="131"/>
      <c r="J105" s="131"/>
      <c r="K105" s="131"/>
      <c r="L105" s="225"/>
      <c r="M105" s="225"/>
      <c r="N105" s="225"/>
      <c r="O105" s="225"/>
      <c r="P105" s="225"/>
      <c r="Q105" s="225"/>
      <c r="R105" s="225"/>
      <c r="S105" s="225"/>
      <c r="T105" s="225"/>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row>
    <row r="106" spans="1:44" ht="14.25" customHeight="1">
      <c r="A106" s="725"/>
      <c r="B106" s="725"/>
      <c r="C106" s="131"/>
      <c r="D106" s="725"/>
      <c r="E106" s="725"/>
      <c r="F106" s="725"/>
      <c r="G106" s="131"/>
      <c r="H106" s="131"/>
      <c r="I106" s="131"/>
      <c r="J106" s="131"/>
      <c r="K106" s="131"/>
      <c r="L106" s="225"/>
      <c r="M106" s="225"/>
      <c r="N106" s="225"/>
      <c r="O106" s="225"/>
      <c r="P106" s="225"/>
      <c r="Q106" s="225"/>
      <c r="R106" s="225"/>
      <c r="S106" s="225"/>
      <c r="T106" s="225"/>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row>
    <row r="107" spans="1:44" ht="14.25" customHeight="1">
      <c r="A107" s="773" t="s">
        <v>4443</v>
      </c>
      <c r="B107" s="725"/>
      <c r="C107" s="131"/>
      <c r="D107" s="816" t="s">
        <v>6273</v>
      </c>
      <c r="E107" s="725"/>
      <c r="F107" s="725"/>
      <c r="G107" s="131"/>
      <c r="H107" s="131"/>
      <c r="I107" s="131"/>
      <c r="J107" s="131"/>
      <c r="K107" s="131"/>
      <c r="L107" s="225"/>
      <c r="M107" s="225"/>
      <c r="N107" s="225"/>
      <c r="O107" s="225"/>
      <c r="P107" s="225"/>
      <c r="Q107" s="225"/>
      <c r="R107" s="225"/>
      <c r="S107" s="225"/>
      <c r="T107" s="225"/>
      <c r="U107" s="225"/>
      <c r="V107" s="225"/>
      <c r="W107" s="225"/>
      <c r="X107" s="225"/>
      <c r="Y107" s="225"/>
      <c r="Z107" s="225"/>
      <c r="AA107" s="225"/>
      <c r="AB107" s="225"/>
      <c r="AC107" s="225"/>
      <c r="AD107" s="225"/>
      <c r="AE107" s="225"/>
      <c r="AF107" s="225"/>
      <c r="AG107" s="225"/>
      <c r="AH107" s="225"/>
      <c r="AI107" s="225"/>
      <c r="AJ107" s="225"/>
      <c r="AK107" s="225"/>
      <c r="AL107" s="225"/>
      <c r="AM107" s="225"/>
      <c r="AN107" s="225"/>
      <c r="AO107" s="225"/>
      <c r="AP107" s="225"/>
      <c r="AQ107" s="225"/>
      <c r="AR107" s="225"/>
    </row>
    <row r="108" spans="1:44" ht="14.25" customHeight="1">
      <c r="A108" s="725"/>
      <c r="B108" s="725"/>
      <c r="C108" s="131"/>
      <c r="D108" s="725"/>
      <c r="E108" s="725"/>
      <c r="F108" s="725"/>
      <c r="G108" s="131"/>
      <c r="H108" s="131"/>
      <c r="I108" s="131"/>
      <c r="J108" s="131"/>
      <c r="K108" s="131"/>
      <c r="L108" s="225"/>
      <c r="M108" s="225"/>
      <c r="N108" s="225"/>
      <c r="O108" s="225"/>
      <c r="P108" s="225"/>
      <c r="Q108" s="225"/>
      <c r="R108" s="225"/>
      <c r="S108" s="225"/>
      <c r="T108" s="225"/>
      <c r="U108" s="225"/>
      <c r="V108" s="225"/>
      <c r="W108" s="225"/>
      <c r="X108" s="225"/>
      <c r="Y108" s="225"/>
      <c r="Z108" s="225"/>
      <c r="AA108" s="225"/>
      <c r="AB108" s="225"/>
      <c r="AC108" s="225"/>
      <c r="AD108" s="225"/>
      <c r="AE108" s="225"/>
      <c r="AF108" s="225"/>
      <c r="AG108" s="225"/>
      <c r="AH108" s="225"/>
      <c r="AI108" s="225"/>
      <c r="AJ108" s="225"/>
      <c r="AK108" s="225"/>
      <c r="AL108" s="225"/>
      <c r="AM108" s="225"/>
      <c r="AN108" s="225"/>
      <c r="AO108" s="225"/>
      <c r="AP108" s="225"/>
      <c r="AQ108" s="225"/>
      <c r="AR108" s="225"/>
    </row>
    <row r="109" spans="1:44" ht="14.25" customHeight="1">
      <c r="A109" s="131"/>
      <c r="B109" s="131"/>
      <c r="C109" s="131"/>
      <c r="D109" s="131"/>
      <c r="E109" s="131"/>
      <c r="F109" s="131"/>
      <c r="G109" s="131"/>
      <c r="H109" s="131"/>
      <c r="I109" s="131"/>
      <c r="J109" s="131"/>
      <c r="K109" s="131"/>
      <c r="L109" s="225"/>
      <c r="M109" s="225"/>
      <c r="N109" s="225"/>
      <c r="O109" s="225"/>
      <c r="P109" s="225"/>
      <c r="Q109" s="225"/>
      <c r="R109" s="225"/>
      <c r="S109" s="225"/>
      <c r="T109" s="225"/>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row>
    <row r="110" spans="1:44" ht="15.75" customHeight="1">
      <c r="A110" s="131"/>
      <c r="B110" s="131"/>
      <c r="C110" s="131"/>
      <c r="D110" s="131"/>
      <c r="E110" s="131"/>
      <c r="F110" s="131"/>
      <c r="G110" s="131"/>
      <c r="H110" s="131"/>
      <c r="I110" s="131"/>
      <c r="J110" s="131"/>
      <c r="K110" s="131"/>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row>
    <row r="111" spans="1:44" ht="15.75" customHeight="1">
      <c r="A111" s="131"/>
      <c r="B111" s="131"/>
      <c r="C111" s="131"/>
      <c r="D111" s="131"/>
      <c r="E111" s="131"/>
      <c r="F111" s="131"/>
      <c r="G111" s="131"/>
      <c r="H111" s="131"/>
      <c r="I111" s="131"/>
      <c r="J111" s="131"/>
      <c r="K111" s="131"/>
      <c r="L111" s="225"/>
      <c r="M111" s="225"/>
      <c r="N111" s="225"/>
      <c r="O111" s="225"/>
      <c r="P111" s="225"/>
      <c r="Q111" s="225"/>
      <c r="R111" s="225"/>
      <c r="S111" s="225"/>
      <c r="T111" s="225"/>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c r="AR111" s="225"/>
    </row>
    <row r="112" spans="1:44" ht="15.75" customHeight="1">
      <c r="A112" s="131"/>
      <c r="B112" s="131"/>
      <c r="C112" s="131"/>
      <c r="D112" s="131"/>
      <c r="E112" s="131"/>
      <c r="F112" s="131"/>
      <c r="G112" s="131"/>
      <c r="H112" s="131"/>
      <c r="I112" s="131"/>
      <c r="J112" s="131"/>
      <c r="K112" s="131"/>
      <c r="L112" s="225"/>
      <c r="M112" s="225"/>
      <c r="N112" s="225"/>
      <c r="O112" s="225"/>
      <c r="P112" s="225"/>
      <c r="Q112" s="225"/>
      <c r="R112" s="225"/>
      <c r="S112" s="225"/>
      <c r="T112" s="225"/>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c r="AR112" s="225"/>
    </row>
    <row r="113" spans="1:44" ht="15.75" customHeight="1">
      <c r="A113" s="131"/>
      <c r="B113" s="131"/>
      <c r="C113" s="131"/>
      <c r="D113" s="131"/>
      <c r="E113" s="131"/>
      <c r="F113" s="131"/>
      <c r="G113" s="131"/>
      <c r="H113" s="131"/>
      <c r="I113" s="131"/>
      <c r="J113" s="131"/>
      <c r="K113" s="131"/>
      <c r="L113" s="225"/>
      <c r="M113" s="225"/>
      <c r="N113" s="225"/>
      <c r="O113" s="225"/>
      <c r="P113" s="225"/>
      <c r="Q113" s="225"/>
      <c r="R113" s="225"/>
      <c r="S113" s="225"/>
      <c r="T113" s="225"/>
      <c r="U113" s="225"/>
      <c r="V113" s="225"/>
      <c r="W113" s="225"/>
      <c r="X113" s="225"/>
      <c r="Y113" s="225"/>
      <c r="Z113" s="225"/>
      <c r="AA113" s="225"/>
      <c r="AB113" s="225"/>
      <c r="AC113" s="225"/>
      <c r="AD113" s="225"/>
      <c r="AE113" s="225"/>
      <c r="AF113" s="225"/>
      <c r="AG113" s="225"/>
      <c r="AH113" s="225"/>
      <c r="AI113" s="225"/>
      <c r="AJ113" s="225"/>
      <c r="AK113" s="225"/>
      <c r="AL113" s="225"/>
      <c r="AM113" s="225"/>
      <c r="AN113" s="225"/>
      <c r="AO113" s="225"/>
      <c r="AP113" s="225"/>
      <c r="AQ113" s="225"/>
      <c r="AR113" s="225"/>
    </row>
    <row r="114" spans="1:44" ht="15.75" customHeight="1">
      <c r="A114" s="131"/>
      <c r="B114" s="131"/>
      <c r="C114" s="131"/>
      <c r="D114" s="131"/>
      <c r="E114" s="131"/>
      <c r="F114" s="131"/>
      <c r="G114" s="131"/>
      <c r="H114" s="131"/>
      <c r="I114" s="131"/>
      <c r="J114" s="131"/>
      <c r="K114" s="131"/>
      <c r="L114" s="225"/>
      <c r="M114" s="225"/>
      <c r="N114" s="225"/>
      <c r="O114" s="225"/>
      <c r="P114" s="225"/>
      <c r="Q114" s="225"/>
      <c r="R114" s="225"/>
      <c r="S114" s="225"/>
      <c r="T114" s="225"/>
      <c r="U114" s="225"/>
      <c r="V114" s="225"/>
      <c r="W114" s="225"/>
      <c r="X114" s="225"/>
      <c r="Y114" s="225"/>
      <c r="Z114" s="225"/>
      <c r="AA114" s="225"/>
      <c r="AB114" s="225"/>
      <c r="AC114" s="225"/>
      <c r="AD114" s="225"/>
      <c r="AE114" s="225"/>
      <c r="AF114" s="225"/>
      <c r="AG114" s="225"/>
      <c r="AH114" s="225"/>
      <c r="AI114" s="225"/>
      <c r="AJ114" s="225"/>
      <c r="AK114" s="225"/>
      <c r="AL114" s="225"/>
      <c r="AM114" s="225"/>
      <c r="AN114" s="225"/>
      <c r="AO114" s="225"/>
      <c r="AP114" s="225"/>
      <c r="AQ114" s="225"/>
      <c r="AR114" s="225"/>
    </row>
    <row r="115" spans="1:44" ht="15.75" customHeight="1">
      <c r="A115" s="131"/>
      <c r="B115" s="131"/>
      <c r="C115" s="131"/>
      <c r="D115" s="131"/>
      <c r="E115" s="131"/>
      <c r="F115" s="131"/>
      <c r="G115" s="131"/>
      <c r="H115" s="131"/>
      <c r="I115" s="131"/>
      <c r="J115" s="131"/>
      <c r="K115" s="131"/>
      <c r="L115" s="225"/>
      <c r="M115" s="225"/>
      <c r="N115" s="225"/>
      <c r="O115" s="225"/>
      <c r="P115" s="225"/>
      <c r="Q115" s="225"/>
      <c r="R115" s="225"/>
      <c r="S115" s="225"/>
      <c r="T115" s="225"/>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row>
    <row r="116" spans="1:44" ht="15.75" customHeight="1">
      <c r="A116" s="131"/>
      <c r="B116" s="131"/>
      <c r="C116" s="131"/>
      <c r="D116" s="131"/>
      <c r="E116" s="131"/>
      <c r="F116" s="131"/>
      <c r="G116" s="131"/>
      <c r="H116" s="131"/>
      <c r="I116" s="131"/>
      <c r="J116" s="131"/>
      <c r="K116" s="131"/>
      <c r="L116" s="225"/>
      <c r="M116" s="225"/>
      <c r="N116" s="225"/>
      <c r="O116" s="225"/>
      <c r="P116" s="225"/>
      <c r="Q116" s="225"/>
      <c r="R116" s="225"/>
      <c r="S116" s="225"/>
      <c r="T116" s="225"/>
      <c r="U116" s="225"/>
      <c r="V116" s="225"/>
      <c r="W116" s="225"/>
      <c r="X116" s="225"/>
      <c r="Y116" s="225"/>
      <c r="Z116" s="225"/>
      <c r="AA116" s="225"/>
      <c r="AB116" s="225"/>
      <c r="AC116" s="225"/>
      <c r="AD116" s="225"/>
      <c r="AE116" s="225"/>
      <c r="AF116" s="225"/>
      <c r="AG116" s="225"/>
      <c r="AH116" s="225"/>
      <c r="AI116" s="225"/>
      <c r="AJ116" s="225"/>
      <c r="AK116" s="225"/>
      <c r="AL116" s="225"/>
      <c r="AM116" s="225"/>
      <c r="AN116" s="225"/>
      <c r="AO116" s="225"/>
      <c r="AP116" s="225"/>
      <c r="AQ116" s="225"/>
      <c r="AR116" s="225"/>
    </row>
    <row r="117" spans="1:44" ht="15.75" customHeight="1">
      <c r="A117" s="131"/>
      <c r="B117" s="131"/>
      <c r="C117" s="131"/>
      <c r="D117" s="131"/>
      <c r="E117" s="131"/>
      <c r="F117" s="131"/>
      <c r="G117" s="131"/>
      <c r="H117" s="131"/>
      <c r="I117" s="131"/>
      <c r="J117" s="131"/>
      <c r="K117" s="131"/>
      <c r="L117" s="225"/>
      <c r="M117" s="225"/>
      <c r="N117" s="225"/>
      <c r="O117" s="225"/>
      <c r="P117" s="225"/>
      <c r="Q117" s="225"/>
      <c r="R117" s="225"/>
      <c r="S117" s="225"/>
      <c r="T117" s="225"/>
      <c r="U117" s="225"/>
      <c r="V117" s="225"/>
      <c r="W117" s="225"/>
      <c r="X117" s="225"/>
      <c r="Y117" s="225"/>
      <c r="Z117" s="225"/>
      <c r="AA117" s="225"/>
      <c r="AB117" s="225"/>
      <c r="AC117" s="225"/>
      <c r="AD117" s="225"/>
      <c r="AE117" s="225"/>
      <c r="AF117" s="225"/>
      <c r="AG117" s="225"/>
      <c r="AH117" s="225"/>
      <c r="AI117" s="225"/>
      <c r="AJ117" s="225"/>
      <c r="AK117" s="225"/>
      <c r="AL117" s="225"/>
      <c r="AM117" s="225"/>
      <c r="AN117" s="225"/>
      <c r="AO117" s="225"/>
      <c r="AP117" s="225"/>
      <c r="AQ117" s="225"/>
      <c r="AR117" s="225"/>
    </row>
    <row r="118" spans="1:44" ht="15.75" customHeight="1">
      <c r="A118" s="131"/>
      <c r="B118" s="131"/>
      <c r="C118" s="131"/>
      <c r="D118" s="131"/>
      <c r="E118" s="131"/>
      <c r="F118" s="131"/>
      <c r="G118" s="131"/>
      <c r="H118" s="131"/>
      <c r="I118" s="131"/>
      <c r="J118" s="131"/>
      <c r="K118" s="131"/>
      <c r="L118" s="225"/>
      <c r="M118" s="225"/>
      <c r="N118" s="225"/>
      <c r="O118" s="225"/>
      <c r="P118" s="225"/>
      <c r="Q118" s="225"/>
      <c r="R118" s="225"/>
      <c r="S118" s="225"/>
      <c r="T118" s="225"/>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row>
    <row r="119" spans="1:44" ht="15.75" customHeight="1">
      <c r="A119" s="131"/>
      <c r="B119" s="131"/>
      <c r="C119" s="131"/>
      <c r="D119" s="131"/>
      <c r="E119" s="131"/>
      <c r="F119" s="131"/>
      <c r="G119" s="131"/>
      <c r="H119" s="131"/>
      <c r="I119" s="131"/>
      <c r="J119" s="131"/>
      <c r="K119" s="131"/>
      <c r="L119" s="225"/>
      <c r="M119" s="225"/>
      <c r="N119" s="225"/>
      <c r="O119" s="225"/>
      <c r="P119" s="225"/>
      <c r="Q119" s="225"/>
      <c r="R119" s="225"/>
      <c r="S119" s="225"/>
      <c r="T119" s="225"/>
      <c r="U119" s="225"/>
      <c r="V119" s="225"/>
      <c r="W119" s="225"/>
      <c r="X119" s="225"/>
      <c r="Y119" s="225"/>
      <c r="Z119" s="225"/>
      <c r="AA119" s="225"/>
      <c r="AB119" s="225"/>
      <c r="AC119" s="225"/>
      <c r="AD119" s="225"/>
      <c r="AE119" s="225"/>
      <c r="AF119" s="225"/>
      <c r="AG119" s="225"/>
      <c r="AH119" s="225"/>
      <c r="AI119" s="225"/>
      <c r="AJ119" s="225"/>
      <c r="AK119" s="225"/>
      <c r="AL119" s="225"/>
      <c r="AM119" s="225"/>
      <c r="AN119" s="225"/>
      <c r="AO119" s="225"/>
      <c r="AP119" s="225"/>
      <c r="AQ119" s="225"/>
      <c r="AR119" s="225"/>
    </row>
    <row r="120" spans="1:44" ht="15.75" customHeight="1">
      <c r="A120" s="131"/>
      <c r="B120" s="131"/>
      <c r="C120" s="131"/>
      <c r="D120" s="131"/>
      <c r="E120" s="131"/>
      <c r="F120" s="131"/>
      <c r="G120" s="131"/>
      <c r="H120" s="131"/>
      <c r="I120" s="131"/>
      <c r="J120" s="131"/>
      <c r="K120" s="131"/>
      <c r="L120" s="225"/>
      <c r="M120" s="225"/>
      <c r="N120" s="225"/>
      <c r="O120" s="225"/>
      <c r="P120" s="225"/>
      <c r="Q120" s="225"/>
      <c r="R120" s="225"/>
      <c r="S120" s="225"/>
      <c r="T120" s="225"/>
      <c r="U120" s="225"/>
      <c r="V120" s="225"/>
      <c r="W120" s="225"/>
      <c r="X120" s="225"/>
      <c r="Y120" s="225"/>
      <c r="Z120" s="225"/>
      <c r="AA120" s="225"/>
      <c r="AB120" s="225"/>
      <c r="AC120" s="225"/>
      <c r="AD120" s="225"/>
      <c r="AE120" s="225"/>
      <c r="AF120" s="225"/>
      <c r="AG120" s="225"/>
      <c r="AH120" s="225"/>
      <c r="AI120" s="225"/>
      <c r="AJ120" s="225"/>
      <c r="AK120" s="225"/>
      <c r="AL120" s="225"/>
      <c r="AM120" s="225"/>
      <c r="AN120" s="225"/>
      <c r="AO120" s="225"/>
      <c r="AP120" s="225"/>
      <c r="AQ120" s="225"/>
      <c r="AR120" s="225"/>
    </row>
    <row r="121" spans="1:44" ht="15.75" customHeight="1">
      <c r="A121" s="131"/>
      <c r="B121" s="131"/>
      <c r="C121" s="131"/>
      <c r="D121" s="131"/>
      <c r="E121" s="131"/>
      <c r="F121" s="131"/>
      <c r="G121" s="131"/>
      <c r="H121" s="131"/>
      <c r="I121" s="131"/>
      <c r="J121" s="131"/>
      <c r="K121" s="131"/>
      <c r="L121" s="225"/>
      <c r="M121" s="225"/>
      <c r="N121" s="225"/>
      <c r="O121" s="225"/>
      <c r="P121" s="225"/>
      <c r="Q121" s="225"/>
      <c r="R121" s="225"/>
      <c r="S121" s="225"/>
      <c r="T121" s="225"/>
      <c r="U121" s="225"/>
      <c r="V121" s="225"/>
      <c r="W121" s="225"/>
      <c r="X121" s="225"/>
      <c r="Y121" s="225"/>
      <c r="Z121" s="225"/>
      <c r="AA121" s="225"/>
      <c r="AB121" s="225"/>
      <c r="AC121" s="225"/>
      <c r="AD121" s="225"/>
      <c r="AE121" s="225"/>
      <c r="AF121" s="225"/>
      <c r="AG121" s="225"/>
      <c r="AH121" s="225"/>
      <c r="AI121" s="225"/>
      <c r="AJ121" s="225"/>
      <c r="AK121" s="225"/>
      <c r="AL121" s="225"/>
      <c r="AM121" s="225"/>
      <c r="AN121" s="225"/>
      <c r="AO121" s="225"/>
      <c r="AP121" s="225"/>
      <c r="AQ121" s="225"/>
      <c r="AR121" s="225"/>
    </row>
    <row r="122" spans="1:44" ht="15.75" customHeight="1">
      <c r="A122" s="131"/>
      <c r="B122" s="131"/>
      <c r="C122" s="131"/>
      <c r="D122" s="131"/>
      <c r="E122" s="131"/>
      <c r="F122" s="131"/>
      <c r="G122" s="131"/>
      <c r="H122" s="131"/>
      <c r="I122" s="131"/>
      <c r="J122" s="131"/>
      <c r="K122" s="131"/>
      <c r="L122" s="225"/>
      <c r="M122" s="225"/>
      <c r="N122" s="225"/>
      <c r="O122" s="225"/>
      <c r="P122" s="225"/>
      <c r="Q122" s="225"/>
      <c r="R122" s="225"/>
      <c r="S122" s="225"/>
      <c r="T122" s="225"/>
      <c r="U122" s="225"/>
      <c r="V122" s="225"/>
      <c r="W122" s="225"/>
      <c r="X122" s="225"/>
      <c r="Y122" s="225"/>
      <c r="Z122" s="225"/>
      <c r="AA122" s="225"/>
      <c r="AB122" s="225"/>
      <c r="AC122" s="225"/>
      <c r="AD122" s="225"/>
      <c r="AE122" s="225"/>
      <c r="AF122" s="225"/>
      <c r="AG122" s="225"/>
      <c r="AH122" s="225"/>
      <c r="AI122" s="225"/>
      <c r="AJ122" s="225"/>
      <c r="AK122" s="225"/>
      <c r="AL122" s="225"/>
      <c r="AM122" s="225"/>
      <c r="AN122" s="225"/>
      <c r="AO122" s="225"/>
      <c r="AP122" s="225"/>
      <c r="AQ122" s="225"/>
      <c r="AR122" s="225"/>
    </row>
    <row r="123" spans="1:44" ht="15.75" customHeight="1">
      <c r="A123" s="131"/>
      <c r="B123" s="131"/>
      <c r="C123" s="131"/>
      <c r="D123" s="131"/>
      <c r="E123" s="131"/>
      <c r="F123" s="131"/>
      <c r="G123" s="131"/>
      <c r="H123" s="131"/>
      <c r="I123" s="131"/>
      <c r="J123" s="131"/>
      <c r="K123" s="131"/>
      <c r="L123" s="225"/>
      <c r="M123" s="225"/>
      <c r="N123" s="225"/>
      <c r="O123" s="225"/>
      <c r="P123" s="225"/>
      <c r="Q123" s="225"/>
      <c r="R123" s="225"/>
      <c r="S123" s="225"/>
      <c r="T123" s="225"/>
      <c r="U123" s="225"/>
      <c r="V123" s="225"/>
      <c r="W123" s="225"/>
      <c r="X123" s="225"/>
      <c r="Y123" s="225"/>
      <c r="Z123" s="225"/>
      <c r="AA123" s="225"/>
      <c r="AB123" s="225"/>
      <c r="AC123" s="225"/>
      <c r="AD123" s="225"/>
      <c r="AE123" s="225"/>
      <c r="AF123" s="225"/>
      <c r="AG123" s="225"/>
      <c r="AH123" s="225"/>
      <c r="AI123" s="225"/>
      <c r="AJ123" s="225"/>
      <c r="AK123" s="225"/>
      <c r="AL123" s="225"/>
      <c r="AM123" s="225"/>
      <c r="AN123" s="225"/>
      <c r="AO123" s="225"/>
      <c r="AP123" s="225"/>
      <c r="AQ123" s="225"/>
      <c r="AR123" s="225"/>
    </row>
    <row r="124" spans="1:44" ht="15.75" customHeight="1">
      <c r="A124" s="131"/>
      <c r="B124" s="131"/>
      <c r="C124" s="131"/>
      <c r="D124" s="131"/>
      <c r="E124" s="131"/>
      <c r="F124" s="131"/>
      <c r="G124" s="131"/>
      <c r="H124" s="131"/>
      <c r="I124" s="131"/>
      <c r="J124" s="131"/>
      <c r="K124" s="131"/>
      <c r="L124" s="225"/>
      <c r="M124" s="225"/>
      <c r="N124" s="225"/>
      <c r="O124" s="225"/>
      <c r="P124" s="225"/>
      <c r="Q124" s="225"/>
      <c r="R124" s="225"/>
      <c r="S124" s="225"/>
      <c r="T124" s="225"/>
      <c r="U124" s="225"/>
      <c r="V124" s="225"/>
      <c r="W124" s="225"/>
      <c r="X124" s="225"/>
      <c r="Y124" s="225"/>
      <c r="Z124" s="225"/>
      <c r="AA124" s="225"/>
      <c r="AB124" s="225"/>
      <c r="AC124" s="225"/>
      <c r="AD124" s="225"/>
      <c r="AE124" s="225"/>
      <c r="AF124" s="225"/>
      <c r="AG124" s="225"/>
      <c r="AH124" s="225"/>
      <c r="AI124" s="225"/>
      <c r="AJ124" s="225"/>
      <c r="AK124" s="225"/>
      <c r="AL124" s="225"/>
      <c r="AM124" s="225"/>
      <c r="AN124" s="225"/>
      <c r="AO124" s="225"/>
      <c r="AP124" s="225"/>
      <c r="AQ124" s="225"/>
      <c r="AR124" s="225"/>
    </row>
    <row r="125" spans="1:44" ht="15.75" customHeight="1">
      <c r="A125" s="131"/>
      <c r="B125" s="131"/>
      <c r="C125" s="131"/>
      <c r="D125" s="131"/>
      <c r="E125" s="131"/>
      <c r="F125" s="131"/>
      <c r="G125" s="131"/>
      <c r="H125" s="131"/>
      <c r="I125" s="131"/>
      <c r="J125" s="131"/>
      <c r="K125" s="131"/>
      <c r="L125" s="225"/>
      <c r="M125" s="225"/>
      <c r="N125" s="225"/>
      <c r="O125" s="225"/>
      <c r="P125" s="225"/>
      <c r="Q125" s="225"/>
      <c r="R125" s="225"/>
      <c r="S125" s="225"/>
      <c r="T125" s="225"/>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row>
    <row r="126" spans="1:44" ht="15.75" customHeight="1">
      <c r="A126" s="131"/>
      <c r="B126" s="131"/>
      <c r="C126" s="131"/>
      <c r="D126" s="131"/>
      <c r="E126" s="131"/>
      <c r="F126" s="131"/>
      <c r="G126" s="131"/>
      <c r="H126" s="131"/>
      <c r="I126" s="131"/>
      <c r="J126" s="131"/>
      <c r="K126" s="131"/>
      <c r="L126" s="225"/>
      <c r="M126" s="225"/>
      <c r="N126" s="225"/>
      <c r="O126" s="225"/>
      <c r="P126" s="225"/>
      <c r="Q126" s="225"/>
      <c r="R126" s="225"/>
      <c r="S126" s="225"/>
      <c r="T126" s="225"/>
      <c r="U126" s="225"/>
      <c r="V126" s="225"/>
      <c r="W126" s="225"/>
      <c r="X126" s="225"/>
      <c r="Y126" s="225"/>
      <c r="Z126" s="225"/>
      <c r="AA126" s="225"/>
      <c r="AB126" s="225"/>
      <c r="AC126" s="225"/>
      <c r="AD126" s="225"/>
      <c r="AE126" s="225"/>
      <c r="AF126" s="225"/>
      <c r="AG126" s="225"/>
      <c r="AH126" s="225"/>
      <c r="AI126" s="225"/>
      <c r="AJ126" s="225"/>
      <c r="AK126" s="225"/>
      <c r="AL126" s="225"/>
      <c r="AM126" s="225"/>
      <c r="AN126" s="225"/>
      <c r="AO126" s="225"/>
      <c r="AP126" s="225"/>
      <c r="AQ126" s="225"/>
      <c r="AR126" s="225"/>
    </row>
    <row r="127" spans="1:44" ht="15.75" customHeight="1">
      <c r="A127" s="131"/>
      <c r="B127" s="131"/>
      <c r="C127" s="131"/>
      <c r="D127" s="131"/>
      <c r="E127" s="131"/>
      <c r="F127" s="131"/>
      <c r="G127" s="131"/>
      <c r="H127" s="131"/>
      <c r="I127" s="131"/>
      <c r="J127" s="131"/>
      <c r="K127" s="131"/>
      <c r="L127" s="225"/>
      <c r="M127" s="225"/>
      <c r="N127" s="225"/>
      <c r="O127" s="225"/>
      <c r="P127" s="225"/>
      <c r="Q127" s="225"/>
      <c r="R127" s="225"/>
      <c r="S127" s="225"/>
      <c r="T127" s="225"/>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row>
    <row r="128" spans="1:44" ht="15.75" customHeight="1">
      <c r="A128" s="131"/>
      <c r="B128" s="131"/>
      <c r="C128" s="131"/>
      <c r="D128" s="131"/>
      <c r="E128" s="131"/>
      <c r="F128" s="131"/>
      <c r="G128" s="131"/>
      <c r="H128" s="131"/>
      <c r="I128" s="131"/>
      <c r="J128" s="131"/>
      <c r="K128" s="131"/>
      <c r="L128" s="225"/>
      <c r="M128" s="225"/>
      <c r="N128" s="225"/>
      <c r="O128" s="225"/>
      <c r="P128" s="225"/>
      <c r="Q128" s="225"/>
      <c r="R128" s="225"/>
      <c r="S128" s="225"/>
      <c r="T128" s="225"/>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225"/>
      <c r="AR128" s="225"/>
    </row>
    <row r="129" spans="1:44" ht="15.75" customHeight="1">
      <c r="A129" s="131"/>
      <c r="B129" s="131"/>
      <c r="C129" s="131"/>
      <c r="D129" s="131"/>
      <c r="E129" s="131"/>
      <c r="F129" s="131"/>
      <c r="G129" s="131"/>
      <c r="H129" s="131"/>
      <c r="I129" s="131"/>
      <c r="J129" s="131"/>
      <c r="K129" s="131"/>
      <c r="L129" s="225"/>
      <c r="M129" s="225"/>
      <c r="N129" s="225"/>
      <c r="O129" s="225"/>
      <c r="P129" s="225"/>
      <c r="Q129" s="225"/>
      <c r="R129" s="225"/>
      <c r="S129" s="225"/>
      <c r="T129" s="225"/>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c r="AR129" s="225"/>
    </row>
    <row r="130" spans="1:44" ht="15.75" customHeight="1">
      <c r="A130" s="131"/>
      <c r="B130" s="131"/>
      <c r="C130" s="131"/>
      <c r="D130" s="131"/>
      <c r="E130" s="131"/>
      <c r="F130" s="131"/>
      <c r="G130" s="131"/>
      <c r="H130" s="131"/>
      <c r="I130" s="131"/>
      <c r="J130" s="131"/>
      <c r="K130" s="131"/>
      <c r="L130" s="225"/>
      <c r="M130" s="225"/>
      <c r="N130" s="225"/>
      <c r="O130" s="225"/>
      <c r="P130" s="225"/>
      <c r="Q130" s="225"/>
      <c r="R130" s="225"/>
      <c r="S130" s="225"/>
      <c r="T130" s="225"/>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row>
    <row r="131" spans="1:44" ht="15.75" customHeight="1">
      <c r="A131" s="131"/>
      <c r="B131" s="131"/>
      <c r="C131" s="131"/>
      <c r="D131" s="131"/>
      <c r="E131" s="131"/>
      <c r="F131" s="131"/>
      <c r="G131" s="131"/>
      <c r="H131" s="131"/>
      <c r="I131" s="131"/>
      <c r="J131" s="131"/>
      <c r="K131" s="131"/>
      <c r="L131" s="225"/>
      <c r="M131" s="225"/>
      <c r="N131" s="225"/>
      <c r="O131" s="225"/>
      <c r="P131" s="225"/>
      <c r="Q131" s="225"/>
      <c r="R131" s="225"/>
      <c r="S131" s="225"/>
      <c r="T131" s="225"/>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c r="AR131" s="225"/>
    </row>
    <row r="132" spans="1:44" ht="15.75" customHeight="1">
      <c r="A132" s="131"/>
      <c r="B132" s="131"/>
      <c r="C132" s="131"/>
      <c r="D132" s="131"/>
      <c r="E132" s="131"/>
      <c r="F132" s="131"/>
      <c r="G132" s="131"/>
      <c r="H132" s="131"/>
      <c r="I132" s="131"/>
      <c r="J132" s="131"/>
      <c r="K132" s="131"/>
      <c r="L132" s="225"/>
      <c r="M132" s="225"/>
      <c r="N132" s="225"/>
      <c r="O132" s="225"/>
      <c r="P132" s="225"/>
      <c r="Q132" s="225"/>
      <c r="R132" s="225"/>
      <c r="S132" s="225"/>
      <c r="T132" s="225"/>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c r="AR132" s="225"/>
    </row>
    <row r="133" spans="1:44" ht="15.75" customHeight="1">
      <c r="A133" s="131"/>
      <c r="B133" s="131"/>
      <c r="C133" s="131"/>
      <c r="D133" s="131"/>
      <c r="E133" s="131"/>
      <c r="F133" s="131"/>
      <c r="G133" s="131"/>
      <c r="H133" s="131"/>
      <c r="I133" s="131"/>
      <c r="J133" s="131"/>
      <c r="K133" s="131"/>
      <c r="L133" s="225"/>
      <c r="M133" s="225"/>
      <c r="N133" s="225"/>
      <c r="O133" s="225"/>
      <c r="P133" s="225"/>
      <c r="Q133" s="225"/>
      <c r="R133" s="225"/>
      <c r="S133" s="225"/>
      <c r="T133" s="225"/>
      <c r="U133" s="225"/>
      <c r="V133" s="225"/>
      <c r="W133" s="225"/>
      <c r="X133" s="225"/>
      <c r="Y133" s="225"/>
      <c r="Z133" s="225"/>
      <c r="AA133" s="225"/>
      <c r="AB133" s="225"/>
      <c r="AC133" s="225"/>
      <c r="AD133" s="225"/>
      <c r="AE133" s="225"/>
      <c r="AF133" s="225"/>
      <c r="AG133" s="225"/>
      <c r="AH133" s="225"/>
      <c r="AI133" s="225"/>
      <c r="AJ133" s="225"/>
      <c r="AK133" s="225"/>
      <c r="AL133" s="225"/>
      <c r="AM133" s="225"/>
      <c r="AN133" s="225"/>
      <c r="AO133" s="225"/>
      <c r="AP133" s="225"/>
      <c r="AQ133" s="225"/>
      <c r="AR133" s="225"/>
    </row>
    <row r="134" spans="1:44" ht="15.75" customHeight="1">
      <c r="A134" s="131"/>
      <c r="B134" s="131"/>
      <c r="C134" s="131"/>
      <c r="D134" s="131"/>
      <c r="E134" s="131"/>
      <c r="F134" s="131"/>
      <c r="G134" s="131"/>
      <c r="H134" s="131"/>
      <c r="I134" s="131"/>
      <c r="J134" s="131"/>
      <c r="K134" s="131"/>
      <c r="L134" s="225"/>
      <c r="M134" s="225"/>
      <c r="N134" s="225"/>
      <c r="O134" s="225"/>
      <c r="P134" s="225"/>
      <c r="Q134" s="225"/>
      <c r="R134" s="225"/>
      <c r="S134" s="225"/>
      <c r="T134" s="225"/>
      <c r="U134" s="225"/>
      <c r="V134" s="225"/>
      <c r="W134" s="225"/>
      <c r="X134" s="225"/>
      <c r="Y134" s="225"/>
      <c r="Z134" s="225"/>
      <c r="AA134" s="225"/>
      <c r="AB134" s="225"/>
      <c r="AC134" s="225"/>
      <c r="AD134" s="225"/>
      <c r="AE134" s="225"/>
      <c r="AF134" s="225"/>
      <c r="AG134" s="225"/>
      <c r="AH134" s="225"/>
      <c r="AI134" s="225"/>
      <c r="AJ134" s="225"/>
      <c r="AK134" s="225"/>
      <c r="AL134" s="225"/>
      <c r="AM134" s="225"/>
      <c r="AN134" s="225"/>
      <c r="AO134" s="225"/>
      <c r="AP134" s="225"/>
      <c r="AQ134" s="225"/>
      <c r="AR134" s="225"/>
    </row>
    <row r="135" spans="1:44" ht="15.75" customHeight="1">
      <c r="A135" s="131"/>
      <c r="B135" s="131"/>
      <c r="C135" s="131"/>
      <c r="D135" s="131"/>
      <c r="E135" s="131"/>
      <c r="F135" s="131"/>
      <c r="G135" s="131"/>
      <c r="H135" s="131"/>
      <c r="I135" s="131"/>
      <c r="J135" s="131"/>
      <c r="K135" s="131"/>
      <c r="L135" s="225"/>
      <c r="M135" s="225"/>
      <c r="N135" s="225"/>
      <c r="O135" s="225"/>
      <c r="P135" s="225"/>
      <c r="Q135" s="225"/>
      <c r="R135" s="225"/>
      <c r="S135" s="225"/>
      <c r="T135" s="225"/>
      <c r="U135" s="225"/>
      <c r="V135" s="225"/>
      <c r="W135" s="225"/>
      <c r="X135" s="225"/>
      <c r="Y135" s="225"/>
      <c r="Z135" s="225"/>
      <c r="AA135" s="225"/>
      <c r="AB135" s="225"/>
      <c r="AC135" s="225"/>
      <c r="AD135" s="225"/>
      <c r="AE135" s="225"/>
      <c r="AF135" s="225"/>
      <c r="AG135" s="225"/>
      <c r="AH135" s="225"/>
      <c r="AI135" s="225"/>
      <c r="AJ135" s="225"/>
      <c r="AK135" s="225"/>
      <c r="AL135" s="225"/>
      <c r="AM135" s="225"/>
      <c r="AN135" s="225"/>
      <c r="AO135" s="225"/>
      <c r="AP135" s="225"/>
      <c r="AQ135" s="225"/>
      <c r="AR135" s="225"/>
    </row>
    <row r="136" spans="1:44" ht="15.75" customHeight="1">
      <c r="A136" s="131"/>
      <c r="B136" s="131"/>
      <c r="C136" s="131"/>
      <c r="D136" s="131"/>
      <c r="E136" s="131"/>
      <c r="F136" s="131"/>
      <c r="G136" s="131"/>
      <c r="H136" s="131"/>
      <c r="I136" s="131"/>
      <c r="J136" s="131"/>
      <c r="K136" s="131"/>
      <c r="L136" s="225"/>
      <c r="M136" s="225"/>
      <c r="N136" s="225"/>
      <c r="O136" s="225"/>
      <c r="P136" s="225"/>
      <c r="Q136" s="225"/>
      <c r="R136" s="225"/>
      <c r="S136" s="225"/>
      <c r="T136" s="225"/>
      <c r="U136" s="225"/>
      <c r="V136" s="225"/>
      <c r="W136" s="225"/>
      <c r="X136" s="225"/>
      <c r="Y136" s="225"/>
      <c r="Z136" s="225"/>
      <c r="AA136" s="225"/>
      <c r="AB136" s="225"/>
      <c r="AC136" s="225"/>
      <c r="AD136" s="225"/>
      <c r="AE136" s="225"/>
      <c r="AF136" s="225"/>
      <c r="AG136" s="225"/>
      <c r="AH136" s="225"/>
      <c r="AI136" s="225"/>
      <c r="AJ136" s="225"/>
      <c r="AK136" s="225"/>
      <c r="AL136" s="225"/>
      <c r="AM136" s="225"/>
      <c r="AN136" s="225"/>
      <c r="AO136" s="225"/>
      <c r="AP136" s="225"/>
      <c r="AQ136" s="225"/>
      <c r="AR136" s="225"/>
    </row>
    <row r="137" spans="1:44" ht="15.75" customHeight="1">
      <c r="A137" s="131"/>
      <c r="B137" s="131"/>
      <c r="C137" s="131"/>
      <c r="D137" s="131"/>
      <c r="E137" s="131"/>
      <c r="F137" s="131"/>
      <c r="G137" s="131"/>
      <c r="H137" s="131"/>
      <c r="I137" s="131"/>
      <c r="J137" s="131"/>
      <c r="K137" s="131"/>
      <c r="L137" s="225"/>
      <c r="M137" s="225"/>
      <c r="N137" s="225"/>
      <c r="O137" s="225"/>
      <c r="P137" s="225"/>
      <c r="Q137" s="225"/>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row>
    <row r="138" spans="1:44" ht="15.75" customHeight="1">
      <c r="A138" s="131"/>
      <c r="B138" s="131"/>
      <c r="C138" s="131"/>
      <c r="D138" s="131"/>
      <c r="E138" s="131"/>
      <c r="F138" s="131"/>
      <c r="G138" s="131"/>
      <c r="H138" s="131"/>
      <c r="I138" s="131"/>
      <c r="J138" s="131"/>
      <c r="K138" s="131"/>
      <c r="L138" s="225"/>
      <c r="M138" s="225"/>
      <c r="N138" s="225"/>
      <c r="O138" s="225"/>
      <c r="P138" s="225"/>
      <c r="Q138" s="225"/>
      <c r="R138" s="225"/>
      <c r="S138" s="225"/>
      <c r="T138" s="225"/>
      <c r="U138" s="225"/>
      <c r="V138" s="225"/>
      <c r="W138" s="225"/>
      <c r="X138" s="225"/>
      <c r="Y138" s="225"/>
      <c r="Z138" s="225"/>
      <c r="AA138" s="225"/>
      <c r="AB138" s="225"/>
      <c r="AC138" s="225"/>
      <c r="AD138" s="225"/>
      <c r="AE138" s="225"/>
      <c r="AF138" s="225"/>
      <c r="AG138" s="225"/>
      <c r="AH138" s="225"/>
      <c r="AI138" s="225"/>
      <c r="AJ138" s="225"/>
      <c r="AK138" s="225"/>
      <c r="AL138" s="225"/>
      <c r="AM138" s="225"/>
      <c r="AN138" s="225"/>
      <c r="AO138" s="225"/>
      <c r="AP138" s="225"/>
      <c r="AQ138" s="225"/>
      <c r="AR138" s="225"/>
    </row>
    <row r="139" spans="1:44" ht="15.75" customHeight="1">
      <c r="A139" s="131"/>
      <c r="B139" s="131"/>
      <c r="C139" s="131"/>
      <c r="D139" s="131"/>
      <c r="E139" s="131"/>
      <c r="F139" s="131"/>
      <c r="G139" s="131"/>
      <c r="H139" s="131"/>
      <c r="I139" s="131"/>
      <c r="J139" s="131"/>
      <c r="K139" s="131"/>
      <c r="L139" s="225"/>
      <c r="M139" s="225"/>
      <c r="N139" s="225"/>
      <c r="O139" s="225"/>
      <c r="P139" s="225"/>
      <c r="Q139" s="225"/>
      <c r="R139" s="225"/>
      <c r="S139" s="225"/>
      <c r="T139" s="225"/>
      <c r="U139" s="225"/>
      <c r="V139" s="225"/>
      <c r="W139" s="225"/>
      <c r="X139" s="225"/>
      <c r="Y139" s="225"/>
      <c r="Z139" s="225"/>
      <c r="AA139" s="225"/>
      <c r="AB139" s="225"/>
      <c r="AC139" s="225"/>
      <c r="AD139" s="225"/>
      <c r="AE139" s="225"/>
      <c r="AF139" s="225"/>
      <c r="AG139" s="225"/>
      <c r="AH139" s="225"/>
      <c r="AI139" s="225"/>
      <c r="AJ139" s="225"/>
      <c r="AK139" s="225"/>
      <c r="AL139" s="225"/>
      <c r="AM139" s="225"/>
      <c r="AN139" s="225"/>
      <c r="AO139" s="225"/>
      <c r="AP139" s="225"/>
      <c r="AQ139" s="225"/>
      <c r="AR139" s="225"/>
    </row>
    <row r="140" spans="1:44" ht="15.75" customHeight="1">
      <c r="A140" s="131"/>
      <c r="B140" s="131"/>
      <c r="C140" s="131"/>
      <c r="D140" s="131"/>
      <c r="E140" s="131"/>
      <c r="F140" s="131"/>
      <c r="G140" s="131"/>
      <c r="H140" s="131"/>
      <c r="I140" s="131"/>
      <c r="J140" s="131"/>
      <c r="K140" s="131"/>
      <c r="L140" s="225"/>
      <c r="M140" s="225"/>
      <c r="N140" s="225"/>
      <c r="O140" s="225"/>
      <c r="P140" s="225"/>
      <c r="Q140" s="225"/>
      <c r="R140" s="225"/>
      <c r="S140" s="225"/>
      <c r="T140" s="225"/>
      <c r="U140" s="225"/>
      <c r="V140" s="225"/>
      <c r="W140" s="225"/>
      <c r="X140" s="225"/>
      <c r="Y140" s="225"/>
      <c r="Z140" s="225"/>
      <c r="AA140" s="225"/>
      <c r="AB140" s="225"/>
      <c r="AC140" s="225"/>
      <c r="AD140" s="225"/>
      <c r="AE140" s="225"/>
      <c r="AF140" s="225"/>
      <c r="AG140" s="225"/>
      <c r="AH140" s="225"/>
      <c r="AI140" s="225"/>
      <c r="AJ140" s="225"/>
      <c r="AK140" s="225"/>
      <c r="AL140" s="225"/>
      <c r="AM140" s="225"/>
      <c r="AN140" s="225"/>
      <c r="AO140" s="225"/>
      <c r="AP140" s="225"/>
      <c r="AQ140" s="225"/>
      <c r="AR140" s="225"/>
    </row>
    <row r="141" spans="1:44" ht="15.75" customHeight="1">
      <c r="A141" s="131"/>
      <c r="B141" s="131"/>
      <c r="C141" s="131"/>
      <c r="D141" s="131"/>
      <c r="E141" s="131"/>
      <c r="F141" s="131"/>
      <c r="G141" s="131"/>
      <c r="H141" s="131"/>
      <c r="I141" s="131"/>
      <c r="J141" s="131"/>
      <c r="K141" s="131"/>
      <c r="L141" s="225"/>
      <c r="M141" s="225"/>
      <c r="N141" s="225"/>
      <c r="O141" s="225"/>
      <c r="P141" s="225"/>
      <c r="Q141" s="225"/>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row>
    <row r="142" spans="1:44" ht="15.75" customHeight="1">
      <c r="A142" s="131"/>
      <c r="B142" s="131"/>
      <c r="C142" s="131"/>
      <c r="D142" s="131"/>
      <c r="E142" s="131"/>
      <c r="F142" s="131"/>
      <c r="G142" s="131"/>
      <c r="H142" s="131"/>
      <c r="I142" s="131"/>
      <c r="J142" s="131"/>
      <c r="K142" s="131"/>
      <c r="L142" s="225"/>
      <c r="M142" s="225"/>
      <c r="N142" s="225"/>
      <c r="O142" s="225"/>
      <c r="P142" s="225"/>
      <c r="Q142" s="225"/>
      <c r="R142" s="225"/>
      <c r="S142" s="225"/>
      <c r="T142" s="225"/>
      <c r="U142" s="225"/>
      <c r="V142" s="225"/>
      <c r="W142" s="225"/>
      <c r="X142" s="225"/>
      <c r="Y142" s="225"/>
      <c r="Z142" s="225"/>
      <c r="AA142" s="225"/>
      <c r="AB142" s="225"/>
      <c r="AC142" s="225"/>
      <c r="AD142" s="225"/>
      <c r="AE142" s="225"/>
      <c r="AF142" s="225"/>
      <c r="AG142" s="225"/>
      <c r="AH142" s="225"/>
      <c r="AI142" s="225"/>
      <c r="AJ142" s="225"/>
      <c r="AK142" s="225"/>
      <c r="AL142" s="225"/>
      <c r="AM142" s="225"/>
      <c r="AN142" s="225"/>
      <c r="AO142" s="225"/>
      <c r="AP142" s="225"/>
      <c r="AQ142" s="225"/>
      <c r="AR142" s="225"/>
    </row>
    <row r="143" spans="1:44" ht="15.75" customHeight="1">
      <c r="A143" s="131"/>
      <c r="B143" s="131"/>
      <c r="C143" s="131"/>
      <c r="D143" s="131"/>
      <c r="E143" s="131"/>
      <c r="F143" s="131"/>
      <c r="G143" s="131"/>
      <c r="H143" s="131"/>
      <c r="I143" s="131"/>
      <c r="J143" s="131"/>
      <c r="K143" s="131"/>
      <c r="L143" s="225"/>
      <c r="M143" s="225"/>
      <c r="N143" s="225"/>
      <c r="O143" s="225"/>
      <c r="P143" s="225"/>
      <c r="Q143" s="225"/>
      <c r="R143" s="225"/>
      <c r="S143" s="225"/>
      <c r="T143" s="225"/>
      <c r="U143" s="225"/>
      <c r="V143" s="225"/>
      <c r="W143" s="225"/>
      <c r="X143" s="225"/>
      <c r="Y143" s="225"/>
      <c r="Z143" s="225"/>
      <c r="AA143" s="225"/>
      <c r="AB143" s="225"/>
      <c r="AC143" s="225"/>
      <c r="AD143" s="225"/>
      <c r="AE143" s="225"/>
      <c r="AF143" s="225"/>
      <c r="AG143" s="225"/>
      <c r="AH143" s="225"/>
      <c r="AI143" s="225"/>
      <c r="AJ143" s="225"/>
      <c r="AK143" s="225"/>
      <c r="AL143" s="225"/>
      <c r="AM143" s="225"/>
      <c r="AN143" s="225"/>
      <c r="AO143" s="225"/>
      <c r="AP143" s="225"/>
      <c r="AQ143" s="225"/>
      <c r="AR143" s="225"/>
    </row>
    <row r="144" spans="1:44" ht="15.75" customHeight="1">
      <c r="A144" s="131"/>
      <c r="B144" s="131"/>
      <c r="C144" s="131"/>
      <c r="D144" s="131"/>
      <c r="E144" s="131"/>
      <c r="F144" s="131"/>
      <c r="G144" s="131"/>
      <c r="H144" s="131"/>
      <c r="I144" s="131"/>
      <c r="J144" s="131"/>
      <c r="K144" s="131"/>
      <c r="L144" s="225"/>
      <c r="M144" s="225"/>
      <c r="N144" s="225"/>
      <c r="O144" s="225"/>
      <c r="P144" s="225"/>
      <c r="Q144" s="225"/>
      <c r="R144" s="225"/>
      <c r="S144" s="225"/>
      <c r="T144" s="225"/>
      <c r="U144" s="225"/>
      <c r="V144" s="225"/>
      <c r="W144" s="225"/>
      <c r="X144" s="225"/>
      <c r="Y144" s="225"/>
      <c r="Z144" s="225"/>
      <c r="AA144" s="225"/>
      <c r="AB144" s="225"/>
      <c r="AC144" s="225"/>
      <c r="AD144" s="225"/>
      <c r="AE144" s="225"/>
      <c r="AF144" s="225"/>
      <c r="AG144" s="225"/>
      <c r="AH144" s="225"/>
      <c r="AI144" s="225"/>
      <c r="AJ144" s="225"/>
      <c r="AK144" s="225"/>
      <c r="AL144" s="225"/>
      <c r="AM144" s="225"/>
      <c r="AN144" s="225"/>
      <c r="AO144" s="225"/>
      <c r="AP144" s="225"/>
      <c r="AQ144" s="225"/>
      <c r="AR144" s="225"/>
    </row>
    <row r="145" spans="1:44" ht="15.75" customHeight="1">
      <c r="A145" s="131"/>
      <c r="B145" s="131"/>
      <c r="C145" s="131"/>
      <c r="D145" s="131"/>
      <c r="E145" s="131"/>
      <c r="F145" s="131"/>
      <c r="G145" s="131"/>
      <c r="H145" s="131"/>
      <c r="I145" s="131"/>
      <c r="J145" s="131"/>
      <c r="K145" s="131"/>
      <c r="L145" s="225"/>
      <c r="M145" s="225"/>
      <c r="N145" s="225"/>
      <c r="O145" s="225"/>
      <c r="P145" s="225"/>
      <c r="Q145" s="225"/>
      <c r="R145" s="225"/>
      <c r="S145" s="225"/>
      <c r="T145" s="225"/>
      <c r="U145" s="225"/>
      <c r="V145" s="225"/>
      <c r="W145" s="225"/>
      <c r="X145" s="225"/>
      <c r="Y145" s="225"/>
      <c r="Z145" s="225"/>
      <c r="AA145" s="225"/>
      <c r="AB145" s="225"/>
      <c r="AC145" s="225"/>
      <c r="AD145" s="225"/>
      <c r="AE145" s="225"/>
      <c r="AF145" s="225"/>
      <c r="AG145" s="225"/>
      <c r="AH145" s="225"/>
      <c r="AI145" s="225"/>
      <c r="AJ145" s="225"/>
      <c r="AK145" s="225"/>
      <c r="AL145" s="225"/>
      <c r="AM145" s="225"/>
      <c r="AN145" s="225"/>
      <c r="AO145" s="225"/>
      <c r="AP145" s="225"/>
      <c r="AQ145" s="225"/>
      <c r="AR145" s="225"/>
    </row>
    <row r="146" spans="1:44" ht="15.75" customHeight="1">
      <c r="A146" s="131"/>
      <c r="B146" s="131"/>
      <c r="C146" s="131"/>
      <c r="D146" s="131"/>
      <c r="E146" s="131"/>
      <c r="F146" s="131"/>
      <c r="G146" s="131"/>
      <c r="H146" s="131"/>
      <c r="I146" s="131"/>
      <c r="J146" s="131"/>
      <c r="K146" s="131"/>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row>
    <row r="147" spans="1:44" ht="15.75" customHeight="1">
      <c r="A147" s="131"/>
      <c r="B147" s="131"/>
      <c r="C147" s="131"/>
      <c r="D147" s="131"/>
      <c r="E147" s="131"/>
      <c r="F147" s="131"/>
      <c r="G147" s="131"/>
      <c r="H147" s="131"/>
      <c r="I147" s="131"/>
      <c r="J147" s="131"/>
      <c r="K147" s="131"/>
      <c r="L147" s="225"/>
      <c r="M147" s="225"/>
      <c r="N147" s="225"/>
      <c r="O147" s="225"/>
      <c r="P147" s="225"/>
      <c r="Q147" s="225"/>
      <c r="R147" s="225"/>
      <c r="S147" s="225"/>
      <c r="T147" s="225"/>
      <c r="U147" s="225"/>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row>
    <row r="148" spans="1:44" ht="15.75" customHeight="1">
      <c r="A148" s="131"/>
      <c r="B148" s="131"/>
      <c r="C148" s="131"/>
      <c r="D148" s="131"/>
      <c r="E148" s="131"/>
      <c r="F148" s="131"/>
      <c r="G148" s="131"/>
      <c r="H148" s="131"/>
      <c r="I148" s="131"/>
      <c r="J148" s="131"/>
      <c r="K148" s="131"/>
      <c r="L148" s="225"/>
      <c r="M148" s="225"/>
      <c r="N148" s="225"/>
      <c r="O148" s="225"/>
      <c r="P148" s="225"/>
      <c r="Q148" s="225"/>
      <c r="R148" s="225"/>
      <c r="S148" s="225"/>
      <c r="T148" s="225"/>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row>
    <row r="149" spans="1:44" ht="15.75" customHeight="1">
      <c r="A149" s="131"/>
      <c r="B149" s="131"/>
      <c r="C149" s="131"/>
      <c r="D149" s="131"/>
      <c r="E149" s="131"/>
      <c r="F149" s="131"/>
      <c r="G149" s="131"/>
      <c r="H149" s="131"/>
      <c r="I149" s="131"/>
      <c r="J149" s="131"/>
      <c r="K149" s="131"/>
      <c r="L149" s="225"/>
      <c r="M149" s="225"/>
      <c r="N149" s="225"/>
      <c r="O149" s="225"/>
      <c r="P149" s="225"/>
      <c r="Q149" s="225"/>
      <c r="R149" s="225"/>
      <c r="S149" s="225"/>
      <c r="T149" s="225"/>
      <c r="U149" s="225"/>
      <c r="V149" s="225"/>
      <c r="W149" s="225"/>
      <c r="X149" s="225"/>
      <c r="Y149" s="225"/>
      <c r="Z149" s="225"/>
      <c r="AA149" s="225"/>
      <c r="AB149" s="225"/>
      <c r="AC149" s="225"/>
      <c r="AD149" s="225"/>
      <c r="AE149" s="225"/>
      <c r="AF149" s="225"/>
      <c r="AG149" s="225"/>
      <c r="AH149" s="225"/>
      <c r="AI149" s="225"/>
      <c r="AJ149" s="225"/>
      <c r="AK149" s="225"/>
      <c r="AL149" s="225"/>
      <c r="AM149" s="225"/>
      <c r="AN149" s="225"/>
      <c r="AO149" s="225"/>
      <c r="AP149" s="225"/>
      <c r="AQ149" s="225"/>
      <c r="AR149" s="225"/>
    </row>
    <row r="150" spans="1:44" ht="15.75" customHeight="1">
      <c r="A150" s="131"/>
      <c r="B150" s="131"/>
      <c r="C150" s="131"/>
      <c r="D150" s="131"/>
      <c r="E150" s="131"/>
      <c r="F150" s="131"/>
      <c r="G150" s="131"/>
      <c r="H150" s="131"/>
      <c r="I150" s="131"/>
      <c r="J150" s="131"/>
      <c r="K150" s="131"/>
      <c r="L150" s="225"/>
      <c r="M150" s="225"/>
      <c r="N150" s="225"/>
      <c r="O150" s="225"/>
      <c r="P150" s="225"/>
      <c r="Q150" s="225"/>
      <c r="R150" s="225"/>
      <c r="S150" s="225"/>
      <c r="T150" s="225"/>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row>
    <row r="151" spans="1:44" ht="15.75" customHeight="1">
      <c r="A151" s="131"/>
      <c r="B151" s="131"/>
      <c r="C151" s="131"/>
      <c r="D151" s="131"/>
      <c r="E151" s="131"/>
      <c r="F151" s="131"/>
      <c r="G151" s="131"/>
      <c r="H151" s="131"/>
      <c r="I151" s="131"/>
      <c r="J151" s="131"/>
      <c r="K151" s="131"/>
      <c r="L151" s="225"/>
      <c r="M151" s="225"/>
      <c r="N151" s="225"/>
      <c r="O151" s="225"/>
      <c r="P151" s="225"/>
      <c r="Q151" s="225"/>
      <c r="R151" s="225"/>
      <c r="S151" s="225"/>
      <c r="T151" s="225"/>
      <c r="U151" s="225"/>
      <c r="V151" s="225"/>
      <c r="W151" s="225"/>
      <c r="X151" s="225"/>
      <c r="Y151" s="225"/>
      <c r="Z151" s="225"/>
      <c r="AA151" s="225"/>
      <c r="AB151" s="225"/>
      <c r="AC151" s="225"/>
      <c r="AD151" s="225"/>
      <c r="AE151" s="225"/>
      <c r="AF151" s="225"/>
      <c r="AG151" s="225"/>
      <c r="AH151" s="225"/>
      <c r="AI151" s="225"/>
      <c r="AJ151" s="225"/>
      <c r="AK151" s="225"/>
      <c r="AL151" s="225"/>
      <c r="AM151" s="225"/>
      <c r="AN151" s="225"/>
      <c r="AO151" s="225"/>
      <c r="AP151" s="225"/>
      <c r="AQ151" s="225"/>
      <c r="AR151" s="225"/>
    </row>
    <row r="152" spans="1:44" ht="15.75" customHeight="1">
      <c r="A152" s="131"/>
      <c r="B152" s="131"/>
      <c r="C152" s="131"/>
      <c r="D152" s="131"/>
      <c r="E152" s="131"/>
      <c r="F152" s="131"/>
      <c r="G152" s="131"/>
      <c r="H152" s="131"/>
      <c r="I152" s="131"/>
      <c r="J152" s="131"/>
      <c r="K152" s="131"/>
      <c r="L152" s="225"/>
      <c r="M152" s="225"/>
      <c r="N152" s="225"/>
      <c r="O152" s="225"/>
      <c r="P152" s="225"/>
      <c r="Q152" s="225"/>
      <c r="R152" s="225"/>
      <c r="S152" s="225"/>
      <c r="T152" s="225"/>
      <c r="U152" s="225"/>
      <c r="V152" s="225"/>
      <c r="W152" s="225"/>
      <c r="X152" s="225"/>
      <c r="Y152" s="225"/>
      <c r="Z152" s="225"/>
      <c r="AA152" s="225"/>
      <c r="AB152" s="225"/>
      <c r="AC152" s="225"/>
      <c r="AD152" s="225"/>
      <c r="AE152" s="225"/>
      <c r="AF152" s="225"/>
      <c r="AG152" s="225"/>
      <c r="AH152" s="225"/>
      <c r="AI152" s="225"/>
      <c r="AJ152" s="225"/>
      <c r="AK152" s="225"/>
      <c r="AL152" s="225"/>
      <c r="AM152" s="225"/>
      <c r="AN152" s="225"/>
      <c r="AO152" s="225"/>
      <c r="AP152" s="225"/>
      <c r="AQ152" s="225"/>
      <c r="AR152" s="225"/>
    </row>
    <row r="153" spans="1:44" ht="15.75" customHeight="1">
      <c r="A153" s="131"/>
      <c r="B153" s="131"/>
      <c r="C153" s="131"/>
      <c r="D153" s="131"/>
      <c r="E153" s="131"/>
      <c r="F153" s="131"/>
      <c r="G153" s="131"/>
      <c r="H153" s="131"/>
      <c r="I153" s="131"/>
      <c r="J153" s="131"/>
      <c r="K153" s="131"/>
      <c r="L153" s="225"/>
      <c r="M153" s="225"/>
      <c r="N153" s="225"/>
      <c r="O153" s="225"/>
      <c r="P153" s="225"/>
      <c r="Q153" s="225"/>
      <c r="R153" s="225"/>
      <c r="S153" s="225"/>
      <c r="T153" s="225"/>
      <c r="U153" s="225"/>
      <c r="V153" s="225"/>
      <c r="W153" s="225"/>
      <c r="X153" s="225"/>
      <c r="Y153" s="225"/>
      <c r="Z153" s="225"/>
      <c r="AA153" s="225"/>
      <c r="AB153" s="225"/>
      <c r="AC153" s="225"/>
      <c r="AD153" s="225"/>
      <c r="AE153" s="225"/>
      <c r="AF153" s="225"/>
      <c r="AG153" s="225"/>
      <c r="AH153" s="225"/>
      <c r="AI153" s="225"/>
      <c r="AJ153" s="225"/>
      <c r="AK153" s="225"/>
      <c r="AL153" s="225"/>
      <c r="AM153" s="225"/>
      <c r="AN153" s="225"/>
      <c r="AO153" s="225"/>
      <c r="AP153" s="225"/>
      <c r="AQ153" s="225"/>
      <c r="AR153" s="225"/>
    </row>
    <row r="154" spans="1:44" ht="15.75" customHeight="1">
      <c r="A154" s="131"/>
      <c r="B154" s="131"/>
      <c r="C154" s="131"/>
      <c r="D154" s="131"/>
      <c r="E154" s="131"/>
      <c r="F154" s="131"/>
      <c r="G154" s="131"/>
      <c r="H154" s="131"/>
      <c r="I154" s="131"/>
      <c r="J154" s="131"/>
      <c r="K154" s="131"/>
      <c r="L154" s="225"/>
      <c r="M154" s="225"/>
      <c r="N154" s="225"/>
      <c r="O154" s="225"/>
      <c r="P154" s="225"/>
      <c r="Q154" s="225"/>
      <c r="R154" s="225"/>
      <c r="S154" s="225"/>
      <c r="T154" s="225"/>
      <c r="U154" s="225"/>
      <c r="V154" s="225"/>
      <c r="W154" s="225"/>
      <c r="X154" s="225"/>
      <c r="Y154" s="225"/>
      <c r="Z154" s="225"/>
      <c r="AA154" s="225"/>
      <c r="AB154" s="225"/>
      <c r="AC154" s="225"/>
      <c r="AD154" s="225"/>
      <c r="AE154" s="225"/>
      <c r="AF154" s="225"/>
      <c r="AG154" s="225"/>
      <c r="AH154" s="225"/>
      <c r="AI154" s="225"/>
      <c r="AJ154" s="225"/>
      <c r="AK154" s="225"/>
      <c r="AL154" s="225"/>
      <c r="AM154" s="225"/>
      <c r="AN154" s="225"/>
      <c r="AO154" s="225"/>
      <c r="AP154" s="225"/>
      <c r="AQ154" s="225"/>
      <c r="AR154" s="225"/>
    </row>
    <row r="155" spans="1:44" ht="15.75" customHeight="1">
      <c r="A155" s="131"/>
      <c r="B155" s="131"/>
      <c r="C155" s="131"/>
      <c r="D155" s="131"/>
      <c r="E155" s="131"/>
      <c r="F155" s="131"/>
      <c r="G155" s="131"/>
      <c r="H155" s="131"/>
      <c r="I155" s="131"/>
      <c r="J155" s="131"/>
      <c r="K155" s="131"/>
      <c r="L155" s="225"/>
      <c r="M155" s="225"/>
      <c r="N155" s="225"/>
      <c r="O155" s="225"/>
      <c r="P155" s="225"/>
      <c r="Q155" s="225"/>
      <c r="R155" s="225"/>
      <c r="S155" s="225"/>
      <c r="T155" s="225"/>
      <c r="U155" s="225"/>
      <c r="V155" s="225"/>
      <c r="W155" s="225"/>
      <c r="X155" s="225"/>
      <c r="Y155" s="225"/>
      <c r="Z155" s="225"/>
      <c r="AA155" s="225"/>
      <c r="AB155" s="225"/>
      <c r="AC155" s="225"/>
      <c r="AD155" s="225"/>
      <c r="AE155" s="225"/>
      <c r="AF155" s="225"/>
      <c r="AG155" s="225"/>
      <c r="AH155" s="225"/>
      <c r="AI155" s="225"/>
      <c r="AJ155" s="225"/>
      <c r="AK155" s="225"/>
      <c r="AL155" s="225"/>
      <c r="AM155" s="225"/>
      <c r="AN155" s="225"/>
      <c r="AO155" s="225"/>
      <c r="AP155" s="225"/>
      <c r="AQ155" s="225"/>
      <c r="AR155" s="225"/>
    </row>
    <row r="156" spans="1:44" ht="15.75" customHeight="1">
      <c r="A156" s="131"/>
      <c r="B156" s="131"/>
      <c r="C156" s="131"/>
      <c r="D156" s="131"/>
      <c r="E156" s="131"/>
      <c r="F156" s="131"/>
      <c r="G156" s="131"/>
      <c r="H156" s="131"/>
      <c r="I156" s="131"/>
      <c r="J156" s="131"/>
      <c r="K156" s="131"/>
      <c r="L156" s="225"/>
      <c r="M156" s="225"/>
      <c r="N156" s="225"/>
      <c r="O156" s="225"/>
      <c r="P156" s="225"/>
      <c r="Q156" s="225"/>
      <c r="R156" s="225"/>
      <c r="S156" s="225"/>
      <c r="T156" s="225"/>
      <c r="U156" s="225"/>
      <c r="V156" s="225"/>
      <c r="W156" s="225"/>
      <c r="X156" s="225"/>
      <c r="Y156" s="225"/>
      <c r="Z156" s="225"/>
      <c r="AA156" s="225"/>
      <c r="AB156" s="225"/>
      <c r="AC156" s="225"/>
      <c r="AD156" s="225"/>
      <c r="AE156" s="225"/>
      <c r="AF156" s="225"/>
      <c r="AG156" s="225"/>
      <c r="AH156" s="225"/>
      <c r="AI156" s="225"/>
      <c r="AJ156" s="225"/>
      <c r="AK156" s="225"/>
      <c r="AL156" s="225"/>
      <c r="AM156" s="225"/>
      <c r="AN156" s="225"/>
      <c r="AO156" s="225"/>
      <c r="AP156" s="225"/>
      <c r="AQ156" s="225"/>
      <c r="AR156" s="225"/>
    </row>
    <row r="157" spans="1:44" ht="15.75" customHeight="1">
      <c r="A157" s="131"/>
      <c r="B157" s="131"/>
      <c r="C157" s="131"/>
      <c r="D157" s="131"/>
      <c r="E157" s="131"/>
      <c r="F157" s="131"/>
      <c r="G157" s="131"/>
      <c r="H157" s="131"/>
      <c r="I157" s="131"/>
      <c r="J157" s="131"/>
      <c r="K157" s="131"/>
      <c r="L157" s="225"/>
      <c r="M157" s="225"/>
      <c r="N157" s="225"/>
      <c r="O157" s="225"/>
      <c r="P157" s="225"/>
      <c r="Q157" s="225"/>
      <c r="R157" s="225"/>
      <c r="S157" s="225"/>
      <c r="T157" s="225"/>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row>
    <row r="158" spans="1:44" ht="15.75" customHeight="1">
      <c r="A158" s="131"/>
      <c r="B158" s="131"/>
      <c r="C158" s="131"/>
      <c r="D158" s="131"/>
      <c r="E158" s="131"/>
      <c r="F158" s="131"/>
      <c r="G158" s="131"/>
      <c r="H158" s="131"/>
      <c r="I158" s="131"/>
      <c r="J158" s="131"/>
      <c r="K158" s="131"/>
      <c r="L158" s="225"/>
      <c r="M158" s="225"/>
      <c r="N158" s="225"/>
      <c r="O158" s="225"/>
      <c r="P158" s="225"/>
      <c r="Q158" s="225"/>
      <c r="R158" s="225"/>
      <c r="S158" s="225"/>
      <c r="T158" s="225"/>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row>
    <row r="159" spans="1:44" ht="15.75" customHeight="1">
      <c r="A159" s="131"/>
      <c r="B159" s="131"/>
      <c r="C159" s="131"/>
      <c r="D159" s="131"/>
      <c r="E159" s="131"/>
      <c r="F159" s="131"/>
      <c r="G159" s="131"/>
      <c r="H159" s="131"/>
      <c r="I159" s="131"/>
      <c r="J159" s="131"/>
      <c r="K159" s="131"/>
      <c r="L159" s="225"/>
      <c r="M159" s="225"/>
      <c r="N159" s="225"/>
      <c r="O159" s="225"/>
      <c r="P159" s="225"/>
      <c r="Q159" s="225"/>
      <c r="R159" s="225"/>
      <c r="S159" s="225"/>
      <c r="T159" s="225"/>
      <c r="U159" s="225"/>
      <c r="V159" s="225"/>
      <c r="W159" s="225"/>
      <c r="X159" s="225"/>
      <c r="Y159" s="225"/>
      <c r="Z159" s="225"/>
      <c r="AA159" s="225"/>
      <c r="AB159" s="225"/>
      <c r="AC159" s="225"/>
      <c r="AD159" s="225"/>
      <c r="AE159" s="225"/>
      <c r="AF159" s="225"/>
      <c r="AG159" s="225"/>
      <c r="AH159" s="225"/>
      <c r="AI159" s="225"/>
      <c r="AJ159" s="225"/>
      <c r="AK159" s="225"/>
      <c r="AL159" s="225"/>
      <c r="AM159" s="225"/>
      <c r="AN159" s="225"/>
      <c r="AO159" s="225"/>
      <c r="AP159" s="225"/>
      <c r="AQ159" s="225"/>
      <c r="AR159" s="225"/>
    </row>
    <row r="160" spans="1:44" ht="15.75" customHeight="1">
      <c r="A160" s="131"/>
      <c r="B160" s="131"/>
      <c r="C160" s="131"/>
      <c r="D160" s="131"/>
      <c r="E160" s="131"/>
      <c r="F160" s="131"/>
      <c r="G160" s="131"/>
      <c r="H160" s="131"/>
      <c r="I160" s="131"/>
      <c r="J160" s="131"/>
      <c r="K160" s="131"/>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row>
    <row r="161" spans="1:44" ht="15.75" customHeight="1">
      <c r="A161" s="131"/>
      <c r="B161" s="131"/>
      <c r="C161" s="131"/>
      <c r="D161" s="131"/>
      <c r="E161" s="131"/>
      <c r="F161" s="131"/>
      <c r="G161" s="131"/>
      <c r="H161" s="131"/>
      <c r="I161" s="131"/>
      <c r="J161" s="131"/>
      <c r="K161" s="131"/>
      <c r="L161" s="225"/>
      <c r="M161" s="225"/>
      <c r="N161" s="225"/>
      <c r="O161" s="225"/>
      <c r="P161" s="225"/>
      <c r="Q161" s="225"/>
      <c r="R161" s="225"/>
      <c r="S161" s="225"/>
      <c r="T161" s="225"/>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row>
    <row r="162" spans="1:44" ht="15.75" customHeight="1">
      <c r="A162" s="131"/>
      <c r="B162" s="131"/>
      <c r="C162" s="131"/>
      <c r="D162" s="131"/>
      <c r="E162" s="131"/>
      <c r="F162" s="131"/>
      <c r="G162" s="131"/>
      <c r="H162" s="131"/>
      <c r="I162" s="131"/>
      <c r="J162" s="131"/>
      <c r="K162" s="131"/>
      <c r="L162" s="225"/>
      <c r="M162" s="225"/>
      <c r="N162" s="225"/>
      <c r="O162" s="225"/>
      <c r="P162" s="225"/>
      <c r="Q162" s="225"/>
      <c r="R162" s="225"/>
      <c r="S162" s="225"/>
      <c r="T162" s="225"/>
      <c r="U162" s="225"/>
      <c r="V162" s="225"/>
      <c r="W162" s="225"/>
      <c r="X162" s="225"/>
      <c r="Y162" s="225"/>
      <c r="Z162" s="225"/>
      <c r="AA162" s="225"/>
      <c r="AB162" s="225"/>
      <c r="AC162" s="225"/>
      <c r="AD162" s="225"/>
      <c r="AE162" s="225"/>
      <c r="AF162" s="225"/>
      <c r="AG162" s="225"/>
      <c r="AH162" s="225"/>
      <c r="AI162" s="225"/>
      <c r="AJ162" s="225"/>
      <c r="AK162" s="225"/>
      <c r="AL162" s="225"/>
      <c r="AM162" s="225"/>
      <c r="AN162" s="225"/>
      <c r="AO162" s="225"/>
      <c r="AP162" s="225"/>
      <c r="AQ162" s="225"/>
      <c r="AR162" s="225"/>
    </row>
    <row r="163" spans="1:44" ht="15.75" customHeight="1">
      <c r="A163" s="131"/>
      <c r="B163" s="131"/>
      <c r="C163" s="131"/>
      <c r="D163" s="131"/>
      <c r="E163" s="131"/>
      <c r="F163" s="131"/>
      <c r="G163" s="131"/>
      <c r="H163" s="131"/>
      <c r="I163" s="131"/>
      <c r="J163" s="131"/>
      <c r="K163" s="131"/>
      <c r="L163" s="225"/>
      <c r="M163" s="225"/>
      <c r="N163" s="225"/>
      <c r="O163" s="225"/>
      <c r="P163" s="225"/>
      <c r="Q163" s="225"/>
      <c r="R163" s="225"/>
      <c r="S163" s="225"/>
      <c r="T163" s="225"/>
      <c r="U163" s="225"/>
      <c r="V163" s="225"/>
      <c r="W163" s="225"/>
      <c r="X163" s="225"/>
      <c r="Y163" s="225"/>
      <c r="Z163" s="225"/>
      <c r="AA163" s="225"/>
      <c r="AB163" s="225"/>
      <c r="AC163" s="225"/>
      <c r="AD163" s="225"/>
      <c r="AE163" s="225"/>
      <c r="AF163" s="225"/>
      <c r="AG163" s="225"/>
      <c r="AH163" s="225"/>
      <c r="AI163" s="225"/>
      <c r="AJ163" s="225"/>
      <c r="AK163" s="225"/>
      <c r="AL163" s="225"/>
      <c r="AM163" s="225"/>
      <c r="AN163" s="225"/>
      <c r="AO163" s="225"/>
      <c r="AP163" s="225"/>
      <c r="AQ163" s="225"/>
      <c r="AR163" s="225"/>
    </row>
    <row r="164" spans="1:44" ht="15.75" customHeight="1">
      <c r="A164" s="131"/>
      <c r="B164" s="131"/>
      <c r="C164" s="131"/>
      <c r="D164" s="131"/>
      <c r="E164" s="131"/>
      <c r="F164" s="131"/>
      <c r="G164" s="131"/>
      <c r="H164" s="131"/>
      <c r="I164" s="131"/>
      <c r="J164" s="131"/>
      <c r="K164" s="131"/>
      <c r="L164" s="225"/>
      <c r="M164" s="225"/>
      <c r="N164" s="225"/>
      <c r="O164" s="225"/>
      <c r="P164" s="225"/>
      <c r="Q164" s="225"/>
      <c r="R164" s="225"/>
      <c r="S164" s="225"/>
      <c r="T164" s="225"/>
      <c r="U164" s="225"/>
      <c r="V164" s="225"/>
      <c r="W164" s="225"/>
      <c r="X164" s="225"/>
      <c r="Y164" s="225"/>
      <c r="Z164" s="225"/>
      <c r="AA164" s="225"/>
      <c r="AB164" s="225"/>
      <c r="AC164" s="225"/>
      <c r="AD164" s="225"/>
      <c r="AE164" s="225"/>
      <c r="AF164" s="225"/>
      <c r="AG164" s="225"/>
      <c r="AH164" s="225"/>
      <c r="AI164" s="225"/>
      <c r="AJ164" s="225"/>
      <c r="AK164" s="225"/>
      <c r="AL164" s="225"/>
      <c r="AM164" s="225"/>
      <c r="AN164" s="225"/>
      <c r="AO164" s="225"/>
      <c r="AP164" s="225"/>
      <c r="AQ164" s="225"/>
      <c r="AR164" s="225"/>
    </row>
    <row r="165" spans="1:44" ht="15.75" customHeight="1">
      <c r="A165" s="131"/>
      <c r="B165" s="131"/>
      <c r="C165" s="131"/>
      <c r="D165" s="131"/>
      <c r="E165" s="131"/>
      <c r="F165" s="131"/>
      <c r="G165" s="131"/>
      <c r="H165" s="131"/>
      <c r="I165" s="131"/>
      <c r="J165" s="131"/>
      <c r="K165" s="131"/>
      <c r="L165" s="225"/>
      <c r="M165" s="225"/>
      <c r="N165" s="225"/>
      <c r="O165" s="225"/>
      <c r="P165" s="225"/>
      <c r="Q165" s="225"/>
      <c r="R165" s="225"/>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row>
    <row r="166" spans="1:44" ht="15.75" customHeight="1">
      <c r="A166" s="131"/>
      <c r="B166" s="131"/>
      <c r="C166" s="131"/>
      <c r="D166" s="131"/>
      <c r="E166" s="131"/>
      <c r="F166" s="131"/>
      <c r="G166" s="131"/>
      <c r="H166" s="131"/>
      <c r="I166" s="131"/>
      <c r="J166" s="131"/>
      <c r="K166" s="131"/>
      <c r="L166" s="225"/>
      <c r="M166" s="225"/>
      <c r="N166" s="225"/>
      <c r="O166" s="225"/>
      <c r="P166" s="225"/>
      <c r="Q166" s="225"/>
      <c r="R166" s="225"/>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row>
    <row r="167" spans="1:44" ht="15.75" customHeight="1">
      <c r="A167" s="131"/>
      <c r="B167" s="131"/>
      <c r="C167" s="131"/>
      <c r="D167" s="131"/>
      <c r="E167" s="131"/>
      <c r="F167" s="131"/>
      <c r="G167" s="131"/>
      <c r="H167" s="131"/>
      <c r="I167" s="131"/>
      <c r="J167" s="131"/>
      <c r="K167" s="131"/>
      <c r="L167" s="225"/>
      <c r="M167" s="225"/>
      <c r="N167" s="225"/>
      <c r="O167" s="225"/>
      <c r="P167" s="225"/>
      <c r="Q167" s="225"/>
      <c r="R167" s="225"/>
      <c r="S167" s="225"/>
      <c r="T167" s="225"/>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row>
    <row r="168" spans="1:44" ht="15.75" customHeight="1">
      <c r="A168" s="131"/>
      <c r="B168" s="131"/>
      <c r="C168" s="131"/>
      <c r="D168" s="131"/>
      <c r="E168" s="131"/>
      <c r="F168" s="131"/>
      <c r="G168" s="131"/>
      <c r="H168" s="131"/>
      <c r="I168" s="131"/>
      <c r="J168" s="131"/>
      <c r="K168" s="131"/>
      <c r="L168" s="225"/>
      <c r="M168" s="225"/>
      <c r="N168" s="225"/>
      <c r="O168" s="225"/>
      <c r="P168" s="225"/>
      <c r="Q168" s="225"/>
      <c r="R168" s="225"/>
      <c r="S168" s="225"/>
      <c r="T168" s="225"/>
      <c r="U168" s="225"/>
      <c r="V168" s="225"/>
      <c r="W168" s="225"/>
      <c r="X168" s="225"/>
      <c r="Y168" s="225"/>
      <c r="Z168" s="225"/>
      <c r="AA168" s="225"/>
      <c r="AB168" s="225"/>
      <c r="AC168" s="225"/>
      <c r="AD168" s="225"/>
      <c r="AE168" s="225"/>
      <c r="AF168" s="225"/>
      <c r="AG168" s="225"/>
      <c r="AH168" s="225"/>
      <c r="AI168" s="225"/>
      <c r="AJ168" s="225"/>
      <c r="AK168" s="225"/>
      <c r="AL168" s="225"/>
      <c r="AM168" s="225"/>
      <c r="AN168" s="225"/>
      <c r="AO168" s="225"/>
      <c r="AP168" s="225"/>
      <c r="AQ168" s="225"/>
      <c r="AR168" s="225"/>
    </row>
    <row r="169" spans="1:44" ht="15.75" customHeight="1">
      <c r="A169" s="131"/>
      <c r="B169" s="131"/>
      <c r="C169" s="131"/>
      <c r="D169" s="131"/>
      <c r="E169" s="131"/>
      <c r="F169" s="131"/>
      <c r="G169" s="131"/>
      <c r="H169" s="131"/>
      <c r="I169" s="131"/>
      <c r="J169" s="131"/>
      <c r="K169" s="131"/>
      <c r="L169" s="225"/>
      <c r="M169" s="225"/>
      <c r="N169" s="225"/>
      <c r="O169" s="225"/>
      <c r="P169" s="225"/>
      <c r="Q169" s="225"/>
      <c r="R169" s="225"/>
      <c r="S169" s="225"/>
      <c r="T169" s="225"/>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row>
    <row r="170" spans="1:44" ht="15.75" customHeight="1">
      <c r="A170" s="131"/>
      <c r="B170" s="131"/>
      <c r="C170" s="131"/>
      <c r="D170" s="131"/>
      <c r="E170" s="131"/>
      <c r="F170" s="131"/>
      <c r="G170" s="131"/>
      <c r="H170" s="131"/>
      <c r="I170" s="131"/>
      <c r="J170" s="131"/>
      <c r="K170" s="131"/>
      <c r="L170" s="225"/>
      <c r="M170" s="225"/>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row>
    <row r="171" spans="1:44" ht="15.75" customHeight="1">
      <c r="A171" s="131"/>
      <c r="B171" s="131"/>
      <c r="C171" s="131"/>
      <c r="D171" s="131"/>
      <c r="E171" s="131"/>
      <c r="F171" s="131"/>
      <c r="G171" s="131"/>
      <c r="H171" s="131"/>
      <c r="I171" s="131"/>
      <c r="J171" s="131"/>
      <c r="K171" s="131"/>
      <c r="L171" s="225"/>
      <c r="M171" s="225"/>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row>
    <row r="172" spans="1:44" ht="15.75" customHeight="1">
      <c r="A172" s="131"/>
      <c r="B172" s="131"/>
      <c r="C172" s="131"/>
      <c r="D172" s="131"/>
      <c r="E172" s="131"/>
      <c r="F172" s="131"/>
      <c r="G172" s="131"/>
      <c r="H172" s="131"/>
      <c r="I172" s="131"/>
      <c r="J172" s="131"/>
      <c r="K172" s="131"/>
      <c r="L172" s="225"/>
      <c r="M172" s="225"/>
      <c r="N172" s="225"/>
      <c r="O172" s="225"/>
      <c r="P172" s="225"/>
      <c r="Q172" s="225"/>
      <c r="R172" s="225"/>
      <c r="S172" s="225"/>
      <c r="T172" s="225"/>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row>
    <row r="173" spans="1:44" ht="15.75" customHeight="1">
      <c r="A173" s="131"/>
      <c r="B173" s="131"/>
      <c r="C173" s="131"/>
      <c r="D173" s="131"/>
      <c r="E173" s="131"/>
      <c r="F173" s="131"/>
      <c r="G173" s="131"/>
      <c r="H173" s="131"/>
      <c r="I173" s="131"/>
      <c r="J173" s="131"/>
      <c r="K173" s="131"/>
      <c r="L173" s="225"/>
      <c r="M173" s="225"/>
      <c r="N173" s="225"/>
      <c r="O173" s="225"/>
      <c r="P173" s="225"/>
      <c r="Q173" s="225"/>
      <c r="R173" s="225"/>
      <c r="S173" s="225"/>
      <c r="T173" s="225"/>
      <c r="U173" s="225"/>
      <c r="V173" s="225"/>
      <c r="W173" s="225"/>
      <c r="X173" s="225"/>
      <c r="Y173" s="225"/>
      <c r="Z173" s="225"/>
      <c r="AA173" s="225"/>
      <c r="AB173" s="225"/>
      <c r="AC173" s="225"/>
      <c r="AD173" s="225"/>
      <c r="AE173" s="225"/>
      <c r="AF173" s="225"/>
      <c r="AG173" s="225"/>
      <c r="AH173" s="225"/>
      <c r="AI173" s="225"/>
      <c r="AJ173" s="225"/>
      <c r="AK173" s="225"/>
      <c r="AL173" s="225"/>
      <c r="AM173" s="225"/>
      <c r="AN173" s="225"/>
      <c r="AO173" s="225"/>
      <c r="AP173" s="225"/>
      <c r="AQ173" s="225"/>
      <c r="AR173" s="225"/>
    </row>
    <row r="174" spans="1:44" ht="15.75" customHeight="1">
      <c r="A174" s="131"/>
      <c r="B174" s="131"/>
      <c r="C174" s="131"/>
      <c r="D174" s="131"/>
      <c r="E174" s="131"/>
      <c r="F174" s="131"/>
      <c r="G174" s="131"/>
      <c r="H174" s="131"/>
      <c r="I174" s="131"/>
      <c r="J174" s="131"/>
      <c r="K174" s="131"/>
      <c r="L174" s="225"/>
      <c r="M174" s="225"/>
      <c r="N174" s="225"/>
      <c r="O174" s="225"/>
      <c r="P174" s="225"/>
      <c r="Q174" s="225"/>
      <c r="R174" s="225"/>
      <c r="S174" s="225"/>
      <c r="T174" s="225"/>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row>
    <row r="175" spans="1:44" ht="15.75" customHeight="1">
      <c r="A175" s="131"/>
      <c r="B175" s="131"/>
      <c r="C175" s="131"/>
      <c r="D175" s="131"/>
      <c r="E175" s="131"/>
      <c r="F175" s="131"/>
      <c r="G175" s="131"/>
      <c r="H175" s="131"/>
      <c r="I175" s="131"/>
      <c r="J175" s="131"/>
      <c r="K175" s="131"/>
      <c r="L175" s="225"/>
      <c r="M175" s="225"/>
      <c r="N175" s="225"/>
      <c r="O175" s="225"/>
      <c r="P175" s="225"/>
      <c r="Q175" s="225"/>
      <c r="R175" s="225"/>
      <c r="S175" s="225"/>
      <c r="T175" s="225"/>
      <c r="U175" s="225"/>
      <c r="V175" s="225"/>
      <c r="W175" s="225"/>
      <c r="X175" s="225"/>
      <c r="Y175" s="225"/>
      <c r="Z175" s="225"/>
      <c r="AA175" s="225"/>
      <c r="AB175" s="225"/>
      <c r="AC175" s="225"/>
      <c r="AD175" s="225"/>
      <c r="AE175" s="225"/>
      <c r="AF175" s="225"/>
      <c r="AG175" s="225"/>
      <c r="AH175" s="225"/>
      <c r="AI175" s="225"/>
      <c r="AJ175" s="225"/>
      <c r="AK175" s="225"/>
      <c r="AL175" s="225"/>
      <c r="AM175" s="225"/>
      <c r="AN175" s="225"/>
      <c r="AO175" s="225"/>
      <c r="AP175" s="225"/>
      <c r="AQ175" s="225"/>
      <c r="AR175" s="225"/>
    </row>
    <row r="176" spans="1:44" ht="15.75" customHeight="1">
      <c r="A176" s="131"/>
      <c r="B176" s="131"/>
      <c r="C176" s="131"/>
      <c r="D176" s="131"/>
      <c r="E176" s="131"/>
      <c r="F176" s="131"/>
      <c r="G176" s="131"/>
      <c r="H176" s="131"/>
      <c r="I176" s="131"/>
      <c r="J176" s="131"/>
      <c r="K176" s="131"/>
      <c r="L176" s="225"/>
      <c r="M176" s="225"/>
      <c r="N176" s="225"/>
      <c r="O176" s="225"/>
      <c r="P176" s="225"/>
      <c r="Q176" s="225"/>
      <c r="R176" s="225"/>
      <c r="S176" s="225"/>
      <c r="T176" s="225"/>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row>
    <row r="177" spans="1:44" ht="15.75" customHeight="1">
      <c r="A177" s="131"/>
      <c r="B177" s="131"/>
      <c r="C177" s="131"/>
      <c r="D177" s="131"/>
      <c r="E177" s="131"/>
      <c r="F177" s="131"/>
      <c r="G177" s="131"/>
      <c r="H177" s="131"/>
      <c r="I177" s="131"/>
      <c r="J177" s="131"/>
      <c r="K177" s="131"/>
      <c r="L177" s="225"/>
      <c r="M177" s="225"/>
      <c r="N177" s="225"/>
      <c r="O177" s="225"/>
      <c r="P177" s="225"/>
      <c r="Q177" s="225"/>
      <c r="R177" s="225"/>
      <c r="S177" s="225"/>
      <c r="T177" s="225"/>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row>
    <row r="178" spans="1:44" ht="15.75" customHeight="1">
      <c r="A178" s="131"/>
      <c r="B178" s="131"/>
      <c r="C178" s="131"/>
      <c r="D178" s="131"/>
      <c r="E178" s="131"/>
      <c r="F178" s="131"/>
      <c r="G178" s="131"/>
      <c r="H178" s="131"/>
      <c r="I178" s="131"/>
      <c r="J178" s="131"/>
      <c r="K178" s="131"/>
      <c r="L178" s="225"/>
      <c r="M178" s="225"/>
      <c r="N178" s="225"/>
      <c r="O178" s="225"/>
      <c r="P178" s="225"/>
      <c r="Q178" s="225"/>
      <c r="R178" s="225"/>
      <c r="S178" s="225"/>
      <c r="T178" s="225"/>
      <c r="U178" s="225"/>
      <c r="V178" s="225"/>
      <c r="W178" s="225"/>
      <c r="X178" s="225"/>
      <c r="Y178" s="225"/>
      <c r="Z178" s="225"/>
      <c r="AA178" s="225"/>
      <c r="AB178" s="225"/>
      <c r="AC178" s="225"/>
      <c r="AD178" s="225"/>
      <c r="AE178" s="225"/>
      <c r="AF178" s="225"/>
      <c r="AG178" s="225"/>
      <c r="AH178" s="225"/>
      <c r="AI178" s="225"/>
      <c r="AJ178" s="225"/>
      <c r="AK178" s="225"/>
      <c r="AL178" s="225"/>
      <c r="AM178" s="225"/>
      <c r="AN178" s="225"/>
      <c r="AO178" s="225"/>
      <c r="AP178" s="225"/>
      <c r="AQ178" s="225"/>
      <c r="AR178" s="225"/>
    </row>
    <row r="179" spans="1:44" ht="15.75" customHeight="1">
      <c r="A179" s="131"/>
      <c r="B179" s="131"/>
      <c r="C179" s="131"/>
      <c r="D179" s="131"/>
      <c r="E179" s="131"/>
      <c r="F179" s="131"/>
      <c r="G179" s="131"/>
      <c r="H179" s="131"/>
      <c r="I179" s="131"/>
      <c r="J179" s="131"/>
      <c r="K179" s="131"/>
      <c r="L179" s="225"/>
      <c r="M179" s="225"/>
      <c r="N179" s="225"/>
      <c r="O179" s="225"/>
      <c r="P179" s="225"/>
      <c r="Q179" s="225"/>
      <c r="R179" s="225"/>
      <c r="S179" s="225"/>
      <c r="T179" s="225"/>
      <c r="U179" s="225"/>
      <c r="V179" s="225"/>
      <c r="W179" s="225"/>
      <c r="X179" s="225"/>
      <c r="Y179" s="225"/>
      <c r="Z179" s="225"/>
      <c r="AA179" s="225"/>
      <c r="AB179" s="225"/>
      <c r="AC179" s="225"/>
      <c r="AD179" s="225"/>
      <c r="AE179" s="225"/>
      <c r="AF179" s="225"/>
      <c r="AG179" s="225"/>
      <c r="AH179" s="225"/>
      <c r="AI179" s="225"/>
      <c r="AJ179" s="225"/>
      <c r="AK179" s="225"/>
      <c r="AL179" s="225"/>
      <c r="AM179" s="225"/>
      <c r="AN179" s="225"/>
      <c r="AO179" s="225"/>
      <c r="AP179" s="225"/>
      <c r="AQ179" s="225"/>
      <c r="AR179" s="225"/>
    </row>
    <row r="180" spans="1:44" ht="15.75" customHeight="1">
      <c r="A180" s="131"/>
      <c r="B180" s="131"/>
      <c r="C180" s="131"/>
      <c r="D180" s="131"/>
      <c r="E180" s="131"/>
      <c r="F180" s="131"/>
      <c r="G180" s="131"/>
      <c r="H180" s="131"/>
      <c r="I180" s="131"/>
      <c r="J180" s="131"/>
      <c r="K180" s="131"/>
      <c r="L180" s="225"/>
      <c r="M180" s="225"/>
      <c r="N180" s="225"/>
      <c r="O180" s="225"/>
      <c r="P180" s="225"/>
      <c r="Q180" s="225"/>
      <c r="R180" s="225"/>
      <c r="S180" s="225"/>
      <c r="T180" s="225"/>
      <c r="U180" s="225"/>
      <c r="V180" s="225"/>
      <c r="W180" s="225"/>
      <c r="X180" s="225"/>
      <c r="Y180" s="225"/>
      <c r="Z180" s="225"/>
      <c r="AA180" s="225"/>
      <c r="AB180" s="225"/>
      <c r="AC180" s="225"/>
      <c r="AD180" s="225"/>
      <c r="AE180" s="225"/>
      <c r="AF180" s="225"/>
      <c r="AG180" s="225"/>
      <c r="AH180" s="225"/>
      <c r="AI180" s="225"/>
      <c r="AJ180" s="225"/>
      <c r="AK180" s="225"/>
      <c r="AL180" s="225"/>
      <c r="AM180" s="225"/>
      <c r="AN180" s="225"/>
      <c r="AO180" s="225"/>
      <c r="AP180" s="225"/>
      <c r="AQ180" s="225"/>
      <c r="AR180" s="225"/>
    </row>
    <row r="181" spans="1:44" ht="15.75" customHeight="1">
      <c r="A181" s="131"/>
      <c r="B181" s="131"/>
      <c r="C181" s="131"/>
      <c r="D181" s="131"/>
      <c r="E181" s="131"/>
      <c r="F181" s="131"/>
      <c r="G181" s="131"/>
      <c r="H181" s="131"/>
      <c r="I181" s="131"/>
      <c r="J181" s="131"/>
      <c r="K181" s="131"/>
      <c r="L181" s="225"/>
      <c r="M181" s="225"/>
      <c r="N181" s="225"/>
      <c r="O181" s="225"/>
      <c r="P181" s="225"/>
      <c r="Q181" s="225"/>
      <c r="R181" s="225"/>
      <c r="S181" s="225"/>
      <c r="T181" s="225"/>
      <c r="U181" s="225"/>
      <c r="V181" s="225"/>
      <c r="W181" s="225"/>
      <c r="X181" s="225"/>
      <c r="Y181" s="225"/>
      <c r="Z181" s="225"/>
      <c r="AA181" s="225"/>
      <c r="AB181" s="225"/>
      <c r="AC181" s="225"/>
      <c r="AD181" s="225"/>
      <c r="AE181" s="225"/>
      <c r="AF181" s="225"/>
      <c r="AG181" s="225"/>
      <c r="AH181" s="225"/>
      <c r="AI181" s="225"/>
      <c r="AJ181" s="225"/>
      <c r="AK181" s="225"/>
      <c r="AL181" s="225"/>
      <c r="AM181" s="225"/>
      <c r="AN181" s="225"/>
      <c r="AO181" s="225"/>
      <c r="AP181" s="225"/>
      <c r="AQ181" s="225"/>
      <c r="AR181" s="225"/>
    </row>
    <row r="182" spans="1:44" ht="15.75" customHeight="1">
      <c r="A182" s="131"/>
      <c r="B182" s="131"/>
      <c r="C182" s="131"/>
      <c r="D182" s="131"/>
      <c r="E182" s="131"/>
      <c r="F182" s="131"/>
      <c r="G182" s="131"/>
      <c r="H182" s="131"/>
      <c r="I182" s="131"/>
      <c r="J182" s="131"/>
      <c r="K182" s="131"/>
      <c r="L182" s="225"/>
      <c r="M182" s="225"/>
      <c r="N182" s="225"/>
      <c r="O182" s="225"/>
      <c r="P182" s="225"/>
      <c r="Q182" s="225"/>
      <c r="R182" s="225"/>
      <c r="S182" s="225"/>
      <c r="T182" s="225"/>
      <c r="U182" s="225"/>
      <c r="V182" s="225"/>
      <c r="W182" s="225"/>
      <c r="X182" s="225"/>
      <c r="Y182" s="225"/>
      <c r="Z182" s="225"/>
      <c r="AA182" s="225"/>
      <c r="AB182" s="225"/>
      <c r="AC182" s="225"/>
      <c r="AD182" s="225"/>
      <c r="AE182" s="225"/>
      <c r="AF182" s="225"/>
      <c r="AG182" s="225"/>
      <c r="AH182" s="225"/>
      <c r="AI182" s="225"/>
      <c r="AJ182" s="225"/>
      <c r="AK182" s="225"/>
      <c r="AL182" s="225"/>
      <c r="AM182" s="225"/>
      <c r="AN182" s="225"/>
      <c r="AO182" s="225"/>
      <c r="AP182" s="225"/>
      <c r="AQ182" s="225"/>
      <c r="AR182" s="225"/>
    </row>
    <row r="183" spans="1:44" ht="15.75" customHeight="1">
      <c r="A183" s="131"/>
      <c r="B183" s="131"/>
      <c r="C183" s="131"/>
      <c r="D183" s="131"/>
      <c r="E183" s="131"/>
      <c r="F183" s="131"/>
      <c r="G183" s="131"/>
      <c r="H183" s="131"/>
      <c r="I183" s="131"/>
      <c r="J183" s="131"/>
      <c r="K183" s="131"/>
      <c r="L183" s="225"/>
      <c r="M183" s="225"/>
      <c r="N183" s="225"/>
      <c r="O183" s="225"/>
      <c r="P183" s="225"/>
      <c r="Q183" s="225"/>
      <c r="R183" s="225"/>
      <c r="S183" s="225"/>
      <c r="T183" s="225"/>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row>
    <row r="184" spans="1:44" ht="15.75" customHeight="1">
      <c r="A184" s="131"/>
      <c r="B184" s="131"/>
      <c r="C184" s="131"/>
      <c r="D184" s="131"/>
      <c r="E184" s="131"/>
      <c r="F184" s="131"/>
      <c r="G184" s="131"/>
      <c r="H184" s="131"/>
      <c r="I184" s="131"/>
      <c r="J184" s="131"/>
      <c r="K184" s="131"/>
      <c r="L184" s="225"/>
      <c r="M184" s="225"/>
      <c r="N184" s="225"/>
      <c r="O184" s="225"/>
      <c r="P184" s="225"/>
      <c r="Q184" s="225"/>
      <c r="R184" s="225"/>
      <c r="S184" s="225"/>
      <c r="T184" s="225"/>
      <c r="U184" s="225"/>
      <c r="V184" s="225"/>
      <c r="W184" s="225"/>
      <c r="X184" s="225"/>
      <c r="Y184" s="225"/>
      <c r="Z184" s="225"/>
      <c r="AA184" s="225"/>
      <c r="AB184" s="225"/>
      <c r="AC184" s="225"/>
      <c r="AD184" s="225"/>
      <c r="AE184" s="225"/>
      <c r="AF184" s="225"/>
      <c r="AG184" s="225"/>
      <c r="AH184" s="225"/>
      <c r="AI184" s="225"/>
      <c r="AJ184" s="225"/>
      <c r="AK184" s="225"/>
      <c r="AL184" s="225"/>
      <c r="AM184" s="225"/>
      <c r="AN184" s="225"/>
      <c r="AO184" s="225"/>
      <c r="AP184" s="225"/>
      <c r="AQ184" s="225"/>
      <c r="AR184" s="225"/>
    </row>
    <row r="185" spans="1:44" ht="15.75" customHeight="1">
      <c r="A185" s="131"/>
      <c r="B185" s="131"/>
      <c r="C185" s="131"/>
      <c r="D185" s="131"/>
      <c r="E185" s="131"/>
      <c r="F185" s="131"/>
      <c r="G185" s="131"/>
      <c r="H185" s="131"/>
      <c r="I185" s="131"/>
      <c r="J185" s="131"/>
      <c r="K185" s="131"/>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225"/>
      <c r="AL185" s="225"/>
      <c r="AM185" s="225"/>
      <c r="AN185" s="225"/>
      <c r="AO185" s="225"/>
      <c r="AP185" s="225"/>
      <c r="AQ185" s="225"/>
      <c r="AR185" s="225"/>
    </row>
    <row r="186" spans="1:44" ht="15.75" customHeight="1">
      <c r="A186" s="131"/>
      <c r="B186" s="131"/>
      <c r="C186" s="131"/>
      <c r="D186" s="131"/>
      <c r="E186" s="131"/>
      <c r="F186" s="131"/>
      <c r="G186" s="131"/>
      <c r="H186" s="131"/>
      <c r="I186" s="131"/>
      <c r="J186" s="131"/>
      <c r="K186" s="131"/>
      <c r="L186" s="225"/>
      <c r="M186" s="225"/>
      <c r="N186" s="225"/>
      <c r="O186" s="225"/>
      <c r="P186" s="225"/>
      <c r="Q186" s="225"/>
      <c r="R186" s="225"/>
      <c r="S186" s="225"/>
      <c r="T186" s="225"/>
      <c r="U186" s="225"/>
      <c r="V186" s="225"/>
      <c r="W186" s="225"/>
      <c r="X186" s="225"/>
      <c r="Y186" s="225"/>
      <c r="Z186" s="225"/>
      <c r="AA186" s="225"/>
      <c r="AB186" s="225"/>
      <c r="AC186" s="225"/>
      <c r="AD186" s="225"/>
      <c r="AE186" s="225"/>
      <c r="AF186" s="225"/>
      <c r="AG186" s="225"/>
      <c r="AH186" s="225"/>
      <c r="AI186" s="225"/>
      <c r="AJ186" s="225"/>
      <c r="AK186" s="225"/>
      <c r="AL186" s="225"/>
      <c r="AM186" s="225"/>
      <c r="AN186" s="225"/>
      <c r="AO186" s="225"/>
      <c r="AP186" s="225"/>
      <c r="AQ186" s="225"/>
      <c r="AR186" s="225"/>
    </row>
    <row r="187" spans="1:44" ht="15.75" customHeight="1">
      <c r="A187" s="131"/>
      <c r="B187" s="131"/>
      <c r="C187" s="131"/>
      <c r="D187" s="131"/>
      <c r="E187" s="131"/>
      <c r="F187" s="131"/>
      <c r="G187" s="131"/>
      <c r="H187" s="131"/>
      <c r="I187" s="131"/>
      <c r="J187" s="131"/>
      <c r="K187" s="131"/>
      <c r="L187" s="225"/>
      <c r="M187" s="225"/>
      <c r="N187" s="225"/>
      <c r="O187" s="225"/>
      <c r="P187" s="225"/>
      <c r="Q187" s="225"/>
      <c r="R187" s="225"/>
      <c r="S187" s="225"/>
      <c r="T187" s="225"/>
      <c r="U187" s="225"/>
      <c r="V187" s="225"/>
      <c r="W187" s="225"/>
      <c r="X187" s="225"/>
      <c r="Y187" s="225"/>
      <c r="Z187" s="225"/>
      <c r="AA187" s="225"/>
      <c r="AB187" s="225"/>
      <c r="AC187" s="225"/>
      <c r="AD187" s="225"/>
      <c r="AE187" s="225"/>
      <c r="AF187" s="225"/>
      <c r="AG187" s="225"/>
      <c r="AH187" s="225"/>
      <c r="AI187" s="225"/>
      <c r="AJ187" s="225"/>
      <c r="AK187" s="225"/>
      <c r="AL187" s="225"/>
      <c r="AM187" s="225"/>
      <c r="AN187" s="225"/>
      <c r="AO187" s="225"/>
      <c r="AP187" s="225"/>
      <c r="AQ187" s="225"/>
      <c r="AR187" s="225"/>
    </row>
    <row r="188" spans="1:44" ht="15.75" customHeight="1">
      <c r="A188" s="131"/>
      <c r="B188" s="131"/>
      <c r="C188" s="131"/>
      <c r="D188" s="131"/>
      <c r="E188" s="131"/>
      <c r="F188" s="131"/>
      <c r="G188" s="131"/>
      <c r="H188" s="131"/>
      <c r="I188" s="131"/>
      <c r="J188" s="131"/>
      <c r="K188" s="131"/>
      <c r="L188" s="225"/>
      <c r="M188" s="225"/>
      <c r="N188" s="225"/>
      <c r="O188" s="225"/>
      <c r="P188" s="225"/>
      <c r="Q188" s="225"/>
      <c r="R188" s="225"/>
      <c r="S188" s="225"/>
      <c r="T188" s="225"/>
      <c r="U188" s="225"/>
      <c r="V188" s="225"/>
      <c r="W188" s="225"/>
      <c r="X188" s="225"/>
      <c r="Y188" s="225"/>
      <c r="Z188" s="225"/>
      <c r="AA188" s="225"/>
      <c r="AB188" s="225"/>
      <c r="AC188" s="225"/>
      <c r="AD188" s="225"/>
      <c r="AE188" s="225"/>
      <c r="AF188" s="225"/>
      <c r="AG188" s="225"/>
      <c r="AH188" s="225"/>
      <c r="AI188" s="225"/>
      <c r="AJ188" s="225"/>
      <c r="AK188" s="225"/>
      <c r="AL188" s="225"/>
      <c r="AM188" s="225"/>
      <c r="AN188" s="225"/>
      <c r="AO188" s="225"/>
      <c r="AP188" s="225"/>
      <c r="AQ188" s="225"/>
      <c r="AR188" s="225"/>
    </row>
    <row r="189" spans="1:44" ht="15.75" customHeight="1">
      <c r="A189" s="131"/>
      <c r="B189" s="131"/>
      <c r="C189" s="131"/>
      <c r="D189" s="131"/>
      <c r="E189" s="131"/>
      <c r="F189" s="131"/>
      <c r="G189" s="131"/>
      <c r="H189" s="131"/>
      <c r="I189" s="131"/>
      <c r="J189" s="131"/>
      <c r="K189" s="131"/>
      <c r="L189" s="225"/>
      <c r="M189" s="225"/>
      <c r="N189" s="225"/>
      <c r="O189" s="225"/>
      <c r="P189" s="225"/>
      <c r="Q189" s="225"/>
      <c r="R189" s="225"/>
      <c r="S189" s="225"/>
      <c r="T189" s="225"/>
      <c r="U189" s="225"/>
      <c r="V189" s="225"/>
      <c r="W189" s="225"/>
      <c r="X189" s="225"/>
      <c r="Y189" s="225"/>
      <c r="Z189" s="225"/>
      <c r="AA189" s="225"/>
      <c r="AB189" s="225"/>
      <c r="AC189" s="225"/>
      <c r="AD189" s="225"/>
      <c r="AE189" s="225"/>
      <c r="AF189" s="225"/>
      <c r="AG189" s="225"/>
      <c r="AH189" s="225"/>
      <c r="AI189" s="225"/>
      <c r="AJ189" s="225"/>
      <c r="AK189" s="225"/>
      <c r="AL189" s="225"/>
      <c r="AM189" s="225"/>
      <c r="AN189" s="225"/>
      <c r="AO189" s="225"/>
      <c r="AP189" s="225"/>
      <c r="AQ189" s="225"/>
      <c r="AR189" s="225"/>
    </row>
    <row r="190" spans="1:44" ht="15.75" customHeight="1">
      <c r="A190" s="131"/>
      <c r="B190" s="131"/>
      <c r="C190" s="131"/>
      <c r="D190" s="131"/>
      <c r="E190" s="131"/>
      <c r="F190" s="131"/>
      <c r="G190" s="131"/>
      <c r="H190" s="131"/>
      <c r="I190" s="131"/>
      <c r="J190" s="131"/>
      <c r="K190" s="131"/>
      <c r="L190" s="225"/>
      <c r="M190" s="225"/>
      <c r="N190" s="225"/>
      <c r="O190" s="225"/>
      <c r="P190" s="225"/>
      <c r="Q190" s="225"/>
      <c r="R190" s="225"/>
      <c r="S190" s="225"/>
      <c r="T190" s="225"/>
      <c r="U190" s="225"/>
      <c r="V190" s="225"/>
      <c r="W190" s="225"/>
      <c r="X190" s="225"/>
      <c r="Y190" s="225"/>
      <c r="Z190" s="225"/>
      <c r="AA190" s="225"/>
      <c r="AB190" s="225"/>
      <c r="AC190" s="225"/>
      <c r="AD190" s="225"/>
      <c r="AE190" s="225"/>
      <c r="AF190" s="225"/>
      <c r="AG190" s="225"/>
      <c r="AH190" s="225"/>
      <c r="AI190" s="225"/>
      <c r="AJ190" s="225"/>
      <c r="AK190" s="225"/>
      <c r="AL190" s="225"/>
      <c r="AM190" s="225"/>
      <c r="AN190" s="225"/>
      <c r="AO190" s="225"/>
      <c r="AP190" s="225"/>
      <c r="AQ190" s="225"/>
      <c r="AR190" s="225"/>
    </row>
    <row r="191" spans="1:44" ht="15.75" customHeight="1">
      <c r="A191" s="131"/>
      <c r="B191" s="131"/>
      <c r="C191" s="131"/>
      <c r="D191" s="131"/>
      <c r="E191" s="131"/>
      <c r="F191" s="131"/>
      <c r="G191" s="131"/>
      <c r="H191" s="131"/>
      <c r="I191" s="131"/>
      <c r="J191" s="131"/>
      <c r="K191" s="131"/>
      <c r="L191" s="225"/>
      <c r="M191" s="225"/>
      <c r="N191" s="225"/>
      <c r="O191" s="225"/>
      <c r="P191" s="225"/>
      <c r="Q191" s="225"/>
      <c r="R191" s="225"/>
      <c r="S191" s="225"/>
      <c r="T191" s="225"/>
      <c r="U191" s="225"/>
      <c r="V191" s="225"/>
      <c r="W191" s="225"/>
      <c r="X191" s="225"/>
      <c r="Y191" s="225"/>
      <c r="Z191" s="225"/>
      <c r="AA191" s="225"/>
      <c r="AB191" s="225"/>
      <c r="AC191" s="225"/>
      <c r="AD191" s="225"/>
      <c r="AE191" s="225"/>
      <c r="AF191" s="225"/>
      <c r="AG191" s="225"/>
      <c r="AH191" s="225"/>
      <c r="AI191" s="225"/>
      <c r="AJ191" s="225"/>
      <c r="AK191" s="225"/>
      <c r="AL191" s="225"/>
      <c r="AM191" s="225"/>
      <c r="AN191" s="225"/>
      <c r="AO191" s="225"/>
      <c r="AP191" s="225"/>
      <c r="AQ191" s="225"/>
      <c r="AR191" s="225"/>
    </row>
    <row r="192" spans="1:44" ht="15.75" customHeight="1">
      <c r="A192" s="131"/>
      <c r="B192" s="131"/>
      <c r="C192" s="131"/>
      <c r="D192" s="131"/>
      <c r="E192" s="131"/>
      <c r="F192" s="131"/>
      <c r="G192" s="131"/>
      <c r="H192" s="131"/>
      <c r="I192" s="131"/>
      <c r="J192" s="131"/>
      <c r="K192" s="131"/>
      <c r="L192" s="225"/>
      <c r="M192" s="225"/>
      <c r="N192" s="225"/>
      <c r="O192" s="225"/>
      <c r="P192" s="225"/>
      <c r="Q192" s="225"/>
      <c r="R192" s="225"/>
      <c r="S192" s="225"/>
      <c r="T192" s="225"/>
      <c r="U192" s="225"/>
      <c r="V192" s="225"/>
      <c r="W192" s="225"/>
      <c r="X192" s="225"/>
      <c r="Y192" s="225"/>
      <c r="Z192" s="225"/>
      <c r="AA192" s="225"/>
      <c r="AB192" s="225"/>
      <c r="AC192" s="225"/>
      <c r="AD192" s="225"/>
      <c r="AE192" s="225"/>
      <c r="AF192" s="225"/>
      <c r="AG192" s="225"/>
      <c r="AH192" s="225"/>
      <c r="AI192" s="225"/>
      <c r="AJ192" s="225"/>
      <c r="AK192" s="225"/>
      <c r="AL192" s="225"/>
      <c r="AM192" s="225"/>
      <c r="AN192" s="225"/>
      <c r="AO192" s="225"/>
      <c r="AP192" s="225"/>
      <c r="AQ192" s="225"/>
      <c r="AR192" s="225"/>
    </row>
    <row r="193" spans="1:44" ht="15.75" customHeight="1">
      <c r="A193" s="131"/>
      <c r="B193" s="131"/>
      <c r="C193" s="131"/>
      <c r="D193" s="131"/>
      <c r="E193" s="131"/>
      <c r="F193" s="131"/>
      <c r="G193" s="131"/>
      <c r="H193" s="131"/>
      <c r="I193" s="131"/>
      <c r="J193" s="131"/>
      <c r="K193" s="131"/>
      <c r="L193" s="225"/>
      <c r="M193" s="225"/>
      <c r="N193" s="225"/>
      <c r="O193" s="225"/>
      <c r="P193" s="225"/>
      <c r="Q193" s="225"/>
      <c r="R193" s="225"/>
      <c r="S193" s="225"/>
      <c r="T193" s="225"/>
      <c r="U193" s="225"/>
      <c r="V193" s="225"/>
      <c r="W193" s="225"/>
      <c r="X193" s="225"/>
      <c r="Y193" s="225"/>
      <c r="Z193" s="225"/>
      <c r="AA193" s="225"/>
      <c r="AB193" s="225"/>
      <c r="AC193" s="225"/>
      <c r="AD193" s="225"/>
      <c r="AE193" s="225"/>
      <c r="AF193" s="225"/>
      <c r="AG193" s="225"/>
      <c r="AH193" s="225"/>
      <c r="AI193" s="225"/>
      <c r="AJ193" s="225"/>
      <c r="AK193" s="225"/>
      <c r="AL193" s="225"/>
      <c r="AM193" s="225"/>
      <c r="AN193" s="225"/>
      <c r="AO193" s="225"/>
      <c r="AP193" s="225"/>
      <c r="AQ193" s="225"/>
      <c r="AR193" s="225"/>
    </row>
    <row r="194" spans="1:44" ht="15.75" customHeight="1">
      <c r="A194" s="131"/>
      <c r="B194" s="131"/>
      <c r="C194" s="131"/>
      <c r="D194" s="131"/>
      <c r="E194" s="131"/>
      <c r="F194" s="131"/>
      <c r="G194" s="131"/>
      <c r="H194" s="131"/>
      <c r="I194" s="131"/>
      <c r="J194" s="131"/>
      <c r="K194" s="131"/>
      <c r="L194" s="225"/>
      <c r="M194" s="225"/>
      <c r="N194" s="225"/>
      <c r="O194" s="225"/>
      <c r="P194" s="225"/>
      <c r="Q194" s="225"/>
      <c r="R194" s="225"/>
      <c r="S194" s="225"/>
      <c r="T194" s="225"/>
      <c r="U194" s="225"/>
      <c r="V194" s="225"/>
      <c r="W194" s="225"/>
      <c r="X194" s="225"/>
      <c r="Y194" s="225"/>
      <c r="Z194" s="225"/>
      <c r="AA194" s="225"/>
      <c r="AB194" s="225"/>
      <c r="AC194" s="225"/>
      <c r="AD194" s="225"/>
      <c r="AE194" s="225"/>
      <c r="AF194" s="225"/>
      <c r="AG194" s="225"/>
      <c r="AH194" s="225"/>
      <c r="AI194" s="225"/>
      <c r="AJ194" s="225"/>
      <c r="AK194" s="225"/>
      <c r="AL194" s="225"/>
      <c r="AM194" s="225"/>
      <c r="AN194" s="225"/>
      <c r="AO194" s="225"/>
      <c r="AP194" s="225"/>
      <c r="AQ194" s="225"/>
      <c r="AR194" s="225"/>
    </row>
    <row r="195" spans="1:44" ht="15.75" customHeight="1">
      <c r="A195" s="131"/>
      <c r="B195" s="131"/>
      <c r="C195" s="131"/>
      <c r="D195" s="131"/>
      <c r="E195" s="131"/>
      <c r="F195" s="131"/>
      <c r="G195" s="131"/>
      <c r="H195" s="131"/>
      <c r="I195" s="131"/>
      <c r="J195" s="131"/>
      <c r="K195" s="131"/>
      <c r="L195" s="225"/>
      <c r="M195" s="225"/>
      <c r="N195" s="225"/>
      <c r="O195" s="225"/>
      <c r="P195" s="225"/>
      <c r="Q195" s="225"/>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row>
    <row r="196" spans="1:44" ht="15.75" customHeight="1">
      <c r="A196" s="131"/>
      <c r="B196" s="131"/>
      <c r="C196" s="131"/>
      <c r="D196" s="131"/>
      <c r="E196" s="131"/>
      <c r="F196" s="131"/>
      <c r="G196" s="131"/>
      <c r="H196" s="131"/>
      <c r="I196" s="131"/>
      <c r="J196" s="131"/>
      <c r="K196" s="131"/>
      <c r="L196" s="225"/>
      <c r="M196" s="225"/>
      <c r="N196" s="225"/>
      <c r="O196" s="225"/>
      <c r="P196" s="225"/>
      <c r="Q196" s="225"/>
      <c r="R196" s="225"/>
      <c r="S196" s="225"/>
      <c r="T196" s="225"/>
      <c r="U196" s="225"/>
      <c r="V196" s="225"/>
      <c r="W196" s="225"/>
      <c r="X196" s="225"/>
      <c r="Y196" s="225"/>
      <c r="Z196" s="225"/>
      <c r="AA196" s="225"/>
      <c r="AB196" s="225"/>
      <c r="AC196" s="225"/>
      <c r="AD196" s="225"/>
      <c r="AE196" s="225"/>
      <c r="AF196" s="225"/>
      <c r="AG196" s="225"/>
      <c r="AH196" s="225"/>
      <c r="AI196" s="225"/>
      <c r="AJ196" s="225"/>
      <c r="AK196" s="225"/>
      <c r="AL196" s="225"/>
      <c r="AM196" s="225"/>
      <c r="AN196" s="225"/>
      <c r="AO196" s="225"/>
      <c r="AP196" s="225"/>
      <c r="AQ196" s="225"/>
      <c r="AR196" s="225"/>
    </row>
    <row r="197" spans="1:44" ht="15.75" customHeight="1">
      <c r="A197" s="131"/>
      <c r="B197" s="131"/>
      <c r="C197" s="131"/>
      <c r="D197" s="131"/>
      <c r="E197" s="131"/>
      <c r="F197" s="131"/>
      <c r="G197" s="131"/>
      <c r="H197" s="131"/>
      <c r="I197" s="131"/>
      <c r="J197" s="131"/>
      <c r="K197" s="131"/>
      <c r="L197" s="225"/>
      <c r="M197" s="225"/>
      <c r="N197" s="225"/>
      <c r="O197" s="225"/>
      <c r="P197" s="225"/>
      <c r="Q197" s="225"/>
      <c r="R197" s="225"/>
      <c r="S197" s="225"/>
      <c r="T197" s="225"/>
      <c r="U197" s="225"/>
      <c r="V197" s="225"/>
      <c r="W197" s="225"/>
      <c r="X197" s="225"/>
      <c r="Y197" s="225"/>
      <c r="Z197" s="225"/>
      <c r="AA197" s="225"/>
      <c r="AB197" s="225"/>
      <c r="AC197" s="225"/>
      <c r="AD197" s="225"/>
      <c r="AE197" s="225"/>
      <c r="AF197" s="225"/>
      <c r="AG197" s="225"/>
      <c r="AH197" s="225"/>
      <c r="AI197" s="225"/>
      <c r="AJ197" s="225"/>
      <c r="AK197" s="225"/>
      <c r="AL197" s="225"/>
      <c r="AM197" s="225"/>
      <c r="AN197" s="225"/>
      <c r="AO197" s="225"/>
      <c r="AP197" s="225"/>
      <c r="AQ197" s="225"/>
      <c r="AR197" s="225"/>
    </row>
    <row r="198" spans="1:44" ht="15.75" customHeight="1">
      <c r="A198" s="131"/>
      <c r="B198" s="131"/>
      <c r="C198" s="131"/>
      <c r="D198" s="131"/>
      <c r="E198" s="131"/>
      <c r="F198" s="131"/>
      <c r="G198" s="131"/>
      <c r="H198" s="131"/>
      <c r="I198" s="131"/>
      <c r="J198" s="131"/>
      <c r="K198" s="131"/>
      <c r="L198" s="225"/>
      <c r="M198" s="225"/>
      <c r="N198" s="225"/>
      <c r="O198" s="225"/>
      <c r="P198" s="225"/>
      <c r="Q198" s="225"/>
      <c r="R198" s="225"/>
      <c r="S198" s="225"/>
      <c r="T198" s="225"/>
      <c r="U198" s="225"/>
      <c r="V198" s="225"/>
      <c r="W198" s="225"/>
      <c r="X198" s="225"/>
      <c r="Y198" s="225"/>
      <c r="Z198" s="225"/>
      <c r="AA198" s="225"/>
      <c r="AB198" s="225"/>
      <c r="AC198" s="225"/>
      <c r="AD198" s="225"/>
      <c r="AE198" s="225"/>
      <c r="AF198" s="225"/>
      <c r="AG198" s="225"/>
      <c r="AH198" s="225"/>
      <c r="AI198" s="225"/>
      <c r="AJ198" s="225"/>
      <c r="AK198" s="225"/>
      <c r="AL198" s="225"/>
      <c r="AM198" s="225"/>
      <c r="AN198" s="225"/>
      <c r="AO198" s="225"/>
      <c r="AP198" s="225"/>
      <c r="AQ198" s="225"/>
      <c r="AR198" s="225"/>
    </row>
    <row r="199" spans="1:44" ht="15.75" customHeight="1">
      <c r="A199" s="131"/>
      <c r="B199" s="131"/>
      <c r="C199" s="131"/>
      <c r="D199" s="131"/>
      <c r="E199" s="131"/>
      <c r="F199" s="131"/>
      <c r="G199" s="131"/>
      <c r="H199" s="131"/>
      <c r="I199" s="131"/>
      <c r="J199" s="131"/>
      <c r="K199" s="131"/>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row>
    <row r="200" spans="1:44" ht="15.75" customHeight="1">
      <c r="A200" s="131"/>
      <c r="B200" s="131"/>
      <c r="C200" s="131"/>
      <c r="D200" s="131"/>
      <c r="E200" s="131"/>
      <c r="F200" s="131"/>
      <c r="G200" s="131"/>
      <c r="H200" s="131"/>
      <c r="I200" s="131"/>
      <c r="J200" s="131"/>
      <c r="K200" s="131"/>
      <c r="L200" s="225"/>
      <c r="M200" s="225"/>
      <c r="N200" s="225"/>
      <c r="O200" s="225"/>
      <c r="P200" s="225"/>
      <c r="Q200" s="225"/>
      <c r="R200" s="225"/>
      <c r="S200" s="225"/>
      <c r="T200" s="225"/>
      <c r="U200" s="225"/>
      <c r="V200" s="225"/>
      <c r="W200" s="225"/>
      <c r="X200" s="225"/>
      <c r="Y200" s="225"/>
      <c r="Z200" s="225"/>
      <c r="AA200" s="225"/>
      <c r="AB200" s="225"/>
      <c r="AC200" s="225"/>
      <c r="AD200" s="225"/>
      <c r="AE200" s="225"/>
      <c r="AF200" s="225"/>
      <c r="AG200" s="225"/>
      <c r="AH200" s="225"/>
      <c r="AI200" s="225"/>
      <c r="AJ200" s="225"/>
      <c r="AK200" s="225"/>
      <c r="AL200" s="225"/>
      <c r="AM200" s="225"/>
      <c r="AN200" s="225"/>
      <c r="AO200" s="225"/>
      <c r="AP200" s="225"/>
      <c r="AQ200" s="225"/>
      <c r="AR200" s="225"/>
    </row>
    <row r="201" spans="1:44" ht="15.75" customHeight="1">
      <c r="A201" s="131"/>
      <c r="B201" s="131"/>
      <c r="C201" s="131"/>
      <c r="D201" s="131"/>
      <c r="E201" s="131"/>
      <c r="F201" s="131"/>
      <c r="G201" s="131"/>
      <c r="H201" s="131"/>
      <c r="I201" s="131"/>
      <c r="J201" s="131"/>
      <c r="K201" s="131"/>
      <c r="L201" s="225"/>
      <c r="M201" s="225"/>
      <c r="N201" s="225"/>
      <c r="O201" s="225"/>
      <c r="P201" s="225"/>
      <c r="Q201" s="225"/>
      <c r="R201" s="225"/>
      <c r="S201" s="225"/>
      <c r="T201" s="225"/>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row>
    <row r="202" spans="1:44" ht="15.75" customHeight="1">
      <c r="A202" s="131"/>
      <c r="B202" s="131"/>
      <c r="C202" s="131"/>
      <c r="D202" s="131"/>
      <c r="E202" s="131"/>
      <c r="F202" s="131"/>
      <c r="G202" s="131"/>
      <c r="H202" s="131"/>
      <c r="I202" s="131"/>
      <c r="J202" s="131"/>
      <c r="K202" s="131"/>
      <c r="L202" s="225"/>
      <c r="M202" s="225"/>
      <c r="N202" s="225"/>
      <c r="O202" s="225"/>
      <c r="P202" s="225"/>
      <c r="Q202" s="225"/>
      <c r="R202" s="225"/>
      <c r="S202" s="225"/>
      <c r="T202" s="225"/>
      <c r="U202" s="225"/>
      <c r="V202" s="225"/>
      <c r="W202" s="225"/>
      <c r="X202" s="225"/>
      <c r="Y202" s="225"/>
      <c r="Z202" s="225"/>
      <c r="AA202" s="225"/>
      <c r="AB202" s="225"/>
      <c r="AC202" s="225"/>
      <c r="AD202" s="225"/>
      <c r="AE202" s="225"/>
      <c r="AF202" s="225"/>
      <c r="AG202" s="225"/>
      <c r="AH202" s="225"/>
      <c r="AI202" s="225"/>
      <c r="AJ202" s="225"/>
      <c r="AK202" s="225"/>
      <c r="AL202" s="225"/>
      <c r="AM202" s="225"/>
      <c r="AN202" s="225"/>
      <c r="AO202" s="225"/>
      <c r="AP202" s="225"/>
      <c r="AQ202" s="225"/>
      <c r="AR202" s="225"/>
    </row>
    <row r="203" spans="1:44" ht="15.75" customHeight="1">
      <c r="A203" s="131"/>
      <c r="B203" s="131"/>
      <c r="C203" s="131"/>
      <c r="D203" s="131"/>
      <c r="E203" s="131"/>
      <c r="F203" s="131"/>
      <c r="G203" s="131"/>
      <c r="H203" s="131"/>
      <c r="I203" s="131"/>
      <c r="J203" s="131"/>
      <c r="K203" s="131"/>
      <c r="L203" s="225"/>
      <c r="M203" s="225"/>
      <c r="N203" s="225"/>
      <c r="O203" s="225"/>
      <c r="P203" s="225"/>
      <c r="Q203" s="225"/>
      <c r="R203" s="225"/>
      <c r="S203" s="225"/>
      <c r="T203" s="225"/>
      <c r="U203" s="225"/>
      <c r="V203" s="225"/>
      <c r="W203" s="225"/>
      <c r="X203" s="225"/>
      <c r="Y203" s="225"/>
      <c r="Z203" s="225"/>
      <c r="AA203" s="225"/>
      <c r="AB203" s="225"/>
      <c r="AC203" s="225"/>
      <c r="AD203" s="225"/>
      <c r="AE203" s="225"/>
      <c r="AF203" s="225"/>
      <c r="AG203" s="225"/>
      <c r="AH203" s="225"/>
      <c r="AI203" s="225"/>
      <c r="AJ203" s="225"/>
      <c r="AK203" s="225"/>
      <c r="AL203" s="225"/>
      <c r="AM203" s="225"/>
      <c r="AN203" s="225"/>
      <c r="AO203" s="225"/>
      <c r="AP203" s="225"/>
      <c r="AQ203" s="225"/>
      <c r="AR203" s="225"/>
    </row>
    <row r="204" spans="1:44" ht="15.75" customHeight="1">
      <c r="A204" s="131"/>
      <c r="B204" s="131"/>
      <c r="C204" s="131"/>
      <c r="D204" s="131"/>
      <c r="E204" s="131"/>
      <c r="F204" s="131"/>
      <c r="G204" s="131"/>
      <c r="H204" s="131"/>
      <c r="I204" s="131"/>
      <c r="J204" s="131"/>
      <c r="K204" s="131"/>
      <c r="L204" s="225"/>
      <c r="M204" s="225"/>
      <c r="N204" s="225"/>
      <c r="O204" s="225"/>
      <c r="P204" s="225"/>
      <c r="Q204" s="225"/>
      <c r="R204" s="225"/>
      <c r="S204" s="225"/>
      <c r="T204" s="225"/>
      <c r="U204" s="225"/>
      <c r="V204" s="225"/>
      <c r="W204" s="225"/>
      <c r="X204" s="225"/>
      <c r="Y204" s="225"/>
      <c r="Z204" s="225"/>
      <c r="AA204" s="225"/>
      <c r="AB204" s="225"/>
      <c r="AC204" s="225"/>
      <c r="AD204" s="225"/>
      <c r="AE204" s="225"/>
      <c r="AF204" s="225"/>
      <c r="AG204" s="225"/>
      <c r="AH204" s="225"/>
      <c r="AI204" s="225"/>
      <c r="AJ204" s="225"/>
      <c r="AK204" s="225"/>
      <c r="AL204" s="225"/>
      <c r="AM204" s="225"/>
      <c r="AN204" s="225"/>
      <c r="AO204" s="225"/>
      <c r="AP204" s="225"/>
      <c r="AQ204" s="225"/>
      <c r="AR204" s="225"/>
    </row>
    <row r="205" spans="1:44" ht="15.75" customHeight="1">
      <c r="A205" s="131"/>
      <c r="B205" s="131"/>
      <c r="C205" s="131"/>
      <c r="D205" s="131"/>
      <c r="E205" s="131"/>
      <c r="F205" s="131"/>
      <c r="G205" s="131"/>
      <c r="H205" s="131"/>
      <c r="I205" s="131"/>
      <c r="J205" s="131"/>
      <c r="K205" s="131"/>
      <c r="L205" s="225"/>
      <c r="M205" s="225"/>
      <c r="N205" s="225"/>
      <c r="O205" s="225"/>
      <c r="P205" s="225"/>
      <c r="Q205" s="225"/>
      <c r="R205" s="225"/>
      <c r="S205" s="225"/>
      <c r="T205" s="225"/>
      <c r="U205" s="225"/>
      <c r="V205" s="225"/>
      <c r="W205" s="225"/>
      <c r="X205" s="225"/>
      <c r="Y205" s="225"/>
      <c r="Z205" s="225"/>
      <c r="AA205" s="225"/>
      <c r="AB205" s="225"/>
      <c r="AC205" s="225"/>
      <c r="AD205" s="225"/>
      <c r="AE205" s="225"/>
      <c r="AF205" s="225"/>
      <c r="AG205" s="225"/>
      <c r="AH205" s="225"/>
      <c r="AI205" s="225"/>
      <c r="AJ205" s="225"/>
      <c r="AK205" s="225"/>
      <c r="AL205" s="225"/>
      <c r="AM205" s="225"/>
      <c r="AN205" s="225"/>
      <c r="AO205" s="225"/>
      <c r="AP205" s="225"/>
      <c r="AQ205" s="225"/>
      <c r="AR205" s="225"/>
    </row>
    <row r="206" spans="1:44" ht="15.75" customHeight="1">
      <c r="A206" s="131"/>
      <c r="B206" s="131"/>
      <c r="C206" s="131"/>
      <c r="D206" s="131"/>
      <c r="E206" s="131"/>
      <c r="F206" s="131"/>
      <c r="G206" s="131"/>
      <c r="H206" s="131"/>
      <c r="I206" s="131"/>
      <c r="J206" s="131"/>
      <c r="K206" s="131"/>
      <c r="L206" s="225"/>
      <c r="M206" s="225"/>
      <c r="N206" s="225"/>
      <c r="O206" s="225"/>
      <c r="P206" s="225"/>
      <c r="Q206" s="225"/>
      <c r="R206" s="225"/>
      <c r="S206" s="225"/>
      <c r="T206" s="225"/>
      <c r="U206" s="225"/>
      <c r="V206" s="225"/>
      <c r="W206" s="225"/>
      <c r="X206" s="225"/>
      <c r="Y206" s="225"/>
      <c r="Z206" s="225"/>
      <c r="AA206" s="225"/>
      <c r="AB206" s="225"/>
      <c r="AC206" s="225"/>
      <c r="AD206" s="225"/>
      <c r="AE206" s="225"/>
      <c r="AF206" s="225"/>
      <c r="AG206" s="225"/>
      <c r="AH206" s="225"/>
      <c r="AI206" s="225"/>
      <c r="AJ206" s="225"/>
      <c r="AK206" s="225"/>
      <c r="AL206" s="225"/>
      <c r="AM206" s="225"/>
      <c r="AN206" s="225"/>
      <c r="AO206" s="225"/>
      <c r="AP206" s="225"/>
      <c r="AQ206" s="225"/>
      <c r="AR206" s="225"/>
    </row>
    <row r="207" spans="1:44" ht="15.75" customHeight="1">
      <c r="A207" s="131"/>
      <c r="B207" s="131"/>
      <c r="C207" s="131"/>
      <c r="D207" s="131"/>
      <c r="E207" s="131"/>
      <c r="F207" s="131"/>
      <c r="G207" s="131"/>
      <c r="H207" s="131"/>
      <c r="I207" s="131"/>
      <c r="J207" s="131"/>
      <c r="K207" s="131"/>
      <c r="L207" s="225"/>
      <c r="M207" s="225"/>
      <c r="N207" s="225"/>
      <c r="O207" s="225"/>
      <c r="P207" s="225"/>
      <c r="Q207" s="225"/>
      <c r="R207" s="225"/>
      <c r="S207" s="225"/>
      <c r="T207" s="225"/>
      <c r="U207" s="225"/>
      <c r="V207" s="225"/>
      <c r="W207" s="225"/>
      <c r="X207" s="225"/>
      <c r="Y207" s="225"/>
      <c r="Z207" s="225"/>
      <c r="AA207" s="225"/>
      <c r="AB207" s="225"/>
      <c r="AC207" s="225"/>
      <c r="AD207" s="225"/>
      <c r="AE207" s="225"/>
      <c r="AF207" s="225"/>
      <c r="AG207" s="225"/>
      <c r="AH207" s="225"/>
      <c r="AI207" s="225"/>
      <c r="AJ207" s="225"/>
      <c r="AK207" s="225"/>
      <c r="AL207" s="225"/>
      <c r="AM207" s="225"/>
      <c r="AN207" s="225"/>
      <c r="AO207" s="225"/>
      <c r="AP207" s="225"/>
      <c r="AQ207" s="225"/>
      <c r="AR207" s="225"/>
    </row>
    <row r="208" spans="1:44" ht="15.75" customHeight="1">
      <c r="A208" s="131"/>
      <c r="B208" s="131"/>
      <c r="C208" s="131"/>
      <c r="D208" s="131"/>
      <c r="E208" s="131"/>
      <c r="F208" s="131"/>
      <c r="G208" s="131"/>
      <c r="H208" s="131"/>
      <c r="I208" s="131"/>
      <c r="J208" s="131"/>
      <c r="K208" s="131"/>
      <c r="L208" s="225"/>
      <c r="M208" s="225"/>
      <c r="N208" s="225"/>
      <c r="O208" s="225"/>
      <c r="P208" s="225"/>
      <c r="Q208" s="225"/>
      <c r="R208" s="225"/>
      <c r="S208" s="225"/>
      <c r="T208" s="225"/>
      <c r="U208" s="225"/>
      <c r="V208" s="225"/>
      <c r="W208" s="225"/>
      <c r="X208" s="225"/>
      <c r="Y208" s="225"/>
      <c r="Z208" s="225"/>
      <c r="AA208" s="225"/>
      <c r="AB208" s="225"/>
      <c r="AC208" s="225"/>
      <c r="AD208" s="225"/>
      <c r="AE208" s="225"/>
      <c r="AF208" s="225"/>
      <c r="AG208" s="225"/>
      <c r="AH208" s="225"/>
      <c r="AI208" s="225"/>
      <c r="AJ208" s="225"/>
      <c r="AK208" s="225"/>
      <c r="AL208" s="225"/>
      <c r="AM208" s="225"/>
      <c r="AN208" s="225"/>
      <c r="AO208" s="225"/>
      <c r="AP208" s="225"/>
      <c r="AQ208" s="225"/>
      <c r="AR208" s="225"/>
    </row>
    <row r="209" spans="1:44" ht="15.75" customHeight="1">
      <c r="A209" s="131"/>
      <c r="B209" s="131"/>
      <c r="C209" s="131"/>
      <c r="D209" s="131"/>
      <c r="E209" s="131"/>
      <c r="F209" s="131"/>
      <c r="G209" s="131"/>
      <c r="H209" s="131"/>
      <c r="I209" s="131"/>
      <c r="J209" s="131"/>
      <c r="K209" s="131"/>
      <c r="L209" s="225"/>
      <c r="M209" s="225"/>
      <c r="N209" s="225"/>
      <c r="O209" s="225"/>
      <c r="P209" s="225"/>
      <c r="Q209" s="225"/>
      <c r="R209" s="225"/>
      <c r="S209" s="225"/>
      <c r="T209" s="225"/>
      <c r="U209" s="225"/>
      <c r="V209" s="225"/>
      <c r="W209" s="225"/>
      <c r="X209" s="225"/>
      <c r="Y209" s="225"/>
      <c r="Z209" s="225"/>
      <c r="AA209" s="225"/>
      <c r="AB209" s="225"/>
      <c r="AC209" s="225"/>
      <c r="AD209" s="225"/>
      <c r="AE209" s="225"/>
      <c r="AF209" s="225"/>
      <c r="AG209" s="225"/>
      <c r="AH209" s="225"/>
      <c r="AI209" s="225"/>
      <c r="AJ209" s="225"/>
      <c r="AK209" s="225"/>
      <c r="AL209" s="225"/>
      <c r="AM209" s="225"/>
      <c r="AN209" s="225"/>
      <c r="AO209" s="225"/>
      <c r="AP209" s="225"/>
      <c r="AQ209" s="225"/>
      <c r="AR209" s="225"/>
    </row>
    <row r="210" spans="1:44" ht="15.75" customHeight="1">
      <c r="A210" s="131"/>
      <c r="B210" s="131"/>
      <c r="C210" s="131"/>
      <c r="D210" s="131"/>
      <c r="E210" s="131"/>
      <c r="F210" s="131"/>
      <c r="G210" s="131"/>
      <c r="H210" s="131"/>
      <c r="I210" s="131"/>
      <c r="J210" s="131"/>
      <c r="K210" s="131"/>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row>
    <row r="211" spans="1:44" ht="15.75" customHeight="1">
      <c r="A211" s="131"/>
      <c r="B211" s="131"/>
      <c r="C211" s="131"/>
      <c r="D211" s="131"/>
      <c r="E211" s="131"/>
      <c r="F211" s="131"/>
      <c r="G211" s="131"/>
      <c r="H211" s="131"/>
      <c r="I211" s="131"/>
      <c r="J211" s="131"/>
      <c r="K211" s="131"/>
      <c r="L211" s="225"/>
      <c r="M211" s="225"/>
      <c r="N211" s="225"/>
      <c r="O211" s="225"/>
      <c r="P211" s="225"/>
      <c r="Q211" s="225"/>
      <c r="R211" s="225"/>
      <c r="S211" s="225"/>
      <c r="T211" s="225"/>
      <c r="U211" s="225"/>
      <c r="V211" s="225"/>
      <c r="W211" s="225"/>
      <c r="X211" s="225"/>
      <c r="Y211" s="225"/>
      <c r="Z211" s="225"/>
      <c r="AA211" s="225"/>
      <c r="AB211" s="225"/>
      <c r="AC211" s="225"/>
      <c r="AD211" s="225"/>
      <c r="AE211" s="225"/>
      <c r="AF211" s="225"/>
      <c r="AG211" s="225"/>
      <c r="AH211" s="225"/>
      <c r="AI211" s="225"/>
      <c r="AJ211" s="225"/>
      <c r="AK211" s="225"/>
      <c r="AL211" s="225"/>
      <c r="AM211" s="225"/>
      <c r="AN211" s="225"/>
      <c r="AO211" s="225"/>
      <c r="AP211" s="225"/>
      <c r="AQ211" s="225"/>
      <c r="AR211" s="225"/>
    </row>
    <row r="212" spans="1:44" ht="15.75" customHeight="1">
      <c r="A212" s="131"/>
      <c r="B212" s="131"/>
      <c r="C212" s="131"/>
      <c r="D212" s="131"/>
      <c r="E212" s="131"/>
      <c r="F212" s="131"/>
      <c r="G212" s="131"/>
      <c r="H212" s="131"/>
      <c r="I212" s="131"/>
      <c r="J212" s="131"/>
      <c r="K212" s="131"/>
      <c r="L212" s="225"/>
      <c r="M212" s="225"/>
      <c r="N212" s="225"/>
      <c r="O212" s="225"/>
      <c r="P212" s="225"/>
      <c r="Q212" s="225"/>
      <c r="R212" s="225"/>
      <c r="S212" s="225"/>
      <c r="T212" s="225"/>
      <c r="U212" s="225"/>
      <c r="V212" s="225"/>
      <c r="W212" s="225"/>
      <c r="X212" s="225"/>
      <c r="Y212" s="225"/>
      <c r="Z212" s="225"/>
      <c r="AA212" s="225"/>
      <c r="AB212" s="225"/>
      <c r="AC212" s="225"/>
      <c r="AD212" s="225"/>
      <c r="AE212" s="225"/>
      <c r="AF212" s="225"/>
      <c r="AG212" s="225"/>
      <c r="AH212" s="225"/>
      <c r="AI212" s="225"/>
      <c r="AJ212" s="225"/>
      <c r="AK212" s="225"/>
      <c r="AL212" s="225"/>
      <c r="AM212" s="225"/>
      <c r="AN212" s="225"/>
      <c r="AO212" s="225"/>
      <c r="AP212" s="225"/>
      <c r="AQ212" s="225"/>
      <c r="AR212" s="225"/>
    </row>
    <row r="213" spans="1:44" ht="15.75" customHeight="1">
      <c r="A213" s="131"/>
      <c r="B213" s="131"/>
      <c r="C213" s="131"/>
      <c r="D213" s="131"/>
      <c r="E213" s="131"/>
      <c r="F213" s="131"/>
      <c r="G213" s="131"/>
      <c r="H213" s="131"/>
      <c r="I213" s="131"/>
      <c r="J213" s="131"/>
      <c r="K213" s="131"/>
      <c r="L213" s="225"/>
      <c r="M213" s="225"/>
      <c r="N213" s="225"/>
      <c r="O213" s="225"/>
      <c r="P213" s="225"/>
      <c r="Q213" s="225"/>
      <c r="R213" s="225"/>
      <c r="S213" s="225"/>
      <c r="T213" s="225"/>
      <c r="U213" s="225"/>
      <c r="V213" s="225"/>
      <c r="W213" s="225"/>
      <c r="X213" s="225"/>
      <c r="Y213" s="225"/>
      <c r="Z213" s="225"/>
      <c r="AA213" s="225"/>
      <c r="AB213" s="225"/>
      <c r="AC213" s="225"/>
      <c r="AD213" s="225"/>
      <c r="AE213" s="225"/>
      <c r="AF213" s="225"/>
      <c r="AG213" s="225"/>
      <c r="AH213" s="225"/>
      <c r="AI213" s="225"/>
      <c r="AJ213" s="225"/>
      <c r="AK213" s="225"/>
      <c r="AL213" s="225"/>
      <c r="AM213" s="225"/>
      <c r="AN213" s="225"/>
      <c r="AO213" s="225"/>
      <c r="AP213" s="225"/>
      <c r="AQ213" s="225"/>
      <c r="AR213" s="225"/>
    </row>
    <row r="214" spans="1:44" ht="15.75" customHeight="1">
      <c r="A214" s="131"/>
      <c r="B214" s="131"/>
      <c r="C214" s="131"/>
      <c r="D214" s="131"/>
      <c r="E214" s="131"/>
      <c r="F214" s="131"/>
      <c r="G214" s="131"/>
      <c r="H214" s="131"/>
      <c r="I214" s="131"/>
      <c r="J214" s="131"/>
      <c r="K214" s="131"/>
      <c r="L214" s="225"/>
      <c r="M214" s="225"/>
      <c r="N214" s="225"/>
      <c r="O214" s="225"/>
      <c r="P214" s="225"/>
      <c r="Q214" s="225"/>
      <c r="R214" s="225"/>
      <c r="S214" s="225"/>
      <c r="T214" s="225"/>
      <c r="U214" s="225"/>
      <c r="V214" s="225"/>
      <c r="W214" s="225"/>
      <c r="X214" s="225"/>
      <c r="Y214" s="225"/>
      <c r="Z214" s="225"/>
      <c r="AA214" s="225"/>
      <c r="AB214" s="225"/>
      <c r="AC214" s="225"/>
      <c r="AD214" s="225"/>
      <c r="AE214" s="225"/>
      <c r="AF214" s="225"/>
      <c r="AG214" s="225"/>
      <c r="AH214" s="225"/>
      <c r="AI214" s="225"/>
      <c r="AJ214" s="225"/>
      <c r="AK214" s="225"/>
      <c r="AL214" s="225"/>
      <c r="AM214" s="225"/>
      <c r="AN214" s="225"/>
      <c r="AO214" s="225"/>
      <c r="AP214" s="225"/>
      <c r="AQ214" s="225"/>
      <c r="AR214" s="225"/>
    </row>
    <row r="215" spans="1:44" ht="15.75" customHeight="1">
      <c r="A215" s="131"/>
      <c r="B215" s="131"/>
      <c r="C215" s="131"/>
      <c r="D215" s="131"/>
      <c r="E215" s="131"/>
      <c r="F215" s="131"/>
      <c r="G215" s="131"/>
      <c r="H215" s="131"/>
      <c r="I215" s="131"/>
      <c r="J215" s="131"/>
      <c r="K215" s="131"/>
      <c r="L215" s="225"/>
      <c r="M215" s="225"/>
      <c r="N215" s="225"/>
      <c r="O215" s="225"/>
      <c r="P215" s="225"/>
      <c r="Q215" s="225"/>
      <c r="R215" s="225"/>
      <c r="S215" s="225"/>
      <c r="T215" s="225"/>
      <c r="U215" s="225"/>
      <c r="V215" s="225"/>
      <c r="W215" s="225"/>
      <c r="X215" s="225"/>
      <c r="Y215" s="225"/>
      <c r="Z215" s="225"/>
      <c r="AA215" s="225"/>
      <c r="AB215" s="225"/>
      <c r="AC215" s="225"/>
      <c r="AD215" s="225"/>
      <c r="AE215" s="225"/>
      <c r="AF215" s="225"/>
      <c r="AG215" s="225"/>
      <c r="AH215" s="225"/>
      <c r="AI215" s="225"/>
      <c r="AJ215" s="225"/>
      <c r="AK215" s="225"/>
      <c r="AL215" s="225"/>
      <c r="AM215" s="225"/>
      <c r="AN215" s="225"/>
      <c r="AO215" s="225"/>
      <c r="AP215" s="225"/>
      <c r="AQ215" s="225"/>
      <c r="AR215" s="225"/>
    </row>
    <row r="216" spans="1:44" ht="15.75" customHeight="1">
      <c r="A216" s="131"/>
      <c r="B216" s="131"/>
      <c r="C216" s="131"/>
      <c r="D216" s="131"/>
      <c r="E216" s="131"/>
      <c r="F216" s="131"/>
      <c r="G216" s="131"/>
      <c r="H216" s="131"/>
      <c r="I216" s="131"/>
      <c r="J216" s="131"/>
      <c r="K216" s="131"/>
      <c r="L216" s="225"/>
      <c r="M216" s="225"/>
      <c r="N216" s="225"/>
      <c r="O216" s="225"/>
      <c r="P216" s="225"/>
      <c r="Q216" s="225"/>
      <c r="R216" s="225"/>
      <c r="S216" s="225"/>
      <c r="T216" s="225"/>
      <c r="U216" s="225"/>
      <c r="V216" s="225"/>
      <c r="W216" s="225"/>
      <c r="X216" s="225"/>
      <c r="Y216" s="225"/>
      <c r="Z216" s="225"/>
      <c r="AA216" s="225"/>
      <c r="AB216" s="225"/>
      <c r="AC216" s="225"/>
      <c r="AD216" s="225"/>
      <c r="AE216" s="225"/>
      <c r="AF216" s="225"/>
      <c r="AG216" s="225"/>
      <c r="AH216" s="225"/>
      <c r="AI216" s="225"/>
      <c r="AJ216" s="225"/>
      <c r="AK216" s="225"/>
      <c r="AL216" s="225"/>
      <c r="AM216" s="225"/>
      <c r="AN216" s="225"/>
      <c r="AO216" s="225"/>
      <c r="AP216" s="225"/>
      <c r="AQ216" s="225"/>
      <c r="AR216" s="225"/>
    </row>
    <row r="217" spans="1:44" ht="15.75" customHeight="1">
      <c r="A217" s="131"/>
      <c r="B217" s="131"/>
      <c r="C217" s="131"/>
      <c r="D217" s="131"/>
      <c r="E217" s="131"/>
      <c r="F217" s="131"/>
      <c r="G217" s="131"/>
      <c r="H217" s="131"/>
      <c r="I217" s="131"/>
      <c r="J217" s="131"/>
      <c r="K217" s="131"/>
      <c r="L217" s="225"/>
      <c r="M217" s="225"/>
      <c r="N217" s="225"/>
      <c r="O217" s="225"/>
      <c r="P217" s="225"/>
      <c r="Q217" s="225"/>
      <c r="R217" s="225"/>
      <c r="S217" s="225"/>
      <c r="T217" s="225"/>
      <c r="U217" s="225"/>
      <c r="V217" s="225"/>
      <c r="W217" s="225"/>
      <c r="X217" s="225"/>
      <c r="Y217" s="225"/>
      <c r="Z217" s="225"/>
      <c r="AA217" s="225"/>
      <c r="AB217" s="225"/>
      <c r="AC217" s="225"/>
      <c r="AD217" s="225"/>
      <c r="AE217" s="225"/>
      <c r="AF217" s="225"/>
      <c r="AG217" s="225"/>
      <c r="AH217" s="225"/>
      <c r="AI217" s="225"/>
      <c r="AJ217" s="225"/>
      <c r="AK217" s="225"/>
      <c r="AL217" s="225"/>
      <c r="AM217" s="225"/>
      <c r="AN217" s="225"/>
      <c r="AO217" s="225"/>
      <c r="AP217" s="225"/>
      <c r="AQ217" s="225"/>
      <c r="AR217" s="225"/>
    </row>
    <row r="218" spans="1:44" ht="15.75" customHeight="1">
      <c r="A218" s="131"/>
      <c r="B218" s="131"/>
      <c r="C218" s="131"/>
      <c r="D218" s="131"/>
      <c r="E218" s="131"/>
      <c r="F218" s="131"/>
      <c r="G218" s="131"/>
      <c r="H218" s="131"/>
      <c r="I218" s="131"/>
      <c r="J218" s="131"/>
      <c r="K218" s="131"/>
      <c r="L218" s="225"/>
      <c r="M218" s="225"/>
      <c r="N218" s="225"/>
      <c r="O218" s="225"/>
      <c r="P218" s="225"/>
      <c r="Q218" s="225"/>
      <c r="R218" s="225"/>
      <c r="S218" s="225"/>
      <c r="T218" s="225"/>
      <c r="U218" s="225"/>
      <c r="V218" s="225"/>
      <c r="W218" s="225"/>
      <c r="X218" s="225"/>
      <c r="Y218" s="225"/>
      <c r="Z218" s="225"/>
      <c r="AA218" s="225"/>
      <c r="AB218" s="225"/>
      <c r="AC218" s="225"/>
      <c r="AD218" s="225"/>
      <c r="AE218" s="225"/>
      <c r="AF218" s="225"/>
      <c r="AG218" s="225"/>
      <c r="AH218" s="225"/>
      <c r="AI218" s="225"/>
      <c r="AJ218" s="225"/>
      <c r="AK218" s="225"/>
      <c r="AL218" s="225"/>
      <c r="AM218" s="225"/>
      <c r="AN218" s="225"/>
      <c r="AO218" s="225"/>
      <c r="AP218" s="225"/>
      <c r="AQ218" s="225"/>
      <c r="AR218" s="225"/>
    </row>
    <row r="219" spans="1:44" ht="15.75" customHeight="1">
      <c r="A219" s="131"/>
      <c r="B219" s="131"/>
      <c r="C219" s="131"/>
      <c r="D219" s="131"/>
      <c r="E219" s="131"/>
      <c r="F219" s="131"/>
      <c r="G219" s="131"/>
      <c r="H219" s="131"/>
      <c r="I219" s="131"/>
      <c r="J219" s="131"/>
      <c r="K219" s="131"/>
      <c r="L219" s="225"/>
      <c r="M219" s="225"/>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row>
    <row r="220" spans="1:44" ht="15.75" customHeight="1">
      <c r="A220" s="131"/>
      <c r="B220" s="131"/>
      <c r="C220" s="131"/>
      <c r="D220" s="131"/>
      <c r="E220" s="131"/>
      <c r="F220" s="131"/>
      <c r="G220" s="131"/>
      <c r="H220" s="131"/>
      <c r="I220" s="131"/>
      <c r="J220" s="131"/>
      <c r="K220" s="131"/>
      <c r="L220" s="225"/>
      <c r="M220" s="225"/>
      <c r="N220" s="225"/>
      <c r="O220" s="225"/>
      <c r="P220" s="225"/>
      <c r="Q220" s="225"/>
      <c r="R220" s="225"/>
      <c r="S220" s="225"/>
      <c r="T220" s="225"/>
      <c r="U220" s="225"/>
      <c r="V220" s="225"/>
      <c r="W220" s="225"/>
      <c r="X220" s="225"/>
      <c r="Y220" s="225"/>
      <c r="Z220" s="225"/>
      <c r="AA220" s="225"/>
      <c r="AB220" s="225"/>
      <c r="AC220" s="225"/>
      <c r="AD220" s="225"/>
      <c r="AE220" s="225"/>
      <c r="AF220" s="225"/>
      <c r="AG220" s="225"/>
      <c r="AH220" s="225"/>
      <c r="AI220" s="225"/>
      <c r="AJ220" s="225"/>
      <c r="AK220" s="225"/>
      <c r="AL220" s="225"/>
      <c r="AM220" s="225"/>
      <c r="AN220" s="225"/>
      <c r="AO220" s="225"/>
      <c r="AP220" s="225"/>
      <c r="AQ220" s="225"/>
      <c r="AR220" s="225"/>
    </row>
    <row r="221" spans="1:44" ht="15.75" customHeight="1">
      <c r="A221" s="131"/>
      <c r="B221" s="131"/>
      <c r="C221" s="131"/>
      <c r="D221" s="131"/>
      <c r="E221" s="131"/>
      <c r="F221" s="131"/>
      <c r="G221" s="131"/>
      <c r="H221" s="131"/>
      <c r="I221" s="131"/>
      <c r="J221" s="131"/>
      <c r="K221" s="131"/>
      <c r="L221" s="225"/>
      <c r="M221" s="225"/>
      <c r="N221" s="225"/>
      <c r="O221" s="225"/>
      <c r="P221" s="225"/>
      <c r="Q221" s="225"/>
      <c r="R221" s="225"/>
      <c r="S221" s="225"/>
      <c r="T221" s="225"/>
      <c r="U221" s="225"/>
      <c r="V221" s="225"/>
      <c r="W221" s="225"/>
      <c r="X221" s="225"/>
      <c r="Y221" s="225"/>
      <c r="Z221" s="225"/>
      <c r="AA221" s="225"/>
      <c r="AB221" s="225"/>
      <c r="AC221" s="225"/>
      <c r="AD221" s="225"/>
      <c r="AE221" s="225"/>
      <c r="AF221" s="225"/>
      <c r="AG221" s="225"/>
      <c r="AH221" s="225"/>
      <c r="AI221" s="225"/>
      <c r="AJ221" s="225"/>
      <c r="AK221" s="225"/>
      <c r="AL221" s="225"/>
      <c r="AM221" s="225"/>
      <c r="AN221" s="225"/>
      <c r="AO221" s="225"/>
      <c r="AP221" s="225"/>
      <c r="AQ221" s="225"/>
      <c r="AR221" s="225"/>
    </row>
    <row r="222" spans="1:44" ht="15.75" customHeight="1">
      <c r="A222" s="131"/>
      <c r="B222" s="131"/>
      <c r="C222" s="131"/>
      <c r="D222" s="131"/>
      <c r="E222" s="131"/>
      <c r="F222" s="131"/>
      <c r="G222" s="131"/>
      <c r="H222" s="131"/>
      <c r="I222" s="131"/>
      <c r="J222" s="131"/>
      <c r="K222" s="131"/>
      <c r="L222" s="225"/>
      <c r="M222" s="225"/>
      <c r="N222" s="225"/>
      <c r="O222" s="225"/>
      <c r="P222" s="225"/>
      <c r="Q222" s="225"/>
      <c r="R222" s="225"/>
      <c r="S222" s="225"/>
      <c r="T222" s="225"/>
      <c r="U222" s="225"/>
      <c r="V222" s="225"/>
      <c r="W222" s="225"/>
      <c r="X222" s="225"/>
      <c r="Y222" s="225"/>
      <c r="Z222" s="225"/>
      <c r="AA222" s="225"/>
      <c r="AB222" s="225"/>
      <c r="AC222" s="225"/>
      <c r="AD222" s="225"/>
      <c r="AE222" s="225"/>
      <c r="AF222" s="225"/>
      <c r="AG222" s="225"/>
      <c r="AH222" s="225"/>
      <c r="AI222" s="225"/>
      <c r="AJ222" s="225"/>
      <c r="AK222" s="225"/>
      <c r="AL222" s="225"/>
      <c r="AM222" s="225"/>
      <c r="AN222" s="225"/>
      <c r="AO222" s="225"/>
      <c r="AP222" s="225"/>
      <c r="AQ222" s="225"/>
      <c r="AR222" s="225"/>
    </row>
    <row r="223" spans="1:44" ht="15.75" customHeight="1">
      <c r="A223" s="131"/>
      <c r="B223" s="131"/>
      <c r="C223" s="131"/>
      <c r="D223" s="131"/>
      <c r="E223" s="131"/>
      <c r="F223" s="131"/>
      <c r="G223" s="131"/>
      <c r="H223" s="131"/>
      <c r="I223" s="131"/>
      <c r="J223" s="131"/>
      <c r="K223" s="131"/>
      <c r="L223" s="225"/>
      <c r="M223" s="225"/>
      <c r="N223" s="225"/>
      <c r="O223" s="225"/>
      <c r="P223" s="225"/>
      <c r="Q223" s="225"/>
      <c r="R223" s="225"/>
      <c r="S223" s="225"/>
      <c r="T223" s="225"/>
      <c r="U223" s="225"/>
      <c r="V223" s="225"/>
      <c r="W223" s="225"/>
      <c r="X223" s="225"/>
      <c r="Y223" s="225"/>
      <c r="Z223" s="225"/>
      <c r="AA223" s="225"/>
      <c r="AB223" s="225"/>
      <c r="AC223" s="225"/>
      <c r="AD223" s="225"/>
      <c r="AE223" s="225"/>
      <c r="AF223" s="225"/>
      <c r="AG223" s="225"/>
      <c r="AH223" s="225"/>
      <c r="AI223" s="225"/>
      <c r="AJ223" s="225"/>
      <c r="AK223" s="225"/>
      <c r="AL223" s="225"/>
      <c r="AM223" s="225"/>
      <c r="AN223" s="225"/>
      <c r="AO223" s="225"/>
      <c r="AP223" s="225"/>
      <c r="AQ223" s="225"/>
      <c r="AR223" s="225"/>
    </row>
    <row r="224" spans="1:44" ht="15.75" customHeight="1">
      <c r="A224" s="131"/>
      <c r="B224" s="131"/>
      <c r="C224" s="131"/>
      <c r="D224" s="131"/>
      <c r="E224" s="131"/>
      <c r="F224" s="131"/>
      <c r="G224" s="131"/>
      <c r="H224" s="131"/>
      <c r="I224" s="131"/>
      <c r="J224" s="131"/>
      <c r="K224" s="131"/>
      <c r="L224" s="225"/>
      <c r="M224" s="225"/>
      <c r="N224" s="225"/>
      <c r="O224" s="225"/>
      <c r="P224" s="225"/>
      <c r="Q224" s="225"/>
      <c r="R224" s="225"/>
      <c r="S224" s="225"/>
      <c r="T224" s="225"/>
      <c r="U224" s="225"/>
      <c r="V224" s="225"/>
      <c r="W224" s="225"/>
      <c r="X224" s="225"/>
      <c r="Y224" s="225"/>
      <c r="Z224" s="225"/>
      <c r="AA224" s="225"/>
      <c r="AB224" s="225"/>
      <c r="AC224" s="225"/>
      <c r="AD224" s="225"/>
      <c r="AE224" s="225"/>
      <c r="AF224" s="225"/>
      <c r="AG224" s="225"/>
      <c r="AH224" s="225"/>
      <c r="AI224" s="225"/>
      <c r="AJ224" s="225"/>
      <c r="AK224" s="225"/>
      <c r="AL224" s="225"/>
      <c r="AM224" s="225"/>
      <c r="AN224" s="225"/>
      <c r="AO224" s="225"/>
      <c r="AP224" s="225"/>
      <c r="AQ224" s="225"/>
      <c r="AR224" s="225"/>
    </row>
    <row r="225" spans="1:44" ht="15.75" customHeight="1">
      <c r="A225" s="131"/>
      <c r="B225" s="131"/>
      <c r="C225" s="131"/>
      <c r="D225" s="131"/>
      <c r="E225" s="131"/>
      <c r="F225" s="131"/>
      <c r="G225" s="131"/>
      <c r="H225" s="131"/>
      <c r="I225" s="131"/>
      <c r="J225" s="131"/>
      <c r="K225" s="131"/>
      <c r="L225" s="225"/>
      <c r="M225" s="225"/>
      <c r="N225" s="225"/>
      <c r="O225" s="225"/>
      <c r="P225" s="225"/>
      <c r="Q225" s="225"/>
      <c r="R225" s="225"/>
      <c r="S225" s="225"/>
      <c r="T225" s="225"/>
      <c r="U225" s="225"/>
      <c r="V225" s="225"/>
      <c r="W225" s="225"/>
      <c r="X225" s="225"/>
      <c r="Y225" s="225"/>
      <c r="Z225" s="225"/>
      <c r="AA225" s="225"/>
      <c r="AB225" s="225"/>
      <c r="AC225" s="225"/>
      <c r="AD225" s="225"/>
      <c r="AE225" s="225"/>
      <c r="AF225" s="225"/>
      <c r="AG225" s="225"/>
      <c r="AH225" s="225"/>
      <c r="AI225" s="225"/>
      <c r="AJ225" s="225"/>
      <c r="AK225" s="225"/>
      <c r="AL225" s="225"/>
      <c r="AM225" s="225"/>
      <c r="AN225" s="225"/>
      <c r="AO225" s="225"/>
      <c r="AP225" s="225"/>
      <c r="AQ225" s="225"/>
      <c r="AR225" s="225"/>
    </row>
    <row r="226" spans="1:44" ht="15.75" customHeight="1">
      <c r="A226" s="131"/>
      <c r="B226" s="131"/>
      <c r="C226" s="131"/>
      <c r="D226" s="131"/>
      <c r="E226" s="131"/>
      <c r="F226" s="131"/>
      <c r="G226" s="131"/>
      <c r="H226" s="131"/>
      <c r="I226" s="131"/>
      <c r="J226" s="131"/>
      <c r="K226" s="131"/>
      <c r="L226" s="225"/>
      <c r="M226" s="225"/>
      <c r="N226" s="225"/>
      <c r="O226" s="225"/>
      <c r="P226" s="225"/>
      <c r="Q226" s="225"/>
      <c r="R226" s="225"/>
      <c r="S226" s="225"/>
      <c r="T226" s="225"/>
      <c r="U226" s="225"/>
      <c r="V226" s="225"/>
      <c r="W226" s="225"/>
      <c r="X226" s="225"/>
      <c r="Y226" s="225"/>
      <c r="Z226" s="225"/>
      <c r="AA226" s="225"/>
      <c r="AB226" s="225"/>
      <c r="AC226" s="225"/>
      <c r="AD226" s="225"/>
      <c r="AE226" s="225"/>
      <c r="AF226" s="225"/>
      <c r="AG226" s="225"/>
      <c r="AH226" s="225"/>
      <c r="AI226" s="225"/>
      <c r="AJ226" s="225"/>
      <c r="AK226" s="225"/>
      <c r="AL226" s="225"/>
      <c r="AM226" s="225"/>
      <c r="AN226" s="225"/>
      <c r="AO226" s="225"/>
      <c r="AP226" s="225"/>
      <c r="AQ226" s="225"/>
      <c r="AR226" s="225"/>
    </row>
    <row r="227" spans="1:44" ht="15.75" customHeight="1">
      <c r="A227" s="131"/>
      <c r="B227" s="131"/>
      <c r="C227" s="131"/>
      <c r="D227" s="131"/>
      <c r="E227" s="131"/>
      <c r="F227" s="131"/>
      <c r="G227" s="131"/>
      <c r="H227" s="131"/>
      <c r="I227" s="131"/>
      <c r="J227" s="131"/>
      <c r="K227" s="131"/>
      <c r="L227" s="225"/>
      <c r="M227" s="225"/>
      <c r="N227" s="225"/>
      <c r="O227" s="225"/>
      <c r="P227" s="225"/>
      <c r="Q227" s="225"/>
      <c r="R227" s="225"/>
      <c r="S227" s="225"/>
      <c r="T227" s="225"/>
      <c r="U227" s="225"/>
      <c r="V227" s="225"/>
      <c r="W227" s="225"/>
      <c r="X227" s="225"/>
      <c r="Y227" s="225"/>
      <c r="Z227" s="225"/>
      <c r="AA227" s="225"/>
      <c r="AB227" s="225"/>
      <c r="AC227" s="225"/>
      <c r="AD227" s="225"/>
      <c r="AE227" s="225"/>
      <c r="AF227" s="225"/>
      <c r="AG227" s="225"/>
      <c r="AH227" s="225"/>
      <c r="AI227" s="225"/>
      <c r="AJ227" s="225"/>
      <c r="AK227" s="225"/>
      <c r="AL227" s="225"/>
      <c r="AM227" s="225"/>
      <c r="AN227" s="225"/>
      <c r="AO227" s="225"/>
      <c r="AP227" s="225"/>
      <c r="AQ227" s="225"/>
      <c r="AR227" s="225"/>
    </row>
    <row r="228" spans="1:44" ht="15.75" customHeight="1">
      <c r="A228" s="131"/>
      <c r="B228" s="131"/>
      <c r="C228" s="131"/>
      <c r="D228" s="131"/>
      <c r="E228" s="131"/>
      <c r="F228" s="131"/>
      <c r="G228" s="131"/>
      <c r="H228" s="131"/>
      <c r="I228" s="131"/>
      <c r="J228" s="131"/>
      <c r="K228" s="131"/>
      <c r="L228" s="225"/>
      <c r="M228" s="225"/>
      <c r="N228" s="225"/>
      <c r="O228" s="225"/>
      <c r="P228" s="225"/>
      <c r="Q228" s="225"/>
      <c r="R228" s="225"/>
      <c r="S228" s="225"/>
      <c r="T228" s="225"/>
      <c r="U228" s="225"/>
      <c r="V228" s="225"/>
      <c r="W228" s="225"/>
      <c r="X228" s="225"/>
      <c r="Y228" s="225"/>
      <c r="Z228" s="225"/>
      <c r="AA228" s="225"/>
      <c r="AB228" s="225"/>
      <c r="AC228" s="225"/>
      <c r="AD228" s="225"/>
      <c r="AE228" s="225"/>
      <c r="AF228" s="225"/>
      <c r="AG228" s="225"/>
      <c r="AH228" s="225"/>
      <c r="AI228" s="225"/>
      <c r="AJ228" s="225"/>
      <c r="AK228" s="225"/>
      <c r="AL228" s="225"/>
      <c r="AM228" s="225"/>
      <c r="AN228" s="225"/>
      <c r="AO228" s="225"/>
      <c r="AP228" s="225"/>
      <c r="AQ228" s="225"/>
      <c r="AR228" s="225"/>
    </row>
    <row r="229" spans="1:44" ht="15.75" customHeight="1">
      <c r="A229" s="131"/>
      <c r="B229" s="131"/>
      <c r="C229" s="131"/>
      <c r="D229" s="131"/>
      <c r="E229" s="131"/>
      <c r="F229" s="131"/>
      <c r="G229" s="131"/>
      <c r="H229" s="131"/>
      <c r="I229" s="131"/>
      <c r="J229" s="131"/>
      <c r="K229" s="131"/>
      <c r="L229" s="225"/>
      <c r="M229" s="225"/>
      <c r="N229" s="225"/>
      <c r="O229" s="225"/>
      <c r="P229" s="225"/>
      <c r="Q229" s="225"/>
      <c r="R229" s="225"/>
      <c r="S229" s="225"/>
      <c r="T229" s="225"/>
      <c r="U229" s="225"/>
      <c r="V229" s="225"/>
      <c r="W229" s="225"/>
      <c r="X229" s="225"/>
      <c r="Y229" s="225"/>
      <c r="Z229" s="225"/>
      <c r="AA229" s="225"/>
      <c r="AB229" s="225"/>
      <c r="AC229" s="225"/>
      <c r="AD229" s="225"/>
      <c r="AE229" s="225"/>
      <c r="AF229" s="225"/>
      <c r="AG229" s="225"/>
      <c r="AH229" s="225"/>
      <c r="AI229" s="225"/>
      <c r="AJ229" s="225"/>
      <c r="AK229" s="225"/>
      <c r="AL229" s="225"/>
      <c r="AM229" s="225"/>
      <c r="AN229" s="225"/>
      <c r="AO229" s="225"/>
      <c r="AP229" s="225"/>
      <c r="AQ229" s="225"/>
      <c r="AR229" s="225"/>
    </row>
    <row r="230" spans="1:44" ht="15.75" customHeight="1">
      <c r="A230" s="131"/>
      <c r="B230" s="131"/>
      <c r="C230" s="131"/>
      <c r="D230" s="131"/>
      <c r="E230" s="131"/>
      <c r="F230" s="131"/>
      <c r="G230" s="131"/>
      <c r="H230" s="131"/>
      <c r="I230" s="131"/>
      <c r="J230" s="131"/>
      <c r="K230" s="131"/>
      <c r="L230" s="225"/>
      <c r="M230" s="225"/>
      <c r="N230" s="225"/>
      <c r="O230" s="225"/>
      <c r="P230" s="225"/>
      <c r="Q230" s="225"/>
      <c r="R230" s="225"/>
      <c r="S230" s="225"/>
      <c r="T230" s="225"/>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row>
    <row r="231" spans="1:44" ht="15.75" customHeight="1">
      <c r="A231" s="131"/>
      <c r="B231" s="131"/>
      <c r="C231" s="131"/>
      <c r="D231" s="131"/>
      <c r="E231" s="131"/>
      <c r="F231" s="131"/>
      <c r="G231" s="131"/>
      <c r="H231" s="131"/>
      <c r="I231" s="131"/>
      <c r="J231" s="131"/>
      <c r="K231" s="131"/>
      <c r="L231" s="225"/>
      <c r="M231" s="225"/>
      <c r="N231" s="225"/>
      <c r="O231" s="225"/>
      <c r="P231" s="225"/>
      <c r="Q231" s="225"/>
      <c r="R231" s="225"/>
      <c r="S231" s="225"/>
      <c r="T231" s="225"/>
      <c r="U231" s="225"/>
      <c r="V231" s="225"/>
      <c r="W231" s="225"/>
      <c r="X231" s="225"/>
      <c r="Y231" s="225"/>
      <c r="Z231" s="225"/>
      <c r="AA231" s="225"/>
      <c r="AB231" s="225"/>
      <c r="AC231" s="225"/>
      <c r="AD231" s="225"/>
      <c r="AE231" s="225"/>
      <c r="AF231" s="225"/>
      <c r="AG231" s="225"/>
      <c r="AH231" s="225"/>
      <c r="AI231" s="225"/>
      <c r="AJ231" s="225"/>
      <c r="AK231" s="225"/>
      <c r="AL231" s="225"/>
      <c r="AM231" s="225"/>
      <c r="AN231" s="225"/>
      <c r="AO231" s="225"/>
      <c r="AP231" s="225"/>
      <c r="AQ231" s="225"/>
      <c r="AR231" s="225"/>
    </row>
    <row r="232" spans="1:44" ht="15.75" customHeight="1">
      <c r="A232" s="131"/>
      <c r="B232" s="131"/>
      <c r="C232" s="131"/>
      <c r="D232" s="131"/>
      <c r="E232" s="131"/>
      <c r="F232" s="131"/>
      <c r="G232" s="131"/>
      <c r="H232" s="131"/>
      <c r="I232" s="131"/>
      <c r="J232" s="131"/>
      <c r="K232" s="131"/>
      <c r="L232" s="225"/>
      <c r="M232" s="225"/>
      <c r="N232" s="225"/>
      <c r="O232" s="225"/>
      <c r="P232" s="225"/>
      <c r="Q232" s="225"/>
      <c r="R232" s="225"/>
      <c r="S232" s="225"/>
      <c r="T232" s="225"/>
      <c r="U232" s="225"/>
      <c r="V232" s="225"/>
      <c r="W232" s="225"/>
      <c r="X232" s="225"/>
      <c r="Y232" s="225"/>
      <c r="Z232" s="225"/>
      <c r="AA232" s="225"/>
      <c r="AB232" s="225"/>
      <c r="AC232" s="225"/>
      <c r="AD232" s="225"/>
      <c r="AE232" s="225"/>
      <c r="AF232" s="225"/>
      <c r="AG232" s="225"/>
      <c r="AH232" s="225"/>
      <c r="AI232" s="225"/>
      <c r="AJ232" s="225"/>
      <c r="AK232" s="225"/>
      <c r="AL232" s="225"/>
      <c r="AM232" s="225"/>
      <c r="AN232" s="225"/>
      <c r="AO232" s="225"/>
      <c r="AP232" s="225"/>
      <c r="AQ232" s="225"/>
      <c r="AR232" s="225"/>
    </row>
    <row r="233" spans="1:44" ht="15.75" customHeight="1">
      <c r="A233" s="131"/>
      <c r="B233" s="131"/>
      <c r="C233" s="131"/>
      <c r="D233" s="131"/>
      <c r="E233" s="131"/>
      <c r="F233" s="131"/>
      <c r="G233" s="131"/>
      <c r="H233" s="131"/>
      <c r="I233" s="131"/>
      <c r="J233" s="131"/>
      <c r="K233" s="131"/>
      <c r="L233" s="225"/>
      <c r="M233" s="225"/>
      <c r="N233" s="225"/>
      <c r="O233" s="225"/>
      <c r="P233" s="225"/>
      <c r="Q233" s="225"/>
      <c r="R233" s="225"/>
      <c r="S233" s="225"/>
      <c r="T233" s="225"/>
      <c r="U233" s="225"/>
      <c r="V233" s="225"/>
      <c r="W233" s="225"/>
      <c r="X233" s="225"/>
      <c r="Y233" s="225"/>
      <c r="Z233" s="225"/>
      <c r="AA233" s="225"/>
      <c r="AB233" s="225"/>
      <c r="AC233" s="225"/>
      <c r="AD233" s="225"/>
      <c r="AE233" s="225"/>
      <c r="AF233" s="225"/>
      <c r="AG233" s="225"/>
      <c r="AH233" s="225"/>
      <c r="AI233" s="225"/>
      <c r="AJ233" s="225"/>
      <c r="AK233" s="225"/>
      <c r="AL233" s="225"/>
      <c r="AM233" s="225"/>
      <c r="AN233" s="225"/>
      <c r="AO233" s="225"/>
      <c r="AP233" s="225"/>
      <c r="AQ233" s="225"/>
      <c r="AR233" s="225"/>
    </row>
    <row r="234" spans="1:44" ht="15.75" customHeight="1">
      <c r="A234" s="131"/>
      <c r="B234" s="131"/>
      <c r="C234" s="131"/>
      <c r="D234" s="131"/>
      <c r="E234" s="131"/>
      <c r="F234" s="131"/>
      <c r="G234" s="131"/>
      <c r="H234" s="131"/>
      <c r="I234" s="131"/>
      <c r="J234" s="131"/>
      <c r="K234" s="131"/>
      <c r="L234" s="225"/>
      <c r="M234" s="225"/>
      <c r="N234" s="225"/>
      <c r="O234" s="225"/>
      <c r="P234" s="225"/>
      <c r="Q234" s="225"/>
      <c r="R234" s="225"/>
      <c r="S234" s="225"/>
      <c r="T234" s="225"/>
      <c r="U234" s="225"/>
      <c r="V234" s="225"/>
      <c r="W234" s="225"/>
      <c r="X234" s="225"/>
      <c r="Y234" s="225"/>
      <c r="Z234" s="225"/>
      <c r="AA234" s="225"/>
      <c r="AB234" s="225"/>
      <c r="AC234" s="225"/>
      <c r="AD234" s="225"/>
      <c r="AE234" s="225"/>
      <c r="AF234" s="225"/>
      <c r="AG234" s="225"/>
      <c r="AH234" s="225"/>
      <c r="AI234" s="225"/>
      <c r="AJ234" s="225"/>
      <c r="AK234" s="225"/>
      <c r="AL234" s="225"/>
      <c r="AM234" s="225"/>
      <c r="AN234" s="225"/>
      <c r="AO234" s="225"/>
      <c r="AP234" s="225"/>
      <c r="AQ234" s="225"/>
      <c r="AR234" s="225"/>
    </row>
    <row r="235" spans="1:44" ht="15.75" customHeight="1">
      <c r="A235" s="131"/>
      <c r="B235" s="131"/>
      <c r="C235" s="131"/>
      <c r="D235" s="131"/>
      <c r="E235" s="131"/>
      <c r="F235" s="131"/>
      <c r="G235" s="131"/>
      <c r="H235" s="131"/>
      <c r="I235" s="131"/>
      <c r="J235" s="131"/>
      <c r="K235" s="131"/>
      <c r="L235" s="225"/>
      <c r="M235" s="225"/>
      <c r="N235" s="225"/>
      <c r="O235" s="225"/>
      <c r="P235" s="225"/>
      <c r="Q235" s="225"/>
      <c r="R235" s="225"/>
      <c r="S235" s="225"/>
      <c r="T235" s="225"/>
      <c r="U235" s="225"/>
      <c r="V235" s="225"/>
      <c r="W235" s="225"/>
      <c r="X235" s="225"/>
      <c r="Y235" s="225"/>
      <c r="Z235" s="225"/>
      <c r="AA235" s="225"/>
      <c r="AB235" s="225"/>
      <c r="AC235" s="225"/>
      <c r="AD235" s="225"/>
      <c r="AE235" s="225"/>
      <c r="AF235" s="225"/>
      <c r="AG235" s="225"/>
      <c r="AH235" s="225"/>
      <c r="AI235" s="225"/>
      <c r="AJ235" s="225"/>
      <c r="AK235" s="225"/>
      <c r="AL235" s="225"/>
      <c r="AM235" s="225"/>
      <c r="AN235" s="225"/>
      <c r="AO235" s="225"/>
      <c r="AP235" s="225"/>
      <c r="AQ235" s="225"/>
      <c r="AR235" s="225"/>
    </row>
    <row r="236" spans="1:44" ht="15.75" customHeight="1">
      <c r="A236" s="131"/>
      <c r="B236" s="131"/>
      <c r="C236" s="131"/>
      <c r="D236" s="131"/>
      <c r="E236" s="131"/>
      <c r="F236" s="131"/>
      <c r="G236" s="131"/>
      <c r="H236" s="131"/>
      <c r="I236" s="131"/>
      <c r="J236" s="131"/>
      <c r="K236" s="131"/>
      <c r="L236" s="225"/>
      <c r="M236" s="225"/>
      <c r="N236" s="225"/>
      <c r="O236" s="225"/>
      <c r="P236" s="225"/>
      <c r="Q236" s="225"/>
      <c r="R236" s="225"/>
      <c r="S236" s="225"/>
      <c r="T236" s="225"/>
      <c r="U236" s="225"/>
      <c r="V236" s="225"/>
      <c r="W236" s="225"/>
      <c r="X236" s="225"/>
      <c r="Y236" s="225"/>
      <c r="Z236" s="225"/>
      <c r="AA236" s="225"/>
      <c r="AB236" s="225"/>
      <c r="AC236" s="225"/>
      <c r="AD236" s="225"/>
      <c r="AE236" s="225"/>
      <c r="AF236" s="225"/>
      <c r="AG236" s="225"/>
      <c r="AH236" s="225"/>
      <c r="AI236" s="225"/>
      <c r="AJ236" s="225"/>
      <c r="AK236" s="225"/>
      <c r="AL236" s="225"/>
      <c r="AM236" s="225"/>
      <c r="AN236" s="225"/>
      <c r="AO236" s="225"/>
      <c r="AP236" s="225"/>
      <c r="AQ236" s="225"/>
      <c r="AR236" s="225"/>
    </row>
    <row r="237" spans="1:44" ht="15.75" customHeight="1">
      <c r="A237" s="131"/>
      <c r="B237" s="131"/>
      <c r="C237" s="131"/>
      <c r="D237" s="131"/>
      <c r="E237" s="131"/>
      <c r="F237" s="131"/>
      <c r="G237" s="131"/>
      <c r="H237" s="131"/>
      <c r="I237" s="131"/>
      <c r="J237" s="131"/>
      <c r="K237" s="131"/>
      <c r="L237" s="225"/>
      <c r="M237" s="225"/>
      <c r="N237" s="225"/>
      <c r="O237" s="225"/>
      <c r="P237" s="225"/>
      <c r="Q237" s="225"/>
      <c r="R237" s="225"/>
      <c r="S237" s="225"/>
      <c r="T237" s="225"/>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row>
    <row r="238" spans="1:44" ht="15.75" customHeight="1">
      <c r="A238" s="131"/>
      <c r="B238" s="131"/>
      <c r="C238" s="131"/>
      <c r="D238" s="131"/>
      <c r="E238" s="131"/>
      <c r="F238" s="131"/>
      <c r="G238" s="131"/>
      <c r="H238" s="131"/>
      <c r="I238" s="131"/>
      <c r="J238" s="131"/>
      <c r="K238" s="131"/>
      <c r="L238" s="225"/>
      <c r="M238" s="225"/>
      <c r="N238" s="225"/>
      <c r="O238" s="225"/>
      <c r="P238" s="225"/>
      <c r="Q238" s="225"/>
      <c r="R238" s="225"/>
      <c r="S238" s="225"/>
      <c r="T238" s="225"/>
      <c r="U238" s="225"/>
      <c r="V238" s="225"/>
      <c r="W238" s="225"/>
      <c r="X238" s="225"/>
      <c r="Y238" s="225"/>
      <c r="Z238" s="225"/>
      <c r="AA238" s="225"/>
      <c r="AB238" s="225"/>
      <c r="AC238" s="225"/>
      <c r="AD238" s="225"/>
      <c r="AE238" s="225"/>
      <c r="AF238" s="225"/>
      <c r="AG238" s="225"/>
      <c r="AH238" s="225"/>
      <c r="AI238" s="225"/>
      <c r="AJ238" s="225"/>
      <c r="AK238" s="225"/>
      <c r="AL238" s="225"/>
      <c r="AM238" s="225"/>
      <c r="AN238" s="225"/>
      <c r="AO238" s="225"/>
      <c r="AP238" s="225"/>
      <c r="AQ238" s="225"/>
      <c r="AR238" s="225"/>
    </row>
    <row r="239" spans="1:44" ht="15.75" customHeight="1">
      <c r="A239" s="131"/>
      <c r="B239" s="131"/>
      <c r="C239" s="131"/>
      <c r="D239" s="131"/>
      <c r="E239" s="131"/>
      <c r="F239" s="131"/>
      <c r="G239" s="131"/>
      <c r="H239" s="131"/>
      <c r="I239" s="131"/>
      <c r="J239" s="131"/>
      <c r="K239" s="131"/>
      <c r="L239" s="225"/>
      <c r="M239" s="225"/>
      <c r="N239" s="225"/>
      <c r="O239" s="225"/>
      <c r="P239" s="225"/>
      <c r="Q239" s="225"/>
      <c r="R239" s="225"/>
      <c r="S239" s="225"/>
      <c r="T239" s="225"/>
      <c r="U239" s="225"/>
      <c r="V239" s="225"/>
      <c r="W239" s="225"/>
      <c r="X239" s="225"/>
      <c r="Y239" s="225"/>
      <c r="Z239" s="225"/>
      <c r="AA239" s="225"/>
      <c r="AB239" s="225"/>
      <c r="AC239" s="225"/>
      <c r="AD239" s="225"/>
      <c r="AE239" s="225"/>
      <c r="AF239" s="225"/>
      <c r="AG239" s="225"/>
      <c r="AH239" s="225"/>
      <c r="AI239" s="225"/>
      <c r="AJ239" s="225"/>
      <c r="AK239" s="225"/>
      <c r="AL239" s="225"/>
      <c r="AM239" s="225"/>
      <c r="AN239" s="225"/>
      <c r="AO239" s="225"/>
      <c r="AP239" s="225"/>
      <c r="AQ239" s="225"/>
      <c r="AR239" s="225"/>
    </row>
    <row r="240" spans="1:44" ht="15.75" customHeight="1">
      <c r="A240" s="131"/>
      <c r="B240" s="131"/>
      <c r="C240" s="131"/>
      <c r="D240" s="131"/>
      <c r="E240" s="131"/>
      <c r="F240" s="131"/>
      <c r="G240" s="131"/>
      <c r="H240" s="131"/>
      <c r="I240" s="131"/>
      <c r="J240" s="131"/>
      <c r="K240" s="131"/>
      <c r="L240" s="225"/>
      <c r="M240" s="225"/>
      <c r="N240" s="225"/>
      <c r="O240" s="225"/>
      <c r="P240" s="225"/>
      <c r="Q240" s="225"/>
      <c r="R240" s="225"/>
      <c r="S240" s="225"/>
      <c r="T240" s="225"/>
      <c r="U240" s="225"/>
      <c r="V240" s="225"/>
      <c r="W240" s="225"/>
      <c r="X240" s="225"/>
      <c r="Y240" s="225"/>
      <c r="Z240" s="225"/>
      <c r="AA240" s="225"/>
      <c r="AB240" s="225"/>
      <c r="AC240" s="225"/>
      <c r="AD240" s="225"/>
      <c r="AE240" s="225"/>
      <c r="AF240" s="225"/>
      <c r="AG240" s="225"/>
      <c r="AH240" s="225"/>
      <c r="AI240" s="225"/>
      <c r="AJ240" s="225"/>
      <c r="AK240" s="225"/>
      <c r="AL240" s="225"/>
      <c r="AM240" s="225"/>
      <c r="AN240" s="225"/>
      <c r="AO240" s="225"/>
      <c r="AP240" s="225"/>
      <c r="AQ240" s="225"/>
      <c r="AR240" s="225"/>
    </row>
    <row r="241" spans="1:44" ht="15.75" customHeight="1">
      <c r="A241" s="131"/>
      <c r="B241" s="131"/>
      <c r="C241" s="131"/>
      <c r="D241" s="131"/>
      <c r="E241" s="131"/>
      <c r="F241" s="131"/>
      <c r="G241" s="131"/>
      <c r="H241" s="131"/>
      <c r="I241" s="131"/>
      <c r="J241" s="131"/>
      <c r="K241" s="131"/>
      <c r="L241" s="225"/>
      <c r="M241" s="225"/>
      <c r="N241" s="225"/>
      <c r="O241" s="225"/>
      <c r="P241" s="225"/>
      <c r="Q241" s="225"/>
      <c r="R241" s="225"/>
      <c r="S241" s="225"/>
      <c r="T241" s="225"/>
      <c r="U241" s="225"/>
      <c r="V241" s="225"/>
      <c r="W241" s="225"/>
      <c r="X241" s="225"/>
      <c r="Y241" s="225"/>
      <c r="Z241" s="225"/>
      <c r="AA241" s="225"/>
      <c r="AB241" s="225"/>
      <c r="AC241" s="225"/>
      <c r="AD241" s="225"/>
      <c r="AE241" s="225"/>
      <c r="AF241" s="225"/>
      <c r="AG241" s="225"/>
      <c r="AH241" s="225"/>
      <c r="AI241" s="225"/>
      <c r="AJ241" s="225"/>
      <c r="AK241" s="225"/>
      <c r="AL241" s="225"/>
      <c r="AM241" s="225"/>
      <c r="AN241" s="225"/>
      <c r="AO241" s="225"/>
      <c r="AP241" s="225"/>
      <c r="AQ241" s="225"/>
      <c r="AR241" s="225"/>
    </row>
    <row r="242" spans="1:44" ht="15.75" customHeight="1">
      <c r="A242" s="131"/>
      <c r="B242" s="131"/>
      <c r="C242" s="131"/>
      <c r="D242" s="131"/>
      <c r="E242" s="131"/>
      <c r="F242" s="131"/>
      <c r="G242" s="131"/>
      <c r="H242" s="131"/>
      <c r="I242" s="131"/>
      <c r="J242" s="131"/>
      <c r="K242" s="131"/>
      <c r="L242" s="225"/>
      <c r="M242" s="225"/>
      <c r="N242" s="225"/>
      <c r="O242" s="225"/>
      <c r="P242" s="225"/>
      <c r="Q242" s="225"/>
      <c r="R242" s="225"/>
      <c r="S242" s="225"/>
      <c r="T242" s="225"/>
      <c r="U242" s="225"/>
      <c r="V242" s="225"/>
      <c r="W242" s="225"/>
      <c r="X242" s="225"/>
      <c r="Y242" s="225"/>
      <c r="Z242" s="225"/>
      <c r="AA242" s="225"/>
      <c r="AB242" s="225"/>
      <c r="AC242" s="225"/>
      <c r="AD242" s="225"/>
      <c r="AE242" s="225"/>
      <c r="AF242" s="225"/>
      <c r="AG242" s="225"/>
      <c r="AH242" s="225"/>
      <c r="AI242" s="225"/>
      <c r="AJ242" s="225"/>
      <c r="AK242" s="225"/>
      <c r="AL242" s="225"/>
      <c r="AM242" s="225"/>
      <c r="AN242" s="225"/>
      <c r="AO242" s="225"/>
      <c r="AP242" s="225"/>
      <c r="AQ242" s="225"/>
      <c r="AR242" s="225"/>
    </row>
    <row r="243" spans="1:44" ht="15.75" customHeight="1">
      <c r="A243" s="131"/>
      <c r="B243" s="131"/>
      <c r="C243" s="131"/>
      <c r="D243" s="131"/>
      <c r="E243" s="131"/>
      <c r="F243" s="131"/>
      <c r="G243" s="131"/>
      <c r="H243" s="131"/>
      <c r="I243" s="131"/>
      <c r="J243" s="131"/>
      <c r="K243" s="131"/>
      <c r="L243" s="225"/>
      <c r="M243" s="225"/>
      <c r="N243" s="225"/>
      <c r="O243" s="225"/>
      <c r="P243" s="225"/>
      <c r="Q243" s="225"/>
      <c r="R243" s="225"/>
      <c r="S243" s="225"/>
      <c r="T243" s="225"/>
      <c r="U243" s="225"/>
      <c r="V243" s="225"/>
      <c r="W243" s="225"/>
      <c r="X243" s="225"/>
      <c r="Y243" s="225"/>
      <c r="Z243" s="225"/>
      <c r="AA243" s="225"/>
      <c r="AB243" s="225"/>
      <c r="AC243" s="225"/>
      <c r="AD243" s="225"/>
      <c r="AE243" s="225"/>
      <c r="AF243" s="225"/>
      <c r="AG243" s="225"/>
      <c r="AH243" s="225"/>
      <c r="AI243" s="225"/>
      <c r="AJ243" s="225"/>
      <c r="AK243" s="225"/>
      <c r="AL243" s="225"/>
      <c r="AM243" s="225"/>
      <c r="AN243" s="225"/>
      <c r="AO243" s="225"/>
      <c r="AP243" s="225"/>
      <c r="AQ243" s="225"/>
      <c r="AR243" s="225"/>
    </row>
    <row r="244" spans="1:44" ht="15.75" customHeight="1">
      <c r="A244" s="131"/>
      <c r="B244" s="131"/>
      <c r="C244" s="131"/>
      <c r="D244" s="131"/>
      <c r="E244" s="131"/>
      <c r="F244" s="131"/>
      <c r="G244" s="131"/>
      <c r="H244" s="131"/>
      <c r="I244" s="131"/>
      <c r="J244" s="131"/>
      <c r="K244" s="131"/>
      <c r="L244" s="225"/>
      <c r="M244" s="225"/>
      <c r="N244" s="225"/>
      <c r="O244" s="225"/>
      <c r="P244" s="225"/>
      <c r="Q244" s="225"/>
      <c r="R244" s="225"/>
      <c r="S244" s="225"/>
      <c r="T244" s="225"/>
      <c r="U244" s="225"/>
      <c r="V244" s="225"/>
      <c r="W244" s="225"/>
      <c r="X244" s="225"/>
      <c r="Y244" s="225"/>
      <c r="Z244" s="225"/>
      <c r="AA244" s="225"/>
      <c r="AB244" s="225"/>
      <c r="AC244" s="225"/>
      <c r="AD244" s="225"/>
      <c r="AE244" s="225"/>
      <c r="AF244" s="225"/>
      <c r="AG244" s="225"/>
      <c r="AH244" s="225"/>
      <c r="AI244" s="225"/>
      <c r="AJ244" s="225"/>
      <c r="AK244" s="225"/>
      <c r="AL244" s="225"/>
      <c r="AM244" s="225"/>
      <c r="AN244" s="225"/>
      <c r="AO244" s="225"/>
      <c r="AP244" s="225"/>
      <c r="AQ244" s="225"/>
      <c r="AR244" s="225"/>
    </row>
    <row r="245" spans="1:44" ht="15.75" customHeight="1">
      <c r="A245" s="131"/>
      <c r="B245" s="131"/>
      <c r="C245" s="131"/>
      <c r="D245" s="131"/>
      <c r="E245" s="131"/>
      <c r="F245" s="131"/>
      <c r="G245" s="131"/>
      <c r="H245" s="131"/>
      <c r="I245" s="131"/>
      <c r="J245" s="131"/>
      <c r="K245" s="131"/>
      <c r="L245" s="225"/>
      <c r="M245" s="225"/>
      <c r="N245" s="225"/>
      <c r="O245" s="225"/>
      <c r="P245" s="225"/>
      <c r="Q245" s="225"/>
      <c r="R245" s="225"/>
      <c r="S245" s="225"/>
      <c r="T245" s="225"/>
      <c r="U245" s="225"/>
      <c r="V245" s="225"/>
      <c r="W245" s="225"/>
      <c r="X245" s="225"/>
      <c r="Y245" s="225"/>
      <c r="Z245" s="225"/>
      <c r="AA245" s="225"/>
      <c r="AB245" s="225"/>
      <c r="AC245" s="225"/>
      <c r="AD245" s="225"/>
      <c r="AE245" s="225"/>
      <c r="AF245" s="225"/>
      <c r="AG245" s="225"/>
      <c r="AH245" s="225"/>
      <c r="AI245" s="225"/>
      <c r="AJ245" s="225"/>
      <c r="AK245" s="225"/>
      <c r="AL245" s="225"/>
      <c r="AM245" s="225"/>
      <c r="AN245" s="225"/>
      <c r="AO245" s="225"/>
      <c r="AP245" s="225"/>
      <c r="AQ245" s="225"/>
      <c r="AR245" s="225"/>
    </row>
    <row r="246" spans="1:44" ht="15.75" customHeight="1">
      <c r="A246" s="131"/>
      <c r="B246" s="131"/>
      <c r="C246" s="131"/>
      <c r="D246" s="131"/>
      <c r="E246" s="131"/>
      <c r="F246" s="131"/>
      <c r="G246" s="131"/>
      <c r="H246" s="131"/>
      <c r="I246" s="131"/>
      <c r="J246" s="131"/>
      <c r="K246" s="131"/>
      <c r="L246" s="225"/>
      <c r="M246" s="225"/>
      <c r="N246" s="225"/>
      <c r="O246" s="225"/>
      <c r="P246" s="225"/>
      <c r="Q246" s="225"/>
      <c r="R246" s="225"/>
      <c r="S246" s="225"/>
      <c r="T246" s="225"/>
      <c r="U246" s="225"/>
      <c r="V246" s="225"/>
      <c r="W246" s="225"/>
      <c r="X246" s="225"/>
      <c r="Y246" s="225"/>
      <c r="Z246" s="225"/>
      <c r="AA246" s="225"/>
      <c r="AB246" s="225"/>
      <c r="AC246" s="225"/>
      <c r="AD246" s="225"/>
      <c r="AE246" s="225"/>
      <c r="AF246" s="225"/>
      <c r="AG246" s="225"/>
      <c r="AH246" s="225"/>
      <c r="AI246" s="225"/>
      <c r="AJ246" s="225"/>
      <c r="AK246" s="225"/>
      <c r="AL246" s="225"/>
      <c r="AM246" s="225"/>
      <c r="AN246" s="225"/>
      <c r="AO246" s="225"/>
      <c r="AP246" s="225"/>
      <c r="AQ246" s="225"/>
      <c r="AR246" s="225"/>
    </row>
    <row r="247" spans="1:44" ht="15.75" customHeight="1">
      <c r="A247" s="131"/>
      <c r="B247" s="131"/>
      <c r="C247" s="131"/>
      <c r="D247" s="131"/>
      <c r="E247" s="131"/>
      <c r="F247" s="131"/>
      <c r="G247" s="131"/>
      <c r="H247" s="131"/>
      <c r="I247" s="131"/>
      <c r="J247" s="131"/>
      <c r="K247" s="131"/>
      <c r="L247" s="225"/>
      <c r="M247" s="225"/>
      <c r="N247" s="225"/>
      <c r="O247" s="225"/>
      <c r="P247" s="225"/>
      <c r="Q247" s="225"/>
      <c r="R247" s="225"/>
      <c r="S247" s="225"/>
      <c r="T247" s="225"/>
      <c r="U247" s="225"/>
      <c r="V247" s="225"/>
      <c r="W247" s="225"/>
      <c r="X247" s="225"/>
      <c r="Y247" s="225"/>
      <c r="Z247" s="225"/>
      <c r="AA247" s="225"/>
      <c r="AB247" s="225"/>
      <c r="AC247" s="225"/>
      <c r="AD247" s="225"/>
      <c r="AE247" s="225"/>
      <c r="AF247" s="225"/>
      <c r="AG247" s="225"/>
      <c r="AH247" s="225"/>
      <c r="AI247" s="225"/>
      <c r="AJ247" s="225"/>
      <c r="AK247" s="225"/>
      <c r="AL247" s="225"/>
      <c r="AM247" s="225"/>
      <c r="AN247" s="225"/>
      <c r="AO247" s="225"/>
      <c r="AP247" s="225"/>
      <c r="AQ247" s="225"/>
      <c r="AR247" s="225"/>
    </row>
    <row r="248" spans="1:44" ht="15.75" customHeight="1">
      <c r="A248" s="131"/>
      <c r="B248" s="131"/>
      <c r="C248" s="131"/>
      <c r="D248" s="131"/>
      <c r="E248" s="131"/>
      <c r="F248" s="131"/>
      <c r="G248" s="131"/>
      <c r="H248" s="131"/>
      <c r="I248" s="131"/>
      <c r="J248" s="131"/>
      <c r="K248" s="131"/>
      <c r="L248" s="225"/>
      <c r="M248" s="225"/>
      <c r="N248" s="225"/>
      <c r="O248" s="225"/>
      <c r="P248" s="225"/>
      <c r="Q248" s="225"/>
      <c r="R248" s="225"/>
      <c r="S248" s="225"/>
      <c r="T248" s="225"/>
      <c r="U248" s="225"/>
      <c r="V248" s="225"/>
      <c r="W248" s="225"/>
      <c r="X248" s="225"/>
      <c r="Y248" s="225"/>
      <c r="Z248" s="225"/>
      <c r="AA248" s="225"/>
      <c r="AB248" s="225"/>
      <c r="AC248" s="225"/>
      <c r="AD248" s="225"/>
      <c r="AE248" s="225"/>
      <c r="AF248" s="225"/>
      <c r="AG248" s="225"/>
      <c r="AH248" s="225"/>
      <c r="AI248" s="225"/>
      <c r="AJ248" s="225"/>
      <c r="AK248" s="225"/>
      <c r="AL248" s="225"/>
      <c r="AM248" s="225"/>
      <c r="AN248" s="225"/>
      <c r="AO248" s="225"/>
      <c r="AP248" s="225"/>
      <c r="AQ248" s="225"/>
      <c r="AR248" s="225"/>
    </row>
    <row r="249" spans="1:44" ht="15.75" customHeight="1">
      <c r="A249" s="131"/>
      <c r="B249" s="131"/>
      <c r="C249" s="131"/>
      <c r="D249" s="131"/>
      <c r="E249" s="131"/>
      <c r="F249" s="131"/>
      <c r="G249" s="131"/>
      <c r="H249" s="131"/>
      <c r="I249" s="131"/>
      <c r="J249" s="131"/>
      <c r="K249" s="131"/>
      <c r="L249" s="225"/>
      <c r="M249" s="225"/>
      <c r="N249" s="225"/>
      <c r="O249" s="225"/>
      <c r="P249" s="225"/>
      <c r="Q249" s="225"/>
      <c r="R249" s="225"/>
      <c r="S249" s="225"/>
      <c r="T249" s="225"/>
      <c r="U249" s="225"/>
      <c r="V249" s="225"/>
      <c r="W249" s="225"/>
      <c r="X249" s="225"/>
      <c r="Y249" s="225"/>
      <c r="Z249" s="225"/>
      <c r="AA249" s="225"/>
      <c r="AB249" s="225"/>
      <c r="AC249" s="225"/>
      <c r="AD249" s="225"/>
      <c r="AE249" s="225"/>
      <c r="AF249" s="225"/>
      <c r="AG249" s="225"/>
      <c r="AH249" s="225"/>
      <c r="AI249" s="225"/>
      <c r="AJ249" s="225"/>
      <c r="AK249" s="225"/>
      <c r="AL249" s="225"/>
      <c r="AM249" s="225"/>
      <c r="AN249" s="225"/>
      <c r="AO249" s="225"/>
      <c r="AP249" s="225"/>
      <c r="AQ249" s="225"/>
      <c r="AR249" s="225"/>
    </row>
    <row r="250" spans="1:44" ht="15.75" customHeight="1">
      <c r="A250" s="131"/>
      <c r="B250" s="131"/>
      <c r="C250" s="131"/>
      <c r="D250" s="131"/>
      <c r="E250" s="131"/>
      <c r="F250" s="131"/>
      <c r="G250" s="131"/>
      <c r="H250" s="131"/>
      <c r="I250" s="131"/>
      <c r="J250" s="131"/>
      <c r="K250" s="131"/>
      <c r="L250" s="225"/>
      <c r="M250" s="225"/>
      <c r="N250" s="225"/>
      <c r="O250" s="225"/>
      <c r="P250" s="225"/>
      <c r="Q250" s="225"/>
      <c r="R250" s="225"/>
      <c r="S250" s="225"/>
      <c r="T250" s="225"/>
      <c r="U250" s="225"/>
      <c r="V250" s="225"/>
      <c r="W250" s="225"/>
      <c r="X250" s="225"/>
      <c r="Y250" s="225"/>
      <c r="Z250" s="225"/>
      <c r="AA250" s="225"/>
      <c r="AB250" s="225"/>
      <c r="AC250" s="225"/>
      <c r="AD250" s="225"/>
      <c r="AE250" s="225"/>
      <c r="AF250" s="225"/>
      <c r="AG250" s="225"/>
      <c r="AH250" s="225"/>
      <c r="AI250" s="225"/>
      <c r="AJ250" s="225"/>
      <c r="AK250" s="225"/>
      <c r="AL250" s="225"/>
      <c r="AM250" s="225"/>
      <c r="AN250" s="225"/>
      <c r="AO250" s="225"/>
      <c r="AP250" s="225"/>
      <c r="AQ250" s="225"/>
      <c r="AR250" s="225"/>
    </row>
    <row r="251" spans="1:44" ht="15.75" customHeight="1">
      <c r="A251" s="131"/>
      <c r="B251" s="131"/>
      <c r="C251" s="131"/>
      <c r="D251" s="131"/>
      <c r="E251" s="131"/>
      <c r="F251" s="131"/>
      <c r="G251" s="131"/>
      <c r="H251" s="131"/>
      <c r="I251" s="131"/>
      <c r="J251" s="131"/>
      <c r="K251" s="131"/>
      <c r="L251" s="225"/>
      <c r="M251" s="225"/>
      <c r="N251" s="225"/>
      <c r="O251" s="225"/>
      <c r="P251" s="225"/>
      <c r="Q251" s="225"/>
      <c r="R251" s="225"/>
      <c r="S251" s="225"/>
      <c r="T251" s="225"/>
      <c r="U251" s="225"/>
      <c r="V251" s="225"/>
      <c r="W251" s="225"/>
      <c r="X251" s="225"/>
      <c r="Y251" s="225"/>
      <c r="Z251" s="225"/>
      <c r="AA251" s="225"/>
      <c r="AB251" s="225"/>
      <c r="AC251" s="225"/>
      <c r="AD251" s="225"/>
      <c r="AE251" s="225"/>
      <c r="AF251" s="225"/>
      <c r="AG251" s="225"/>
      <c r="AH251" s="225"/>
      <c r="AI251" s="225"/>
      <c r="AJ251" s="225"/>
      <c r="AK251" s="225"/>
      <c r="AL251" s="225"/>
      <c r="AM251" s="225"/>
      <c r="AN251" s="225"/>
      <c r="AO251" s="225"/>
      <c r="AP251" s="225"/>
      <c r="AQ251" s="225"/>
      <c r="AR251" s="225"/>
    </row>
    <row r="252" spans="1:44" ht="15.75" customHeight="1">
      <c r="A252" s="131"/>
      <c r="B252" s="131"/>
      <c r="C252" s="131"/>
      <c r="D252" s="131"/>
      <c r="E252" s="131"/>
      <c r="F252" s="131"/>
      <c r="G252" s="131"/>
      <c r="H252" s="131"/>
      <c r="I252" s="131"/>
      <c r="J252" s="131"/>
      <c r="K252" s="131"/>
      <c r="L252" s="225"/>
      <c r="M252" s="225"/>
      <c r="N252" s="225"/>
      <c r="O252" s="225"/>
      <c r="P252" s="225"/>
      <c r="Q252" s="225"/>
      <c r="R252" s="225"/>
      <c r="S252" s="225"/>
      <c r="T252" s="225"/>
      <c r="U252" s="225"/>
      <c r="V252" s="225"/>
      <c r="W252" s="225"/>
      <c r="X252" s="225"/>
      <c r="Y252" s="225"/>
      <c r="Z252" s="225"/>
      <c r="AA252" s="225"/>
      <c r="AB252" s="225"/>
      <c r="AC252" s="225"/>
      <c r="AD252" s="225"/>
      <c r="AE252" s="225"/>
      <c r="AF252" s="225"/>
      <c r="AG252" s="225"/>
      <c r="AH252" s="225"/>
      <c r="AI252" s="225"/>
      <c r="AJ252" s="225"/>
      <c r="AK252" s="225"/>
      <c r="AL252" s="225"/>
      <c r="AM252" s="225"/>
      <c r="AN252" s="225"/>
      <c r="AO252" s="225"/>
      <c r="AP252" s="225"/>
      <c r="AQ252" s="225"/>
      <c r="AR252" s="225"/>
    </row>
    <row r="253" spans="1:44" ht="15.75" customHeight="1">
      <c r="A253" s="131"/>
      <c r="B253" s="131"/>
      <c r="C253" s="131"/>
      <c r="D253" s="131"/>
      <c r="E253" s="131"/>
      <c r="F253" s="131"/>
      <c r="G253" s="131"/>
      <c r="H253" s="131"/>
      <c r="I253" s="131"/>
      <c r="J253" s="131"/>
      <c r="K253" s="131"/>
      <c r="L253" s="225"/>
      <c r="M253" s="225"/>
      <c r="N253" s="225"/>
      <c r="O253" s="225"/>
      <c r="P253" s="225"/>
      <c r="Q253" s="225"/>
      <c r="R253" s="225"/>
      <c r="S253" s="225"/>
      <c r="T253" s="225"/>
      <c r="U253" s="225"/>
      <c r="V253" s="225"/>
      <c r="W253" s="225"/>
      <c r="X253" s="225"/>
      <c r="Y253" s="225"/>
      <c r="Z253" s="225"/>
      <c r="AA253" s="225"/>
      <c r="AB253" s="225"/>
      <c r="AC253" s="225"/>
      <c r="AD253" s="225"/>
      <c r="AE253" s="225"/>
      <c r="AF253" s="225"/>
      <c r="AG253" s="225"/>
      <c r="AH253" s="225"/>
      <c r="AI253" s="225"/>
      <c r="AJ253" s="225"/>
      <c r="AK253" s="225"/>
      <c r="AL253" s="225"/>
      <c r="AM253" s="225"/>
      <c r="AN253" s="225"/>
      <c r="AO253" s="225"/>
      <c r="AP253" s="225"/>
      <c r="AQ253" s="225"/>
      <c r="AR253" s="225"/>
    </row>
    <row r="254" spans="1:44" ht="15.75" customHeight="1">
      <c r="A254" s="131"/>
      <c r="B254" s="131"/>
      <c r="C254" s="131"/>
      <c r="D254" s="131"/>
      <c r="E254" s="131"/>
      <c r="F254" s="131"/>
      <c r="G254" s="131"/>
      <c r="H254" s="131"/>
      <c r="I254" s="131"/>
      <c r="J254" s="131"/>
      <c r="K254" s="131"/>
      <c r="L254" s="225"/>
      <c r="M254" s="225"/>
      <c r="N254" s="225"/>
      <c r="O254" s="225"/>
      <c r="P254" s="225"/>
      <c r="Q254" s="225"/>
      <c r="R254" s="225"/>
      <c r="S254" s="225"/>
      <c r="T254" s="225"/>
      <c r="U254" s="225"/>
      <c r="V254" s="225"/>
      <c r="W254" s="225"/>
      <c r="X254" s="225"/>
      <c r="Y254" s="225"/>
      <c r="Z254" s="225"/>
      <c r="AA254" s="225"/>
      <c r="AB254" s="225"/>
      <c r="AC254" s="225"/>
      <c r="AD254" s="225"/>
      <c r="AE254" s="225"/>
      <c r="AF254" s="225"/>
      <c r="AG254" s="225"/>
      <c r="AH254" s="225"/>
      <c r="AI254" s="225"/>
      <c r="AJ254" s="225"/>
      <c r="AK254" s="225"/>
      <c r="AL254" s="225"/>
      <c r="AM254" s="225"/>
      <c r="AN254" s="225"/>
      <c r="AO254" s="225"/>
      <c r="AP254" s="225"/>
      <c r="AQ254" s="225"/>
      <c r="AR254" s="225"/>
    </row>
    <row r="255" spans="1:44" ht="15.75" customHeight="1">
      <c r="A255" s="131"/>
      <c r="B255" s="131"/>
      <c r="C255" s="131"/>
      <c r="D255" s="131"/>
      <c r="E255" s="131"/>
      <c r="F255" s="131"/>
      <c r="G255" s="131"/>
      <c r="H255" s="131"/>
      <c r="I255" s="131"/>
      <c r="J255" s="131"/>
      <c r="K255" s="131"/>
      <c r="L255" s="225"/>
      <c r="M255" s="225"/>
      <c r="N255" s="225"/>
      <c r="O255" s="225"/>
      <c r="P255" s="225"/>
      <c r="Q255" s="225"/>
      <c r="R255" s="225"/>
      <c r="S255" s="225"/>
      <c r="T255" s="225"/>
      <c r="U255" s="225"/>
      <c r="V255" s="225"/>
      <c r="W255" s="225"/>
      <c r="X255" s="225"/>
      <c r="Y255" s="225"/>
      <c r="Z255" s="225"/>
      <c r="AA255" s="225"/>
      <c r="AB255" s="225"/>
      <c r="AC255" s="225"/>
      <c r="AD255" s="225"/>
      <c r="AE255" s="225"/>
      <c r="AF255" s="225"/>
      <c r="AG255" s="225"/>
      <c r="AH255" s="225"/>
      <c r="AI255" s="225"/>
      <c r="AJ255" s="225"/>
      <c r="AK255" s="225"/>
      <c r="AL255" s="225"/>
      <c r="AM255" s="225"/>
      <c r="AN255" s="225"/>
      <c r="AO255" s="225"/>
      <c r="AP255" s="225"/>
      <c r="AQ255" s="225"/>
      <c r="AR255" s="225"/>
    </row>
    <row r="256" spans="1:44" ht="15.75" customHeight="1">
      <c r="A256" s="131"/>
      <c r="B256" s="131"/>
      <c r="C256" s="131"/>
      <c r="D256" s="131"/>
      <c r="E256" s="131"/>
      <c r="F256" s="131"/>
      <c r="G256" s="131"/>
      <c r="H256" s="131"/>
      <c r="I256" s="131"/>
      <c r="J256" s="131"/>
      <c r="K256" s="131"/>
      <c r="L256" s="225"/>
      <c r="M256" s="225"/>
      <c r="N256" s="225"/>
      <c r="O256" s="225"/>
      <c r="P256" s="225"/>
      <c r="Q256" s="225"/>
      <c r="R256" s="225"/>
      <c r="S256" s="225"/>
      <c r="T256" s="225"/>
      <c r="U256" s="225"/>
      <c r="V256" s="225"/>
      <c r="W256" s="225"/>
      <c r="X256" s="225"/>
      <c r="Y256" s="225"/>
      <c r="Z256" s="225"/>
      <c r="AA256" s="225"/>
      <c r="AB256" s="225"/>
      <c r="AC256" s="225"/>
      <c r="AD256" s="225"/>
      <c r="AE256" s="225"/>
      <c r="AF256" s="225"/>
      <c r="AG256" s="225"/>
      <c r="AH256" s="225"/>
      <c r="AI256" s="225"/>
      <c r="AJ256" s="225"/>
      <c r="AK256" s="225"/>
      <c r="AL256" s="225"/>
      <c r="AM256" s="225"/>
      <c r="AN256" s="225"/>
      <c r="AO256" s="225"/>
      <c r="AP256" s="225"/>
      <c r="AQ256" s="225"/>
      <c r="AR256" s="225"/>
    </row>
    <row r="257" spans="1:44" ht="15.75" customHeight="1">
      <c r="A257" s="131"/>
      <c r="B257" s="131"/>
      <c r="C257" s="131"/>
      <c r="D257" s="131"/>
      <c r="E257" s="131"/>
      <c r="F257" s="131"/>
      <c r="G257" s="131"/>
      <c r="H257" s="131"/>
      <c r="I257" s="131"/>
      <c r="J257" s="131"/>
      <c r="K257" s="131"/>
      <c r="L257" s="225"/>
      <c r="M257" s="225"/>
      <c r="N257" s="225"/>
      <c r="O257" s="225"/>
      <c r="P257" s="225"/>
      <c r="Q257" s="225"/>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row>
    <row r="258" spans="1:44" ht="15.75" customHeight="1">
      <c r="A258" s="131"/>
      <c r="B258" s="131"/>
      <c r="C258" s="131"/>
      <c r="D258" s="131"/>
      <c r="E258" s="131"/>
      <c r="F258" s="131"/>
      <c r="G258" s="131"/>
      <c r="H258" s="131"/>
      <c r="I258" s="131"/>
      <c r="J258" s="131"/>
      <c r="K258" s="131"/>
      <c r="L258" s="225"/>
      <c r="M258" s="225"/>
      <c r="N258" s="225"/>
      <c r="O258" s="225"/>
      <c r="P258" s="225"/>
      <c r="Q258" s="225"/>
      <c r="R258" s="225"/>
      <c r="S258" s="225"/>
      <c r="T258" s="225"/>
      <c r="U258" s="225"/>
      <c r="V258" s="225"/>
      <c r="W258" s="225"/>
      <c r="X258" s="225"/>
      <c r="Y258" s="225"/>
      <c r="Z258" s="225"/>
      <c r="AA258" s="225"/>
      <c r="AB258" s="225"/>
      <c r="AC258" s="225"/>
      <c r="AD258" s="225"/>
      <c r="AE258" s="225"/>
      <c r="AF258" s="225"/>
      <c r="AG258" s="225"/>
      <c r="AH258" s="225"/>
      <c r="AI258" s="225"/>
      <c r="AJ258" s="225"/>
      <c r="AK258" s="225"/>
      <c r="AL258" s="225"/>
      <c r="AM258" s="225"/>
      <c r="AN258" s="225"/>
      <c r="AO258" s="225"/>
      <c r="AP258" s="225"/>
      <c r="AQ258" s="225"/>
      <c r="AR258" s="225"/>
    </row>
    <row r="259" spans="1:44" ht="15.75" customHeight="1">
      <c r="A259" s="131"/>
      <c r="B259" s="131"/>
      <c r="C259" s="131"/>
      <c r="D259" s="131"/>
      <c r="E259" s="131"/>
      <c r="F259" s="131"/>
      <c r="G259" s="131"/>
      <c r="H259" s="131"/>
      <c r="I259" s="131"/>
      <c r="J259" s="131"/>
      <c r="K259" s="131"/>
      <c r="L259" s="225"/>
      <c r="M259" s="225"/>
      <c r="N259" s="225"/>
      <c r="O259" s="225"/>
      <c r="P259" s="225"/>
      <c r="Q259" s="225"/>
      <c r="R259" s="225"/>
      <c r="S259" s="225"/>
      <c r="T259" s="225"/>
      <c r="U259" s="225"/>
      <c r="V259" s="225"/>
      <c r="W259" s="225"/>
      <c r="X259" s="225"/>
      <c r="Y259" s="225"/>
      <c r="Z259" s="225"/>
      <c r="AA259" s="225"/>
      <c r="AB259" s="225"/>
      <c r="AC259" s="225"/>
      <c r="AD259" s="225"/>
      <c r="AE259" s="225"/>
      <c r="AF259" s="225"/>
      <c r="AG259" s="225"/>
      <c r="AH259" s="225"/>
      <c r="AI259" s="225"/>
      <c r="AJ259" s="225"/>
      <c r="AK259" s="225"/>
      <c r="AL259" s="225"/>
      <c r="AM259" s="225"/>
      <c r="AN259" s="225"/>
      <c r="AO259" s="225"/>
      <c r="AP259" s="225"/>
      <c r="AQ259" s="225"/>
      <c r="AR259" s="225"/>
    </row>
    <row r="260" spans="1:44" ht="15.75" customHeight="1">
      <c r="A260" s="131"/>
      <c r="B260" s="131"/>
      <c r="C260" s="131"/>
      <c r="D260" s="131"/>
      <c r="E260" s="131"/>
      <c r="F260" s="131"/>
      <c r="G260" s="131"/>
      <c r="H260" s="131"/>
      <c r="I260" s="131"/>
      <c r="J260" s="131"/>
      <c r="K260" s="131"/>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row>
    <row r="261" spans="1:44" ht="15.75" customHeight="1">
      <c r="A261" s="131"/>
      <c r="B261" s="131"/>
      <c r="C261" s="131"/>
      <c r="D261" s="131"/>
      <c r="E261" s="131"/>
      <c r="F261" s="131"/>
      <c r="G261" s="131"/>
      <c r="H261" s="131"/>
      <c r="I261" s="131"/>
      <c r="J261" s="131"/>
      <c r="K261" s="131"/>
      <c r="L261" s="225"/>
      <c r="M261" s="225"/>
      <c r="N261" s="225"/>
      <c r="O261" s="225"/>
      <c r="P261" s="225"/>
      <c r="Q261" s="225"/>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row>
    <row r="262" spans="1:44" ht="15.75" customHeight="1">
      <c r="A262" s="131"/>
      <c r="B262" s="131"/>
      <c r="C262" s="131"/>
      <c r="D262" s="131"/>
      <c r="E262" s="131"/>
      <c r="F262" s="131"/>
      <c r="G262" s="131"/>
      <c r="H262" s="131"/>
      <c r="I262" s="131"/>
      <c r="J262" s="131"/>
      <c r="K262" s="131"/>
      <c r="L262" s="225"/>
      <c r="M262" s="225"/>
      <c r="N262" s="225"/>
      <c r="O262" s="225"/>
      <c r="P262" s="225"/>
      <c r="Q262" s="225"/>
      <c r="R262" s="225"/>
      <c r="S262" s="225"/>
      <c r="T262" s="225"/>
      <c r="U262" s="225"/>
      <c r="V262" s="225"/>
      <c r="W262" s="225"/>
      <c r="X262" s="225"/>
      <c r="Y262" s="225"/>
      <c r="Z262" s="225"/>
      <c r="AA262" s="225"/>
      <c r="AB262" s="225"/>
      <c r="AC262" s="225"/>
      <c r="AD262" s="225"/>
      <c r="AE262" s="225"/>
      <c r="AF262" s="225"/>
      <c r="AG262" s="225"/>
      <c r="AH262" s="225"/>
      <c r="AI262" s="225"/>
      <c r="AJ262" s="225"/>
      <c r="AK262" s="225"/>
      <c r="AL262" s="225"/>
      <c r="AM262" s="225"/>
      <c r="AN262" s="225"/>
      <c r="AO262" s="225"/>
      <c r="AP262" s="225"/>
      <c r="AQ262" s="225"/>
      <c r="AR262" s="225"/>
    </row>
    <row r="263" spans="1:44" ht="15.75" customHeight="1">
      <c r="A263" s="131"/>
      <c r="B263" s="131"/>
      <c r="C263" s="131"/>
      <c r="D263" s="131"/>
      <c r="E263" s="131"/>
      <c r="F263" s="131"/>
      <c r="G263" s="131"/>
      <c r="H263" s="131"/>
      <c r="I263" s="131"/>
      <c r="J263" s="131"/>
      <c r="K263" s="131"/>
      <c r="L263" s="225"/>
      <c r="M263" s="225"/>
      <c r="N263" s="225"/>
      <c r="O263" s="225"/>
      <c r="P263" s="225"/>
      <c r="Q263" s="225"/>
      <c r="R263" s="225"/>
      <c r="S263" s="225"/>
      <c r="T263" s="225"/>
      <c r="U263" s="225"/>
      <c r="V263" s="225"/>
      <c r="W263" s="225"/>
      <c r="X263" s="225"/>
      <c r="Y263" s="225"/>
      <c r="Z263" s="225"/>
      <c r="AA263" s="225"/>
      <c r="AB263" s="225"/>
      <c r="AC263" s="225"/>
      <c r="AD263" s="225"/>
      <c r="AE263" s="225"/>
      <c r="AF263" s="225"/>
      <c r="AG263" s="225"/>
      <c r="AH263" s="225"/>
      <c r="AI263" s="225"/>
      <c r="AJ263" s="225"/>
      <c r="AK263" s="225"/>
      <c r="AL263" s="225"/>
      <c r="AM263" s="225"/>
      <c r="AN263" s="225"/>
      <c r="AO263" s="225"/>
      <c r="AP263" s="225"/>
      <c r="AQ263" s="225"/>
      <c r="AR263" s="225"/>
    </row>
    <row r="264" spans="1:44" ht="15.75" customHeight="1">
      <c r="A264" s="131"/>
      <c r="B264" s="131"/>
      <c r="C264" s="131"/>
      <c r="D264" s="131"/>
      <c r="E264" s="131"/>
      <c r="F264" s="131"/>
      <c r="G264" s="131"/>
      <c r="H264" s="131"/>
      <c r="I264" s="131"/>
      <c r="J264" s="131"/>
      <c r="K264" s="131"/>
      <c r="L264" s="225"/>
      <c r="M264" s="225"/>
      <c r="N264" s="225"/>
      <c r="O264" s="225"/>
      <c r="P264" s="225"/>
      <c r="Q264" s="225"/>
      <c r="R264" s="225"/>
      <c r="S264" s="225"/>
      <c r="T264" s="225"/>
      <c r="U264" s="225"/>
      <c r="V264" s="225"/>
      <c r="W264" s="225"/>
      <c r="X264" s="225"/>
      <c r="Y264" s="225"/>
      <c r="Z264" s="225"/>
      <c r="AA264" s="225"/>
      <c r="AB264" s="225"/>
      <c r="AC264" s="225"/>
      <c r="AD264" s="225"/>
      <c r="AE264" s="225"/>
      <c r="AF264" s="225"/>
      <c r="AG264" s="225"/>
      <c r="AH264" s="225"/>
      <c r="AI264" s="225"/>
      <c r="AJ264" s="225"/>
      <c r="AK264" s="225"/>
      <c r="AL264" s="225"/>
      <c r="AM264" s="225"/>
      <c r="AN264" s="225"/>
      <c r="AO264" s="225"/>
      <c r="AP264" s="225"/>
      <c r="AQ264" s="225"/>
      <c r="AR264" s="225"/>
    </row>
    <row r="265" spans="1:44" ht="15.75" customHeight="1">
      <c r="A265" s="131"/>
      <c r="B265" s="131"/>
      <c r="C265" s="131"/>
      <c r="D265" s="131"/>
      <c r="E265" s="131"/>
      <c r="F265" s="131"/>
      <c r="G265" s="131"/>
      <c r="H265" s="131"/>
      <c r="I265" s="131"/>
      <c r="J265" s="131"/>
      <c r="K265" s="131"/>
      <c r="L265" s="225"/>
      <c r="M265" s="225"/>
      <c r="N265" s="225"/>
      <c r="O265" s="225"/>
      <c r="P265" s="225"/>
      <c r="Q265" s="225"/>
      <c r="R265" s="225"/>
      <c r="S265" s="225"/>
      <c r="T265" s="225"/>
      <c r="U265" s="225"/>
      <c r="V265" s="225"/>
      <c r="W265" s="225"/>
      <c r="X265" s="225"/>
      <c r="Y265" s="225"/>
      <c r="Z265" s="225"/>
      <c r="AA265" s="225"/>
      <c r="AB265" s="225"/>
      <c r="AC265" s="225"/>
      <c r="AD265" s="225"/>
      <c r="AE265" s="225"/>
      <c r="AF265" s="225"/>
      <c r="AG265" s="225"/>
      <c r="AH265" s="225"/>
      <c r="AI265" s="225"/>
      <c r="AJ265" s="225"/>
      <c r="AK265" s="225"/>
      <c r="AL265" s="225"/>
      <c r="AM265" s="225"/>
      <c r="AN265" s="225"/>
      <c r="AO265" s="225"/>
      <c r="AP265" s="225"/>
      <c r="AQ265" s="225"/>
      <c r="AR265" s="225"/>
    </row>
    <row r="266" spans="1:44" ht="15.75" customHeight="1">
      <c r="A266" s="131"/>
      <c r="B266" s="131"/>
      <c r="C266" s="131"/>
      <c r="D266" s="131"/>
      <c r="E266" s="131"/>
      <c r="F266" s="131"/>
      <c r="G266" s="131"/>
      <c r="H266" s="131"/>
      <c r="I266" s="131"/>
      <c r="J266" s="131"/>
      <c r="K266" s="131"/>
      <c r="L266" s="225"/>
      <c r="M266" s="225"/>
      <c r="N266" s="225"/>
      <c r="O266" s="225"/>
      <c r="P266" s="225"/>
      <c r="Q266" s="225"/>
      <c r="R266" s="225"/>
      <c r="S266" s="225"/>
      <c r="T266" s="225"/>
      <c r="U266" s="225"/>
      <c r="V266" s="225"/>
      <c r="W266" s="225"/>
      <c r="X266" s="225"/>
      <c r="Y266" s="225"/>
      <c r="Z266" s="225"/>
      <c r="AA266" s="225"/>
      <c r="AB266" s="225"/>
      <c r="AC266" s="225"/>
      <c r="AD266" s="225"/>
      <c r="AE266" s="225"/>
      <c r="AF266" s="225"/>
      <c r="AG266" s="225"/>
      <c r="AH266" s="225"/>
      <c r="AI266" s="225"/>
      <c r="AJ266" s="225"/>
      <c r="AK266" s="225"/>
      <c r="AL266" s="225"/>
      <c r="AM266" s="225"/>
      <c r="AN266" s="225"/>
      <c r="AO266" s="225"/>
      <c r="AP266" s="225"/>
      <c r="AQ266" s="225"/>
      <c r="AR266" s="225"/>
    </row>
    <row r="267" spans="1:44" ht="15.75" customHeight="1">
      <c r="A267" s="131"/>
      <c r="B267" s="131"/>
      <c r="C267" s="131"/>
      <c r="D267" s="131"/>
      <c r="E267" s="131"/>
      <c r="F267" s="131"/>
      <c r="G267" s="131"/>
      <c r="H267" s="131"/>
      <c r="I267" s="131"/>
      <c r="J267" s="131"/>
      <c r="K267" s="131"/>
      <c r="L267" s="225"/>
      <c r="M267" s="225"/>
      <c r="N267" s="225"/>
      <c r="O267" s="225"/>
      <c r="P267" s="225"/>
      <c r="Q267" s="225"/>
      <c r="R267" s="225"/>
      <c r="S267" s="225"/>
      <c r="T267" s="225"/>
      <c r="U267" s="225"/>
      <c r="V267" s="225"/>
      <c r="W267" s="225"/>
      <c r="X267" s="225"/>
      <c r="Y267" s="225"/>
      <c r="Z267" s="225"/>
      <c r="AA267" s="225"/>
      <c r="AB267" s="225"/>
      <c r="AC267" s="225"/>
      <c r="AD267" s="225"/>
      <c r="AE267" s="225"/>
      <c r="AF267" s="225"/>
      <c r="AG267" s="225"/>
      <c r="AH267" s="225"/>
      <c r="AI267" s="225"/>
      <c r="AJ267" s="225"/>
      <c r="AK267" s="225"/>
      <c r="AL267" s="225"/>
      <c r="AM267" s="225"/>
      <c r="AN267" s="225"/>
      <c r="AO267" s="225"/>
      <c r="AP267" s="225"/>
      <c r="AQ267" s="225"/>
      <c r="AR267" s="225"/>
    </row>
    <row r="268" spans="1:44" ht="15.75" customHeight="1">
      <c r="A268" s="131"/>
      <c r="B268" s="131"/>
      <c r="C268" s="131"/>
      <c r="D268" s="131"/>
      <c r="E268" s="131"/>
      <c r="F268" s="131"/>
      <c r="G268" s="131"/>
      <c r="H268" s="131"/>
      <c r="I268" s="131"/>
      <c r="J268" s="131"/>
      <c r="K268" s="131"/>
      <c r="L268" s="225"/>
      <c r="M268" s="225"/>
      <c r="N268" s="225"/>
      <c r="O268" s="225"/>
      <c r="P268" s="225"/>
      <c r="Q268" s="225"/>
      <c r="R268" s="225"/>
      <c r="S268" s="225"/>
      <c r="T268" s="225"/>
      <c r="U268" s="225"/>
      <c r="V268" s="225"/>
      <c r="W268" s="225"/>
      <c r="X268" s="225"/>
      <c r="Y268" s="225"/>
      <c r="Z268" s="225"/>
      <c r="AA268" s="225"/>
      <c r="AB268" s="225"/>
      <c r="AC268" s="225"/>
      <c r="AD268" s="225"/>
      <c r="AE268" s="225"/>
      <c r="AF268" s="225"/>
      <c r="AG268" s="225"/>
      <c r="AH268" s="225"/>
      <c r="AI268" s="225"/>
      <c r="AJ268" s="225"/>
      <c r="AK268" s="225"/>
      <c r="AL268" s="225"/>
      <c r="AM268" s="225"/>
      <c r="AN268" s="225"/>
      <c r="AO268" s="225"/>
      <c r="AP268" s="225"/>
      <c r="AQ268" s="225"/>
      <c r="AR268" s="225"/>
    </row>
    <row r="269" spans="1:44" ht="15.75" customHeight="1">
      <c r="A269" s="131"/>
      <c r="B269" s="131"/>
      <c r="C269" s="131"/>
      <c r="D269" s="131"/>
      <c r="E269" s="131"/>
      <c r="F269" s="131"/>
      <c r="G269" s="131"/>
      <c r="H269" s="131"/>
      <c r="I269" s="131"/>
      <c r="J269" s="131"/>
      <c r="K269" s="131"/>
      <c r="L269" s="225"/>
      <c r="M269" s="225"/>
      <c r="N269" s="225"/>
      <c r="O269" s="225"/>
      <c r="P269" s="225"/>
      <c r="Q269" s="225"/>
      <c r="R269" s="225"/>
      <c r="S269" s="225"/>
      <c r="T269" s="225"/>
      <c r="U269" s="225"/>
      <c r="V269" s="225"/>
      <c r="W269" s="225"/>
      <c r="X269" s="225"/>
      <c r="Y269" s="225"/>
      <c r="Z269" s="225"/>
      <c r="AA269" s="225"/>
      <c r="AB269" s="225"/>
      <c r="AC269" s="225"/>
      <c r="AD269" s="225"/>
      <c r="AE269" s="225"/>
      <c r="AF269" s="225"/>
      <c r="AG269" s="225"/>
      <c r="AH269" s="225"/>
      <c r="AI269" s="225"/>
      <c r="AJ269" s="225"/>
      <c r="AK269" s="225"/>
      <c r="AL269" s="225"/>
      <c r="AM269" s="225"/>
      <c r="AN269" s="225"/>
      <c r="AO269" s="225"/>
      <c r="AP269" s="225"/>
      <c r="AQ269" s="225"/>
      <c r="AR269" s="225"/>
    </row>
    <row r="270" spans="1:44" ht="15.75" customHeight="1">
      <c r="A270" s="131"/>
      <c r="B270" s="131"/>
      <c r="C270" s="131"/>
      <c r="D270" s="131"/>
      <c r="E270" s="131"/>
      <c r="F270" s="131"/>
      <c r="G270" s="131"/>
      <c r="H270" s="131"/>
      <c r="I270" s="131"/>
      <c r="J270" s="131"/>
      <c r="K270" s="131"/>
      <c r="L270" s="225"/>
      <c r="M270" s="225"/>
      <c r="N270" s="225"/>
      <c r="O270" s="225"/>
      <c r="P270" s="225"/>
      <c r="Q270" s="225"/>
      <c r="R270" s="225"/>
      <c r="S270" s="225"/>
      <c r="T270" s="225"/>
      <c r="U270" s="225"/>
      <c r="V270" s="225"/>
      <c r="W270" s="225"/>
      <c r="X270" s="225"/>
      <c r="Y270" s="225"/>
      <c r="Z270" s="225"/>
      <c r="AA270" s="225"/>
      <c r="AB270" s="225"/>
      <c r="AC270" s="225"/>
      <c r="AD270" s="225"/>
      <c r="AE270" s="225"/>
      <c r="AF270" s="225"/>
      <c r="AG270" s="225"/>
      <c r="AH270" s="225"/>
      <c r="AI270" s="225"/>
      <c r="AJ270" s="225"/>
      <c r="AK270" s="225"/>
      <c r="AL270" s="225"/>
      <c r="AM270" s="225"/>
      <c r="AN270" s="225"/>
      <c r="AO270" s="225"/>
      <c r="AP270" s="225"/>
      <c r="AQ270" s="225"/>
      <c r="AR270" s="225"/>
    </row>
    <row r="271" spans="1:44" ht="15.75" customHeight="1">
      <c r="A271" s="131"/>
      <c r="B271" s="131"/>
      <c r="C271" s="131"/>
      <c r="D271" s="131"/>
      <c r="E271" s="131"/>
      <c r="F271" s="131"/>
      <c r="G271" s="131"/>
      <c r="H271" s="131"/>
      <c r="I271" s="131"/>
      <c r="J271" s="131"/>
      <c r="K271" s="131"/>
      <c r="L271" s="225"/>
      <c r="M271" s="225"/>
      <c r="N271" s="225"/>
      <c r="O271" s="225"/>
      <c r="P271" s="225"/>
      <c r="Q271" s="225"/>
      <c r="R271" s="225"/>
      <c r="S271" s="225"/>
      <c r="T271" s="225"/>
      <c r="U271" s="225"/>
      <c r="V271" s="225"/>
      <c r="W271" s="225"/>
      <c r="X271" s="225"/>
      <c r="Y271" s="225"/>
      <c r="Z271" s="225"/>
      <c r="AA271" s="225"/>
      <c r="AB271" s="225"/>
      <c r="AC271" s="225"/>
      <c r="AD271" s="225"/>
      <c r="AE271" s="225"/>
      <c r="AF271" s="225"/>
      <c r="AG271" s="225"/>
      <c r="AH271" s="225"/>
      <c r="AI271" s="225"/>
      <c r="AJ271" s="225"/>
      <c r="AK271" s="225"/>
      <c r="AL271" s="225"/>
      <c r="AM271" s="225"/>
      <c r="AN271" s="225"/>
      <c r="AO271" s="225"/>
      <c r="AP271" s="225"/>
      <c r="AQ271" s="225"/>
      <c r="AR271" s="225"/>
    </row>
    <row r="272" spans="1:44" ht="15.75" customHeight="1">
      <c r="A272" s="131"/>
      <c r="B272" s="131"/>
      <c r="C272" s="131"/>
      <c r="D272" s="131"/>
      <c r="E272" s="131"/>
      <c r="F272" s="131"/>
      <c r="G272" s="131"/>
      <c r="H272" s="131"/>
      <c r="I272" s="131"/>
      <c r="J272" s="131"/>
      <c r="K272" s="131"/>
      <c r="L272" s="225"/>
      <c r="M272" s="225"/>
      <c r="N272" s="225"/>
      <c r="O272" s="225"/>
      <c r="P272" s="225"/>
      <c r="Q272" s="225"/>
      <c r="R272" s="225"/>
      <c r="S272" s="225"/>
      <c r="T272" s="225"/>
      <c r="U272" s="225"/>
      <c r="V272" s="225"/>
      <c r="W272" s="225"/>
      <c r="X272" s="225"/>
      <c r="Y272" s="225"/>
      <c r="Z272" s="225"/>
      <c r="AA272" s="225"/>
      <c r="AB272" s="225"/>
      <c r="AC272" s="225"/>
      <c r="AD272" s="225"/>
      <c r="AE272" s="225"/>
      <c r="AF272" s="225"/>
      <c r="AG272" s="225"/>
      <c r="AH272" s="225"/>
      <c r="AI272" s="225"/>
      <c r="AJ272" s="225"/>
      <c r="AK272" s="225"/>
      <c r="AL272" s="225"/>
      <c r="AM272" s="225"/>
      <c r="AN272" s="225"/>
      <c r="AO272" s="225"/>
      <c r="AP272" s="225"/>
      <c r="AQ272" s="225"/>
      <c r="AR272" s="225"/>
    </row>
    <row r="273" spans="1:44" ht="15.75" customHeight="1">
      <c r="A273" s="131"/>
      <c r="B273" s="131"/>
      <c r="C273" s="131"/>
      <c r="D273" s="131"/>
      <c r="E273" s="131"/>
      <c r="F273" s="131"/>
      <c r="G273" s="131"/>
      <c r="H273" s="131"/>
      <c r="I273" s="131"/>
      <c r="J273" s="131"/>
      <c r="K273" s="131"/>
      <c r="L273" s="225"/>
      <c r="M273" s="225"/>
      <c r="N273" s="225"/>
      <c r="O273" s="225"/>
      <c r="P273" s="225"/>
      <c r="Q273" s="225"/>
      <c r="R273" s="225"/>
      <c r="S273" s="225"/>
      <c r="T273" s="225"/>
      <c r="U273" s="225"/>
      <c r="V273" s="225"/>
      <c r="W273" s="225"/>
      <c r="X273" s="225"/>
      <c r="Y273" s="225"/>
      <c r="Z273" s="225"/>
      <c r="AA273" s="225"/>
      <c r="AB273" s="225"/>
      <c r="AC273" s="225"/>
      <c r="AD273" s="225"/>
      <c r="AE273" s="225"/>
      <c r="AF273" s="225"/>
      <c r="AG273" s="225"/>
      <c r="AH273" s="225"/>
      <c r="AI273" s="225"/>
      <c r="AJ273" s="225"/>
      <c r="AK273" s="225"/>
      <c r="AL273" s="225"/>
      <c r="AM273" s="225"/>
      <c r="AN273" s="225"/>
      <c r="AO273" s="225"/>
      <c r="AP273" s="225"/>
      <c r="AQ273" s="225"/>
      <c r="AR273" s="225"/>
    </row>
    <row r="274" spans="1:44" ht="15.75" customHeight="1">
      <c r="A274" s="131"/>
      <c r="B274" s="131"/>
      <c r="C274" s="131"/>
      <c r="D274" s="131"/>
      <c r="E274" s="131"/>
      <c r="F274" s="131"/>
      <c r="G274" s="131"/>
      <c r="H274" s="131"/>
      <c r="I274" s="131"/>
      <c r="J274" s="131"/>
      <c r="K274" s="131"/>
      <c r="L274" s="225"/>
      <c r="M274" s="225"/>
      <c r="N274" s="225"/>
      <c r="O274" s="225"/>
      <c r="P274" s="225"/>
      <c r="Q274" s="225"/>
      <c r="R274" s="225"/>
      <c r="S274" s="225"/>
      <c r="T274" s="225"/>
      <c r="U274" s="225"/>
      <c r="V274" s="225"/>
      <c r="W274" s="225"/>
      <c r="X274" s="225"/>
      <c r="Y274" s="225"/>
      <c r="Z274" s="225"/>
      <c r="AA274" s="225"/>
      <c r="AB274" s="225"/>
      <c r="AC274" s="225"/>
      <c r="AD274" s="225"/>
      <c r="AE274" s="225"/>
      <c r="AF274" s="225"/>
      <c r="AG274" s="225"/>
      <c r="AH274" s="225"/>
      <c r="AI274" s="225"/>
      <c r="AJ274" s="225"/>
      <c r="AK274" s="225"/>
      <c r="AL274" s="225"/>
      <c r="AM274" s="225"/>
      <c r="AN274" s="225"/>
      <c r="AO274" s="225"/>
      <c r="AP274" s="225"/>
      <c r="AQ274" s="225"/>
      <c r="AR274" s="225"/>
    </row>
    <row r="275" spans="1:44" ht="15.75" customHeight="1">
      <c r="A275" s="131"/>
      <c r="B275" s="131"/>
      <c r="C275" s="131"/>
      <c r="D275" s="131"/>
      <c r="E275" s="131"/>
      <c r="F275" s="131"/>
      <c r="G275" s="131"/>
      <c r="H275" s="131"/>
      <c r="I275" s="131"/>
      <c r="J275" s="131"/>
      <c r="K275" s="131"/>
      <c r="L275" s="225"/>
      <c r="M275" s="225"/>
      <c r="N275" s="225"/>
      <c r="O275" s="225"/>
      <c r="P275" s="225"/>
      <c r="Q275" s="225"/>
      <c r="R275" s="225"/>
      <c r="S275" s="225"/>
      <c r="T275" s="225"/>
      <c r="U275" s="225"/>
      <c r="V275" s="225"/>
      <c r="W275" s="225"/>
      <c r="X275" s="225"/>
      <c r="Y275" s="225"/>
      <c r="Z275" s="225"/>
      <c r="AA275" s="225"/>
      <c r="AB275" s="225"/>
      <c r="AC275" s="225"/>
      <c r="AD275" s="225"/>
      <c r="AE275" s="225"/>
      <c r="AF275" s="225"/>
      <c r="AG275" s="225"/>
      <c r="AH275" s="225"/>
      <c r="AI275" s="225"/>
      <c r="AJ275" s="225"/>
      <c r="AK275" s="225"/>
      <c r="AL275" s="225"/>
      <c r="AM275" s="225"/>
      <c r="AN275" s="225"/>
      <c r="AO275" s="225"/>
      <c r="AP275" s="225"/>
      <c r="AQ275" s="225"/>
      <c r="AR275" s="225"/>
    </row>
    <row r="276" spans="1:44" ht="15.75" customHeight="1">
      <c r="A276" s="131"/>
      <c r="B276" s="131"/>
      <c r="C276" s="131"/>
      <c r="D276" s="131"/>
      <c r="E276" s="131"/>
      <c r="F276" s="131"/>
      <c r="G276" s="131"/>
      <c r="H276" s="131"/>
      <c r="I276" s="131"/>
      <c r="J276" s="131"/>
      <c r="K276" s="131"/>
      <c r="L276" s="225"/>
      <c r="M276" s="225"/>
      <c r="N276" s="225"/>
      <c r="O276" s="225"/>
      <c r="P276" s="225"/>
      <c r="Q276" s="225"/>
      <c r="R276" s="225"/>
      <c r="S276" s="225"/>
      <c r="T276" s="225"/>
      <c r="U276" s="225"/>
      <c r="V276" s="225"/>
      <c r="W276" s="225"/>
      <c r="X276" s="225"/>
      <c r="Y276" s="225"/>
      <c r="Z276" s="225"/>
      <c r="AA276" s="225"/>
      <c r="AB276" s="225"/>
      <c r="AC276" s="225"/>
      <c r="AD276" s="225"/>
      <c r="AE276" s="225"/>
      <c r="AF276" s="225"/>
      <c r="AG276" s="225"/>
      <c r="AH276" s="225"/>
      <c r="AI276" s="225"/>
      <c r="AJ276" s="225"/>
      <c r="AK276" s="225"/>
      <c r="AL276" s="225"/>
      <c r="AM276" s="225"/>
      <c r="AN276" s="225"/>
      <c r="AO276" s="225"/>
      <c r="AP276" s="225"/>
      <c r="AQ276" s="225"/>
      <c r="AR276" s="225"/>
    </row>
    <row r="277" spans="1:44" ht="15.75" customHeight="1">
      <c r="A277" s="131"/>
      <c r="B277" s="131"/>
      <c r="C277" s="131"/>
      <c r="D277" s="131"/>
      <c r="E277" s="131"/>
      <c r="F277" s="131"/>
      <c r="G277" s="131"/>
      <c r="H277" s="131"/>
      <c r="I277" s="131"/>
      <c r="J277" s="131"/>
      <c r="K277" s="131"/>
      <c r="L277" s="225"/>
      <c r="M277" s="225"/>
      <c r="N277" s="225"/>
      <c r="O277" s="225"/>
      <c r="P277" s="225"/>
      <c r="Q277" s="225"/>
      <c r="R277" s="225"/>
      <c r="S277" s="225"/>
      <c r="T277" s="225"/>
      <c r="U277" s="225"/>
      <c r="V277" s="225"/>
      <c r="W277" s="225"/>
      <c r="X277" s="225"/>
      <c r="Y277" s="225"/>
      <c r="Z277" s="225"/>
      <c r="AA277" s="225"/>
      <c r="AB277" s="225"/>
      <c r="AC277" s="225"/>
      <c r="AD277" s="225"/>
      <c r="AE277" s="225"/>
      <c r="AF277" s="225"/>
      <c r="AG277" s="225"/>
      <c r="AH277" s="225"/>
      <c r="AI277" s="225"/>
      <c r="AJ277" s="225"/>
      <c r="AK277" s="225"/>
      <c r="AL277" s="225"/>
      <c r="AM277" s="225"/>
      <c r="AN277" s="225"/>
      <c r="AO277" s="225"/>
      <c r="AP277" s="225"/>
      <c r="AQ277" s="225"/>
      <c r="AR277" s="225"/>
    </row>
    <row r="278" spans="1:44" ht="15.75" customHeight="1">
      <c r="A278" s="131"/>
      <c r="B278" s="131"/>
      <c r="C278" s="131"/>
      <c r="D278" s="131"/>
      <c r="E278" s="131"/>
      <c r="F278" s="131"/>
      <c r="G278" s="131"/>
      <c r="H278" s="131"/>
      <c r="I278" s="131"/>
      <c r="J278" s="131"/>
      <c r="K278" s="131"/>
      <c r="L278" s="225"/>
      <c r="M278" s="225"/>
      <c r="N278" s="225"/>
      <c r="O278" s="225"/>
      <c r="P278" s="225"/>
      <c r="Q278" s="225"/>
      <c r="R278" s="225"/>
      <c r="S278" s="225"/>
      <c r="T278" s="225"/>
      <c r="U278" s="225"/>
      <c r="V278" s="225"/>
      <c r="W278" s="225"/>
      <c r="X278" s="225"/>
      <c r="Y278" s="225"/>
      <c r="Z278" s="225"/>
      <c r="AA278" s="225"/>
      <c r="AB278" s="225"/>
      <c r="AC278" s="225"/>
      <c r="AD278" s="225"/>
      <c r="AE278" s="225"/>
      <c r="AF278" s="225"/>
      <c r="AG278" s="225"/>
      <c r="AH278" s="225"/>
      <c r="AI278" s="225"/>
      <c r="AJ278" s="225"/>
      <c r="AK278" s="225"/>
      <c r="AL278" s="225"/>
      <c r="AM278" s="225"/>
      <c r="AN278" s="225"/>
      <c r="AO278" s="225"/>
      <c r="AP278" s="225"/>
      <c r="AQ278" s="225"/>
      <c r="AR278" s="225"/>
    </row>
    <row r="279" spans="1:44" ht="15.75" customHeight="1">
      <c r="A279" s="131"/>
      <c r="B279" s="131"/>
      <c r="C279" s="131"/>
      <c r="D279" s="131"/>
      <c r="E279" s="131"/>
      <c r="F279" s="131"/>
      <c r="G279" s="131"/>
      <c r="H279" s="131"/>
      <c r="I279" s="131"/>
      <c r="J279" s="131"/>
      <c r="K279" s="131"/>
      <c r="L279" s="225"/>
      <c r="M279" s="225"/>
      <c r="N279" s="225"/>
      <c r="O279" s="225"/>
      <c r="P279" s="225"/>
      <c r="Q279" s="225"/>
      <c r="R279" s="225"/>
      <c r="S279" s="225"/>
      <c r="T279" s="225"/>
      <c r="U279" s="225"/>
      <c r="V279" s="225"/>
      <c r="W279" s="225"/>
      <c r="X279" s="225"/>
      <c r="Y279" s="225"/>
      <c r="Z279" s="225"/>
      <c r="AA279" s="225"/>
      <c r="AB279" s="225"/>
      <c r="AC279" s="225"/>
      <c r="AD279" s="225"/>
      <c r="AE279" s="225"/>
      <c r="AF279" s="225"/>
      <c r="AG279" s="225"/>
      <c r="AH279" s="225"/>
      <c r="AI279" s="225"/>
      <c r="AJ279" s="225"/>
      <c r="AK279" s="225"/>
      <c r="AL279" s="225"/>
      <c r="AM279" s="225"/>
      <c r="AN279" s="225"/>
      <c r="AO279" s="225"/>
      <c r="AP279" s="225"/>
      <c r="AQ279" s="225"/>
      <c r="AR279" s="225"/>
    </row>
    <row r="280" spans="1:44" ht="15.75" customHeight="1">
      <c r="A280" s="131"/>
      <c r="B280" s="131"/>
      <c r="C280" s="131"/>
      <c r="D280" s="131"/>
      <c r="E280" s="131"/>
      <c r="F280" s="131"/>
      <c r="G280" s="131"/>
      <c r="H280" s="131"/>
      <c r="I280" s="131"/>
      <c r="J280" s="131"/>
      <c r="K280" s="131"/>
      <c r="L280" s="225"/>
      <c r="M280" s="225"/>
      <c r="N280" s="225"/>
      <c r="O280" s="225"/>
      <c r="P280" s="225"/>
      <c r="Q280" s="225"/>
      <c r="R280" s="225"/>
      <c r="S280" s="225"/>
      <c r="T280" s="225"/>
      <c r="U280" s="225"/>
      <c r="V280" s="225"/>
      <c r="W280" s="225"/>
      <c r="X280" s="225"/>
      <c r="Y280" s="225"/>
      <c r="Z280" s="225"/>
      <c r="AA280" s="225"/>
      <c r="AB280" s="225"/>
      <c r="AC280" s="225"/>
      <c r="AD280" s="225"/>
      <c r="AE280" s="225"/>
      <c r="AF280" s="225"/>
      <c r="AG280" s="225"/>
      <c r="AH280" s="225"/>
      <c r="AI280" s="225"/>
      <c r="AJ280" s="225"/>
      <c r="AK280" s="225"/>
      <c r="AL280" s="225"/>
      <c r="AM280" s="225"/>
      <c r="AN280" s="225"/>
      <c r="AO280" s="225"/>
      <c r="AP280" s="225"/>
      <c r="AQ280" s="225"/>
      <c r="AR280" s="225"/>
    </row>
    <row r="281" spans="1:44" ht="15.75" customHeight="1">
      <c r="A281" s="131"/>
      <c r="B281" s="131"/>
      <c r="C281" s="131"/>
      <c r="D281" s="131"/>
      <c r="E281" s="131"/>
      <c r="F281" s="131"/>
      <c r="G281" s="131"/>
      <c r="H281" s="131"/>
      <c r="I281" s="131"/>
      <c r="J281" s="131"/>
      <c r="K281" s="131"/>
      <c r="L281" s="225"/>
      <c r="M281" s="225"/>
      <c r="N281" s="225"/>
      <c r="O281" s="225"/>
      <c r="P281" s="225"/>
      <c r="Q281" s="225"/>
      <c r="R281" s="225"/>
      <c r="S281" s="225"/>
      <c r="T281" s="225"/>
      <c r="U281" s="225"/>
      <c r="V281" s="225"/>
      <c r="W281" s="225"/>
      <c r="X281" s="225"/>
      <c r="Y281" s="225"/>
      <c r="Z281" s="225"/>
      <c r="AA281" s="225"/>
      <c r="AB281" s="225"/>
      <c r="AC281" s="225"/>
      <c r="AD281" s="225"/>
      <c r="AE281" s="225"/>
      <c r="AF281" s="225"/>
      <c r="AG281" s="225"/>
      <c r="AH281" s="225"/>
      <c r="AI281" s="225"/>
      <c r="AJ281" s="225"/>
      <c r="AK281" s="225"/>
      <c r="AL281" s="225"/>
      <c r="AM281" s="225"/>
      <c r="AN281" s="225"/>
      <c r="AO281" s="225"/>
      <c r="AP281" s="225"/>
      <c r="AQ281" s="225"/>
      <c r="AR281" s="225"/>
    </row>
    <row r="282" spans="1:44" ht="15.75" customHeight="1">
      <c r="A282" s="131"/>
      <c r="B282" s="131"/>
      <c r="C282" s="131"/>
      <c r="D282" s="131"/>
      <c r="E282" s="131"/>
      <c r="F282" s="131"/>
      <c r="G282" s="131"/>
      <c r="H282" s="131"/>
      <c r="I282" s="131"/>
      <c r="J282" s="131"/>
      <c r="K282" s="131"/>
      <c r="L282" s="225"/>
      <c r="M282" s="225"/>
      <c r="N282" s="225"/>
      <c r="O282" s="225"/>
      <c r="P282" s="225"/>
      <c r="Q282" s="225"/>
      <c r="R282" s="225"/>
      <c r="S282" s="225"/>
      <c r="T282" s="225"/>
      <c r="U282" s="225"/>
      <c r="V282" s="225"/>
      <c r="W282" s="225"/>
      <c r="X282" s="225"/>
      <c r="Y282" s="225"/>
      <c r="Z282" s="225"/>
      <c r="AA282" s="225"/>
      <c r="AB282" s="225"/>
      <c r="AC282" s="225"/>
      <c r="AD282" s="225"/>
      <c r="AE282" s="225"/>
      <c r="AF282" s="225"/>
      <c r="AG282" s="225"/>
      <c r="AH282" s="225"/>
      <c r="AI282" s="225"/>
      <c r="AJ282" s="225"/>
      <c r="AK282" s="225"/>
      <c r="AL282" s="225"/>
      <c r="AM282" s="225"/>
      <c r="AN282" s="225"/>
      <c r="AO282" s="225"/>
      <c r="AP282" s="225"/>
      <c r="AQ282" s="225"/>
      <c r="AR282" s="225"/>
    </row>
    <row r="283" spans="1:44" ht="15.75" customHeight="1">
      <c r="A283" s="131"/>
      <c r="B283" s="131"/>
      <c r="C283" s="131"/>
      <c r="D283" s="131"/>
      <c r="E283" s="131"/>
      <c r="F283" s="131"/>
      <c r="G283" s="131"/>
      <c r="H283" s="131"/>
      <c r="I283" s="131"/>
      <c r="J283" s="131"/>
      <c r="K283" s="131"/>
      <c r="L283" s="225"/>
      <c r="M283" s="225"/>
      <c r="N283" s="225"/>
      <c r="O283" s="225"/>
      <c r="P283" s="225"/>
      <c r="Q283" s="225"/>
      <c r="R283" s="225"/>
      <c r="S283" s="225"/>
      <c r="T283" s="225"/>
      <c r="U283" s="225"/>
      <c r="V283" s="225"/>
      <c r="W283" s="225"/>
      <c r="X283" s="225"/>
      <c r="Y283" s="225"/>
      <c r="Z283" s="225"/>
      <c r="AA283" s="225"/>
      <c r="AB283" s="225"/>
      <c r="AC283" s="225"/>
      <c r="AD283" s="225"/>
      <c r="AE283" s="225"/>
      <c r="AF283" s="225"/>
      <c r="AG283" s="225"/>
      <c r="AH283" s="225"/>
      <c r="AI283" s="225"/>
      <c r="AJ283" s="225"/>
      <c r="AK283" s="225"/>
      <c r="AL283" s="225"/>
      <c r="AM283" s="225"/>
      <c r="AN283" s="225"/>
      <c r="AO283" s="225"/>
      <c r="AP283" s="225"/>
      <c r="AQ283" s="225"/>
      <c r="AR283" s="225"/>
    </row>
    <row r="284" spans="1:44" ht="15.75" customHeight="1">
      <c r="A284" s="131"/>
      <c r="B284" s="131"/>
      <c r="C284" s="131"/>
      <c r="D284" s="131"/>
      <c r="E284" s="131"/>
      <c r="F284" s="131"/>
      <c r="G284" s="131"/>
      <c r="H284" s="131"/>
      <c r="I284" s="131"/>
      <c r="J284" s="131"/>
      <c r="K284" s="131"/>
      <c r="L284" s="225"/>
      <c r="M284" s="225"/>
      <c r="N284" s="225"/>
      <c r="O284" s="225"/>
      <c r="P284" s="225"/>
      <c r="Q284" s="225"/>
      <c r="R284" s="225"/>
      <c r="S284" s="225"/>
      <c r="T284" s="225"/>
      <c r="U284" s="225"/>
      <c r="V284" s="225"/>
      <c r="W284" s="225"/>
      <c r="X284" s="225"/>
      <c r="Y284" s="225"/>
      <c r="Z284" s="225"/>
      <c r="AA284" s="225"/>
      <c r="AB284" s="225"/>
      <c r="AC284" s="225"/>
      <c r="AD284" s="225"/>
      <c r="AE284" s="225"/>
      <c r="AF284" s="225"/>
      <c r="AG284" s="225"/>
      <c r="AH284" s="225"/>
      <c r="AI284" s="225"/>
      <c r="AJ284" s="225"/>
      <c r="AK284" s="225"/>
      <c r="AL284" s="225"/>
      <c r="AM284" s="225"/>
      <c r="AN284" s="225"/>
      <c r="AO284" s="225"/>
      <c r="AP284" s="225"/>
      <c r="AQ284" s="225"/>
      <c r="AR284" s="225"/>
    </row>
    <row r="285" spans="1:44" ht="15.75" customHeight="1">
      <c r="A285" s="131"/>
      <c r="B285" s="131"/>
      <c r="C285" s="131"/>
      <c r="D285" s="131"/>
      <c r="E285" s="131"/>
      <c r="F285" s="131"/>
      <c r="G285" s="131"/>
      <c r="H285" s="131"/>
      <c r="I285" s="131"/>
      <c r="J285" s="131"/>
      <c r="K285" s="131"/>
      <c r="L285" s="225"/>
      <c r="M285" s="225"/>
      <c r="N285" s="225"/>
      <c r="O285" s="225"/>
      <c r="P285" s="225"/>
      <c r="Q285" s="225"/>
      <c r="R285" s="225"/>
      <c r="S285" s="225"/>
      <c r="T285" s="225"/>
      <c r="U285" s="225"/>
      <c r="V285" s="225"/>
      <c r="W285" s="225"/>
      <c r="X285" s="225"/>
      <c r="Y285" s="225"/>
      <c r="Z285" s="225"/>
      <c r="AA285" s="225"/>
      <c r="AB285" s="225"/>
      <c r="AC285" s="225"/>
      <c r="AD285" s="225"/>
      <c r="AE285" s="225"/>
      <c r="AF285" s="225"/>
      <c r="AG285" s="225"/>
      <c r="AH285" s="225"/>
      <c r="AI285" s="225"/>
      <c r="AJ285" s="225"/>
      <c r="AK285" s="225"/>
      <c r="AL285" s="225"/>
      <c r="AM285" s="225"/>
      <c r="AN285" s="225"/>
      <c r="AO285" s="225"/>
      <c r="AP285" s="225"/>
      <c r="AQ285" s="225"/>
      <c r="AR285" s="225"/>
    </row>
    <row r="286" spans="1:44" ht="15.75" customHeight="1">
      <c r="A286" s="131"/>
      <c r="B286" s="131"/>
      <c r="C286" s="131"/>
      <c r="D286" s="131"/>
      <c r="E286" s="131"/>
      <c r="F286" s="131"/>
      <c r="G286" s="131"/>
      <c r="H286" s="131"/>
      <c r="I286" s="131"/>
      <c r="J286" s="131"/>
      <c r="K286" s="131"/>
      <c r="L286" s="225"/>
      <c r="M286" s="225"/>
      <c r="N286" s="225"/>
      <c r="O286" s="225"/>
      <c r="P286" s="225"/>
      <c r="Q286" s="225"/>
      <c r="R286" s="225"/>
      <c r="S286" s="225"/>
      <c r="T286" s="225"/>
      <c r="U286" s="225"/>
      <c r="V286" s="225"/>
      <c r="W286" s="225"/>
      <c r="X286" s="225"/>
      <c r="Y286" s="225"/>
      <c r="Z286" s="225"/>
      <c r="AA286" s="225"/>
      <c r="AB286" s="225"/>
      <c r="AC286" s="225"/>
      <c r="AD286" s="225"/>
      <c r="AE286" s="225"/>
      <c r="AF286" s="225"/>
      <c r="AG286" s="225"/>
      <c r="AH286" s="225"/>
      <c r="AI286" s="225"/>
      <c r="AJ286" s="225"/>
      <c r="AK286" s="225"/>
      <c r="AL286" s="225"/>
      <c r="AM286" s="225"/>
      <c r="AN286" s="225"/>
      <c r="AO286" s="225"/>
      <c r="AP286" s="225"/>
      <c r="AQ286" s="225"/>
      <c r="AR286" s="225"/>
    </row>
    <row r="287" spans="1:44" ht="15.75" customHeight="1">
      <c r="A287" s="131"/>
      <c r="B287" s="131"/>
      <c r="C287" s="131"/>
      <c r="D287" s="131"/>
      <c r="E287" s="131"/>
      <c r="F287" s="131"/>
      <c r="G287" s="131"/>
      <c r="H287" s="131"/>
      <c r="I287" s="131"/>
      <c r="J287" s="131"/>
      <c r="K287" s="131"/>
      <c r="L287" s="225"/>
      <c r="M287" s="225"/>
      <c r="N287" s="225"/>
      <c r="O287" s="225"/>
      <c r="P287" s="225"/>
      <c r="Q287" s="225"/>
      <c r="R287" s="225"/>
      <c r="S287" s="225"/>
      <c r="T287" s="225"/>
      <c r="U287" s="225"/>
      <c r="V287" s="225"/>
      <c r="W287" s="225"/>
      <c r="X287" s="225"/>
      <c r="Y287" s="225"/>
      <c r="Z287" s="225"/>
      <c r="AA287" s="225"/>
      <c r="AB287" s="225"/>
      <c r="AC287" s="225"/>
      <c r="AD287" s="225"/>
      <c r="AE287" s="225"/>
      <c r="AF287" s="225"/>
      <c r="AG287" s="225"/>
      <c r="AH287" s="225"/>
      <c r="AI287" s="225"/>
      <c r="AJ287" s="225"/>
      <c r="AK287" s="225"/>
      <c r="AL287" s="225"/>
      <c r="AM287" s="225"/>
      <c r="AN287" s="225"/>
      <c r="AO287" s="225"/>
      <c r="AP287" s="225"/>
      <c r="AQ287" s="225"/>
      <c r="AR287" s="225"/>
    </row>
    <row r="288" spans="1:44" ht="15.75" customHeight="1">
      <c r="A288" s="131"/>
      <c r="B288" s="131"/>
      <c r="C288" s="131"/>
      <c r="D288" s="131"/>
      <c r="E288" s="131"/>
      <c r="F288" s="131"/>
      <c r="G288" s="131"/>
      <c r="H288" s="131"/>
      <c r="I288" s="131"/>
      <c r="J288" s="131"/>
      <c r="K288" s="131"/>
      <c r="L288" s="225"/>
      <c r="M288" s="225"/>
      <c r="N288" s="225"/>
      <c r="O288" s="225"/>
      <c r="P288" s="225"/>
      <c r="Q288" s="225"/>
      <c r="R288" s="225"/>
      <c r="S288" s="225"/>
      <c r="T288" s="225"/>
      <c r="U288" s="225"/>
      <c r="V288" s="225"/>
      <c r="W288" s="225"/>
      <c r="X288" s="225"/>
      <c r="Y288" s="225"/>
      <c r="Z288" s="225"/>
      <c r="AA288" s="225"/>
      <c r="AB288" s="225"/>
      <c r="AC288" s="225"/>
      <c r="AD288" s="225"/>
      <c r="AE288" s="225"/>
      <c r="AF288" s="225"/>
      <c r="AG288" s="225"/>
      <c r="AH288" s="225"/>
      <c r="AI288" s="225"/>
      <c r="AJ288" s="225"/>
      <c r="AK288" s="225"/>
      <c r="AL288" s="225"/>
      <c r="AM288" s="225"/>
      <c r="AN288" s="225"/>
      <c r="AO288" s="225"/>
      <c r="AP288" s="225"/>
      <c r="AQ288" s="225"/>
      <c r="AR288" s="225"/>
    </row>
    <row r="289" spans="1:44" ht="15.75" customHeight="1">
      <c r="A289" s="131"/>
      <c r="B289" s="131"/>
      <c r="C289" s="131"/>
      <c r="D289" s="131"/>
      <c r="E289" s="131"/>
      <c r="F289" s="131"/>
      <c r="G289" s="131"/>
      <c r="H289" s="131"/>
      <c r="I289" s="131"/>
      <c r="J289" s="131"/>
      <c r="K289" s="131"/>
      <c r="L289" s="225"/>
      <c r="M289" s="225"/>
      <c r="N289" s="225"/>
      <c r="O289" s="225"/>
      <c r="P289" s="225"/>
      <c r="Q289" s="225"/>
      <c r="R289" s="225"/>
      <c r="S289" s="225"/>
      <c r="T289" s="225"/>
      <c r="U289" s="225"/>
      <c r="V289" s="225"/>
      <c r="W289" s="225"/>
      <c r="X289" s="225"/>
      <c r="Y289" s="225"/>
      <c r="Z289" s="225"/>
      <c r="AA289" s="225"/>
      <c r="AB289" s="225"/>
      <c r="AC289" s="225"/>
      <c r="AD289" s="225"/>
      <c r="AE289" s="225"/>
      <c r="AF289" s="225"/>
      <c r="AG289" s="225"/>
      <c r="AH289" s="225"/>
      <c r="AI289" s="225"/>
      <c r="AJ289" s="225"/>
      <c r="AK289" s="225"/>
      <c r="AL289" s="225"/>
      <c r="AM289" s="225"/>
      <c r="AN289" s="225"/>
      <c r="AO289" s="225"/>
      <c r="AP289" s="225"/>
      <c r="AQ289" s="225"/>
      <c r="AR289" s="225"/>
    </row>
    <row r="290" spans="1:44" ht="15.75" customHeight="1">
      <c r="A290" s="131"/>
      <c r="B290" s="131"/>
      <c r="C290" s="131"/>
      <c r="D290" s="131"/>
      <c r="E290" s="131"/>
      <c r="F290" s="131"/>
      <c r="G290" s="131"/>
      <c r="H290" s="131"/>
      <c r="I290" s="131"/>
      <c r="J290" s="131"/>
      <c r="K290" s="131"/>
      <c r="L290" s="225"/>
      <c r="M290" s="225"/>
      <c r="N290" s="225"/>
      <c r="O290" s="225"/>
      <c r="P290" s="225"/>
      <c r="Q290" s="225"/>
      <c r="R290" s="225"/>
      <c r="S290" s="225"/>
      <c r="T290" s="225"/>
      <c r="U290" s="225"/>
      <c r="V290" s="225"/>
      <c r="W290" s="225"/>
      <c r="X290" s="225"/>
      <c r="Y290" s="225"/>
      <c r="Z290" s="225"/>
      <c r="AA290" s="225"/>
      <c r="AB290" s="225"/>
      <c r="AC290" s="225"/>
      <c r="AD290" s="225"/>
      <c r="AE290" s="225"/>
      <c r="AF290" s="225"/>
      <c r="AG290" s="225"/>
      <c r="AH290" s="225"/>
      <c r="AI290" s="225"/>
      <c r="AJ290" s="225"/>
      <c r="AK290" s="225"/>
      <c r="AL290" s="225"/>
      <c r="AM290" s="225"/>
      <c r="AN290" s="225"/>
      <c r="AO290" s="225"/>
      <c r="AP290" s="225"/>
      <c r="AQ290" s="225"/>
      <c r="AR290" s="225"/>
    </row>
    <row r="291" spans="1:44" ht="15.75" customHeight="1">
      <c r="A291" s="131"/>
      <c r="B291" s="131"/>
      <c r="C291" s="131"/>
      <c r="D291" s="131"/>
      <c r="E291" s="131"/>
      <c r="F291" s="131"/>
      <c r="G291" s="131"/>
      <c r="H291" s="131"/>
      <c r="I291" s="131"/>
      <c r="J291" s="131"/>
      <c r="K291" s="131"/>
      <c r="L291" s="225"/>
      <c r="M291" s="225"/>
      <c r="N291" s="225"/>
      <c r="O291" s="225"/>
      <c r="P291" s="225"/>
      <c r="Q291" s="225"/>
      <c r="R291" s="225"/>
      <c r="S291" s="225"/>
      <c r="T291" s="225"/>
      <c r="U291" s="225"/>
      <c r="V291" s="225"/>
      <c r="W291" s="225"/>
      <c r="X291" s="225"/>
      <c r="Y291" s="225"/>
      <c r="Z291" s="225"/>
      <c r="AA291" s="225"/>
      <c r="AB291" s="225"/>
      <c r="AC291" s="225"/>
      <c r="AD291" s="225"/>
      <c r="AE291" s="225"/>
      <c r="AF291" s="225"/>
      <c r="AG291" s="225"/>
      <c r="AH291" s="225"/>
      <c r="AI291" s="225"/>
      <c r="AJ291" s="225"/>
      <c r="AK291" s="225"/>
      <c r="AL291" s="225"/>
      <c r="AM291" s="225"/>
      <c r="AN291" s="225"/>
      <c r="AO291" s="225"/>
      <c r="AP291" s="225"/>
      <c r="AQ291" s="225"/>
      <c r="AR291" s="225"/>
    </row>
    <row r="292" spans="1:44" ht="15.75" customHeight="1">
      <c r="A292" s="131"/>
      <c r="B292" s="131"/>
      <c r="C292" s="131"/>
      <c r="D292" s="131"/>
      <c r="E292" s="131"/>
      <c r="F292" s="131"/>
      <c r="G292" s="131"/>
      <c r="H292" s="131"/>
      <c r="I292" s="131"/>
      <c r="J292" s="131"/>
      <c r="K292" s="131"/>
      <c r="L292" s="225"/>
      <c r="M292" s="225"/>
      <c r="N292" s="225"/>
      <c r="O292" s="225"/>
      <c r="P292" s="225"/>
      <c r="Q292" s="225"/>
      <c r="R292" s="225"/>
      <c r="S292" s="225"/>
      <c r="T292" s="225"/>
      <c r="U292" s="225"/>
      <c r="V292" s="225"/>
      <c r="W292" s="225"/>
      <c r="X292" s="225"/>
      <c r="Y292" s="225"/>
      <c r="Z292" s="225"/>
      <c r="AA292" s="225"/>
      <c r="AB292" s="225"/>
      <c r="AC292" s="225"/>
      <c r="AD292" s="225"/>
      <c r="AE292" s="225"/>
      <c r="AF292" s="225"/>
      <c r="AG292" s="225"/>
      <c r="AH292" s="225"/>
      <c r="AI292" s="225"/>
      <c r="AJ292" s="225"/>
      <c r="AK292" s="225"/>
      <c r="AL292" s="225"/>
      <c r="AM292" s="225"/>
      <c r="AN292" s="225"/>
      <c r="AO292" s="225"/>
      <c r="AP292" s="225"/>
      <c r="AQ292" s="225"/>
      <c r="AR292" s="225"/>
    </row>
    <row r="293" spans="1:44" ht="15.75" customHeight="1">
      <c r="A293" s="131"/>
      <c r="B293" s="131"/>
      <c r="C293" s="131"/>
      <c r="D293" s="131"/>
      <c r="E293" s="131"/>
      <c r="F293" s="131"/>
      <c r="G293" s="131"/>
      <c r="H293" s="131"/>
      <c r="I293" s="131"/>
      <c r="J293" s="131"/>
      <c r="K293" s="131"/>
      <c r="L293" s="225"/>
      <c r="M293" s="225"/>
      <c r="N293" s="225"/>
      <c r="O293" s="225"/>
      <c r="P293" s="225"/>
      <c r="Q293" s="225"/>
      <c r="R293" s="225"/>
      <c r="S293" s="225"/>
      <c r="T293" s="225"/>
      <c r="U293" s="225"/>
      <c r="V293" s="225"/>
      <c r="W293" s="225"/>
      <c r="X293" s="225"/>
      <c r="Y293" s="225"/>
      <c r="Z293" s="225"/>
      <c r="AA293" s="225"/>
      <c r="AB293" s="225"/>
      <c r="AC293" s="225"/>
      <c r="AD293" s="225"/>
      <c r="AE293" s="225"/>
      <c r="AF293" s="225"/>
      <c r="AG293" s="225"/>
      <c r="AH293" s="225"/>
      <c r="AI293" s="225"/>
      <c r="AJ293" s="225"/>
      <c r="AK293" s="225"/>
      <c r="AL293" s="225"/>
      <c r="AM293" s="225"/>
      <c r="AN293" s="225"/>
      <c r="AO293" s="225"/>
      <c r="AP293" s="225"/>
      <c r="AQ293" s="225"/>
      <c r="AR293" s="225"/>
    </row>
    <row r="294" spans="1:44" ht="15.75" customHeight="1">
      <c r="A294" s="131"/>
      <c r="B294" s="131"/>
      <c r="C294" s="131"/>
      <c r="D294" s="131"/>
      <c r="E294" s="131"/>
      <c r="F294" s="131"/>
      <c r="G294" s="131"/>
      <c r="H294" s="131"/>
      <c r="I294" s="131"/>
      <c r="J294" s="131"/>
      <c r="K294" s="131"/>
      <c r="L294" s="225"/>
      <c r="M294" s="225"/>
      <c r="N294" s="225"/>
      <c r="O294" s="225"/>
      <c r="P294" s="225"/>
      <c r="Q294" s="225"/>
      <c r="R294" s="225"/>
      <c r="S294" s="225"/>
      <c r="T294" s="225"/>
      <c r="U294" s="225"/>
      <c r="V294" s="225"/>
      <c r="W294" s="225"/>
      <c r="X294" s="225"/>
      <c r="Y294" s="225"/>
      <c r="Z294" s="225"/>
      <c r="AA294" s="225"/>
      <c r="AB294" s="225"/>
      <c r="AC294" s="225"/>
      <c r="AD294" s="225"/>
      <c r="AE294" s="225"/>
      <c r="AF294" s="225"/>
      <c r="AG294" s="225"/>
      <c r="AH294" s="225"/>
      <c r="AI294" s="225"/>
      <c r="AJ294" s="225"/>
      <c r="AK294" s="225"/>
      <c r="AL294" s="225"/>
      <c r="AM294" s="225"/>
      <c r="AN294" s="225"/>
      <c r="AO294" s="225"/>
      <c r="AP294" s="225"/>
      <c r="AQ294" s="225"/>
      <c r="AR294" s="225"/>
    </row>
    <row r="295" spans="1:44" ht="15.75" customHeight="1">
      <c r="A295" s="131"/>
      <c r="B295" s="131"/>
      <c r="C295" s="131"/>
      <c r="D295" s="131"/>
      <c r="E295" s="131"/>
      <c r="F295" s="131"/>
      <c r="G295" s="131"/>
      <c r="H295" s="131"/>
      <c r="I295" s="131"/>
      <c r="J295" s="131"/>
      <c r="K295" s="131"/>
      <c r="L295" s="225"/>
      <c r="M295" s="225"/>
      <c r="N295" s="225"/>
      <c r="O295" s="225"/>
      <c r="P295" s="225"/>
      <c r="Q295" s="225"/>
      <c r="R295" s="225"/>
      <c r="S295" s="225"/>
      <c r="T295" s="225"/>
      <c r="U295" s="225"/>
      <c r="V295" s="225"/>
      <c r="W295" s="225"/>
      <c r="X295" s="225"/>
      <c r="Y295" s="225"/>
      <c r="Z295" s="225"/>
      <c r="AA295" s="225"/>
      <c r="AB295" s="225"/>
      <c r="AC295" s="225"/>
      <c r="AD295" s="225"/>
      <c r="AE295" s="225"/>
      <c r="AF295" s="225"/>
      <c r="AG295" s="225"/>
      <c r="AH295" s="225"/>
      <c r="AI295" s="225"/>
      <c r="AJ295" s="225"/>
      <c r="AK295" s="225"/>
      <c r="AL295" s="225"/>
      <c r="AM295" s="225"/>
      <c r="AN295" s="225"/>
      <c r="AO295" s="225"/>
      <c r="AP295" s="225"/>
      <c r="AQ295" s="225"/>
      <c r="AR295" s="225"/>
    </row>
    <row r="296" spans="1:44" ht="15.75" customHeight="1">
      <c r="A296" s="131"/>
      <c r="B296" s="131"/>
      <c r="C296" s="131"/>
      <c r="D296" s="131"/>
      <c r="E296" s="131"/>
      <c r="F296" s="131"/>
      <c r="G296" s="131"/>
      <c r="H296" s="131"/>
      <c r="I296" s="131"/>
      <c r="J296" s="131"/>
      <c r="K296" s="131"/>
      <c r="L296" s="225"/>
      <c r="M296" s="225"/>
      <c r="N296" s="225"/>
      <c r="O296" s="225"/>
      <c r="P296" s="225"/>
      <c r="Q296" s="225"/>
      <c r="R296" s="225"/>
      <c r="S296" s="225"/>
      <c r="T296" s="225"/>
      <c r="U296" s="225"/>
      <c r="V296" s="225"/>
      <c r="W296" s="225"/>
      <c r="X296" s="225"/>
      <c r="Y296" s="225"/>
      <c r="Z296" s="225"/>
      <c r="AA296" s="225"/>
      <c r="AB296" s="225"/>
      <c r="AC296" s="225"/>
      <c r="AD296" s="225"/>
      <c r="AE296" s="225"/>
      <c r="AF296" s="225"/>
      <c r="AG296" s="225"/>
      <c r="AH296" s="225"/>
      <c r="AI296" s="225"/>
      <c r="AJ296" s="225"/>
      <c r="AK296" s="225"/>
      <c r="AL296" s="225"/>
      <c r="AM296" s="225"/>
      <c r="AN296" s="225"/>
      <c r="AO296" s="225"/>
      <c r="AP296" s="225"/>
      <c r="AQ296" s="225"/>
      <c r="AR296" s="225"/>
    </row>
    <row r="297" spans="1:44" ht="15.75" customHeight="1">
      <c r="A297" s="131"/>
      <c r="B297" s="131"/>
      <c r="C297" s="131"/>
      <c r="D297" s="131"/>
      <c r="E297" s="131"/>
      <c r="F297" s="131"/>
      <c r="G297" s="131"/>
      <c r="H297" s="131"/>
      <c r="I297" s="131"/>
      <c r="J297" s="131"/>
      <c r="K297" s="131"/>
      <c r="L297" s="225"/>
      <c r="M297" s="225"/>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c r="AI297" s="225"/>
      <c r="AJ297" s="225"/>
      <c r="AK297" s="225"/>
      <c r="AL297" s="225"/>
      <c r="AM297" s="225"/>
      <c r="AN297" s="225"/>
      <c r="AO297" s="225"/>
      <c r="AP297" s="225"/>
      <c r="AQ297" s="225"/>
      <c r="AR297" s="225"/>
    </row>
    <row r="298" spans="1:44" ht="15.75" customHeight="1">
      <c r="A298" s="131"/>
      <c r="B298" s="131"/>
      <c r="C298" s="131"/>
      <c r="D298" s="131"/>
      <c r="E298" s="131"/>
      <c r="F298" s="131"/>
      <c r="G298" s="131"/>
      <c r="H298" s="131"/>
      <c r="I298" s="131"/>
      <c r="J298" s="131"/>
      <c r="K298" s="131"/>
      <c r="L298" s="225"/>
      <c r="M298" s="225"/>
      <c r="N298" s="225"/>
      <c r="O298" s="225"/>
      <c r="P298" s="225"/>
      <c r="Q298" s="225"/>
      <c r="R298" s="225"/>
      <c r="S298" s="225"/>
      <c r="T298" s="225"/>
      <c r="U298" s="225"/>
      <c r="V298" s="225"/>
      <c r="W298" s="225"/>
      <c r="X298" s="225"/>
      <c r="Y298" s="225"/>
      <c r="Z298" s="225"/>
      <c r="AA298" s="225"/>
      <c r="AB298" s="225"/>
      <c r="AC298" s="225"/>
      <c r="AD298" s="225"/>
      <c r="AE298" s="225"/>
      <c r="AF298" s="225"/>
      <c r="AG298" s="225"/>
      <c r="AH298" s="225"/>
      <c r="AI298" s="225"/>
      <c r="AJ298" s="225"/>
      <c r="AK298" s="225"/>
      <c r="AL298" s="225"/>
      <c r="AM298" s="225"/>
      <c r="AN298" s="225"/>
      <c r="AO298" s="225"/>
      <c r="AP298" s="225"/>
      <c r="AQ298" s="225"/>
      <c r="AR298" s="225"/>
    </row>
    <row r="299" spans="1:44" ht="15.75" customHeight="1">
      <c r="A299" s="131"/>
      <c r="B299" s="131"/>
      <c r="C299" s="131"/>
      <c r="D299" s="131"/>
      <c r="E299" s="131"/>
      <c r="F299" s="131"/>
      <c r="G299" s="131"/>
      <c r="H299" s="131"/>
      <c r="I299" s="131"/>
      <c r="J299" s="131"/>
      <c r="K299" s="131"/>
      <c r="L299" s="225"/>
      <c r="M299" s="225"/>
      <c r="N299" s="225"/>
      <c r="O299" s="225"/>
      <c r="P299" s="225"/>
      <c r="Q299" s="225"/>
      <c r="R299" s="225"/>
      <c r="S299" s="225"/>
      <c r="T299" s="225"/>
      <c r="U299" s="225"/>
      <c r="V299" s="225"/>
      <c r="W299" s="225"/>
      <c r="X299" s="225"/>
      <c r="Y299" s="225"/>
      <c r="Z299" s="225"/>
      <c r="AA299" s="225"/>
      <c r="AB299" s="225"/>
      <c r="AC299" s="225"/>
      <c r="AD299" s="225"/>
      <c r="AE299" s="225"/>
      <c r="AF299" s="225"/>
      <c r="AG299" s="225"/>
      <c r="AH299" s="225"/>
      <c r="AI299" s="225"/>
      <c r="AJ299" s="225"/>
      <c r="AK299" s="225"/>
      <c r="AL299" s="225"/>
      <c r="AM299" s="225"/>
      <c r="AN299" s="225"/>
      <c r="AO299" s="225"/>
      <c r="AP299" s="225"/>
      <c r="AQ299" s="225"/>
      <c r="AR299" s="225"/>
    </row>
    <row r="300" spans="1:44" ht="15.75" customHeight="1">
      <c r="A300" s="131"/>
      <c r="B300" s="131"/>
      <c r="C300" s="131"/>
      <c r="D300" s="131"/>
      <c r="E300" s="131"/>
      <c r="F300" s="131"/>
      <c r="G300" s="131"/>
      <c r="H300" s="131"/>
      <c r="I300" s="131"/>
      <c r="J300" s="131"/>
      <c r="K300" s="131"/>
      <c r="L300" s="225"/>
      <c r="M300" s="225"/>
      <c r="N300" s="225"/>
      <c r="O300" s="225"/>
      <c r="P300" s="225"/>
      <c r="Q300" s="225"/>
      <c r="R300" s="225"/>
      <c r="S300" s="225"/>
      <c r="T300" s="225"/>
      <c r="U300" s="225"/>
      <c r="V300" s="225"/>
      <c r="W300" s="225"/>
      <c r="X300" s="225"/>
      <c r="Y300" s="225"/>
      <c r="Z300" s="225"/>
      <c r="AA300" s="225"/>
      <c r="AB300" s="225"/>
      <c r="AC300" s="225"/>
      <c r="AD300" s="225"/>
      <c r="AE300" s="225"/>
      <c r="AF300" s="225"/>
      <c r="AG300" s="225"/>
      <c r="AH300" s="225"/>
      <c r="AI300" s="225"/>
      <c r="AJ300" s="225"/>
      <c r="AK300" s="225"/>
      <c r="AL300" s="225"/>
      <c r="AM300" s="225"/>
      <c r="AN300" s="225"/>
      <c r="AO300" s="225"/>
      <c r="AP300" s="225"/>
      <c r="AQ300" s="225"/>
      <c r="AR300" s="225"/>
    </row>
    <row r="301" spans="1:44" ht="15.75" customHeight="1">
      <c r="A301" s="131"/>
      <c r="B301" s="131"/>
      <c r="C301" s="131"/>
      <c r="D301" s="131"/>
      <c r="E301" s="131"/>
      <c r="F301" s="131"/>
      <c r="G301" s="131"/>
      <c r="H301" s="131"/>
      <c r="I301" s="131"/>
      <c r="J301" s="131"/>
      <c r="K301" s="131"/>
      <c r="L301" s="225"/>
      <c r="M301" s="225"/>
      <c r="N301" s="225"/>
      <c r="O301" s="225"/>
      <c r="P301" s="225"/>
      <c r="Q301" s="225"/>
      <c r="R301" s="225"/>
      <c r="S301" s="225"/>
      <c r="T301" s="225"/>
      <c r="U301" s="225"/>
      <c r="V301" s="225"/>
      <c r="W301" s="225"/>
      <c r="X301" s="225"/>
      <c r="Y301" s="225"/>
      <c r="Z301" s="225"/>
      <c r="AA301" s="225"/>
      <c r="AB301" s="225"/>
      <c r="AC301" s="225"/>
      <c r="AD301" s="225"/>
      <c r="AE301" s="225"/>
      <c r="AF301" s="225"/>
      <c r="AG301" s="225"/>
      <c r="AH301" s="225"/>
      <c r="AI301" s="225"/>
      <c r="AJ301" s="225"/>
      <c r="AK301" s="225"/>
      <c r="AL301" s="225"/>
      <c r="AM301" s="225"/>
      <c r="AN301" s="225"/>
      <c r="AO301" s="225"/>
      <c r="AP301" s="225"/>
      <c r="AQ301" s="225"/>
      <c r="AR301" s="225"/>
    </row>
    <row r="302" spans="1:44" ht="15.75" customHeight="1">
      <c r="A302" s="131"/>
      <c r="B302" s="131"/>
      <c r="C302" s="131"/>
      <c r="D302" s="131"/>
      <c r="E302" s="131"/>
      <c r="F302" s="131"/>
      <c r="G302" s="131"/>
      <c r="H302" s="131"/>
      <c r="I302" s="131"/>
      <c r="J302" s="131"/>
      <c r="K302" s="131"/>
      <c r="L302" s="225"/>
      <c r="M302" s="225"/>
      <c r="N302" s="225"/>
      <c r="O302" s="225"/>
      <c r="P302" s="225"/>
      <c r="Q302" s="225"/>
      <c r="R302" s="225"/>
      <c r="S302" s="225"/>
      <c r="T302" s="225"/>
      <c r="U302" s="225"/>
      <c r="V302" s="225"/>
      <c r="W302" s="225"/>
      <c r="X302" s="225"/>
      <c r="Y302" s="225"/>
      <c r="Z302" s="225"/>
      <c r="AA302" s="225"/>
      <c r="AB302" s="225"/>
      <c r="AC302" s="225"/>
      <c r="AD302" s="225"/>
      <c r="AE302" s="225"/>
      <c r="AF302" s="225"/>
      <c r="AG302" s="225"/>
      <c r="AH302" s="225"/>
      <c r="AI302" s="225"/>
      <c r="AJ302" s="225"/>
      <c r="AK302" s="225"/>
      <c r="AL302" s="225"/>
      <c r="AM302" s="225"/>
      <c r="AN302" s="225"/>
      <c r="AO302" s="225"/>
      <c r="AP302" s="225"/>
      <c r="AQ302" s="225"/>
      <c r="AR302" s="225"/>
    </row>
    <row r="303" spans="1:44" ht="15.75" customHeight="1">
      <c r="A303" s="131"/>
      <c r="B303" s="131"/>
      <c r="C303" s="131"/>
      <c r="D303" s="131"/>
      <c r="E303" s="131"/>
      <c r="F303" s="131"/>
      <c r="G303" s="131"/>
      <c r="H303" s="131"/>
      <c r="I303" s="131"/>
      <c r="J303" s="131"/>
      <c r="K303" s="131"/>
      <c r="L303" s="225"/>
      <c r="M303" s="225"/>
      <c r="N303" s="225"/>
      <c r="O303" s="225"/>
      <c r="P303" s="225"/>
      <c r="Q303" s="225"/>
      <c r="R303" s="225"/>
      <c r="S303" s="225"/>
      <c r="T303" s="225"/>
      <c r="U303" s="225"/>
      <c r="V303" s="225"/>
      <c r="W303" s="225"/>
      <c r="X303" s="225"/>
      <c r="Y303" s="225"/>
      <c r="Z303" s="225"/>
      <c r="AA303" s="225"/>
      <c r="AB303" s="225"/>
      <c r="AC303" s="225"/>
      <c r="AD303" s="225"/>
      <c r="AE303" s="225"/>
      <c r="AF303" s="225"/>
      <c r="AG303" s="225"/>
      <c r="AH303" s="225"/>
      <c r="AI303" s="225"/>
      <c r="AJ303" s="225"/>
      <c r="AK303" s="225"/>
      <c r="AL303" s="225"/>
      <c r="AM303" s="225"/>
      <c r="AN303" s="225"/>
      <c r="AO303" s="225"/>
      <c r="AP303" s="225"/>
      <c r="AQ303" s="225"/>
      <c r="AR303" s="225"/>
    </row>
    <row r="304" spans="1:44" ht="15.75" customHeight="1">
      <c r="A304" s="131"/>
      <c r="B304" s="131"/>
      <c r="C304" s="131"/>
      <c r="D304" s="131"/>
      <c r="E304" s="131"/>
      <c r="F304" s="131"/>
      <c r="G304" s="131"/>
      <c r="H304" s="131"/>
      <c r="I304" s="131"/>
      <c r="J304" s="131"/>
      <c r="K304" s="131"/>
      <c r="L304" s="225"/>
      <c r="M304" s="225"/>
      <c r="N304" s="225"/>
      <c r="O304" s="225"/>
      <c r="P304" s="225"/>
      <c r="Q304" s="225"/>
      <c r="R304" s="225"/>
      <c r="S304" s="225"/>
      <c r="T304" s="225"/>
      <c r="U304" s="225"/>
      <c r="V304" s="225"/>
      <c r="W304" s="225"/>
      <c r="X304" s="225"/>
      <c r="Y304" s="225"/>
      <c r="Z304" s="225"/>
      <c r="AA304" s="225"/>
      <c r="AB304" s="225"/>
      <c r="AC304" s="225"/>
      <c r="AD304" s="225"/>
      <c r="AE304" s="225"/>
      <c r="AF304" s="225"/>
      <c r="AG304" s="225"/>
      <c r="AH304" s="225"/>
      <c r="AI304" s="225"/>
      <c r="AJ304" s="225"/>
      <c r="AK304" s="225"/>
      <c r="AL304" s="225"/>
      <c r="AM304" s="225"/>
      <c r="AN304" s="225"/>
      <c r="AO304" s="225"/>
      <c r="AP304" s="225"/>
      <c r="AQ304" s="225"/>
      <c r="AR304" s="225"/>
    </row>
    <row r="305" spans="1:44" ht="15.75" customHeight="1">
      <c r="A305" s="131"/>
      <c r="B305" s="131"/>
      <c r="C305" s="131"/>
      <c r="D305" s="131"/>
      <c r="E305" s="131"/>
      <c r="F305" s="131"/>
      <c r="G305" s="131"/>
      <c r="H305" s="131"/>
      <c r="I305" s="131"/>
      <c r="J305" s="131"/>
      <c r="K305" s="131"/>
      <c r="L305" s="225"/>
      <c r="M305" s="225"/>
      <c r="N305" s="225"/>
      <c r="O305" s="225"/>
      <c r="P305" s="225"/>
      <c r="Q305" s="225"/>
      <c r="R305" s="225"/>
      <c r="S305" s="225"/>
      <c r="T305" s="225"/>
      <c r="U305" s="225"/>
      <c r="V305" s="225"/>
      <c r="W305" s="225"/>
      <c r="X305" s="225"/>
      <c r="Y305" s="225"/>
      <c r="Z305" s="225"/>
      <c r="AA305" s="225"/>
      <c r="AB305" s="225"/>
      <c r="AC305" s="225"/>
      <c r="AD305" s="225"/>
      <c r="AE305" s="225"/>
      <c r="AF305" s="225"/>
      <c r="AG305" s="225"/>
      <c r="AH305" s="225"/>
      <c r="AI305" s="225"/>
      <c r="AJ305" s="225"/>
      <c r="AK305" s="225"/>
      <c r="AL305" s="225"/>
      <c r="AM305" s="225"/>
      <c r="AN305" s="225"/>
      <c r="AO305" s="225"/>
      <c r="AP305" s="225"/>
      <c r="AQ305" s="225"/>
      <c r="AR305" s="225"/>
    </row>
    <row r="306" spans="1:44" ht="15.75" customHeight="1">
      <c r="A306" s="131"/>
      <c r="B306" s="131"/>
      <c r="C306" s="131"/>
      <c r="D306" s="131"/>
      <c r="E306" s="131"/>
      <c r="F306" s="131"/>
      <c r="G306" s="131"/>
      <c r="H306" s="131"/>
      <c r="I306" s="131"/>
      <c r="J306" s="131"/>
      <c r="K306" s="131"/>
      <c r="L306" s="225"/>
      <c r="M306" s="225"/>
      <c r="N306" s="225"/>
      <c r="O306" s="225"/>
      <c r="P306" s="225"/>
      <c r="Q306" s="225"/>
      <c r="R306" s="225"/>
      <c r="S306" s="225"/>
      <c r="T306" s="225"/>
      <c r="U306" s="225"/>
      <c r="V306" s="225"/>
      <c r="W306" s="225"/>
      <c r="X306" s="225"/>
      <c r="Y306" s="225"/>
      <c r="Z306" s="225"/>
      <c r="AA306" s="225"/>
      <c r="AB306" s="225"/>
      <c r="AC306" s="225"/>
      <c r="AD306" s="225"/>
      <c r="AE306" s="225"/>
      <c r="AF306" s="225"/>
      <c r="AG306" s="225"/>
      <c r="AH306" s="225"/>
      <c r="AI306" s="225"/>
      <c r="AJ306" s="225"/>
      <c r="AK306" s="225"/>
      <c r="AL306" s="225"/>
      <c r="AM306" s="225"/>
      <c r="AN306" s="225"/>
      <c r="AO306" s="225"/>
      <c r="AP306" s="225"/>
      <c r="AQ306" s="225"/>
      <c r="AR306" s="225"/>
    </row>
    <row r="307" spans="1:44" ht="15.75" customHeight="1">
      <c r="A307" s="131"/>
      <c r="B307" s="131"/>
      <c r="C307" s="131"/>
      <c r="D307" s="131"/>
      <c r="E307" s="131"/>
      <c r="F307" s="131"/>
      <c r="G307" s="131"/>
      <c r="H307" s="131"/>
      <c r="I307" s="131"/>
      <c r="J307" s="131"/>
      <c r="K307" s="131"/>
      <c r="L307" s="225"/>
      <c r="M307" s="225"/>
      <c r="N307" s="225"/>
      <c r="O307" s="225"/>
      <c r="P307" s="225"/>
      <c r="Q307" s="225"/>
      <c r="R307" s="225"/>
      <c r="S307" s="225"/>
      <c r="T307" s="225"/>
      <c r="U307" s="225"/>
      <c r="V307" s="225"/>
      <c r="W307" s="225"/>
      <c r="X307" s="225"/>
      <c r="Y307" s="225"/>
      <c r="Z307" s="225"/>
      <c r="AA307" s="225"/>
      <c r="AB307" s="225"/>
      <c r="AC307" s="225"/>
      <c r="AD307" s="225"/>
      <c r="AE307" s="225"/>
      <c r="AF307" s="225"/>
      <c r="AG307" s="225"/>
      <c r="AH307" s="225"/>
      <c r="AI307" s="225"/>
      <c r="AJ307" s="225"/>
      <c r="AK307" s="225"/>
      <c r="AL307" s="225"/>
      <c r="AM307" s="225"/>
      <c r="AN307" s="225"/>
      <c r="AO307" s="225"/>
      <c r="AP307" s="225"/>
      <c r="AQ307" s="225"/>
      <c r="AR307" s="225"/>
    </row>
    <row r="308" spans="1:44" ht="15.75" customHeight="1">
      <c r="A308" s="131"/>
      <c r="B308" s="131"/>
      <c r="C308" s="131"/>
      <c r="D308" s="131"/>
      <c r="E308" s="131"/>
      <c r="F308" s="131"/>
      <c r="G308" s="131"/>
      <c r="H308" s="131"/>
      <c r="I308" s="131"/>
      <c r="J308" s="131"/>
      <c r="K308" s="131"/>
      <c r="L308" s="225"/>
      <c r="M308" s="225"/>
      <c r="N308" s="225"/>
      <c r="O308" s="225"/>
      <c r="P308" s="225"/>
      <c r="Q308" s="225"/>
      <c r="R308" s="225"/>
      <c r="S308" s="225"/>
      <c r="T308" s="225"/>
      <c r="U308" s="225"/>
      <c r="V308" s="225"/>
      <c r="W308" s="225"/>
      <c r="X308" s="225"/>
      <c r="Y308" s="225"/>
      <c r="Z308" s="225"/>
      <c r="AA308" s="225"/>
      <c r="AB308" s="225"/>
      <c r="AC308" s="225"/>
      <c r="AD308" s="225"/>
      <c r="AE308" s="225"/>
      <c r="AF308" s="225"/>
      <c r="AG308" s="225"/>
      <c r="AH308" s="225"/>
      <c r="AI308" s="225"/>
      <c r="AJ308" s="225"/>
      <c r="AK308" s="225"/>
      <c r="AL308" s="225"/>
      <c r="AM308" s="225"/>
      <c r="AN308" s="225"/>
      <c r="AO308" s="225"/>
      <c r="AP308" s="225"/>
      <c r="AQ308" s="225"/>
      <c r="AR308" s="225"/>
    </row>
    <row r="309" spans="1:44" ht="15.75" customHeight="1">
      <c r="A309" s="131"/>
      <c r="B309" s="131"/>
      <c r="C309" s="131"/>
      <c r="D309" s="131"/>
      <c r="E309" s="131"/>
      <c r="F309" s="131"/>
      <c r="G309" s="131"/>
      <c r="H309" s="131"/>
      <c r="I309" s="131"/>
      <c r="J309" s="131"/>
      <c r="K309" s="131"/>
      <c r="L309" s="225"/>
      <c r="M309" s="225"/>
      <c r="N309" s="225"/>
      <c r="O309" s="225"/>
      <c r="P309" s="225"/>
      <c r="Q309" s="225"/>
      <c r="R309" s="225"/>
      <c r="S309" s="225"/>
      <c r="T309" s="225"/>
      <c r="U309" s="225"/>
      <c r="V309" s="225"/>
      <c r="W309" s="225"/>
      <c r="X309" s="225"/>
      <c r="Y309" s="225"/>
      <c r="Z309" s="225"/>
      <c r="AA309" s="225"/>
      <c r="AB309" s="225"/>
      <c r="AC309" s="225"/>
      <c r="AD309" s="225"/>
      <c r="AE309" s="225"/>
      <c r="AF309" s="225"/>
      <c r="AG309" s="225"/>
      <c r="AH309" s="225"/>
      <c r="AI309" s="225"/>
      <c r="AJ309" s="225"/>
      <c r="AK309" s="225"/>
      <c r="AL309" s="225"/>
      <c r="AM309" s="225"/>
      <c r="AN309" s="225"/>
      <c r="AO309" s="225"/>
      <c r="AP309" s="225"/>
      <c r="AQ309" s="225"/>
      <c r="AR309" s="225"/>
    </row>
    <row r="310" spans="1:44" ht="15.75" customHeight="1">
      <c r="A310" s="131"/>
      <c r="B310" s="131"/>
      <c r="C310" s="131"/>
      <c r="D310" s="131"/>
      <c r="E310" s="131"/>
      <c r="F310" s="131"/>
      <c r="G310" s="131"/>
      <c r="H310" s="131"/>
      <c r="I310" s="131"/>
      <c r="J310" s="131"/>
      <c r="K310" s="131"/>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row>
    <row r="311" spans="1:44" ht="15.75" customHeight="1">
      <c r="A311" s="131"/>
      <c r="B311" s="131"/>
      <c r="C311" s="131"/>
      <c r="D311" s="131"/>
      <c r="E311" s="131"/>
      <c r="F311" s="131"/>
      <c r="G311" s="131"/>
      <c r="H311" s="131"/>
      <c r="I311" s="131"/>
      <c r="J311" s="131"/>
      <c r="K311" s="131"/>
      <c r="L311" s="225"/>
      <c r="M311" s="225"/>
      <c r="N311" s="225"/>
      <c r="O311" s="225"/>
      <c r="P311" s="225"/>
      <c r="Q311" s="225"/>
      <c r="R311" s="225"/>
      <c r="S311" s="225"/>
      <c r="T311" s="225"/>
      <c r="U311" s="225"/>
      <c r="V311" s="225"/>
      <c r="W311" s="225"/>
      <c r="X311" s="225"/>
      <c r="Y311" s="225"/>
      <c r="Z311" s="225"/>
      <c r="AA311" s="225"/>
      <c r="AB311" s="225"/>
      <c r="AC311" s="225"/>
      <c r="AD311" s="225"/>
      <c r="AE311" s="225"/>
      <c r="AF311" s="225"/>
      <c r="AG311" s="225"/>
      <c r="AH311" s="225"/>
      <c r="AI311" s="225"/>
      <c r="AJ311" s="225"/>
      <c r="AK311" s="225"/>
      <c r="AL311" s="225"/>
      <c r="AM311" s="225"/>
      <c r="AN311" s="225"/>
      <c r="AO311" s="225"/>
      <c r="AP311" s="225"/>
      <c r="AQ311" s="225"/>
      <c r="AR311" s="225"/>
    </row>
    <row r="312" spans="1:44" ht="15.75" customHeight="1">
      <c r="A312" s="131"/>
      <c r="B312" s="131"/>
      <c r="C312" s="131"/>
      <c r="D312" s="131"/>
      <c r="E312" s="131"/>
      <c r="F312" s="131"/>
      <c r="G312" s="131"/>
      <c r="H312" s="131"/>
      <c r="I312" s="131"/>
      <c r="J312" s="131"/>
      <c r="K312" s="131"/>
      <c r="L312" s="225"/>
      <c r="M312" s="225"/>
      <c r="N312" s="225"/>
      <c r="O312" s="225"/>
      <c r="P312" s="225"/>
      <c r="Q312" s="225"/>
      <c r="R312" s="225"/>
      <c r="S312" s="225"/>
      <c r="T312" s="225"/>
      <c r="U312" s="225"/>
      <c r="V312" s="225"/>
      <c r="W312" s="225"/>
      <c r="X312" s="225"/>
      <c r="Y312" s="225"/>
      <c r="Z312" s="225"/>
      <c r="AA312" s="225"/>
      <c r="AB312" s="225"/>
      <c r="AC312" s="225"/>
      <c r="AD312" s="225"/>
      <c r="AE312" s="225"/>
      <c r="AF312" s="225"/>
      <c r="AG312" s="225"/>
      <c r="AH312" s="225"/>
      <c r="AI312" s="225"/>
      <c r="AJ312" s="225"/>
      <c r="AK312" s="225"/>
      <c r="AL312" s="225"/>
      <c r="AM312" s="225"/>
      <c r="AN312" s="225"/>
      <c r="AO312" s="225"/>
      <c r="AP312" s="225"/>
      <c r="AQ312" s="225"/>
      <c r="AR312" s="225"/>
    </row>
    <row r="313" spans="1:44" ht="15.75" customHeight="1">
      <c r="A313" s="131"/>
      <c r="B313" s="131"/>
      <c r="C313" s="131"/>
      <c r="D313" s="131"/>
      <c r="E313" s="131"/>
      <c r="F313" s="131"/>
      <c r="G313" s="131"/>
      <c r="H313" s="131"/>
      <c r="I313" s="131"/>
      <c r="J313" s="131"/>
      <c r="K313" s="131"/>
      <c r="L313" s="225"/>
      <c r="M313" s="225"/>
      <c r="N313" s="225"/>
      <c r="O313" s="225"/>
      <c r="P313" s="225"/>
      <c r="Q313" s="225"/>
      <c r="R313" s="225"/>
      <c r="S313" s="225"/>
      <c r="T313" s="225"/>
      <c r="U313" s="225"/>
      <c r="V313" s="225"/>
      <c r="W313" s="225"/>
      <c r="X313" s="225"/>
      <c r="Y313" s="225"/>
      <c r="Z313" s="225"/>
      <c r="AA313" s="225"/>
      <c r="AB313" s="225"/>
      <c r="AC313" s="225"/>
      <c r="AD313" s="225"/>
      <c r="AE313" s="225"/>
      <c r="AF313" s="225"/>
      <c r="AG313" s="225"/>
      <c r="AH313" s="225"/>
      <c r="AI313" s="225"/>
      <c r="AJ313" s="225"/>
      <c r="AK313" s="225"/>
      <c r="AL313" s="225"/>
      <c r="AM313" s="225"/>
      <c r="AN313" s="225"/>
      <c r="AO313" s="225"/>
      <c r="AP313" s="225"/>
      <c r="AQ313" s="225"/>
      <c r="AR313" s="225"/>
    </row>
    <row r="314" spans="1:44" ht="15.75" customHeight="1">
      <c r="A314" s="131"/>
      <c r="B314" s="131"/>
      <c r="C314" s="131"/>
      <c r="D314" s="131"/>
      <c r="E314" s="131"/>
      <c r="F314" s="131"/>
      <c r="G314" s="131"/>
      <c r="H314" s="131"/>
      <c r="I314" s="131"/>
      <c r="J314" s="131"/>
      <c r="K314" s="131"/>
      <c r="L314" s="225"/>
      <c r="M314" s="225"/>
      <c r="N314" s="225"/>
      <c r="O314" s="225"/>
      <c r="P314" s="225"/>
      <c r="Q314" s="225"/>
      <c r="R314" s="225"/>
      <c r="S314" s="225"/>
      <c r="T314" s="225"/>
      <c r="U314" s="225"/>
      <c r="V314" s="225"/>
      <c r="W314" s="225"/>
      <c r="X314" s="225"/>
      <c r="Y314" s="225"/>
      <c r="Z314" s="225"/>
      <c r="AA314" s="225"/>
      <c r="AB314" s="225"/>
      <c r="AC314" s="225"/>
      <c r="AD314" s="225"/>
      <c r="AE314" s="225"/>
      <c r="AF314" s="225"/>
      <c r="AG314" s="225"/>
      <c r="AH314" s="225"/>
      <c r="AI314" s="225"/>
      <c r="AJ314" s="225"/>
      <c r="AK314" s="225"/>
      <c r="AL314" s="225"/>
      <c r="AM314" s="225"/>
      <c r="AN314" s="225"/>
      <c r="AO314" s="225"/>
      <c r="AP314" s="225"/>
      <c r="AQ314" s="225"/>
      <c r="AR314" s="225"/>
    </row>
    <row r="315" spans="1:44" ht="15.75" customHeight="1">
      <c r="A315" s="131"/>
      <c r="B315" s="131"/>
      <c r="C315" s="131"/>
      <c r="D315" s="131"/>
      <c r="E315" s="131"/>
      <c r="F315" s="131"/>
      <c r="G315" s="131"/>
      <c r="H315" s="131"/>
      <c r="I315" s="131"/>
      <c r="J315" s="131"/>
      <c r="K315" s="131"/>
      <c r="L315" s="225"/>
      <c r="M315" s="225"/>
      <c r="N315" s="225"/>
      <c r="O315" s="225"/>
      <c r="P315" s="225"/>
      <c r="Q315" s="225"/>
      <c r="R315" s="225"/>
      <c r="S315" s="225"/>
      <c r="T315" s="225"/>
      <c r="U315" s="225"/>
      <c r="V315" s="225"/>
      <c r="W315" s="225"/>
      <c r="X315" s="225"/>
      <c r="Y315" s="225"/>
      <c r="Z315" s="225"/>
      <c r="AA315" s="225"/>
      <c r="AB315" s="225"/>
      <c r="AC315" s="225"/>
      <c r="AD315" s="225"/>
      <c r="AE315" s="225"/>
      <c r="AF315" s="225"/>
      <c r="AG315" s="225"/>
      <c r="AH315" s="225"/>
      <c r="AI315" s="225"/>
      <c r="AJ315" s="225"/>
      <c r="AK315" s="225"/>
      <c r="AL315" s="225"/>
      <c r="AM315" s="225"/>
      <c r="AN315" s="225"/>
      <c r="AO315" s="225"/>
      <c r="AP315" s="225"/>
      <c r="AQ315" s="225"/>
      <c r="AR315" s="225"/>
    </row>
    <row r="316" spans="1:44" ht="15.75" customHeight="1">
      <c r="A316" s="131"/>
      <c r="B316" s="131"/>
      <c r="C316" s="131"/>
      <c r="D316" s="131"/>
      <c r="E316" s="131"/>
      <c r="F316" s="131"/>
      <c r="G316" s="131"/>
      <c r="H316" s="131"/>
      <c r="I316" s="131"/>
      <c r="J316" s="131"/>
      <c r="K316" s="131"/>
      <c r="L316" s="225"/>
      <c r="M316" s="225"/>
      <c r="N316" s="225"/>
      <c r="O316" s="225"/>
      <c r="P316" s="225"/>
      <c r="Q316" s="225"/>
      <c r="R316" s="225"/>
      <c r="S316" s="225"/>
      <c r="T316" s="225"/>
      <c r="U316" s="225"/>
      <c r="V316" s="225"/>
      <c r="W316" s="225"/>
      <c r="X316" s="225"/>
      <c r="Y316" s="225"/>
      <c r="Z316" s="225"/>
      <c r="AA316" s="225"/>
      <c r="AB316" s="225"/>
      <c r="AC316" s="225"/>
      <c r="AD316" s="225"/>
      <c r="AE316" s="225"/>
      <c r="AF316" s="225"/>
      <c r="AG316" s="225"/>
      <c r="AH316" s="225"/>
      <c r="AI316" s="225"/>
      <c r="AJ316" s="225"/>
      <c r="AK316" s="225"/>
      <c r="AL316" s="225"/>
      <c r="AM316" s="225"/>
      <c r="AN316" s="225"/>
      <c r="AO316" s="225"/>
      <c r="AP316" s="225"/>
      <c r="AQ316" s="225"/>
      <c r="AR316" s="225"/>
    </row>
    <row r="317" spans="1:44" ht="15.75" customHeight="1">
      <c r="A317" s="131"/>
      <c r="B317" s="131"/>
      <c r="C317" s="131"/>
      <c r="D317" s="131"/>
      <c r="E317" s="131"/>
      <c r="F317" s="131"/>
      <c r="G317" s="131"/>
      <c r="H317" s="131"/>
      <c r="I317" s="131"/>
      <c r="J317" s="131"/>
      <c r="K317" s="131"/>
      <c r="L317" s="225"/>
      <c r="M317" s="225"/>
      <c r="N317" s="225"/>
      <c r="O317" s="225"/>
      <c r="P317" s="225"/>
      <c r="Q317" s="225"/>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row>
    <row r="318" spans="1:44" ht="15.75" customHeight="1">
      <c r="A318" s="131"/>
      <c r="B318" s="131"/>
      <c r="C318" s="131"/>
      <c r="D318" s="131"/>
      <c r="E318" s="131"/>
      <c r="F318" s="131"/>
      <c r="G318" s="131"/>
      <c r="H318" s="131"/>
      <c r="I318" s="131"/>
      <c r="J318" s="131"/>
      <c r="K318" s="131"/>
      <c r="L318" s="225"/>
      <c r="M318" s="225"/>
      <c r="N318" s="225"/>
      <c r="O318" s="225"/>
      <c r="P318" s="225"/>
      <c r="Q318" s="225"/>
      <c r="R318" s="225"/>
      <c r="S318" s="225"/>
      <c r="T318" s="225"/>
      <c r="U318" s="225"/>
      <c r="V318" s="225"/>
      <c r="W318" s="225"/>
      <c r="X318" s="225"/>
      <c r="Y318" s="225"/>
      <c r="Z318" s="225"/>
      <c r="AA318" s="225"/>
      <c r="AB318" s="225"/>
      <c r="AC318" s="225"/>
      <c r="AD318" s="225"/>
      <c r="AE318" s="225"/>
      <c r="AF318" s="225"/>
      <c r="AG318" s="225"/>
      <c r="AH318" s="225"/>
      <c r="AI318" s="225"/>
      <c r="AJ318" s="225"/>
      <c r="AK318" s="225"/>
      <c r="AL318" s="225"/>
      <c r="AM318" s="225"/>
      <c r="AN318" s="225"/>
      <c r="AO318" s="225"/>
      <c r="AP318" s="225"/>
      <c r="AQ318" s="225"/>
      <c r="AR318" s="225"/>
    </row>
    <row r="319" spans="1:44" ht="15.75" customHeight="1">
      <c r="A319" s="131"/>
      <c r="B319" s="131"/>
      <c r="C319" s="131"/>
      <c r="D319" s="131"/>
      <c r="E319" s="131"/>
      <c r="F319" s="131"/>
      <c r="G319" s="131"/>
      <c r="H319" s="131"/>
      <c r="I319" s="131"/>
      <c r="J319" s="131"/>
      <c r="K319" s="131"/>
      <c r="L319" s="225"/>
      <c r="M319" s="225"/>
      <c r="N319" s="225"/>
      <c r="O319" s="225"/>
      <c r="P319" s="225"/>
      <c r="Q319" s="225"/>
      <c r="R319" s="225"/>
      <c r="S319" s="225"/>
      <c r="T319" s="225"/>
      <c r="U319" s="225"/>
      <c r="V319" s="225"/>
      <c r="W319" s="225"/>
      <c r="X319" s="225"/>
      <c r="Y319" s="225"/>
      <c r="Z319" s="225"/>
      <c r="AA319" s="225"/>
      <c r="AB319" s="225"/>
      <c r="AC319" s="225"/>
      <c r="AD319" s="225"/>
      <c r="AE319" s="225"/>
      <c r="AF319" s="225"/>
      <c r="AG319" s="225"/>
      <c r="AH319" s="225"/>
      <c r="AI319" s="225"/>
      <c r="AJ319" s="225"/>
      <c r="AK319" s="225"/>
      <c r="AL319" s="225"/>
      <c r="AM319" s="225"/>
      <c r="AN319" s="225"/>
      <c r="AO319" s="225"/>
      <c r="AP319" s="225"/>
      <c r="AQ319" s="225"/>
      <c r="AR319" s="225"/>
    </row>
    <row r="320" spans="1:44" ht="15.75" customHeight="1">
      <c r="A320" s="131"/>
      <c r="B320" s="131"/>
      <c r="C320" s="131"/>
      <c r="D320" s="131"/>
      <c r="E320" s="131"/>
      <c r="F320" s="131"/>
      <c r="G320" s="131"/>
      <c r="H320" s="131"/>
      <c r="I320" s="131"/>
      <c r="J320" s="131"/>
      <c r="K320" s="131"/>
      <c r="L320" s="225"/>
      <c r="M320" s="225"/>
      <c r="N320" s="225"/>
      <c r="O320" s="225"/>
      <c r="P320" s="225"/>
      <c r="Q320" s="225"/>
      <c r="R320" s="225"/>
      <c r="S320" s="225"/>
      <c r="T320" s="225"/>
      <c r="U320" s="225"/>
      <c r="V320" s="225"/>
      <c r="W320" s="225"/>
      <c r="X320" s="225"/>
      <c r="Y320" s="225"/>
      <c r="Z320" s="225"/>
      <c r="AA320" s="225"/>
      <c r="AB320" s="225"/>
      <c r="AC320" s="225"/>
      <c r="AD320" s="225"/>
      <c r="AE320" s="225"/>
      <c r="AF320" s="225"/>
      <c r="AG320" s="225"/>
      <c r="AH320" s="225"/>
      <c r="AI320" s="225"/>
      <c r="AJ320" s="225"/>
      <c r="AK320" s="225"/>
      <c r="AL320" s="225"/>
      <c r="AM320" s="225"/>
      <c r="AN320" s="225"/>
      <c r="AO320" s="225"/>
      <c r="AP320" s="225"/>
      <c r="AQ320" s="225"/>
      <c r="AR320" s="225"/>
    </row>
    <row r="321" spans="1:44" ht="15.75" customHeight="1">
      <c r="A321" s="131"/>
      <c r="B321" s="131"/>
      <c r="C321" s="131"/>
      <c r="D321" s="131"/>
      <c r="E321" s="131"/>
      <c r="F321" s="131"/>
      <c r="G321" s="131"/>
      <c r="H321" s="131"/>
      <c r="I321" s="131"/>
      <c r="J321" s="131"/>
      <c r="K321" s="131"/>
      <c r="L321" s="225"/>
      <c r="M321" s="225"/>
      <c r="N321" s="225"/>
      <c r="O321" s="225"/>
      <c r="P321" s="225"/>
      <c r="Q321" s="225"/>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row>
    <row r="322" spans="1:44" ht="15.75" customHeight="1">
      <c r="A322" s="131"/>
      <c r="B322" s="131"/>
      <c r="C322" s="131"/>
      <c r="D322" s="131"/>
      <c r="E322" s="131"/>
      <c r="F322" s="131"/>
      <c r="G322" s="131"/>
      <c r="H322" s="131"/>
      <c r="I322" s="131"/>
      <c r="J322" s="131"/>
      <c r="K322" s="131"/>
      <c r="L322" s="225"/>
      <c r="M322" s="225"/>
      <c r="N322" s="225"/>
      <c r="O322" s="225"/>
      <c r="P322" s="225"/>
      <c r="Q322" s="225"/>
      <c r="R322" s="225"/>
      <c r="S322" s="225"/>
      <c r="T322" s="225"/>
      <c r="U322" s="225"/>
      <c r="V322" s="225"/>
      <c r="W322" s="225"/>
      <c r="X322" s="225"/>
      <c r="Y322" s="225"/>
      <c r="Z322" s="225"/>
      <c r="AA322" s="225"/>
      <c r="AB322" s="225"/>
      <c r="AC322" s="225"/>
      <c r="AD322" s="225"/>
      <c r="AE322" s="225"/>
      <c r="AF322" s="225"/>
      <c r="AG322" s="225"/>
      <c r="AH322" s="225"/>
      <c r="AI322" s="225"/>
      <c r="AJ322" s="225"/>
      <c r="AK322" s="225"/>
      <c r="AL322" s="225"/>
      <c r="AM322" s="225"/>
      <c r="AN322" s="225"/>
      <c r="AO322" s="225"/>
      <c r="AP322" s="225"/>
      <c r="AQ322" s="225"/>
      <c r="AR322" s="225"/>
    </row>
    <row r="323" spans="1:44" ht="15.75" customHeight="1">
      <c r="A323" s="131"/>
      <c r="B323" s="131"/>
      <c r="C323" s="131"/>
      <c r="D323" s="131"/>
      <c r="E323" s="131"/>
      <c r="F323" s="131"/>
      <c r="G323" s="131"/>
      <c r="H323" s="131"/>
      <c r="I323" s="131"/>
      <c r="J323" s="131"/>
      <c r="K323" s="131"/>
      <c r="L323" s="225"/>
      <c r="M323" s="225"/>
      <c r="N323" s="225"/>
      <c r="O323" s="225"/>
      <c r="P323" s="225"/>
      <c r="Q323" s="225"/>
      <c r="R323" s="225"/>
      <c r="S323" s="225"/>
      <c r="T323" s="225"/>
      <c r="U323" s="225"/>
      <c r="V323" s="225"/>
      <c r="W323" s="225"/>
      <c r="X323" s="225"/>
      <c r="Y323" s="225"/>
      <c r="Z323" s="225"/>
      <c r="AA323" s="225"/>
      <c r="AB323" s="225"/>
      <c r="AC323" s="225"/>
      <c r="AD323" s="225"/>
      <c r="AE323" s="225"/>
      <c r="AF323" s="225"/>
      <c r="AG323" s="225"/>
      <c r="AH323" s="225"/>
      <c r="AI323" s="225"/>
      <c r="AJ323" s="225"/>
      <c r="AK323" s="225"/>
      <c r="AL323" s="225"/>
      <c r="AM323" s="225"/>
      <c r="AN323" s="225"/>
      <c r="AO323" s="225"/>
      <c r="AP323" s="225"/>
      <c r="AQ323" s="225"/>
      <c r="AR323" s="225"/>
    </row>
    <row r="324" spans="1:44" ht="15.75" customHeight="1">
      <c r="A324" s="131"/>
      <c r="B324" s="131"/>
      <c r="C324" s="131"/>
      <c r="D324" s="131"/>
      <c r="E324" s="131"/>
      <c r="F324" s="131"/>
      <c r="G324" s="131"/>
      <c r="H324" s="131"/>
      <c r="I324" s="131"/>
      <c r="J324" s="131"/>
      <c r="K324" s="131"/>
      <c r="L324" s="225"/>
      <c r="M324" s="225"/>
      <c r="N324" s="225"/>
      <c r="O324" s="225"/>
      <c r="P324" s="225"/>
      <c r="Q324" s="225"/>
      <c r="R324" s="225"/>
      <c r="S324" s="225"/>
      <c r="T324" s="225"/>
      <c r="U324" s="225"/>
      <c r="V324" s="225"/>
      <c r="W324" s="225"/>
      <c r="X324" s="225"/>
      <c r="Y324" s="225"/>
      <c r="Z324" s="225"/>
      <c r="AA324" s="225"/>
      <c r="AB324" s="225"/>
      <c r="AC324" s="225"/>
      <c r="AD324" s="225"/>
      <c r="AE324" s="225"/>
      <c r="AF324" s="225"/>
      <c r="AG324" s="225"/>
      <c r="AH324" s="225"/>
      <c r="AI324" s="225"/>
      <c r="AJ324" s="225"/>
      <c r="AK324" s="225"/>
      <c r="AL324" s="225"/>
      <c r="AM324" s="225"/>
      <c r="AN324" s="225"/>
      <c r="AO324" s="225"/>
      <c r="AP324" s="225"/>
      <c r="AQ324" s="225"/>
      <c r="AR324" s="225"/>
    </row>
    <row r="325" spans="1:44" ht="15.75" customHeight="1">
      <c r="A325" s="131"/>
      <c r="B325" s="131"/>
      <c r="C325" s="131"/>
      <c r="D325" s="131"/>
      <c r="E325" s="131"/>
      <c r="F325" s="131"/>
      <c r="G325" s="131"/>
      <c r="H325" s="131"/>
      <c r="I325" s="131"/>
      <c r="J325" s="131"/>
      <c r="K325" s="131"/>
      <c r="L325" s="225"/>
      <c r="M325" s="225"/>
      <c r="N325" s="225"/>
      <c r="O325" s="225"/>
      <c r="P325" s="225"/>
      <c r="Q325" s="225"/>
      <c r="R325" s="225"/>
      <c r="S325" s="225"/>
      <c r="T325" s="225"/>
      <c r="U325" s="225"/>
      <c r="V325" s="225"/>
      <c r="W325" s="225"/>
      <c r="X325" s="225"/>
      <c r="Y325" s="225"/>
      <c r="Z325" s="225"/>
      <c r="AA325" s="225"/>
      <c r="AB325" s="225"/>
      <c r="AC325" s="225"/>
      <c r="AD325" s="225"/>
      <c r="AE325" s="225"/>
      <c r="AF325" s="225"/>
      <c r="AG325" s="225"/>
      <c r="AH325" s="225"/>
      <c r="AI325" s="225"/>
      <c r="AJ325" s="225"/>
      <c r="AK325" s="225"/>
      <c r="AL325" s="225"/>
      <c r="AM325" s="225"/>
      <c r="AN325" s="225"/>
      <c r="AO325" s="225"/>
      <c r="AP325" s="225"/>
      <c r="AQ325" s="225"/>
      <c r="AR325" s="225"/>
    </row>
    <row r="326" spans="1:44" ht="15.75" customHeight="1">
      <c r="A326" s="131"/>
      <c r="B326" s="131"/>
      <c r="C326" s="131"/>
      <c r="D326" s="131"/>
      <c r="E326" s="131"/>
      <c r="F326" s="131"/>
      <c r="G326" s="131"/>
      <c r="H326" s="131"/>
      <c r="I326" s="131"/>
      <c r="J326" s="131"/>
      <c r="K326" s="131"/>
      <c r="L326" s="225"/>
      <c r="M326" s="225"/>
      <c r="N326" s="225"/>
      <c r="O326" s="225"/>
      <c r="P326" s="225"/>
      <c r="Q326" s="225"/>
      <c r="R326" s="225"/>
      <c r="S326" s="225"/>
      <c r="T326" s="225"/>
      <c r="U326" s="225"/>
      <c r="V326" s="225"/>
      <c r="W326" s="225"/>
      <c r="X326" s="225"/>
      <c r="Y326" s="225"/>
      <c r="Z326" s="225"/>
      <c r="AA326" s="225"/>
      <c r="AB326" s="225"/>
      <c r="AC326" s="225"/>
      <c r="AD326" s="225"/>
      <c r="AE326" s="225"/>
      <c r="AF326" s="225"/>
      <c r="AG326" s="225"/>
      <c r="AH326" s="225"/>
      <c r="AI326" s="225"/>
      <c r="AJ326" s="225"/>
      <c r="AK326" s="225"/>
      <c r="AL326" s="225"/>
      <c r="AM326" s="225"/>
      <c r="AN326" s="225"/>
      <c r="AO326" s="225"/>
      <c r="AP326" s="225"/>
      <c r="AQ326" s="225"/>
      <c r="AR326" s="225"/>
    </row>
    <row r="327" spans="1:44" ht="15.75" customHeight="1">
      <c r="A327" s="131"/>
      <c r="B327" s="131"/>
      <c r="C327" s="131"/>
      <c r="D327" s="131"/>
      <c r="E327" s="131"/>
      <c r="F327" s="131"/>
      <c r="G327" s="131"/>
      <c r="H327" s="131"/>
      <c r="I327" s="131"/>
      <c r="J327" s="131"/>
      <c r="K327" s="131"/>
      <c r="L327" s="225"/>
      <c r="M327" s="225"/>
      <c r="N327" s="225"/>
      <c r="O327" s="225"/>
      <c r="P327" s="225"/>
      <c r="Q327" s="225"/>
      <c r="R327" s="225"/>
      <c r="S327" s="225"/>
      <c r="T327" s="225"/>
      <c r="U327" s="225"/>
      <c r="V327" s="225"/>
      <c r="W327" s="225"/>
      <c r="X327" s="225"/>
      <c r="Y327" s="225"/>
      <c r="Z327" s="225"/>
      <c r="AA327" s="225"/>
      <c r="AB327" s="225"/>
      <c r="AC327" s="225"/>
      <c r="AD327" s="225"/>
      <c r="AE327" s="225"/>
      <c r="AF327" s="225"/>
      <c r="AG327" s="225"/>
      <c r="AH327" s="225"/>
      <c r="AI327" s="225"/>
      <c r="AJ327" s="225"/>
      <c r="AK327" s="225"/>
      <c r="AL327" s="225"/>
      <c r="AM327" s="225"/>
      <c r="AN327" s="225"/>
      <c r="AO327" s="225"/>
      <c r="AP327" s="225"/>
      <c r="AQ327" s="225"/>
      <c r="AR327" s="225"/>
    </row>
    <row r="328" spans="1:44" ht="15.75" customHeight="1">
      <c r="A328" s="131"/>
      <c r="B328" s="131"/>
      <c r="C328" s="131"/>
      <c r="D328" s="131"/>
      <c r="E328" s="131"/>
      <c r="F328" s="131"/>
      <c r="G328" s="131"/>
      <c r="H328" s="131"/>
      <c r="I328" s="131"/>
      <c r="J328" s="131"/>
      <c r="K328" s="131"/>
      <c r="L328" s="225"/>
      <c r="M328" s="225"/>
      <c r="N328" s="225"/>
      <c r="O328" s="225"/>
      <c r="P328" s="225"/>
      <c r="Q328" s="225"/>
      <c r="R328" s="225"/>
      <c r="S328" s="225"/>
      <c r="T328" s="225"/>
      <c r="U328" s="225"/>
      <c r="V328" s="225"/>
      <c r="W328" s="225"/>
      <c r="X328" s="225"/>
      <c r="Y328" s="225"/>
      <c r="Z328" s="225"/>
      <c r="AA328" s="225"/>
      <c r="AB328" s="225"/>
      <c r="AC328" s="225"/>
      <c r="AD328" s="225"/>
      <c r="AE328" s="225"/>
      <c r="AF328" s="225"/>
      <c r="AG328" s="225"/>
      <c r="AH328" s="225"/>
      <c r="AI328" s="225"/>
      <c r="AJ328" s="225"/>
      <c r="AK328" s="225"/>
      <c r="AL328" s="225"/>
      <c r="AM328" s="225"/>
      <c r="AN328" s="225"/>
      <c r="AO328" s="225"/>
      <c r="AP328" s="225"/>
      <c r="AQ328" s="225"/>
      <c r="AR328" s="225"/>
    </row>
    <row r="329" spans="1:44" ht="15.75" customHeight="1">
      <c r="A329" s="131"/>
      <c r="B329" s="131"/>
      <c r="C329" s="131"/>
      <c r="D329" s="131"/>
      <c r="E329" s="131"/>
      <c r="F329" s="131"/>
      <c r="G329" s="131"/>
      <c r="H329" s="131"/>
      <c r="I329" s="131"/>
      <c r="J329" s="131"/>
      <c r="K329" s="131"/>
      <c r="L329" s="225"/>
      <c r="M329" s="225"/>
      <c r="N329" s="225"/>
      <c r="O329" s="225"/>
      <c r="P329" s="225"/>
      <c r="Q329" s="225"/>
      <c r="R329" s="225"/>
      <c r="S329" s="225"/>
      <c r="T329" s="225"/>
      <c r="U329" s="225"/>
      <c r="V329" s="225"/>
      <c r="W329" s="225"/>
      <c r="X329" s="225"/>
      <c r="Y329" s="225"/>
      <c r="Z329" s="225"/>
      <c r="AA329" s="225"/>
      <c r="AB329" s="225"/>
      <c r="AC329" s="225"/>
      <c r="AD329" s="225"/>
      <c r="AE329" s="225"/>
      <c r="AF329" s="225"/>
      <c r="AG329" s="225"/>
      <c r="AH329" s="225"/>
      <c r="AI329" s="225"/>
      <c r="AJ329" s="225"/>
      <c r="AK329" s="225"/>
      <c r="AL329" s="225"/>
      <c r="AM329" s="225"/>
      <c r="AN329" s="225"/>
      <c r="AO329" s="225"/>
      <c r="AP329" s="225"/>
      <c r="AQ329" s="225"/>
      <c r="AR329" s="225"/>
    </row>
    <row r="330" spans="1:44" ht="15.75" customHeight="1">
      <c r="A330" s="131"/>
      <c r="B330" s="131"/>
      <c r="C330" s="131"/>
      <c r="D330" s="131"/>
      <c r="E330" s="131"/>
      <c r="F330" s="131"/>
      <c r="G330" s="131"/>
      <c r="H330" s="131"/>
      <c r="I330" s="131"/>
      <c r="J330" s="131"/>
      <c r="K330" s="131"/>
      <c r="L330" s="225"/>
      <c r="M330" s="225"/>
      <c r="N330" s="225"/>
      <c r="O330" s="225"/>
      <c r="P330" s="225"/>
      <c r="Q330" s="225"/>
      <c r="R330" s="225"/>
      <c r="S330" s="225"/>
      <c r="T330" s="225"/>
      <c r="U330" s="225"/>
      <c r="V330" s="225"/>
      <c r="W330" s="225"/>
      <c r="X330" s="225"/>
      <c r="Y330" s="225"/>
      <c r="Z330" s="225"/>
      <c r="AA330" s="225"/>
      <c r="AB330" s="225"/>
      <c r="AC330" s="225"/>
      <c r="AD330" s="225"/>
      <c r="AE330" s="225"/>
      <c r="AF330" s="225"/>
      <c r="AG330" s="225"/>
      <c r="AH330" s="225"/>
      <c r="AI330" s="225"/>
      <c r="AJ330" s="225"/>
      <c r="AK330" s="225"/>
      <c r="AL330" s="225"/>
      <c r="AM330" s="225"/>
      <c r="AN330" s="225"/>
      <c r="AO330" s="225"/>
      <c r="AP330" s="225"/>
      <c r="AQ330" s="225"/>
      <c r="AR330" s="225"/>
    </row>
    <row r="331" spans="1:44" ht="15.75" customHeight="1">
      <c r="A331" s="131"/>
      <c r="B331" s="131"/>
      <c r="C331" s="131"/>
      <c r="D331" s="131"/>
      <c r="E331" s="131"/>
      <c r="F331" s="131"/>
      <c r="G331" s="131"/>
      <c r="H331" s="131"/>
      <c r="I331" s="131"/>
      <c r="J331" s="131"/>
      <c r="K331" s="131"/>
      <c r="L331" s="225"/>
      <c r="M331" s="225"/>
      <c r="N331" s="225"/>
      <c r="O331" s="225"/>
      <c r="P331" s="225"/>
      <c r="Q331" s="225"/>
      <c r="R331" s="225"/>
      <c r="S331" s="225"/>
      <c r="T331" s="225"/>
      <c r="U331" s="225"/>
      <c r="V331" s="225"/>
      <c r="W331" s="225"/>
      <c r="X331" s="225"/>
      <c r="Y331" s="225"/>
      <c r="Z331" s="225"/>
      <c r="AA331" s="225"/>
      <c r="AB331" s="225"/>
      <c r="AC331" s="225"/>
      <c r="AD331" s="225"/>
      <c r="AE331" s="225"/>
      <c r="AF331" s="225"/>
      <c r="AG331" s="225"/>
      <c r="AH331" s="225"/>
      <c r="AI331" s="225"/>
      <c r="AJ331" s="225"/>
      <c r="AK331" s="225"/>
      <c r="AL331" s="225"/>
      <c r="AM331" s="225"/>
      <c r="AN331" s="225"/>
      <c r="AO331" s="225"/>
      <c r="AP331" s="225"/>
      <c r="AQ331" s="225"/>
      <c r="AR331" s="225"/>
    </row>
    <row r="332" spans="1:44" ht="15.75" customHeight="1">
      <c r="A332" s="131"/>
      <c r="B332" s="131"/>
      <c r="C332" s="131"/>
      <c r="D332" s="131"/>
      <c r="E332" s="131"/>
      <c r="F332" s="131"/>
      <c r="G332" s="131"/>
      <c r="H332" s="131"/>
      <c r="I332" s="131"/>
      <c r="J332" s="131"/>
      <c r="K332" s="131"/>
      <c r="L332" s="225"/>
      <c r="M332" s="225"/>
      <c r="N332" s="225"/>
      <c r="O332" s="225"/>
      <c r="P332" s="225"/>
      <c r="Q332" s="225"/>
      <c r="R332" s="225"/>
      <c r="S332" s="225"/>
      <c r="T332" s="225"/>
      <c r="U332" s="225"/>
      <c r="V332" s="225"/>
      <c r="W332" s="225"/>
      <c r="X332" s="225"/>
      <c r="Y332" s="225"/>
      <c r="Z332" s="225"/>
      <c r="AA332" s="225"/>
      <c r="AB332" s="225"/>
      <c r="AC332" s="225"/>
      <c r="AD332" s="225"/>
      <c r="AE332" s="225"/>
      <c r="AF332" s="225"/>
      <c r="AG332" s="225"/>
      <c r="AH332" s="225"/>
      <c r="AI332" s="225"/>
      <c r="AJ332" s="225"/>
      <c r="AK332" s="225"/>
      <c r="AL332" s="225"/>
      <c r="AM332" s="225"/>
      <c r="AN332" s="225"/>
      <c r="AO332" s="225"/>
      <c r="AP332" s="225"/>
      <c r="AQ332" s="225"/>
      <c r="AR332" s="225"/>
    </row>
    <row r="333" spans="1:44" ht="15.75" customHeight="1">
      <c r="A333" s="131"/>
      <c r="B333" s="131"/>
      <c r="C333" s="131"/>
      <c r="D333" s="131"/>
      <c r="E333" s="131"/>
      <c r="F333" s="131"/>
      <c r="G333" s="131"/>
      <c r="H333" s="131"/>
      <c r="I333" s="131"/>
      <c r="J333" s="131"/>
      <c r="K333" s="131"/>
      <c r="L333" s="225"/>
      <c r="M333" s="225"/>
      <c r="N333" s="225"/>
      <c r="O333" s="225"/>
      <c r="P333" s="225"/>
      <c r="Q333" s="225"/>
      <c r="R333" s="225"/>
      <c r="S333" s="225"/>
      <c r="T333" s="225"/>
      <c r="U333" s="225"/>
      <c r="V333" s="225"/>
      <c r="W333" s="225"/>
      <c r="X333" s="225"/>
      <c r="Y333" s="225"/>
      <c r="Z333" s="225"/>
      <c r="AA333" s="225"/>
      <c r="AB333" s="225"/>
      <c r="AC333" s="225"/>
      <c r="AD333" s="225"/>
      <c r="AE333" s="225"/>
      <c r="AF333" s="225"/>
      <c r="AG333" s="225"/>
      <c r="AH333" s="225"/>
      <c r="AI333" s="225"/>
      <c r="AJ333" s="225"/>
      <c r="AK333" s="225"/>
      <c r="AL333" s="225"/>
      <c r="AM333" s="225"/>
      <c r="AN333" s="225"/>
      <c r="AO333" s="225"/>
      <c r="AP333" s="225"/>
      <c r="AQ333" s="225"/>
      <c r="AR333" s="225"/>
    </row>
    <row r="334" spans="1:44" ht="15.75" customHeight="1">
      <c r="A334" s="131"/>
      <c r="B334" s="131"/>
      <c r="C334" s="131"/>
      <c r="D334" s="131"/>
      <c r="E334" s="131"/>
      <c r="F334" s="131"/>
      <c r="G334" s="131"/>
      <c r="H334" s="131"/>
      <c r="I334" s="131"/>
      <c r="J334" s="131"/>
      <c r="K334" s="131"/>
      <c r="L334" s="225"/>
      <c r="M334" s="225"/>
      <c r="N334" s="225"/>
      <c r="O334" s="225"/>
      <c r="P334" s="225"/>
      <c r="Q334" s="225"/>
      <c r="R334" s="225"/>
      <c r="S334" s="225"/>
      <c r="T334" s="225"/>
      <c r="U334" s="225"/>
      <c r="V334" s="225"/>
      <c r="W334" s="225"/>
      <c r="X334" s="225"/>
      <c r="Y334" s="225"/>
      <c r="Z334" s="225"/>
      <c r="AA334" s="225"/>
      <c r="AB334" s="225"/>
      <c r="AC334" s="225"/>
      <c r="AD334" s="225"/>
      <c r="AE334" s="225"/>
      <c r="AF334" s="225"/>
      <c r="AG334" s="225"/>
      <c r="AH334" s="225"/>
      <c r="AI334" s="225"/>
      <c r="AJ334" s="225"/>
      <c r="AK334" s="225"/>
      <c r="AL334" s="225"/>
      <c r="AM334" s="225"/>
      <c r="AN334" s="225"/>
      <c r="AO334" s="225"/>
      <c r="AP334" s="225"/>
      <c r="AQ334" s="225"/>
      <c r="AR334" s="225"/>
    </row>
    <row r="335" spans="1:44" ht="15.75" customHeight="1">
      <c r="A335" s="131"/>
      <c r="B335" s="131"/>
      <c r="C335" s="131"/>
      <c r="D335" s="131"/>
      <c r="E335" s="131"/>
      <c r="F335" s="131"/>
      <c r="G335" s="131"/>
      <c r="H335" s="131"/>
      <c r="I335" s="131"/>
      <c r="J335" s="131"/>
      <c r="K335" s="131"/>
      <c r="L335" s="225"/>
      <c r="M335" s="225"/>
      <c r="N335" s="225"/>
      <c r="O335" s="225"/>
      <c r="P335" s="225"/>
      <c r="Q335" s="225"/>
      <c r="R335" s="225"/>
      <c r="S335" s="225"/>
      <c r="T335" s="225"/>
      <c r="U335" s="225"/>
      <c r="V335" s="225"/>
      <c r="W335" s="225"/>
      <c r="X335" s="225"/>
      <c r="Y335" s="225"/>
      <c r="Z335" s="225"/>
      <c r="AA335" s="225"/>
      <c r="AB335" s="225"/>
      <c r="AC335" s="225"/>
      <c r="AD335" s="225"/>
      <c r="AE335" s="225"/>
      <c r="AF335" s="225"/>
      <c r="AG335" s="225"/>
      <c r="AH335" s="225"/>
      <c r="AI335" s="225"/>
      <c r="AJ335" s="225"/>
      <c r="AK335" s="225"/>
      <c r="AL335" s="225"/>
      <c r="AM335" s="225"/>
      <c r="AN335" s="225"/>
      <c r="AO335" s="225"/>
      <c r="AP335" s="225"/>
      <c r="AQ335" s="225"/>
      <c r="AR335" s="225"/>
    </row>
    <row r="336" spans="1:44" ht="15.75" customHeight="1">
      <c r="A336" s="131"/>
      <c r="B336" s="131"/>
      <c r="C336" s="131"/>
      <c r="D336" s="131"/>
      <c r="E336" s="131"/>
      <c r="F336" s="131"/>
      <c r="G336" s="131"/>
      <c r="H336" s="131"/>
      <c r="I336" s="131"/>
      <c r="J336" s="131"/>
      <c r="K336" s="131"/>
      <c r="L336" s="225"/>
      <c r="M336" s="225"/>
      <c r="N336" s="225"/>
      <c r="O336" s="225"/>
      <c r="P336" s="225"/>
      <c r="Q336" s="225"/>
      <c r="R336" s="225"/>
      <c r="S336" s="225"/>
      <c r="T336" s="225"/>
      <c r="U336" s="225"/>
      <c r="V336" s="225"/>
      <c r="W336" s="225"/>
      <c r="X336" s="225"/>
      <c r="Y336" s="225"/>
      <c r="Z336" s="225"/>
      <c r="AA336" s="225"/>
      <c r="AB336" s="225"/>
      <c r="AC336" s="225"/>
      <c r="AD336" s="225"/>
      <c r="AE336" s="225"/>
      <c r="AF336" s="225"/>
      <c r="AG336" s="225"/>
      <c r="AH336" s="225"/>
      <c r="AI336" s="225"/>
      <c r="AJ336" s="225"/>
      <c r="AK336" s="225"/>
      <c r="AL336" s="225"/>
      <c r="AM336" s="225"/>
      <c r="AN336" s="225"/>
      <c r="AO336" s="225"/>
      <c r="AP336" s="225"/>
      <c r="AQ336" s="225"/>
      <c r="AR336" s="225"/>
    </row>
    <row r="337" spans="1:44" ht="15.75" customHeight="1">
      <c r="A337" s="131"/>
      <c r="B337" s="131"/>
      <c r="C337" s="131"/>
      <c r="D337" s="131"/>
      <c r="E337" s="131"/>
      <c r="F337" s="131"/>
      <c r="G337" s="131"/>
      <c r="H337" s="131"/>
      <c r="I337" s="131"/>
      <c r="J337" s="131"/>
      <c r="K337" s="131"/>
      <c r="L337" s="225"/>
      <c r="M337" s="225"/>
      <c r="N337" s="225"/>
      <c r="O337" s="225"/>
      <c r="P337" s="225"/>
      <c r="Q337" s="225"/>
      <c r="R337" s="225"/>
      <c r="S337" s="225"/>
      <c r="T337" s="225"/>
      <c r="U337" s="225"/>
      <c r="V337" s="225"/>
      <c r="W337" s="225"/>
      <c r="X337" s="225"/>
      <c r="Y337" s="225"/>
      <c r="Z337" s="225"/>
      <c r="AA337" s="225"/>
      <c r="AB337" s="225"/>
      <c r="AC337" s="225"/>
      <c r="AD337" s="225"/>
      <c r="AE337" s="225"/>
      <c r="AF337" s="225"/>
      <c r="AG337" s="225"/>
      <c r="AH337" s="225"/>
      <c r="AI337" s="225"/>
      <c r="AJ337" s="225"/>
      <c r="AK337" s="225"/>
      <c r="AL337" s="225"/>
      <c r="AM337" s="225"/>
      <c r="AN337" s="225"/>
      <c r="AO337" s="225"/>
      <c r="AP337" s="225"/>
      <c r="AQ337" s="225"/>
      <c r="AR337" s="225"/>
    </row>
    <row r="338" spans="1:44" ht="15.75" customHeight="1">
      <c r="A338" s="131"/>
      <c r="B338" s="131"/>
      <c r="C338" s="131"/>
      <c r="D338" s="131"/>
      <c r="E338" s="131"/>
      <c r="F338" s="131"/>
      <c r="G338" s="131"/>
      <c r="H338" s="131"/>
      <c r="I338" s="131"/>
      <c r="J338" s="131"/>
      <c r="K338" s="131"/>
      <c r="L338" s="225"/>
      <c r="M338" s="225"/>
      <c r="N338" s="225"/>
      <c r="O338" s="225"/>
      <c r="P338" s="225"/>
      <c r="Q338" s="225"/>
      <c r="R338" s="225"/>
      <c r="S338" s="225"/>
      <c r="T338" s="225"/>
      <c r="U338" s="225"/>
      <c r="V338" s="225"/>
      <c r="W338" s="225"/>
      <c r="X338" s="225"/>
      <c r="Y338" s="225"/>
      <c r="Z338" s="225"/>
      <c r="AA338" s="225"/>
      <c r="AB338" s="225"/>
      <c r="AC338" s="225"/>
      <c r="AD338" s="225"/>
      <c r="AE338" s="225"/>
      <c r="AF338" s="225"/>
      <c r="AG338" s="225"/>
      <c r="AH338" s="225"/>
      <c r="AI338" s="225"/>
      <c r="AJ338" s="225"/>
      <c r="AK338" s="225"/>
      <c r="AL338" s="225"/>
      <c r="AM338" s="225"/>
      <c r="AN338" s="225"/>
      <c r="AO338" s="225"/>
      <c r="AP338" s="225"/>
      <c r="AQ338" s="225"/>
      <c r="AR338" s="225"/>
    </row>
    <row r="339" spans="1:44" ht="15.75" customHeight="1">
      <c r="A339" s="131"/>
      <c r="B339" s="131"/>
      <c r="C339" s="131"/>
      <c r="D339" s="131"/>
      <c r="E339" s="131"/>
      <c r="F339" s="131"/>
      <c r="G339" s="131"/>
      <c r="H339" s="131"/>
      <c r="I339" s="131"/>
      <c r="J339" s="131"/>
      <c r="K339" s="131"/>
      <c r="L339" s="225"/>
      <c r="M339" s="225"/>
      <c r="N339" s="225"/>
      <c r="O339" s="225"/>
      <c r="P339" s="225"/>
      <c r="Q339" s="225"/>
      <c r="R339" s="225"/>
      <c r="S339" s="225"/>
      <c r="T339" s="225"/>
      <c r="U339" s="225"/>
      <c r="V339" s="225"/>
      <c r="W339" s="225"/>
      <c r="X339" s="225"/>
      <c r="Y339" s="225"/>
      <c r="Z339" s="225"/>
      <c r="AA339" s="225"/>
      <c r="AB339" s="225"/>
      <c r="AC339" s="225"/>
      <c r="AD339" s="225"/>
      <c r="AE339" s="225"/>
      <c r="AF339" s="225"/>
      <c r="AG339" s="225"/>
      <c r="AH339" s="225"/>
      <c r="AI339" s="225"/>
      <c r="AJ339" s="225"/>
      <c r="AK339" s="225"/>
      <c r="AL339" s="225"/>
      <c r="AM339" s="225"/>
      <c r="AN339" s="225"/>
      <c r="AO339" s="225"/>
      <c r="AP339" s="225"/>
      <c r="AQ339" s="225"/>
      <c r="AR339" s="225"/>
    </row>
    <row r="340" spans="1:44" ht="15.75" customHeight="1">
      <c r="A340" s="131"/>
      <c r="B340" s="131"/>
      <c r="C340" s="131"/>
      <c r="D340" s="131"/>
      <c r="E340" s="131"/>
      <c r="F340" s="131"/>
      <c r="G340" s="131"/>
      <c r="H340" s="131"/>
      <c r="I340" s="131"/>
      <c r="J340" s="131"/>
      <c r="K340" s="131"/>
      <c r="L340" s="225"/>
      <c r="M340" s="225"/>
      <c r="N340" s="225"/>
      <c r="O340" s="225"/>
      <c r="P340" s="225"/>
      <c r="Q340" s="225"/>
      <c r="R340" s="225"/>
      <c r="S340" s="225"/>
      <c r="T340" s="225"/>
      <c r="U340" s="225"/>
      <c r="V340" s="225"/>
      <c r="W340" s="225"/>
      <c r="X340" s="225"/>
      <c r="Y340" s="225"/>
      <c r="Z340" s="225"/>
      <c r="AA340" s="225"/>
      <c r="AB340" s="225"/>
      <c r="AC340" s="225"/>
      <c r="AD340" s="225"/>
      <c r="AE340" s="225"/>
      <c r="AF340" s="225"/>
      <c r="AG340" s="225"/>
      <c r="AH340" s="225"/>
      <c r="AI340" s="225"/>
      <c r="AJ340" s="225"/>
      <c r="AK340" s="225"/>
      <c r="AL340" s="225"/>
      <c r="AM340" s="225"/>
      <c r="AN340" s="225"/>
      <c r="AO340" s="225"/>
      <c r="AP340" s="225"/>
      <c r="AQ340" s="225"/>
      <c r="AR340" s="225"/>
    </row>
    <row r="341" spans="1:44" ht="15.75" customHeight="1">
      <c r="A341" s="131"/>
      <c r="B341" s="131"/>
      <c r="C341" s="131"/>
      <c r="D341" s="131"/>
      <c r="E341" s="131"/>
      <c r="F341" s="131"/>
      <c r="G341" s="131"/>
      <c r="H341" s="131"/>
      <c r="I341" s="131"/>
      <c r="J341" s="131"/>
      <c r="K341" s="131"/>
      <c r="L341" s="225"/>
      <c r="M341" s="225"/>
      <c r="N341" s="225"/>
      <c r="O341" s="225"/>
      <c r="P341" s="225"/>
      <c r="Q341" s="225"/>
      <c r="R341" s="225"/>
      <c r="S341" s="225"/>
      <c r="T341" s="225"/>
      <c r="U341" s="225"/>
      <c r="V341" s="225"/>
      <c r="W341" s="225"/>
      <c r="X341" s="225"/>
      <c r="Y341" s="225"/>
      <c r="Z341" s="225"/>
      <c r="AA341" s="225"/>
      <c r="AB341" s="225"/>
      <c r="AC341" s="225"/>
      <c r="AD341" s="225"/>
      <c r="AE341" s="225"/>
      <c r="AF341" s="225"/>
      <c r="AG341" s="225"/>
      <c r="AH341" s="225"/>
      <c r="AI341" s="225"/>
      <c r="AJ341" s="225"/>
      <c r="AK341" s="225"/>
      <c r="AL341" s="225"/>
      <c r="AM341" s="225"/>
      <c r="AN341" s="225"/>
      <c r="AO341" s="225"/>
      <c r="AP341" s="225"/>
      <c r="AQ341" s="225"/>
      <c r="AR341" s="225"/>
    </row>
    <row r="342" spans="1:44" ht="15.75" customHeight="1">
      <c r="A342" s="131"/>
      <c r="B342" s="131"/>
      <c r="C342" s="131"/>
      <c r="D342" s="131"/>
      <c r="E342" s="131"/>
      <c r="F342" s="131"/>
      <c r="G342" s="131"/>
      <c r="H342" s="131"/>
      <c r="I342" s="131"/>
      <c r="J342" s="131"/>
      <c r="K342" s="131"/>
      <c r="L342" s="225"/>
      <c r="M342" s="225"/>
      <c r="N342" s="225"/>
      <c r="O342" s="225"/>
      <c r="P342" s="225"/>
      <c r="Q342" s="225"/>
      <c r="R342" s="225"/>
      <c r="S342" s="225"/>
      <c r="T342" s="225"/>
      <c r="U342" s="225"/>
      <c r="V342" s="225"/>
      <c r="W342" s="225"/>
      <c r="X342" s="225"/>
      <c r="Y342" s="225"/>
      <c r="Z342" s="225"/>
      <c r="AA342" s="225"/>
      <c r="AB342" s="225"/>
      <c r="AC342" s="225"/>
      <c r="AD342" s="225"/>
      <c r="AE342" s="225"/>
      <c r="AF342" s="225"/>
      <c r="AG342" s="225"/>
      <c r="AH342" s="225"/>
      <c r="AI342" s="225"/>
      <c r="AJ342" s="225"/>
      <c r="AK342" s="225"/>
      <c r="AL342" s="225"/>
      <c r="AM342" s="225"/>
      <c r="AN342" s="225"/>
      <c r="AO342" s="225"/>
      <c r="AP342" s="225"/>
      <c r="AQ342" s="225"/>
      <c r="AR342" s="225"/>
    </row>
    <row r="343" spans="1:44" ht="15.75" customHeight="1">
      <c r="A343" s="131"/>
      <c r="B343" s="131"/>
      <c r="C343" s="131"/>
      <c r="D343" s="131"/>
      <c r="E343" s="131"/>
      <c r="F343" s="131"/>
      <c r="G343" s="131"/>
      <c r="H343" s="131"/>
      <c r="I343" s="131"/>
      <c r="J343" s="131"/>
      <c r="K343" s="131"/>
      <c r="L343" s="225"/>
      <c r="M343" s="225"/>
      <c r="N343" s="225"/>
      <c r="O343" s="225"/>
      <c r="P343" s="225"/>
      <c r="Q343" s="225"/>
      <c r="R343" s="225"/>
      <c r="S343" s="225"/>
      <c r="T343" s="225"/>
      <c r="U343" s="225"/>
      <c r="V343" s="225"/>
      <c r="W343" s="225"/>
      <c r="X343" s="225"/>
      <c r="Y343" s="225"/>
      <c r="Z343" s="225"/>
      <c r="AA343" s="225"/>
      <c r="AB343" s="225"/>
      <c r="AC343" s="225"/>
      <c r="AD343" s="225"/>
      <c r="AE343" s="225"/>
      <c r="AF343" s="225"/>
      <c r="AG343" s="225"/>
      <c r="AH343" s="225"/>
      <c r="AI343" s="225"/>
      <c r="AJ343" s="225"/>
      <c r="AK343" s="225"/>
      <c r="AL343" s="225"/>
      <c r="AM343" s="225"/>
      <c r="AN343" s="225"/>
      <c r="AO343" s="225"/>
      <c r="AP343" s="225"/>
      <c r="AQ343" s="225"/>
      <c r="AR343" s="225"/>
    </row>
    <row r="344" spans="1:44" ht="15.75" customHeight="1">
      <c r="A344" s="131"/>
      <c r="B344" s="131"/>
      <c r="C344" s="131"/>
      <c r="D344" s="131"/>
      <c r="E344" s="131"/>
      <c r="F344" s="131"/>
      <c r="G344" s="131"/>
      <c r="H344" s="131"/>
      <c r="I344" s="131"/>
      <c r="J344" s="131"/>
      <c r="K344" s="131"/>
      <c r="L344" s="225"/>
      <c r="M344" s="225"/>
      <c r="N344" s="225"/>
      <c r="O344" s="225"/>
      <c r="P344" s="225"/>
      <c r="Q344" s="225"/>
      <c r="R344" s="225"/>
      <c r="S344" s="225"/>
      <c r="T344" s="225"/>
      <c r="U344" s="225"/>
      <c r="V344" s="225"/>
      <c r="W344" s="225"/>
      <c r="X344" s="225"/>
      <c r="Y344" s="225"/>
      <c r="Z344" s="225"/>
      <c r="AA344" s="225"/>
      <c r="AB344" s="225"/>
      <c r="AC344" s="225"/>
      <c r="AD344" s="225"/>
      <c r="AE344" s="225"/>
      <c r="AF344" s="225"/>
      <c r="AG344" s="225"/>
      <c r="AH344" s="225"/>
      <c r="AI344" s="225"/>
      <c r="AJ344" s="225"/>
      <c r="AK344" s="225"/>
      <c r="AL344" s="225"/>
      <c r="AM344" s="225"/>
      <c r="AN344" s="225"/>
      <c r="AO344" s="225"/>
      <c r="AP344" s="225"/>
      <c r="AQ344" s="225"/>
      <c r="AR344" s="225"/>
    </row>
    <row r="345" spans="1:44" ht="15.75" customHeight="1">
      <c r="A345" s="131"/>
      <c r="B345" s="131"/>
      <c r="C345" s="131"/>
      <c r="D345" s="131"/>
      <c r="E345" s="131"/>
      <c r="F345" s="131"/>
      <c r="G345" s="131"/>
      <c r="H345" s="131"/>
      <c r="I345" s="131"/>
      <c r="J345" s="131"/>
      <c r="K345" s="131"/>
      <c r="L345" s="225"/>
      <c r="M345" s="225"/>
      <c r="N345" s="225"/>
      <c r="O345" s="225"/>
      <c r="P345" s="225"/>
      <c r="Q345" s="225"/>
      <c r="R345" s="225"/>
      <c r="S345" s="225"/>
      <c r="T345" s="225"/>
      <c r="U345" s="225"/>
      <c r="V345" s="225"/>
      <c r="W345" s="225"/>
      <c r="X345" s="225"/>
      <c r="Y345" s="225"/>
      <c r="Z345" s="225"/>
      <c r="AA345" s="225"/>
      <c r="AB345" s="225"/>
      <c r="AC345" s="225"/>
      <c r="AD345" s="225"/>
      <c r="AE345" s="225"/>
      <c r="AF345" s="225"/>
      <c r="AG345" s="225"/>
      <c r="AH345" s="225"/>
      <c r="AI345" s="225"/>
      <c r="AJ345" s="225"/>
      <c r="AK345" s="225"/>
      <c r="AL345" s="225"/>
      <c r="AM345" s="225"/>
      <c r="AN345" s="225"/>
      <c r="AO345" s="225"/>
      <c r="AP345" s="225"/>
      <c r="AQ345" s="225"/>
      <c r="AR345" s="225"/>
    </row>
    <row r="346" spans="1:44" ht="15.75" customHeight="1">
      <c r="A346" s="131"/>
      <c r="B346" s="131"/>
      <c r="C346" s="131"/>
      <c r="D346" s="131"/>
      <c r="E346" s="131"/>
      <c r="F346" s="131"/>
      <c r="G346" s="131"/>
      <c r="H346" s="131"/>
      <c r="I346" s="131"/>
      <c r="J346" s="131"/>
      <c r="K346" s="131"/>
      <c r="L346" s="225"/>
      <c r="M346" s="225"/>
      <c r="N346" s="225"/>
      <c r="O346" s="225"/>
      <c r="P346" s="225"/>
      <c r="Q346" s="225"/>
      <c r="R346" s="225"/>
      <c r="S346" s="225"/>
      <c r="T346" s="225"/>
      <c r="U346" s="225"/>
      <c r="V346" s="225"/>
      <c r="W346" s="225"/>
      <c r="X346" s="225"/>
      <c r="Y346" s="225"/>
      <c r="Z346" s="225"/>
      <c r="AA346" s="225"/>
      <c r="AB346" s="225"/>
      <c r="AC346" s="225"/>
      <c r="AD346" s="225"/>
      <c r="AE346" s="225"/>
      <c r="AF346" s="225"/>
      <c r="AG346" s="225"/>
      <c r="AH346" s="225"/>
      <c r="AI346" s="225"/>
      <c r="AJ346" s="225"/>
      <c r="AK346" s="225"/>
      <c r="AL346" s="225"/>
      <c r="AM346" s="225"/>
      <c r="AN346" s="225"/>
      <c r="AO346" s="225"/>
      <c r="AP346" s="225"/>
      <c r="AQ346" s="225"/>
      <c r="AR346" s="225"/>
    </row>
    <row r="347" spans="1:44" ht="15.75" customHeight="1">
      <c r="A347" s="131"/>
      <c r="B347" s="131"/>
      <c r="C347" s="131"/>
      <c r="D347" s="131"/>
      <c r="E347" s="131"/>
      <c r="F347" s="131"/>
      <c r="G347" s="131"/>
      <c r="H347" s="131"/>
      <c r="I347" s="131"/>
      <c r="J347" s="131"/>
      <c r="K347" s="131"/>
      <c r="L347" s="225"/>
      <c r="M347" s="225"/>
      <c r="N347" s="225"/>
      <c r="O347" s="225"/>
      <c r="P347" s="225"/>
      <c r="Q347" s="225"/>
      <c r="R347" s="225"/>
      <c r="S347" s="225"/>
      <c r="T347" s="225"/>
      <c r="U347" s="225"/>
      <c r="V347" s="225"/>
      <c r="W347" s="225"/>
      <c r="X347" s="225"/>
      <c r="Y347" s="225"/>
      <c r="Z347" s="225"/>
      <c r="AA347" s="225"/>
      <c r="AB347" s="225"/>
      <c r="AC347" s="225"/>
      <c r="AD347" s="225"/>
      <c r="AE347" s="225"/>
      <c r="AF347" s="225"/>
      <c r="AG347" s="225"/>
      <c r="AH347" s="225"/>
      <c r="AI347" s="225"/>
      <c r="AJ347" s="225"/>
      <c r="AK347" s="225"/>
      <c r="AL347" s="225"/>
      <c r="AM347" s="225"/>
      <c r="AN347" s="225"/>
      <c r="AO347" s="225"/>
      <c r="AP347" s="225"/>
      <c r="AQ347" s="225"/>
      <c r="AR347" s="225"/>
    </row>
    <row r="348" spans="1:44" ht="15.75" customHeight="1">
      <c r="A348" s="131"/>
      <c r="B348" s="131"/>
      <c r="C348" s="131"/>
      <c r="D348" s="131"/>
      <c r="E348" s="131"/>
      <c r="F348" s="131"/>
      <c r="G348" s="131"/>
      <c r="H348" s="131"/>
      <c r="I348" s="131"/>
      <c r="J348" s="131"/>
      <c r="K348" s="131"/>
      <c r="L348" s="225"/>
      <c r="M348" s="225"/>
      <c r="N348" s="225"/>
      <c r="O348" s="225"/>
      <c r="P348" s="225"/>
      <c r="Q348" s="225"/>
      <c r="R348" s="225"/>
      <c r="S348" s="225"/>
      <c r="T348" s="225"/>
      <c r="U348" s="225"/>
      <c r="V348" s="225"/>
      <c r="W348" s="225"/>
      <c r="X348" s="225"/>
      <c r="Y348" s="225"/>
      <c r="Z348" s="225"/>
      <c r="AA348" s="225"/>
      <c r="AB348" s="225"/>
      <c r="AC348" s="225"/>
      <c r="AD348" s="225"/>
      <c r="AE348" s="225"/>
      <c r="AF348" s="225"/>
      <c r="AG348" s="225"/>
      <c r="AH348" s="225"/>
      <c r="AI348" s="225"/>
      <c r="AJ348" s="225"/>
      <c r="AK348" s="225"/>
      <c r="AL348" s="225"/>
      <c r="AM348" s="225"/>
      <c r="AN348" s="225"/>
      <c r="AO348" s="225"/>
      <c r="AP348" s="225"/>
      <c r="AQ348" s="225"/>
      <c r="AR348" s="225"/>
    </row>
    <row r="349" spans="1:44" ht="15.75" customHeight="1">
      <c r="A349" s="131"/>
      <c r="B349" s="131"/>
      <c r="C349" s="131"/>
      <c r="D349" s="131"/>
      <c r="E349" s="131"/>
      <c r="F349" s="131"/>
      <c r="G349" s="131"/>
      <c r="H349" s="131"/>
      <c r="I349" s="131"/>
      <c r="J349" s="131"/>
      <c r="K349" s="131"/>
      <c r="L349" s="225"/>
      <c r="M349" s="225"/>
      <c r="N349" s="225"/>
      <c r="O349" s="225"/>
      <c r="P349" s="225"/>
      <c r="Q349" s="225"/>
      <c r="R349" s="225"/>
      <c r="S349" s="225"/>
      <c r="T349" s="225"/>
      <c r="U349" s="225"/>
      <c r="V349" s="225"/>
      <c r="W349" s="225"/>
      <c r="X349" s="225"/>
      <c r="Y349" s="225"/>
      <c r="Z349" s="225"/>
      <c r="AA349" s="225"/>
      <c r="AB349" s="225"/>
      <c r="AC349" s="225"/>
      <c r="AD349" s="225"/>
      <c r="AE349" s="225"/>
      <c r="AF349" s="225"/>
      <c r="AG349" s="225"/>
      <c r="AH349" s="225"/>
      <c r="AI349" s="225"/>
      <c r="AJ349" s="225"/>
      <c r="AK349" s="225"/>
      <c r="AL349" s="225"/>
      <c r="AM349" s="225"/>
      <c r="AN349" s="225"/>
      <c r="AO349" s="225"/>
      <c r="AP349" s="225"/>
      <c r="AQ349" s="225"/>
      <c r="AR349" s="225"/>
    </row>
    <row r="350" spans="1:44" ht="15.75" customHeight="1">
      <c r="A350" s="131"/>
      <c r="B350" s="131"/>
      <c r="C350" s="131"/>
      <c r="D350" s="131"/>
      <c r="E350" s="131"/>
      <c r="F350" s="131"/>
      <c r="G350" s="131"/>
      <c r="H350" s="131"/>
      <c r="I350" s="131"/>
      <c r="J350" s="131"/>
      <c r="K350" s="131"/>
      <c r="L350" s="225"/>
      <c r="M350" s="225"/>
      <c r="N350" s="225"/>
      <c r="O350" s="225"/>
      <c r="P350" s="225"/>
      <c r="Q350" s="225"/>
      <c r="R350" s="225"/>
      <c r="S350" s="225"/>
      <c r="T350" s="225"/>
      <c r="U350" s="225"/>
      <c r="V350" s="225"/>
      <c r="W350" s="225"/>
      <c r="X350" s="225"/>
      <c r="Y350" s="225"/>
      <c r="Z350" s="225"/>
      <c r="AA350" s="225"/>
      <c r="AB350" s="225"/>
      <c r="AC350" s="225"/>
      <c r="AD350" s="225"/>
      <c r="AE350" s="225"/>
      <c r="AF350" s="225"/>
      <c r="AG350" s="225"/>
      <c r="AH350" s="225"/>
      <c r="AI350" s="225"/>
      <c r="AJ350" s="225"/>
      <c r="AK350" s="225"/>
      <c r="AL350" s="225"/>
      <c r="AM350" s="225"/>
      <c r="AN350" s="225"/>
      <c r="AO350" s="225"/>
      <c r="AP350" s="225"/>
      <c r="AQ350" s="225"/>
      <c r="AR350" s="225"/>
    </row>
    <row r="351" spans="1:44" ht="15.75" customHeight="1">
      <c r="A351" s="131"/>
      <c r="B351" s="131"/>
      <c r="C351" s="131"/>
      <c r="D351" s="131"/>
      <c r="E351" s="131"/>
      <c r="F351" s="131"/>
      <c r="G351" s="131"/>
      <c r="H351" s="131"/>
      <c r="I351" s="131"/>
      <c r="J351" s="131"/>
      <c r="K351" s="131"/>
      <c r="L351" s="225"/>
      <c r="M351" s="225"/>
      <c r="N351" s="225"/>
      <c r="O351" s="225"/>
      <c r="P351" s="225"/>
      <c r="Q351" s="225"/>
      <c r="R351" s="225"/>
      <c r="S351" s="225"/>
      <c r="T351" s="225"/>
      <c r="U351" s="225"/>
      <c r="V351" s="225"/>
      <c r="W351" s="225"/>
      <c r="X351" s="225"/>
      <c r="Y351" s="225"/>
      <c r="Z351" s="225"/>
      <c r="AA351" s="225"/>
      <c r="AB351" s="225"/>
      <c r="AC351" s="225"/>
      <c r="AD351" s="225"/>
      <c r="AE351" s="225"/>
      <c r="AF351" s="225"/>
      <c r="AG351" s="225"/>
      <c r="AH351" s="225"/>
      <c r="AI351" s="225"/>
      <c r="AJ351" s="225"/>
      <c r="AK351" s="225"/>
      <c r="AL351" s="225"/>
      <c r="AM351" s="225"/>
      <c r="AN351" s="225"/>
      <c r="AO351" s="225"/>
      <c r="AP351" s="225"/>
      <c r="AQ351" s="225"/>
      <c r="AR351" s="225"/>
    </row>
    <row r="352" spans="1:44" ht="15.75" customHeight="1">
      <c r="A352" s="131"/>
      <c r="B352" s="131"/>
      <c r="C352" s="131"/>
      <c r="D352" s="131"/>
      <c r="E352" s="131"/>
      <c r="F352" s="131"/>
      <c r="G352" s="131"/>
      <c r="H352" s="131"/>
      <c r="I352" s="131"/>
      <c r="J352" s="131"/>
      <c r="K352" s="131"/>
      <c r="L352" s="225"/>
      <c r="M352" s="225"/>
      <c r="N352" s="225"/>
      <c r="O352" s="225"/>
      <c r="P352" s="225"/>
      <c r="Q352" s="225"/>
      <c r="R352" s="225"/>
      <c r="S352" s="225"/>
      <c r="T352" s="225"/>
      <c r="U352" s="225"/>
      <c r="V352" s="225"/>
      <c r="W352" s="225"/>
      <c r="X352" s="225"/>
      <c r="Y352" s="225"/>
      <c r="Z352" s="225"/>
      <c r="AA352" s="225"/>
      <c r="AB352" s="225"/>
      <c r="AC352" s="225"/>
      <c r="AD352" s="225"/>
      <c r="AE352" s="225"/>
      <c r="AF352" s="225"/>
      <c r="AG352" s="225"/>
      <c r="AH352" s="225"/>
      <c r="AI352" s="225"/>
      <c r="AJ352" s="225"/>
      <c r="AK352" s="225"/>
      <c r="AL352" s="225"/>
      <c r="AM352" s="225"/>
      <c r="AN352" s="225"/>
      <c r="AO352" s="225"/>
      <c r="AP352" s="225"/>
      <c r="AQ352" s="225"/>
      <c r="AR352" s="225"/>
    </row>
    <row r="353" spans="1:44" ht="15.75" customHeight="1">
      <c r="A353" s="131"/>
      <c r="B353" s="131"/>
      <c r="C353" s="131"/>
      <c r="D353" s="131"/>
      <c r="E353" s="131"/>
      <c r="F353" s="131"/>
      <c r="G353" s="131"/>
      <c r="H353" s="131"/>
      <c r="I353" s="131"/>
      <c r="J353" s="131"/>
      <c r="K353" s="131"/>
      <c r="L353" s="225"/>
      <c r="M353" s="225"/>
      <c r="N353" s="225"/>
      <c r="O353" s="225"/>
      <c r="P353" s="225"/>
      <c r="Q353" s="225"/>
      <c r="R353" s="225"/>
      <c r="S353" s="225"/>
      <c r="T353" s="225"/>
      <c r="U353" s="225"/>
      <c r="V353" s="225"/>
      <c r="W353" s="225"/>
      <c r="X353" s="225"/>
      <c r="Y353" s="225"/>
      <c r="Z353" s="225"/>
      <c r="AA353" s="225"/>
      <c r="AB353" s="225"/>
      <c r="AC353" s="225"/>
      <c r="AD353" s="225"/>
      <c r="AE353" s="225"/>
      <c r="AF353" s="225"/>
      <c r="AG353" s="225"/>
      <c r="AH353" s="225"/>
      <c r="AI353" s="225"/>
      <c r="AJ353" s="225"/>
      <c r="AK353" s="225"/>
      <c r="AL353" s="225"/>
      <c r="AM353" s="225"/>
      <c r="AN353" s="225"/>
      <c r="AO353" s="225"/>
      <c r="AP353" s="225"/>
      <c r="AQ353" s="225"/>
      <c r="AR353" s="225"/>
    </row>
    <row r="354" spans="1:44" ht="15.75" customHeight="1">
      <c r="A354" s="131"/>
      <c r="B354" s="131"/>
      <c r="C354" s="131"/>
      <c r="D354" s="131"/>
      <c r="E354" s="131"/>
      <c r="F354" s="131"/>
      <c r="G354" s="131"/>
      <c r="H354" s="131"/>
      <c r="I354" s="131"/>
      <c r="J354" s="131"/>
      <c r="K354" s="131"/>
      <c r="L354" s="225"/>
      <c r="M354" s="225"/>
      <c r="N354" s="225"/>
      <c r="O354" s="225"/>
      <c r="P354" s="225"/>
      <c r="Q354" s="225"/>
      <c r="R354" s="225"/>
      <c r="S354" s="225"/>
      <c r="T354" s="225"/>
      <c r="U354" s="225"/>
      <c r="V354" s="225"/>
      <c r="W354" s="225"/>
      <c r="X354" s="225"/>
      <c r="Y354" s="225"/>
      <c r="Z354" s="225"/>
      <c r="AA354" s="225"/>
      <c r="AB354" s="225"/>
      <c r="AC354" s="225"/>
      <c r="AD354" s="225"/>
      <c r="AE354" s="225"/>
      <c r="AF354" s="225"/>
      <c r="AG354" s="225"/>
      <c r="AH354" s="225"/>
      <c r="AI354" s="225"/>
      <c r="AJ354" s="225"/>
      <c r="AK354" s="225"/>
      <c r="AL354" s="225"/>
      <c r="AM354" s="225"/>
      <c r="AN354" s="225"/>
      <c r="AO354" s="225"/>
      <c r="AP354" s="225"/>
      <c r="AQ354" s="225"/>
      <c r="AR354" s="225"/>
    </row>
    <row r="355" spans="1:44" ht="15.75" customHeight="1">
      <c r="A355" s="131"/>
      <c r="B355" s="131"/>
      <c r="C355" s="131"/>
      <c r="D355" s="131"/>
      <c r="E355" s="131"/>
      <c r="F355" s="131"/>
      <c r="G355" s="131"/>
      <c r="H355" s="131"/>
      <c r="I355" s="131"/>
      <c r="J355" s="131"/>
      <c r="K355" s="131"/>
      <c r="L355" s="225"/>
      <c r="M355" s="225"/>
      <c r="N355" s="225"/>
      <c r="O355" s="225"/>
      <c r="P355" s="225"/>
      <c r="Q355" s="225"/>
      <c r="R355" s="225"/>
      <c r="S355" s="225"/>
      <c r="T355" s="225"/>
      <c r="U355" s="225"/>
      <c r="V355" s="225"/>
      <c r="W355" s="225"/>
      <c r="X355" s="225"/>
      <c r="Y355" s="225"/>
      <c r="Z355" s="225"/>
      <c r="AA355" s="225"/>
      <c r="AB355" s="225"/>
      <c r="AC355" s="225"/>
      <c r="AD355" s="225"/>
      <c r="AE355" s="225"/>
      <c r="AF355" s="225"/>
      <c r="AG355" s="225"/>
      <c r="AH355" s="225"/>
      <c r="AI355" s="225"/>
      <c r="AJ355" s="225"/>
      <c r="AK355" s="225"/>
      <c r="AL355" s="225"/>
      <c r="AM355" s="225"/>
      <c r="AN355" s="225"/>
      <c r="AO355" s="225"/>
      <c r="AP355" s="225"/>
      <c r="AQ355" s="225"/>
      <c r="AR355" s="225"/>
    </row>
    <row r="356" spans="1:44" ht="15.75" customHeight="1">
      <c r="A356" s="131"/>
      <c r="B356" s="131"/>
      <c r="C356" s="131"/>
      <c r="D356" s="131"/>
      <c r="E356" s="131"/>
      <c r="F356" s="131"/>
      <c r="G356" s="131"/>
      <c r="H356" s="131"/>
      <c r="I356" s="131"/>
      <c r="J356" s="131"/>
      <c r="K356" s="131"/>
      <c r="L356" s="225"/>
      <c r="M356" s="225"/>
      <c r="N356" s="225"/>
      <c r="O356" s="225"/>
      <c r="P356" s="225"/>
      <c r="Q356" s="225"/>
      <c r="R356" s="225"/>
      <c r="S356" s="225"/>
      <c r="T356" s="225"/>
      <c r="U356" s="225"/>
      <c r="V356" s="225"/>
      <c r="W356" s="225"/>
      <c r="X356" s="225"/>
      <c r="Y356" s="225"/>
      <c r="Z356" s="225"/>
      <c r="AA356" s="225"/>
      <c r="AB356" s="225"/>
      <c r="AC356" s="225"/>
      <c r="AD356" s="225"/>
      <c r="AE356" s="225"/>
      <c r="AF356" s="225"/>
      <c r="AG356" s="225"/>
      <c r="AH356" s="225"/>
      <c r="AI356" s="225"/>
      <c r="AJ356" s="225"/>
      <c r="AK356" s="225"/>
      <c r="AL356" s="225"/>
      <c r="AM356" s="225"/>
      <c r="AN356" s="225"/>
      <c r="AO356" s="225"/>
      <c r="AP356" s="225"/>
      <c r="AQ356" s="225"/>
      <c r="AR356" s="225"/>
    </row>
    <row r="357" spans="1:44" ht="15.75" customHeight="1">
      <c r="A357" s="131"/>
      <c r="B357" s="131"/>
      <c r="C357" s="131"/>
      <c r="D357" s="131"/>
      <c r="E357" s="131"/>
      <c r="F357" s="131"/>
      <c r="G357" s="131"/>
      <c r="H357" s="131"/>
      <c r="I357" s="131"/>
      <c r="J357" s="131"/>
      <c r="K357" s="131"/>
      <c r="L357" s="225"/>
      <c r="M357" s="225"/>
      <c r="N357" s="225"/>
      <c r="O357" s="225"/>
      <c r="P357" s="225"/>
      <c r="Q357" s="225"/>
      <c r="R357" s="225"/>
      <c r="S357" s="225"/>
      <c r="T357" s="225"/>
      <c r="U357" s="225"/>
      <c r="V357" s="225"/>
      <c r="W357" s="225"/>
      <c r="X357" s="225"/>
      <c r="Y357" s="225"/>
      <c r="Z357" s="225"/>
      <c r="AA357" s="225"/>
      <c r="AB357" s="225"/>
      <c r="AC357" s="225"/>
      <c r="AD357" s="225"/>
      <c r="AE357" s="225"/>
      <c r="AF357" s="225"/>
      <c r="AG357" s="225"/>
      <c r="AH357" s="225"/>
      <c r="AI357" s="225"/>
      <c r="AJ357" s="225"/>
      <c r="AK357" s="225"/>
      <c r="AL357" s="225"/>
      <c r="AM357" s="225"/>
      <c r="AN357" s="225"/>
      <c r="AO357" s="225"/>
      <c r="AP357" s="225"/>
      <c r="AQ357" s="225"/>
      <c r="AR357" s="225"/>
    </row>
    <row r="358" spans="1:44" ht="15.75" customHeight="1">
      <c r="A358" s="131"/>
      <c r="B358" s="131"/>
      <c r="C358" s="131"/>
      <c r="D358" s="131"/>
      <c r="E358" s="131"/>
      <c r="F358" s="131"/>
      <c r="G358" s="131"/>
      <c r="H358" s="131"/>
      <c r="I358" s="131"/>
      <c r="J358" s="131"/>
      <c r="K358" s="131"/>
      <c r="L358" s="225"/>
      <c r="M358" s="225"/>
      <c r="N358" s="225"/>
      <c r="O358" s="225"/>
      <c r="P358" s="225"/>
      <c r="Q358" s="225"/>
      <c r="R358" s="225"/>
      <c r="S358" s="225"/>
      <c r="T358" s="225"/>
      <c r="U358" s="225"/>
      <c r="V358" s="225"/>
      <c r="W358" s="225"/>
      <c r="X358" s="225"/>
      <c r="Y358" s="225"/>
      <c r="Z358" s="225"/>
      <c r="AA358" s="225"/>
      <c r="AB358" s="225"/>
      <c r="AC358" s="225"/>
      <c r="AD358" s="225"/>
      <c r="AE358" s="225"/>
      <c r="AF358" s="225"/>
      <c r="AG358" s="225"/>
      <c r="AH358" s="225"/>
      <c r="AI358" s="225"/>
      <c r="AJ358" s="225"/>
      <c r="AK358" s="225"/>
      <c r="AL358" s="225"/>
      <c r="AM358" s="225"/>
      <c r="AN358" s="225"/>
      <c r="AO358" s="225"/>
      <c r="AP358" s="225"/>
      <c r="AQ358" s="225"/>
      <c r="AR358" s="225"/>
    </row>
    <row r="359" spans="1:44" ht="15.75" customHeight="1">
      <c r="A359" s="131"/>
      <c r="B359" s="131"/>
      <c r="C359" s="131"/>
      <c r="D359" s="131"/>
      <c r="E359" s="131"/>
      <c r="F359" s="131"/>
      <c r="G359" s="131"/>
      <c r="H359" s="131"/>
      <c r="I359" s="131"/>
      <c r="J359" s="131"/>
      <c r="K359" s="131"/>
      <c r="L359" s="225"/>
      <c r="M359" s="225"/>
      <c r="N359" s="225"/>
      <c r="O359" s="225"/>
      <c r="P359" s="225"/>
      <c r="Q359" s="225"/>
      <c r="R359" s="225"/>
      <c r="S359" s="225"/>
      <c r="T359" s="225"/>
      <c r="U359" s="225"/>
      <c r="V359" s="225"/>
      <c r="W359" s="225"/>
      <c r="X359" s="225"/>
      <c r="Y359" s="225"/>
      <c r="Z359" s="225"/>
      <c r="AA359" s="225"/>
      <c r="AB359" s="225"/>
      <c r="AC359" s="225"/>
      <c r="AD359" s="225"/>
      <c r="AE359" s="225"/>
      <c r="AF359" s="225"/>
      <c r="AG359" s="225"/>
      <c r="AH359" s="225"/>
      <c r="AI359" s="225"/>
      <c r="AJ359" s="225"/>
      <c r="AK359" s="225"/>
      <c r="AL359" s="225"/>
      <c r="AM359" s="225"/>
      <c r="AN359" s="225"/>
      <c r="AO359" s="225"/>
      <c r="AP359" s="225"/>
      <c r="AQ359" s="225"/>
      <c r="AR359" s="225"/>
    </row>
    <row r="360" spans="1:44" ht="15.75" customHeight="1">
      <c r="A360" s="131"/>
      <c r="B360" s="131"/>
      <c r="C360" s="131"/>
      <c r="D360" s="131"/>
      <c r="E360" s="131"/>
      <c r="F360" s="131"/>
      <c r="G360" s="131"/>
      <c r="H360" s="131"/>
      <c r="I360" s="131"/>
      <c r="J360" s="131"/>
      <c r="K360" s="131"/>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row>
    <row r="361" spans="1:44" ht="15.75" customHeight="1">
      <c r="A361" s="131"/>
      <c r="B361" s="131"/>
      <c r="C361" s="131"/>
      <c r="D361" s="131"/>
      <c r="E361" s="131"/>
      <c r="F361" s="131"/>
      <c r="G361" s="131"/>
      <c r="H361" s="131"/>
      <c r="I361" s="131"/>
      <c r="J361" s="131"/>
      <c r="K361" s="131"/>
      <c r="L361" s="225"/>
      <c r="M361" s="225"/>
      <c r="N361" s="225"/>
      <c r="O361" s="225"/>
      <c r="P361" s="225"/>
      <c r="Q361" s="225"/>
      <c r="R361" s="225"/>
      <c r="S361" s="225"/>
      <c r="T361" s="225"/>
      <c r="U361" s="225"/>
      <c r="V361" s="225"/>
      <c r="W361" s="225"/>
      <c r="X361" s="225"/>
      <c r="Y361" s="225"/>
      <c r="Z361" s="225"/>
      <c r="AA361" s="225"/>
      <c r="AB361" s="225"/>
      <c r="AC361" s="225"/>
      <c r="AD361" s="225"/>
      <c r="AE361" s="225"/>
      <c r="AF361" s="225"/>
      <c r="AG361" s="225"/>
      <c r="AH361" s="225"/>
      <c r="AI361" s="225"/>
      <c r="AJ361" s="225"/>
      <c r="AK361" s="225"/>
      <c r="AL361" s="225"/>
      <c r="AM361" s="225"/>
      <c r="AN361" s="225"/>
      <c r="AO361" s="225"/>
      <c r="AP361" s="225"/>
      <c r="AQ361" s="225"/>
      <c r="AR361" s="225"/>
    </row>
    <row r="362" spans="1:44" ht="15.75" customHeight="1">
      <c r="A362" s="131"/>
      <c r="B362" s="131"/>
      <c r="C362" s="131"/>
      <c r="D362" s="131"/>
      <c r="E362" s="131"/>
      <c r="F362" s="131"/>
      <c r="G362" s="131"/>
      <c r="H362" s="131"/>
      <c r="I362" s="131"/>
      <c r="J362" s="131"/>
      <c r="K362" s="131"/>
      <c r="L362" s="225"/>
      <c r="M362" s="225"/>
      <c r="N362" s="225"/>
      <c r="O362" s="225"/>
      <c r="P362" s="225"/>
      <c r="Q362" s="225"/>
      <c r="R362" s="225"/>
      <c r="S362" s="225"/>
      <c r="T362" s="225"/>
      <c r="U362" s="225"/>
      <c r="V362" s="225"/>
      <c r="W362" s="225"/>
      <c r="X362" s="225"/>
      <c r="Y362" s="225"/>
      <c r="Z362" s="225"/>
      <c r="AA362" s="225"/>
      <c r="AB362" s="225"/>
      <c r="AC362" s="225"/>
      <c r="AD362" s="225"/>
      <c r="AE362" s="225"/>
      <c r="AF362" s="225"/>
      <c r="AG362" s="225"/>
      <c r="AH362" s="225"/>
      <c r="AI362" s="225"/>
      <c r="AJ362" s="225"/>
      <c r="AK362" s="225"/>
      <c r="AL362" s="225"/>
      <c r="AM362" s="225"/>
      <c r="AN362" s="225"/>
      <c r="AO362" s="225"/>
      <c r="AP362" s="225"/>
      <c r="AQ362" s="225"/>
      <c r="AR362" s="225"/>
    </row>
    <row r="363" spans="1:44" ht="15.75" customHeight="1">
      <c r="A363" s="131"/>
      <c r="B363" s="131"/>
      <c r="C363" s="131"/>
      <c r="D363" s="131"/>
      <c r="E363" s="131"/>
      <c r="F363" s="131"/>
      <c r="G363" s="131"/>
      <c r="H363" s="131"/>
      <c r="I363" s="131"/>
      <c r="J363" s="131"/>
      <c r="K363" s="131"/>
      <c r="L363" s="225"/>
      <c r="M363" s="225"/>
      <c r="N363" s="225"/>
      <c r="O363" s="225"/>
      <c r="P363" s="225"/>
      <c r="Q363" s="225"/>
      <c r="R363" s="225"/>
      <c r="S363" s="225"/>
      <c r="T363" s="225"/>
      <c r="U363" s="225"/>
      <c r="V363" s="225"/>
      <c r="W363" s="225"/>
      <c r="X363" s="225"/>
      <c r="Y363" s="225"/>
      <c r="Z363" s="225"/>
      <c r="AA363" s="225"/>
      <c r="AB363" s="225"/>
      <c r="AC363" s="225"/>
      <c r="AD363" s="225"/>
      <c r="AE363" s="225"/>
      <c r="AF363" s="225"/>
      <c r="AG363" s="225"/>
      <c r="AH363" s="225"/>
      <c r="AI363" s="225"/>
      <c r="AJ363" s="225"/>
      <c r="AK363" s="225"/>
      <c r="AL363" s="225"/>
      <c r="AM363" s="225"/>
      <c r="AN363" s="225"/>
      <c r="AO363" s="225"/>
      <c r="AP363" s="225"/>
      <c r="AQ363" s="225"/>
      <c r="AR363" s="225"/>
    </row>
    <row r="364" spans="1:44" ht="15.75" customHeight="1">
      <c r="A364" s="131"/>
      <c r="B364" s="131"/>
      <c r="C364" s="131"/>
      <c r="D364" s="131"/>
      <c r="E364" s="131"/>
      <c r="F364" s="131"/>
      <c r="G364" s="131"/>
      <c r="H364" s="131"/>
      <c r="I364" s="131"/>
      <c r="J364" s="131"/>
      <c r="K364" s="131"/>
      <c r="L364" s="225"/>
      <c r="M364" s="225"/>
      <c r="N364" s="225"/>
      <c r="O364" s="225"/>
      <c r="P364" s="225"/>
      <c r="Q364" s="225"/>
      <c r="R364" s="225"/>
      <c r="S364" s="225"/>
      <c r="T364" s="225"/>
      <c r="U364" s="225"/>
      <c r="V364" s="225"/>
      <c r="W364" s="225"/>
      <c r="X364" s="225"/>
      <c r="Y364" s="225"/>
      <c r="Z364" s="225"/>
      <c r="AA364" s="225"/>
      <c r="AB364" s="225"/>
      <c r="AC364" s="225"/>
      <c r="AD364" s="225"/>
      <c r="AE364" s="225"/>
      <c r="AF364" s="225"/>
      <c r="AG364" s="225"/>
      <c r="AH364" s="225"/>
      <c r="AI364" s="225"/>
      <c r="AJ364" s="225"/>
      <c r="AK364" s="225"/>
      <c r="AL364" s="225"/>
      <c r="AM364" s="225"/>
      <c r="AN364" s="225"/>
      <c r="AO364" s="225"/>
      <c r="AP364" s="225"/>
      <c r="AQ364" s="225"/>
      <c r="AR364" s="225"/>
    </row>
    <row r="365" spans="1:44" ht="15.75" customHeight="1">
      <c r="A365" s="131"/>
      <c r="B365" s="131"/>
      <c r="C365" s="131"/>
      <c r="D365" s="131"/>
      <c r="E365" s="131"/>
      <c r="F365" s="131"/>
      <c r="G365" s="131"/>
      <c r="H365" s="131"/>
      <c r="I365" s="131"/>
      <c r="J365" s="131"/>
      <c r="K365" s="131"/>
      <c r="L365" s="225"/>
      <c r="M365" s="225"/>
      <c r="N365" s="225"/>
      <c r="O365" s="225"/>
      <c r="P365" s="225"/>
      <c r="Q365" s="225"/>
      <c r="R365" s="225"/>
      <c r="S365" s="225"/>
      <c r="T365" s="225"/>
      <c r="U365" s="225"/>
      <c r="V365" s="225"/>
      <c r="W365" s="225"/>
      <c r="X365" s="225"/>
      <c r="Y365" s="225"/>
      <c r="Z365" s="225"/>
      <c r="AA365" s="225"/>
      <c r="AB365" s="225"/>
      <c r="AC365" s="225"/>
      <c r="AD365" s="225"/>
      <c r="AE365" s="225"/>
      <c r="AF365" s="225"/>
      <c r="AG365" s="225"/>
      <c r="AH365" s="225"/>
      <c r="AI365" s="225"/>
      <c r="AJ365" s="225"/>
      <c r="AK365" s="225"/>
      <c r="AL365" s="225"/>
      <c r="AM365" s="225"/>
      <c r="AN365" s="225"/>
      <c r="AO365" s="225"/>
      <c r="AP365" s="225"/>
      <c r="AQ365" s="225"/>
      <c r="AR365" s="225"/>
    </row>
    <row r="366" spans="1:44" ht="15.75" customHeight="1">
      <c r="A366" s="131"/>
      <c r="B366" s="131"/>
      <c r="C366" s="131"/>
      <c r="D366" s="131"/>
      <c r="E366" s="131"/>
      <c r="F366" s="131"/>
      <c r="G366" s="131"/>
      <c r="H366" s="131"/>
      <c r="I366" s="131"/>
      <c r="J366" s="131"/>
      <c r="K366" s="131"/>
      <c r="L366" s="225"/>
      <c r="M366" s="225"/>
      <c r="N366" s="225"/>
      <c r="O366" s="225"/>
      <c r="P366" s="225"/>
      <c r="Q366" s="225"/>
      <c r="R366" s="225"/>
      <c r="S366" s="225"/>
      <c r="T366" s="225"/>
      <c r="U366" s="225"/>
      <c r="V366" s="225"/>
      <c r="W366" s="225"/>
      <c r="X366" s="225"/>
      <c r="Y366" s="225"/>
      <c r="Z366" s="225"/>
      <c r="AA366" s="225"/>
      <c r="AB366" s="225"/>
      <c r="AC366" s="225"/>
      <c r="AD366" s="225"/>
      <c r="AE366" s="225"/>
      <c r="AF366" s="225"/>
      <c r="AG366" s="225"/>
      <c r="AH366" s="225"/>
      <c r="AI366" s="225"/>
      <c r="AJ366" s="225"/>
      <c r="AK366" s="225"/>
      <c r="AL366" s="225"/>
      <c r="AM366" s="225"/>
      <c r="AN366" s="225"/>
      <c r="AO366" s="225"/>
      <c r="AP366" s="225"/>
      <c r="AQ366" s="225"/>
      <c r="AR366" s="225"/>
    </row>
    <row r="367" spans="1:44" ht="15.75" customHeight="1">
      <c r="A367" s="131"/>
      <c r="B367" s="131"/>
      <c r="C367" s="131"/>
      <c r="D367" s="131"/>
      <c r="E367" s="131"/>
      <c r="F367" s="131"/>
      <c r="G367" s="131"/>
      <c r="H367" s="131"/>
      <c r="I367" s="131"/>
      <c r="J367" s="131"/>
      <c r="K367" s="131"/>
      <c r="L367" s="225"/>
      <c r="M367" s="225"/>
      <c r="N367" s="225"/>
      <c r="O367" s="225"/>
      <c r="P367" s="225"/>
      <c r="Q367" s="225"/>
      <c r="R367" s="225"/>
      <c r="S367" s="225"/>
      <c r="T367" s="225"/>
      <c r="U367" s="225"/>
      <c r="V367" s="225"/>
      <c r="W367" s="225"/>
      <c r="X367" s="225"/>
      <c r="Y367" s="225"/>
      <c r="Z367" s="225"/>
      <c r="AA367" s="225"/>
      <c r="AB367" s="225"/>
      <c r="AC367" s="225"/>
      <c r="AD367" s="225"/>
      <c r="AE367" s="225"/>
      <c r="AF367" s="225"/>
      <c r="AG367" s="225"/>
      <c r="AH367" s="225"/>
      <c r="AI367" s="225"/>
      <c r="AJ367" s="225"/>
      <c r="AK367" s="225"/>
      <c r="AL367" s="225"/>
      <c r="AM367" s="225"/>
      <c r="AN367" s="225"/>
      <c r="AO367" s="225"/>
      <c r="AP367" s="225"/>
      <c r="AQ367" s="225"/>
      <c r="AR367" s="225"/>
    </row>
    <row r="368" spans="1:44" ht="15.75" customHeight="1">
      <c r="A368" s="131"/>
      <c r="B368" s="131"/>
      <c r="C368" s="131"/>
      <c r="D368" s="131"/>
      <c r="E368" s="131"/>
      <c r="F368" s="131"/>
      <c r="G368" s="131"/>
      <c r="H368" s="131"/>
      <c r="I368" s="131"/>
      <c r="J368" s="131"/>
      <c r="K368" s="131"/>
      <c r="L368" s="225"/>
      <c r="M368" s="225"/>
      <c r="N368" s="225"/>
      <c r="O368" s="225"/>
      <c r="P368" s="225"/>
      <c r="Q368" s="225"/>
      <c r="R368" s="225"/>
      <c r="S368" s="225"/>
      <c r="T368" s="225"/>
      <c r="U368" s="225"/>
      <c r="V368" s="225"/>
      <c r="W368" s="225"/>
      <c r="X368" s="225"/>
      <c r="Y368" s="225"/>
      <c r="Z368" s="225"/>
      <c r="AA368" s="225"/>
      <c r="AB368" s="225"/>
      <c r="AC368" s="225"/>
      <c r="AD368" s="225"/>
      <c r="AE368" s="225"/>
      <c r="AF368" s="225"/>
      <c r="AG368" s="225"/>
      <c r="AH368" s="225"/>
      <c r="AI368" s="225"/>
      <c r="AJ368" s="225"/>
      <c r="AK368" s="225"/>
      <c r="AL368" s="225"/>
      <c r="AM368" s="225"/>
      <c r="AN368" s="225"/>
      <c r="AO368" s="225"/>
      <c r="AP368" s="225"/>
      <c r="AQ368" s="225"/>
      <c r="AR368" s="225"/>
    </row>
    <row r="369" spans="1:44" ht="15.75" customHeight="1">
      <c r="A369" s="131"/>
      <c r="B369" s="131"/>
      <c r="C369" s="131"/>
      <c r="D369" s="131"/>
      <c r="E369" s="131"/>
      <c r="F369" s="131"/>
      <c r="G369" s="131"/>
      <c r="H369" s="131"/>
      <c r="I369" s="131"/>
      <c r="J369" s="131"/>
      <c r="K369" s="131"/>
      <c r="L369" s="225"/>
      <c r="M369" s="225"/>
      <c r="N369" s="225"/>
      <c r="O369" s="225"/>
      <c r="P369" s="225"/>
      <c r="Q369" s="225"/>
      <c r="R369" s="225"/>
      <c r="S369" s="225"/>
      <c r="T369" s="225"/>
      <c r="U369" s="225"/>
      <c r="V369" s="225"/>
      <c r="W369" s="225"/>
      <c r="X369" s="225"/>
      <c r="Y369" s="225"/>
      <c r="Z369" s="225"/>
      <c r="AA369" s="225"/>
      <c r="AB369" s="225"/>
      <c r="AC369" s="225"/>
      <c r="AD369" s="225"/>
      <c r="AE369" s="225"/>
      <c r="AF369" s="225"/>
      <c r="AG369" s="225"/>
      <c r="AH369" s="225"/>
      <c r="AI369" s="225"/>
      <c r="AJ369" s="225"/>
      <c r="AK369" s="225"/>
      <c r="AL369" s="225"/>
      <c r="AM369" s="225"/>
      <c r="AN369" s="225"/>
      <c r="AO369" s="225"/>
      <c r="AP369" s="225"/>
      <c r="AQ369" s="225"/>
      <c r="AR369" s="225"/>
    </row>
    <row r="370" spans="1:44" ht="15.75" customHeight="1">
      <c r="A370" s="131"/>
      <c r="B370" s="131"/>
      <c r="C370" s="131"/>
      <c r="D370" s="131"/>
      <c r="E370" s="131"/>
      <c r="F370" s="131"/>
      <c r="G370" s="131"/>
      <c r="H370" s="131"/>
      <c r="I370" s="131"/>
      <c r="J370" s="131"/>
      <c r="K370" s="131"/>
      <c r="L370" s="225"/>
      <c r="M370" s="225"/>
      <c r="N370" s="225"/>
      <c r="O370" s="225"/>
      <c r="P370" s="225"/>
      <c r="Q370" s="225"/>
      <c r="R370" s="225"/>
      <c r="S370" s="225"/>
      <c r="T370" s="225"/>
      <c r="U370" s="225"/>
      <c r="V370" s="225"/>
      <c r="W370" s="225"/>
      <c r="X370" s="225"/>
      <c r="Y370" s="225"/>
      <c r="Z370" s="225"/>
      <c r="AA370" s="225"/>
      <c r="AB370" s="225"/>
      <c r="AC370" s="225"/>
      <c r="AD370" s="225"/>
      <c r="AE370" s="225"/>
      <c r="AF370" s="225"/>
      <c r="AG370" s="225"/>
      <c r="AH370" s="225"/>
      <c r="AI370" s="225"/>
      <c r="AJ370" s="225"/>
      <c r="AK370" s="225"/>
      <c r="AL370" s="225"/>
      <c r="AM370" s="225"/>
      <c r="AN370" s="225"/>
      <c r="AO370" s="225"/>
      <c r="AP370" s="225"/>
      <c r="AQ370" s="225"/>
      <c r="AR370" s="225"/>
    </row>
    <row r="371" spans="1:44" ht="15.75" customHeight="1">
      <c r="A371" s="131"/>
      <c r="B371" s="131"/>
      <c r="C371" s="131"/>
      <c r="D371" s="131"/>
      <c r="E371" s="131"/>
      <c r="F371" s="131"/>
      <c r="G371" s="131"/>
      <c r="H371" s="131"/>
      <c r="I371" s="131"/>
      <c r="J371" s="131"/>
      <c r="K371" s="131"/>
      <c r="L371" s="225"/>
      <c r="M371" s="225"/>
      <c r="N371" s="225"/>
      <c r="O371" s="225"/>
      <c r="P371" s="225"/>
      <c r="Q371" s="225"/>
      <c r="R371" s="225"/>
      <c r="S371" s="225"/>
      <c r="T371" s="225"/>
      <c r="U371" s="225"/>
      <c r="V371" s="225"/>
      <c r="W371" s="225"/>
      <c r="X371" s="225"/>
      <c r="Y371" s="225"/>
      <c r="Z371" s="225"/>
      <c r="AA371" s="225"/>
      <c r="AB371" s="225"/>
      <c r="AC371" s="225"/>
      <c r="AD371" s="225"/>
      <c r="AE371" s="225"/>
      <c r="AF371" s="225"/>
      <c r="AG371" s="225"/>
      <c r="AH371" s="225"/>
      <c r="AI371" s="225"/>
      <c r="AJ371" s="225"/>
      <c r="AK371" s="225"/>
      <c r="AL371" s="225"/>
      <c r="AM371" s="225"/>
      <c r="AN371" s="225"/>
      <c r="AO371" s="225"/>
      <c r="AP371" s="225"/>
      <c r="AQ371" s="225"/>
      <c r="AR371" s="225"/>
    </row>
    <row r="372" spans="1:44" ht="15.75" customHeight="1">
      <c r="A372" s="131"/>
      <c r="B372" s="131"/>
      <c r="C372" s="131"/>
      <c r="D372" s="131"/>
      <c r="E372" s="131"/>
      <c r="F372" s="131"/>
      <c r="G372" s="131"/>
      <c r="H372" s="131"/>
      <c r="I372" s="131"/>
      <c r="J372" s="131"/>
      <c r="K372" s="131"/>
      <c r="L372" s="225"/>
      <c r="M372" s="225"/>
      <c r="N372" s="225"/>
      <c r="O372" s="225"/>
      <c r="P372" s="225"/>
      <c r="Q372" s="225"/>
      <c r="R372" s="225"/>
      <c r="S372" s="225"/>
      <c r="T372" s="225"/>
      <c r="U372" s="225"/>
      <c r="V372" s="225"/>
      <c r="W372" s="225"/>
      <c r="X372" s="225"/>
      <c r="Y372" s="225"/>
      <c r="Z372" s="225"/>
      <c r="AA372" s="225"/>
      <c r="AB372" s="225"/>
      <c r="AC372" s="225"/>
      <c r="AD372" s="225"/>
      <c r="AE372" s="225"/>
      <c r="AF372" s="225"/>
      <c r="AG372" s="225"/>
      <c r="AH372" s="225"/>
      <c r="AI372" s="225"/>
      <c r="AJ372" s="225"/>
      <c r="AK372" s="225"/>
      <c r="AL372" s="225"/>
      <c r="AM372" s="225"/>
      <c r="AN372" s="225"/>
      <c r="AO372" s="225"/>
      <c r="AP372" s="225"/>
      <c r="AQ372" s="225"/>
      <c r="AR372" s="225"/>
    </row>
    <row r="373" spans="1:44" ht="15.75" customHeight="1">
      <c r="A373" s="131"/>
      <c r="B373" s="131"/>
      <c r="C373" s="131"/>
      <c r="D373" s="131"/>
      <c r="E373" s="131"/>
      <c r="F373" s="131"/>
      <c r="G373" s="131"/>
      <c r="H373" s="131"/>
      <c r="I373" s="131"/>
      <c r="J373" s="131"/>
      <c r="K373" s="131"/>
      <c r="L373" s="225"/>
      <c r="M373" s="225"/>
      <c r="N373" s="225"/>
      <c r="O373" s="225"/>
      <c r="P373" s="225"/>
      <c r="Q373" s="225"/>
      <c r="R373" s="225"/>
      <c r="S373" s="225"/>
      <c r="T373" s="225"/>
      <c r="U373" s="225"/>
      <c r="V373" s="225"/>
      <c r="W373" s="225"/>
      <c r="X373" s="225"/>
      <c r="Y373" s="225"/>
      <c r="Z373" s="225"/>
      <c r="AA373" s="225"/>
      <c r="AB373" s="225"/>
      <c r="AC373" s="225"/>
      <c r="AD373" s="225"/>
      <c r="AE373" s="225"/>
      <c r="AF373" s="225"/>
      <c r="AG373" s="225"/>
      <c r="AH373" s="225"/>
      <c r="AI373" s="225"/>
      <c r="AJ373" s="225"/>
      <c r="AK373" s="225"/>
      <c r="AL373" s="225"/>
      <c r="AM373" s="225"/>
      <c r="AN373" s="225"/>
      <c r="AO373" s="225"/>
      <c r="AP373" s="225"/>
      <c r="AQ373" s="225"/>
      <c r="AR373" s="225"/>
    </row>
    <row r="374" spans="1:44" ht="15.75" customHeight="1">
      <c r="A374" s="131"/>
      <c r="B374" s="131"/>
      <c r="C374" s="131"/>
      <c r="D374" s="131"/>
      <c r="E374" s="131"/>
      <c r="F374" s="131"/>
      <c r="G374" s="131"/>
      <c r="H374" s="131"/>
      <c r="I374" s="131"/>
      <c r="J374" s="131"/>
      <c r="K374" s="131"/>
      <c r="L374" s="225"/>
      <c r="M374" s="225"/>
      <c r="N374" s="225"/>
      <c r="O374" s="225"/>
      <c r="P374" s="225"/>
      <c r="Q374" s="225"/>
      <c r="R374" s="225"/>
      <c r="S374" s="225"/>
      <c r="T374" s="225"/>
      <c r="U374" s="225"/>
      <c r="V374" s="225"/>
      <c r="W374" s="225"/>
      <c r="X374" s="225"/>
      <c r="Y374" s="225"/>
      <c r="Z374" s="225"/>
      <c r="AA374" s="225"/>
      <c r="AB374" s="225"/>
      <c r="AC374" s="225"/>
      <c r="AD374" s="225"/>
      <c r="AE374" s="225"/>
      <c r="AF374" s="225"/>
      <c r="AG374" s="225"/>
      <c r="AH374" s="225"/>
      <c r="AI374" s="225"/>
      <c r="AJ374" s="225"/>
      <c r="AK374" s="225"/>
      <c r="AL374" s="225"/>
      <c r="AM374" s="225"/>
      <c r="AN374" s="225"/>
      <c r="AO374" s="225"/>
      <c r="AP374" s="225"/>
      <c r="AQ374" s="225"/>
      <c r="AR374" s="225"/>
    </row>
    <row r="375" spans="1:44" ht="15.75" customHeight="1">
      <c r="A375" s="131"/>
      <c r="B375" s="131"/>
      <c r="C375" s="131"/>
      <c r="D375" s="131"/>
      <c r="E375" s="131"/>
      <c r="F375" s="131"/>
      <c r="G375" s="131"/>
      <c r="H375" s="131"/>
      <c r="I375" s="131"/>
      <c r="J375" s="131"/>
      <c r="K375" s="131"/>
      <c r="L375" s="225"/>
      <c r="M375" s="225"/>
      <c r="N375" s="225"/>
      <c r="O375" s="225"/>
      <c r="P375" s="225"/>
      <c r="Q375" s="225"/>
      <c r="R375" s="225"/>
      <c r="S375" s="225"/>
      <c r="T375" s="225"/>
      <c r="U375" s="225"/>
      <c r="V375" s="225"/>
      <c r="W375" s="225"/>
      <c r="X375" s="225"/>
      <c r="Y375" s="225"/>
      <c r="Z375" s="225"/>
      <c r="AA375" s="225"/>
      <c r="AB375" s="225"/>
      <c r="AC375" s="225"/>
      <c r="AD375" s="225"/>
      <c r="AE375" s="225"/>
      <c r="AF375" s="225"/>
      <c r="AG375" s="225"/>
      <c r="AH375" s="225"/>
      <c r="AI375" s="225"/>
      <c r="AJ375" s="225"/>
      <c r="AK375" s="225"/>
      <c r="AL375" s="225"/>
      <c r="AM375" s="225"/>
      <c r="AN375" s="225"/>
      <c r="AO375" s="225"/>
      <c r="AP375" s="225"/>
      <c r="AQ375" s="225"/>
      <c r="AR375" s="225"/>
    </row>
    <row r="376" spans="1:44" ht="15.75" customHeight="1">
      <c r="A376" s="131"/>
      <c r="B376" s="131"/>
      <c r="C376" s="131"/>
      <c r="D376" s="131"/>
      <c r="E376" s="131"/>
      <c r="F376" s="131"/>
      <c r="G376" s="131"/>
      <c r="H376" s="131"/>
      <c r="I376" s="131"/>
      <c r="J376" s="131"/>
      <c r="K376" s="131"/>
      <c r="L376" s="225"/>
      <c r="M376" s="225"/>
      <c r="N376" s="225"/>
      <c r="O376" s="225"/>
      <c r="P376" s="225"/>
      <c r="Q376" s="225"/>
      <c r="R376" s="225"/>
      <c r="S376" s="225"/>
      <c r="T376" s="225"/>
      <c r="U376" s="225"/>
      <c r="V376" s="225"/>
      <c r="W376" s="225"/>
      <c r="X376" s="225"/>
      <c r="Y376" s="225"/>
      <c r="Z376" s="225"/>
      <c r="AA376" s="225"/>
      <c r="AB376" s="225"/>
      <c r="AC376" s="225"/>
      <c r="AD376" s="225"/>
      <c r="AE376" s="225"/>
      <c r="AF376" s="225"/>
      <c r="AG376" s="225"/>
      <c r="AH376" s="225"/>
      <c r="AI376" s="225"/>
      <c r="AJ376" s="225"/>
      <c r="AK376" s="225"/>
      <c r="AL376" s="225"/>
      <c r="AM376" s="225"/>
      <c r="AN376" s="225"/>
      <c r="AO376" s="225"/>
      <c r="AP376" s="225"/>
      <c r="AQ376" s="225"/>
      <c r="AR376" s="225"/>
    </row>
    <row r="377" spans="1:44" ht="15.75" customHeight="1">
      <c r="A377" s="131"/>
      <c r="B377" s="131"/>
      <c r="C377" s="131"/>
      <c r="D377" s="131"/>
      <c r="E377" s="131"/>
      <c r="F377" s="131"/>
      <c r="G377" s="131"/>
      <c r="H377" s="131"/>
      <c r="I377" s="131"/>
      <c r="J377" s="131"/>
      <c r="K377" s="131"/>
      <c r="L377" s="225"/>
      <c r="M377" s="225"/>
      <c r="N377" s="225"/>
      <c r="O377" s="225"/>
      <c r="P377" s="225"/>
      <c r="Q377" s="225"/>
      <c r="R377" s="225"/>
      <c r="S377" s="225"/>
      <c r="T377" s="225"/>
      <c r="U377" s="225"/>
      <c r="V377" s="225"/>
      <c r="W377" s="225"/>
      <c r="X377" s="225"/>
      <c r="Y377" s="225"/>
      <c r="Z377" s="225"/>
      <c r="AA377" s="225"/>
      <c r="AB377" s="225"/>
      <c r="AC377" s="225"/>
      <c r="AD377" s="225"/>
      <c r="AE377" s="225"/>
      <c r="AF377" s="225"/>
      <c r="AG377" s="225"/>
      <c r="AH377" s="225"/>
      <c r="AI377" s="225"/>
      <c r="AJ377" s="225"/>
      <c r="AK377" s="225"/>
      <c r="AL377" s="225"/>
      <c r="AM377" s="225"/>
      <c r="AN377" s="225"/>
      <c r="AO377" s="225"/>
      <c r="AP377" s="225"/>
      <c r="AQ377" s="225"/>
      <c r="AR377" s="225"/>
    </row>
    <row r="378" spans="1:44" ht="15.75" customHeight="1">
      <c r="A378" s="131"/>
      <c r="B378" s="131"/>
      <c r="C378" s="131"/>
      <c r="D378" s="131"/>
      <c r="E378" s="131"/>
      <c r="F378" s="131"/>
      <c r="G378" s="131"/>
      <c r="H378" s="131"/>
      <c r="I378" s="131"/>
      <c r="J378" s="131"/>
      <c r="K378" s="131"/>
      <c r="L378" s="225"/>
      <c r="M378" s="225"/>
      <c r="N378" s="225"/>
      <c r="O378" s="225"/>
      <c r="P378" s="225"/>
      <c r="Q378" s="225"/>
      <c r="R378" s="225"/>
      <c r="S378" s="225"/>
      <c r="T378" s="225"/>
      <c r="U378" s="225"/>
      <c r="V378" s="225"/>
      <c r="W378" s="225"/>
      <c r="X378" s="225"/>
      <c r="Y378" s="225"/>
      <c r="Z378" s="225"/>
      <c r="AA378" s="225"/>
      <c r="AB378" s="225"/>
      <c r="AC378" s="225"/>
      <c r="AD378" s="225"/>
      <c r="AE378" s="225"/>
      <c r="AF378" s="225"/>
      <c r="AG378" s="225"/>
      <c r="AH378" s="225"/>
      <c r="AI378" s="225"/>
      <c r="AJ378" s="225"/>
      <c r="AK378" s="225"/>
      <c r="AL378" s="225"/>
      <c r="AM378" s="225"/>
      <c r="AN378" s="225"/>
      <c r="AO378" s="225"/>
      <c r="AP378" s="225"/>
      <c r="AQ378" s="225"/>
      <c r="AR378" s="225"/>
    </row>
    <row r="379" spans="1:44" ht="15.75" customHeight="1">
      <c r="A379" s="131"/>
      <c r="B379" s="131"/>
      <c r="C379" s="131"/>
      <c r="D379" s="131"/>
      <c r="E379" s="131"/>
      <c r="F379" s="131"/>
      <c r="G379" s="131"/>
      <c r="H379" s="131"/>
      <c r="I379" s="131"/>
      <c r="J379" s="131"/>
      <c r="K379" s="131"/>
      <c r="L379" s="225"/>
      <c r="M379" s="225"/>
      <c r="N379" s="225"/>
      <c r="O379" s="225"/>
      <c r="P379" s="225"/>
      <c r="Q379" s="225"/>
      <c r="R379" s="225"/>
      <c r="S379" s="225"/>
      <c r="T379" s="225"/>
      <c r="U379" s="225"/>
      <c r="V379" s="225"/>
      <c r="W379" s="225"/>
      <c r="X379" s="225"/>
      <c r="Y379" s="225"/>
      <c r="Z379" s="225"/>
      <c r="AA379" s="225"/>
      <c r="AB379" s="225"/>
      <c r="AC379" s="225"/>
      <c r="AD379" s="225"/>
      <c r="AE379" s="225"/>
      <c r="AF379" s="225"/>
      <c r="AG379" s="225"/>
      <c r="AH379" s="225"/>
      <c r="AI379" s="225"/>
      <c r="AJ379" s="225"/>
      <c r="AK379" s="225"/>
      <c r="AL379" s="225"/>
      <c r="AM379" s="225"/>
      <c r="AN379" s="225"/>
      <c r="AO379" s="225"/>
      <c r="AP379" s="225"/>
      <c r="AQ379" s="225"/>
      <c r="AR379" s="225"/>
    </row>
    <row r="380" spans="1:44" ht="15.75" customHeight="1">
      <c r="A380" s="131"/>
      <c r="B380" s="131"/>
      <c r="C380" s="131"/>
      <c r="D380" s="131"/>
      <c r="E380" s="131"/>
      <c r="F380" s="131"/>
      <c r="G380" s="131"/>
      <c r="H380" s="131"/>
      <c r="I380" s="131"/>
      <c r="J380" s="131"/>
      <c r="K380" s="131"/>
      <c r="L380" s="225"/>
      <c r="M380" s="225"/>
      <c r="N380" s="225"/>
      <c r="O380" s="225"/>
      <c r="P380" s="225"/>
      <c r="Q380" s="225"/>
      <c r="R380" s="225"/>
      <c r="S380" s="225"/>
      <c r="T380" s="225"/>
      <c r="U380" s="225"/>
      <c r="V380" s="225"/>
      <c r="W380" s="225"/>
      <c r="X380" s="225"/>
      <c r="Y380" s="225"/>
      <c r="Z380" s="225"/>
      <c r="AA380" s="225"/>
      <c r="AB380" s="225"/>
      <c r="AC380" s="225"/>
      <c r="AD380" s="225"/>
      <c r="AE380" s="225"/>
      <c r="AF380" s="225"/>
      <c r="AG380" s="225"/>
      <c r="AH380" s="225"/>
      <c r="AI380" s="225"/>
      <c r="AJ380" s="225"/>
      <c r="AK380" s="225"/>
      <c r="AL380" s="225"/>
      <c r="AM380" s="225"/>
      <c r="AN380" s="225"/>
      <c r="AO380" s="225"/>
      <c r="AP380" s="225"/>
      <c r="AQ380" s="225"/>
      <c r="AR380" s="225"/>
    </row>
    <row r="381" spans="1:44" ht="15.75" customHeight="1">
      <c r="A381" s="131"/>
      <c r="B381" s="131"/>
      <c r="C381" s="131"/>
      <c r="D381" s="131"/>
      <c r="E381" s="131"/>
      <c r="F381" s="131"/>
      <c r="G381" s="131"/>
      <c r="H381" s="131"/>
      <c r="I381" s="131"/>
      <c r="J381" s="131"/>
      <c r="K381" s="131"/>
      <c r="L381" s="225"/>
      <c r="M381" s="225"/>
      <c r="N381" s="225"/>
      <c r="O381" s="225"/>
      <c r="P381" s="225"/>
      <c r="Q381" s="225"/>
      <c r="R381" s="225"/>
      <c r="S381" s="225"/>
      <c r="T381" s="225"/>
      <c r="U381" s="225"/>
      <c r="V381" s="225"/>
      <c r="W381" s="225"/>
      <c r="X381" s="225"/>
      <c r="Y381" s="225"/>
      <c r="Z381" s="225"/>
      <c r="AA381" s="225"/>
      <c r="AB381" s="225"/>
      <c r="AC381" s="225"/>
      <c r="AD381" s="225"/>
      <c r="AE381" s="225"/>
      <c r="AF381" s="225"/>
      <c r="AG381" s="225"/>
      <c r="AH381" s="225"/>
      <c r="AI381" s="225"/>
      <c r="AJ381" s="225"/>
      <c r="AK381" s="225"/>
      <c r="AL381" s="225"/>
      <c r="AM381" s="225"/>
      <c r="AN381" s="225"/>
      <c r="AO381" s="225"/>
      <c r="AP381" s="225"/>
      <c r="AQ381" s="225"/>
      <c r="AR381" s="225"/>
    </row>
    <row r="382" spans="1:44" ht="15.75" customHeight="1">
      <c r="A382" s="131"/>
      <c r="B382" s="131"/>
      <c r="C382" s="131"/>
      <c r="D382" s="131"/>
      <c r="E382" s="131"/>
      <c r="F382" s="131"/>
      <c r="G382" s="131"/>
      <c r="H382" s="131"/>
      <c r="I382" s="131"/>
      <c r="J382" s="131"/>
      <c r="K382" s="131"/>
      <c r="L382" s="225"/>
      <c r="M382" s="225"/>
      <c r="N382" s="225"/>
      <c r="O382" s="225"/>
      <c r="P382" s="225"/>
      <c r="Q382" s="225"/>
      <c r="R382" s="225"/>
      <c r="S382" s="225"/>
      <c r="T382" s="225"/>
      <c r="U382" s="225"/>
      <c r="V382" s="225"/>
      <c r="W382" s="225"/>
      <c r="X382" s="225"/>
      <c r="Y382" s="225"/>
      <c r="Z382" s="225"/>
      <c r="AA382" s="225"/>
      <c r="AB382" s="225"/>
      <c r="AC382" s="225"/>
      <c r="AD382" s="225"/>
      <c r="AE382" s="225"/>
      <c r="AF382" s="225"/>
      <c r="AG382" s="225"/>
      <c r="AH382" s="225"/>
      <c r="AI382" s="225"/>
      <c r="AJ382" s="225"/>
      <c r="AK382" s="225"/>
      <c r="AL382" s="225"/>
      <c r="AM382" s="225"/>
      <c r="AN382" s="225"/>
      <c r="AO382" s="225"/>
      <c r="AP382" s="225"/>
      <c r="AQ382" s="225"/>
      <c r="AR382" s="225"/>
    </row>
    <row r="383" spans="1:44" ht="15.75" customHeight="1">
      <c r="A383" s="131"/>
      <c r="B383" s="131"/>
      <c r="C383" s="131"/>
      <c r="D383" s="131"/>
      <c r="E383" s="131"/>
      <c r="F383" s="131"/>
      <c r="G383" s="131"/>
      <c r="H383" s="131"/>
      <c r="I383" s="131"/>
      <c r="J383" s="131"/>
      <c r="K383" s="131"/>
      <c r="L383" s="225"/>
      <c r="M383" s="225"/>
      <c r="N383" s="225"/>
      <c r="O383" s="225"/>
      <c r="P383" s="225"/>
      <c r="Q383" s="225"/>
      <c r="R383" s="225"/>
      <c r="S383" s="225"/>
      <c r="T383" s="225"/>
      <c r="U383" s="225"/>
      <c r="V383" s="225"/>
      <c r="W383" s="225"/>
      <c r="X383" s="225"/>
      <c r="Y383" s="225"/>
      <c r="Z383" s="225"/>
      <c r="AA383" s="225"/>
      <c r="AB383" s="225"/>
      <c r="AC383" s="225"/>
      <c r="AD383" s="225"/>
      <c r="AE383" s="225"/>
      <c r="AF383" s="225"/>
      <c r="AG383" s="225"/>
      <c r="AH383" s="225"/>
      <c r="AI383" s="225"/>
      <c r="AJ383" s="225"/>
      <c r="AK383" s="225"/>
      <c r="AL383" s="225"/>
      <c r="AM383" s="225"/>
      <c r="AN383" s="225"/>
      <c r="AO383" s="225"/>
      <c r="AP383" s="225"/>
      <c r="AQ383" s="225"/>
      <c r="AR383" s="225"/>
    </row>
    <row r="384" spans="1:44" ht="15.75" customHeight="1">
      <c r="A384" s="131"/>
      <c r="B384" s="131"/>
      <c r="C384" s="131"/>
      <c r="D384" s="131"/>
      <c r="E384" s="131"/>
      <c r="F384" s="131"/>
      <c r="G384" s="131"/>
      <c r="H384" s="131"/>
      <c r="I384" s="131"/>
      <c r="J384" s="131"/>
      <c r="K384" s="131"/>
      <c r="L384" s="225"/>
      <c r="M384" s="225"/>
      <c r="N384" s="225"/>
      <c r="O384" s="225"/>
      <c r="P384" s="225"/>
      <c r="Q384" s="225"/>
      <c r="R384" s="225"/>
      <c r="S384" s="225"/>
      <c r="T384" s="225"/>
      <c r="U384" s="225"/>
      <c r="V384" s="225"/>
      <c r="W384" s="225"/>
      <c r="X384" s="225"/>
      <c r="Y384" s="225"/>
      <c r="Z384" s="225"/>
      <c r="AA384" s="225"/>
      <c r="AB384" s="225"/>
      <c r="AC384" s="225"/>
      <c r="AD384" s="225"/>
      <c r="AE384" s="225"/>
      <c r="AF384" s="225"/>
      <c r="AG384" s="225"/>
      <c r="AH384" s="225"/>
      <c r="AI384" s="225"/>
      <c r="AJ384" s="225"/>
      <c r="AK384" s="225"/>
      <c r="AL384" s="225"/>
      <c r="AM384" s="225"/>
      <c r="AN384" s="225"/>
      <c r="AO384" s="225"/>
      <c r="AP384" s="225"/>
      <c r="AQ384" s="225"/>
      <c r="AR384" s="225"/>
    </row>
    <row r="385" spans="1:44" ht="15.75" customHeight="1">
      <c r="A385" s="131"/>
      <c r="B385" s="131"/>
      <c r="C385" s="131"/>
      <c r="D385" s="131"/>
      <c r="E385" s="131"/>
      <c r="F385" s="131"/>
      <c r="G385" s="131"/>
      <c r="H385" s="131"/>
      <c r="I385" s="131"/>
      <c r="J385" s="131"/>
      <c r="K385" s="131"/>
      <c r="L385" s="225"/>
      <c r="M385" s="225"/>
      <c r="N385" s="225"/>
      <c r="O385" s="225"/>
      <c r="P385" s="225"/>
      <c r="Q385" s="225"/>
      <c r="R385" s="225"/>
      <c r="S385" s="225"/>
      <c r="T385" s="225"/>
      <c r="U385" s="225"/>
      <c r="V385" s="225"/>
      <c r="W385" s="225"/>
      <c r="X385" s="225"/>
      <c r="Y385" s="225"/>
      <c r="Z385" s="225"/>
      <c r="AA385" s="225"/>
      <c r="AB385" s="225"/>
      <c r="AC385" s="225"/>
      <c r="AD385" s="225"/>
      <c r="AE385" s="225"/>
      <c r="AF385" s="225"/>
      <c r="AG385" s="225"/>
      <c r="AH385" s="225"/>
      <c r="AI385" s="225"/>
      <c r="AJ385" s="225"/>
      <c r="AK385" s="225"/>
      <c r="AL385" s="225"/>
      <c r="AM385" s="225"/>
      <c r="AN385" s="225"/>
      <c r="AO385" s="225"/>
      <c r="AP385" s="225"/>
      <c r="AQ385" s="225"/>
      <c r="AR385" s="225"/>
    </row>
    <row r="386" spans="1:44" ht="15.75" customHeight="1">
      <c r="A386" s="131"/>
      <c r="B386" s="131"/>
      <c r="C386" s="131"/>
      <c r="D386" s="131"/>
      <c r="E386" s="131"/>
      <c r="F386" s="131"/>
      <c r="G386" s="131"/>
      <c r="H386" s="131"/>
      <c r="I386" s="131"/>
      <c r="J386" s="131"/>
      <c r="K386" s="131"/>
      <c r="L386" s="225"/>
      <c r="M386" s="225"/>
      <c r="N386" s="225"/>
      <c r="O386" s="225"/>
      <c r="P386" s="225"/>
      <c r="Q386" s="225"/>
      <c r="R386" s="225"/>
      <c r="S386" s="225"/>
      <c r="T386" s="225"/>
      <c r="U386" s="225"/>
      <c r="V386" s="225"/>
      <c r="W386" s="225"/>
      <c r="X386" s="225"/>
      <c r="Y386" s="225"/>
      <c r="Z386" s="225"/>
      <c r="AA386" s="225"/>
      <c r="AB386" s="225"/>
      <c r="AC386" s="225"/>
      <c r="AD386" s="225"/>
      <c r="AE386" s="225"/>
      <c r="AF386" s="225"/>
      <c r="AG386" s="225"/>
      <c r="AH386" s="225"/>
      <c r="AI386" s="225"/>
      <c r="AJ386" s="225"/>
      <c r="AK386" s="225"/>
      <c r="AL386" s="225"/>
      <c r="AM386" s="225"/>
      <c r="AN386" s="225"/>
      <c r="AO386" s="225"/>
      <c r="AP386" s="225"/>
      <c r="AQ386" s="225"/>
      <c r="AR386" s="225"/>
    </row>
    <row r="387" spans="1:44" ht="15.75" customHeight="1">
      <c r="A387" s="131"/>
      <c r="B387" s="131"/>
      <c r="C387" s="131"/>
      <c r="D387" s="131"/>
      <c r="E387" s="131"/>
      <c r="F387" s="131"/>
      <c r="G387" s="131"/>
      <c r="H387" s="131"/>
      <c r="I387" s="131"/>
      <c r="J387" s="131"/>
      <c r="K387" s="131"/>
      <c r="L387" s="225"/>
      <c r="M387" s="225"/>
      <c r="N387" s="225"/>
      <c r="O387" s="225"/>
      <c r="P387" s="225"/>
      <c r="Q387" s="225"/>
      <c r="R387" s="225"/>
      <c r="S387" s="225"/>
      <c r="T387" s="225"/>
      <c r="U387" s="225"/>
      <c r="V387" s="225"/>
      <c r="W387" s="225"/>
      <c r="X387" s="225"/>
      <c r="Y387" s="225"/>
      <c r="Z387" s="225"/>
      <c r="AA387" s="225"/>
      <c r="AB387" s="225"/>
      <c r="AC387" s="225"/>
      <c r="AD387" s="225"/>
      <c r="AE387" s="225"/>
      <c r="AF387" s="225"/>
      <c r="AG387" s="225"/>
      <c r="AH387" s="225"/>
      <c r="AI387" s="225"/>
      <c r="AJ387" s="225"/>
      <c r="AK387" s="225"/>
      <c r="AL387" s="225"/>
      <c r="AM387" s="225"/>
      <c r="AN387" s="225"/>
      <c r="AO387" s="225"/>
      <c r="AP387" s="225"/>
      <c r="AQ387" s="225"/>
      <c r="AR387" s="225"/>
    </row>
    <row r="388" spans="1:44" ht="15.75" customHeight="1">
      <c r="A388" s="131"/>
      <c r="B388" s="131"/>
      <c r="C388" s="131"/>
      <c r="D388" s="131"/>
      <c r="E388" s="131"/>
      <c r="F388" s="131"/>
      <c r="G388" s="131"/>
      <c r="H388" s="131"/>
      <c r="I388" s="131"/>
      <c r="J388" s="131"/>
      <c r="K388" s="131"/>
      <c r="L388" s="225"/>
      <c r="M388" s="225"/>
      <c r="N388" s="225"/>
      <c r="O388" s="225"/>
      <c r="P388" s="225"/>
      <c r="Q388" s="225"/>
      <c r="R388" s="225"/>
      <c r="S388" s="225"/>
      <c r="T388" s="225"/>
      <c r="U388" s="225"/>
      <c r="V388" s="225"/>
      <c r="W388" s="225"/>
      <c r="X388" s="225"/>
      <c r="Y388" s="225"/>
      <c r="Z388" s="225"/>
      <c r="AA388" s="225"/>
      <c r="AB388" s="225"/>
      <c r="AC388" s="225"/>
      <c r="AD388" s="225"/>
      <c r="AE388" s="225"/>
      <c r="AF388" s="225"/>
      <c r="AG388" s="225"/>
      <c r="AH388" s="225"/>
      <c r="AI388" s="225"/>
      <c r="AJ388" s="225"/>
      <c r="AK388" s="225"/>
      <c r="AL388" s="225"/>
      <c r="AM388" s="225"/>
      <c r="AN388" s="225"/>
      <c r="AO388" s="225"/>
      <c r="AP388" s="225"/>
      <c r="AQ388" s="225"/>
      <c r="AR388" s="225"/>
    </row>
    <row r="389" spans="1:44" ht="15.75" customHeight="1">
      <c r="A389" s="131"/>
      <c r="B389" s="131"/>
      <c r="C389" s="131"/>
      <c r="D389" s="131"/>
      <c r="E389" s="131"/>
      <c r="F389" s="131"/>
      <c r="G389" s="131"/>
      <c r="H389" s="131"/>
      <c r="I389" s="131"/>
      <c r="J389" s="131"/>
      <c r="K389" s="131"/>
      <c r="L389" s="225"/>
      <c r="M389" s="225"/>
      <c r="N389" s="225"/>
      <c r="O389" s="225"/>
      <c r="P389" s="225"/>
      <c r="Q389" s="225"/>
      <c r="R389" s="225"/>
      <c r="S389" s="225"/>
      <c r="T389" s="225"/>
      <c r="U389" s="225"/>
      <c r="V389" s="225"/>
      <c r="W389" s="225"/>
      <c r="X389" s="225"/>
      <c r="Y389" s="225"/>
      <c r="Z389" s="225"/>
      <c r="AA389" s="225"/>
      <c r="AB389" s="225"/>
      <c r="AC389" s="225"/>
      <c r="AD389" s="225"/>
      <c r="AE389" s="225"/>
      <c r="AF389" s="225"/>
      <c r="AG389" s="225"/>
      <c r="AH389" s="225"/>
      <c r="AI389" s="225"/>
      <c r="AJ389" s="225"/>
      <c r="AK389" s="225"/>
      <c r="AL389" s="225"/>
      <c r="AM389" s="225"/>
      <c r="AN389" s="225"/>
      <c r="AO389" s="225"/>
      <c r="AP389" s="225"/>
      <c r="AQ389" s="225"/>
      <c r="AR389" s="225"/>
    </row>
    <row r="390" spans="1:44" ht="15.75" customHeight="1">
      <c r="A390" s="131"/>
      <c r="B390" s="131"/>
      <c r="C390" s="131"/>
      <c r="D390" s="131"/>
      <c r="E390" s="131"/>
      <c r="F390" s="131"/>
      <c r="G390" s="131"/>
      <c r="H390" s="131"/>
      <c r="I390" s="131"/>
      <c r="J390" s="131"/>
      <c r="K390" s="131"/>
      <c r="L390" s="225"/>
      <c r="M390" s="225"/>
      <c r="N390" s="225"/>
      <c r="O390" s="225"/>
      <c r="P390" s="225"/>
      <c r="Q390" s="225"/>
      <c r="R390" s="225"/>
      <c r="S390" s="225"/>
      <c r="T390" s="225"/>
      <c r="U390" s="225"/>
      <c r="V390" s="225"/>
      <c r="W390" s="225"/>
      <c r="X390" s="225"/>
      <c r="Y390" s="225"/>
      <c r="Z390" s="225"/>
      <c r="AA390" s="225"/>
      <c r="AB390" s="225"/>
      <c r="AC390" s="225"/>
      <c r="AD390" s="225"/>
      <c r="AE390" s="225"/>
      <c r="AF390" s="225"/>
      <c r="AG390" s="225"/>
      <c r="AH390" s="225"/>
      <c r="AI390" s="225"/>
      <c r="AJ390" s="225"/>
      <c r="AK390" s="225"/>
      <c r="AL390" s="225"/>
      <c r="AM390" s="225"/>
      <c r="AN390" s="225"/>
      <c r="AO390" s="225"/>
      <c r="AP390" s="225"/>
      <c r="AQ390" s="225"/>
      <c r="AR390" s="225"/>
    </row>
    <row r="391" spans="1:44" ht="15.75" customHeight="1">
      <c r="A391" s="131"/>
      <c r="B391" s="131"/>
      <c r="C391" s="131"/>
      <c r="D391" s="131"/>
      <c r="E391" s="131"/>
      <c r="F391" s="131"/>
      <c r="G391" s="131"/>
      <c r="H391" s="131"/>
      <c r="I391" s="131"/>
      <c r="J391" s="131"/>
      <c r="K391" s="131"/>
      <c r="L391" s="225"/>
      <c r="M391" s="225"/>
      <c r="N391" s="225"/>
      <c r="O391" s="225"/>
      <c r="P391" s="225"/>
      <c r="Q391" s="225"/>
      <c r="R391" s="225"/>
      <c r="S391" s="225"/>
      <c r="T391" s="225"/>
      <c r="U391" s="225"/>
      <c r="V391" s="225"/>
      <c r="W391" s="225"/>
      <c r="X391" s="225"/>
      <c r="Y391" s="225"/>
      <c r="Z391" s="225"/>
      <c r="AA391" s="225"/>
      <c r="AB391" s="225"/>
      <c r="AC391" s="225"/>
      <c r="AD391" s="225"/>
      <c r="AE391" s="225"/>
      <c r="AF391" s="225"/>
      <c r="AG391" s="225"/>
      <c r="AH391" s="225"/>
      <c r="AI391" s="225"/>
      <c r="AJ391" s="225"/>
      <c r="AK391" s="225"/>
      <c r="AL391" s="225"/>
      <c r="AM391" s="225"/>
      <c r="AN391" s="225"/>
      <c r="AO391" s="225"/>
      <c r="AP391" s="225"/>
      <c r="AQ391" s="225"/>
      <c r="AR391" s="225"/>
    </row>
    <row r="392" spans="1:44" ht="15.75" customHeight="1">
      <c r="A392" s="131"/>
      <c r="B392" s="131"/>
      <c r="C392" s="131"/>
      <c r="D392" s="131"/>
      <c r="E392" s="131"/>
      <c r="F392" s="131"/>
      <c r="G392" s="131"/>
      <c r="H392" s="131"/>
      <c r="I392" s="131"/>
      <c r="J392" s="131"/>
      <c r="K392" s="131"/>
      <c r="L392" s="225"/>
      <c r="M392" s="225"/>
      <c r="N392" s="225"/>
      <c r="O392" s="225"/>
      <c r="P392" s="225"/>
      <c r="Q392" s="225"/>
      <c r="R392" s="225"/>
      <c r="S392" s="225"/>
      <c r="T392" s="225"/>
      <c r="U392" s="225"/>
      <c r="V392" s="225"/>
      <c r="W392" s="225"/>
      <c r="X392" s="225"/>
      <c r="Y392" s="225"/>
      <c r="Z392" s="225"/>
      <c r="AA392" s="225"/>
      <c r="AB392" s="225"/>
      <c r="AC392" s="225"/>
      <c r="AD392" s="225"/>
      <c r="AE392" s="225"/>
      <c r="AF392" s="225"/>
      <c r="AG392" s="225"/>
      <c r="AH392" s="225"/>
      <c r="AI392" s="225"/>
      <c r="AJ392" s="225"/>
      <c r="AK392" s="225"/>
      <c r="AL392" s="225"/>
      <c r="AM392" s="225"/>
      <c r="AN392" s="225"/>
      <c r="AO392" s="225"/>
      <c r="AP392" s="225"/>
      <c r="AQ392" s="225"/>
      <c r="AR392" s="225"/>
    </row>
    <row r="393" spans="1:44" ht="15.75" customHeight="1">
      <c r="A393" s="131"/>
      <c r="B393" s="131"/>
      <c r="C393" s="131"/>
      <c r="D393" s="131"/>
      <c r="E393" s="131"/>
      <c r="F393" s="131"/>
      <c r="G393" s="131"/>
      <c r="H393" s="131"/>
      <c r="I393" s="131"/>
      <c r="J393" s="131"/>
      <c r="K393" s="131"/>
      <c r="L393" s="225"/>
      <c r="M393" s="225"/>
      <c r="N393" s="225"/>
      <c r="O393" s="225"/>
      <c r="P393" s="225"/>
      <c r="Q393" s="225"/>
      <c r="R393" s="225"/>
      <c r="S393" s="225"/>
      <c r="T393" s="225"/>
      <c r="U393" s="225"/>
      <c r="V393" s="225"/>
      <c r="W393" s="225"/>
      <c r="X393" s="225"/>
      <c r="Y393" s="225"/>
      <c r="Z393" s="225"/>
      <c r="AA393" s="225"/>
      <c r="AB393" s="225"/>
      <c r="AC393" s="225"/>
      <c r="AD393" s="225"/>
      <c r="AE393" s="225"/>
      <c r="AF393" s="225"/>
      <c r="AG393" s="225"/>
      <c r="AH393" s="225"/>
      <c r="AI393" s="225"/>
      <c r="AJ393" s="225"/>
      <c r="AK393" s="225"/>
      <c r="AL393" s="225"/>
      <c r="AM393" s="225"/>
      <c r="AN393" s="225"/>
      <c r="AO393" s="225"/>
      <c r="AP393" s="225"/>
      <c r="AQ393" s="225"/>
      <c r="AR393" s="225"/>
    </row>
    <row r="394" spans="1:44" ht="15.75" customHeight="1">
      <c r="A394" s="131"/>
      <c r="B394" s="131"/>
      <c r="C394" s="131"/>
      <c r="D394" s="131"/>
      <c r="E394" s="131"/>
      <c r="F394" s="131"/>
      <c r="G394" s="131"/>
      <c r="H394" s="131"/>
      <c r="I394" s="131"/>
      <c r="J394" s="131"/>
      <c r="K394" s="131"/>
      <c r="L394" s="225"/>
      <c r="M394" s="225"/>
      <c r="N394" s="225"/>
      <c r="O394" s="225"/>
      <c r="P394" s="225"/>
      <c r="Q394" s="225"/>
      <c r="R394" s="225"/>
      <c r="S394" s="225"/>
      <c r="T394" s="225"/>
      <c r="U394" s="225"/>
      <c r="V394" s="225"/>
      <c r="W394" s="225"/>
      <c r="X394" s="225"/>
      <c r="Y394" s="225"/>
      <c r="Z394" s="225"/>
      <c r="AA394" s="225"/>
      <c r="AB394" s="225"/>
      <c r="AC394" s="225"/>
      <c r="AD394" s="225"/>
      <c r="AE394" s="225"/>
      <c r="AF394" s="225"/>
      <c r="AG394" s="225"/>
      <c r="AH394" s="225"/>
      <c r="AI394" s="225"/>
      <c r="AJ394" s="225"/>
      <c r="AK394" s="225"/>
      <c r="AL394" s="225"/>
      <c r="AM394" s="225"/>
      <c r="AN394" s="225"/>
      <c r="AO394" s="225"/>
      <c r="AP394" s="225"/>
      <c r="AQ394" s="225"/>
      <c r="AR394" s="225"/>
    </row>
    <row r="395" spans="1:44" ht="15.75" customHeight="1">
      <c r="A395" s="131"/>
      <c r="B395" s="131"/>
      <c r="C395" s="131"/>
      <c r="D395" s="131"/>
      <c r="E395" s="131"/>
      <c r="F395" s="131"/>
      <c r="G395" s="131"/>
      <c r="H395" s="131"/>
      <c r="I395" s="131"/>
      <c r="J395" s="131"/>
      <c r="K395" s="131"/>
      <c r="L395" s="225"/>
      <c r="M395" s="225"/>
      <c r="N395" s="225"/>
      <c r="O395" s="225"/>
      <c r="P395" s="225"/>
      <c r="Q395" s="225"/>
      <c r="R395" s="225"/>
      <c r="S395" s="225"/>
      <c r="T395" s="225"/>
      <c r="U395" s="225"/>
      <c r="V395" s="225"/>
      <c r="W395" s="225"/>
      <c r="X395" s="225"/>
      <c r="Y395" s="225"/>
      <c r="Z395" s="225"/>
      <c r="AA395" s="225"/>
      <c r="AB395" s="225"/>
      <c r="AC395" s="225"/>
      <c r="AD395" s="225"/>
      <c r="AE395" s="225"/>
      <c r="AF395" s="225"/>
      <c r="AG395" s="225"/>
      <c r="AH395" s="225"/>
      <c r="AI395" s="225"/>
      <c r="AJ395" s="225"/>
      <c r="AK395" s="225"/>
      <c r="AL395" s="225"/>
      <c r="AM395" s="225"/>
      <c r="AN395" s="225"/>
      <c r="AO395" s="225"/>
      <c r="AP395" s="225"/>
      <c r="AQ395" s="225"/>
      <c r="AR395" s="225"/>
    </row>
    <row r="396" spans="1:44" ht="15.75" customHeight="1">
      <c r="A396" s="131"/>
      <c r="B396" s="131"/>
      <c r="C396" s="131"/>
      <c r="D396" s="131"/>
      <c r="E396" s="131"/>
      <c r="F396" s="131"/>
      <c r="G396" s="131"/>
      <c r="H396" s="131"/>
      <c r="I396" s="131"/>
      <c r="J396" s="131"/>
      <c r="K396" s="131"/>
      <c r="L396" s="225"/>
      <c r="M396" s="225"/>
      <c r="N396" s="225"/>
      <c r="O396" s="225"/>
      <c r="P396" s="225"/>
      <c r="Q396" s="225"/>
      <c r="R396" s="225"/>
      <c r="S396" s="225"/>
      <c r="T396" s="225"/>
      <c r="U396" s="225"/>
      <c r="V396" s="225"/>
      <c r="W396" s="225"/>
      <c r="X396" s="225"/>
      <c r="Y396" s="225"/>
      <c r="Z396" s="225"/>
      <c r="AA396" s="225"/>
      <c r="AB396" s="225"/>
      <c r="AC396" s="225"/>
      <c r="AD396" s="225"/>
      <c r="AE396" s="225"/>
      <c r="AF396" s="225"/>
      <c r="AG396" s="225"/>
      <c r="AH396" s="225"/>
      <c r="AI396" s="225"/>
      <c r="AJ396" s="225"/>
      <c r="AK396" s="225"/>
      <c r="AL396" s="225"/>
      <c r="AM396" s="225"/>
      <c r="AN396" s="225"/>
      <c r="AO396" s="225"/>
      <c r="AP396" s="225"/>
      <c r="AQ396" s="225"/>
      <c r="AR396" s="225"/>
    </row>
    <row r="397" spans="1:44" ht="15.75" customHeight="1">
      <c r="A397" s="131"/>
      <c r="B397" s="131"/>
      <c r="C397" s="131"/>
      <c r="D397" s="131"/>
      <c r="E397" s="131"/>
      <c r="F397" s="131"/>
      <c r="G397" s="131"/>
      <c r="H397" s="131"/>
      <c r="I397" s="131"/>
      <c r="J397" s="131"/>
      <c r="K397" s="131"/>
      <c r="L397" s="225"/>
      <c r="M397" s="225"/>
      <c r="N397" s="225"/>
      <c r="O397" s="225"/>
      <c r="P397" s="225"/>
      <c r="Q397" s="225"/>
      <c r="R397" s="225"/>
      <c r="S397" s="225"/>
      <c r="T397" s="225"/>
      <c r="U397" s="225"/>
      <c r="V397" s="225"/>
      <c r="W397" s="225"/>
      <c r="X397" s="225"/>
      <c r="Y397" s="225"/>
      <c r="Z397" s="225"/>
      <c r="AA397" s="225"/>
      <c r="AB397" s="225"/>
      <c r="AC397" s="225"/>
      <c r="AD397" s="225"/>
      <c r="AE397" s="225"/>
      <c r="AF397" s="225"/>
      <c r="AG397" s="225"/>
      <c r="AH397" s="225"/>
      <c r="AI397" s="225"/>
      <c r="AJ397" s="225"/>
      <c r="AK397" s="225"/>
      <c r="AL397" s="225"/>
      <c r="AM397" s="225"/>
      <c r="AN397" s="225"/>
      <c r="AO397" s="225"/>
      <c r="AP397" s="225"/>
      <c r="AQ397" s="225"/>
      <c r="AR397" s="225"/>
    </row>
    <row r="398" spans="1:44" ht="15.75" customHeight="1">
      <c r="A398" s="131"/>
      <c r="B398" s="131"/>
      <c r="C398" s="131"/>
      <c r="D398" s="131"/>
      <c r="E398" s="131"/>
      <c r="F398" s="131"/>
      <c r="G398" s="131"/>
      <c r="H398" s="131"/>
      <c r="I398" s="131"/>
      <c r="J398" s="131"/>
      <c r="K398" s="131"/>
      <c r="L398" s="225"/>
      <c r="M398" s="225"/>
      <c r="N398" s="225"/>
      <c r="O398" s="225"/>
      <c r="P398" s="225"/>
      <c r="Q398" s="225"/>
      <c r="R398" s="225"/>
      <c r="S398" s="225"/>
      <c r="T398" s="225"/>
      <c r="U398" s="225"/>
      <c r="V398" s="225"/>
      <c r="W398" s="225"/>
      <c r="X398" s="225"/>
      <c r="Y398" s="225"/>
      <c r="Z398" s="225"/>
      <c r="AA398" s="225"/>
      <c r="AB398" s="225"/>
      <c r="AC398" s="225"/>
      <c r="AD398" s="225"/>
      <c r="AE398" s="225"/>
      <c r="AF398" s="225"/>
      <c r="AG398" s="225"/>
      <c r="AH398" s="225"/>
      <c r="AI398" s="225"/>
      <c r="AJ398" s="225"/>
      <c r="AK398" s="225"/>
      <c r="AL398" s="225"/>
      <c r="AM398" s="225"/>
      <c r="AN398" s="225"/>
      <c r="AO398" s="225"/>
      <c r="AP398" s="225"/>
      <c r="AQ398" s="225"/>
      <c r="AR398" s="225"/>
    </row>
    <row r="399" spans="1:44" ht="15.75" customHeight="1">
      <c r="A399" s="131"/>
      <c r="B399" s="131"/>
      <c r="C399" s="131"/>
      <c r="D399" s="131"/>
      <c r="E399" s="131"/>
      <c r="F399" s="131"/>
      <c r="G399" s="131"/>
      <c r="H399" s="131"/>
      <c r="I399" s="131"/>
      <c r="J399" s="131"/>
      <c r="K399" s="131"/>
      <c r="L399" s="225"/>
      <c r="M399" s="225"/>
      <c r="N399" s="225"/>
      <c r="O399" s="225"/>
      <c r="P399" s="225"/>
      <c r="Q399" s="225"/>
      <c r="R399" s="225"/>
      <c r="S399" s="225"/>
      <c r="T399" s="225"/>
      <c r="U399" s="225"/>
      <c r="V399" s="225"/>
      <c r="W399" s="225"/>
      <c r="X399" s="225"/>
      <c r="Y399" s="225"/>
      <c r="Z399" s="225"/>
      <c r="AA399" s="225"/>
      <c r="AB399" s="225"/>
      <c r="AC399" s="225"/>
      <c r="AD399" s="225"/>
      <c r="AE399" s="225"/>
      <c r="AF399" s="225"/>
      <c r="AG399" s="225"/>
      <c r="AH399" s="225"/>
      <c r="AI399" s="225"/>
      <c r="AJ399" s="225"/>
      <c r="AK399" s="225"/>
      <c r="AL399" s="225"/>
      <c r="AM399" s="225"/>
      <c r="AN399" s="225"/>
      <c r="AO399" s="225"/>
      <c r="AP399" s="225"/>
      <c r="AQ399" s="225"/>
      <c r="AR399" s="225"/>
    </row>
    <row r="400" spans="1:44" ht="15.75" customHeight="1">
      <c r="A400" s="131"/>
      <c r="B400" s="131"/>
      <c r="C400" s="131"/>
      <c r="D400" s="131"/>
      <c r="E400" s="131"/>
      <c r="F400" s="131"/>
      <c r="G400" s="131"/>
      <c r="H400" s="131"/>
      <c r="I400" s="131"/>
      <c r="J400" s="131"/>
      <c r="K400" s="131"/>
      <c r="L400" s="225"/>
      <c r="M400" s="225"/>
      <c r="N400" s="225"/>
      <c r="O400" s="225"/>
      <c r="P400" s="225"/>
      <c r="Q400" s="225"/>
      <c r="R400" s="225"/>
      <c r="S400" s="225"/>
      <c r="T400" s="225"/>
      <c r="U400" s="225"/>
      <c r="V400" s="225"/>
      <c r="W400" s="225"/>
      <c r="X400" s="225"/>
      <c r="Y400" s="225"/>
      <c r="Z400" s="225"/>
      <c r="AA400" s="225"/>
      <c r="AB400" s="225"/>
      <c r="AC400" s="225"/>
      <c r="AD400" s="225"/>
      <c r="AE400" s="225"/>
      <c r="AF400" s="225"/>
      <c r="AG400" s="225"/>
      <c r="AH400" s="225"/>
      <c r="AI400" s="225"/>
      <c r="AJ400" s="225"/>
      <c r="AK400" s="225"/>
      <c r="AL400" s="225"/>
      <c r="AM400" s="225"/>
      <c r="AN400" s="225"/>
      <c r="AO400" s="225"/>
      <c r="AP400" s="225"/>
      <c r="AQ400" s="225"/>
      <c r="AR400" s="225"/>
    </row>
    <row r="401" spans="1:44" ht="15.75" customHeight="1">
      <c r="A401" s="131"/>
      <c r="B401" s="131"/>
      <c r="C401" s="131"/>
      <c r="D401" s="131"/>
      <c r="E401" s="131"/>
      <c r="F401" s="131"/>
      <c r="G401" s="131"/>
      <c r="H401" s="131"/>
      <c r="I401" s="131"/>
      <c r="J401" s="131"/>
      <c r="K401" s="131"/>
      <c r="L401" s="225"/>
      <c r="M401" s="225"/>
      <c r="N401" s="225"/>
      <c r="O401" s="225"/>
      <c r="P401" s="225"/>
      <c r="Q401" s="225"/>
      <c r="R401" s="225"/>
      <c r="S401" s="225"/>
      <c r="T401" s="225"/>
      <c r="U401" s="225"/>
      <c r="V401" s="225"/>
      <c r="W401" s="225"/>
      <c r="X401" s="225"/>
      <c r="Y401" s="225"/>
      <c r="Z401" s="225"/>
      <c r="AA401" s="225"/>
      <c r="AB401" s="225"/>
      <c r="AC401" s="225"/>
      <c r="AD401" s="225"/>
      <c r="AE401" s="225"/>
      <c r="AF401" s="225"/>
      <c r="AG401" s="225"/>
      <c r="AH401" s="225"/>
      <c r="AI401" s="225"/>
      <c r="AJ401" s="225"/>
      <c r="AK401" s="225"/>
      <c r="AL401" s="225"/>
      <c r="AM401" s="225"/>
      <c r="AN401" s="225"/>
      <c r="AO401" s="225"/>
      <c r="AP401" s="225"/>
      <c r="AQ401" s="225"/>
      <c r="AR401" s="225"/>
    </row>
    <row r="402" spans="1:44" ht="15.75" customHeight="1">
      <c r="A402" s="131"/>
      <c r="B402" s="131"/>
      <c r="C402" s="131"/>
      <c r="D402" s="131"/>
      <c r="E402" s="131"/>
      <c r="F402" s="131"/>
      <c r="G402" s="131"/>
      <c r="H402" s="131"/>
      <c r="I402" s="131"/>
      <c r="J402" s="131"/>
      <c r="K402" s="131"/>
      <c r="L402" s="225"/>
      <c r="M402" s="225"/>
      <c r="N402" s="225"/>
      <c r="O402" s="225"/>
      <c r="P402" s="225"/>
      <c r="Q402" s="225"/>
      <c r="R402" s="225"/>
      <c r="S402" s="225"/>
      <c r="T402" s="225"/>
      <c r="U402" s="225"/>
      <c r="V402" s="225"/>
      <c r="W402" s="225"/>
      <c r="X402" s="225"/>
      <c r="Y402" s="225"/>
      <c r="Z402" s="225"/>
      <c r="AA402" s="225"/>
      <c r="AB402" s="225"/>
      <c r="AC402" s="225"/>
      <c r="AD402" s="225"/>
      <c r="AE402" s="225"/>
      <c r="AF402" s="225"/>
      <c r="AG402" s="225"/>
      <c r="AH402" s="225"/>
      <c r="AI402" s="225"/>
      <c r="AJ402" s="225"/>
      <c r="AK402" s="225"/>
      <c r="AL402" s="225"/>
      <c r="AM402" s="225"/>
      <c r="AN402" s="225"/>
      <c r="AO402" s="225"/>
      <c r="AP402" s="225"/>
      <c r="AQ402" s="225"/>
      <c r="AR402" s="225"/>
    </row>
    <row r="403" spans="1:44" ht="15.75" customHeight="1">
      <c r="A403" s="131"/>
      <c r="B403" s="131"/>
      <c r="C403" s="131"/>
      <c r="D403" s="131"/>
      <c r="E403" s="131"/>
      <c r="F403" s="131"/>
      <c r="G403" s="131"/>
      <c r="H403" s="131"/>
      <c r="I403" s="131"/>
      <c r="J403" s="131"/>
      <c r="K403" s="131"/>
      <c r="L403" s="225"/>
      <c r="M403" s="225"/>
      <c r="N403" s="225"/>
      <c r="O403" s="225"/>
      <c r="P403" s="225"/>
      <c r="Q403" s="225"/>
      <c r="R403" s="225"/>
      <c r="S403" s="225"/>
      <c r="T403" s="225"/>
      <c r="U403" s="225"/>
      <c r="V403" s="225"/>
      <c r="W403" s="225"/>
      <c r="X403" s="225"/>
      <c r="Y403" s="225"/>
      <c r="Z403" s="225"/>
      <c r="AA403" s="225"/>
      <c r="AB403" s="225"/>
      <c r="AC403" s="225"/>
      <c r="AD403" s="225"/>
      <c r="AE403" s="225"/>
      <c r="AF403" s="225"/>
      <c r="AG403" s="225"/>
      <c r="AH403" s="225"/>
      <c r="AI403" s="225"/>
      <c r="AJ403" s="225"/>
      <c r="AK403" s="225"/>
      <c r="AL403" s="225"/>
      <c r="AM403" s="225"/>
      <c r="AN403" s="225"/>
      <c r="AO403" s="225"/>
      <c r="AP403" s="225"/>
      <c r="AQ403" s="225"/>
      <c r="AR403" s="225"/>
    </row>
    <row r="404" spans="1:44" ht="15.75" customHeight="1">
      <c r="A404" s="131"/>
      <c r="B404" s="131"/>
      <c r="C404" s="131"/>
      <c r="D404" s="131"/>
      <c r="E404" s="131"/>
      <c r="F404" s="131"/>
      <c r="G404" s="131"/>
      <c r="H404" s="131"/>
      <c r="I404" s="131"/>
      <c r="J404" s="131"/>
      <c r="K404" s="131"/>
      <c r="L404" s="225"/>
      <c r="M404" s="225"/>
      <c r="N404" s="225"/>
      <c r="O404" s="225"/>
      <c r="P404" s="225"/>
      <c r="Q404" s="225"/>
      <c r="R404" s="225"/>
      <c r="S404" s="225"/>
      <c r="T404" s="225"/>
      <c r="U404" s="225"/>
      <c r="V404" s="225"/>
      <c r="W404" s="225"/>
      <c r="X404" s="225"/>
      <c r="Y404" s="225"/>
      <c r="Z404" s="225"/>
      <c r="AA404" s="225"/>
      <c r="AB404" s="225"/>
      <c r="AC404" s="225"/>
      <c r="AD404" s="225"/>
      <c r="AE404" s="225"/>
      <c r="AF404" s="225"/>
      <c r="AG404" s="225"/>
      <c r="AH404" s="225"/>
      <c r="AI404" s="225"/>
      <c r="AJ404" s="225"/>
      <c r="AK404" s="225"/>
      <c r="AL404" s="225"/>
      <c r="AM404" s="225"/>
      <c r="AN404" s="225"/>
      <c r="AO404" s="225"/>
      <c r="AP404" s="225"/>
      <c r="AQ404" s="225"/>
      <c r="AR404" s="225"/>
    </row>
    <row r="405" spans="1:44" ht="15.75" customHeight="1">
      <c r="A405" s="131"/>
      <c r="B405" s="131"/>
      <c r="C405" s="131"/>
      <c r="D405" s="131"/>
      <c r="E405" s="131"/>
      <c r="F405" s="131"/>
      <c r="G405" s="131"/>
      <c r="H405" s="131"/>
      <c r="I405" s="131"/>
      <c r="J405" s="131"/>
      <c r="K405" s="131"/>
      <c r="L405" s="225"/>
      <c r="M405" s="225"/>
      <c r="N405" s="225"/>
      <c r="O405" s="225"/>
      <c r="P405" s="225"/>
      <c r="Q405" s="225"/>
      <c r="R405" s="225"/>
      <c r="S405" s="225"/>
      <c r="T405" s="225"/>
      <c r="U405" s="225"/>
      <c r="V405" s="225"/>
      <c r="W405" s="225"/>
      <c r="X405" s="225"/>
      <c r="Y405" s="225"/>
      <c r="Z405" s="225"/>
      <c r="AA405" s="225"/>
      <c r="AB405" s="225"/>
      <c r="AC405" s="225"/>
      <c r="AD405" s="225"/>
      <c r="AE405" s="225"/>
      <c r="AF405" s="225"/>
      <c r="AG405" s="225"/>
      <c r="AH405" s="225"/>
      <c r="AI405" s="225"/>
      <c r="AJ405" s="225"/>
      <c r="AK405" s="225"/>
      <c r="AL405" s="225"/>
      <c r="AM405" s="225"/>
      <c r="AN405" s="225"/>
      <c r="AO405" s="225"/>
      <c r="AP405" s="225"/>
      <c r="AQ405" s="225"/>
      <c r="AR405" s="225"/>
    </row>
    <row r="406" spans="1:44" ht="15.75" customHeight="1">
      <c r="A406" s="131"/>
      <c r="B406" s="131"/>
      <c r="C406" s="131"/>
      <c r="D406" s="131"/>
      <c r="E406" s="131"/>
      <c r="F406" s="131"/>
      <c r="G406" s="131"/>
      <c r="H406" s="131"/>
      <c r="I406" s="131"/>
      <c r="J406" s="131"/>
      <c r="K406" s="131"/>
      <c r="L406" s="225"/>
      <c r="M406" s="225"/>
      <c r="N406" s="225"/>
      <c r="O406" s="225"/>
      <c r="P406" s="225"/>
      <c r="Q406" s="225"/>
      <c r="R406" s="225"/>
      <c r="S406" s="225"/>
      <c r="T406" s="225"/>
      <c r="U406" s="225"/>
      <c r="V406" s="225"/>
      <c r="W406" s="225"/>
      <c r="X406" s="225"/>
      <c r="Y406" s="225"/>
      <c r="Z406" s="225"/>
      <c r="AA406" s="225"/>
      <c r="AB406" s="225"/>
      <c r="AC406" s="225"/>
      <c r="AD406" s="225"/>
      <c r="AE406" s="225"/>
      <c r="AF406" s="225"/>
      <c r="AG406" s="225"/>
      <c r="AH406" s="225"/>
      <c r="AI406" s="225"/>
      <c r="AJ406" s="225"/>
      <c r="AK406" s="225"/>
      <c r="AL406" s="225"/>
      <c r="AM406" s="225"/>
      <c r="AN406" s="225"/>
      <c r="AO406" s="225"/>
      <c r="AP406" s="225"/>
      <c r="AQ406" s="225"/>
      <c r="AR406" s="225"/>
    </row>
    <row r="407" spans="1:44" ht="15.75" customHeight="1">
      <c r="A407" s="131"/>
      <c r="B407" s="131"/>
      <c r="C407" s="131"/>
      <c r="D407" s="131"/>
      <c r="E407" s="131"/>
      <c r="F407" s="131"/>
      <c r="G407" s="131"/>
      <c r="H407" s="131"/>
      <c r="I407" s="131"/>
      <c r="J407" s="131"/>
      <c r="K407" s="131"/>
      <c r="L407" s="225"/>
      <c r="M407" s="225"/>
      <c r="N407" s="225"/>
      <c r="O407" s="225"/>
      <c r="P407" s="225"/>
      <c r="Q407" s="225"/>
      <c r="R407" s="225"/>
      <c r="S407" s="225"/>
      <c r="T407" s="225"/>
      <c r="U407" s="225"/>
      <c r="V407" s="225"/>
      <c r="W407" s="225"/>
      <c r="X407" s="225"/>
      <c r="Y407" s="225"/>
      <c r="Z407" s="225"/>
      <c r="AA407" s="225"/>
      <c r="AB407" s="225"/>
      <c r="AC407" s="225"/>
      <c r="AD407" s="225"/>
      <c r="AE407" s="225"/>
      <c r="AF407" s="225"/>
      <c r="AG407" s="225"/>
      <c r="AH407" s="225"/>
      <c r="AI407" s="225"/>
      <c r="AJ407" s="225"/>
      <c r="AK407" s="225"/>
      <c r="AL407" s="225"/>
      <c r="AM407" s="225"/>
      <c r="AN407" s="225"/>
      <c r="AO407" s="225"/>
      <c r="AP407" s="225"/>
      <c r="AQ407" s="225"/>
      <c r="AR407" s="225"/>
    </row>
    <row r="408" spans="1:44" ht="15.75" customHeight="1">
      <c r="A408" s="131"/>
      <c r="B408" s="131"/>
      <c r="C408" s="131"/>
      <c r="D408" s="131"/>
      <c r="E408" s="131"/>
      <c r="F408" s="131"/>
      <c r="G408" s="131"/>
      <c r="H408" s="131"/>
      <c r="I408" s="131"/>
      <c r="J408" s="131"/>
      <c r="K408" s="131"/>
      <c r="L408" s="225"/>
      <c r="M408" s="225"/>
      <c r="N408" s="225"/>
      <c r="O408" s="225"/>
      <c r="P408" s="225"/>
      <c r="Q408" s="225"/>
      <c r="R408" s="225"/>
      <c r="S408" s="225"/>
      <c r="T408" s="225"/>
      <c r="U408" s="225"/>
      <c r="V408" s="225"/>
      <c r="W408" s="225"/>
      <c r="X408" s="225"/>
      <c r="Y408" s="225"/>
      <c r="Z408" s="225"/>
      <c r="AA408" s="225"/>
      <c r="AB408" s="225"/>
      <c r="AC408" s="225"/>
      <c r="AD408" s="225"/>
      <c r="AE408" s="225"/>
      <c r="AF408" s="225"/>
      <c r="AG408" s="225"/>
      <c r="AH408" s="225"/>
      <c r="AI408" s="225"/>
      <c r="AJ408" s="225"/>
      <c r="AK408" s="225"/>
      <c r="AL408" s="225"/>
      <c r="AM408" s="225"/>
      <c r="AN408" s="225"/>
      <c r="AO408" s="225"/>
      <c r="AP408" s="225"/>
      <c r="AQ408" s="225"/>
      <c r="AR408" s="225"/>
    </row>
    <row r="409" spans="1:44" ht="15.75" customHeight="1">
      <c r="A409" s="131"/>
      <c r="B409" s="131"/>
      <c r="C409" s="131"/>
      <c r="D409" s="131"/>
      <c r="E409" s="131"/>
      <c r="F409" s="131"/>
      <c r="G409" s="131"/>
      <c r="H409" s="131"/>
      <c r="I409" s="131"/>
      <c r="J409" s="131"/>
      <c r="K409" s="131"/>
      <c r="L409" s="225"/>
      <c r="M409" s="225"/>
      <c r="N409" s="225"/>
      <c r="O409" s="225"/>
      <c r="P409" s="225"/>
      <c r="Q409" s="225"/>
      <c r="R409" s="225"/>
      <c r="S409" s="225"/>
      <c r="T409" s="225"/>
      <c r="U409" s="225"/>
      <c r="V409" s="225"/>
      <c r="W409" s="225"/>
      <c r="X409" s="225"/>
      <c r="Y409" s="225"/>
      <c r="Z409" s="225"/>
      <c r="AA409" s="225"/>
      <c r="AB409" s="225"/>
      <c r="AC409" s="225"/>
      <c r="AD409" s="225"/>
      <c r="AE409" s="225"/>
      <c r="AF409" s="225"/>
      <c r="AG409" s="225"/>
      <c r="AH409" s="225"/>
      <c r="AI409" s="225"/>
      <c r="AJ409" s="225"/>
      <c r="AK409" s="225"/>
      <c r="AL409" s="225"/>
      <c r="AM409" s="225"/>
      <c r="AN409" s="225"/>
      <c r="AO409" s="225"/>
      <c r="AP409" s="225"/>
      <c r="AQ409" s="225"/>
      <c r="AR409" s="225"/>
    </row>
    <row r="410" spans="1:44" ht="15.75" customHeight="1">
      <c r="A410" s="131"/>
      <c r="B410" s="131"/>
      <c r="C410" s="131"/>
      <c r="D410" s="131"/>
      <c r="E410" s="131"/>
      <c r="F410" s="131"/>
      <c r="G410" s="131"/>
      <c r="H410" s="131"/>
      <c r="I410" s="131"/>
      <c r="J410" s="131"/>
      <c r="K410" s="131"/>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row>
    <row r="411" spans="1:44" ht="15.75" customHeight="1">
      <c r="A411" s="131"/>
      <c r="B411" s="131"/>
      <c r="C411" s="131"/>
      <c r="D411" s="131"/>
      <c r="E411" s="131"/>
      <c r="F411" s="131"/>
      <c r="G411" s="131"/>
      <c r="H411" s="131"/>
      <c r="I411" s="131"/>
      <c r="J411" s="131"/>
      <c r="K411" s="131"/>
      <c r="L411" s="225"/>
      <c r="M411" s="225"/>
      <c r="N411" s="225"/>
      <c r="O411" s="225"/>
      <c r="P411" s="225"/>
      <c r="Q411" s="225"/>
      <c r="R411" s="225"/>
      <c r="S411" s="225"/>
      <c r="T411" s="225"/>
      <c r="U411" s="225"/>
      <c r="V411" s="225"/>
      <c r="W411" s="225"/>
      <c r="X411" s="225"/>
      <c r="Y411" s="225"/>
      <c r="Z411" s="225"/>
      <c r="AA411" s="225"/>
      <c r="AB411" s="225"/>
      <c r="AC411" s="225"/>
      <c r="AD411" s="225"/>
      <c r="AE411" s="225"/>
      <c r="AF411" s="225"/>
      <c r="AG411" s="225"/>
      <c r="AH411" s="225"/>
      <c r="AI411" s="225"/>
      <c r="AJ411" s="225"/>
      <c r="AK411" s="225"/>
      <c r="AL411" s="225"/>
      <c r="AM411" s="225"/>
      <c r="AN411" s="225"/>
      <c r="AO411" s="225"/>
      <c r="AP411" s="225"/>
      <c r="AQ411" s="225"/>
      <c r="AR411" s="225"/>
    </row>
    <row r="412" spans="1:44" ht="15.75" customHeight="1">
      <c r="A412" s="131"/>
      <c r="B412" s="131"/>
      <c r="C412" s="131"/>
      <c r="D412" s="131"/>
      <c r="E412" s="131"/>
      <c r="F412" s="131"/>
      <c r="G412" s="131"/>
      <c r="H412" s="131"/>
      <c r="I412" s="131"/>
      <c r="J412" s="131"/>
      <c r="K412" s="131"/>
      <c r="L412" s="225"/>
      <c r="M412" s="225"/>
      <c r="N412" s="225"/>
      <c r="O412" s="225"/>
      <c r="P412" s="225"/>
      <c r="Q412" s="225"/>
      <c r="R412" s="225"/>
      <c r="S412" s="225"/>
      <c r="T412" s="225"/>
      <c r="U412" s="225"/>
      <c r="V412" s="225"/>
      <c r="W412" s="225"/>
      <c r="X412" s="225"/>
      <c r="Y412" s="225"/>
      <c r="Z412" s="225"/>
      <c r="AA412" s="225"/>
      <c r="AB412" s="225"/>
      <c r="AC412" s="225"/>
      <c r="AD412" s="225"/>
      <c r="AE412" s="225"/>
      <c r="AF412" s="225"/>
      <c r="AG412" s="225"/>
      <c r="AH412" s="225"/>
      <c r="AI412" s="225"/>
      <c r="AJ412" s="225"/>
      <c r="AK412" s="225"/>
      <c r="AL412" s="225"/>
      <c r="AM412" s="225"/>
      <c r="AN412" s="225"/>
      <c r="AO412" s="225"/>
      <c r="AP412" s="225"/>
      <c r="AQ412" s="225"/>
      <c r="AR412" s="225"/>
    </row>
    <row r="413" spans="1:44" ht="15.75" customHeight="1">
      <c r="A413" s="131"/>
      <c r="B413" s="131"/>
      <c r="C413" s="131"/>
      <c r="D413" s="131"/>
      <c r="E413" s="131"/>
      <c r="F413" s="131"/>
      <c r="G413" s="131"/>
      <c r="H413" s="131"/>
      <c r="I413" s="131"/>
      <c r="J413" s="131"/>
      <c r="K413" s="131"/>
      <c r="L413" s="225"/>
      <c r="M413" s="225"/>
      <c r="N413" s="225"/>
      <c r="O413" s="225"/>
      <c r="P413" s="225"/>
      <c r="Q413" s="225"/>
      <c r="R413" s="225"/>
      <c r="S413" s="225"/>
      <c r="T413" s="225"/>
      <c r="U413" s="225"/>
      <c r="V413" s="225"/>
      <c r="W413" s="225"/>
      <c r="X413" s="225"/>
      <c r="Y413" s="225"/>
      <c r="Z413" s="225"/>
      <c r="AA413" s="225"/>
      <c r="AB413" s="225"/>
      <c r="AC413" s="225"/>
      <c r="AD413" s="225"/>
      <c r="AE413" s="225"/>
      <c r="AF413" s="225"/>
      <c r="AG413" s="225"/>
      <c r="AH413" s="225"/>
      <c r="AI413" s="225"/>
      <c r="AJ413" s="225"/>
      <c r="AK413" s="225"/>
      <c r="AL413" s="225"/>
      <c r="AM413" s="225"/>
      <c r="AN413" s="225"/>
      <c r="AO413" s="225"/>
      <c r="AP413" s="225"/>
      <c r="AQ413" s="225"/>
      <c r="AR413" s="225"/>
    </row>
    <row r="414" spans="1:44" ht="15.75" customHeight="1">
      <c r="A414" s="131"/>
      <c r="B414" s="131"/>
      <c r="C414" s="131"/>
      <c r="D414" s="131"/>
      <c r="E414" s="131"/>
      <c r="F414" s="131"/>
      <c r="G414" s="131"/>
      <c r="H414" s="131"/>
      <c r="I414" s="131"/>
      <c r="J414" s="131"/>
      <c r="K414" s="131"/>
      <c r="L414" s="225"/>
      <c r="M414" s="225"/>
      <c r="N414" s="225"/>
      <c r="O414" s="225"/>
      <c r="P414" s="225"/>
      <c r="Q414" s="225"/>
      <c r="R414" s="225"/>
      <c r="S414" s="225"/>
      <c r="T414" s="225"/>
      <c r="U414" s="225"/>
      <c r="V414" s="225"/>
      <c r="W414" s="225"/>
      <c r="X414" s="225"/>
      <c r="Y414" s="225"/>
      <c r="Z414" s="225"/>
      <c r="AA414" s="225"/>
      <c r="AB414" s="225"/>
      <c r="AC414" s="225"/>
      <c r="AD414" s="225"/>
      <c r="AE414" s="225"/>
      <c r="AF414" s="225"/>
      <c r="AG414" s="225"/>
      <c r="AH414" s="225"/>
      <c r="AI414" s="225"/>
      <c r="AJ414" s="225"/>
      <c r="AK414" s="225"/>
      <c r="AL414" s="225"/>
      <c r="AM414" s="225"/>
      <c r="AN414" s="225"/>
      <c r="AO414" s="225"/>
      <c r="AP414" s="225"/>
      <c r="AQ414" s="225"/>
      <c r="AR414" s="225"/>
    </row>
    <row r="415" spans="1:44" ht="15.75" customHeight="1">
      <c r="A415" s="131"/>
      <c r="B415" s="131"/>
      <c r="C415" s="131"/>
      <c r="D415" s="131"/>
      <c r="E415" s="131"/>
      <c r="F415" s="131"/>
      <c r="G415" s="131"/>
      <c r="H415" s="131"/>
      <c r="I415" s="131"/>
      <c r="J415" s="131"/>
      <c r="K415" s="131"/>
      <c r="L415" s="225"/>
      <c r="M415" s="225"/>
      <c r="N415" s="225"/>
      <c r="O415" s="225"/>
      <c r="P415" s="225"/>
      <c r="Q415" s="225"/>
      <c r="R415" s="225"/>
      <c r="S415" s="225"/>
      <c r="T415" s="225"/>
      <c r="U415" s="225"/>
      <c r="V415" s="225"/>
      <c r="W415" s="225"/>
      <c r="X415" s="225"/>
      <c r="Y415" s="225"/>
      <c r="Z415" s="225"/>
      <c r="AA415" s="225"/>
      <c r="AB415" s="225"/>
      <c r="AC415" s="225"/>
      <c r="AD415" s="225"/>
      <c r="AE415" s="225"/>
      <c r="AF415" s="225"/>
      <c r="AG415" s="225"/>
      <c r="AH415" s="225"/>
      <c r="AI415" s="225"/>
      <c r="AJ415" s="225"/>
      <c r="AK415" s="225"/>
      <c r="AL415" s="225"/>
      <c r="AM415" s="225"/>
      <c r="AN415" s="225"/>
      <c r="AO415" s="225"/>
      <c r="AP415" s="225"/>
      <c r="AQ415" s="225"/>
      <c r="AR415" s="225"/>
    </row>
    <row r="416" spans="1:44" ht="15.75" customHeight="1">
      <c r="A416" s="131"/>
      <c r="B416" s="131"/>
      <c r="C416" s="131"/>
      <c r="D416" s="131"/>
      <c r="E416" s="131"/>
      <c r="F416" s="131"/>
      <c r="G416" s="131"/>
      <c r="H416" s="131"/>
      <c r="I416" s="131"/>
      <c r="J416" s="131"/>
      <c r="K416" s="131"/>
      <c r="L416" s="225"/>
      <c r="M416" s="225"/>
      <c r="N416" s="225"/>
      <c r="O416" s="225"/>
      <c r="P416" s="225"/>
      <c r="Q416" s="225"/>
      <c r="R416" s="225"/>
      <c r="S416" s="225"/>
      <c r="T416" s="225"/>
      <c r="U416" s="225"/>
      <c r="V416" s="225"/>
      <c r="W416" s="225"/>
      <c r="X416" s="225"/>
      <c r="Y416" s="225"/>
      <c r="Z416" s="225"/>
      <c r="AA416" s="225"/>
      <c r="AB416" s="225"/>
      <c r="AC416" s="225"/>
      <c r="AD416" s="225"/>
      <c r="AE416" s="225"/>
      <c r="AF416" s="225"/>
      <c r="AG416" s="225"/>
      <c r="AH416" s="225"/>
      <c r="AI416" s="225"/>
      <c r="AJ416" s="225"/>
      <c r="AK416" s="225"/>
      <c r="AL416" s="225"/>
      <c r="AM416" s="225"/>
      <c r="AN416" s="225"/>
      <c r="AO416" s="225"/>
      <c r="AP416" s="225"/>
      <c r="AQ416" s="225"/>
      <c r="AR416" s="225"/>
    </row>
    <row r="417" spans="1:44" ht="15.75" customHeight="1">
      <c r="A417" s="131"/>
      <c r="B417" s="131"/>
      <c r="C417" s="131"/>
      <c r="D417" s="131"/>
      <c r="E417" s="131"/>
      <c r="F417" s="131"/>
      <c r="G417" s="131"/>
      <c r="H417" s="131"/>
      <c r="I417" s="131"/>
      <c r="J417" s="131"/>
      <c r="K417" s="131"/>
      <c r="L417" s="225"/>
      <c r="M417" s="225"/>
      <c r="N417" s="225"/>
      <c r="O417" s="225"/>
      <c r="P417" s="225"/>
      <c r="Q417" s="225"/>
      <c r="R417" s="225"/>
      <c r="S417" s="225"/>
      <c r="T417" s="225"/>
      <c r="U417" s="225"/>
      <c r="V417" s="225"/>
      <c r="W417" s="225"/>
      <c r="X417" s="225"/>
      <c r="Y417" s="225"/>
      <c r="Z417" s="225"/>
      <c r="AA417" s="225"/>
      <c r="AB417" s="225"/>
      <c r="AC417" s="225"/>
      <c r="AD417" s="225"/>
      <c r="AE417" s="225"/>
      <c r="AF417" s="225"/>
      <c r="AG417" s="225"/>
      <c r="AH417" s="225"/>
      <c r="AI417" s="225"/>
      <c r="AJ417" s="225"/>
      <c r="AK417" s="225"/>
      <c r="AL417" s="225"/>
      <c r="AM417" s="225"/>
      <c r="AN417" s="225"/>
      <c r="AO417" s="225"/>
      <c r="AP417" s="225"/>
      <c r="AQ417" s="225"/>
      <c r="AR417" s="225"/>
    </row>
    <row r="418" spans="1:44" ht="15.75" customHeight="1">
      <c r="A418" s="131"/>
      <c r="B418" s="131"/>
      <c r="C418" s="131"/>
      <c r="D418" s="131"/>
      <c r="E418" s="131"/>
      <c r="F418" s="131"/>
      <c r="G418" s="131"/>
      <c r="H418" s="131"/>
      <c r="I418" s="131"/>
      <c r="J418" s="131"/>
      <c r="K418" s="131"/>
      <c r="L418" s="225"/>
      <c r="M418" s="225"/>
      <c r="N418" s="225"/>
      <c r="O418" s="225"/>
      <c r="P418" s="225"/>
      <c r="Q418" s="225"/>
      <c r="R418" s="225"/>
      <c r="S418" s="225"/>
      <c r="T418" s="225"/>
      <c r="U418" s="225"/>
      <c r="V418" s="225"/>
      <c r="W418" s="225"/>
      <c r="X418" s="225"/>
      <c r="Y418" s="225"/>
      <c r="Z418" s="225"/>
      <c r="AA418" s="225"/>
      <c r="AB418" s="225"/>
      <c r="AC418" s="225"/>
      <c r="AD418" s="225"/>
      <c r="AE418" s="225"/>
      <c r="AF418" s="225"/>
      <c r="AG418" s="225"/>
      <c r="AH418" s="225"/>
      <c r="AI418" s="225"/>
      <c r="AJ418" s="225"/>
      <c r="AK418" s="225"/>
      <c r="AL418" s="225"/>
      <c r="AM418" s="225"/>
      <c r="AN418" s="225"/>
      <c r="AO418" s="225"/>
      <c r="AP418" s="225"/>
      <c r="AQ418" s="225"/>
      <c r="AR418" s="225"/>
    </row>
    <row r="419" spans="1:44" ht="15.75" customHeight="1">
      <c r="A419" s="131"/>
      <c r="B419" s="131"/>
      <c r="C419" s="131"/>
      <c r="D419" s="131"/>
      <c r="E419" s="131"/>
      <c r="F419" s="131"/>
      <c r="G419" s="131"/>
      <c r="H419" s="131"/>
      <c r="I419" s="131"/>
      <c r="J419" s="131"/>
      <c r="K419" s="131"/>
      <c r="L419" s="225"/>
      <c r="M419" s="225"/>
      <c r="N419" s="225"/>
      <c r="O419" s="225"/>
      <c r="P419" s="225"/>
      <c r="Q419" s="225"/>
      <c r="R419" s="225"/>
      <c r="S419" s="225"/>
      <c r="T419" s="225"/>
      <c r="U419" s="225"/>
      <c r="V419" s="225"/>
      <c r="W419" s="225"/>
      <c r="X419" s="225"/>
      <c r="Y419" s="225"/>
      <c r="Z419" s="225"/>
      <c r="AA419" s="225"/>
      <c r="AB419" s="225"/>
      <c r="AC419" s="225"/>
      <c r="AD419" s="225"/>
      <c r="AE419" s="225"/>
      <c r="AF419" s="225"/>
      <c r="AG419" s="225"/>
      <c r="AH419" s="225"/>
      <c r="AI419" s="225"/>
      <c r="AJ419" s="225"/>
      <c r="AK419" s="225"/>
      <c r="AL419" s="225"/>
      <c r="AM419" s="225"/>
      <c r="AN419" s="225"/>
      <c r="AO419" s="225"/>
      <c r="AP419" s="225"/>
      <c r="AQ419" s="225"/>
      <c r="AR419" s="225"/>
    </row>
    <row r="420" spans="1:44" ht="15.75" customHeight="1">
      <c r="A420" s="131"/>
      <c r="B420" s="131"/>
      <c r="C420" s="131"/>
      <c r="D420" s="131"/>
      <c r="E420" s="131"/>
      <c r="F420" s="131"/>
      <c r="G420" s="131"/>
      <c r="H420" s="131"/>
      <c r="I420" s="131"/>
      <c r="J420" s="131"/>
      <c r="K420" s="131"/>
      <c r="L420" s="225"/>
      <c r="M420" s="225"/>
      <c r="N420" s="225"/>
      <c r="O420" s="225"/>
      <c r="P420" s="225"/>
      <c r="Q420" s="225"/>
      <c r="R420" s="225"/>
      <c r="S420" s="225"/>
      <c r="T420" s="225"/>
      <c r="U420" s="225"/>
      <c r="V420" s="225"/>
      <c r="W420" s="225"/>
      <c r="X420" s="225"/>
      <c r="Y420" s="225"/>
      <c r="Z420" s="225"/>
      <c r="AA420" s="225"/>
      <c r="AB420" s="225"/>
      <c r="AC420" s="225"/>
      <c r="AD420" s="225"/>
      <c r="AE420" s="225"/>
      <c r="AF420" s="225"/>
      <c r="AG420" s="225"/>
      <c r="AH420" s="225"/>
      <c r="AI420" s="225"/>
      <c r="AJ420" s="225"/>
      <c r="AK420" s="225"/>
      <c r="AL420" s="225"/>
      <c r="AM420" s="225"/>
      <c r="AN420" s="225"/>
      <c r="AO420" s="225"/>
      <c r="AP420" s="225"/>
      <c r="AQ420" s="225"/>
      <c r="AR420" s="225"/>
    </row>
    <row r="421" spans="1:44" ht="15.75" customHeight="1">
      <c r="A421" s="131"/>
      <c r="B421" s="131"/>
      <c r="C421" s="131"/>
      <c r="D421" s="131"/>
      <c r="E421" s="131"/>
      <c r="F421" s="131"/>
      <c r="G421" s="131"/>
      <c r="H421" s="131"/>
      <c r="I421" s="131"/>
      <c r="J421" s="131"/>
      <c r="K421" s="131"/>
      <c r="L421" s="225"/>
      <c r="M421" s="225"/>
      <c r="N421" s="225"/>
      <c r="O421" s="225"/>
      <c r="P421" s="225"/>
      <c r="Q421" s="225"/>
      <c r="R421" s="225"/>
      <c r="S421" s="225"/>
      <c r="T421" s="225"/>
      <c r="U421" s="225"/>
      <c r="V421" s="225"/>
      <c r="W421" s="225"/>
      <c r="X421" s="225"/>
      <c r="Y421" s="225"/>
      <c r="Z421" s="225"/>
      <c r="AA421" s="225"/>
      <c r="AB421" s="225"/>
      <c r="AC421" s="225"/>
      <c r="AD421" s="225"/>
      <c r="AE421" s="225"/>
      <c r="AF421" s="225"/>
      <c r="AG421" s="225"/>
      <c r="AH421" s="225"/>
      <c r="AI421" s="225"/>
      <c r="AJ421" s="225"/>
      <c r="AK421" s="225"/>
      <c r="AL421" s="225"/>
      <c r="AM421" s="225"/>
      <c r="AN421" s="225"/>
      <c r="AO421" s="225"/>
      <c r="AP421" s="225"/>
      <c r="AQ421" s="225"/>
      <c r="AR421" s="225"/>
    </row>
    <row r="422" spans="1:44" ht="15.75" customHeight="1">
      <c r="A422" s="131"/>
      <c r="B422" s="131"/>
      <c r="C422" s="131"/>
      <c r="D422" s="131"/>
      <c r="E422" s="131"/>
      <c r="F422" s="131"/>
      <c r="G422" s="131"/>
      <c r="H422" s="131"/>
      <c r="I422" s="131"/>
      <c r="J422" s="131"/>
      <c r="K422" s="131"/>
      <c r="L422" s="225"/>
      <c r="M422" s="225"/>
      <c r="N422" s="225"/>
      <c r="O422" s="225"/>
      <c r="P422" s="225"/>
      <c r="Q422" s="225"/>
      <c r="R422" s="225"/>
      <c r="S422" s="225"/>
      <c r="T422" s="225"/>
      <c r="U422" s="225"/>
      <c r="V422" s="225"/>
      <c r="W422" s="225"/>
      <c r="X422" s="225"/>
      <c r="Y422" s="225"/>
      <c r="Z422" s="225"/>
      <c r="AA422" s="225"/>
      <c r="AB422" s="225"/>
      <c r="AC422" s="225"/>
      <c r="AD422" s="225"/>
      <c r="AE422" s="225"/>
      <c r="AF422" s="225"/>
      <c r="AG422" s="225"/>
      <c r="AH422" s="225"/>
      <c r="AI422" s="225"/>
      <c r="AJ422" s="225"/>
      <c r="AK422" s="225"/>
      <c r="AL422" s="225"/>
      <c r="AM422" s="225"/>
      <c r="AN422" s="225"/>
      <c r="AO422" s="225"/>
      <c r="AP422" s="225"/>
      <c r="AQ422" s="225"/>
      <c r="AR422" s="225"/>
    </row>
    <row r="423" spans="1:44" ht="15.75" customHeight="1">
      <c r="A423" s="131"/>
      <c r="B423" s="131"/>
      <c r="C423" s="131"/>
      <c r="D423" s="131"/>
      <c r="E423" s="131"/>
      <c r="F423" s="131"/>
      <c r="G423" s="131"/>
      <c r="H423" s="131"/>
      <c r="I423" s="131"/>
      <c r="J423" s="131"/>
      <c r="K423" s="131"/>
      <c r="L423" s="225"/>
      <c r="M423" s="225"/>
      <c r="N423" s="225"/>
      <c r="O423" s="225"/>
      <c r="P423" s="225"/>
      <c r="Q423" s="225"/>
      <c r="R423" s="225"/>
      <c r="S423" s="225"/>
      <c r="T423" s="225"/>
      <c r="U423" s="225"/>
      <c r="V423" s="225"/>
      <c r="W423" s="225"/>
      <c r="X423" s="225"/>
      <c r="Y423" s="225"/>
      <c r="Z423" s="225"/>
      <c r="AA423" s="225"/>
      <c r="AB423" s="225"/>
      <c r="AC423" s="225"/>
      <c r="AD423" s="225"/>
      <c r="AE423" s="225"/>
      <c r="AF423" s="225"/>
      <c r="AG423" s="225"/>
      <c r="AH423" s="225"/>
      <c r="AI423" s="225"/>
      <c r="AJ423" s="225"/>
      <c r="AK423" s="225"/>
      <c r="AL423" s="225"/>
      <c r="AM423" s="225"/>
      <c r="AN423" s="225"/>
      <c r="AO423" s="225"/>
      <c r="AP423" s="225"/>
      <c r="AQ423" s="225"/>
      <c r="AR423" s="225"/>
    </row>
    <row r="424" spans="1:44" ht="15.75" customHeight="1">
      <c r="A424" s="131"/>
      <c r="B424" s="131"/>
      <c r="C424" s="131"/>
      <c r="D424" s="131"/>
      <c r="E424" s="131"/>
      <c r="F424" s="131"/>
      <c r="G424" s="131"/>
      <c r="H424" s="131"/>
      <c r="I424" s="131"/>
      <c r="J424" s="131"/>
      <c r="K424" s="131"/>
      <c r="L424" s="225"/>
      <c r="M424" s="225"/>
      <c r="N424" s="225"/>
      <c r="O424" s="225"/>
      <c r="P424" s="225"/>
      <c r="Q424" s="225"/>
      <c r="R424" s="225"/>
      <c r="S424" s="225"/>
      <c r="T424" s="225"/>
      <c r="U424" s="225"/>
      <c r="V424" s="225"/>
      <c r="W424" s="225"/>
      <c r="X424" s="225"/>
      <c r="Y424" s="225"/>
      <c r="Z424" s="225"/>
      <c r="AA424" s="225"/>
      <c r="AB424" s="225"/>
      <c r="AC424" s="225"/>
      <c r="AD424" s="225"/>
      <c r="AE424" s="225"/>
      <c r="AF424" s="225"/>
      <c r="AG424" s="225"/>
      <c r="AH424" s="225"/>
      <c r="AI424" s="225"/>
      <c r="AJ424" s="225"/>
      <c r="AK424" s="225"/>
      <c r="AL424" s="225"/>
      <c r="AM424" s="225"/>
      <c r="AN424" s="225"/>
      <c r="AO424" s="225"/>
      <c r="AP424" s="225"/>
      <c r="AQ424" s="225"/>
      <c r="AR424" s="225"/>
    </row>
    <row r="425" spans="1:44" ht="15.75" customHeight="1">
      <c r="A425" s="131"/>
      <c r="B425" s="131"/>
      <c r="C425" s="131"/>
      <c r="D425" s="131"/>
      <c r="E425" s="131"/>
      <c r="F425" s="131"/>
      <c r="G425" s="131"/>
      <c r="H425" s="131"/>
      <c r="I425" s="131"/>
      <c r="J425" s="131"/>
      <c r="K425" s="131"/>
      <c r="L425" s="225"/>
      <c r="M425" s="225"/>
      <c r="N425" s="225"/>
      <c r="O425" s="225"/>
      <c r="P425" s="225"/>
      <c r="Q425" s="225"/>
      <c r="R425" s="225"/>
      <c r="S425" s="225"/>
      <c r="T425" s="225"/>
      <c r="U425" s="225"/>
      <c r="V425" s="225"/>
      <c r="W425" s="225"/>
      <c r="X425" s="225"/>
      <c r="Y425" s="225"/>
      <c r="Z425" s="225"/>
      <c r="AA425" s="225"/>
      <c r="AB425" s="225"/>
      <c r="AC425" s="225"/>
      <c r="AD425" s="225"/>
      <c r="AE425" s="225"/>
      <c r="AF425" s="225"/>
      <c r="AG425" s="225"/>
      <c r="AH425" s="225"/>
      <c r="AI425" s="225"/>
      <c r="AJ425" s="225"/>
      <c r="AK425" s="225"/>
      <c r="AL425" s="225"/>
      <c r="AM425" s="225"/>
      <c r="AN425" s="225"/>
      <c r="AO425" s="225"/>
      <c r="AP425" s="225"/>
      <c r="AQ425" s="225"/>
      <c r="AR425" s="225"/>
    </row>
    <row r="426" spans="1:44" ht="15.75" customHeight="1">
      <c r="A426" s="131"/>
      <c r="B426" s="131"/>
      <c r="C426" s="131"/>
      <c r="D426" s="131"/>
      <c r="E426" s="131"/>
      <c r="F426" s="131"/>
      <c r="G426" s="131"/>
      <c r="H426" s="131"/>
      <c r="I426" s="131"/>
      <c r="J426" s="131"/>
      <c r="K426" s="131"/>
      <c r="L426" s="225"/>
      <c r="M426" s="225"/>
      <c r="N426" s="225"/>
      <c r="O426" s="225"/>
      <c r="P426" s="225"/>
      <c r="Q426" s="225"/>
      <c r="R426" s="225"/>
      <c r="S426" s="225"/>
      <c r="T426" s="225"/>
      <c r="U426" s="225"/>
      <c r="V426" s="225"/>
      <c r="W426" s="225"/>
      <c r="X426" s="225"/>
      <c r="Y426" s="225"/>
      <c r="Z426" s="225"/>
      <c r="AA426" s="225"/>
      <c r="AB426" s="225"/>
      <c r="AC426" s="225"/>
      <c r="AD426" s="225"/>
      <c r="AE426" s="225"/>
      <c r="AF426" s="225"/>
      <c r="AG426" s="225"/>
      <c r="AH426" s="225"/>
      <c r="AI426" s="225"/>
      <c r="AJ426" s="225"/>
      <c r="AK426" s="225"/>
      <c r="AL426" s="225"/>
      <c r="AM426" s="225"/>
      <c r="AN426" s="225"/>
      <c r="AO426" s="225"/>
      <c r="AP426" s="225"/>
      <c r="AQ426" s="225"/>
      <c r="AR426" s="225"/>
    </row>
    <row r="427" spans="1:44" ht="15.75" customHeight="1">
      <c r="A427" s="131"/>
      <c r="B427" s="131"/>
      <c r="C427" s="131"/>
      <c r="D427" s="131"/>
      <c r="E427" s="131"/>
      <c r="F427" s="131"/>
      <c r="G427" s="131"/>
      <c r="H427" s="131"/>
      <c r="I427" s="131"/>
      <c r="J427" s="131"/>
      <c r="K427" s="131"/>
      <c r="L427" s="225"/>
      <c r="M427" s="225"/>
      <c r="N427" s="225"/>
      <c r="O427" s="225"/>
      <c r="P427" s="225"/>
      <c r="Q427" s="225"/>
      <c r="R427" s="225"/>
      <c r="S427" s="225"/>
      <c r="T427" s="225"/>
      <c r="U427" s="225"/>
      <c r="V427" s="225"/>
      <c r="W427" s="225"/>
      <c r="X427" s="225"/>
      <c r="Y427" s="225"/>
      <c r="Z427" s="225"/>
      <c r="AA427" s="225"/>
      <c r="AB427" s="225"/>
      <c r="AC427" s="225"/>
      <c r="AD427" s="225"/>
      <c r="AE427" s="225"/>
      <c r="AF427" s="225"/>
      <c r="AG427" s="225"/>
      <c r="AH427" s="225"/>
      <c r="AI427" s="225"/>
      <c r="AJ427" s="225"/>
      <c r="AK427" s="225"/>
      <c r="AL427" s="225"/>
      <c r="AM427" s="225"/>
      <c r="AN427" s="225"/>
      <c r="AO427" s="225"/>
      <c r="AP427" s="225"/>
      <c r="AQ427" s="225"/>
      <c r="AR427" s="225"/>
    </row>
    <row r="428" spans="1:44" ht="15.75" customHeight="1">
      <c r="A428" s="131"/>
      <c r="B428" s="131"/>
      <c r="C428" s="131"/>
      <c r="D428" s="131"/>
      <c r="E428" s="131"/>
      <c r="F428" s="131"/>
      <c r="G428" s="131"/>
      <c r="H428" s="131"/>
      <c r="I428" s="131"/>
      <c r="J428" s="131"/>
      <c r="K428" s="131"/>
      <c r="L428" s="225"/>
      <c r="M428" s="225"/>
      <c r="N428" s="225"/>
      <c r="O428" s="225"/>
      <c r="P428" s="225"/>
      <c r="Q428" s="225"/>
      <c r="R428" s="225"/>
      <c r="S428" s="225"/>
      <c r="T428" s="225"/>
      <c r="U428" s="225"/>
      <c r="V428" s="225"/>
      <c r="W428" s="225"/>
      <c r="X428" s="225"/>
      <c r="Y428" s="225"/>
      <c r="Z428" s="225"/>
      <c r="AA428" s="225"/>
      <c r="AB428" s="225"/>
      <c r="AC428" s="225"/>
      <c r="AD428" s="225"/>
      <c r="AE428" s="225"/>
      <c r="AF428" s="225"/>
      <c r="AG428" s="225"/>
      <c r="AH428" s="225"/>
      <c r="AI428" s="225"/>
      <c r="AJ428" s="225"/>
      <c r="AK428" s="225"/>
      <c r="AL428" s="225"/>
      <c r="AM428" s="225"/>
      <c r="AN428" s="225"/>
      <c r="AO428" s="225"/>
      <c r="AP428" s="225"/>
      <c r="AQ428" s="225"/>
      <c r="AR428" s="225"/>
    </row>
    <row r="429" spans="1:44" ht="15.75" customHeight="1">
      <c r="A429" s="131"/>
      <c r="B429" s="131"/>
      <c r="C429" s="131"/>
      <c r="D429" s="131"/>
      <c r="E429" s="131"/>
      <c r="F429" s="131"/>
      <c r="G429" s="131"/>
      <c r="H429" s="131"/>
      <c r="I429" s="131"/>
      <c r="J429" s="131"/>
      <c r="K429" s="131"/>
      <c r="L429" s="225"/>
      <c r="M429" s="225"/>
      <c r="N429" s="225"/>
      <c r="O429" s="225"/>
      <c r="P429" s="225"/>
      <c r="Q429" s="225"/>
      <c r="R429" s="225"/>
      <c r="S429" s="225"/>
      <c r="T429" s="225"/>
      <c r="U429" s="225"/>
      <c r="V429" s="225"/>
      <c r="W429" s="225"/>
      <c r="X429" s="225"/>
      <c r="Y429" s="225"/>
      <c r="Z429" s="225"/>
      <c r="AA429" s="225"/>
      <c r="AB429" s="225"/>
      <c r="AC429" s="225"/>
      <c r="AD429" s="225"/>
      <c r="AE429" s="225"/>
      <c r="AF429" s="225"/>
      <c r="AG429" s="225"/>
      <c r="AH429" s="225"/>
      <c r="AI429" s="225"/>
      <c r="AJ429" s="225"/>
      <c r="AK429" s="225"/>
      <c r="AL429" s="225"/>
      <c r="AM429" s="225"/>
      <c r="AN429" s="225"/>
      <c r="AO429" s="225"/>
      <c r="AP429" s="225"/>
      <c r="AQ429" s="225"/>
      <c r="AR429" s="225"/>
    </row>
    <row r="430" spans="1:44" ht="15.75" customHeight="1">
      <c r="A430" s="131"/>
      <c r="B430" s="131"/>
      <c r="C430" s="131"/>
      <c r="D430" s="131"/>
      <c r="E430" s="131"/>
      <c r="F430" s="131"/>
      <c r="G430" s="131"/>
      <c r="H430" s="131"/>
      <c r="I430" s="131"/>
      <c r="J430" s="131"/>
      <c r="K430" s="131"/>
      <c r="L430" s="225"/>
      <c r="M430" s="225"/>
      <c r="N430" s="225"/>
      <c r="O430" s="225"/>
      <c r="P430" s="225"/>
      <c r="Q430" s="225"/>
      <c r="R430" s="225"/>
      <c r="S430" s="225"/>
      <c r="T430" s="225"/>
      <c r="U430" s="225"/>
      <c r="V430" s="225"/>
      <c r="W430" s="225"/>
      <c r="X430" s="225"/>
      <c r="Y430" s="225"/>
      <c r="Z430" s="225"/>
      <c r="AA430" s="225"/>
      <c r="AB430" s="225"/>
      <c r="AC430" s="225"/>
      <c r="AD430" s="225"/>
      <c r="AE430" s="225"/>
      <c r="AF430" s="225"/>
      <c r="AG430" s="225"/>
      <c r="AH430" s="225"/>
      <c r="AI430" s="225"/>
      <c r="AJ430" s="225"/>
      <c r="AK430" s="225"/>
      <c r="AL430" s="225"/>
      <c r="AM430" s="225"/>
      <c r="AN430" s="225"/>
      <c r="AO430" s="225"/>
      <c r="AP430" s="225"/>
      <c r="AQ430" s="225"/>
      <c r="AR430" s="225"/>
    </row>
    <row r="431" spans="1:44" ht="15.75" customHeight="1">
      <c r="A431" s="131"/>
      <c r="B431" s="131"/>
      <c r="C431" s="131"/>
      <c r="D431" s="131"/>
      <c r="E431" s="131"/>
      <c r="F431" s="131"/>
      <c r="G431" s="131"/>
      <c r="H431" s="131"/>
      <c r="I431" s="131"/>
      <c r="J431" s="131"/>
      <c r="K431" s="131"/>
      <c r="L431" s="225"/>
      <c r="M431" s="225"/>
      <c r="N431" s="225"/>
      <c r="O431" s="225"/>
      <c r="P431" s="225"/>
      <c r="Q431" s="225"/>
      <c r="R431" s="225"/>
      <c r="S431" s="225"/>
      <c r="T431" s="225"/>
      <c r="U431" s="225"/>
      <c r="V431" s="225"/>
      <c r="W431" s="225"/>
      <c r="X431" s="225"/>
      <c r="Y431" s="225"/>
      <c r="Z431" s="225"/>
      <c r="AA431" s="225"/>
      <c r="AB431" s="225"/>
      <c r="AC431" s="225"/>
      <c r="AD431" s="225"/>
      <c r="AE431" s="225"/>
      <c r="AF431" s="225"/>
      <c r="AG431" s="225"/>
      <c r="AH431" s="225"/>
      <c r="AI431" s="225"/>
      <c r="AJ431" s="225"/>
      <c r="AK431" s="225"/>
      <c r="AL431" s="225"/>
      <c r="AM431" s="225"/>
      <c r="AN431" s="225"/>
      <c r="AO431" s="225"/>
      <c r="AP431" s="225"/>
      <c r="AQ431" s="225"/>
      <c r="AR431" s="225"/>
    </row>
    <row r="432" spans="1:44" ht="15.75" customHeight="1">
      <c r="A432" s="131"/>
      <c r="B432" s="131"/>
      <c r="C432" s="131"/>
      <c r="D432" s="131"/>
      <c r="E432" s="131"/>
      <c r="F432" s="131"/>
      <c r="G432" s="131"/>
      <c r="H432" s="131"/>
      <c r="I432" s="131"/>
      <c r="J432" s="131"/>
      <c r="K432" s="131"/>
      <c r="L432" s="225"/>
      <c r="M432" s="225"/>
      <c r="N432" s="225"/>
      <c r="O432" s="225"/>
      <c r="P432" s="225"/>
      <c r="Q432" s="225"/>
      <c r="R432" s="225"/>
      <c r="S432" s="225"/>
      <c r="T432" s="225"/>
      <c r="U432" s="225"/>
      <c r="V432" s="225"/>
      <c r="W432" s="225"/>
      <c r="X432" s="225"/>
      <c r="Y432" s="225"/>
      <c r="Z432" s="225"/>
      <c r="AA432" s="225"/>
      <c r="AB432" s="225"/>
      <c r="AC432" s="225"/>
      <c r="AD432" s="225"/>
      <c r="AE432" s="225"/>
      <c r="AF432" s="225"/>
      <c r="AG432" s="225"/>
      <c r="AH432" s="225"/>
      <c r="AI432" s="225"/>
      <c r="AJ432" s="225"/>
      <c r="AK432" s="225"/>
      <c r="AL432" s="225"/>
      <c r="AM432" s="225"/>
      <c r="AN432" s="225"/>
      <c r="AO432" s="225"/>
      <c r="AP432" s="225"/>
      <c r="AQ432" s="225"/>
      <c r="AR432" s="225"/>
    </row>
    <row r="433" spans="1:44" ht="15.75" customHeight="1">
      <c r="A433" s="131"/>
      <c r="B433" s="131"/>
      <c r="C433" s="131"/>
      <c r="D433" s="131"/>
      <c r="E433" s="131"/>
      <c r="F433" s="131"/>
      <c r="G433" s="131"/>
      <c r="H433" s="131"/>
      <c r="I433" s="131"/>
      <c r="J433" s="131"/>
      <c r="K433" s="131"/>
      <c r="L433" s="225"/>
      <c r="M433" s="225"/>
      <c r="N433" s="225"/>
      <c r="O433" s="225"/>
      <c r="P433" s="225"/>
      <c r="Q433" s="225"/>
      <c r="R433" s="225"/>
      <c r="S433" s="225"/>
      <c r="T433" s="225"/>
      <c r="U433" s="225"/>
      <c r="V433" s="225"/>
      <c r="W433" s="225"/>
      <c r="X433" s="225"/>
      <c r="Y433" s="225"/>
      <c r="Z433" s="225"/>
      <c r="AA433" s="225"/>
      <c r="AB433" s="225"/>
      <c r="AC433" s="225"/>
      <c r="AD433" s="225"/>
      <c r="AE433" s="225"/>
      <c r="AF433" s="225"/>
      <c r="AG433" s="225"/>
      <c r="AH433" s="225"/>
      <c r="AI433" s="225"/>
      <c r="AJ433" s="225"/>
      <c r="AK433" s="225"/>
      <c r="AL433" s="225"/>
      <c r="AM433" s="225"/>
      <c r="AN433" s="225"/>
      <c r="AO433" s="225"/>
      <c r="AP433" s="225"/>
      <c r="AQ433" s="225"/>
      <c r="AR433" s="225"/>
    </row>
    <row r="434" spans="1:44" ht="15.75" customHeight="1">
      <c r="A434" s="131"/>
      <c r="B434" s="131"/>
      <c r="C434" s="131"/>
      <c r="D434" s="131"/>
      <c r="E434" s="131"/>
      <c r="F434" s="131"/>
      <c r="G434" s="131"/>
      <c r="H434" s="131"/>
      <c r="I434" s="131"/>
      <c r="J434" s="131"/>
      <c r="K434" s="131"/>
      <c r="L434" s="225"/>
      <c r="M434" s="225"/>
      <c r="N434" s="225"/>
      <c r="O434" s="225"/>
      <c r="P434" s="225"/>
      <c r="Q434" s="225"/>
      <c r="R434" s="225"/>
      <c r="S434" s="225"/>
      <c r="T434" s="225"/>
      <c r="U434" s="225"/>
      <c r="V434" s="225"/>
      <c r="W434" s="225"/>
      <c r="X434" s="225"/>
      <c r="Y434" s="225"/>
      <c r="Z434" s="225"/>
      <c r="AA434" s="225"/>
      <c r="AB434" s="225"/>
      <c r="AC434" s="225"/>
      <c r="AD434" s="225"/>
      <c r="AE434" s="225"/>
      <c r="AF434" s="225"/>
      <c r="AG434" s="225"/>
      <c r="AH434" s="225"/>
      <c r="AI434" s="225"/>
      <c r="AJ434" s="225"/>
      <c r="AK434" s="225"/>
      <c r="AL434" s="225"/>
      <c r="AM434" s="225"/>
      <c r="AN434" s="225"/>
      <c r="AO434" s="225"/>
      <c r="AP434" s="225"/>
      <c r="AQ434" s="225"/>
      <c r="AR434" s="225"/>
    </row>
    <row r="435" spans="1:44" ht="15.75" customHeight="1">
      <c r="A435" s="131"/>
      <c r="B435" s="131"/>
      <c r="C435" s="131"/>
      <c r="D435" s="131"/>
      <c r="E435" s="131"/>
      <c r="F435" s="131"/>
      <c r="G435" s="131"/>
      <c r="H435" s="131"/>
      <c r="I435" s="131"/>
      <c r="J435" s="131"/>
      <c r="K435" s="131"/>
      <c r="L435" s="225"/>
      <c r="M435" s="225"/>
      <c r="N435" s="225"/>
      <c r="O435" s="225"/>
      <c r="P435" s="225"/>
      <c r="Q435" s="225"/>
      <c r="R435" s="225"/>
      <c r="S435" s="225"/>
      <c r="T435" s="225"/>
      <c r="U435" s="225"/>
      <c r="V435" s="225"/>
      <c r="W435" s="225"/>
      <c r="X435" s="225"/>
      <c r="Y435" s="225"/>
      <c r="Z435" s="225"/>
      <c r="AA435" s="225"/>
      <c r="AB435" s="225"/>
      <c r="AC435" s="225"/>
      <c r="AD435" s="225"/>
      <c r="AE435" s="225"/>
      <c r="AF435" s="225"/>
      <c r="AG435" s="225"/>
      <c r="AH435" s="225"/>
      <c r="AI435" s="225"/>
      <c r="AJ435" s="225"/>
      <c r="AK435" s="225"/>
      <c r="AL435" s="225"/>
      <c r="AM435" s="225"/>
      <c r="AN435" s="225"/>
      <c r="AO435" s="225"/>
      <c r="AP435" s="225"/>
      <c r="AQ435" s="225"/>
      <c r="AR435" s="225"/>
    </row>
    <row r="436" spans="1:44" ht="15.75" customHeight="1">
      <c r="A436" s="131"/>
      <c r="B436" s="131"/>
      <c r="C436" s="131"/>
      <c r="D436" s="131"/>
      <c r="E436" s="131"/>
      <c r="F436" s="131"/>
      <c r="G436" s="131"/>
      <c r="H436" s="131"/>
      <c r="I436" s="131"/>
      <c r="J436" s="131"/>
      <c r="K436" s="131"/>
      <c r="L436" s="225"/>
      <c r="M436" s="225"/>
      <c r="N436" s="225"/>
      <c r="O436" s="225"/>
      <c r="P436" s="225"/>
      <c r="Q436" s="225"/>
      <c r="R436" s="225"/>
      <c r="S436" s="225"/>
      <c r="T436" s="225"/>
      <c r="U436" s="225"/>
      <c r="V436" s="225"/>
      <c r="W436" s="225"/>
      <c r="X436" s="225"/>
      <c r="Y436" s="225"/>
      <c r="Z436" s="225"/>
      <c r="AA436" s="225"/>
      <c r="AB436" s="225"/>
      <c r="AC436" s="225"/>
      <c r="AD436" s="225"/>
      <c r="AE436" s="225"/>
      <c r="AF436" s="225"/>
      <c r="AG436" s="225"/>
      <c r="AH436" s="225"/>
      <c r="AI436" s="225"/>
      <c r="AJ436" s="225"/>
      <c r="AK436" s="225"/>
      <c r="AL436" s="225"/>
      <c r="AM436" s="225"/>
      <c r="AN436" s="225"/>
      <c r="AO436" s="225"/>
      <c r="AP436" s="225"/>
      <c r="AQ436" s="225"/>
      <c r="AR436" s="225"/>
    </row>
    <row r="437" spans="1:44" ht="15.75" customHeight="1">
      <c r="A437" s="131"/>
      <c r="B437" s="131"/>
      <c r="C437" s="131"/>
      <c r="D437" s="131"/>
      <c r="E437" s="131"/>
      <c r="F437" s="131"/>
      <c r="G437" s="131"/>
      <c r="H437" s="131"/>
      <c r="I437" s="131"/>
      <c r="J437" s="131"/>
      <c r="K437" s="131"/>
      <c r="L437" s="225"/>
      <c r="M437" s="225"/>
      <c r="N437" s="225"/>
      <c r="O437" s="225"/>
      <c r="P437" s="225"/>
      <c r="Q437" s="225"/>
      <c r="R437" s="225"/>
      <c r="S437" s="225"/>
      <c r="T437" s="225"/>
      <c r="U437" s="225"/>
      <c r="V437" s="225"/>
      <c r="W437" s="225"/>
      <c r="X437" s="225"/>
      <c r="Y437" s="225"/>
      <c r="Z437" s="225"/>
      <c r="AA437" s="225"/>
      <c r="AB437" s="225"/>
      <c r="AC437" s="225"/>
      <c r="AD437" s="225"/>
      <c r="AE437" s="225"/>
      <c r="AF437" s="225"/>
      <c r="AG437" s="225"/>
      <c r="AH437" s="225"/>
      <c r="AI437" s="225"/>
      <c r="AJ437" s="225"/>
      <c r="AK437" s="225"/>
      <c r="AL437" s="225"/>
      <c r="AM437" s="225"/>
      <c r="AN437" s="225"/>
      <c r="AO437" s="225"/>
      <c r="AP437" s="225"/>
      <c r="AQ437" s="225"/>
      <c r="AR437" s="225"/>
    </row>
    <row r="438" spans="1:44" ht="15.75" customHeight="1">
      <c r="A438" s="131"/>
      <c r="B438" s="131"/>
      <c r="C438" s="131"/>
      <c r="D438" s="131"/>
      <c r="E438" s="131"/>
      <c r="F438" s="131"/>
      <c r="G438" s="131"/>
      <c r="H438" s="131"/>
      <c r="I438" s="131"/>
      <c r="J438" s="131"/>
      <c r="K438" s="131"/>
      <c r="L438" s="225"/>
      <c r="M438" s="225"/>
      <c r="N438" s="225"/>
      <c r="O438" s="225"/>
      <c r="P438" s="225"/>
      <c r="Q438" s="225"/>
      <c r="R438" s="225"/>
      <c r="S438" s="225"/>
      <c r="T438" s="225"/>
      <c r="U438" s="225"/>
      <c r="V438" s="225"/>
      <c r="W438" s="225"/>
      <c r="X438" s="225"/>
      <c r="Y438" s="225"/>
      <c r="Z438" s="225"/>
      <c r="AA438" s="225"/>
      <c r="AB438" s="225"/>
      <c r="AC438" s="225"/>
      <c r="AD438" s="225"/>
      <c r="AE438" s="225"/>
      <c r="AF438" s="225"/>
      <c r="AG438" s="225"/>
      <c r="AH438" s="225"/>
      <c r="AI438" s="225"/>
      <c r="AJ438" s="225"/>
      <c r="AK438" s="225"/>
      <c r="AL438" s="225"/>
      <c r="AM438" s="225"/>
      <c r="AN438" s="225"/>
      <c r="AO438" s="225"/>
      <c r="AP438" s="225"/>
      <c r="AQ438" s="225"/>
      <c r="AR438" s="225"/>
    </row>
    <row r="439" spans="1:44" ht="15.75" customHeight="1">
      <c r="A439" s="131"/>
      <c r="B439" s="131"/>
      <c r="C439" s="131"/>
      <c r="D439" s="131"/>
      <c r="E439" s="131"/>
      <c r="F439" s="131"/>
      <c r="G439" s="131"/>
      <c r="H439" s="131"/>
      <c r="I439" s="131"/>
      <c r="J439" s="131"/>
      <c r="K439" s="131"/>
      <c r="L439" s="225"/>
      <c r="M439" s="225"/>
      <c r="N439" s="225"/>
      <c r="O439" s="225"/>
      <c r="P439" s="225"/>
      <c r="Q439" s="225"/>
      <c r="R439" s="225"/>
      <c r="S439" s="225"/>
      <c r="T439" s="225"/>
      <c r="U439" s="225"/>
      <c r="V439" s="225"/>
      <c r="W439" s="225"/>
      <c r="X439" s="225"/>
      <c r="Y439" s="225"/>
      <c r="Z439" s="225"/>
      <c r="AA439" s="225"/>
      <c r="AB439" s="225"/>
      <c r="AC439" s="225"/>
      <c r="AD439" s="225"/>
      <c r="AE439" s="225"/>
      <c r="AF439" s="225"/>
      <c r="AG439" s="225"/>
      <c r="AH439" s="225"/>
      <c r="AI439" s="225"/>
      <c r="AJ439" s="225"/>
      <c r="AK439" s="225"/>
      <c r="AL439" s="225"/>
      <c r="AM439" s="225"/>
      <c r="AN439" s="225"/>
      <c r="AO439" s="225"/>
      <c r="AP439" s="225"/>
      <c r="AQ439" s="225"/>
      <c r="AR439" s="225"/>
    </row>
    <row r="440" spans="1:44" ht="15.75" customHeight="1">
      <c r="A440" s="131"/>
      <c r="B440" s="131"/>
      <c r="C440" s="131"/>
      <c r="D440" s="131"/>
      <c r="E440" s="131"/>
      <c r="F440" s="131"/>
      <c r="G440" s="131"/>
      <c r="H440" s="131"/>
      <c r="I440" s="131"/>
      <c r="J440" s="131"/>
      <c r="K440" s="131"/>
      <c r="L440" s="225"/>
      <c r="M440" s="225"/>
      <c r="N440" s="225"/>
      <c r="O440" s="225"/>
      <c r="P440" s="225"/>
      <c r="Q440" s="225"/>
      <c r="R440" s="225"/>
      <c r="S440" s="225"/>
      <c r="T440" s="225"/>
      <c r="U440" s="225"/>
      <c r="V440" s="225"/>
      <c r="W440" s="225"/>
      <c r="X440" s="225"/>
      <c r="Y440" s="225"/>
      <c r="Z440" s="225"/>
      <c r="AA440" s="225"/>
      <c r="AB440" s="225"/>
      <c r="AC440" s="225"/>
      <c r="AD440" s="225"/>
      <c r="AE440" s="225"/>
      <c r="AF440" s="225"/>
      <c r="AG440" s="225"/>
      <c r="AH440" s="225"/>
      <c r="AI440" s="225"/>
      <c r="AJ440" s="225"/>
      <c r="AK440" s="225"/>
      <c r="AL440" s="225"/>
      <c r="AM440" s="225"/>
      <c r="AN440" s="225"/>
      <c r="AO440" s="225"/>
      <c r="AP440" s="225"/>
      <c r="AQ440" s="225"/>
      <c r="AR440" s="225"/>
    </row>
    <row r="441" spans="1:44" ht="15.75" customHeight="1">
      <c r="A441" s="131"/>
      <c r="B441" s="131"/>
      <c r="C441" s="131"/>
      <c r="D441" s="131"/>
      <c r="E441" s="131"/>
      <c r="F441" s="131"/>
      <c r="G441" s="131"/>
      <c r="H441" s="131"/>
      <c r="I441" s="131"/>
      <c r="J441" s="131"/>
      <c r="K441" s="131"/>
      <c r="L441" s="225"/>
      <c r="M441" s="225"/>
      <c r="N441" s="225"/>
      <c r="O441" s="225"/>
      <c r="P441" s="225"/>
      <c r="Q441" s="225"/>
      <c r="R441" s="225"/>
      <c r="S441" s="225"/>
      <c r="T441" s="225"/>
      <c r="U441" s="225"/>
      <c r="V441" s="225"/>
      <c r="W441" s="225"/>
      <c r="X441" s="225"/>
      <c r="Y441" s="225"/>
      <c r="Z441" s="225"/>
      <c r="AA441" s="225"/>
      <c r="AB441" s="225"/>
      <c r="AC441" s="225"/>
      <c r="AD441" s="225"/>
      <c r="AE441" s="225"/>
      <c r="AF441" s="225"/>
      <c r="AG441" s="225"/>
      <c r="AH441" s="225"/>
      <c r="AI441" s="225"/>
      <c r="AJ441" s="225"/>
      <c r="AK441" s="225"/>
      <c r="AL441" s="225"/>
      <c r="AM441" s="225"/>
      <c r="AN441" s="225"/>
      <c r="AO441" s="225"/>
      <c r="AP441" s="225"/>
      <c r="AQ441" s="225"/>
      <c r="AR441" s="225"/>
    </row>
    <row r="442" spans="1:44" ht="15.75" customHeight="1">
      <c r="A442" s="131"/>
      <c r="B442" s="131"/>
      <c r="C442" s="131"/>
      <c r="D442" s="131"/>
      <c r="E442" s="131"/>
      <c r="F442" s="131"/>
      <c r="G442" s="131"/>
      <c r="H442" s="131"/>
      <c r="I442" s="131"/>
      <c r="J442" s="131"/>
      <c r="K442" s="131"/>
      <c r="L442" s="225"/>
      <c r="M442" s="225"/>
      <c r="N442" s="225"/>
      <c r="O442" s="225"/>
      <c r="P442" s="225"/>
      <c r="Q442" s="225"/>
      <c r="R442" s="225"/>
      <c r="S442" s="225"/>
      <c r="T442" s="225"/>
      <c r="U442" s="225"/>
      <c r="V442" s="225"/>
      <c r="W442" s="225"/>
      <c r="X442" s="225"/>
      <c r="Y442" s="225"/>
      <c r="Z442" s="225"/>
      <c r="AA442" s="225"/>
      <c r="AB442" s="225"/>
      <c r="AC442" s="225"/>
      <c r="AD442" s="225"/>
      <c r="AE442" s="225"/>
      <c r="AF442" s="225"/>
      <c r="AG442" s="225"/>
      <c r="AH442" s="225"/>
      <c r="AI442" s="225"/>
      <c r="AJ442" s="225"/>
      <c r="AK442" s="225"/>
      <c r="AL442" s="225"/>
      <c r="AM442" s="225"/>
      <c r="AN442" s="225"/>
      <c r="AO442" s="225"/>
      <c r="AP442" s="225"/>
      <c r="AQ442" s="225"/>
      <c r="AR442" s="225"/>
    </row>
    <row r="443" spans="1:44" ht="15.75" customHeight="1">
      <c r="A443" s="131"/>
      <c r="B443" s="131"/>
      <c r="C443" s="131"/>
      <c r="D443" s="131"/>
      <c r="E443" s="131"/>
      <c r="F443" s="131"/>
      <c r="G443" s="131"/>
      <c r="H443" s="131"/>
      <c r="I443" s="131"/>
      <c r="J443" s="131"/>
      <c r="K443" s="131"/>
      <c r="L443" s="225"/>
      <c r="M443" s="225"/>
      <c r="N443" s="225"/>
      <c r="O443" s="225"/>
      <c r="P443" s="225"/>
      <c r="Q443" s="225"/>
      <c r="R443" s="225"/>
      <c r="S443" s="225"/>
      <c r="T443" s="225"/>
      <c r="U443" s="225"/>
      <c r="V443" s="225"/>
      <c r="W443" s="225"/>
      <c r="X443" s="225"/>
      <c r="Y443" s="225"/>
      <c r="Z443" s="225"/>
      <c r="AA443" s="225"/>
      <c r="AB443" s="225"/>
      <c r="AC443" s="225"/>
      <c r="AD443" s="225"/>
      <c r="AE443" s="225"/>
      <c r="AF443" s="225"/>
      <c r="AG443" s="225"/>
      <c r="AH443" s="225"/>
      <c r="AI443" s="225"/>
      <c r="AJ443" s="225"/>
      <c r="AK443" s="225"/>
      <c r="AL443" s="225"/>
      <c r="AM443" s="225"/>
      <c r="AN443" s="225"/>
      <c r="AO443" s="225"/>
      <c r="AP443" s="225"/>
      <c r="AQ443" s="225"/>
      <c r="AR443" s="225"/>
    </row>
    <row r="444" spans="1:44" ht="15.75" customHeight="1">
      <c r="A444" s="131"/>
      <c r="B444" s="131"/>
      <c r="C444" s="131"/>
      <c r="D444" s="131"/>
      <c r="E444" s="131"/>
      <c r="F444" s="131"/>
      <c r="G444" s="131"/>
      <c r="H444" s="131"/>
      <c r="I444" s="131"/>
      <c r="J444" s="131"/>
      <c r="K444" s="131"/>
      <c r="L444" s="225"/>
      <c r="M444" s="225"/>
      <c r="N444" s="225"/>
      <c r="O444" s="225"/>
      <c r="P444" s="225"/>
      <c r="Q444" s="225"/>
      <c r="R444" s="225"/>
      <c r="S444" s="225"/>
      <c r="T444" s="225"/>
      <c r="U444" s="225"/>
      <c r="V444" s="225"/>
      <c r="W444" s="225"/>
      <c r="X444" s="225"/>
      <c r="Y444" s="225"/>
      <c r="Z444" s="225"/>
      <c r="AA444" s="225"/>
      <c r="AB444" s="225"/>
      <c r="AC444" s="225"/>
      <c r="AD444" s="225"/>
      <c r="AE444" s="225"/>
      <c r="AF444" s="225"/>
      <c r="AG444" s="225"/>
      <c r="AH444" s="225"/>
      <c r="AI444" s="225"/>
      <c r="AJ444" s="225"/>
      <c r="AK444" s="225"/>
      <c r="AL444" s="225"/>
      <c r="AM444" s="225"/>
      <c r="AN444" s="225"/>
      <c r="AO444" s="225"/>
      <c r="AP444" s="225"/>
      <c r="AQ444" s="225"/>
      <c r="AR444" s="225"/>
    </row>
    <row r="445" spans="1:44" ht="15.75" customHeight="1">
      <c r="A445" s="131"/>
      <c r="B445" s="131"/>
      <c r="C445" s="131"/>
      <c r="D445" s="131"/>
      <c r="E445" s="131"/>
      <c r="F445" s="131"/>
      <c r="G445" s="131"/>
      <c r="H445" s="131"/>
      <c r="I445" s="131"/>
      <c r="J445" s="131"/>
      <c r="K445" s="131"/>
      <c r="L445" s="225"/>
      <c r="M445" s="225"/>
      <c r="N445" s="225"/>
      <c r="O445" s="225"/>
      <c r="P445" s="225"/>
      <c r="Q445" s="225"/>
      <c r="R445" s="225"/>
      <c r="S445" s="225"/>
      <c r="T445" s="225"/>
      <c r="U445" s="225"/>
      <c r="V445" s="225"/>
      <c r="W445" s="225"/>
      <c r="X445" s="225"/>
      <c r="Y445" s="225"/>
      <c r="Z445" s="225"/>
      <c r="AA445" s="225"/>
      <c r="AB445" s="225"/>
      <c r="AC445" s="225"/>
      <c r="AD445" s="225"/>
      <c r="AE445" s="225"/>
      <c r="AF445" s="225"/>
      <c r="AG445" s="225"/>
      <c r="AH445" s="225"/>
      <c r="AI445" s="225"/>
      <c r="AJ445" s="225"/>
      <c r="AK445" s="225"/>
      <c r="AL445" s="225"/>
      <c r="AM445" s="225"/>
      <c r="AN445" s="225"/>
      <c r="AO445" s="225"/>
      <c r="AP445" s="225"/>
      <c r="AQ445" s="225"/>
      <c r="AR445" s="225"/>
    </row>
    <row r="446" spans="1:44" ht="15.75" customHeight="1">
      <c r="A446" s="131"/>
      <c r="B446" s="131"/>
      <c r="C446" s="131"/>
      <c r="D446" s="131"/>
      <c r="E446" s="131"/>
      <c r="F446" s="131"/>
      <c r="G446" s="131"/>
      <c r="H446" s="131"/>
      <c r="I446" s="131"/>
      <c r="J446" s="131"/>
      <c r="K446" s="131"/>
      <c r="L446" s="225"/>
      <c r="M446" s="225"/>
      <c r="N446" s="225"/>
      <c r="O446" s="225"/>
      <c r="P446" s="225"/>
      <c r="Q446" s="225"/>
      <c r="R446" s="225"/>
      <c r="S446" s="225"/>
      <c r="T446" s="225"/>
      <c r="U446" s="225"/>
      <c r="V446" s="225"/>
      <c r="W446" s="225"/>
      <c r="X446" s="225"/>
      <c r="Y446" s="225"/>
      <c r="Z446" s="225"/>
      <c r="AA446" s="225"/>
      <c r="AB446" s="225"/>
      <c r="AC446" s="225"/>
      <c r="AD446" s="225"/>
      <c r="AE446" s="225"/>
      <c r="AF446" s="225"/>
      <c r="AG446" s="225"/>
      <c r="AH446" s="225"/>
      <c r="AI446" s="225"/>
      <c r="AJ446" s="225"/>
      <c r="AK446" s="225"/>
      <c r="AL446" s="225"/>
      <c r="AM446" s="225"/>
      <c r="AN446" s="225"/>
      <c r="AO446" s="225"/>
      <c r="AP446" s="225"/>
      <c r="AQ446" s="225"/>
      <c r="AR446" s="225"/>
    </row>
    <row r="447" spans="1:44" ht="15.75" customHeight="1">
      <c r="A447" s="131"/>
      <c r="B447" s="131"/>
      <c r="C447" s="131"/>
      <c r="D447" s="131"/>
      <c r="E447" s="131"/>
      <c r="F447" s="131"/>
      <c r="G447" s="131"/>
      <c r="H447" s="131"/>
      <c r="I447" s="131"/>
      <c r="J447" s="131"/>
      <c r="K447" s="131"/>
      <c r="L447" s="225"/>
      <c r="M447" s="225"/>
      <c r="N447" s="225"/>
      <c r="O447" s="225"/>
      <c r="P447" s="225"/>
      <c r="Q447" s="225"/>
      <c r="R447" s="225"/>
      <c r="S447" s="225"/>
      <c r="T447" s="225"/>
      <c r="U447" s="225"/>
      <c r="V447" s="225"/>
      <c r="W447" s="225"/>
      <c r="X447" s="225"/>
      <c r="Y447" s="225"/>
      <c r="Z447" s="225"/>
      <c r="AA447" s="225"/>
      <c r="AB447" s="225"/>
      <c r="AC447" s="225"/>
      <c r="AD447" s="225"/>
      <c r="AE447" s="225"/>
      <c r="AF447" s="225"/>
      <c r="AG447" s="225"/>
      <c r="AH447" s="225"/>
      <c r="AI447" s="225"/>
      <c r="AJ447" s="225"/>
      <c r="AK447" s="225"/>
      <c r="AL447" s="225"/>
      <c r="AM447" s="225"/>
      <c r="AN447" s="225"/>
      <c r="AO447" s="225"/>
      <c r="AP447" s="225"/>
      <c r="AQ447" s="225"/>
      <c r="AR447" s="225"/>
    </row>
    <row r="448" spans="1:44" ht="15.75" customHeight="1">
      <c r="A448" s="131"/>
      <c r="B448" s="131"/>
      <c r="C448" s="131"/>
      <c r="D448" s="131"/>
      <c r="E448" s="131"/>
      <c r="F448" s="131"/>
      <c r="G448" s="131"/>
      <c r="H448" s="131"/>
      <c r="I448" s="131"/>
      <c r="J448" s="131"/>
      <c r="K448" s="131"/>
      <c r="L448" s="225"/>
      <c r="M448" s="225"/>
      <c r="N448" s="225"/>
      <c r="O448" s="225"/>
      <c r="P448" s="225"/>
      <c r="Q448" s="225"/>
      <c r="R448" s="225"/>
      <c r="S448" s="225"/>
      <c r="T448" s="225"/>
      <c r="U448" s="225"/>
      <c r="V448" s="225"/>
      <c r="W448" s="225"/>
      <c r="X448" s="225"/>
      <c r="Y448" s="225"/>
      <c r="Z448" s="225"/>
      <c r="AA448" s="225"/>
      <c r="AB448" s="225"/>
      <c r="AC448" s="225"/>
      <c r="AD448" s="225"/>
      <c r="AE448" s="225"/>
      <c r="AF448" s="225"/>
      <c r="AG448" s="225"/>
      <c r="AH448" s="225"/>
      <c r="AI448" s="225"/>
      <c r="AJ448" s="225"/>
      <c r="AK448" s="225"/>
      <c r="AL448" s="225"/>
      <c r="AM448" s="225"/>
      <c r="AN448" s="225"/>
      <c r="AO448" s="225"/>
      <c r="AP448" s="225"/>
      <c r="AQ448" s="225"/>
      <c r="AR448" s="225"/>
    </row>
    <row r="449" spans="1:44" ht="15.75" customHeight="1">
      <c r="A449" s="131"/>
      <c r="B449" s="131"/>
      <c r="C449" s="131"/>
      <c r="D449" s="131"/>
      <c r="E449" s="131"/>
      <c r="F449" s="131"/>
      <c r="G449" s="131"/>
      <c r="H449" s="131"/>
      <c r="I449" s="131"/>
      <c r="J449" s="131"/>
      <c r="K449" s="131"/>
      <c r="L449" s="225"/>
      <c r="M449" s="225"/>
      <c r="N449" s="225"/>
      <c r="O449" s="225"/>
      <c r="P449" s="225"/>
      <c r="Q449" s="225"/>
      <c r="R449" s="225"/>
      <c r="S449" s="225"/>
      <c r="T449" s="225"/>
      <c r="U449" s="225"/>
      <c r="V449" s="225"/>
      <c r="W449" s="225"/>
      <c r="X449" s="225"/>
      <c r="Y449" s="225"/>
      <c r="Z449" s="225"/>
      <c r="AA449" s="225"/>
      <c r="AB449" s="225"/>
      <c r="AC449" s="225"/>
      <c r="AD449" s="225"/>
      <c r="AE449" s="225"/>
      <c r="AF449" s="225"/>
      <c r="AG449" s="225"/>
      <c r="AH449" s="225"/>
      <c r="AI449" s="225"/>
      <c r="AJ449" s="225"/>
      <c r="AK449" s="225"/>
      <c r="AL449" s="225"/>
      <c r="AM449" s="225"/>
      <c r="AN449" s="225"/>
      <c r="AO449" s="225"/>
      <c r="AP449" s="225"/>
      <c r="AQ449" s="225"/>
      <c r="AR449" s="225"/>
    </row>
    <row r="450" spans="1:44" ht="15.75" customHeight="1">
      <c r="A450" s="131"/>
      <c r="B450" s="131"/>
      <c r="C450" s="131"/>
      <c r="D450" s="131"/>
      <c r="E450" s="131"/>
      <c r="F450" s="131"/>
      <c r="G450" s="131"/>
      <c r="H450" s="131"/>
      <c r="I450" s="131"/>
      <c r="J450" s="131"/>
      <c r="K450" s="131"/>
      <c r="L450" s="225"/>
      <c r="M450" s="225"/>
      <c r="N450" s="225"/>
      <c r="O450" s="225"/>
      <c r="P450" s="225"/>
      <c r="Q450" s="225"/>
      <c r="R450" s="225"/>
      <c r="S450" s="225"/>
      <c r="T450" s="225"/>
      <c r="U450" s="225"/>
      <c r="V450" s="225"/>
      <c r="W450" s="225"/>
      <c r="X450" s="225"/>
      <c r="Y450" s="225"/>
      <c r="Z450" s="225"/>
      <c r="AA450" s="225"/>
      <c r="AB450" s="225"/>
      <c r="AC450" s="225"/>
      <c r="AD450" s="225"/>
      <c r="AE450" s="225"/>
      <c r="AF450" s="225"/>
      <c r="AG450" s="225"/>
      <c r="AH450" s="225"/>
      <c r="AI450" s="225"/>
      <c r="AJ450" s="225"/>
      <c r="AK450" s="225"/>
      <c r="AL450" s="225"/>
      <c r="AM450" s="225"/>
      <c r="AN450" s="225"/>
      <c r="AO450" s="225"/>
      <c r="AP450" s="225"/>
      <c r="AQ450" s="225"/>
      <c r="AR450" s="225"/>
    </row>
    <row r="451" spans="1:44" ht="15.75" customHeight="1">
      <c r="A451" s="131"/>
      <c r="B451" s="131"/>
      <c r="C451" s="131"/>
      <c r="D451" s="131"/>
      <c r="E451" s="131"/>
      <c r="F451" s="131"/>
      <c r="G451" s="131"/>
      <c r="H451" s="131"/>
      <c r="I451" s="131"/>
      <c r="J451" s="131"/>
      <c r="K451" s="131"/>
      <c r="L451" s="225"/>
      <c r="M451" s="225"/>
      <c r="N451" s="225"/>
      <c r="O451" s="225"/>
      <c r="P451" s="225"/>
      <c r="Q451" s="225"/>
      <c r="R451" s="225"/>
      <c r="S451" s="225"/>
      <c r="T451" s="225"/>
      <c r="U451" s="225"/>
      <c r="V451" s="225"/>
      <c r="W451" s="225"/>
      <c r="X451" s="225"/>
      <c r="Y451" s="225"/>
      <c r="Z451" s="225"/>
      <c r="AA451" s="225"/>
      <c r="AB451" s="225"/>
      <c r="AC451" s="225"/>
      <c r="AD451" s="225"/>
      <c r="AE451" s="225"/>
      <c r="AF451" s="225"/>
      <c r="AG451" s="225"/>
      <c r="AH451" s="225"/>
      <c r="AI451" s="225"/>
      <c r="AJ451" s="225"/>
      <c r="AK451" s="225"/>
      <c r="AL451" s="225"/>
      <c r="AM451" s="225"/>
      <c r="AN451" s="225"/>
      <c r="AO451" s="225"/>
      <c r="AP451" s="225"/>
      <c r="AQ451" s="225"/>
      <c r="AR451" s="225"/>
    </row>
    <row r="452" spans="1:44" ht="15.75" customHeight="1">
      <c r="A452" s="131"/>
      <c r="B452" s="131"/>
      <c r="C452" s="131"/>
      <c r="D452" s="131"/>
      <c r="E452" s="131"/>
      <c r="F452" s="131"/>
      <c r="G452" s="131"/>
      <c r="H452" s="131"/>
      <c r="I452" s="131"/>
      <c r="J452" s="131"/>
      <c r="K452" s="131"/>
      <c r="L452" s="225"/>
      <c r="M452" s="225"/>
      <c r="N452" s="225"/>
      <c r="O452" s="225"/>
      <c r="P452" s="225"/>
      <c r="Q452" s="225"/>
      <c r="R452" s="225"/>
      <c r="S452" s="225"/>
      <c r="T452" s="225"/>
      <c r="U452" s="225"/>
      <c r="V452" s="225"/>
      <c r="W452" s="225"/>
      <c r="X452" s="225"/>
      <c r="Y452" s="225"/>
      <c r="Z452" s="225"/>
      <c r="AA452" s="225"/>
      <c r="AB452" s="225"/>
      <c r="AC452" s="225"/>
      <c r="AD452" s="225"/>
      <c r="AE452" s="225"/>
      <c r="AF452" s="225"/>
      <c r="AG452" s="225"/>
      <c r="AH452" s="225"/>
      <c r="AI452" s="225"/>
      <c r="AJ452" s="225"/>
      <c r="AK452" s="225"/>
      <c r="AL452" s="225"/>
      <c r="AM452" s="225"/>
      <c r="AN452" s="225"/>
      <c r="AO452" s="225"/>
      <c r="AP452" s="225"/>
      <c r="AQ452" s="225"/>
      <c r="AR452" s="225"/>
    </row>
    <row r="453" spans="1:44" ht="15.75" customHeight="1">
      <c r="A453" s="131"/>
      <c r="B453" s="131"/>
      <c r="C453" s="131"/>
      <c r="D453" s="131"/>
      <c r="E453" s="131"/>
      <c r="F453" s="131"/>
      <c r="G453" s="131"/>
      <c r="H453" s="131"/>
      <c r="I453" s="131"/>
      <c r="J453" s="131"/>
      <c r="K453" s="131"/>
      <c r="L453" s="225"/>
      <c r="M453" s="225"/>
      <c r="N453" s="225"/>
      <c r="O453" s="225"/>
      <c r="P453" s="225"/>
      <c r="Q453" s="225"/>
      <c r="R453" s="225"/>
      <c r="S453" s="225"/>
      <c r="T453" s="225"/>
      <c r="U453" s="225"/>
      <c r="V453" s="225"/>
      <c r="W453" s="225"/>
      <c r="X453" s="225"/>
      <c r="Y453" s="225"/>
      <c r="Z453" s="225"/>
      <c r="AA453" s="225"/>
      <c r="AB453" s="225"/>
      <c r="AC453" s="225"/>
      <c r="AD453" s="225"/>
      <c r="AE453" s="225"/>
      <c r="AF453" s="225"/>
      <c r="AG453" s="225"/>
      <c r="AH453" s="225"/>
      <c r="AI453" s="225"/>
      <c r="AJ453" s="225"/>
      <c r="AK453" s="225"/>
      <c r="AL453" s="225"/>
      <c r="AM453" s="225"/>
      <c r="AN453" s="225"/>
      <c r="AO453" s="225"/>
      <c r="AP453" s="225"/>
      <c r="AQ453" s="225"/>
      <c r="AR453" s="225"/>
    </row>
    <row r="454" spans="1:44" ht="15.75" customHeight="1">
      <c r="A454" s="131"/>
      <c r="B454" s="131"/>
      <c r="C454" s="131"/>
      <c r="D454" s="131"/>
      <c r="E454" s="131"/>
      <c r="F454" s="131"/>
      <c r="G454" s="131"/>
      <c r="H454" s="131"/>
      <c r="I454" s="131"/>
      <c r="J454" s="131"/>
      <c r="K454" s="131"/>
      <c r="L454" s="225"/>
      <c r="M454" s="225"/>
      <c r="N454" s="225"/>
      <c r="O454" s="225"/>
      <c r="P454" s="225"/>
      <c r="Q454" s="225"/>
      <c r="R454" s="225"/>
      <c r="S454" s="225"/>
      <c r="T454" s="225"/>
      <c r="U454" s="225"/>
      <c r="V454" s="225"/>
      <c r="W454" s="225"/>
      <c r="X454" s="225"/>
      <c r="Y454" s="225"/>
      <c r="Z454" s="225"/>
      <c r="AA454" s="225"/>
      <c r="AB454" s="225"/>
      <c r="AC454" s="225"/>
      <c r="AD454" s="225"/>
      <c r="AE454" s="225"/>
      <c r="AF454" s="225"/>
      <c r="AG454" s="225"/>
      <c r="AH454" s="225"/>
      <c r="AI454" s="225"/>
      <c r="AJ454" s="225"/>
      <c r="AK454" s="225"/>
      <c r="AL454" s="225"/>
      <c r="AM454" s="225"/>
      <c r="AN454" s="225"/>
      <c r="AO454" s="225"/>
      <c r="AP454" s="225"/>
      <c r="AQ454" s="225"/>
      <c r="AR454" s="225"/>
    </row>
    <row r="455" spans="1:44" ht="15.75" customHeight="1">
      <c r="A455" s="131"/>
      <c r="B455" s="131"/>
      <c r="C455" s="131"/>
      <c r="D455" s="131"/>
      <c r="E455" s="131"/>
      <c r="F455" s="131"/>
      <c r="G455" s="131"/>
      <c r="H455" s="131"/>
      <c r="I455" s="131"/>
      <c r="J455" s="131"/>
      <c r="K455" s="131"/>
      <c r="L455" s="225"/>
      <c r="M455" s="225"/>
      <c r="N455" s="225"/>
      <c r="O455" s="225"/>
      <c r="P455" s="225"/>
      <c r="Q455" s="225"/>
      <c r="R455" s="225"/>
      <c r="S455" s="225"/>
      <c r="T455" s="225"/>
      <c r="U455" s="225"/>
      <c r="V455" s="225"/>
      <c r="W455" s="225"/>
      <c r="X455" s="225"/>
      <c r="Y455" s="225"/>
      <c r="Z455" s="225"/>
      <c r="AA455" s="225"/>
      <c r="AB455" s="225"/>
      <c r="AC455" s="225"/>
      <c r="AD455" s="225"/>
      <c r="AE455" s="225"/>
      <c r="AF455" s="225"/>
      <c r="AG455" s="225"/>
      <c r="AH455" s="225"/>
      <c r="AI455" s="225"/>
      <c r="AJ455" s="225"/>
      <c r="AK455" s="225"/>
      <c r="AL455" s="225"/>
      <c r="AM455" s="225"/>
      <c r="AN455" s="225"/>
      <c r="AO455" s="225"/>
      <c r="AP455" s="225"/>
      <c r="AQ455" s="225"/>
      <c r="AR455" s="225"/>
    </row>
    <row r="456" spans="1:44" ht="15.75" customHeight="1">
      <c r="A456" s="131"/>
      <c r="B456" s="131"/>
      <c r="C456" s="131"/>
      <c r="D456" s="131"/>
      <c r="E456" s="131"/>
      <c r="F456" s="131"/>
      <c r="G456" s="131"/>
      <c r="H456" s="131"/>
      <c r="I456" s="131"/>
      <c r="J456" s="131"/>
      <c r="K456" s="131"/>
      <c r="L456" s="225"/>
      <c r="M456" s="225"/>
      <c r="N456" s="225"/>
      <c r="O456" s="225"/>
      <c r="P456" s="225"/>
      <c r="Q456" s="225"/>
      <c r="R456" s="225"/>
      <c r="S456" s="225"/>
      <c r="T456" s="225"/>
      <c r="U456" s="225"/>
      <c r="V456" s="225"/>
      <c r="W456" s="225"/>
      <c r="X456" s="225"/>
      <c r="Y456" s="225"/>
      <c r="Z456" s="225"/>
      <c r="AA456" s="225"/>
      <c r="AB456" s="225"/>
      <c r="AC456" s="225"/>
      <c r="AD456" s="225"/>
      <c r="AE456" s="225"/>
      <c r="AF456" s="225"/>
      <c r="AG456" s="225"/>
      <c r="AH456" s="225"/>
      <c r="AI456" s="225"/>
      <c r="AJ456" s="225"/>
      <c r="AK456" s="225"/>
      <c r="AL456" s="225"/>
      <c r="AM456" s="225"/>
      <c r="AN456" s="225"/>
      <c r="AO456" s="225"/>
      <c r="AP456" s="225"/>
      <c r="AQ456" s="225"/>
      <c r="AR456" s="225"/>
    </row>
    <row r="457" spans="1:44" ht="15.75" customHeight="1">
      <c r="A457" s="131"/>
      <c r="B457" s="131"/>
      <c r="C457" s="131"/>
      <c r="D457" s="131"/>
      <c r="E457" s="131"/>
      <c r="F457" s="131"/>
      <c r="G457" s="131"/>
      <c r="H457" s="131"/>
      <c r="I457" s="131"/>
      <c r="J457" s="131"/>
      <c r="K457" s="131"/>
      <c r="L457" s="225"/>
      <c r="M457" s="225"/>
      <c r="N457" s="225"/>
      <c r="O457" s="225"/>
      <c r="P457" s="225"/>
      <c r="Q457" s="225"/>
      <c r="R457" s="225"/>
      <c r="S457" s="225"/>
      <c r="T457" s="225"/>
      <c r="U457" s="225"/>
      <c r="V457" s="225"/>
      <c r="W457" s="225"/>
      <c r="X457" s="225"/>
      <c r="Y457" s="225"/>
      <c r="Z457" s="225"/>
      <c r="AA457" s="225"/>
      <c r="AB457" s="225"/>
      <c r="AC457" s="225"/>
      <c r="AD457" s="225"/>
      <c r="AE457" s="225"/>
      <c r="AF457" s="225"/>
      <c r="AG457" s="225"/>
      <c r="AH457" s="225"/>
      <c r="AI457" s="225"/>
      <c r="AJ457" s="225"/>
      <c r="AK457" s="225"/>
      <c r="AL457" s="225"/>
      <c r="AM457" s="225"/>
      <c r="AN457" s="225"/>
      <c r="AO457" s="225"/>
      <c r="AP457" s="225"/>
      <c r="AQ457" s="225"/>
      <c r="AR457" s="225"/>
    </row>
    <row r="458" spans="1:44" ht="15.75" customHeight="1">
      <c r="A458" s="131"/>
      <c r="B458" s="131"/>
      <c r="C458" s="131"/>
      <c r="D458" s="131"/>
      <c r="E458" s="131"/>
      <c r="F458" s="131"/>
      <c r="G458" s="131"/>
      <c r="H458" s="131"/>
      <c r="I458" s="131"/>
      <c r="J458" s="131"/>
      <c r="K458" s="131"/>
      <c r="L458" s="225"/>
      <c r="M458" s="225"/>
      <c r="N458" s="225"/>
      <c r="O458" s="225"/>
      <c r="P458" s="225"/>
      <c r="Q458" s="225"/>
      <c r="R458" s="225"/>
      <c r="S458" s="225"/>
      <c r="T458" s="225"/>
      <c r="U458" s="225"/>
      <c r="V458" s="225"/>
      <c r="W458" s="225"/>
      <c r="X458" s="225"/>
      <c r="Y458" s="225"/>
      <c r="Z458" s="225"/>
      <c r="AA458" s="225"/>
      <c r="AB458" s="225"/>
      <c r="AC458" s="225"/>
      <c r="AD458" s="225"/>
      <c r="AE458" s="225"/>
      <c r="AF458" s="225"/>
      <c r="AG458" s="225"/>
      <c r="AH458" s="225"/>
      <c r="AI458" s="225"/>
      <c r="AJ458" s="225"/>
      <c r="AK458" s="225"/>
      <c r="AL458" s="225"/>
      <c r="AM458" s="225"/>
      <c r="AN458" s="225"/>
      <c r="AO458" s="225"/>
      <c r="AP458" s="225"/>
      <c r="AQ458" s="225"/>
      <c r="AR458" s="225"/>
    </row>
    <row r="459" spans="1:44" ht="15.75" customHeight="1">
      <c r="A459" s="131"/>
      <c r="B459" s="131"/>
      <c r="C459" s="131"/>
      <c r="D459" s="131"/>
      <c r="E459" s="131"/>
      <c r="F459" s="131"/>
      <c r="G459" s="131"/>
      <c r="H459" s="131"/>
      <c r="I459" s="131"/>
      <c r="J459" s="131"/>
      <c r="K459" s="131"/>
      <c r="L459" s="225"/>
      <c r="M459" s="225"/>
      <c r="N459" s="225"/>
      <c r="O459" s="225"/>
      <c r="P459" s="225"/>
      <c r="Q459" s="225"/>
      <c r="R459" s="225"/>
      <c r="S459" s="225"/>
      <c r="T459" s="225"/>
      <c r="U459" s="225"/>
      <c r="V459" s="225"/>
      <c r="W459" s="225"/>
      <c r="X459" s="225"/>
      <c r="Y459" s="225"/>
      <c r="Z459" s="225"/>
      <c r="AA459" s="225"/>
      <c r="AB459" s="225"/>
      <c r="AC459" s="225"/>
      <c r="AD459" s="225"/>
      <c r="AE459" s="225"/>
      <c r="AF459" s="225"/>
      <c r="AG459" s="225"/>
      <c r="AH459" s="225"/>
      <c r="AI459" s="225"/>
      <c r="AJ459" s="225"/>
      <c r="AK459" s="225"/>
      <c r="AL459" s="225"/>
      <c r="AM459" s="225"/>
      <c r="AN459" s="225"/>
      <c r="AO459" s="225"/>
      <c r="AP459" s="225"/>
      <c r="AQ459" s="225"/>
      <c r="AR459" s="225"/>
    </row>
    <row r="460" spans="1:44" ht="15.75" customHeight="1">
      <c r="A460" s="131"/>
      <c r="B460" s="131"/>
      <c r="C460" s="131"/>
      <c r="D460" s="131"/>
      <c r="E460" s="131"/>
      <c r="F460" s="131"/>
      <c r="G460" s="131"/>
      <c r="H460" s="131"/>
      <c r="I460" s="131"/>
      <c r="J460" s="131"/>
      <c r="K460" s="131"/>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row>
    <row r="461" spans="1:44" ht="15.75" customHeight="1">
      <c r="A461" s="131"/>
      <c r="B461" s="131"/>
      <c r="C461" s="131"/>
      <c r="D461" s="131"/>
      <c r="E461" s="131"/>
      <c r="F461" s="131"/>
      <c r="G461" s="131"/>
      <c r="H461" s="131"/>
      <c r="I461" s="131"/>
      <c r="J461" s="131"/>
      <c r="K461" s="131"/>
      <c r="L461" s="225"/>
      <c r="M461" s="225"/>
      <c r="N461" s="225"/>
      <c r="O461" s="225"/>
      <c r="P461" s="225"/>
      <c r="Q461" s="225"/>
      <c r="R461" s="225"/>
      <c r="S461" s="225"/>
      <c r="T461" s="225"/>
      <c r="U461" s="225"/>
      <c r="V461" s="225"/>
      <c r="W461" s="225"/>
      <c r="X461" s="225"/>
      <c r="Y461" s="225"/>
      <c r="Z461" s="225"/>
      <c r="AA461" s="225"/>
      <c r="AB461" s="225"/>
      <c r="AC461" s="225"/>
      <c r="AD461" s="225"/>
      <c r="AE461" s="225"/>
      <c r="AF461" s="225"/>
      <c r="AG461" s="225"/>
      <c r="AH461" s="225"/>
      <c r="AI461" s="225"/>
      <c r="AJ461" s="225"/>
      <c r="AK461" s="225"/>
      <c r="AL461" s="225"/>
      <c r="AM461" s="225"/>
      <c r="AN461" s="225"/>
      <c r="AO461" s="225"/>
      <c r="AP461" s="225"/>
      <c r="AQ461" s="225"/>
      <c r="AR461" s="225"/>
    </row>
    <row r="462" spans="1:44" ht="15.75" customHeight="1">
      <c r="A462" s="131"/>
      <c r="B462" s="131"/>
      <c r="C462" s="131"/>
      <c r="D462" s="131"/>
      <c r="E462" s="131"/>
      <c r="F462" s="131"/>
      <c r="G462" s="131"/>
      <c r="H462" s="131"/>
      <c r="I462" s="131"/>
      <c r="J462" s="131"/>
      <c r="K462" s="131"/>
      <c r="L462" s="225"/>
      <c r="M462" s="225"/>
      <c r="N462" s="225"/>
      <c r="O462" s="225"/>
      <c r="P462" s="225"/>
      <c r="Q462" s="225"/>
      <c r="R462" s="225"/>
      <c r="S462" s="225"/>
      <c r="T462" s="225"/>
      <c r="U462" s="225"/>
      <c r="V462" s="225"/>
      <c r="W462" s="225"/>
      <c r="X462" s="225"/>
      <c r="Y462" s="225"/>
      <c r="Z462" s="225"/>
      <c r="AA462" s="225"/>
      <c r="AB462" s="225"/>
      <c r="AC462" s="225"/>
      <c r="AD462" s="225"/>
      <c r="AE462" s="225"/>
      <c r="AF462" s="225"/>
      <c r="AG462" s="225"/>
      <c r="AH462" s="225"/>
      <c r="AI462" s="225"/>
      <c r="AJ462" s="225"/>
      <c r="AK462" s="225"/>
      <c r="AL462" s="225"/>
      <c r="AM462" s="225"/>
      <c r="AN462" s="225"/>
      <c r="AO462" s="225"/>
      <c r="AP462" s="225"/>
      <c r="AQ462" s="225"/>
      <c r="AR462" s="225"/>
    </row>
    <row r="463" spans="1:44" ht="15.75" customHeight="1">
      <c r="A463" s="131"/>
      <c r="B463" s="131"/>
      <c r="C463" s="131"/>
      <c r="D463" s="131"/>
      <c r="E463" s="131"/>
      <c r="F463" s="131"/>
      <c r="G463" s="131"/>
      <c r="H463" s="131"/>
      <c r="I463" s="131"/>
      <c r="J463" s="131"/>
      <c r="K463" s="131"/>
      <c r="L463" s="225"/>
      <c r="M463" s="225"/>
      <c r="N463" s="225"/>
      <c r="O463" s="225"/>
      <c r="P463" s="225"/>
      <c r="Q463" s="225"/>
      <c r="R463" s="225"/>
      <c r="S463" s="225"/>
      <c r="T463" s="225"/>
      <c r="U463" s="225"/>
      <c r="V463" s="225"/>
      <c r="W463" s="225"/>
      <c r="X463" s="225"/>
      <c r="Y463" s="225"/>
      <c r="Z463" s="225"/>
      <c r="AA463" s="225"/>
      <c r="AB463" s="225"/>
      <c r="AC463" s="225"/>
      <c r="AD463" s="225"/>
      <c r="AE463" s="225"/>
      <c r="AF463" s="225"/>
      <c r="AG463" s="225"/>
      <c r="AH463" s="225"/>
      <c r="AI463" s="225"/>
      <c r="AJ463" s="225"/>
      <c r="AK463" s="225"/>
      <c r="AL463" s="225"/>
      <c r="AM463" s="225"/>
      <c r="AN463" s="225"/>
      <c r="AO463" s="225"/>
      <c r="AP463" s="225"/>
      <c r="AQ463" s="225"/>
      <c r="AR463" s="225"/>
    </row>
    <row r="464" spans="1:44" ht="15.75" customHeight="1">
      <c r="A464" s="131"/>
      <c r="B464" s="131"/>
      <c r="C464" s="131"/>
      <c r="D464" s="131"/>
      <c r="E464" s="131"/>
      <c r="F464" s="131"/>
      <c r="G464" s="131"/>
      <c r="H464" s="131"/>
      <c r="I464" s="131"/>
      <c r="J464" s="131"/>
      <c r="K464" s="131"/>
      <c r="L464" s="225"/>
      <c r="M464" s="225"/>
      <c r="N464" s="225"/>
      <c r="O464" s="225"/>
      <c r="P464" s="225"/>
      <c r="Q464" s="225"/>
      <c r="R464" s="225"/>
      <c r="S464" s="225"/>
      <c r="T464" s="225"/>
      <c r="U464" s="225"/>
      <c r="V464" s="225"/>
      <c r="W464" s="225"/>
      <c r="X464" s="225"/>
      <c r="Y464" s="225"/>
      <c r="Z464" s="225"/>
      <c r="AA464" s="225"/>
      <c r="AB464" s="225"/>
      <c r="AC464" s="225"/>
      <c r="AD464" s="225"/>
      <c r="AE464" s="225"/>
      <c r="AF464" s="225"/>
      <c r="AG464" s="225"/>
      <c r="AH464" s="225"/>
      <c r="AI464" s="225"/>
      <c r="AJ464" s="225"/>
      <c r="AK464" s="225"/>
      <c r="AL464" s="225"/>
      <c r="AM464" s="225"/>
      <c r="AN464" s="225"/>
      <c r="AO464" s="225"/>
      <c r="AP464" s="225"/>
      <c r="AQ464" s="225"/>
      <c r="AR464" s="225"/>
    </row>
    <row r="465" spans="1:44" ht="15.75" customHeight="1">
      <c r="A465" s="131"/>
      <c r="B465" s="131"/>
      <c r="C465" s="131"/>
      <c r="D465" s="131"/>
      <c r="E465" s="131"/>
      <c r="F465" s="131"/>
      <c r="G465" s="131"/>
      <c r="H465" s="131"/>
      <c r="I465" s="131"/>
      <c r="J465" s="131"/>
      <c r="K465" s="131"/>
      <c r="L465" s="225"/>
      <c r="M465" s="225"/>
      <c r="N465" s="225"/>
      <c r="O465" s="225"/>
      <c r="P465" s="225"/>
      <c r="Q465" s="225"/>
      <c r="R465" s="225"/>
      <c r="S465" s="225"/>
      <c r="T465" s="225"/>
      <c r="U465" s="225"/>
      <c r="V465" s="225"/>
      <c r="W465" s="225"/>
      <c r="X465" s="225"/>
      <c r="Y465" s="225"/>
      <c r="Z465" s="225"/>
      <c r="AA465" s="225"/>
      <c r="AB465" s="225"/>
      <c r="AC465" s="225"/>
      <c r="AD465" s="225"/>
      <c r="AE465" s="225"/>
      <c r="AF465" s="225"/>
      <c r="AG465" s="225"/>
      <c r="AH465" s="225"/>
      <c r="AI465" s="225"/>
      <c r="AJ465" s="225"/>
      <c r="AK465" s="225"/>
      <c r="AL465" s="225"/>
      <c r="AM465" s="225"/>
      <c r="AN465" s="225"/>
      <c r="AO465" s="225"/>
      <c r="AP465" s="225"/>
      <c r="AQ465" s="225"/>
      <c r="AR465" s="225"/>
    </row>
    <row r="466" spans="1:44" ht="15.75" customHeight="1">
      <c r="A466" s="131"/>
      <c r="B466" s="131"/>
      <c r="C466" s="131"/>
      <c r="D466" s="131"/>
      <c r="E466" s="131"/>
      <c r="F466" s="131"/>
      <c r="G466" s="131"/>
      <c r="H466" s="131"/>
      <c r="I466" s="131"/>
      <c r="J466" s="131"/>
      <c r="K466" s="131"/>
      <c r="L466" s="225"/>
      <c r="M466" s="225"/>
      <c r="N466" s="225"/>
      <c r="O466" s="225"/>
      <c r="P466" s="225"/>
      <c r="Q466" s="225"/>
      <c r="R466" s="225"/>
      <c r="S466" s="225"/>
      <c r="T466" s="225"/>
      <c r="U466" s="225"/>
      <c r="V466" s="225"/>
      <c r="W466" s="225"/>
      <c r="X466" s="225"/>
      <c r="Y466" s="225"/>
      <c r="Z466" s="225"/>
      <c r="AA466" s="225"/>
      <c r="AB466" s="225"/>
      <c r="AC466" s="225"/>
      <c r="AD466" s="225"/>
      <c r="AE466" s="225"/>
      <c r="AF466" s="225"/>
      <c r="AG466" s="225"/>
      <c r="AH466" s="225"/>
      <c r="AI466" s="225"/>
      <c r="AJ466" s="225"/>
      <c r="AK466" s="225"/>
      <c r="AL466" s="225"/>
      <c r="AM466" s="225"/>
      <c r="AN466" s="225"/>
      <c r="AO466" s="225"/>
      <c r="AP466" s="225"/>
      <c r="AQ466" s="225"/>
      <c r="AR466" s="225"/>
    </row>
    <row r="467" spans="1:44" ht="15.75" customHeight="1">
      <c r="A467" s="131"/>
      <c r="B467" s="131"/>
      <c r="C467" s="131"/>
      <c r="D467" s="131"/>
      <c r="E467" s="131"/>
      <c r="F467" s="131"/>
      <c r="G467" s="131"/>
      <c r="H467" s="131"/>
      <c r="I467" s="131"/>
      <c r="J467" s="131"/>
      <c r="K467" s="131"/>
      <c r="L467" s="225"/>
      <c r="M467" s="225"/>
      <c r="N467" s="225"/>
      <c r="O467" s="225"/>
      <c r="P467" s="225"/>
      <c r="Q467" s="225"/>
      <c r="R467" s="225"/>
      <c r="S467" s="225"/>
      <c r="T467" s="225"/>
      <c r="U467" s="225"/>
      <c r="V467" s="225"/>
      <c r="W467" s="225"/>
      <c r="X467" s="225"/>
      <c r="Y467" s="225"/>
      <c r="Z467" s="225"/>
      <c r="AA467" s="225"/>
      <c r="AB467" s="225"/>
      <c r="AC467" s="225"/>
      <c r="AD467" s="225"/>
      <c r="AE467" s="225"/>
      <c r="AF467" s="225"/>
      <c r="AG467" s="225"/>
      <c r="AH467" s="225"/>
      <c r="AI467" s="225"/>
      <c r="AJ467" s="225"/>
      <c r="AK467" s="225"/>
      <c r="AL467" s="225"/>
      <c r="AM467" s="225"/>
      <c r="AN467" s="225"/>
      <c r="AO467" s="225"/>
      <c r="AP467" s="225"/>
      <c r="AQ467" s="225"/>
      <c r="AR467" s="225"/>
    </row>
    <row r="468" spans="1:44" ht="15.75" customHeight="1">
      <c r="A468" s="131"/>
      <c r="B468" s="131"/>
      <c r="C468" s="131"/>
      <c r="D468" s="131"/>
      <c r="E468" s="131"/>
      <c r="F468" s="131"/>
      <c r="G468" s="131"/>
      <c r="H468" s="131"/>
      <c r="I468" s="131"/>
      <c r="J468" s="131"/>
      <c r="K468" s="131"/>
      <c r="L468" s="225"/>
      <c r="M468" s="225"/>
      <c r="N468" s="225"/>
      <c r="O468" s="225"/>
      <c r="P468" s="225"/>
      <c r="Q468" s="225"/>
      <c r="R468" s="225"/>
      <c r="S468" s="225"/>
      <c r="T468" s="225"/>
      <c r="U468" s="225"/>
      <c r="V468" s="225"/>
      <c r="W468" s="225"/>
      <c r="X468" s="225"/>
      <c r="Y468" s="225"/>
      <c r="Z468" s="225"/>
      <c r="AA468" s="225"/>
      <c r="AB468" s="225"/>
      <c r="AC468" s="225"/>
      <c r="AD468" s="225"/>
      <c r="AE468" s="225"/>
      <c r="AF468" s="225"/>
      <c r="AG468" s="225"/>
      <c r="AH468" s="225"/>
      <c r="AI468" s="225"/>
      <c r="AJ468" s="225"/>
      <c r="AK468" s="225"/>
      <c r="AL468" s="225"/>
      <c r="AM468" s="225"/>
      <c r="AN468" s="225"/>
      <c r="AO468" s="225"/>
      <c r="AP468" s="225"/>
      <c r="AQ468" s="225"/>
      <c r="AR468" s="225"/>
    </row>
    <row r="469" spans="1:44" ht="15.75" customHeight="1">
      <c r="A469" s="131"/>
      <c r="B469" s="131"/>
      <c r="C469" s="131"/>
      <c r="D469" s="131"/>
      <c r="E469" s="131"/>
      <c r="F469" s="131"/>
      <c r="G469" s="131"/>
      <c r="H469" s="131"/>
      <c r="I469" s="131"/>
      <c r="J469" s="131"/>
      <c r="K469" s="131"/>
      <c r="L469" s="225"/>
      <c r="M469" s="225"/>
      <c r="N469" s="225"/>
      <c r="O469" s="225"/>
      <c r="P469" s="225"/>
      <c r="Q469" s="225"/>
      <c r="R469" s="225"/>
      <c r="S469" s="225"/>
      <c r="T469" s="225"/>
      <c r="U469" s="225"/>
      <c r="V469" s="225"/>
      <c r="W469" s="225"/>
      <c r="X469" s="225"/>
      <c r="Y469" s="225"/>
      <c r="Z469" s="225"/>
      <c r="AA469" s="225"/>
      <c r="AB469" s="225"/>
      <c r="AC469" s="225"/>
      <c r="AD469" s="225"/>
      <c r="AE469" s="225"/>
      <c r="AF469" s="225"/>
      <c r="AG469" s="225"/>
      <c r="AH469" s="225"/>
      <c r="AI469" s="225"/>
      <c r="AJ469" s="225"/>
      <c r="AK469" s="225"/>
      <c r="AL469" s="225"/>
      <c r="AM469" s="225"/>
      <c r="AN469" s="225"/>
      <c r="AO469" s="225"/>
      <c r="AP469" s="225"/>
      <c r="AQ469" s="225"/>
      <c r="AR469" s="225"/>
    </row>
    <row r="470" spans="1:44" ht="15.75" customHeight="1">
      <c r="A470" s="131"/>
      <c r="B470" s="131"/>
      <c r="C470" s="131"/>
      <c r="D470" s="131"/>
      <c r="E470" s="131"/>
      <c r="F470" s="131"/>
      <c r="G470" s="131"/>
      <c r="H470" s="131"/>
      <c r="I470" s="131"/>
      <c r="J470" s="131"/>
      <c r="K470" s="131"/>
      <c r="L470" s="225"/>
      <c r="M470" s="225"/>
      <c r="N470" s="225"/>
      <c r="O470" s="225"/>
      <c r="P470" s="225"/>
      <c r="Q470" s="225"/>
      <c r="R470" s="225"/>
      <c r="S470" s="225"/>
      <c r="T470" s="225"/>
      <c r="U470" s="225"/>
      <c r="V470" s="225"/>
      <c r="W470" s="225"/>
      <c r="X470" s="225"/>
      <c r="Y470" s="225"/>
      <c r="Z470" s="225"/>
      <c r="AA470" s="225"/>
      <c r="AB470" s="225"/>
      <c r="AC470" s="225"/>
      <c r="AD470" s="225"/>
      <c r="AE470" s="225"/>
      <c r="AF470" s="225"/>
      <c r="AG470" s="225"/>
      <c r="AH470" s="225"/>
      <c r="AI470" s="225"/>
      <c r="AJ470" s="225"/>
      <c r="AK470" s="225"/>
      <c r="AL470" s="225"/>
      <c r="AM470" s="225"/>
      <c r="AN470" s="225"/>
      <c r="AO470" s="225"/>
      <c r="AP470" s="225"/>
      <c r="AQ470" s="225"/>
      <c r="AR470" s="225"/>
    </row>
    <row r="471" spans="1:44" ht="15.75" customHeight="1">
      <c r="A471" s="131"/>
      <c r="B471" s="131"/>
      <c r="C471" s="131"/>
      <c r="D471" s="131"/>
      <c r="E471" s="131"/>
      <c r="F471" s="131"/>
      <c r="G471" s="131"/>
      <c r="H471" s="131"/>
      <c r="I471" s="131"/>
      <c r="J471" s="131"/>
      <c r="K471" s="131"/>
      <c r="L471" s="225"/>
      <c r="M471" s="225"/>
      <c r="N471" s="225"/>
      <c r="O471" s="225"/>
      <c r="P471" s="225"/>
      <c r="Q471" s="225"/>
      <c r="R471" s="225"/>
      <c r="S471" s="225"/>
      <c r="T471" s="225"/>
      <c r="U471" s="225"/>
      <c r="V471" s="225"/>
      <c r="W471" s="225"/>
      <c r="X471" s="225"/>
      <c r="Y471" s="225"/>
      <c r="Z471" s="225"/>
      <c r="AA471" s="225"/>
      <c r="AB471" s="225"/>
      <c r="AC471" s="225"/>
      <c r="AD471" s="225"/>
      <c r="AE471" s="225"/>
      <c r="AF471" s="225"/>
      <c r="AG471" s="225"/>
      <c r="AH471" s="225"/>
      <c r="AI471" s="225"/>
      <c r="AJ471" s="225"/>
      <c r="AK471" s="225"/>
      <c r="AL471" s="225"/>
      <c r="AM471" s="225"/>
      <c r="AN471" s="225"/>
      <c r="AO471" s="225"/>
      <c r="AP471" s="225"/>
      <c r="AQ471" s="225"/>
      <c r="AR471" s="225"/>
    </row>
    <row r="472" spans="1:44" ht="15.75" customHeight="1">
      <c r="A472" s="131"/>
      <c r="B472" s="131"/>
      <c r="C472" s="131"/>
      <c r="D472" s="131"/>
      <c r="E472" s="131"/>
      <c r="F472" s="131"/>
      <c r="G472" s="131"/>
      <c r="H472" s="131"/>
      <c r="I472" s="131"/>
      <c r="J472" s="131"/>
      <c r="K472" s="131"/>
      <c r="L472" s="225"/>
      <c r="M472" s="225"/>
      <c r="N472" s="225"/>
      <c r="O472" s="225"/>
      <c r="P472" s="225"/>
      <c r="Q472" s="225"/>
      <c r="R472" s="225"/>
      <c r="S472" s="225"/>
      <c r="T472" s="225"/>
      <c r="U472" s="225"/>
      <c r="V472" s="225"/>
      <c r="W472" s="225"/>
      <c r="X472" s="225"/>
      <c r="Y472" s="225"/>
      <c r="Z472" s="225"/>
      <c r="AA472" s="225"/>
      <c r="AB472" s="225"/>
      <c r="AC472" s="225"/>
      <c r="AD472" s="225"/>
      <c r="AE472" s="225"/>
      <c r="AF472" s="225"/>
      <c r="AG472" s="225"/>
      <c r="AH472" s="225"/>
      <c r="AI472" s="225"/>
      <c r="AJ472" s="225"/>
      <c r="AK472" s="225"/>
      <c r="AL472" s="225"/>
      <c r="AM472" s="225"/>
      <c r="AN472" s="225"/>
      <c r="AO472" s="225"/>
      <c r="AP472" s="225"/>
      <c r="AQ472" s="225"/>
      <c r="AR472" s="225"/>
    </row>
    <row r="473" spans="1:44" ht="15.75" customHeight="1">
      <c r="A473" s="131"/>
      <c r="B473" s="131"/>
      <c r="C473" s="131"/>
      <c r="D473" s="131"/>
      <c r="E473" s="131"/>
      <c r="F473" s="131"/>
      <c r="G473" s="131"/>
      <c r="H473" s="131"/>
      <c r="I473" s="131"/>
      <c r="J473" s="131"/>
      <c r="K473" s="131"/>
      <c r="L473" s="225"/>
      <c r="M473" s="225"/>
      <c r="N473" s="225"/>
      <c r="O473" s="225"/>
      <c r="P473" s="225"/>
      <c r="Q473" s="225"/>
      <c r="R473" s="225"/>
      <c r="S473" s="225"/>
      <c r="T473" s="225"/>
      <c r="U473" s="225"/>
      <c r="V473" s="225"/>
      <c r="W473" s="225"/>
      <c r="X473" s="225"/>
      <c r="Y473" s="225"/>
      <c r="Z473" s="225"/>
      <c r="AA473" s="225"/>
      <c r="AB473" s="225"/>
      <c r="AC473" s="225"/>
      <c r="AD473" s="225"/>
      <c r="AE473" s="225"/>
      <c r="AF473" s="225"/>
      <c r="AG473" s="225"/>
      <c r="AH473" s="225"/>
      <c r="AI473" s="225"/>
      <c r="AJ473" s="225"/>
      <c r="AK473" s="225"/>
      <c r="AL473" s="225"/>
      <c r="AM473" s="225"/>
      <c r="AN473" s="225"/>
      <c r="AO473" s="225"/>
      <c r="AP473" s="225"/>
      <c r="AQ473" s="225"/>
      <c r="AR473" s="225"/>
    </row>
    <row r="474" spans="1:44" ht="15.75" customHeight="1">
      <c r="A474" s="131"/>
      <c r="B474" s="131"/>
      <c r="C474" s="131"/>
      <c r="D474" s="131"/>
      <c r="E474" s="131"/>
      <c r="F474" s="131"/>
      <c r="G474" s="131"/>
      <c r="H474" s="131"/>
      <c r="I474" s="131"/>
      <c r="J474" s="131"/>
      <c r="K474" s="131"/>
      <c r="L474" s="225"/>
      <c r="M474" s="225"/>
      <c r="N474" s="225"/>
      <c r="O474" s="225"/>
      <c r="P474" s="225"/>
      <c r="Q474" s="225"/>
      <c r="R474" s="225"/>
      <c r="S474" s="225"/>
      <c r="T474" s="225"/>
      <c r="U474" s="225"/>
      <c r="V474" s="225"/>
      <c r="W474" s="225"/>
      <c r="X474" s="225"/>
      <c r="Y474" s="225"/>
      <c r="Z474" s="225"/>
      <c r="AA474" s="225"/>
      <c r="AB474" s="225"/>
      <c r="AC474" s="225"/>
      <c r="AD474" s="225"/>
      <c r="AE474" s="225"/>
      <c r="AF474" s="225"/>
      <c r="AG474" s="225"/>
      <c r="AH474" s="225"/>
      <c r="AI474" s="225"/>
      <c r="AJ474" s="225"/>
      <c r="AK474" s="225"/>
      <c r="AL474" s="225"/>
      <c r="AM474" s="225"/>
      <c r="AN474" s="225"/>
      <c r="AO474" s="225"/>
      <c r="AP474" s="225"/>
      <c r="AQ474" s="225"/>
      <c r="AR474" s="225"/>
    </row>
    <row r="475" spans="1:44" ht="15.75" customHeight="1">
      <c r="A475" s="131"/>
      <c r="B475" s="131"/>
      <c r="C475" s="131"/>
      <c r="D475" s="131"/>
      <c r="E475" s="131"/>
      <c r="F475" s="131"/>
      <c r="G475" s="131"/>
      <c r="H475" s="131"/>
      <c r="I475" s="131"/>
      <c r="J475" s="131"/>
      <c r="K475" s="131"/>
      <c r="L475" s="225"/>
      <c r="M475" s="225"/>
      <c r="N475" s="225"/>
      <c r="O475" s="225"/>
      <c r="P475" s="225"/>
      <c r="Q475" s="225"/>
      <c r="R475" s="225"/>
      <c r="S475" s="225"/>
      <c r="T475" s="225"/>
      <c r="U475" s="225"/>
      <c r="V475" s="225"/>
      <c r="W475" s="225"/>
      <c r="X475" s="225"/>
      <c r="Y475" s="225"/>
      <c r="Z475" s="225"/>
      <c r="AA475" s="225"/>
      <c r="AB475" s="225"/>
      <c r="AC475" s="225"/>
      <c r="AD475" s="225"/>
      <c r="AE475" s="225"/>
      <c r="AF475" s="225"/>
      <c r="AG475" s="225"/>
      <c r="AH475" s="225"/>
      <c r="AI475" s="225"/>
      <c r="AJ475" s="225"/>
      <c r="AK475" s="225"/>
      <c r="AL475" s="225"/>
      <c r="AM475" s="225"/>
      <c r="AN475" s="225"/>
      <c r="AO475" s="225"/>
      <c r="AP475" s="225"/>
      <c r="AQ475" s="225"/>
      <c r="AR475" s="225"/>
    </row>
    <row r="476" spans="1:44" ht="15.75" customHeight="1">
      <c r="A476" s="131"/>
      <c r="B476" s="131"/>
      <c r="C476" s="131"/>
      <c r="D476" s="131"/>
      <c r="E476" s="131"/>
      <c r="F476" s="131"/>
      <c r="G476" s="131"/>
      <c r="H476" s="131"/>
      <c r="I476" s="131"/>
      <c r="J476" s="131"/>
      <c r="K476" s="131"/>
      <c r="L476" s="225"/>
      <c r="M476" s="225"/>
      <c r="N476" s="225"/>
      <c r="O476" s="225"/>
      <c r="P476" s="225"/>
      <c r="Q476" s="225"/>
      <c r="R476" s="225"/>
      <c r="S476" s="225"/>
      <c r="T476" s="225"/>
      <c r="U476" s="225"/>
      <c r="V476" s="225"/>
      <c r="W476" s="225"/>
      <c r="X476" s="225"/>
      <c r="Y476" s="225"/>
      <c r="Z476" s="225"/>
      <c r="AA476" s="225"/>
      <c r="AB476" s="225"/>
      <c r="AC476" s="225"/>
      <c r="AD476" s="225"/>
      <c r="AE476" s="225"/>
      <c r="AF476" s="225"/>
      <c r="AG476" s="225"/>
      <c r="AH476" s="225"/>
      <c r="AI476" s="225"/>
      <c r="AJ476" s="225"/>
      <c r="AK476" s="225"/>
      <c r="AL476" s="225"/>
      <c r="AM476" s="225"/>
      <c r="AN476" s="225"/>
      <c r="AO476" s="225"/>
      <c r="AP476" s="225"/>
      <c r="AQ476" s="225"/>
      <c r="AR476" s="225"/>
    </row>
    <row r="477" spans="1:44" ht="15.75" customHeight="1">
      <c r="A477" s="131"/>
      <c r="B477" s="131"/>
      <c r="C477" s="131"/>
      <c r="D477" s="131"/>
      <c r="E477" s="131"/>
      <c r="F477" s="131"/>
      <c r="G477" s="131"/>
      <c r="H477" s="131"/>
      <c r="I477" s="131"/>
      <c r="J477" s="131"/>
      <c r="K477" s="131"/>
      <c r="L477" s="225"/>
      <c r="M477" s="225"/>
      <c r="N477" s="225"/>
      <c r="O477" s="225"/>
      <c r="P477" s="225"/>
      <c r="Q477" s="225"/>
      <c r="R477" s="225"/>
      <c r="S477" s="225"/>
      <c r="T477" s="225"/>
      <c r="U477" s="225"/>
      <c r="V477" s="225"/>
      <c r="W477" s="225"/>
      <c r="X477" s="225"/>
      <c r="Y477" s="225"/>
      <c r="Z477" s="225"/>
      <c r="AA477" s="225"/>
      <c r="AB477" s="225"/>
      <c r="AC477" s="225"/>
      <c r="AD477" s="225"/>
      <c r="AE477" s="225"/>
      <c r="AF477" s="225"/>
      <c r="AG477" s="225"/>
      <c r="AH477" s="225"/>
      <c r="AI477" s="225"/>
      <c r="AJ477" s="225"/>
      <c r="AK477" s="225"/>
      <c r="AL477" s="225"/>
      <c r="AM477" s="225"/>
      <c r="AN477" s="225"/>
      <c r="AO477" s="225"/>
      <c r="AP477" s="225"/>
      <c r="AQ477" s="225"/>
      <c r="AR477" s="225"/>
    </row>
    <row r="478" spans="1:44" ht="15.75" customHeight="1">
      <c r="A478" s="131"/>
      <c r="B478" s="131"/>
      <c r="C478" s="131"/>
      <c r="D478" s="131"/>
      <c r="E478" s="131"/>
      <c r="F478" s="131"/>
      <c r="G478" s="131"/>
      <c r="H478" s="131"/>
      <c r="I478" s="131"/>
      <c r="J478" s="131"/>
      <c r="K478" s="131"/>
      <c r="L478" s="225"/>
      <c r="M478" s="225"/>
      <c r="N478" s="225"/>
      <c r="O478" s="225"/>
      <c r="P478" s="225"/>
      <c r="Q478" s="225"/>
      <c r="R478" s="225"/>
      <c r="S478" s="225"/>
      <c r="T478" s="225"/>
      <c r="U478" s="225"/>
      <c r="V478" s="225"/>
      <c r="W478" s="225"/>
      <c r="X478" s="225"/>
      <c r="Y478" s="225"/>
      <c r="Z478" s="225"/>
      <c r="AA478" s="225"/>
      <c r="AB478" s="225"/>
      <c r="AC478" s="225"/>
      <c r="AD478" s="225"/>
      <c r="AE478" s="225"/>
      <c r="AF478" s="225"/>
      <c r="AG478" s="225"/>
      <c r="AH478" s="225"/>
      <c r="AI478" s="225"/>
      <c r="AJ478" s="225"/>
      <c r="AK478" s="225"/>
      <c r="AL478" s="225"/>
      <c r="AM478" s="225"/>
      <c r="AN478" s="225"/>
      <c r="AO478" s="225"/>
      <c r="AP478" s="225"/>
      <c r="AQ478" s="225"/>
      <c r="AR478" s="225"/>
    </row>
    <row r="479" spans="1:44" ht="15.75" customHeight="1">
      <c r="A479" s="131"/>
      <c r="B479" s="131"/>
      <c r="C479" s="131"/>
      <c r="D479" s="131"/>
      <c r="E479" s="131"/>
      <c r="F479" s="131"/>
      <c r="G479" s="131"/>
      <c r="H479" s="131"/>
      <c r="I479" s="131"/>
      <c r="J479" s="131"/>
      <c r="K479" s="131"/>
      <c r="L479" s="225"/>
      <c r="M479" s="225"/>
      <c r="N479" s="225"/>
      <c r="O479" s="225"/>
      <c r="P479" s="225"/>
      <c r="Q479" s="225"/>
      <c r="R479" s="225"/>
      <c r="S479" s="225"/>
      <c r="T479" s="225"/>
      <c r="U479" s="225"/>
      <c r="V479" s="225"/>
      <c r="W479" s="225"/>
      <c r="X479" s="225"/>
      <c r="Y479" s="225"/>
      <c r="Z479" s="225"/>
      <c r="AA479" s="225"/>
      <c r="AB479" s="225"/>
      <c r="AC479" s="225"/>
      <c r="AD479" s="225"/>
      <c r="AE479" s="225"/>
      <c r="AF479" s="225"/>
      <c r="AG479" s="225"/>
      <c r="AH479" s="225"/>
      <c r="AI479" s="225"/>
      <c r="AJ479" s="225"/>
      <c r="AK479" s="225"/>
      <c r="AL479" s="225"/>
      <c r="AM479" s="225"/>
      <c r="AN479" s="225"/>
      <c r="AO479" s="225"/>
      <c r="AP479" s="225"/>
      <c r="AQ479" s="225"/>
      <c r="AR479" s="225"/>
    </row>
    <row r="480" spans="1:44" ht="15.75" customHeight="1">
      <c r="A480" s="131"/>
      <c r="B480" s="131"/>
      <c r="C480" s="131"/>
      <c r="D480" s="131"/>
      <c r="E480" s="131"/>
      <c r="F480" s="131"/>
      <c r="G480" s="131"/>
      <c r="H480" s="131"/>
      <c r="I480" s="131"/>
      <c r="J480" s="131"/>
      <c r="K480" s="131"/>
      <c r="L480" s="225"/>
      <c r="M480" s="225"/>
      <c r="N480" s="225"/>
      <c r="O480" s="225"/>
      <c r="P480" s="225"/>
      <c r="Q480" s="225"/>
      <c r="R480" s="225"/>
      <c r="S480" s="225"/>
      <c r="T480" s="225"/>
      <c r="U480" s="225"/>
      <c r="V480" s="225"/>
      <c r="W480" s="225"/>
      <c r="X480" s="225"/>
      <c r="Y480" s="225"/>
      <c r="Z480" s="225"/>
      <c r="AA480" s="225"/>
      <c r="AB480" s="225"/>
      <c r="AC480" s="225"/>
      <c r="AD480" s="225"/>
      <c r="AE480" s="225"/>
      <c r="AF480" s="225"/>
      <c r="AG480" s="225"/>
      <c r="AH480" s="225"/>
      <c r="AI480" s="225"/>
      <c r="AJ480" s="225"/>
      <c r="AK480" s="225"/>
      <c r="AL480" s="225"/>
      <c r="AM480" s="225"/>
      <c r="AN480" s="225"/>
      <c r="AO480" s="225"/>
      <c r="AP480" s="225"/>
      <c r="AQ480" s="225"/>
      <c r="AR480" s="225"/>
    </row>
    <row r="481" spans="1:44" ht="15.75" customHeight="1">
      <c r="A481" s="131"/>
      <c r="B481" s="131"/>
      <c r="C481" s="131"/>
      <c r="D481" s="131"/>
      <c r="E481" s="131"/>
      <c r="F481" s="131"/>
      <c r="G481" s="131"/>
      <c r="H481" s="131"/>
      <c r="I481" s="131"/>
      <c r="J481" s="131"/>
      <c r="K481" s="131"/>
      <c r="L481" s="225"/>
      <c r="M481" s="225"/>
      <c r="N481" s="225"/>
      <c r="O481" s="225"/>
      <c r="P481" s="225"/>
      <c r="Q481" s="225"/>
      <c r="R481" s="225"/>
      <c r="S481" s="225"/>
      <c r="T481" s="225"/>
      <c r="U481" s="225"/>
      <c r="V481" s="225"/>
      <c r="W481" s="225"/>
      <c r="X481" s="225"/>
      <c r="Y481" s="225"/>
      <c r="Z481" s="225"/>
      <c r="AA481" s="225"/>
      <c r="AB481" s="225"/>
      <c r="AC481" s="225"/>
      <c r="AD481" s="225"/>
      <c r="AE481" s="225"/>
      <c r="AF481" s="225"/>
      <c r="AG481" s="225"/>
      <c r="AH481" s="225"/>
      <c r="AI481" s="225"/>
      <c r="AJ481" s="225"/>
      <c r="AK481" s="225"/>
      <c r="AL481" s="225"/>
      <c r="AM481" s="225"/>
      <c r="AN481" s="225"/>
      <c r="AO481" s="225"/>
      <c r="AP481" s="225"/>
      <c r="AQ481" s="225"/>
      <c r="AR481" s="225"/>
    </row>
    <row r="482" spans="1:44" ht="15.75" customHeight="1">
      <c r="A482" s="131"/>
      <c r="B482" s="131"/>
      <c r="C482" s="131"/>
      <c r="D482" s="131"/>
      <c r="E482" s="131"/>
      <c r="F482" s="131"/>
      <c r="G482" s="131"/>
      <c r="H482" s="131"/>
      <c r="I482" s="131"/>
      <c r="J482" s="131"/>
      <c r="K482" s="131"/>
      <c r="L482" s="225"/>
      <c r="M482" s="225"/>
      <c r="N482" s="225"/>
      <c r="O482" s="225"/>
      <c r="P482" s="225"/>
      <c r="Q482" s="225"/>
      <c r="R482" s="225"/>
      <c r="S482" s="225"/>
      <c r="T482" s="225"/>
      <c r="U482" s="225"/>
      <c r="V482" s="225"/>
      <c r="W482" s="225"/>
      <c r="X482" s="225"/>
      <c r="Y482" s="225"/>
      <c r="Z482" s="225"/>
      <c r="AA482" s="225"/>
      <c r="AB482" s="225"/>
      <c r="AC482" s="225"/>
      <c r="AD482" s="225"/>
      <c r="AE482" s="225"/>
      <c r="AF482" s="225"/>
      <c r="AG482" s="225"/>
      <c r="AH482" s="225"/>
      <c r="AI482" s="225"/>
      <c r="AJ482" s="225"/>
      <c r="AK482" s="225"/>
      <c r="AL482" s="225"/>
      <c r="AM482" s="225"/>
      <c r="AN482" s="225"/>
      <c r="AO482" s="225"/>
      <c r="AP482" s="225"/>
      <c r="AQ482" s="225"/>
      <c r="AR482" s="225"/>
    </row>
    <row r="483" spans="1:44" ht="15.75" customHeight="1">
      <c r="A483" s="131"/>
      <c r="B483" s="131"/>
      <c r="C483" s="131"/>
      <c r="D483" s="131"/>
      <c r="E483" s="131"/>
      <c r="F483" s="131"/>
      <c r="G483" s="131"/>
      <c r="H483" s="131"/>
      <c r="I483" s="131"/>
      <c r="J483" s="131"/>
      <c r="K483" s="131"/>
      <c r="L483" s="225"/>
      <c r="M483" s="225"/>
      <c r="N483" s="225"/>
      <c r="O483" s="225"/>
      <c r="P483" s="225"/>
      <c r="Q483" s="225"/>
      <c r="R483" s="225"/>
      <c r="S483" s="225"/>
      <c r="T483" s="225"/>
      <c r="U483" s="225"/>
      <c r="V483" s="225"/>
      <c r="W483" s="225"/>
      <c r="X483" s="225"/>
      <c r="Y483" s="225"/>
      <c r="Z483" s="225"/>
      <c r="AA483" s="225"/>
      <c r="AB483" s="225"/>
      <c r="AC483" s="225"/>
      <c r="AD483" s="225"/>
      <c r="AE483" s="225"/>
      <c r="AF483" s="225"/>
      <c r="AG483" s="225"/>
      <c r="AH483" s="225"/>
      <c r="AI483" s="225"/>
      <c r="AJ483" s="225"/>
      <c r="AK483" s="225"/>
      <c r="AL483" s="225"/>
      <c r="AM483" s="225"/>
      <c r="AN483" s="225"/>
      <c r="AO483" s="225"/>
      <c r="AP483" s="225"/>
      <c r="AQ483" s="225"/>
      <c r="AR483" s="225"/>
    </row>
    <row r="484" spans="1:44" ht="15.75" customHeight="1">
      <c r="A484" s="131"/>
      <c r="B484" s="131"/>
      <c r="C484" s="131"/>
      <c r="D484" s="131"/>
      <c r="E484" s="131"/>
      <c r="F484" s="131"/>
      <c r="G484" s="131"/>
      <c r="H484" s="131"/>
      <c r="I484" s="131"/>
      <c r="J484" s="131"/>
      <c r="K484" s="131"/>
      <c r="L484" s="225"/>
      <c r="M484" s="225"/>
      <c r="N484" s="225"/>
      <c r="O484" s="225"/>
      <c r="P484" s="225"/>
      <c r="Q484" s="225"/>
      <c r="R484" s="225"/>
      <c r="S484" s="225"/>
      <c r="T484" s="225"/>
      <c r="U484" s="225"/>
      <c r="V484" s="225"/>
      <c r="W484" s="225"/>
      <c r="X484" s="225"/>
      <c r="Y484" s="225"/>
      <c r="Z484" s="225"/>
      <c r="AA484" s="225"/>
      <c r="AB484" s="225"/>
      <c r="AC484" s="225"/>
      <c r="AD484" s="225"/>
      <c r="AE484" s="225"/>
      <c r="AF484" s="225"/>
      <c r="AG484" s="225"/>
      <c r="AH484" s="225"/>
      <c r="AI484" s="225"/>
      <c r="AJ484" s="225"/>
      <c r="AK484" s="225"/>
      <c r="AL484" s="225"/>
      <c r="AM484" s="225"/>
      <c r="AN484" s="225"/>
      <c r="AO484" s="225"/>
      <c r="AP484" s="225"/>
      <c r="AQ484" s="225"/>
      <c r="AR484" s="225"/>
    </row>
    <row r="485" spans="1:44" ht="15.75" customHeight="1">
      <c r="A485" s="131"/>
      <c r="B485" s="131"/>
      <c r="C485" s="131"/>
      <c r="D485" s="131"/>
      <c r="E485" s="131"/>
      <c r="F485" s="131"/>
      <c r="G485" s="131"/>
      <c r="H485" s="131"/>
      <c r="I485" s="131"/>
      <c r="J485" s="131"/>
      <c r="K485" s="131"/>
      <c r="L485" s="225"/>
      <c r="M485" s="225"/>
      <c r="N485" s="225"/>
      <c r="O485" s="225"/>
      <c r="P485" s="225"/>
      <c r="Q485" s="225"/>
      <c r="R485" s="225"/>
      <c r="S485" s="225"/>
      <c r="T485" s="225"/>
      <c r="U485" s="225"/>
      <c r="V485" s="225"/>
      <c r="W485" s="225"/>
      <c r="X485" s="225"/>
      <c r="Y485" s="225"/>
      <c r="Z485" s="225"/>
      <c r="AA485" s="225"/>
      <c r="AB485" s="225"/>
      <c r="AC485" s="225"/>
      <c r="AD485" s="225"/>
      <c r="AE485" s="225"/>
      <c r="AF485" s="225"/>
      <c r="AG485" s="225"/>
      <c r="AH485" s="225"/>
      <c r="AI485" s="225"/>
      <c r="AJ485" s="225"/>
      <c r="AK485" s="225"/>
      <c r="AL485" s="225"/>
      <c r="AM485" s="225"/>
      <c r="AN485" s="225"/>
      <c r="AO485" s="225"/>
      <c r="AP485" s="225"/>
      <c r="AQ485" s="225"/>
      <c r="AR485" s="225"/>
    </row>
    <row r="486" spans="1:44" ht="15.75" customHeight="1">
      <c r="A486" s="131"/>
      <c r="B486" s="131"/>
      <c r="C486" s="131"/>
      <c r="D486" s="131"/>
      <c r="E486" s="131"/>
      <c r="F486" s="131"/>
      <c r="G486" s="131"/>
      <c r="H486" s="131"/>
      <c r="I486" s="131"/>
      <c r="J486" s="131"/>
      <c r="K486" s="131"/>
      <c r="L486" s="225"/>
      <c r="M486" s="225"/>
      <c r="N486" s="225"/>
      <c r="O486" s="225"/>
      <c r="P486" s="225"/>
      <c r="Q486" s="225"/>
      <c r="R486" s="225"/>
      <c r="S486" s="225"/>
      <c r="T486" s="225"/>
      <c r="U486" s="225"/>
      <c r="V486" s="225"/>
      <c r="W486" s="225"/>
      <c r="X486" s="225"/>
      <c r="Y486" s="225"/>
      <c r="Z486" s="225"/>
      <c r="AA486" s="225"/>
      <c r="AB486" s="225"/>
      <c r="AC486" s="225"/>
      <c r="AD486" s="225"/>
      <c r="AE486" s="225"/>
      <c r="AF486" s="225"/>
      <c r="AG486" s="225"/>
      <c r="AH486" s="225"/>
      <c r="AI486" s="225"/>
      <c r="AJ486" s="225"/>
      <c r="AK486" s="225"/>
      <c r="AL486" s="225"/>
      <c r="AM486" s="225"/>
      <c r="AN486" s="225"/>
      <c r="AO486" s="225"/>
      <c r="AP486" s="225"/>
      <c r="AQ486" s="225"/>
      <c r="AR486" s="225"/>
    </row>
    <row r="487" spans="1:44" ht="15.75" customHeight="1">
      <c r="A487" s="131"/>
      <c r="B487" s="131"/>
      <c r="C487" s="131"/>
      <c r="D487" s="131"/>
      <c r="E487" s="131"/>
      <c r="F487" s="131"/>
      <c r="G487" s="131"/>
      <c r="H487" s="131"/>
      <c r="I487" s="131"/>
      <c r="J487" s="131"/>
      <c r="K487" s="131"/>
      <c r="L487" s="225"/>
      <c r="M487" s="225"/>
      <c r="N487" s="225"/>
      <c r="O487" s="225"/>
      <c r="P487" s="225"/>
      <c r="Q487" s="225"/>
      <c r="R487" s="225"/>
      <c r="S487" s="225"/>
      <c r="T487" s="225"/>
      <c r="U487" s="225"/>
      <c r="V487" s="225"/>
      <c r="W487" s="225"/>
      <c r="X487" s="225"/>
      <c r="Y487" s="225"/>
      <c r="Z487" s="225"/>
      <c r="AA487" s="225"/>
      <c r="AB487" s="225"/>
      <c r="AC487" s="225"/>
      <c r="AD487" s="225"/>
      <c r="AE487" s="225"/>
      <c r="AF487" s="225"/>
      <c r="AG487" s="225"/>
      <c r="AH487" s="225"/>
      <c r="AI487" s="225"/>
      <c r="AJ487" s="225"/>
      <c r="AK487" s="225"/>
      <c r="AL487" s="225"/>
      <c r="AM487" s="225"/>
      <c r="AN487" s="225"/>
      <c r="AO487" s="225"/>
      <c r="AP487" s="225"/>
      <c r="AQ487" s="225"/>
      <c r="AR487" s="225"/>
    </row>
    <row r="488" spans="1:44" ht="15.75" customHeight="1">
      <c r="A488" s="131"/>
      <c r="B488" s="131"/>
      <c r="C488" s="131"/>
      <c r="D488" s="131"/>
      <c r="E488" s="131"/>
      <c r="F488" s="131"/>
      <c r="G488" s="131"/>
      <c r="H488" s="131"/>
      <c r="I488" s="131"/>
      <c r="J488" s="131"/>
      <c r="K488" s="131"/>
      <c r="L488" s="225"/>
      <c r="M488" s="225"/>
      <c r="N488" s="225"/>
      <c r="O488" s="225"/>
      <c r="P488" s="225"/>
      <c r="Q488" s="225"/>
      <c r="R488" s="225"/>
      <c r="S488" s="225"/>
      <c r="T488" s="225"/>
      <c r="U488" s="225"/>
      <c r="V488" s="225"/>
      <c r="W488" s="225"/>
      <c r="X488" s="225"/>
      <c r="Y488" s="225"/>
      <c r="Z488" s="225"/>
      <c r="AA488" s="225"/>
      <c r="AB488" s="225"/>
      <c r="AC488" s="225"/>
      <c r="AD488" s="225"/>
      <c r="AE488" s="225"/>
      <c r="AF488" s="225"/>
      <c r="AG488" s="225"/>
      <c r="AH488" s="225"/>
      <c r="AI488" s="225"/>
      <c r="AJ488" s="225"/>
      <c r="AK488" s="225"/>
      <c r="AL488" s="225"/>
      <c r="AM488" s="225"/>
      <c r="AN488" s="225"/>
      <c r="AO488" s="225"/>
      <c r="AP488" s="225"/>
      <c r="AQ488" s="225"/>
      <c r="AR488" s="225"/>
    </row>
    <row r="489" spans="1:44" ht="15.75" customHeight="1">
      <c r="A489" s="131"/>
      <c r="B489" s="131"/>
      <c r="C489" s="131"/>
      <c r="D489" s="131"/>
      <c r="E489" s="131"/>
      <c r="F489" s="131"/>
      <c r="G489" s="131"/>
      <c r="H489" s="131"/>
      <c r="I489" s="131"/>
      <c r="J489" s="131"/>
      <c r="K489" s="131"/>
      <c r="L489" s="225"/>
      <c r="M489" s="225"/>
      <c r="N489" s="225"/>
      <c r="O489" s="225"/>
      <c r="P489" s="225"/>
      <c r="Q489" s="225"/>
      <c r="R489" s="225"/>
      <c r="S489" s="225"/>
      <c r="T489" s="225"/>
      <c r="U489" s="225"/>
      <c r="V489" s="225"/>
      <c r="W489" s="225"/>
      <c r="X489" s="225"/>
      <c r="Y489" s="225"/>
      <c r="Z489" s="225"/>
      <c r="AA489" s="225"/>
      <c r="AB489" s="225"/>
      <c r="AC489" s="225"/>
      <c r="AD489" s="225"/>
      <c r="AE489" s="225"/>
      <c r="AF489" s="225"/>
      <c r="AG489" s="225"/>
      <c r="AH489" s="225"/>
      <c r="AI489" s="225"/>
      <c r="AJ489" s="225"/>
      <c r="AK489" s="225"/>
      <c r="AL489" s="225"/>
      <c r="AM489" s="225"/>
      <c r="AN489" s="225"/>
      <c r="AO489" s="225"/>
      <c r="AP489" s="225"/>
      <c r="AQ489" s="225"/>
      <c r="AR489" s="225"/>
    </row>
    <row r="490" spans="1:44" ht="15.75" customHeight="1">
      <c r="A490" s="131"/>
      <c r="B490" s="131"/>
      <c r="C490" s="131"/>
      <c r="D490" s="131"/>
      <c r="E490" s="131"/>
      <c r="F490" s="131"/>
      <c r="G490" s="131"/>
      <c r="H490" s="131"/>
      <c r="I490" s="131"/>
      <c r="J490" s="131"/>
      <c r="K490" s="131"/>
      <c r="L490" s="225"/>
      <c r="M490" s="225"/>
      <c r="N490" s="225"/>
      <c r="O490" s="225"/>
      <c r="P490" s="225"/>
      <c r="Q490" s="225"/>
      <c r="R490" s="225"/>
      <c r="S490" s="225"/>
      <c r="T490" s="225"/>
      <c r="U490" s="225"/>
      <c r="V490" s="225"/>
      <c r="W490" s="225"/>
      <c r="X490" s="225"/>
      <c r="Y490" s="225"/>
      <c r="Z490" s="225"/>
      <c r="AA490" s="225"/>
      <c r="AB490" s="225"/>
      <c r="AC490" s="225"/>
      <c r="AD490" s="225"/>
      <c r="AE490" s="225"/>
      <c r="AF490" s="225"/>
      <c r="AG490" s="225"/>
      <c r="AH490" s="225"/>
      <c r="AI490" s="225"/>
      <c r="AJ490" s="225"/>
      <c r="AK490" s="225"/>
      <c r="AL490" s="225"/>
      <c r="AM490" s="225"/>
      <c r="AN490" s="225"/>
      <c r="AO490" s="225"/>
      <c r="AP490" s="225"/>
      <c r="AQ490" s="225"/>
      <c r="AR490" s="225"/>
    </row>
    <row r="491" spans="1:44" ht="15.75" customHeight="1">
      <c r="A491" s="131"/>
      <c r="B491" s="131"/>
      <c r="C491" s="131"/>
      <c r="D491" s="131"/>
      <c r="E491" s="131"/>
      <c r="F491" s="131"/>
      <c r="G491" s="131"/>
      <c r="H491" s="131"/>
      <c r="I491" s="131"/>
      <c r="J491" s="131"/>
      <c r="K491" s="131"/>
      <c r="L491" s="225"/>
      <c r="M491" s="225"/>
      <c r="N491" s="225"/>
      <c r="O491" s="225"/>
      <c r="P491" s="225"/>
      <c r="Q491" s="225"/>
      <c r="R491" s="225"/>
      <c r="S491" s="225"/>
      <c r="T491" s="225"/>
      <c r="U491" s="225"/>
      <c r="V491" s="225"/>
      <c r="W491" s="225"/>
      <c r="X491" s="225"/>
      <c r="Y491" s="225"/>
      <c r="Z491" s="225"/>
      <c r="AA491" s="225"/>
      <c r="AB491" s="225"/>
      <c r="AC491" s="225"/>
      <c r="AD491" s="225"/>
      <c r="AE491" s="225"/>
      <c r="AF491" s="225"/>
      <c r="AG491" s="225"/>
      <c r="AH491" s="225"/>
      <c r="AI491" s="225"/>
      <c r="AJ491" s="225"/>
      <c r="AK491" s="225"/>
      <c r="AL491" s="225"/>
      <c r="AM491" s="225"/>
      <c r="AN491" s="225"/>
      <c r="AO491" s="225"/>
      <c r="AP491" s="225"/>
      <c r="AQ491" s="225"/>
      <c r="AR491" s="225"/>
    </row>
    <row r="492" spans="1:44" ht="15.75" customHeight="1">
      <c r="A492" s="131"/>
      <c r="B492" s="131"/>
      <c r="C492" s="131"/>
      <c r="D492" s="131"/>
      <c r="E492" s="131"/>
      <c r="F492" s="131"/>
      <c r="G492" s="131"/>
      <c r="H492" s="131"/>
      <c r="I492" s="131"/>
      <c r="J492" s="131"/>
      <c r="K492" s="131"/>
      <c r="L492" s="225"/>
      <c r="M492" s="225"/>
      <c r="N492" s="225"/>
      <c r="O492" s="225"/>
      <c r="P492" s="225"/>
      <c r="Q492" s="225"/>
      <c r="R492" s="225"/>
      <c r="S492" s="225"/>
      <c r="T492" s="225"/>
      <c r="U492" s="225"/>
      <c r="V492" s="225"/>
      <c r="W492" s="225"/>
      <c r="X492" s="225"/>
      <c r="Y492" s="225"/>
      <c r="Z492" s="225"/>
      <c r="AA492" s="225"/>
      <c r="AB492" s="225"/>
      <c r="AC492" s="225"/>
      <c r="AD492" s="225"/>
      <c r="AE492" s="225"/>
      <c r="AF492" s="225"/>
      <c r="AG492" s="225"/>
      <c r="AH492" s="225"/>
      <c r="AI492" s="225"/>
      <c r="AJ492" s="225"/>
      <c r="AK492" s="225"/>
      <c r="AL492" s="225"/>
      <c r="AM492" s="225"/>
      <c r="AN492" s="225"/>
      <c r="AO492" s="225"/>
      <c r="AP492" s="225"/>
      <c r="AQ492" s="225"/>
      <c r="AR492" s="225"/>
    </row>
    <row r="493" spans="1:44" ht="15.75" customHeight="1">
      <c r="A493" s="131"/>
      <c r="B493" s="131"/>
      <c r="C493" s="131"/>
      <c r="D493" s="131"/>
      <c r="E493" s="131"/>
      <c r="F493" s="131"/>
      <c r="G493" s="131"/>
      <c r="H493" s="131"/>
      <c r="I493" s="131"/>
      <c r="J493" s="131"/>
      <c r="K493" s="131"/>
      <c r="L493" s="225"/>
      <c r="M493" s="225"/>
      <c r="N493" s="225"/>
      <c r="O493" s="225"/>
      <c r="P493" s="225"/>
      <c r="Q493" s="225"/>
      <c r="R493" s="225"/>
      <c r="S493" s="225"/>
      <c r="T493" s="225"/>
      <c r="U493" s="225"/>
      <c r="V493" s="225"/>
      <c r="W493" s="225"/>
      <c r="X493" s="225"/>
      <c r="Y493" s="225"/>
      <c r="Z493" s="225"/>
      <c r="AA493" s="225"/>
      <c r="AB493" s="225"/>
      <c r="AC493" s="225"/>
      <c r="AD493" s="225"/>
      <c r="AE493" s="225"/>
      <c r="AF493" s="225"/>
      <c r="AG493" s="225"/>
      <c r="AH493" s="225"/>
      <c r="AI493" s="225"/>
      <c r="AJ493" s="225"/>
      <c r="AK493" s="225"/>
      <c r="AL493" s="225"/>
      <c r="AM493" s="225"/>
      <c r="AN493" s="225"/>
      <c r="AO493" s="225"/>
      <c r="AP493" s="225"/>
      <c r="AQ493" s="225"/>
      <c r="AR493" s="225"/>
    </row>
    <row r="494" spans="1:44" ht="15.75" customHeight="1">
      <c r="A494" s="131"/>
      <c r="B494" s="131"/>
      <c r="C494" s="131"/>
      <c r="D494" s="131"/>
      <c r="E494" s="131"/>
      <c r="F494" s="131"/>
      <c r="G494" s="131"/>
      <c r="H494" s="131"/>
      <c r="I494" s="131"/>
      <c r="J494" s="131"/>
      <c r="K494" s="131"/>
      <c r="L494" s="225"/>
      <c r="M494" s="225"/>
      <c r="N494" s="225"/>
      <c r="O494" s="225"/>
      <c r="P494" s="225"/>
      <c r="Q494" s="225"/>
      <c r="R494" s="225"/>
      <c r="S494" s="225"/>
      <c r="T494" s="225"/>
      <c r="U494" s="225"/>
      <c r="V494" s="225"/>
      <c r="W494" s="225"/>
      <c r="X494" s="225"/>
      <c r="Y494" s="225"/>
      <c r="Z494" s="225"/>
      <c r="AA494" s="225"/>
      <c r="AB494" s="225"/>
      <c r="AC494" s="225"/>
      <c r="AD494" s="225"/>
      <c r="AE494" s="225"/>
      <c r="AF494" s="225"/>
      <c r="AG494" s="225"/>
      <c r="AH494" s="225"/>
      <c r="AI494" s="225"/>
      <c r="AJ494" s="225"/>
      <c r="AK494" s="225"/>
      <c r="AL494" s="225"/>
      <c r="AM494" s="225"/>
      <c r="AN494" s="225"/>
      <c r="AO494" s="225"/>
      <c r="AP494" s="225"/>
      <c r="AQ494" s="225"/>
      <c r="AR494" s="225"/>
    </row>
    <row r="495" spans="1:44" ht="15.75" customHeight="1">
      <c r="A495" s="131"/>
      <c r="B495" s="131"/>
      <c r="C495" s="131"/>
      <c r="D495" s="131"/>
      <c r="E495" s="131"/>
      <c r="F495" s="131"/>
      <c r="G495" s="131"/>
      <c r="H495" s="131"/>
      <c r="I495" s="131"/>
      <c r="J495" s="131"/>
      <c r="K495" s="131"/>
      <c r="L495" s="225"/>
      <c r="M495" s="225"/>
      <c r="N495" s="225"/>
      <c r="O495" s="225"/>
      <c r="P495" s="225"/>
      <c r="Q495" s="225"/>
      <c r="R495" s="225"/>
      <c r="S495" s="225"/>
      <c r="T495" s="225"/>
      <c r="U495" s="225"/>
      <c r="V495" s="225"/>
      <c r="W495" s="225"/>
      <c r="X495" s="225"/>
      <c r="Y495" s="225"/>
      <c r="Z495" s="225"/>
      <c r="AA495" s="225"/>
      <c r="AB495" s="225"/>
      <c r="AC495" s="225"/>
      <c r="AD495" s="225"/>
      <c r="AE495" s="225"/>
      <c r="AF495" s="225"/>
      <c r="AG495" s="225"/>
      <c r="AH495" s="225"/>
      <c r="AI495" s="225"/>
      <c r="AJ495" s="225"/>
      <c r="AK495" s="225"/>
      <c r="AL495" s="225"/>
      <c r="AM495" s="225"/>
      <c r="AN495" s="225"/>
      <c r="AO495" s="225"/>
      <c r="AP495" s="225"/>
      <c r="AQ495" s="225"/>
      <c r="AR495" s="225"/>
    </row>
    <row r="496" spans="1:44" ht="15.75" customHeight="1">
      <c r="A496" s="131"/>
      <c r="B496" s="131"/>
      <c r="C496" s="131"/>
      <c r="D496" s="131"/>
      <c r="E496" s="131"/>
      <c r="F496" s="131"/>
      <c r="G496" s="131"/>
      <c r="H496" s="131"/>
      <c r="I496" s="131"/>
      <c r="J496" s="131"/>
      <c r="K496" s="131"/>
      <c r="L496" s="225"/>
      <c r="M496" s="225"/>
      <c r="N496" s="225"/>
      <c r="O496" s="225"/>
      <c r="P496" s="225"/>
      <c r="Q496" s="225"/>
      <c r="R496" s="225"/>
      <c r="S496" s="225"/>
      <c r="T496" s="225"/>
      <c r="U496" s="225"/>
      <c r="V496" s="225"/>
      <c r="W496" s="225"/>
      <c r="X496" s="225"/>
      <c r="Y496" s="225"/>
      <c r="Z496" s="225"/>
      <c r="AA496" s="225"/>
      <c r="AB496" s="225"/>
      <c r="AC496" s="225"/>
      <c r="AD496" s="225"/>
      <c r="AE496" s="225"/>
      <c r="AF496" s="225"/>
      <c r="AG496" s="225"/>
      <c r="AH496" s="225"/>
      <c r="AI496" s="225"/>
      <c r="AJ496" s="225"/>
      <c r="AK496" s="225"/>
      <c r="AL496" s="225"/>
      <c r="AM496" s="225"/>
      <c r="AN496" s="225"/>
      <c r="AO496" s="225"/>
      <c r="AP496" s="225"/>
      <c r="AQ496" s="225"/>
      <c r="AR496" s="225"/>
    </row>
    <row r="497" spans="1:44" ht="15.75" customHeight="1">
      <c r="A497" s="131"/>
      <c r="B497" s="131"/>
      <c r="C497" s="131"/>
      <c r="D497" s="131"/>
      <c r="E497" s="131"/>
      <c r="F497" s="131"/>
      <c r="G497" s="131"/>
      <c r="H497" s="131"/>
      <c r="I497" s="131"/>
      <c r="J497" s="131"/>
      <c r="K497" s="131"/>
      <c r="L497" s="225"/>
      <c r="M497" s="225"/>
      <c r="N497" s="225"/>
      <c r="O497" s="225"/>
      <c r="P497" s="225"/>
      <c r="Q497" s="225"/>
      <c r="R497" s="225"/>
      <c r="S497" s="225"/>
      <c r="T497" s="225"/>
      <c r="U497" s="225"/>
      <c r="V497" s="225"/>
      <c r="W497" s="225"/>
      <c r="X497" s="225"/>
      <c r="Y497" s="225"/>
      <c r="Z497" s="225"/>
      <c r="AA497" s="225"/>
      <c r="AB497" s="225"/>
      <c r="AC497" s="225"/>
      <c r="AD497" s="225"/>
      <c r="AE497" s="225"/>
      <c r="AF497" s="225"/>
      <c r="AG497" s="225"/>
      <c r="AH497" s="225"/>
      <c r="AI497" s="225"/>
      <c r="AJ497" s="225"/>
      <c r="AK497" s="225"/>
      <c r="AL497" s="225"/>
      <c r="AM497" s="225"/>
      <c r="AN497" s="225"/>
      <c r="AO497" s="225"/>
      <c r="AP497" s="225"/>
      <c r="AQ497" s="225"/>
      <c r="AR497" s="225"/>
    </row>
    <row r="498" spans="1:44" ht="15.75" customHeight="1">
      <c r="A498" s="131"/>
      <c r="B498" s="131"/>
      <c r="C498" s="131"/>
      <c r="D498" s="131"/>
      <c r="E498" s="131"/>
      <c r="F498" s="131"/>
      <c r="G498" s="131"/>
      <c r="H498" s="131"/>
      <c r="I498" s="131"/>
      <c r="J498" s="131"/>
      <c r="K498" s="131"/>
      <c r="L498" s="225"/>
      <c r="M498" s="225"/>
      <c r="N498" s="225"/>
      <c r="O498" s="225"/>
      <c r="P498" s="225"/>
      <c r="Q498" s="225"/>
      <c r="R498" s="225"/>
      <c r="S498" s="225"/>
      <c r="T498" s="225"/>
      <c r="U498" s="225"/>
      <c r="V498" s="225"/>
      <c r="W498" s="225"/>
      <c r="X498" s="225"/>
      <c r="Y498" s="225"/>
      <c r="Z498" s="225"/>
      <c r="AA498" s="225"/>
      <c r="AB498" s="225"/>
      <c r="AC498" s="225"/>
      <c r="AD498" s="225"/>
      <c r="AE498" s="225"/>
      <c r="AF498" s="225"/>
      <c r="AG498" s="225"/>
      <c r="AH498" s="225"/>
      <c r="AI498" s="225"/>
      <c r="AJ498" s="225"/>
      <c r="AK498" s="225"/>
      <c r="AL498" s="225"/>
      <c r="AM498" s="225"/>
      <c r="AN498" s="225"/>
      <c r="AO498" s="225"/>
      <c r="AP498" s="225"/>
      <c r="AQ498" s="225"/>
      <c r="AR498" s="225"/>
    </row>
    <row r="499" spans="1:44" ht="15.75" customHeight="1">
      <c r="A499" s="131"/>
      <c r="B499" s="131"/>
      <c r="C499" s="131"/>
      <c r="D499" s="131"/>
      <c r="E499" s="131"/>
      <c r="F499" s="131"/>
      <c r="G499" s="131"/>
      <c r="H499" s="131"/>
      <c r="I499" s="131"/>
      <c r="J499" s="131"/>
      <c r="K499" s="131"/>
      <c r="L499" s="225"/>
      <c r="M499" s="225"/>
      <c r="N499" s="225"/>
      <c r="O499" s="225"/>
      <c r="P499" s="225"/>
      <c r="Q499" s="225"/>
      <c r="R499" s="225"/>
      <c r="S499" s="225"/>
      <c r="T499" s="225"/>
      <c r="U499" s="225"/>
      <c r="V499" s="225"/>
      <c r="W499" s="225"/>
      <c r="X499" s="225"/>
      <c r="Y499" s="225"/>
      <c r="Z499" s="225"/>
      <c r="AA499" s="225"/>
      <c r="AB499" s="225"/>
      <c r="AC499" s="225"/>
      <c r="AD499" s="225"/>
      <c r="AE499" s="225"/>
      <c r="AF499" s="225"/>
      <c r="AG499" s="225"/>
      <c r="AH499" s="225"/>
      <c r="AI499" s="225"/>
      <c r="AJ499" s="225"/>
      <c r="AK499" s="225"/>
      <c r="AL499" s="225"/>
      <c r="AM499" s="225"/>
      <c r="AN499" s="225"/>
      <c r="AO499" s="225"/>
      <c r="AP499" s="225"/>
      <c r="AQ499" s="225"/>
      <c r="AR499" s="225"/>
    </row>
    <row r="500" spans="1:44" ht="15.75" customHeight="1">
      <c r="A500" s="131"/>
      <c r="B500" s="131"/>
      <c r="C500" s="131"/>
      <c r="D500" s="131"/>
      <c r="E500" s="131"/>
      <c r="F500" s="131"/>
      <c r="G500" s="131"/>
      <c r="H500" s="131"/>
      <c r="I500" s="131"/>
      <c r="J500" s="131"/>
      <c r="K500" s="131"/>
      <c r="L500" s="225"/>
      <c r="M500" s="225"/>
      <c r="N500" s="225"/>
      <c r="O500" s="225"/>
      <c r="P500" s="225"/>
      <c r="Q500" s="225"/>
      <c r="R500" s="225"/>
      <c r="S500" s="225"/>
      <c r="T500" s="225"/>
      <c r="U500" s="225"/>
      <c r="V500" s="225"/>
      <c r="W500" s="225"/>
      <c r="X500" s="225"/>
      <c r="Y500" s="225"/>
      <c r="Z500" s="225"/>
      <c r="AA500" s="225"/>
      <c r="AB500" s="225"/>
      <c r="AC500" s="225"/>
      <c r="AD500" s="225"/>
      <c r="AE500" s="225"/>
      <c r="AF500" s="225"/>
      <c r="AG500" s="225"/>
      <c r="AH500" s="225"/>
      <c r="AI500" s="225"/>
      <c r="AJ500" s="225"/>
      <c r="AK500" s="225"/>
      <c r="AL500" s="225"/>
      <c r="AM500" s="225"/>
      <c r="AN500" s="225"/>
      <c r="AO500" s="225"/>
      <c r="AP500" s="225"/>
      <c r="AQ500" s="225"/>
      <c r="AR500" s="225"/>
    </row>
    <row r="501" spans="1:44" ht="15.75" customHeight="1">
      <c r="A501" s="131"/>
      <c r="B501" s="131"/>
      <c r="C501" s="131"/>
      <c r="D501" s="131"/>
      <c r="E501" s="131"/>
      <c r="F501" s="131"/>
      <c r="G501" s="131"/>
      <c r="H501" s="131"/>
      <c r="I501" s="131"/>
      <c r="J501" s="131"/>
      <c r="K501" s="131"/>
      <c r="L501" s="225"/>
      <c r="M501" s="225"/>
      <c r="N501" s="225"/>
      <c r="O501" s="225"/>
      <c r="P501" s="225"/>
      <c r="Q501" s="225"/>
      <c r="R501" s="225"/>
      <c r="S501" s="225"/>
      <c r="T501" s="225"/>
      <c r="U501" s="225"/>
      <c r="V501" s="225"/>
      <c r="W501" s="225"/>
      <c r="X501" s="225"/>
      <c r="Y501" s="225"/>
      <c r="Z501" s="225"/>
      <c r="AA501" s="225"/>
      <c r="AB501" s="225"/>
      <c r="AC501" s="225"/>
      <c r="AD501" s="225"/>
      <c r="AE501" s="225"/>
      <c r="AF501" s="225"/>
      <c r="AG501" s="225"/>
      <c r="AH501" s="225"/>
      <c r="AI501" s="225"/>
      <c r="AJ501" s="225"/>
      <c r="AK501" s="225"/>
      <c r="AL501" s="225"/>
      <c r="AM501" s="225"/>
      <c r="AN501" s="225"/>
      <c r="AO501" s="225"/>
      <c r="AP501" s="225"/>
      <c r="AQ501" s="225"/>
      <c r="AR501" s="225"/>
    </row>
    <row r="502" spans="1:44" ht="15.75" customHeight="1">
      <c r="A502" s="131"/>
      <c r="B502" s="131"/>
      <c r="C502" s="131"/>
      <c r="D502" s="131"/>
      <c r="E502" s="131"/>
      <c r="F502" s="131"/>
      <c r="G502" s="131"/>
      <c r="H502" s="131"/>
      <c r="I502" s="131"/>
      <c r="J502" s="131"/>
      <c r="K502" s="131"/>
      <c r="L502" s="225"/>
      <c r="M502" s="225"/>
      <c r="N502" s="225"/>
      <c r="O502" s="225"/>
      <c r="P502" s="225"/>
      <c r="Q502" s="225"/>
      <c r="R502" s="225"/>
      <c r="S502" s="225"/>
      <c r="T502" s="225"/>
      <c r="U502" s="225"/>
      <c r="V502" s="225"/>
      <c r="W502" s="225"/>
      <c r="X502" s="225"/>
      <c r="Y502" s="225"/>
      <c r="Z502" s="225"/>
      <c r="AA502" s="225"/>
      <c r="AB502" s="225"/>
      <c r="AC502" s="225"/>
      <c r="AD502" s="225"/>
      <c r="AE502" s="225"/>
      <c r="AF502" s="225"/>
      <c r="AG502" s="225"/>
      <c r="AH502" s="225"/>
      <c r="AI502" s="225"/>
      <c r="AJ502" s="225"/>
      <c r="AK502" s="225"/>
      <c r="AL502" s="225"/>
      <c r="AM502" s="225"/>
      <c r="AN502" s="225"/>
      <c r="AO502" s="225"/>
      <c r="AP502" s="225"/>
      <c r="AQ502" s="225"/>
      <c r="AR502" s="225"/>
    </row>
    <row r="503" spans="1:44" ht="15.75" customHeight="1">
      <c r="A503" s="131"/>
      <c r="B503" s="131"/>
      <c r="C503" s="131"/>
      <c r="D503" s="131"/>
      <c r="E503" s="131"/>
      <c r="F503" s="131"/>
      <c r="G503" s="131"/>
      <c r="H503" s="131"/>
      <c r="I503" s="131"/>
      <c r="J503" s="131"/>
      <c r="K503" s="131"/>
      <c r="L503" s="225"/>
      <c r="M503" s="225"/>
      <c r="N503" s="225"/>
      <c r="O503" s="225"/>
      <c r="P503" s="225"/>
      <c r="Q503" s="225"/>
      <c r="R503" s="225"/>
      <c r="S503" s="225"/>
      <c r="T503" s="225"/>
      <c r="U503" s="225"/>
      <c r="V503" s="225"/>
      <c r="W503" s="225"/>
      <c r="X503" s="225"/>
      <c r="Y503" s="225"/>
      <c r="Z503" s="225"/>
      <c r="AA503" s="225"/>
      <c r="AB503" s="225"/>
      <c r="AC503" s="225"/>
      <c r="AD503" s="225"/>
      <c r="AE503" s="225"/>
      <c r="AF503" s="225"/>
      <c r="AG503" s="225"/>
      <c r="AH503" s="225"/>
      <c r="AI503" s="225"/>
      <c r="AJ503" s="225"/>
      <c r="AK503" s="225"/>
      <c r="AL503" s="225"/>
      <c r="AM503" s="225"/>
      <c r="AN503" s="225"/>
      <c r="AO503" s="225"/>
      <c r="AP503" s="225"/>
      <c r="AQ503" s="225"/>
      <c r="AR503" s="225"/>
    </row>
    <row r="504" spans="1:44" ht="15.75" customHeight="1">
      <c r="A504" s="131"/>
      <c r="B504" s="131"/>
      <c r="C504" s="131"/>
      <c r="D504" s="131"/>
      <c r="E504" s="131"/>
      <c r="F504" s="131"/>
      <c r="G504" s="131"/>
      <c r="H504" s="131"/>
      <c r="I504" s="131"/>
      <c r="J504" s="131"/>
      <c r="K504" s="131"/>
      <c r="L504" s="225"/>
      <c r="M504" s="225"/>
      <c r="N504" s="225"/>
      <c r="O504" s="225"/>
      <c r="P504" s="225"/>
      <c r="Q504" s="225"/>
      <c r="R504" s="225"/>
      <c r="S504" s="225"/>
      <c r="T504" s="225"/>
      <c r="U504" s="225"/>
      <c r="V504" s="225"/>
      <c r="W504" s="225"/>
      <c r="X504" s="225"/>
      <c r="Y504" s="225"/>
      <c r="Z504" s="225"/>
      <c r="AA504" s="225"/>
      <c r="AB504" s="225"/>
      <c r="AC504" s="225"/>
      <c r="AD504" s="225"/>
      <c r="AE504" s="225"/>
      <c r="AF504" s="225"/>
      <c r="AG504" s="225"/>
      <c r="AH504" s="225"/>
      <c r="AI504" s="225"/>
      <c r="AJ504" s="225"/>
      <c r="AK504" s="225"/>
      <c r="AL504" s="225"/>
      <c r="AM504" s="225"/>
      <c r="AN504" s="225"/>
      <c r="AO504" s="225"/>
      <c r="AP504" s="225"/>
      <c r="AQ504" s="225"/>
      <c r="AR504" s="225"/>
    </row>
    <row r="505" spans="1:44" ht="15.75" customHeight="1">
      <c r="A505" s="131"/>
      <c r="B505" s="131"/>
      <c r="C505" s="131"/>
      <c r="D505" s="131"/>
      <c r="E505" s="131"/>
      <c r="F505" s="131"/>
      <c r="G505" s="131"/>
      <c r="H505" s="131"/>
      <c r="I505" s="131"/>
      <c r="J505" s="131"/>
      <c r="K505" s="131"/>
      <c r="L505" s="225"/>
      <c r="M505" s="225"/>
      <c r="N505" s="225"/>
      <c r="O505" s="225"/>
      <c r="P505" s="225"/>
      <c r="Q505" s="225"/>
      <c r="R505" s="225"/>
      <c r="S505" s="225"/>
      <c r="T505" s="225"/>
      <c r="U505" s="225"/>
      <c r="V505" s="225"/>
      <c r="W505" s="225"/>
      <c r="X505" s="225"/>
      <c r="Y505" s="225"/>
      <c r="Z505" s="225"/>
      <c r="AA505" s="225"/>
      <c r="AB505" s="225"/>
      <c r="AC505" s="225"/>
      <c r="AD505" s="225"/>
      <c r="AE505" s="225"/>
      <c r="AF505" s="225"/>
      <c r="AG505" s="225"/>
      <c r="AH505" s="225"/>
      <c r="AI505" s="225"/>
      <c r="AJ505" s="225"/>
      <c r="AK505" s="225"/>
      <c r="AL505" s="225"/>
      <c r="AM505" s="225"/>
      <c r="AN505" s="225"/>
      <c r="AO505" s="225"/>
      <c r="AP505" s="225"/>
      <c r="AQ505" s="225"/>
      <c r="AR505" s="225"/>
    </row>
    <row r="506" spans="1:44" ht="15.75" customHeight="1">
      <c r="A506" s="131"/>
      <c r="B506" s="131"/>
      <c r="C506" s="131"/>
      <c r="D506" s="131"/>
      <c r="E506" s="131"/>
      <c r="F506" s="131"/>
      <c r="G506" s="131"/>
      <c r="H506" s="131"/>
      <c r="I506" s="131"/>
      <c r="J506" s="131"/>
      <c r="K506" s="131"/>
      <c r="L506" s="225"/>
      <c r="M506" s="225"/>
      <c r="N506" s="225"/>
      <c r="O506" s="225"/>
      <c r="P506" s="225"/>
      <c r="Q506" s="225"/>
      <c r="R506" s="225"/>
      <c r="S506" s="225"/>
      <c r="T506" s="225"/>
      <c r="U506" s="225"/>
      <c r="V506" s="225"/>
      <c r="W506" s="225"/>
      <c r="X506" s="225"/>
      <c r="Y506" s="225"/>
      <c r="Z506" s="225"/>
      <c r="AA506" s="225"/>
      <c r="AB506" s="225"/>
      <c r="AC506" s="225"/>
      <c r="AD506" s="225"/>
      <c r="AE506" s="225"/>
      <c r="AF506" s="225"/>
      <c r="AG506" s="225"/>
      <c r="AH506" s="225"/>
      <c r="AI506" s="225"/>
      <c r="AJ506" s="225"/>
      <c r="AK506" s="225"/>
      <c r="AL506" s="225"/>
      <c r="AM506" s="225"/>
      <c r="AN506" s="225"/>
      <c r="AO506" s="225"/>
      <c r="AP506" s="225"/>
      <c r="AQ506" s="225"/>
      <c r="AR506" s="225"/>
    </row>
    <row r="507" spans="1:44" ht="15.75" customHeight="1">
      <c r="A507" s="131"/>
      <c r="B507" s="131"/>
      <c r="C507" s="131"/>
      <c r="D507" s="131"/>
      <c r="E507" s="131"/>
      <c r="F507" s="131"/>
      <c r="G507" s="131"/>
      <c r="H507" s="131"/>
      <c r="I507" s="131"/>
      <c r="J507" s="131"/>
      <c r="K507" s="131"/>
      <c r="L507" s="225"/>
      <c r="M507" s="225"/>
      <c r="N507" s="225"/>
      <c r="O507" s="225"/>
      <c r="P507" s="225"/>
      <c r="Q507" s="225"/>
      <c r="R507" s="225"/>
      <c r="S507" s="225"/>
      <c r="T507" s="225"/>
      <c r="U507" s="225"/>
      <c r="V507" s="225"/>
      <c r="W507" s="225"/>
      <c r="X507" s="225"/>
      <c r="Y507" s="225"/>
      <c r="Z507" s="225"/>
      <c r="AA507" s="225"/>
      <c r="AB507" s="225"/>
      <c r="AC507" s="225"/>
      <c r="AD507" s="225"/>
      <c r="AE507" s="225"/>
      <c r="AF507" s="225"/>
      <c r="AG507" s="225"/>
      <c r="AH507" s="225"/>
      <c r="AI507" s="225"/>
      <c r="AJ507" s="225"/>
      <c r="AK507" s="225"/>
      <c r="AL507" s="225"/>
      <c r="AM507" s="225"/>
      <c r="AN507" s="225"/>
      <c r="AO507" s="225"/>
      <c r="AP507" s="225"/>
      <c r="AQ507" s="225"/>
      <c r="AR507" s="225"/>
    </row>
    <row r="508" spans="1:44" ht="15.75" customHeight="1">
      <c r="A508" s="131"/>
      <c r="B508" s="131"/>
      <c r="C508" s="131"/>
      <c r="D508" s="131"/>
      <c r="E508" s="131"/>
      <c r="F508" s="131"/>
      <c r="G508" s="131"/>
      <c r="H508" s="131"/>
      <c r="I508" s="131"/>
      <c r="J508" s="131"/>
      <c r="K508" s="131"/>
      <c r="L508" s="225"/>
      <c r="M508" s="225"/>
      <c r="N508" s="225"/>
      <c r="O508" s="225"/>
      <c r="P508" s="225"/>
      <c r="Q508" s="225"/>
      <c r="R508" s="225"/>
      <c r="S508" s="225"/>
      <c r="T508" s="225"/>
      <c r="U508" s="225"/>
      <c r="V508" s="225"/>
      <c r="W508" s="225"/>
      <c r="X508" s="225"/>
      <c r="Y508" s="225"/>
      <c r="Z508" s="225"/>
      <c r="AA508" s="225"/>
      <c r="AB508" s="225"/>
      <c r="AC508" s="225"/>
      <c r="AD508" s="225"/>
      <c r="AE508" s="225"/>
      <c r="AF508" s="225"/>
      <c r="AG508" s="225"/>
      <c r="AH508" s="225"/>
      <c r="AI508" s="225"/>
      <c r="AJ508" s="225"/>
      <c r="AK508" s="225"/>
      <c r="AL508" s="225"/>
      <c r="AM508" s="225"/>
      <c r="AN508" s="225"/>
      <c r="AO508" s="225"/>
      <c r="AP508" s="225"/>
      <c r="AQ508" s="225"/>
      <c r="AR508" s="225"/>
    </row>
    <row r="509" spans="1:44" ht="15.75" customHeight="1">
      <c r="A509" s="131"/>
      <c r="B509" s="131"/>
      <c r="C509" s="131"/>
      <c r="D509" s="131"/>
      <c r="E509" s="131"/>
      <c r="F509" s="131"/>
      <c r="G509" s="131"/>
      <c r="H509" s="131"/>
      <c r="I509" s="131"/>
      <c r="J509" s="131"/>
      <c r="K509" s="131"/>
      <c r="L509" s="225"/>
      <c r="M509" s="225"/>
      <c r="N509" s="225"/>
      <c r="O509" s="225"/>
      <c r="P509" s="225"/>
      <c r="Q509" s="225"/>
      <c r="R509" s="225"/>
      <c r="S509" s="225"/>
      <c r="T509" s="225"/>
      <c r="U509" s="225"/>
      <c r="V509" s="225"/>
      <c r="W509" s="225"/>
      <c r="X509" s="225"/>
      <c r="Y509" s="225"/>
      <c r="Z509" s="225"/>
      <c r="AA509" s="225"/>
      <c r="AB509" s="225"/>
      <c r="AC509" s="225"/>
      <c r="AD509" s="225"/>
      <c r="AE509" s="225"/>
      <c r="AF509" s="225"/>
      <c r="AG509" s="225"/>
      <c r="AH509" s="225"/>
      <c r="AI509" s="225"/>
      <c r="AJ509" s="225"/>
      <c r="AK509" s="225"/>
      <c r="AL509" s="225"/>
      <c r="AM509" s="225"/>
      <c r="AN509" s="225"/>
      <c r="AO509" s="225"/>
      <c r="AP509" s="225"/>
      <c r="AQ509" s="225"/>
      <c r="AR509" s="225"/>
    </row>
    <row r="510" spans="1:44" ht="15.75" customHeight="1">
      <c r="A510" s="131"/>
      <c r="B510" s="131"/>
      <c r="C510" s="131"/>
      <c r="D510" s="131"/>
      <c r="E510" s="131"/>
      <c r="F510" s="131"/>
      <c r="G510" s="131"/>
      <c r="H510" s="131"/>
      <c r="I510" s="131"/>
      <c r="J510" s="131"/>
      <c r="K510" s="131"/>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row>
    <row r="511" spans="1:44" ht="15.75" customHeight="1">
      <c r="A511" s="131"/>
      <c r="B511" s="131"/>
      <c r="C511" s="131"/>
      <c r="D511" s="131"/>
      <c r="E511" s="131"/>
      <c r="F511" s="131"/>
      <c r="G511" s="131"/>
      <c r="H511" s="131"/>
      <c r="I511" s="131"/>
      <c r="J511" s="131"/>
      <c r="K511" s="131"/>
      <c r="L511" s="225"/>
      <c r="M511" s="225"/>
      <c r="N511" s="225"/>
      <c r="O511" s="225"/>
      <c r="P511" s="225"/>
      <c r="Q511" s="225"/>
      <c r="R511" s="225"/>
      <c r="S511" s="225"/>
      <c r="T511" s="225"/>
      <c r="U511" s="225"/>
      <c r="V511" s="225"/>
      <c r="W511" s="225"/>
      <c r="X511" s="225"/>
      <c r="Y511" s="225"/>
      <c r="Z511" s="225"/>
      <c r="AA511" s="225"/>
      <c r="AB511" s="225"/>
      <c r="AC511" s="225"/>
      <c r="AD511" s="225"/>
      <c r="AE511" s="225"/>
      <c r="AF511" s="225"/>
      <c r="AG511" s="225"/>
      <c r="AH511" s="225"/>
      <c r="AI511" s="225"/>
      <c r="AJ511" s="225"/>
      <c r="AK511" s="225"/>
      <c r="AL511" s="225"/>
      <c r="AM511" s="225"/>
      <c r="AN511" s="225"/>
      <c r="AO511" s="225"/>
      <c r="AP511" s="225"/>
      <c r="AQ511" s="225"/>
      <c r="AR511" s="225"/>
    </row>
    <row r="512" spans="1:44" ht="15.75" customHeight="1">
      <c r="A512" s="131"/>
      <c r="B512" s="131"/>
      <c r="C512" s="131"/>
      <c r="D512" s="131"/>
      <c r="E512" s="131"/>
      <c r="F512" s="131"/>
      <c r="G512" s="131"/>
      <c r="H512" s="131"/>
      <c r="I512" s="131"/>
      <c r="J512" s="131"/>
      <c r="K512" s="131"/>
      <c r="L512" s="225"/>
      <c r="M512" s="225"/>
      <c r="N512" s="225"/>
      <c r="O512" s="225"/>
      <c r="P512" s="225"/>
      <c r="Q512" s="225"/>
      <c r="R512" s="225"/>
      <c r="S512" s="225"/>
      <c r="T512" s="225"/>
      <c r="U512" s="225"/>
      <c r="V512" s="225"/>
      <c r="W512" s="225"/>
      <c r="X512" s="225"/>
      <c r="Y512" s="225"/>
      <c r="Z512" s="225"/>
      <c r="AA512" s="225"/>
      <c r="AB512" s="225"/>
      <c r="AC512" s="225"/>
      <c r="AD512" s="225"/>
      <c r="AE512" s="225"/>
      <c r="AF512" s="225"/>
      <c r="AG512" s="225"/>
      <c r="AH512" s="225"/>
      <c r="AI512" s="225"/>
      <c r="AJ512" s="225"/>
      <c r="AK512" s="225"/>
      <c r="AL512" s="225"/>
      <c r="AM512" s="225"/>
      <c r="AN512" s="225"/>
      <c r="AO512" s="225"/>
      <c r="AP512" s="225"/>
      <c r="AQ512" s="225"/>
      <c r="AR512" s="225"/>
    </row>
    <row r="513" spans="1:44" ht="15.75" customHeight="1">
      <c r="A513" s="131"/>
      <c r="B513" s="131"/>
      <c r="C513" s="131"/>
      <c r="D513" s="131"/>
      <c r="E513" s="131"/>
      <c r="F513" s="131"/>
      <c r="G513" s="131"/>
      <c r="H513" s="131"/>
      <c r="I513" s="131"/>
      <c r="J513" s="131"/>
      <c r="K513" s="131"/>
      <c r="L513" s="225"/>
      <c r="M513" s="225"/>
      <c r="N513" s="225"/>
      <c r="O513" s="225"/>
      <c r="P513" s="225"/>
      <c r="Q513" s="225"/>
      <c r="R513" s="225"/>
      <c r="S513" s="225"/>
      <c r="T513" s="225"/>
      <c r="U513" s="225"/>
      <c r="V513" s="225"/>
      <c r="W513" s="225"/>
      <c r="X513" s="225"/>
      <c r="Y513" s="225"/>
      <c r="Z513" s="225"/>
      <c r="AA513" s="225"/>
      <c r="AB513" s="225"/>
      <c r="AC513" s="225"/>
      <c r="AD513" s="225"/>
      <c r="AE513" s="225"/>
      <c r="AF513" s="225"/>
      <c r="AG513" s="225"/>
      <c r="AH513" s="225"/>
      <c r="AI513" s="225"/>
      <c r="AJ513" s="225"/>
      <c r="AK513" s="225"/>
      <c r="AL513" s="225"/>
      <c r="AM513" s="225"/>
      <c r="AN513" s="225"/>
      <c r="AO513" s="225"/>
      <c r="AP513" s="225"/>
      <c r="AQ513" s="225"/>
      <c r="AR513" s="225"/>
    </row>
    <row r="514" spans="1:44" ht="15.75" customHeight="1">
      <c r="A514" s="131"/>
      <c r="B514" s="131"/>
      <c r="C514" s="131"/>
      <c r="D514" s="131"/>
      <c r="E514" s="131"/>
      <c r="F514" s="131"/>
      <c r="G514" s="131"/>
      <c r="H514" s="131"/>
      <c r="I514" s="131"/>
      <c r="J514" s="131"/>
      <c r="K514" s="131"/>
      <c r="L514" s="225"/>
      <c r="M514" s="225"/>
      <c r="N514" s="225"/>
      <c r="O514" s="225"/>
      <c r="P514" s="225"/>
      <c r="Q514" s="225"/>
      <c r="R514" s="225"/>
      <c r="S514" s="225"/>
      <c r="T514" s="225"/>
      <c r="U514" s="225"/>
      <c r="V514" s="225"/>
      <c r="W514" s="225"/>
      <c r="X514" s="225"/>
      <c r="Y514" s="225"/>
      <c r="Z514" s="225"/>
      <c r="AA514" s="225"/>
      <c r="AB514" s="225"/>
      <c r="AC514" s="225"/>
      <c r="AD514" s="225"/>
      <c r="AE514" s="225"/>
      <c r="AF514" s="225"/>
      <c r="AG514" s="225"/>
      <c r="AH514" s="225"/>
      <c r="AI514" s="225"/>
      <c r="AJ514" s="225"/>
      <c r="AK514" s="225"/>
      <c r="AL514" s="225"/>
      <c r="AM514" s="225"/>
      <c r="AN514" s="225"/>
      <c r="AO514" s="225"/>
      <c r="AP514" s="225"/>
      <c r="AQ514" s="225"/>
      <c r="AR514" s="225"/>
    </row>
    <row r="515" spans="1:44" ht="15.75" customHeight="1">
      <c r="A515" s="131"/>
      <c r="B515" s="131"/>
      <c r="C515" s="131"/>
      <c r="D515" s="131"/>
      <c r="E515" s="131"/>
      <c r="F515" s="131"/>
      <c r="G515" s="131"/>
      <c r="H515" s="131"/>
      <c r="I515" s="131"/>
      <c r="J515" s="131"/>
      <c r="K515" s="131"/>
      <c r="L515" s="225"/>
      <c r="M515" s="225"/>
      <c r="N515" s="225"/>
      <c r="O515" s="225"/>
      <c r="P515" s="225"/>
      <c r="Q515" s="225"/>
      <c r="R515" s="225"/>
      <c r="S515" s="225"/>
      <c r="T515" s="225"/>
      <c r="U515" s="225"/>
      <c r="V515" s="225"/>
      <c r="W515" s="225"/>
      <c r="X515" s="225"/>
      <c r="Y515" s="225"/>
      <c r="Z515" s="225"/>
      <c r="AA515" s="225"/>
      <c r="AB515" s="225"/>
      <c r="AC515" s="225"/>
      <c r="AD515" s="225"/>
      <c r="AE515" s="225"/>
      <c r="AF515" s="225"/>
      <c r="AG515" s="225"/>
      <c r="AH515" s="225"/>
      <c r="AI515" s="225"/>
      <c r="AJ515" s="225"/>
      <c r="AK515" s="225"/>
      <c r="AL515" s="225"/>
      <c r="AM515" s="225"/>
      <c r="AN515" s="225"/>
      <c r="AO515" s="225"/>
      <c r="AP515" s="225"/>
      <c r="AQ515" s="225"/>
      <c r="AR515" s="225"/>
    </row>
    <row r="516" spans="1:44" ht="15.75" customHeight="1">
      <c r="A516" s="131"/>
      <c r="B516" s="131"/>
      <c r="C516" s="131"/>
      <c r="D516" s="131"/>
      <c r="E516" s="131"/>
      <c r="F516" s="131"/>
      <c r="G516" s="131"/>
      <c r="H516" s="131"/>
      <c r="I516" s="131"/>
      <c r="J516" s="131"/>
      <c r="K516" s="131"/>
      <c r="L516" s="225"/>
      <c r="M516" s="225"/>
      <c r="N516" s="225"/>
      <c r="O516" s="225"/>
      <c r="P516" s="225"/>
      <c r="Q516" s="225"/>
      <c r="R516" s="225"/>
      <c r="S516" s="225"/>
      <c r="T516" s="225"/>
      <c r="U516" s="225"/>
      <c r="V516" s="225"/>
      <c r="W516" s="225"/>
      <c r="X516" s="225"/>
      <c r="Y516" s="225"/>
      <c r="Z516" s="225"/>
      <c r="AA516" s="225"/>
      <c r="AB516" s="225"/>
      <c r="AC516" s="225"/>
      <c r="AD516" s="225"/>
      <c r="AE516" s="225"/>
      <c r="AF516" s="225"/>
      <c r="AG516" s="225"/>
      <c r="AH516" s="225"/>
      <c r="AI516" s="225"/>
      <c r="AJ516" s="225"/>
      <c r="AK516" s="225"/>
      <c r="AL516" s="225"/>
      <c r="AM516" s="225"/>
      <c r="AN516" s="225"/>
      <c r="AO516" s="225"/>
      <c r="AP516" s="225"/>
      <c r="AQ516" s="225"/>
      <c r="AR516" s="225"/>
    </row>
    <row r="517" spans="1:44" ht="15.75" customHeight="1">
      <c r="A517" s="131"/>
      <c r="B517" s="131"/>
      <c r="C517" s="131"/>
      <c r="D517" s="131"/>
      <c r="E517" s="131"/>
      <c r="F517" s="131"/>
      <c r="G517" s="131"/>
      <c r="H517" s="131"/>
      <c r="I517" s="131"/>
      <c r="J517" s="131"/>
      <c r="K517" s="131"/>
      <c r="L517" s="225"/>
      <c r="M517" s="225"/>
      <c r="N517" s="225"/>
      <c r="O517" s="225"/>
      <c r="P517" s="225"/>
      <c r="Q517" s="225"/>
      <c r="R517" s="225"/>
      <c r="S517" s="225"/>
      <c r="T517" s="225"/>
      <c r="U517" s="225"/>
      <c r="V517" s="225"/>
      <c r="W517" s="225"/>
      <c r="X517" s="225"/>
      <c r="Y517" s="225"/>
      <c r="Z517" s="225"/>
      <c r="AA517" s="225"/>
      <c r="AB517" s="225"/>
      <c r="AC517" s="225"/>
      <c r="AD517" s="225"/>
      <c r="AE517" s="225"/>
      <c r="AF517" s="225"/>
      <c r="AG517" s="225"/>
      <c r="AH517" s="225"/>
      <c r="AI517" s="225"/>
      <c r="AJ517" s="225"/>
      <c r="AK517" s="225"/>
      <c r="AL517" s="225"/>
      <c r="AM517" s="225"/>
      <c r="AN517" s="225"/>
      <c r="AO517" s="225"/>
      <c r="AP517" s="225"/>
      <c r="AQ517" s="225"/>
      <c r="AR517" s="225"/>
    </row>
    <row r="518" spans="1:44" ht="15.75" customHeight="1">
      <c r="A518" s="131"/>
      <c r="B518" s="131"/>
      <c r="C518" s="131"/>
      <c r="D518" s="131"/>
      <c r="E518" s="131"/>
      <c r="F518" s="131"/>
      <c r="G518" s="131"/>
      <c r="H518" s="131"/>
      <c r="I518" s="131"/>
      <c r="J518" s="131"/>
      <c r="K518" s="131"/>
      <c r="L518" s="225"/>
      <c r="M518" s="225"/>
      <c r="N518" s="225"/>
      <c r="O518" s="225"/>
      <c r="P518" s="225"/>
      <c r="Q518" s="225"/>
      <c r="R518" s="225"/>
      <c r="S518" s="225"/>
      <c r="T518" s="225"/>
      <c r="U518" s="225"/>
      <c r="V518" s="225"/>
      <c r="W518" s="225"/>
      <c r="X518" s="225"/>
      <c r="Y518" s="225"/>
      <c r="Z518" s="225"/>
      <c r="AA518" s="225"/>
      <c r="AB518" s="225"/>
      <c r="AC518" s="225"/>
      <c r="AD518" s="225"/>
      <c r="AE518" s="225"/>
      <c r="AF518" s="225"/>
      <c r="AG518" s="225"/>
      <c r="AH518" s="225"/>
      <c r="AI518" s="225"/>
      <c r="AJ518" s="225"/>
      <c r="AK518" s="225"/>
      <c r="AL518" s="225"/>
      <c r="AM518" s="225"/>
      <c r="AN518" s="225"/>
      <c r="AO518" s="225"/>
      <c r="AP518" s="225"/>
      <c r="AQ518" s="225"/>
      <c r="AR518" s="225"/>
    </row>
    <row r="519" spans="1:44" ht="15.75" customHeight="1">
      <c r="A519" s="131"/>
      <c r="B519" s="131"/>
      <c r="C519" s="131"/>
      <c r="D519" s="131"/>
      <c r="E519" s="131"/>
      <c r="F519" s="131"/>
      <c r="G519" s="131"/>
      <c r="H519" s="131"/>
      <c r="I519" s="131"/>
      <c r="J519" s="131"/>
      <c r="K519" s="131"/>
      <c r="L519" s="225"/>
      <c r="M519" s="225"/>
      <c r="N519" s="225"/>
      <c r="O519" s="225"/>
      <c r="P519" s="225"/>
      <c r="Q519" s="225"/>
      <c r="R519" s="225"/>
      <c r="S519" s="225"/>
      <c r="T519" s="225"/>
      <c r="U519" s="225"/>
      <c r="V519" s="225"/>
      <c r="W519" s="225"/>
      <c r="X519" s="225"/>
      <c r="Y519" s="225"/>
      <c r="Z519" s="225"/>
      <c r="AA519" s="225"/>
      <c r="AB519" s="225"/>
      <c r="AC519" s="225"/>
      <c r="AD519" s="225"/>
      <c r="AE519" s="225"/>
      <c r="AF519" s="225"/>
      <c r="AG519" s="225"/>
      <c r="AH519" s="225"/>
      <c r="AI519" s="225"/>
      <c r="AJ519" s="225"/>
      <c r="AK519" s="225"/>
      <c r="AL519" s="225"/>
      <c r="AM519" s="225"/>
      <c r="AN519" s="225"/>
      <c r="AO519" s="225"/>
      <c r="AP519" s="225"/>
      <c r="AQ519" s="225"/>
      <c r="AR519" s="225"/>
    </row>
    <row r="520" spans="1:44" ht="15.75" customHeight="1">
      <c r="A520" s="131"/>
      <c r="B520" s="131"/>
      <c r="C520" s="131"/>
      <c r="D520" s="131"/>
      <c r="E520" s="131"/>
      <c r="F520" s="131"/>
      <c r="G520" s="131"/>
      <c r="H520" s="131"/>
      <c r="I520" s="131"/>
      <c r="J520" s="131"/>
      <c r="K520" s="131"/>
      <c r="L520" s="225"/>
      <c r="M520" s="225"/>
      <c r="N520" s="225"/>
      <c r="O520" s="225"/>
      <c r="P520" s="225"/>
      <c r="Q520" s="225"/>
      <c r="R520" s="225"/>
      <c r="S520" s="225"/>
      <c r="T520" s="225"/>
      <c r="U520" s="225"/>
      <c r="V520" s="225"/>
      <c r="W520" s="225"/>
      <c r="X520" s="225"/>
      <c r="Y520" s="225"/>
      <c r="Z520" s="225"/>
      <c r="AA520" s="225"/>
      <c r="AB520" s="225"/>
      <c r="AC520" s="225"/>
      <c r="AD520" s="225"/>
      <c r="AE520" s="225"/>
      <c r="AF520" s="225"/>
      <c r="AG520" s="225"/>
      <c r="AH520" s="225"/>
      <c r="AI520" s="225"/>
      <c r="AJ520" s="225"/>
      <c r="AK520" s="225"/>
      <c r="AL520" s="225"/>
      <c r="AM520" s="225"/>
      <c r="AN520" s="225"/>
      <c r="AO520" s="225"/>
      <c r="AP520" s="225"/>
      <c r="AQ520" s="225"/>
      <c r="AR520" s="225"/>
    </row>
    <row r="521" spans="1:44" ht="15.75" customHeight="1">
      <c r="A521" s="131"/>
      <c r="B521" s="131"/>
      <c r="C521" s="131"/>
      <c r="D521" s="131"/>
      <c r="E521" s="131"/>
      <c r="F521" s="131"/>
      <c r="G521" s="131"/>
      <c r="H521" s="131"/>
      <c r="I521" s="131"/>
      <c r="J521" s="131"/>
      <c r="K521" s="131"/>
      <c r="L521" s="225"/>
      <c r="M521" s="225"/>
      <c r="N521" s="225"/>
      <c r="O521" s="225"/>
      <c r="P521" s="225"/>
      <c r="Q521" s="225"/>
      <c r="R521" s="225"/>
      <c r="S521" s="225"/>
      <c r="T521" s="225"/>
      <c r="U521" s="225"/>
      <c r="V521" s="225"/>
      <c r="W521" s="225"/>
      <c r="X521" s="225"/>
      <c r="Y521" s="225"/>
      <c r="Z521" s="225"/>
      <c r="AA521" s="225"/>
      <c r="AB521" s="225"/>
      <c r="AC521" s="225"/>
      <c r="AD521" s="225"/>
      <c r="AE521" s="225"/>
      <c r="AF521" s="225"/>
      <c r="AG521" s="225"/>
      <c r="AH521" s="225"/>
      <c r="AI521" s="225"/>
      <c r="AJ521" s="225"/>
      <c r="AK521" s="225"/>
      <c r="AL521" s="225"/>
      <c r="AM521" s="225"/>
      <c r="AN521" s="225"/>
      <c r="AO521" s="225"/>
      <c r="AP521" s="225"/>
      <c r="AQ521" s="225"/>
      <c r="AR521" s="225"/>
    </row>
    <row r="522" spans="1:44" ht="15.75" customHeight="1">
      <c r="A522" s="131"/>
      <c r="B522" s="131"/>
      <c r="C522" s="131"/>
      <c r="D522" s="131"/>
      <c r="E522" s="131"/>
      <c r="F522" s="131"/>
      <c r="G522" s="131"/>
      <c r="H522" s="131"/>
      <c r="I522" s="131"/>
      <c r="J522" s="131"/>
      <c r="K522" s="131"/>
      <c r="L522" s="225"/>
      <c r="M522" s="225"/>
      <c r="N522" s="225"/>
      <c r="O522" s="225"/>
      <c r="P522" s="225"/>
      <c r="Q522" s="225"/>
      <c r="R522" s="225"/>
      <c r="S522" s="225"/>
      <c r="T522" s="225"/>
      <c r="U522" s="225"/>
      <c r="V522" s="225"/>
      <c r="W522" s="225"/>
      <c r="X522" s="225"/>
      <c r="Y522" s="225"/>
      <c r="Z522" s="225"/>
      <c r="AA522" s="225"/>
      <c r="AB522" s="225"/>
      <c r="AC522" s="225"/>
      <c r="AD522" s="225"/>
      <c r="AE522" s="225"/>
      <c r="AF522" s="225"/>
      <c r="AG522" s="225"/>
      <c r="AH522" s="225"/>
      <c r="AI522" s="225"/>
      <c r="AJ522" s="225"/>
      <c r="AK522" s="225"/>
      <c r="AL522" s="225"/>
      <c r="AM522" s="225"/>
      <c r="AN522" s="225"/>
      <c r="AO522" s="225"/>
      <c r="AP522" s="225"/>
      <c r="AQ522" s="225"/>
      <c r="AR522" s="225"/>
    </row>
    <row r="523" spans="1:44" ht="15.75" customHeight="1">
      <c r="A523" s="131"/>
      <c r="B523" s="131"/>
      <c r="C523" s="131"/>
      <c r="D523" s="131"/>
      <c r="E523" s="131"/>
      <c r="F523" s="131"/>
      <c r="G523" s="131"/>
      <c r="H523" s="131"/>
      <c r="I523" s="131"/>
      <c r="J523" s="131"/>
      <c r="K523" s="131"/>
      <c r="L523" s="225"/>
      <c r="M523" s="225"/>
      <c r="N523" s="225"/>
      <c r="O523" s="225"/>
      <c r="P523" s="225"/>
      <c r="Q523" s="225"/>
      <c r="R523" s="225"/>
      <c r="S523" s="225"/>
      <c r="T523" s="225"/>
      <c r="U523" s="225"/>
      <c r="V523" s="225"/>
      <c r="W523" s="225"/>
      <c r="X523" s="225"/>
      <c r="Y523" s="225"/>
      <c r="Z523" s="225"/>
      <c r="AA523" s="225"/>
      <c r="AB523" s="225"/>
      <c r="AC523" s="225"/>
      <c r="AD523" s="225"/>
      <c r="AE523" s="225"/>
      <c r="AF523" s="225"/>
      <c r="AG523" s="225"/>
      <c r="AH523" s="225"/>
      <c r="AI523" s="225"/>
      <c r="AJ523" s="225"/>
      <c r="AK523" s="225"/>
      <c r="AL523" s="225"/>
      <c r="AM523" s="225"/>
      <c r="AN523" s="225"/>
      <c r="AO523" s="225"/>
      <c r="AP523" s="225"/>
      <c r="AQ523" s="225"/>
      <c r="AR523" s="225"/>
    </row>
    <row r="524" spans="1:44" ht="15.75" customHeight="1">
      <c r="A524" s="131"/>
      <c r="B524" s="131"/>
      <c r="C524" s="131"/>
      <c r="D524" s="131"/>
      <c r="E524" s="131"/>
      <c r="F524" s="131"/>
      <c r="G524" s="131"/>
      <c r="H524" s="131"/>
      <c r="I524" s="131"/>
      <c r="J524" s="131"/>
      <c r="K524" s="131"/>
      <c r="L524" s="225"/>
      <c r="M524" s="225"/>
      <c r="N524" s="225"/>
      <c r="O524" s="225"/>
      <c r="P524" s="225"/>
      <c r="Q524" s="225"/>
      <c r="R524" s="225"/>
      <c r="S524" s="225"/>
      <c r="T524" s="225"/>
      <c r="U524" s="225"/>
      <c r="V524" s="225"/>
      <c r="W524" s="225"/>
      <c r="X524" s="225"/>
      <c r="Y524" s="225"/>
      <c r="Z524" s="225"/>
      <c r="AA524" s="225"/>
      <c r="AB524" s="225"/>
      <c r="AC524" s="225"/>
      <c r="AD524" s="225"/>
      <c r="AE524" s="225"/>
      <c r="AF524" s="225"/>
      <c r="AG524" s="225"/>
      <c r="AH524" s="225"/>
      <c r="AI524" s="225"/>
      <c r="AJ524" s="225"/>
      <c r="AK524" s="225"/>
      <c r="AL524" s="225"/>
      <c r="AM524" s="225"/>
      <c r="AN524" s="225"/>
      <c r="AO524" s="225"/>
      <c r="AP524" s="225"/>
      <c r="AQ524" s="225"/>
      <c r="AR524" s="225"/>
    </row>
    <row r="525" spans="1:44" ht="15.75" customHeight="1">
      <c r="A525" s="131"/>
      <c r="B525" s="131"/>
      <c r="C525" s="131"/>
      <c r="D525" s="131"/>
      <c r="E525" s="131"/>
      <c r="F525" s="131"/>
      <c r="G525" s="131"/>
      <c r="H525" s="131"/>
      <c r="I525" s="131"/>
      <c r="J525" s="131"/>
      <c r="K525" s="131"/>
      <c r="L525" s="225"/>
      <c r="M525" s="225"/>
      <c r="N525" s="225"/>
      <c r="O525" s="225"/>
      <c r="P525" s="225"/>
      <c r="Q525" s="225"/>
      <c r="R525" s="225"/>
      <c r="S525" s="225"/>
      <c r="T525" s="225"/>
      <c r="U525" s="225"/>
      <c r="V525" s="225"/>
      <c r="W525" s="225"/>
      <c r="X525" s="225"/>
      <c r="Y525" s="225"/>
      <c r="Z525" s="225"/>
      <c r="AA525" s="225"/>
      <c r="AB525" s="225"/>
      <c r="AC525" s="225"/>
      <c r="AD525" s="225"/>
      <c r="AE525" s="225"/>
      <c r="AF525" s="225"/>
      <c r="AG525" s="225"/>
      <c r="AH525" s="225"/>
      <c r="AI525" s="225"/>
      <c r="AJ525" s="225"/>
      <c r="AK525" s="225"/>
      <c r="AL525" s="225"/>
      <c r="AM525" s="225"/>
      <c r="AN525" s="225"/>
      <c r="AO525" s="225"/>
      <c r="AP525" s="225"/>
      <c r="AQ525" s="225"/>
      <c r="AR525" s="225"/>
    </row>
    <row r="526" spans="1:44" ht="15.75" customHeight="1">
      <c r="A526" s="131"/>
      <c r="B526" s="131"/>
      <c r="C526" s="131"/>
      <c r="D526" s="131"/>
      <c r="E526" s="131"/>
      <c r="F526" s="131"/>
      <c r="G526" s="131"/>
      <c r="H526" s="131"/>
      <c r="I526" s="131"/>
      <c r="J526" s="131"/>
      <c r="K526" s="131"/>
      <c r="L526" s="225"/>
      <c r="M526" s="225"/>
      <c r="N526" s="225"/>
      <c r="O526" s="225"/>
      <c r="P526" s="225"/>
      <c r="Q526" s="225"/>
      <c r="R526" s="225"/>
      <c r="S526" s="225"/>
      <c r="T526" s="225"/>
      <c r="U526" s="225"/>
      <c r="V526" s="225"/>
      <c r="W526" s="225"/>
      <c r="X526" s="225"/>
      <c r="Y526" s="225"/>
      <c r="Z526" s="225"/>
      <c r="AA526" s="225"/>
      <c r="AB526" s="225"/>
      <c r="AC526" s="225"/>
      <c r="AD526" s="225"/>
      <c r="AE526" s="225"/>
      <c r="AF526" s="225"/>
      <c r="AG526" s="225"/>
      <c r="AH526" s="225"/>
      <c r="AI526" s="225"/>
      <c r="AJ526" s="225"/>
      <c r="AK526" s="225"/>
      <c r="AL526" s="225"/>
      <c r="AM526" s="225"/>
      <c r="AN526" s="225"/>
      <c r="AO526" s="225"/>
      <c r="AP526" s="225"/>
      <c r="AQ526" s="225"/>
      <c r="AR526" s="225"/>
    </row>
    <row r="527" spans="1:44" ht="15.75" customHeight="1">
      <c r="A527" s="131"/>
      <c r="B527" s="131"/>
      <c r="C527" s="131"/>
      <c r="D527" s="131"/>
      <c r="E527" s="131"/>
      <c r="F527" s="131"/>
      <c r="G527" s="131"/>
      <c r="H527" s="131"/>
      <c r="I527" s="131"/>
      <c r="J527" s="131"/>
      <c r="K527" s="131"/>
      <c r="L527" s="225"/>
      <c r="M527" s="225"/>
      <c r="N527" s="225"/>
      <c r="O527" s="225"/>
      <c r="P527" s="225"/>
      <c r="Q527" s="225"/>
      <c r="R527" s="225"/>
      <c r="S527" s="225"/>
      <c r="T527" s="225"/>
      <c r="U527" s="225"/>
      <c r="V527" s="225"/>
      <c r="W527" s="225"/>
      <c r="X527" s="225"/>
      <c r="Y527" s="225"/>
      <c r="Z527" s="225"/>
      <c r="AA527" s="225"/>
      <c r="AB527" s="225"/>
      <c r="AC527" s="225"/>
      <c r="AD527" s="225"/>
      <c r="AE527" s="225"/>
      <c r="AF527" s="225"/>
      <c r="AG527" s="225"/>
      <c r="AH527" s="225"/>
      <c r="AI527" s="225"/>
      <c r="AJ527" s="225"/>
      <c r="AK527" s="225"/>
      <c r="AL527" s="225"/>
      <c r="AM527" s="225"/>
      <c r="AN527" s="225"/>
      <c r="AO527" s="225"/>
      <c r="AP527" s="225"/>
      <c r="AQ527" s="225"/>
      <c r="AR527" s="225"/>
    </row>
    <row r="528" spans="1:44" ht="15.75" customHeight="1">
      <c r="A528" s="131"/>
      <c r="B528" s="131"/>
      <c r="C528" s="131"/>
      <c r="D528" s="131"/>
      <c r="E528" s="131"/>
      <c r="F528" s="131"/>
      <c r="G528" s="131"/>
      <c r="H528" s="131"/>
      <c r="I528" s="131"/>
      <c r="J528" s="131"/>
      <c r="K528" s="131"/>
      <c r="L528" s="225"/>
      <c r="M528" s="225"/>
      <c r="N528" s="225"/>
      <c r="O528" s="225"/>
      <c r="P528" s="225"/>
      <c r="Q528" s="225"/>
      <c r="R528" s="225"/>
      <c r="S528" s="225"/>
      <c r="T528" s="225"/>
      <c r="U528" s="225"/>
      <c r="V528" s="225"/>
      <c r="W528" s="225"/>
      <c r="X528" s="225"/>
      <c r="Y528" s="225"/>
      <c r="Z528" s="225"/>
      <c r="AA528" s="225"/>
      <c r="AB528" s="225"/>
      <c r="AC528" s="225"/>
      <c r="AD528" s="225"/>
      <c r="AE528" s="225"/>
      <c r="AF528" s="225"/>
      <c r="AG528" s="225"/>
      <c r="AH528" s="225"/>
      <c r="AI528" s="225"/>
      <c r="AJ528" s="225"/>
      <c r="AK528" s="225"/>
      <c r="AL528" s="225"/>
      <c r="AM528" s="225"/>
      <c r="AN528" s="225"/>
      <c r="AO528" s="225"/>
      <c r="AP528" s="225"/>
      <c r="AQ528" s="225"/>
      <c r="AR528" s="225"/>
    </row>
    <row r="529" spans="1:44" ht="15.75" customHeight="1">
      <c r="A529" s="131"/>
      <c r="B529" s="131"/>
      <c r="C529" s="131"/>
      <c r="D529" s="131"/>
      <c r="E529" s="131"/>
      <c r="F529" s="131"/>
      <c r="G529" s="131"/>
      <c r="H529" s="131"/>
      <c r="I529" s="131"/>
      <c r="J529" s="131"/>
      <c r="K529" s="131"/>
      <c r="L529" s="225"/>
      <c r="M529" s="225"/>
      <c r="N529" s="225"/>
      <c r="O529" s="225"/>
      <c r="P529" s="225"/>
      <c r="Q529" s="225"/>
      <c r="R529" s="225"/>
      <c r="S529" s="225"/>
      <c r="T529" s="225"/>
      <c r="U529" s="225"/>
      <c r="V529" s="225"/>
      <c r="W529" s="225"/>
      <c r="X529" s="225"/>
      <c r="Y529" s="225"/>
      <c r="Z529" s="225"/>
      <c r="AA529" s="225"/>
      <c r="AB529" s="225"/>
      <c r="AC529" s="225"/>
      <c r="AD529" s="225"/>
      <c r="AE529" s="225"/>
      <c r="AF529" s="225"/>
      <c r="AG529" s="225"/>
      <c r="AH529" s="225"/>
      <c r="AI529" s="225"/>
      <c r="AJ529" s="225"/>
      <c r="AK529" s="225"/>
      <c r="AL529" s="225"/>
      <c r="AM529" s="225"/>
      <c r="AN529" s="225"/>
      <c r="AO529" s="225"/>
      <c r="AP529" s="225"/>
      <c r="AQ529" s="225"/>
      <c r="AR529" s="225"/>
    </row>
    <row r="530" spans="1:44" ht="15.75" customHeight="1">
      <c r="A530" s="131"/>
      <c r="B530" s="131"/>
      <c r="C530" s="131"/>
      <c r="D530" s="131"/>
      <c r="E530" s="131"/>
      <c r="F530" s="131"/>
      <c r="G530" s="131"/>
      <c r="H530" s="131"/>
      <c r="I530" s="131"/>
      <c r="J530" s="131"/>
      <c r="K530" s="131"/>
      <c r="L530" s="225"/>
      <c r="M530" s="225"/>
      <c r="N530" s="225"/>
      <c r="O530" s="225"/>
      <c r="P530" s="225"/>
      <c r="Q530" s="225"/>
      <c r="R530" s="225"/>
      <c r="S530" s="225"/>
      <c r="T530" s="225"/>
      <c r="U530" s="225"/>
      <c r="V530" s="225"/>
      <c r="W530" s="225"/>
      <c r="X530" s="225"/>
      <c r="Y530" s="225"/>
      <c r="Z530" s="225"/>
      <c r="AA530" s="225"/>
      <c r="AB530" s="225"/>
      <c r="AC530" s="225"/>
      <c r="AD530" s="225"/>
      <c r="AE530" s="225"/>
      <c r="AF530" s="225"/>
      <c r="AG530" s="225"/>
      <c r="AH530" s="225"/>
      <c r="AI530" s="225"/>
      <c r="AJ530" s="225"/>
      <c r="AK530" s="225"/>
      <c r="AL530" s="225"/>
      <c r="AM530" s="225"/>
      <c r="AN530" s="225"/>
      <c r="AO530" s="225"/>
      <c r="AP530" s="225"/>
      <c r="AQ530" s="225"/>
      <c r="AR530" s="225"/>
    </row>
    <row r="531" spans="1:44" ht="15.75" customHeight="1">
      <c r="A531" s="131"/>
      <c r="B531" s="131"/>
      <c r="C531" s="131"/>
      <c r="D531" s="131"/>
      <c r="E531" s="131"/>
      <c r="F531" s="131"/>
      <c r="G531" s="131"/>
      <c r="H531" s="131"/>
      <c r="I531" s="131"/>
      <c r="J531" s="131"/>
      <c r="K531" s="131"/>
      <c r="L531" s="225"/>
      <c r="M531" s="225"/>
      <c r="N531" s="225"/>
      <c r="O531" s="225"/>
      <c r="P531" s="225"/>
      <c r="Q531" s="225"/>
      <c r="R531" s="225"/>
      <c r="S531" s="225"/>
      <c r="T531" s="225"/>
      <c r="U531" s="225"/>
      <c r="V531" s="225"/>
      <c r="W531" s="225"/>
      <c r="X531" s="225"/>
      <c r="Y531" s="225"/>
      <c r="Z531" s="225"/>
      <c r="AA531" s="225"/>
      <c r="AB531" s="225"/>
      <c r="AC531" s="225"/>
      <c r="AD531" s="225"/>
      <c r="AE531" s="225"/>
      <c r="AF531" s="225"/>
      <c r="AG531" s="225"/>
      <c r="AH531" s="225"/>
      <c r="AI531" s="225"/>
      <c r="AJ531" s="225"/>
      <c r="AK531" s="225"/>
      <c r="AL531" s="225"/>
      <c r="AM531" s="225"/>
      <c r="AN531" s="225"/>
      <c r="AO531" s="225"/>
      <c r="AP531" s="225"/>
      <c r="AQ531" s="225"/>
      <c r="AR531" s="225"/>
    </row>
    <row r="532" spans="1:44" ht="15.75" customHeight="1">
      <c r="A532" s="131"/>
      <c r="B532" s="131"/>
      <c r="C532" s="131"/>
      <c r="D532" s="131"/>
      <c r="E532" s="131"/>
      <c r="F532" s="131"/>
      <c r="G532" s="131"/>
      <c r="H532" s="131"/>
      <c r="I532" s="131"/>
      <c r="J532" s="131"/>
      <c r="K532" s="131"/>
      <c r="L532" s="225"/>
      <c r="M532" s="225"/>
      <c r="N532" s="225"/>
      <c r="O532" s="225"/>
      <c r="P532" s="225"/>
      <c r="Q532" s="225"/>
      <c r="R532" s="225"/>
      <c r="S532" s="225"/>
      <c r="T532" s="225"/>
      <c r="U532" s="225"/>
      <c r="V532" s="225"/>
      <c r="W532" s="225"/>
      <c r="X532" s="225"/>
      <c r="Y532" s="225"/>
      <c r="Z532" s="225"/>
      <c r="AA532" s="225"/>
      <c r="AB532" s="225"/>
      <c r="AC532" s="225"/>
      <c r="AD532" s="225"/>
      <c r="AE532" s="225"/>
      <c r="AF532" s="225"/>
      <c r="AG532" s="225"/>
      <c r="AH532" s="225"/>
      <c r="AI532" s="225"/>
      <c r="AJ532" s="225"/>
      <c r="AK532" s="225"/>
      <c r="AL532" s="225"/>
      <c r="AM532" s="225"/>
      <c r="AN532" s="225"/>
      <c r="AO532" s="225"/>
      <c r="AP532" s="225"/>
      <c r="AQ532" s="225"/>
      <c r="AR532" s="225"/>
    </row>
    <row r="533" spans="1:44" ht="15.75" customHeight="1">
      <c r="A533" s="131"/>
      <c r="B533" s="131"/>
      <c r="C533" s="131"/>
      <c r="D533" s="131"/>
      <c r="E533" s="131"/>
      <c r="F533" s="131"/>
      <c r="G533" s="131"/>
      <c r="H533" s="131"/>
      <c r="I533" s="131"/>
      <c r="J533" s="131"/>
      <c r="K533" s="131"/>
      <c r="L533" s="225"/>
      <c r="M533" s="225"/>
      <c r="N533" s="225"/>
      <c r="O533" s="225"/>
      <c r="P533" s="225"/>
      <c r="Q533" s="225"/>
      <c r="R533" s="225"/>
      <c r="S533" s="225"/>
      <c r="T533" s="225"/>
      <c r="U533" s="225"/>
      <c r="V533" s="225"/>
      <c r="W533" s="225"/>
      <c r="X533" s="225"/>
      <c r="Y533" s="225"/>
      <c r="Z533" s="225"/>
      <c r="AA533" s="225"/>
      <c r="AB533" s="225"/>
      <c r="AC533" s="225"/>
      <c r="AD533" s="225"/>
      <c r="AE533" s="225"/>
      <c r="AF533" s="225"/>
      <c r="AG533" s="225"/>
      <c r="AH533" s="225"/>
      <c r="AI533" s="225"/>
      <c r="AJ533" s="225"/>
      <c r="AK533" s="225"/>
      <c r="AL533" s="225"/>
      <c r="AM533" s="225"/>
      <c r="AN533" s="225"/>
      <c r="AO533" s="225"/>
      <c r="AP533" s="225"/>
      <c r="AQ533" s="225"/>
      <c r="AR533" s="225"/>
    </row>
    <row r="534" spans="1:44" ht="15.75" customHeight="1">
      <c r="A534" s="131"/>
      <c r="B534" s="131"/>
      <c r="C534" s="131"/>
      <c r="D534" s="131"/>
      <c r="E534" s="131"/>
      <c r="F534" s="131"/>
      <c r="G534" s="131"/>
      <c r="H534" s="131"/>
      <c r="I534" s="131"/>
      <c r="J534" s="131"/>
      <c r="K534" s="131"/>
      <c r="L534" s="225"/>
      <c r="M534" s="225"/>
      <c r="N534" s="225"/>
      <c r="O534" s="225"/>
      <c r="P534" s="225"/>
      <c r="Q534" s="225"/>
      <c r="R534" s="225"/>
      <c r="S534" s="225"/>
      <c r="T534" s="225"/>
      <c r="U534" s="225"/>
      <c r="V534" s="225"/>
      <c r="W534" s="225"/>
      <c r="X534" s="225"/>
      <c r="Y534" s="225"/>
      <c r="Z534" s="225"/>
      <c r="AA534" s="225"/>
      <c r="AB534" s="225"/>
      <c r="AC534" s="225"/>
      <c r="AD534" s="225"/>
      <c r="AE534" s="225"/>
      <c r="AF534" s="225"/>
      <c r="AG534" s="225"/>
      <c r="AH534" s="225"/>
      <c r="AI534" s="225"/>
      <c r="AJ534" s="225"/>
      <c r="AK534" s="225"/>
      <c r="AL534" s="225"/>
      <c r="AM534" s="225"/>
      <c r="AN534" s="225"/>
      <c r="AO534" s="225"/>
      <c r="AP534" s="225"/>
      <c r="AQ534" s="225"/>
      <c r="AR534" s="225"/>
    </row>
    <row r="535" spans="1:44" ht="15.75" customHeight="1">
      <c r="A535" s="131"/>
      <c r="B535" s="131"/>
      <c r="C535" s="131"/>
      <c r="D535" s="131"/>
      <c r="E535" s="131"/>
      <c r="F535" s="131"/>
      <c r="G535" s="131"/>
      <c r="H535" s="131"/>
      <c r="I535" s="131"/>
      <c r="J535" s="131"/>
      <c r="K535" s="131"/>
      <c r="L535" s="225"/>
      <c r="M535" s="225"/>
      <c r="N535" s="225"/>
      <c r="O535" s="225"/>
      <c r="P535" s="225"/>
      <c r="Q535" s="225"/>
      <c r="R535" s="225"/>
      <c r="S535" s="225"/>
      <c r="T535" s="225"/>
      <c r="U535" s="225"/>
      <c r="V535" s="225"/>
      <c r="W535" s="225"/>
      <c r="X535" s="225"/>
      <c r="Y535" s="225"/>
      <c r="Z535" s="225"/>
      <c r="AA535" s="225"/>
      <c r="AB535" s="225"/>
      <c r="AC535" s="225"/>
      <c r="AD535" s="225"/>
      <c r="AE535" s="225"/>
      <c r="AF535" s="225"/>
      <c r="AG535" s="225"/>
      <c r="AH535" s="225"/>
      <c r="AI535" s="225"/>
      <c r="AJ535" s="225"/>
      <c r="AK535" s="225"/>
      <c r="AL535" s="225"/>
      <c r="AM535" s="225"/>
      <c r="AN535" s="225"/>
      <c r="AO535" s="225"/>
      <c r="AP535" s="225"/>
      <c r="AQ535" s="225"/>
      <c r="AR535" s="225"/>
    </row>
    <row r="536" spans="1:44" ht="15.75" customHeight="1">
      <c r="A536" s="131"/>
      <c r="B536" s="131"/>
      <c r="C536" s="131"/>
      <c r="D536" s="131"/>
      <c r="E536" s="131"/>
      <c r="F536" s="131"/>
      <c r="G536" s="131"/>
      <c r="H536" s="131"/>
      <c r="I536" s="131"/>
      <c r="J536" s="131"/>
      <c r="K536" s="131"/>
      <c r="L536" s="225"/>
      <c r="M536" s="225"/>
      <c r="N536" s="225"/>
      <c r="O536" s="225"/>
      <c r="P536" s="225"/>
      <c r="Q536" s="225"/>
      <c r="R536" s="225"/>
      <c r="S536" s="225"/>
      <c r="T536" s="225"/>
      <c r="U536" s="225"/>
      <c r="V536" s="225"/>
      <c r="W536" s="225"/>
      <c r="X536" s="225"/>
      <c r="Y536" s="225"/>
      <c r="Z536" s="225"/>
      <c r="AA536" s="225"/>
      <c r="AB536" s="225"/>
      <c r="AC536" s="225"/>
      <c r="AD536" s="225"/>
      <c r="AE536" s="225"/>
      <c r="AF536" s="225"/>
      <c r="AG536" s="225"/>
      <c r="AH536" s="225"/>
      <c r="AI536" s="225"/>
      <c r="AJ536" s="225"/>
      <c r="AK536" s="225"/>
      <c r="AL536" s="225"/>
      <c r="AM536" s="225"/>
      <c r="AN536" s="225"/>
      <c r="AO536" s="225"/>
      <c r="AP536" s="225"/>
      <c r="AQ536" s="225"/>
      <c r="AR536" s="225"/>
    </row>
    <row r="537" spans="1:44" ht="15.75" customHeight="1">
      <c r="A537" s="131"/>
      <c r="B537" s="131"/>
      <c r="C537" s="131"/>
      <c r="D537" s="131"/>
      <c r="E537" s="131"/>
      <c r="F537" s="131"/>
      <c r="G537" s="131"/>
      <c r="H537" s="131"/>
      <c r="I537" s="131"/>
      <c r="J537" s="131"/>
      <c r="K537" s="131"/>
      <c r="L537" s="225"/>
      <c r="M537" s="225"/>
      <c r="N537" s="225"/>
      <c r="O537" s="225"/>
      <c r="P537" s="225"/>
      <c r="Q537" s="225"/>
      <c r="R537" s="225"/>
      <c r="S537" s="225"/>
      <c r="T537" s="225"/>
      <c r="U537" s="225"/>
      <c r="V537" s="225"/>
      <c r="W537" s="225"/>
      <c r="X537" s="225"/>
      <c r="Y537" s="225"/>
      <c r="Z537" s="225"/>
      <c r="AA537" s="225"/>
      <c r="AB537" s="225"/>
      <c r="AC537" s="225"/>
      <c r="AD537" s="225"/>
      <c r="AE537" s="225"/>
      <c r="AF537" s="225"/>
      <c r="AG537" s="225"/>
      <c r="AH537" s="225"/>
      <c r="AI537" s="225"/>
      <c r="AJ537" s="225"/>
      <c r="AK537" s="225"/>
      <c r="AL537" s="225"/>
      <c r="AM537" s="225"/>
      <c r="AN537" s="225"/>
      <c r="AO537" s="225"/>
      <c r="AP537" s="225"/>
      <c r="AQ537" s="225"/>
      <c r="AR537" s="225"/>
    </row>
    <row r="538" spans="1:44" ht="15.75" customHeight="1">
      <c r="A538" s="131"/>
      <c r="B538" s="131"/>
      <c r="C538" s="131"/>
      <c r="D538" s="131"/>
      <c r="E538" s="131"/>
      <c r="F538" s="131"/>
      <c r="G538" s="131"/>
      <c r="H538" s="131"/>
      <c r="I538" s="131"/>
      <c r="J538" s="131"/>
      <c r="K538" s="131"/>
      <c r="L538" s="225"/>
      <c r="M538" s="225"/>
      <c r="N538" s="225"/>
      <c r="O538" s="225"/>
      <c r="P538" s="225"/>
      <c r="Q538" s="225"/>
      <c r="R538" s="225"/>
      <c r="S538" s="225"/>
      <c r="T538" s="225"/>
      <c r="U538" s="225"/>
      <c r="V538" s="225"/>
      <c r="W538" s="225"/>
      <c r="X538" s="225"/>
      <c r="Y538" s="225"/>
      <c r="Z538" s="225"/>
      <c r="AA538" s="225"/>
      <c r="AB538" s="225"/>
      <c r="AC538" s="225"/>
      <c r="AD538" s="225"/>
      <c r="AE538" s="225"/>
      <c r="AF538" s="225"/>
      <c r="AG538" s="225"/>
      <c r="AH538" s="225"/>
      <c r="AI538" s="225"/>
      <c r="AJ538" s="225"/>
      <c r="AK538" s="225"/>
      <c r="AL538" s="225"/>
      <c r="AM538" s="225"/>
      <c r="AN538" s="225"/>
      <c r="AO538" s="225"/>
      <c r="AP538" s="225"/>
      <c r="AQ538" s="225"/>
      <c r="AR538" s="225"/>
    </row>
    <row r="539" spans="1:44" ht="15.75" customHeight="1">
      <c r="A539" s="131"/>
      <c r="B539" s="131"/>
      <c r="C539" s="131"/>
      <c r="D539" s="131"/>
      <c r="E539" s="131"/>
      <c r="F539" s="131"/>
      <c r="G539" s="131"/>
      <c r="H539" s="131"/>
      <c r="I539" s="131"/>
      <c r="J539" s="131"/>
      <c r="K539" s="131"/>
      <c r="L539" s="225"/>
      <c r="M539" s="225"/>
      <c r="N539" s="225"/>
      <c r="O539" s="225"/>
      <c r="P539" s="225"/>
      <c r="Q539" s="225"/>
      <c r="R539" s="225"/>
      <c r="S539" s="225"/>
      <c r="T539" s="225"/>
      <c r="U539" s="225"/>
      <c r="V539" s="225"/>
      <c r="W539" s="225"/>
      <c r="X539" s="225"/>
      <c r="Y539" s="225"/>
      <c r="Z539" s="225"/>
      <c r="AA539" s="225"/>
      <c r="AB539" s="225"/>
      <c r="AC539" s="225"/>
      <c r="AD539" s="225"/>
      <c r="AE539" s="225"/>
      <c r="AF539" s="225"/>
      <c r="AG539" s="225"/>
      <c r="AH539" s="225"/>
      <c r="AI539" s="225"/>
      <c r="AJ539" s="225"/>
      <c r="AK539" s="225"/>
      <c r="AL539" s="225"/>
      <c r="AM539" s="225"/>
      <c r="AN539" s="225"/>
      <c r="AO539" s="225"/>
      <c r="AP539" s="225"/>
      <c r="AQ539" s="225"/>
      <c r="AR539" s="225"/>
    </row>
    <row r="540" spans="1:44" ht="15.75" customHeight="1">
      <c r="A540" s="131"/>
      <c r="B540" s="131"/>
      <c r="C540" s="131"/>
      <c r="D540" s="131"/>
      <c r="E540" s="131"/>
      <c r="F540" s="131"/>
      <c r="G540" s="131"/>
      <c r="H540" s="131"/>
      <c r="I540" s="131"/>
      <c r="J540" s="131"/>
      <c r="K540" s="131"/>
      <c r="L540" s="225"/>
      <c r="M540" s="225"/>
      <c r="N540" s="225"/>
      <c r="O540" s="225"/>
      <c r="P540" s="225"/>
      <c r="Q540" s="225"/>
      <c r="R540" s="225"/>
      <c r="S540" s="225"/>
      <c r="T540" s="225"/>
      <c r="U540" s="225"/>
      <c r="V540" s="225"/>
      <c r="W540" s="225"/>
      <c r="X540" s="225"/>
      <c r="Y540" s="225"/>
      <c r="Z540" s="225"/>
      <c r="AA540" s="225"/>
      <c r="AB540" s="225"/>
      <c r="AC540" s="225"/>
      <c r="AD540" s="225"/>
      <c r="AE540" s="225"/>
      <c r="AF540" s="225"/>
      <c r="AG540" s="225"/>
      <c r="AH540" s="225"/>
      <c r="AI540" s="225"/>
      <c r="AJ540" s="225"/>
      <c r="AK540" s="225"/>
      <c r="AL540" s="225"/>
      <c r="AM540" s="225"/>
      <c r="AN540" s="225"/>
      <c r="AO540" s="225"/>
      <c r="AP540" s="225"/>
      <c r="AQ540" s="225"/>
      <c r="AR540" s="225"/>
    </row>
    <row r="541" spans="1:44" ht="15.75" customHeight="1">
      <c r="A541" s="131"/>
      <c r="B541" s="131"/>
      <c r="C541" s="131"/>
      <c r="D541" s="131"/>
      <c r="E541" s="131"/>
      <c r="F541" s="131"/>
      <c r="G541" s="131"/>
      <c r="H541" s="131"/>
      <c r="I541" s="131"/>
      <c r="J541" s="131"/>
      <c r="K541" s="131"/>
      <c r="L541" s="225"/>
      <c r="M541" s="225"/>
      <c r="N541" s="225"/>
      <c r="O541" s="225"/>
      <c r="P541" s="225"/>
      <c r="Q541" s="225"/>
      <c r="R541" s="225"/>
      <c r="S541" s="225"/>
      <c r="T541" s="225"/>
      <c r="U541" s="225"/>
      <c r="V541" s="225"/>
      <c r="W541" s="225"/>
      <c r="X541" s="225"/>
      <c r="Y541" s="225"/>
      <c r="Z541" s="225"/>
      <c r="AA541" s="225"/>
      <c r="AB541" s="225"/>
      <c r="AC541" s="225"/>
      <c r="AD541" s="225"/>
      <c r="AE541" s="225"/>
      <c r="AF541" s="225"/>
      <c r="AG541" s="225"/>
      <c r="AH541" s="225"/>
      <c r="AI541" s="225"/>
      <c r="AJ541" s="225"/>
      <c r="AK541" s="225"/>
      <c r="AL541" s="225"/>
      <c r="AM541" s="225"/>
      <c r="AN541" s="225"/>
      <c r="AO541" s="225"/>
      <c r="AP541" s="225"/>
      <c r="AQ541" s="225"/>
      <c r="AR541" s="225"/>
    </row>
    <row r="542" spans="1:44" ht="15.75" customHeight="1">
      <c r="A542" s="131"/>
      <c r="B542" s="131"/>
      <c r="C542" s="131"/>
      <c r="D542" s="131"/>
      <c r="E542" s="131"/>
      <c r="F542" s="131"/>
      <c r="G542" s="131"/>
      <c r="H542" s="131"/>
      <c r="I542" s="131"/>
      <c r="J542" s="131"/>
      <c r="K542" s="131"/>
      <c r="L542" s="225"/>
      <c r="M542" s="225"/>
      <c r="N542" s="225"/>
      <c r="O542" s="225"/>
      <c r="P542" s="225"/>
      <c r="Q542" s="225"/>
      <c r="R542" s="225"/>
      <c r="S542" s="225"/>
      <c r="T542" s="225"/>
      <c r="U542" s="225"/>
      <c r="V542" s="225"/>
      <c r="W542" s="225"/>
      <c r="X542" s="225"/>
      <c r="Y542" s="225"/>
      <c r="Z542" s="225"/>
      <c r="AA542" s="225"/>
      <c r="AB542" s="225"/>
      <c r="AC542" s="225"/>
      <c r="AD542" s="225"/>
      <c r="AE542" s="225"/>
      <c r="AF542" s="225"/>
      <c r="AG542" s="225"/>
      <c r="AH542" s="225"/>
      <c r="AI542" s="225"/>
      <c r="AJ542" s="225"/>
      <c r="AK542" s="225"/>
      <c r="AL542" s="225"/>
      <c r="AM542" s="225"/>
      <c r="AN542" s="225"/>
      <c r="AO542" s="225"/>
      <c r="AP542" s="225"/>
      <c r="AQ542" s="225"/>
      <c r="AR542" s="225"/>
    </row>
    <row r="543" spans="1:44" ht="15.75" customHeight="1">
      <c r="A543" s="131"/>
      <c r="B543" s="131"/>
      <c r="C543" s="131"/>
      <c r="D543" s="131"/>
      <c r="E543" s="131"/>
      <c r="F543" s="131"/>
      <c r="G543" s="131"/>
      <c r="H543" s="131"/>
      <c r="I543" s="131"/>
      <c r="J543" s="131"/>
      <c r="K543" s="131"/>
      <c r="L543" s="225"/>
      <c r="M543" s="225"/>
      <c r="N543" s="225"/>
      <c r="O543" s="225"/>
      <c r="P543" s="225"/>
      <c r="Q543" s="225"/>
      <c r="R543" s="225"/>
      <c r="S543" s="225"/>
      <c r="T543" s="225"/>
      <c r="U543" s="225"/>
      <c r="V543" s="225"/>
      <c r="W543" s="225"/>
      <c r="X543" s="225"/>
      <c r="Y543" s="225"/>
      <c r="Z543" s="225"/>
      <c r="AA543" s="225"/>
      <c r="AB543" s="225"/>
      <c r="AC543" s="225"/>
      <c r="AD543" s="225"/>
      <c r="AE543" s="225"/>
      <c r="AF543" s="225"/>
      <c r="AG543" s="225"/>
      <c r="AH543" s="225"/>
      <c r="AI543" s="225"/>
      <c r="AJ543" s="225"/>
      <c r="AK543" s="225"/>
      <c r="AL543" s="225"/>
      <c r="AM543" s="225"/>
      <c r="AN543" s="225"/>
      <c r="AO543" s="225"/>
      <c r="AP543" s="225"/>
      <c r="AQ543" s="225"/>
      <c r="AR543" s="225"/>
    </row>
    <row r="544" spans="1:44" ht="15.75" customHeight="1">
      <c r="A544" s="131"/>
      <c r="B544" s="131"/>
      <c r="C544" s="131"/>
      <c r="D544" s="131"/>
      <c r="E544" s="131"/>
      <c r="F544" s="131"/>
      <c r="G544" s="131"/>
      <c r="H544" s="131"/>
      <c r="I544" s="131"/>
      <c r="J544" s="131"/>
      <c r="K544" s="131"/>
      <c r="L544" s="225"/>
      <c r="M544" s="225"/>
      <c r="N544" s="225"/>
      <c r="O544" s="225"/>
      <c r="P544" s="225"/>
      <c r="Q544" s="225"/>
      <c r="R544" s="225"/>
      <c r="S544" s="225"/>
      <c r="T544" s="225"/>
      <c r="U544" s="225"/>
      <c r="V544" s="225"/>
      <c r="W544" s="225"/>
      <c r="X544" s="225"/>
      <c r="Y544" s="225"/>
      <c r="Z544" s="225"/>
      <c r="AA544" s="225"/>
      <c r="AB544" s="225"/>
      <c r="AC544" s="225"/>
      <c r="AD544" s="225"/>
      <c r="AE544" s="225"/>
      <c r="AF544" s="225"/>
      <c r="AG544" s="225"/>
      <c r="AH544" s="225"/>
      <c r="AI544" s="225"/>
      <c r="AJ544" s="225"/>
      <c r="AK544" s="225"/>
      <c r="AL544" s="225"/>
      <c r="AM544" s="225"/>
      <c r="AN544" s="225"/>
      <c r="AO544" s="225"/>
      <c r="AP544" s="225"/>
      <c r="AQ544" s="225"/>
      <c r="AR544" s="225"/>
    </row>
    <row r="545" spans="1:44" ht="15.75" customHeight="1">
      <c r="A545" s="131"/>
      <c r="B545" s="131"/>
      <c r="C545" s="131"/>
      <c r="D545" s="131"/>
      <c r="E545" s="131"/>
      <c r="F545" s="131"/>
      <c r="G545" s="131"/>
      <c r="H545" s="131"/>
      <c r="I545" s="131"/>
      <c r="J545" s="131"/>
      <c r="K545" s="131"/>
      <c r="L545" s="225"/>
      <c r="M545" s="225"/>
      <c r="N545" s="225"/>
      <c r="O545" s="225"/>
      <c r="P545" s="225"/>
      <c r="Q545" s="225"/>
      <c r="R545" s="225"/>
      <c r="S545" s="225"/>
      <c r="T545" s="225"/>
      <c r="U545" s="225"/>
      <c r="V545" s="225"/>
      <c r="W545" s="225"/>
      <c r="X545" s="225"/>
      <c r="Y545" s="225"/>
      <c r="Z545" s="225"/>
      <c r="AA545" s="225"/>
      <c r="AB545" s="225"/>
      <c r="AC545" s="225"/>
      <c r="AD545" s="225"/>
      <c r="AE545" s="225"/>
      <c r="AF545" s="225"/>
      <c r="AG545" s="225"/>
      <c r="AH545" s="225"/>
      <c r="AI545" s="225"/>
      <c r="AJ545" s="225"/>
      <c r="AK545" s="225"/>
      <c r="AL545" s="225"/>
      <c r="AM545" s="225"/>
      <c r="AN545" s="225"/>
      <c r="AO545" s="225"/>
      <c r="AP545" s="225"/>
      <c r="AQ545" s="225"/>
      <c r="AR545" s="225"/>
    </row>
    <row r="546" spans="1:44" ht="15.75" customHeight="1">
      <c r="A546" s="131"/>
      <c r="B546" s="131"/>
      <c r="C546" s="131"/>
      <c r="D546" s="131"/>
      <c r="E546" s="131"/>
      <c r="F546" s="131"/>
      <c r="G546" s="131"/>
      <c r="H546" s="131"/>
      <c r="I546" s="131"/>
      <c r="J546" s="131"/>
      <c r="K546" s="131"/>
      <c r="L546" s="225"/>
      <c r="M546" s="225"/>
      <c r="N546" s="225"/>
      <c r="O546" s="225"/>
      <c r="P546" s="225"/>
      <c r="Q546" s="225"/>
      <c r="R546" s="225"/>
      <c r="S546" s="225"/>
      <c r="T546" s="225"/>
      <c r="U546" s="225"/>
      <c r="V546" s="225"/>
      <c r="W546" s="225"/>
      <c r="X546" s="225"/>
      <c r="Y546" s="225"/>
      <c r="Z546" s="225"/>
      <c r="AA546" s="225"/>
      <c r="AB546" s="225"/>
      <c r="AC546" s="225"/>
      <c r="AD546" s="225"/>
      <c r="AE546" s="225"/>
      <c r="AF546" s="225"/>
      <c r="AG546" s="225"/>
      <c r="AH546" s="225"/>
      <c r="AI546" s="225"/>
      <c r="AJ546" s="225"/>
      <c r="AK546" s="225"/>
      <c r="AL546" s="225"/>
      <c r="AM546" s="225"/>
      <c r="AN546" s="225"/>
      <c r="AO546" s="225"/>
      <c r="AP546" s="225"/>
      <c r="AQ546" s="225"/>
      <c r="AR546" s="225"/>
    </row>
    <row r="547" spans="1:44" ht="15.75" customHeight="1">
      <c r="A547" s="131"/>
      <c r="B547" s="131"/>
      <c r="C547" s="131"/>
      <c r="D547" s="131"/>
      <c r="E547" s="131"/>
      <c r="F547" s="131"/>
      <c r="G547" s="131"/>
      <c r="H547" s="131"/>
      <c r="I547" s="131"/>
      <c r="J547" s="131"/>
      <c r="K547" s="131"/>
      <c r="L547" s="225"/>
      <c r="M547" s="225"/>
      <c r="N547" s="225"/>
      <c r="O547" s="225"/>
      <c r="P547" s="225"/>
      <c r="Q547" s="225"/>
      <c r="R547" s="225"/>
      <c r="S547" s="225"/>
      <c r="T547" s="225"/>
      <c r="U547" s="225"/>
      <c r="V547" s="225"/>
      <c r="W547" s="225"/>
      <c r="X547" s="225"/>
      <c r="Y547" s="225"/>
      <c r="Z547" s="225"/>
      <c r="AA547" s="225"/>
      <c r="AB547" s="225"/>
      <c r="AC547" s="225"/>
      <c r="AD547" s="225"/>
      <c r="AE547" s="225"/>
      <c r="AF547" s="225"/>
      <c r="AG547" s="225"/>
      <c r="AH547" s="225"/>
      <c r="AI547" s="225"/>
      <c r="AJ547" s="225"/>
      <c r="AK547" s="225"/>
      <c r="AL547" s="225"/>
      <c r="AM547" s="225"/>
      <c r="AN547" s="225"/>
      <c r="AO547" s="225"/>
      <c r="AP547" s="225"/>
      <c r="AQ547" s="225"/>
      <c r="AR547" s="225"/>
    </row>
    <row r="548" spans="1:44" ht="15.75" customHeight="1">
      <c r="A548" s="131"/>
      <c r="B548" s="131"/>
      <c r="C548" s="131"/>
      <c r="D548" s="131"/>
      <c r="E548" s="131"/>
      <c r="F548" s="131"/>
      <c r="G548" s="131"/>
      <c r="H548" s="131"/>
      <c r="I548" s="131"/>
      <c r="J548" s="131"/>
      <c r="K548" s="131"/>
      <c r="L548" s="225"/>
      <c r="M548" s="225"/>
      <c r="N548" s="225"/>
      <c r="O548" s="225"/>
      <c r="P548" s="225"/>
      <c r="Q548" s="225"/>
      <c r="R548" s="225"/>
      <c r="S548" s="225"/>
      <c r="T548" s="225"/>
      <c r="U548" s="225"/>
      <c r="V548" s="225"/>
      <c r="W548" s="225"/>
      <c r="X548" s="225"/>
      <c r="Y548" s="225"/>
      <c r="Z548" s="225"/>
      <c r="AA548" s="225"/>
      <c r="AB548" s="225"/>
      <c r="AC548" s="225"/>
      <c r="AD548" s="225"/>
      <c r="AE548" s="225"/>
      <c r="AF548" s="225"/>
      <c r="AG548" s="225"/>
      <c r="AH548" s="225"/>
      <c r="AI548" s="225"/>
      <c r="AJ548" s="225"/>
      <c r="AK548" s="225"/>
      <c r="AL548" s="225"/>
      <c r="AM548" s="225"/>
      <c r="AN548" s="225"/>
      <c r="AO548" s="225"/>
      <c r="AP548" s="225"/>
      <c r="AQ548" s="225"/>
      <c r="AR548" s="225"/>
    </row>
    <row r="549" spans="1:44" ht="15.75" customHeight="1">
      <c r="A549" s="131"/>
      <c r="B549" s="131"/>
      <c r="C549" s="131"/>
      <c r="D549" s="131"/>
      <c r="E549" s="131"/>
      <c r="F549" s="131"/>
      <c r="G549" s="131"/>
      <c r="H549" s="131"/>
      <c r="I549" s="131"/>
      <c r="J549" s="131"/>
      <c r="K549" s="131"/>
      <c r="L549" s="225"/>
      <c r="M549" s="225"/>
      <c r="N549" s="225"/>
      <c r="O549" s="225"/>
      <c r="P549" s="225"/>
      <c r="Q549" s="225"/>
      <c r="R549" s="225"/>
      <c r="S549" s="225"/>
      <c r="T549" s="225"/>
      <c r="U549" s="225"/>
      <c r="V549" s="225"/>
      <c r="W549" s="225"/>
      <c r="X549" s="225"/>
      <c r="Y549" s="225"/>
      <c r="Z549" s="225"/>
      <c r="AA549" s="225"/>
      <c r="AB549" s="225"/>
      <c r="AC549" s="225"/>
      <c r="AD549" s="225"/>
      <c r="AE549" s="225"/>
      <c r="AF549" s="225"/>
      <c r="AG549" s="225"/>
      <c r="AH549" s="225"/>
      <c r="AI549" s="225"/>
      <c r="AJ549" s="225"/>
      <c r="AK549" s="225"/>
      <c r="AL549" s="225"/>
      <c r="AM549" s="225"/>
      <c r="AN549" s="225"/>
      <c r="AO549" s="225"/>
      <c r="AP549" s="225"/>
      <c r="AQ549" s="225"/>
      <c r="AR549" s="225"/>
    </row>
    <row r="550" spans="1:44" ht="15.75" customHeight="1">
      <c r="A550" s="131"/>
      <c r="B550" s="131"/>
      <c r="C550" s="131"/>
      <c r="D550" s="131"/>
      <c r="E550" s="131"/>
      <c r="F550" s="131"/>
      <c r="G550" s="131"/>
      <c r="H550" s="131"/>
      <c r="I550" s="131"/>
      <c r="J550" s="131"/>
      <c r="K550" s="131"/>
      <c r="L550" s="225"/>
      <c r="M550" s="225"/>
      <c r="N550" s="225"/>
      <c r="O550" s="225"/>
      <c r="P550" s="225"/>
      <c r="Q550" s="225"/>
      <c r="R550" s="225"/>
      <c r="S550" s="225"/>
      <c r="T550" s="225"/>
      <c r="U550" s="225"/>
      <c r="V550" s="225"/>
      <c r="W550" s="225"/>
      <c r="X550" s="225"/>
      <c r="Y550" s="225"/>
      <c r="Z550" s="225"/>
      <c r="AA550" s="225"/>
      <c r="AB550" s="225"/>
      <c r="AC550" s="225"/>
      <c r="AD550" s="225"/>
      <c r="AE550" s="225"/>
      <c r="AF550" s="225"/>
      <c r="AG550" s="225"/>
      <c r="AH550" s="225"/>
      <c r="AI550" s="225"/>
      <c r="AJ550" s="225"/>
      <c r="AK550" s="225"/>
      <c r="AL550" s="225"/>
      <c r="AM550" s="225"/>
      <c r="AN550" s="225"/>
      <c r="AO550" s="225"/>
      <c r="AP550" s="225"/>
      <c r="AQ550" s="225"/>
      <c r="AR550" s="225"/>
    </row>
    <row r="551" spans="1:44" ht="15.75" customHeight="1">
      <c r="A551" s="131"/>
      <c r="B551" s="131"/>
      <c r="C551" s="131"/>
      <c r="D551" s="131"/>
      <c r="E551" s="131"/>
      <c r="F551" s="131"/>
      <c r="G551" s="131"/>
      <c r="H551" s="131"/>
      <c r="I551" s="131"/>
      <c r="J551" s="131"/>
      <c r="K551" s="131"/>
      <c r="L551" s="225"/>
      <c r="M551" s="225"/>
      <c r="N551" s="225"/>
      <c r="O551" s="225"/>
      <c r="P551" s="225"/>
      <c r="Q551" s="225"/>
      <c r="R551" s="225"/>
      <c r="S551" s="225"/>
      <c r="T551" s="225"/>
      <c r="U551" s="225"/>
      <c r="V551" s="225"/>
      <c r="W551" s="225"/>
      <c r="X551" s="225"/>
      <c r="Y551" s="225"/>
      <c r="Z551" s="225"/>
      <c r="AA551" s="225"/>
      <c r="AB551" s="225"/>
      <c r="AC551" s="225"/>
      <c r="AD551" s="225"/>
      <c r="AE551" s="225"/>
      <c r="AF551" s="225"/>
      <c r="AG551" s="225"/>
      <c r="AH551" s="225"/>
      <c r="AI551" s="225"/>
      <c r="AJ551" s="225"/>
      <c r="AK551" s="225"/>
      <c r="AL551" s="225"/>
      <c r="AM551" s="225"/>
      <c r="AN551" s="225"/>
      <c r="AO551" s="225"/>
      <c r="AP551" s="225"/>
      <c r="AQ551" s="225"/>
      <c r="AR551" s="225"/>
    </row>
    <row r="552" spans="1:44" ht="15.75" customHeight="1">
      <c r="A552" s="131"/>
      <c r="B552" s="131"/>
      <c r="C552" s="131"/>
      <c r="D552" s="131"/>
      <c r="E552" s="131"/>
      <c r="F552" s="131"/>
      <c r="G552" s="131"/>
      <c r="H552" s="131"/>
      <c r="I552" s="131"/>
      <c r="J552" s="131"/>
      <c r="K552" s="131"/>
      <c r="L552" s="225"/>
      <c r="M552" s="225"/>
      <c r="N552" s="225"/>
      <c r="O552" s="225"/>
      <c r="P552" s="225"/>
      <c r="Q552" s="225"/>
      <c r="R552" s="225"/>
      <c r="S552" s="225"/>
      <c r="T552" s="225"/>
      <c r="U552" s="225"/>
      <c r="V552" s="225"/>
      <c r="W552" s="225"/>
      <c r="X552" s="225"/>
      <c r="Y552" s="225"/>
      <c r="Z552" s="225"/>
      <c r="AA552" s="225"/>
      <c r="AB552" s="225"/>
      <c r="AC552" s="225"/>
      <c r="AD552" s="225"/>
      <c r="AE552" s="225"/>
      <c r="AF552" s="225"/>
      <c r="AG552" s="225"/>
      <c r="AH552" s="225"/>
      <c r="AI552" s="225"/>
      <c r="AJ552" s="225"/>
      <c r="AK552" s="225"/>
      <c r="AL552" s="225"/>
      <c r="AM552" s="225"/>
      <c r="AN552" s="225"/>
      <c r="AO552" s="225"/>
      <c r="AP552" s="225"/>
      <c r="AQ552" s="225"/>
      <c r="AR552" s="225"/>
    </row>
    <row r="553" spans="1:44" ht="15.75" customHeight="1">
      <c r="A553" s="131"/>
      <c r="B553" s="131"/>
      <c r="C553" s="131"/>
      <c r="D553" s="131"/>
      <c r="E553" s="131"/>
      <c r="F553" s="131"/>
      <c r="G553" s="131"/>
      <c r="H553" s="131"/>
      <c r="I553" s="131"/>
      <c r="J553" s="131"/>
      <c r="K553" s="131"/>
      <c r="L553" s="225"/>
      <c r="M553" s="225"/>
      <c r="N553" s="225"/>
      <c r="O553" s="225"/>
      <c r="P553" s="225"/>
      <c r="Q553" s="225"/>
      <c r="R553" s="225"/>
      <c r="S553" s="225"/>
      <c r="T553" s="225"/>
      <c r="U553" s="225"/>
      <c r="V553" s="225"/>
      <c r="W553" s="225"/>
      <c r="X553" s="225"/>
      <c r="Y553" s="225"/>
      <c r="Z553" s="225"/>
      <c r="AA553" s="225"/>
      <c r="AB553" s="225"/>
      <c r="AC553" s="225"/>
      <c r="AD553" s="225"/>
      <c r="AE553" s="225"/>
      <c r="AF553" s="225"/>
      <c r="AG553" s="225"/>
      <c r="AH553" s="225"/>
      <c r="AI553" s="225"/>
      <c r="AJ553" s="225"/>
      <c r="AK553" s="225"/>
      <c r="AL553" s="225"/>
      <c r="AM553" s="225"/>
      <c r="AN553" s="225"/>
      <c r="AO553" s="225"/>
      <c r="AP553" s="225"/>
      <c r="AQ553" s="225"/>
      <c r="AR553" s="225"/>
    </row>
    <row r="554" spans="1:44" ht="15.75" customHeight="1">
      <c r="A554" s="131"/>
      <c r="B554" s="131"/>
      <c r="C554" s="131"/>
      <c r="D554" s="131"/>
      <c r="E554" s="131"/>
      <c r="F554" s="131"/>
      <c r="G554" s="131"/>
      <c r="H554" s="131"/>
      <c r="I554" s="131"/>
      <c r="J554" s="131"/>
      <c r="K554" s="131"/>
      <c r="L554" s="225"/>
      <c r="M554" s="225"/>
      <c r="N554" s="225"/>
      <c r="O554" s="225"/>
      <c r="P554" s="225"/>
      <c r="Q554" s="225"/>
      <c r="R554" s="225"/>
      <c r="S554" s="225"/>
      <c r="T554" s="225"/>
      <c r="U554" s="225"/>
      <c r="V554" s="225"/>
      <c r="W554" s="225"/>
      <c r="X554" s="225"/>
      <c r="Y554" s="225"/>
      <c r="Z554" s="225"/>
      <c r="AA554" s="225"/>
      <c r="AB554" s="225"/>
      <c r="AC554" s="225"/>
      <c r="AD554" s="225"/>
      <c r="AE554" s="225"/>
      <c r="AF554" s="225"/>
      <c r="AG554" s="225"/>
      <c r="AH554" s="225"/>
      <c r="AI554" s="225"/>
      <c r="AJ554" s="225"/>
      <c r="AK554" s="225"/>
      <c r="AL554" s="225"/>
      <c r="AM554" s="225"/>
      <c r="AN554" s="225"/>
      <c r="AO554" s="225"/>
      <c r="AP554" s="225"/>
      <c r="AQ554" s="225"/>
      <c r="AR554" s="225"/>
    </row>
    <row r="555" spans="1:44" ht="15.75" customHeight="1">
      <c r="A555" s="131"/>
      <c r="B555" s="131"/>
      <c r="C555" s="131"/>
      <c r="D555" s="131"/>
      <c r="E555" s="131"/>
      <c r="F555" s="131"/>
      <c r="G555" s="131"/>
      <c r="H555" s="131"/>
      <c r="I555" s="131"/>
      <c r="J555" s="131"/>
      <c r="K555" s="131"/>
      <c r="L555" s="225"/>
      <c r="M555" s="225"/>
      <c r="N555" s="225"/>
      <c r="O555" s="225"/>
      <c r="P555" s="225"/>
      <c r="Q555" s="225"/>
      <c r="R555" s="225"/>
      <c r="S555" s="225"/>
      <c r="T555" s="225"/>
      <c r="U555" s="225"/>
      <c r="V555" s="225"/>
      <c r="W555" s="225"/>
      <c r="X555" s="225"/>
      <c r="Y555" s="225"/>
      <c r="Z555" s="225"/>
      <c r="AA555" s="225"/>
      <c r="AB555" s="225"/>
      <c r="AC555" s="225"/>
      <c r="AD555" s="225"/>
      <c r="AE555" s="225"/>
      <c r="AF555" s="225"/>
      <c r="AG555" s="225"/>
      <c r="AH555" s="225"/>
      <c r="AI555" s="225"/>
      <c r="AJ555" s="225"/>
      <c r="AK555" s="225"/>
      <c r="AL555" s="225"/>
      <c r="AM555" s="225"/>
      <c r="AN555" s="225"/>
      <c r="AO555" s="225"/>
      <c r="AP555" s="225"/>
      <c r="AQ555" s="225"/>
      <c r="AR555" s="225"/>
    </row>
    <row r="556" spans="1:44" ht="15.75" customHeight="1">
      <c r="A556" s="131"/>
      <c r="B556" s="131"/>
      <c r="C556" s="131"/>
      <c r="D556" s="131"/>
      <c r="E556" s="131"/>
      <c r="F556" s="131"/>
      <c r="G556" s="131"/>
      <c r="H556" s="131"/>
      <c r="I556" s="131"/>
      <c r="J556" s="131"/>
      <c r="K556" s="131"/>
      <c r="L556" s="225"/>
      <c r="M556" s="225"/>
      <c r="N556" s="225"/>
      <c r="O556" s="225"/>
      <c r="P556" s="225"/>
      <c r="Q556" s="225"/>
      <c r="R556" s="225"/>
      <c r="S556" s="225"/>
      <c r="T556" s="225"/>
      <c r="U556" s="225"/>
      <c r="V556" s="225"/>
      <c r="W556" s="225"/>
      <c r="X556" s="225"/>
      <c r="Y556" s="225"/>
      <c r="Z556" s="225"/>
      <c r="AA556" s="225"/>
      <c r="AB556" s="225"/>
      <c r="AC556" s="225"/>
      <c r="AD556" s="225"/>
      <c r="AE556" s="225"/>
      <c r="AF556" s="225"/>
      <c r="AG556" s="225"/>
      <c r="AH556" s="225"/>
      <c r="AI556" s="225"/>
      <c r="AJ556" s="225"/>
      <c r="AK556" s="225"/>
      <c r="AL556" s="225"/>
      <c r="AM556" s="225"/>
      <c r="AN556" s="225"/>
      <c r="AO556" s="225"/>
      <c r="AP556" s="225"/>
      <c r="AQ556" s="225"/>
      <c r="AR556" s="225"/>
    </row>
    <row r="557" spans="1:44" ht="15.75" customHeight="1">
      <c r="A557" s="131"/>
      <c r="B557" s="131"/>
      <c r="C557" s="131"/>
      <c r="D557" s="131"/>
      <c r="E557" s="131"/>
      <c r="F557" s="131"/>
      <c r="G557" s="131"/>
      <c r="H557" s="131"/>
      <c r="I557" s="131"/>
      <c r="J557" s="131"/>
      <c r="K557" s="131"/>
      <c r="L557" s="225"/>
      <c r="M557" s="225"/>
      <c r="N557" s="225"/>
      <c r="O557" s="225"/>
      <c r="P557" s="225"/>
      <c r="Q557" s="225"/>
      <c r="R557" s="225"/>
      <c r="S557" s="225"/>
      <c r="T557" s="225"/>
      <c r="U557" s="225"/>
      <c r="V557" s="225"/>
      <c r="W557" s="225"/>
      <c r="X557" s="225"/>
      <c r="Y557" s="225"/>
      <c r="Z557" s="225"/>
      <c r="AA557" s="225"/>
      <c r="AB557" s="225"/>
      <c r="AC557" s="225"/>
      <c r="AD557" s="225"/>
      <c r="AE557" s="225"/>
      <c r="AF557" s="225"/>
      <c r="AG557" s="225"/>
      <c r="AH557" s="225"/>
      <c r="AI557" s="225"/>
      <c r="AJ557" s="225"/>
      <c r="AK557" s="225"/>
      <c r="AL557" s="225"/>
      <c r="AM557" s="225"/>
      <c r="AN557" s="225"/>
      <c r="AO557" s="225"/>
      <c r="AP557" s="225"/>
      <c r="AQ557" s="225"/>
      <c r="AR557" s="225"/>
    </row>
    <row r="558" spans="1:44" ht="15.75" customHeight="1">
      <c r="A558" s="131"/>
      <c r="B558" s="131"/>
      <c r="C558" s="131"/>
      <c r="D558" s="131"/>
      <c r="E558" s="131"/>
      <c r="F558" s="131"/>
      <c r="G558" s="131"/>
      <c r="H558" s="131"/>
      <c r="I558" s="131"/>
      <c r="J558" s="131"/>
      <c r="K558" s="131"/>
      <c r="L558" s="225"/>
      <c r="M558" s="225"/>
      <c r="N558" s="225"/>
      <c r="O558" s="225"/>
      <c r="P558" s="225"/>
      <c r="Q558" s="225"/>
      <c r="R558" s="225"/>
      <c r="S558" s="225"/>
      <c r="T558" s="225"/>
      <c r="U558" s="225"/>
      <c r="V558" s="225"/>
      <c r="W558" s="225"/>
      <c r="X558" s="225"/>
      <c r="Y558" s="225"/>
      <c r="Z558" s="225"/>
      <c r="AA558" s="225"/>
      <c r="AB558" s="225"/>
      <c r="AC558" s="225"/>
      <c r="AD558" s="225"/>
      <c r="AE558" s="225"/>
      <c r="AF558" s="225"/>
      <c r="AG558" s="225"/>
      <c r="AH558" s="225"/>
      <c r="AI558" s="225"/>
      <c r="AJ558" s="225"/>
      <c r="AK558" s="225"/>
      <c r="AL558" s="225"/>
      <c r="AM558" s="225"/>
      <c r="AN558" s="225"/>
      <c r="AO558" s="225"/>
      <c r="AP558" s="225"/>
      <c r="AQ558" s="225"/>
      <c r="AR558" s="225"/>
    </row>
    <row r="559" spans="1:44" ht="15.75" customHeight="1">
      <c r="A559" s="131"/>
      <c r="B559" s="131"/>
      <c r="C559" s="131"/>
      <c r="D559" s="131"/>
      <c r="E559" s="131"/>
      <c r="F559" s="131"/>
      <c r="G559" s="131"/>
      <c r="H559" s="131"/>
      <c r="I559" s="131"/>
      <c r="J559" s="131"/>
      <c r="K559" s="131"/>
      <c r="L559" s="225"/>
      <c r="M559" s="225"/>
      <c r="N559" s="225"/>
      <c r="O559" s="225"/>
      <c r="P559" s="225"/>
      <c r="Q559" s="225"/>
      <c r="R559" s="225"/>
      <c r="S559" s="225"/>
      <c r="T559" s="225"/>
      <c r="U559" s="225"/>
      <c r="V559" s="225"/>
      <c r="W559" s="225"/>
      <c r="X559" s="225"/>
      <c r="Y559" s="225"/>
      <c r="Z559" s="225"/>
      <c r="AA559" s="225"/>
      <c r="AB559" s="225"/>
      <c r="AC559" s="225"/>
      <c r="AD559" s="225"/>
      <c r="AE559" s="225"/>
      <c r="AF559" s="225"/>
      <c r="AG559" s="225"/>
      <c r="AH559" s="225"/>
      <c r="AI559" s="225"/>
      <c r="AJ559" s="225"/>
      <c r="AK559" s="225"/>
      <c r="AL559" s="225"/>
      <c r="AM559" s="225"/>
      <c r="AN559" s="225"/>
      <c r="AO559" s="225"/>
      <c r="AP559" s="225"/>
      <c r="AQ559" s="225"/>
      <c r="AR559" s="225"/>
    </row>
    <row r="560" spans="1:44" ht="15.75" customHeight="1">
      <c r="A560" s="131"/>
      <c r="B560" s="131"/>
      <c r="C560" s="131"/>
      <c r="D560" s="131"/>
      <c r="E560" s="131"/>
      <c r="F560" s="131"/>
      <c r="G560" s="131"/>
      <c r="H560" s="131"/>
      <c r="I560" s="131"/>
      <c r="J560" s="131"/>
      <c r="K560" s="131"/>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row>
    <row r="561" spans="1:44" ht="15.75" customHeight="1">
      <c r="A561" s="131"/>
      <c r="B561" s="131"/>
      <c r="C561" s="131"/>
      <c r="D561" s="131"/>
      <c r="E561" s="131"/>
      <c r="F561" s="131"/>
      <c r="G561" s="131"/>
      <c r="H561" s="131"/>
      <c r="I561" s="131"/>
      <c r="J561" s="131"/>
      <c r="K561" s="131"/>
      <c r="L561" s="225"/>
      <c r="M561" s="225"/>
      <c r="N561" s="225"/>
      <c r="O561" s="225"/>
      <c r="P561" s="225"/>
      <c r="Q561" s="225"/>
      <c r="R561" s="225"/>
      <c r="S561" s="225"/>
      <c r="T561" s="225"/>
      <c r="U561" s="225"/>
      <c r="V561" s="225"/>
      <c r="W561" s="225"/>
      <c r="X561" s="225"/>
      <c r="Y561" s="225"/>
      <c r="Z561" s="225"/>
      <c r="AA561" s="225"/>
      <c r="AB561" s="225"/>
      <c r="AC561" s="225"/>
      <c r="AD561" s="225"/>
      <c r="AE561" s="225"/>
      <c r="AF561" s="225"/>
      <c r="AG561" s="225"/>
      <c r="AH561" s="225"/>
      <c r="AI561" s="225"/>
      <c r="AJ561" s="225"/>
      <c r="AK561" s="225"/>
      <c r="AL561" s="225"/>
      <c r="AM561" s="225"/>
      <c r="AN561" s="225"/>
      <c r="AO561" s="225"/>
      <c r="AP561" s="225"/>
      <c r="AQ561" s="225"/>
      <c r="AR561" s="225"/>
    </row>
    <row r="562" spans="1:44" ht="15.75" customHeight="1">
      <c r="A562" s="131"/>
      <c r="B562" s="131"/>
      <c r="C562" s="131"/>
      <c r="D562" s="131"/>
      <c r="E562" s="131"/>
      <c r="F562" s="131"/>
      <c r="G562" s="131"/>
      <c r="H562" s="131"/>
      <c r="I562" s="131"/>
      <c r="J562" s="131"/>
      <c r="K562" s="131"/>
      <c r="L562" s="225"/>
      <c r="M562" s="225"/>
      <c r="N562" s="225"/>
      <c r="O562" s="225"/>
      <c r="P562" s="225"/>
      <c r="Q562" s="225"/>
      <c r="R562" s="225"/>
      <c r="S562" s="225"/>
      <c r="T562" s="225"/>
      <c r="U562" s="225"/>
      <c r="V562" s="225"/>
      <c r="W562" s="225"/>
      <c r="X562" s="225"/>
      <c r="Y562" s="225"/>
      <c r="Z562" s="225"/>
      <c r="AA562" s="225"/>
      <c r="AB562" s="225"/>
      <c r="AC562" s="225"/>
      <c r="AD562" s="225"/>
      <c r="AE562" s="225"/>
      <c r="AF562" s="225"/>
      <c r="AG562" s="225"/>
      <c r="AH562" s="225"/>
      <c r="AI562" s="225"/>
      <c r="AJ562" s="225"/>
      <c r="AK562" s="225"/>
      <c r="AL562" s="225"/>
      <c r="AM562" s="225"/>
      <c r="AN562" s="225"/>
      <c r="AO562" s="225"/>
      <c r="AP562" s="225"/>
      <c r="AQ562" s="225"/>
      <c r="AR562" s="225"/>
    </row>
    <row r="563" spans="1:44" ht="15.75" customHeight="1">
      <c r="A563" s="131"/>
      <c r="B563" s="131"/>
      <c r="C563" s="131"/>
      <c r="D563" s="131"/>
      <c r="E563" s="131"/>
      <c r="F563" s="131"/>
      <c r="G563" s="131"/>
      <c r="H563" s="131"/>
      <c r="I563" s="131"/>
      <c r="J563" s="131"/>
      <c r="K563" s="131"/>
      <c r="L563" s="225"/>
      <c r="M563" s="225"/>
      <c r="N563" s="225"/>
      <c r="O563" s="225"/>
      <c r="P563" s="225"/>
      <c r="Q563" s="225"/>
      <c r="R563" s="225"/>
      <c r="S563" s="225"/>
      <c r="T563" s="225"/>
      <c r="U563" s="225"/>
      <c r="V563" s="225"/>
      <c r="W563" s="225"/>
      <c r="X563" s="225"/>
      <c r="Y563" s="225"/>
      <c r="Z563" s="225"/>
      <c r="AA563" s="225"/>
      <c r="AB563" s="225"/>
      <c r="AC563" s="225"/>
      <c r="AD563" s="225"/>
      <c r="AE563" s="225"/>
      <c r="AF563" s="225"/>
      <c r="AG563" s="225"/>
      <c r="AH563" s="225"/>
      <c r="AI563" s="225"/>
      <c r="AJ563" s="225"/>
      <c r="AK563" s="225"/>
      <c r="AL563" s="225"/>
      <c r="AM563" s="225"/>
      <c r="AN563" s="225"/>
      <c r="AO563" s="225"/>
      <c r="AP563" s="225"/>
      <c r="AQ563" s="225"/>
      <c r="AR563" s="225"/>
    </row>
    <row r="564" spans="1:44" ht="15.75" customHeight="1">
      <c r="A564" s="131"/>
      <c r="B564" s="131"/>
      <c r="C564" s="131"/>
      <c r="D564" s="131"/>
      <c r="E564" s="131"/>
      <c r="F564" s="131"/>
      <c r="G564" s="131"/>
      <c r="H564" s="131"/>
      <c r="I564" s="131"/>
      <c r="J564" s="131"/>
      <c r="K564" s="131"/>
      <c r="L564" s="225"/>
      <c r="M564" s="225"/>
      <c r="N564" s="225"/>
      <c r="O564" s="225"/>
      <c r="P564" s="225"/>
      <c r="Q564" s="225"/>
      <c r="R564" s="225"/>
      <c r="S564" s="225"/>
      <c r="T564" s="225"/>
      <c r="U564" s="225"/>
      <c r="V564" s="225"/>
      <c r="W564" s="225"/>
      <c r="X564" s="225"/>
      <c r="Y564" s="225"/>
      <c r="Z564" s="225"/>
      <c r="AA564" s="225"/>
      <c r="AB564" s="225"/>
      <c r="AC564" s="225"/>
      <c r="AD564" s="225"/>
      <c r="AE564" s="225"/>
      <c r="AF564" s="225"/>
      <c r="AG564" s="225"/>
      <c r="AH564" s="225"/>
      <c r="AI564" s="225"/>
      <c r="AJ564" s="225"/>
      <c r="AK564" s="225"/>
      <c r="AL564" s="225"/>
      <c r="AM564" s="225"/>
      <c r="AN564" s="225"/>
      <c r="AO564" s="225"/>
      <c r="AP564" s="225"/>
      <c r="AQ564" s="225"/>
      <c r="AR564" s="225"/>
    </row>
    <row r="565" spans="1:44" ht="15.75" customHeight="1">
      <c r="A565" s="131"/>
      <c r="B565" s="131"/>
      <c r="C565" s="131"/>
      <c r="D565" s="131"/>
      <c r="E565" s="131"/>
      <c r="F565" s="131"/>
      <c r="G565" s="131"/>
      <c r="H565" s="131"/>
      <c r="I565" s="131"/>
      <c r="J565" s="131"/>
      <c r="K565" s="131"/>
      <c r="L565" s="225"/>
      <c r="M565" s="225"/>
      <c r="N565" s="225"/>
      <c r="O565" s="225"/>
      <c r="P565" s="225"/>
      <c r="Q565" s="225"/>
      <c r="R565" s="225"/>
      <c r="S565" s="225"/>
      <c r="T565" s="225"/>
      <c r="U565" s="225"/>
      <c r="V565" s="225"/>
      <c r="W565" s="225"/>
      <c r="X565" s="225"/>
      <c r="Y565" s="225"/>
      <c r="Z565" s="225"/>
      <c r="AA565" s="225"/>
      <c r="AB565" s="225"/>
      <c r="AC565" s="225"/>
      <c r="AD565" s="225"/>
      <c r="AE565" s="225"/>
      <c r="AF565" s="225"/>
      <c r="AG565" s="225"/>
      <c r="AH565" s="225"/>
      <c r="AI565" s="225"/>
      <c r="AJ565" s="225"/>
      <c r="AK565" s="225"/>
      <c r="AL565" s="225"/>
      <c r="AM565" s="225"/>
      <c r="AN565" s="225"/>
      <c r="AO565" s="225"/>
      <c r="AP565" s="225"/>
      <c r="AQ565" s="225"/>
      <c r="AR565" s="225"/>
    </row>
    <row r="566" spans="1:44" ht="15.75" customHeight="1">
      <c r="A566" s="131"/>
      <c r="B566" s="131"/>
      <c r="C566" s="131"/>
      <c r="D566" s="131"/>
      <c r="E566" s="131"/>
      <c r="F566" s="131"/>
      <c r="G566" s="131"/>
      <c r="H566" s="131"/>
      <c r="I566" s="131"/>
      <c r="J566" s="131"/>
      <c r="K566" s="131"/>
      <c r="L566" s="225"/>
      <c r="M566" s="225"/>
      <c r="N566" s="225"/>
      <c r="O566" s="225"/>
      <c r="P566" s="225"/>
      <c r="Q566" s="225"/>
      <c r="R566" s="225"/>
      <c r="S566" s="225"/>
      <c r="T566" s="225"/>
      <c r="U566" s="225"/>
      <c r="V566" s="225"/>
      <c r="W566" s="225"/>
      <c r="X566" s="225"/>
      <c r="Y566" s="225"/>
      <c r="Z566" s="225"/>
      <c r="AA566" s="225"/>
      <c r="AB566" s="225"/>
      <c r="AC566" s="225"/>
      <c r="AD566" s="225"/>
      <c r="AE566" s="225"/>
      <c r="AF566" s="225"/>
      <c r="AG566" s="225"/>
      <c r="AH566" s="225"/>
      <c r="AI566" s="225"/>
      <c r="AJ566" s="225"/>
      <c r="AK566" s="225"/>
      <c r="AL566" s="225"/>
      <c r="AM566" s="225"/>
      <c r="AN566" s="225"/>
      <c r="AO566" s="225"/>
      <c r="AP566" s="225"/>
      <c r="AQ566" s="225"/>
      <c r="AR566" s="225"/>
    </row>
    <row r="567" spans="1:44" ht="15.75" customHeight="1">
      <c r="A567" s="131"/>
      <c r="B567" s="131"/>
      <c r="C567" s="131"/>
      <c r="D567" s="131"/>
      <c r="E567" s="131"/>
      <c r="F567" s="131"/>
      <c r="G567" s="131"/>
      <c r="H567" s="131"/>
      <c r="I567" s="131"/>
      <c r="J567" s="131"/>
      <c r="K567" s="131"/>
      <c r="L567" s="225"/>
      <c r="M567" s="225"/>
      <c r="N567" s="225"/>
      <c r="O567" s="225"/>
      <c r="P567" s="225"/>
      <c r="Q567" s="225"/>
      <c r="R567" s="225"/>
      <c r="S567" s="225"/>
      <c r="T567" s="225"/>
      <c r="U567" s="225"/>
      <c r="V567" s="225"/>
      <c r="W567" s="225"/>
      <c r="X567" s="225"/>
      <c r="Y567" s="225"/>
      <c r="Z567" s="225"/>
      <c r="AA567" s="225"/>
      <c r="AB567" s="225"/>
      <c r="AC567" s="225"/>
      <c r="AD567" s="225"/>
      <c r="AE567" s="225"/>
      <c r="AF567" s="225"/>
      <c r="AG567" s="225"/>
      <c r="AH567" s="225"/>
      <c r="AI567" s="225"/>
      <c r="AJ567" s="225"/>
      <c r="AK567" s="225"/>
      <c r="AL567" s="225"/>
      <c r="AM567" s="225"/>
      <c r="AN567" s="225"/>
      <c r="AO567" s="225"/>
      <c r="AP567" s="225"/>
      <c r="AQ567" s="225"/>
      <c r="AR567" s="225"/>
    </row>
    <row r="568" spans="1:44" ht="15.75" customHeight="1">
      <c r="A568" s="131"/>
      <c r="B568" s="131"/>
      <c r="C568" s="131"/>
      <c r="D568" s="131"/>
      <c r="E568" s="131"/>
      <c r="F568" s="131"/>
      <c r="G568" s="131"/>
      <c r="H568" s="131"/>
      <c r="I568" s="131"/>
      <c r="J568" s="131"/>
      <c r="K568" s="131"/>
      <c r="L568" s="225"/>
      <c r="M568" s="225"/>
      <c r="N568" s="225"/>
      <c r="O568" s="225"/>
      <c r="P568" s="225"/>
      <c r="Q568" s="225"/>
      <c r="R568" s="225"/>
      <c r="S568" s="225"/>
      <c r="T568" s="225"/>
      <c r="U568" s="225"/>
      <c r="V568" s="225"/>
      <c r="W568" s="225"/>
      <c r="X568" s="225"/>
      <c r="Y568" s="225"/>
      <c r="Z568" s="225"/>
      <c r="AA568" s="225"/>
      <c r="AB568" s="225"/>
      <c r="AC568" s="225"/>
      <c r="AD568" s="225"/>
      <c r="AE568" s="225"/>
      <c r="AF568" s="225"/>
      <c r="AG568" s="225"/>
      <c r="AH568" s="225"/>
      <c r="AI568" s="225"/>
      <c r="AJ568" s="225"/>
      <c r="AK568" s="225"/>
      <c r="AL568" s="225"/>
      <c r="AM568" s="225"/>
      <c r="AN568" s="225"/>
      <c r="AO568" s="225"/>
      <c r="AP568" s="225"/>
      <c r="AQ568" s="225"/>
      <c r="AR568" s="225"/>
    </row>
    <row r="569" spans="1:44" ht="15.75" customHeight="1">
      <c r="A569" s="131"/>
      <c r="B569" s="131"/>
      <c r="C569" s="131"/>
      <c r="D569" s="131"/>
      <c r="E569" s="131"/>
      <c r="F569" s="131"/>
      <c r="G569" s="131"/>
      <c r="H569" s="131"/>
      <c r="I569" s="131"/>
      <c r="J569" s="131"/>
      <c r="K569" s="131"/>
      <c r="L569" s="225"/>
      <c r="M569" s="225"/>
      <c r="N569" s="225"/>
      <c r="O569" s="225"/>
      <c r="P569" s="225"/>
      <c r="Q569" s="225"/>
      <c r="R569" s="225"/>
      <c r="S569" s="225"/>
      <c r="T569" s="225"/>
      <c r="U569" s="225"/>
      <c r="V569" s="225"/>
      <c r="W569" s="225"/>
      <c r="X569" s="225"/>
      <c r="Y569" s="225"/>
      <c r="Z569" s="225"/>
      <c r="AA569" s="225"/>
      <c r="AB569" s="225"/>
      <c r="AC569" s="225"/>
      <c r="AD569" s="225"/>
      <c r="AE569" s="225"/>
      <c r="AF569" s="225"/>
      <c r="AG569" s="225"/>
      <c r="AH569" s="225"/>
      <c r="AI569" s="225"/>
      <c r="AJ569" s="225"/>
      <c r="AK569" s="225"/>
      <c r="AL569" s="225"/>
      <c r="AM569" s="225"/>
      <c r="AN569" s="225"/>
      <c r="AO569" s="225"/>
      <c r="AP569" s="225"/>
      <c r="AQ569" s="225"/>
      <c r="AR569" s="225"/>
    </row>
    <row r="570" spans="1:44" ht="15.75" customHeight="1">
      <c r="A570" s="131"/>
      <c r="B570" s="131"/>
      <c r="C570" s="131"/>
      <c r="D570" s="131"/>
      <c r="E570" s="131"/>
      <c r="F570" s="131"/>
      <c r="G570" s="131"/>
      <c r="H570" s="131"/>
      <c r="I570" s="131"/>
      <c r="J570" s="131"/>
      <c r="K570" s="131"/>
      <c r="L570" s="225"/>
      <c r="M570" s="225"/>
      <c r="N570" s="225"/>
      <c r="O570" s="225"/>
      <c r="P570" s="225"/>
      <c r="Q570" s="225"/>
      <c r="R570" s="225"/>
      <c r="S570" s="225"/>
      <c r="T570" s="225"/>
      <c r="U570" s="225"/>
      <c r="V570" s="225"/>
      <c r="W570" s="225"/>
      <c r="X570" s="225"/>
      <c r="Y570" s="225"/>
      <c r="Z570" s="225"/>
      <c r="AA570" s="225"/>
      <c r="AB570" s="225"/>
      <c r="AC570" s="225"/>
      <c r="AD570" s="225"/>
      <c r="AE570" s="225"/>
      <c r="AF570" s="225"/>
      <c r="AG570" s="225"/>
      <c r="AH570" s="225"/>
      <c r="AI570" s="225"/>
      <c r="AJ570" s="225"/>
      <c r="AK570" s="225"/>
      <c r="AL570" s="225"/>
      <c r="AM570" s="225"/>
      <c r="AN570" s="225"/>
      <c r="AO570" s="225"/>
      <c r="AP570" s="225"/>
      <c r="AQ570" s="225"/>
      <c r="AR570" s="225"/>
    </row>
    <row r="571" spans="1:44" ht="15.75" customHeight="1">
      <c r="A571" s="131"/>
      <c r="B571" s="131"/>
      <c r="C571" s="131"/>
      <c r="D571" s="131"/>
      <c r="E571" s="131"/>
      <c r="F571" s="131"/>
      <c r="G571" s="131"/>
      <c r="H571" s="131"/>
      <c r="I571" s="131"/>
      <c r="J571" s="131"/>
      <c r="K571" s="131"/>
      <c r="L571" s="225"/>
      <c r="M571" s="225"/>
      <c r="N571" s="225"/>
      <c r="O571" s="225"/>
      <c r="P571" s="225"/>
      <c r="Q571" s="225"/>
      <c r="R571" s="225"/>
      <c r="S571" s="225"/>
      <c r="T571" s="225"/>
      <c r="U571" s="225"/>
      <c r="V571" s="225"/>
      <c r="W571" s="225"/>
      <c r="X571" s="225"/>
      <c r="Y571" s="225"/>
      <c r="Z571" s="225"/>
      <c r="AA571" s="225"/>
      <c r="AB571" s="225"/>
      <c r="AC571" s="225"/>
      <c r="AD571" s="225"/>
      <c r="AE571" s="225"/>
      <c r="AF571" s="225"/>
      <c r="AG571" s="225"/>
      <c r="AH571" s="225"/>
      <c r="AI571" s="225"/>
      <c r="AJ571" s="225"/>
      <c r="AK571" s="225"/>
      <c r="AL571" s="225"/>
      <c r="AM571" s="225"/>
      <c r="AN571" s="225"/>
      <c r="AO571" s="225"/>
      <c r="AP571" s="225"/>
      <c r="AQ571" s="225"/>
      <c r="AR571" s="225"/>
    </row>
    <row r="572" spans="1:44" ht="15.75" customHeight="1">
      <c r="A572" s="131"/>
      <c r="B572" s="131"/>
      <c r="C572" s="131"/>
      <c r="D572" s="131"/>
      <c r="E572" s="131"/>
      <c r="F572" s="131"/>
      <c r="G572" s="131"/>
      <c r="H572" s="131"/>
      <c r="I572" s="131"/>
      <c r="J572" s="131"/>
      <c r="K572" s="131"/>
      <c r="L572" s="225"/>
      <c r="M572" s="225"/>
      <c r="N572" s="225"/>
      <c r="O572" s="225"/>
      <c r="P572" s="225"/>
      <c r="Q572" s="225"/>
      <c r="R572" s="225"/>
      <c r="S572" s="225"/>
      <c r="T572" s="225"/>
      <c r="U572" s="225"/>
      <c r="V572" s="225"/>
      <c r="W572" s="225"/>
      <c r="X572" s="225"/>
      <c r="Y572" s="225"/>
      <c r="Z572" s="225"/>
      <c r="AA572" s="225"/>
      <c r="AB572" s="225"/>
      <c r="AC572" s="225"/>
      <c r="AD572" s="225"/>
      <c r="AE572" s="225"/>
      <c r="AF572" s="225"/>
      <c r="AG572" s="225"/>
      <c r="AH572" s="225"/>
      <c r="AI572" s="225"/>
      <c r="AJ572" s="225"/>
      <c r="AK572" s="225"/>
      <c r="AL572" s="225"/>
      <c r="AM572" s="225"/>
      <c r="AN572" s="225"/>
      <c r="AO572" s="225"/>
      <c r="AP572" s="225"/>
      <c r="AQ572" s="225"/>
      <c r="AR572" s="225"/>
    </row>
    <row r="573" spans="1:44" ht="15.75" customHeight="1">
      <c r="A573" s="131"/>
      <c r="B573" s="131"/>
      <c r="C573" s="131"/>
      <c r="D573" s="131"/>
      <c r="E573" s="131"/>
      <c r="F573" s="131"/>
      <c r="G573" s="131"/>
      <c r="H573" s="131"/>
      <c r="I573" s="131"/>
      <c r="J573" s="131"/>
      <c r="K573" s="131"/>
      <c r="L573" s="225"/>
      <c r="M573" s="225"/>
      <c r="N573" s="225"/>
      <c r="O573" s="225"/>
      <c r="P573" s="225"/>
      <c r="Q573" s="225"/>
      <c r="R573" s="225"/>
      <c r="S573" s="225"/>
      <c r="T573" s="225"/>
      <c r="U573" s="225"/>
      <c r="V573" s="225"/>
      <c r="W573" s="225"/>
      <c r="X573" s="225"/>
      <c r="Y573" s="225"/>
      <c r="Z573" s="225"/>
      <c r="AA573" s="225"/>
      <c r="AB573" s="225"/>
      <c r="AC573" s="225"/>
      <c r="AD573" s="225"/>
      <c r="AE573" s="225"/>
      <c r="AF573" s="225"/>
      <c r="AG573" s="225"/>
      <c r="AH573" s="225"/>
      <c r="AI573" s="225"/>
      <c r="AJ573" s="225"/>
      <c r="AK573" s="225"/>
      <c r="AL573" s="225"/>
      <c r="AM573" s="225"/>
      <c r="AN573" s="225"/>
      <c r="AO573" s="225"/>
      <c r="AP573" s="225"/>
      <c r="AQ573" s="225"/>
      <c r="AR573" s="225"/>
    </row>
    <row r="574" spans="1:44" ht="15.75" customHeight="1">
      <c r="A574" s="131"/>
      <c r="B574" s="131"/>
      <c r="C574" s="131"/>
      <c r="D574" s="131"/>
      <c r="E574" s="131"/>
      <c r="F574" s="131"/>
      <c r="G574" s="131"/>
      <c r="H574" s="131"/>
      <c r="I574" s="131"/>
      <c r="J574" s="131"/>
      <c r="K574" s="131"/>
      <c r="L574" s="225"/>
      <c r="M574" s="225"/>
      <c r="N574" s="225"/>
      <c r="O574" s="225"/>
      <c r="P574" s="225"/>
      <c r="Q574" s="225"/>
      <c r="R574" s="225"/>
      <c r="S574" s="225"/>
      <c r="T574" s="225"/>
      <c r="U574" s="225"/>
      <c r="V574" s="225"/>
      <c r="W574" s="225"/>
      <c r="X574" s="225"/>
      <c r="Y574" s="225"/>
      <c r="Z574" s="225"/>
      <c r="AA574" s="225"/>
      <c r="AB574" s="225"/>
      <c r="AC574" s="225"/>
      <c r="AD574" s="225"/>
      <c r="AE574" s="225"/>
      <c r="AF574" s="225"/>
      <c r="AG574" s="225"/>
      <c r="AH574" s="225"/>
      <c r="AI574" s="225"/>
      <c r="AJ574" s="225"/>
      <c r="AK574" s="225"/>
      <c r="AL574" s="225"/>
      <c r="AM574" s="225"/>
      <c r="AN574" s="225"/>
      <c r="AO574" s="225"/>
      <c r="AP574" s="225"/>
      <c r="AQ574" s="225"/>
      <c r="AR574" s="225"/>
    </row>
    <row r="575" spans="1:44" ht="15.75" customHeight="1">
      <c r="A575" s="131"/>
      <c r="B575" s="131"/>
      <c r="C575" s="131"/>
      <c r="D575" s="131"/>
      <c r="E575" s="131"/>
      <c r="F575" s="131"/>
      <c r="G575" s="131"/>
      <c r="H575" s="131"/>
      <c r="I575" s="131"/>
      <c r="J575" s="131"/>
      <c r="K575" s="131"/>
      <c r="L575" s="225"/>
      <c r="M575" s="225"/>
      <c r="N575" s="225"/>
      <c r="O575" s="225"/>
      <c r="P575" s="225"/>
      <c r="Q575" s="225"/>
      <c r="R575" s="225"/>
      <c r="S575" s="225"/>
      <c r="T575" s="225"/>
      <c r="U575" s="225"/>
      <c r="V575" s="225"/>
      <c r="W575" s="225"/>
      <c r="X575" s="225"/>
      <c r="Y575" s="225"/>
      <c r="Z575" s="225"/>
      <c r="AA575" s="225"/>
      <c r="AB575" s="225"/>
      <c r="AC575" s="225"/>
      <c r="AD575" s="225"/>
      <c r="AE575" s="225"/>
      <c r="AF575" s="225"/>
      <c r="AG575" s="225"/>
      <c r="AH575" s="225"/>
      <c r="AI575" s="225"/>
      <c r="AJ575" s="225"/>
      <c r="AK575" s="225"/>
      <c r="AL575" s="225"/>
      <c r="AM575" s="225"/>
      <c r="AN575" s="225"/>
      <c r="AO575" s="225"/>
      <c r="AP575" s="225"/>
      <c r="AQ575" s="225"/>
      <c r="AR575" s="225"/>
    </row>
    <row r="576" spans="1:44" ht="15.75" customHeight="1">
      <c r="A576" s="131"/>
      <c r="B576" s="131"/>
      <c r="C576" s="131"/>
      <c r="D576" s="131"/>
      <c r="E576" s="131"/>
      <c r="F576" s="131"/>
      <c r="G576" s="131"/>
      <c r="H576" s="131"/>
      <c r="I576" s="131"/>
      <c r="J576" s="131"/>
      <c r="K576" s="131"/>
      <c r="L576" s="225"/>
      <c r="M576" s="225"/>
      <c r="N576" s="225"/>
      <c r="O576" s="225"/>
      <c r="P576" s="225"/>
      <c r="Q576" s="225"/>
      <c r="R576" s="225"/>
      <c r="S576" s="225"/>
      <c r="T576" s="225"/>
      <c r="U576" s="225"/>
      <c r="V576" s="225"/>
      <c r="W576" s="225"/>
      <c r="X576" s="225"/>
      <c r="Y576" s="225"/>
      <c r="Z576" s="225"/>
      <c r="AA576" s="225"/>
      <c r="AB576" s="225"/>
      <c r="AC576" s="225"/>
      <c r="AD576" s="225"/>
      <c r="AE576" s="225"/>
      <c r="AF576" s="225"/>
      <c r="AG576" s="225"/>
      <c r="AH576" s="225"/>
      <c r="AI576" s="225"/>
      <c r="AJ576" s="225"/>
      <c r="AK576" s="225"/>
      <c r="AL576" s="225"/>
      <c r="AM576" s="225"/>
      <c r="AN576" s="225"/>
      <c r="AO576" s="225"/>
      <c r="AP576" s="225"/>
      <c r="AQ576" s="225"/>
      <c r="AR576" s="225"/>
    </row>
    <row r="577" spans="1:44" ht="15.75" customHeight="1">
      <c r="A577" s="131"/>
      <c r="B577" s="131"/>
      <c r="C577" s="131"/>
      <c r="D577" s="131"/>
      <c r="E577" s="131"/>
      <c r="F577" s="131"/>
      <c r="G577" s="131"/>
      <c r="H577" s="131"/>
      <c r="I577" s="131"/>
      <c r="J577" s="131"/>
      <c r="K577" s="131"/>
      <c r="L577" s="225"/>
      <c r="M577" s="225"/>
      <c r="N577" s="225"/>
      <c r="O577" s="225"/>
      <c r="P577" s="225"/>
      <c r="Q577" s="225"/>
      <c r="R577" s="225"/>
      <c r="S577" s="225"/>
      <c r="T577" s="225"/>
      <c r="U577" s="225"/>
      <c r="V577" s="225"/>
      <c r="W577" s="225"/>
      <c r="X577" s="225"/>
      <c r="Y577" s="225"/>
      <c r="Z577" s="225"/>
      <c r="AA577" s="225"/>
      <c r="AB577" s="225"/>
      <c r="AC577" s="225"/>
      <c r="AD577" s="225"/>
      <c r="AE577" s="225"/>
      <c r="AF577" s="225"/>
      <c r="AG577" s="225"/>
      <c r="AH577" s="225"/>
      <c r="AI577" s="225"/>
      <c r="AJ577" s="225"/>
      <c r="AK577" s="225"/>
      <c r="AL577" s="225"/>
      <c r="AM577" s="225"/>
      <c r="AN577" s="225"/>
      <c r="AO577" s="225"/>
      <c r="AP577" s="225"/>
      <c r="AQ577" s="225"/>
      <c r="AR577" s="225"/>
    </row>
    <row r="578" spans="1:44" ht="15.75" customHeight="1">
      <c r="A578" s="131"/>
      <c r="B578" s="131"/>
      <c r="C578" s="131"/>
      <c r="D578" s="131"/>
      <c r="E578" s="131"/>
      <c r="F578" s="131"/>
      <c r="G578" s="131"/>
      <c r="H578" s="131"/>
      <c r="I578" s="131"/>
      <c r="J578" s="131"/>
      <c r="K578" s="131"/>
      <c r="L578" s="225"/>
      <c r="M578" s="225"/>
      <c r="N578" s="225"/>
      <c r="O578" s="225"/>
      <c r="P578" s="225"/>
      <c r="Q578" s="225"/>
      <c r="R578" s="225"/>
      <c r="S578" s="225"/>
      <c r="T578" s="225"/>
      <c r="U578" s="225"/>
      <c r="V578" s="225"/>
      <c r="W578" s="225"/>
      <c r="X578" s="225"/>
      <c r="Y578" s="225"/>
      <c r="Z578" s="225"/>
      <c r="AA578" s="225"/>
      <c r="AB578" s="225"/>
      <c r="AC578" s="225"/>
      <c r="AD578" s="225"/>
      <c r="AE578" s="225"/>
      <c r="AF578" s="225"/>
      <c r="AG578" s="225"/>
      <c r="AH578" s="225"/>
      <c r="AI578" s="225"/>
      <c r="AJ578" s="225"/>
      <c r="AK578" s="225"/>
      <c r="AL578" s="225"/>
      <c r="AM578" s="225"/>
      <c r="AN578" s="225"/>
      <c r="AO578" s="225"/>
      <c r="AP578" s="225"/>
      <c r="AQ578" s="225"/>
      <c r="AR578" s="225"/>
    </row>
    <row r="579" spans="1:44" ht="15.75" customHeight="1">
      <c r="A579" s="131"/>
      <c r="B579" s="131"/>
      <c r="C579" s="131"/>
      <c r="D579" s="131"/>
      <c r="E579" s="131"/>
      <c r="F579" s="131"/>
      <c r="G579" s="131"/>
      <c r="H579" s="131"/>
      <c r="I579" s="131"/>
      <c r="J579" s="131"/>
      <c r="K579" s="131"/>
      <c r="L579" s="225"/>
      <c r="M579" s="225"/>
      <c r="N579" s="225"/>
      <c r="O579" s="225"/>
      <c r="P579" s="225"/>
      <c r="Q579" s="225"/>
      <c r="R579" s="225"/>
      <c r="S579" s="225"/>
      <c r="T579" s="225"/>
      <c r="U579" s="225"/>
      <c r="V579" s="225"/>
      <c r="W579" s="225"/>
      <c r="X579" s="225"/>
      <c r="Y579" s="225"/>
      <c r="Z579" s="225"/>
      <c r="AA579" s="225"/>
      <c r="AB579" s="225"/>
      <c r="AC579" s="225"/>
      <c r="AD579" s="225"/>
      <c r="AE579" s="225"/>
      <c r="AF579" s="225"/>
      <c r="AG579" s="225"/>
      <c r="AH579" s="225"/>
      <c r="AI579" s="225"/>
      <c r="AJ579" s="225"/>
      <c r="AK579" s="225"/>
      <c r="AL579" s="225"/>
      <c r="AM579" s="225"/>
      <c r="AN579" s="225"/>
      <c r="AO579" s="225"/>
      <c r="AP579" s="225"/>
      <c r="AQ579" s="225"/>
      <c r="AR579" s="225"/>
    </row>
    <row r="580" spans="1:44" ht="15.75" customHeight="1">
      <c r="A580" s="131"/>
      <c r="B580" s="131"/>
      <c r="C580" s="131"/>
      <c r="D580" s="131"/>
      <c r="E580" s="131"/>
      <c r="F580" s="131"/>
      <c r="G580" s="131"/>
      <c r="H580" s="131"/>
      <c r="I580" s="131"/>
      <c r="J580" s="131"/>
      <c r="K580" s="131"/>
      <c r="L580" s="225"/>
      <c r="M580" s="225"/>
      <c r="N580" s="225"/>
      <c r="O580" s="225"/>
      <c r="P580" s="225"/>
      <c r="Q580" s="225"/>
      <c r="R580" s="225"/>
      <c r="S580" s="225"/>
      <c r="T580" s="225"/>
      <c r="U580" s="225"/>
      <c r="V580" s="225"/>
      <c r="W580" s="225"/>
      <c r="X580" s="225"/>
      <c r="Y580" s="225"/>
      <c r="Z580" s="225"/>
      <c r="AA580" s="225"/>
      <c r="AB580" s="225"/>
      <c r="AC580" s="225"/>
      <c r="AD580" s="225"/>
      <c r="AE580" s="225"/>
      <c r="AF580" s="225"/>
      <c r="AG580" s="225"/>
      <c r="AH580" s="225"/>
      <c r="AI580" s="225"/>
      <c r="AJ580" s="225"/>
      <c r="AK580" s="225"/>
      <c r="AL580" s="225"/>
      <c r="AM580" s="225"/>
      <c r="AN580" s="225"/>
      <c r="AO580" s="225"/>
      <c r="AP580" s="225"/>
      <c r="AQ580" s="225"/>
      <c r="AR580" s="225"/>
    </row>
    <row r="581" spans="1:44" ht="15.75" customHeight="1">
      <c r="A581" s="131"/>
      <c r="B581" s="131"/>
      <c r="C581" s="131"/>
      <c r="D581" s="131"/>
      <c r="E581" s="131"/>
      <c r="F581" s="131"/>
      <c r="G581" s="131"/>
      <c r="H581" s="131"/>
      <c r="I581" s="131"/>
      <c r="J581" s="131"/>
      <c r="K581" s="131"/>
      <c r="L581" s="225"/>
      <c r="M581" s="225"/>
      <c r="N581" s="225"/>
      <c r="O581" s="225"/>
      <c r="P581" s="225"/>
      <c r="Q581" s="225"/>
      <c r="R581" s="225"/>
      <c r="S581" s="225"/>
      <c r="T581" s="225"/>
      <c r="U581" s="225"/>
      <c r="V581" s="225"/>
      <c r="W581" s="225"/>
      <c r="X581" s="225"/>
      <c r="Y581" s="225"/>
      <c r="Z581" s="225"/>
      <c r="AA581" s="225"/>
      <c r="AB581" s="225"/>
      <c r="AC581" s="225"/>
      <c r="AD581" s="225"/>
      <c r="AE581" s="225"/>
      <c r="AF581" s="225"/>
      <c r="AG581" s="225"/>
      <c r="AH581" s="225"/>
      <c r="AI581" s="225"/>
      <c r="AJ581" s="225"/>
      <c r="AK581" s="225"/>
      <c r="AL581" s="225"/>
      <c r="AM581" s="225"/>
      <c r="AN581" s="225"/>
      <c r="AO581" s="225"/>
      <c r="AP581" s="225"/>
      <c r="AQ581" s="225"/>
      <c r="AR581" s="225"/>
    </row>
    <row r="582" spans="1:44" ht="15.75" customHeight="1">
      <c r="A582" s="131"/>
      <c r="B582" s="131"/>
      <c r="C582" s="131"/>
      <c r="D582" s="131"/>
      <c r="E582" s="131"/>
      <c r="F582" s="131"/>
      <c r="G582" s="131"/>
      <c r="H582" s="131"/>
      <c r="I582" s="131"/>
      <c r="J582" s="131"/>
      <c r="K582" s="131"/>
      <c r="L582" s="225"/>
      <c r="M582" s="225"/>
      <c r="N582" s="225"/>
      <c r="O582" s="225"/>
      <c r="P582" s="225"/>
      <c r="Q582" s="225"/>
      <c r="R582" s="225"/>
      <c r="S582" s="225"/>
      <c r="T582" s="225"/>
      <c r="U582" s="225"/>
      <c r="V582" s="225"/>
      <c r="W582" s="225"/>
      <c r="X582" s="225"/>
      <c r="Y582" s="225"/>
      <c r="Z582" s="225"/>
      <c r="AA582" s="225"/>
      <c r="AB582" s="225"/>
      <c r="AC582" s="225"/>
      <c r="AD582" s="225"/>
      <c r="AE582" s="225"/>
      <c r="AF582" s="225"/>
      <c r="AG582" s="225"/>
      <c r="AH582" s="225"/>
      <c r="AI582" s="225"/>
      <c r="AJ582" s="225"/>
      <c r="AK582" s="225"/>
      <c r="AL582" s="225"/>
      <c r="AM582" s="225"/>
      <c r="AN582" s="225"/>
      <c r="AO582" s="225"/>
      <c r="AP582" s="225"/>
      <c r="AQ582" s="225"/>
      <c r="AR582" s="225"/>
    </row>
    <row r="583" spans="1:44" ht="15.75" customHeight="1">
      <c r="A583" s="131"/>
      <c r="B583" s="131"/>
      <c r="C583" s="131"/>
      <c r="D583" s="131"/>
      <c r="E583" s="131"/>
      <c r="F583" s="131"/>
      <c r="G583" s="131"/>
      <c r="H583" s="131"/>
      <c r="I583" s="131"/>
      <c r="J583" s="131"/>
      <c r="K583" s="131"/>
      <c r="L583" s="225"/>
      <c r="M583" s="225"/>
      <c r="N583" s="225"/>
      <c r="O583" s="225"/>
      <c r="P583" s="225"/>
      <c r="Q583" s="225"/>
      <c r="R583" s="225"/>
      <c r="S583" s="225"/>
      <c r="T583" s="225"/>
      <c r="U583" s="225"/>
      <c r="V583" s="225"/>
      <c r="W583" s="225"/>
      <c r="X583" s="225"/>
      <c r="Y583" s="225"/>
      <c r="Z583" s="225"/>
      <c r="AA583" s="225"/>
      <c r="AB583" s="225"/>
      <c r="AC583" s="225"/>
      <c r="AD583" s="225"/>
      <c r="AE583" s="225"/>
      <c r="AF583" s="225"/>
      <c r="AG583" s="225"/>
      <c r="AH583" s="225"/>
      <c r="AI583" s="225"/>
      <c r="AJ583" s="225"/>
      <c r="AK583" s="225"/>
      <c r="AL583" s="225"/>
      <c r="AM583" s="225"/>
      <c r="AN583" s="225"/>
      <c r="AO583" s="225"/>
      <c r="AP583" s="225"/>
      <c r="AQ583" s="225"/>
      <c r="AR583" s="225"/>
    </row>
    <row r="584" spans="1:44" ht="15.75" customHeight="1">
      <c r="A584" s="131"/>
      <c r="B584" s="131"/>
      <c r="C584" s="131"/>
      <c r="D584" s="131"/>
      <c r="E584" s="131"/>
      <c r="F584" s="131"/>
      <c r="G584" s="131"/>
      <c r="H584" s="131"/>
      <c r="I584" s="131"/>
      <c r="J584" s="131"/>
      <c r="K584" s="131"/>
      <c r="L584" s="225"/>
      <c r="M584" s="225"/>
      <c r="N584" s="225"/>
      <c r="O584" s="225"/>
      <c r="P584" s="225"/>
      <c r="Q584" s="225"/>
      <c r="R584" s="225"/>
      <c r="S584" s="225"/>
      <c r="T584" s="225"/>
      <c r="U584" s="225"/>
      <c r="V584" s="225"/>
      <c r="W584" s="225"/>
      <c r="X584" s="225"/>
      <c r="Y584" s="225"/>
      <c r="Z584" s="225"/>
      <c r="AA584" s="225"/>
      <c r="AB584" s="225"/>
      <c r="AC584" s="225"/>
      <c r="AD584" s="225"/>
      <c r="AE584" s="225"/>
      <c r="AF584" s="225"/>
      <c r="AG584" s="225"/>
      <c r="AH584" s="225"/>
      <c r="AI584" s="225"/>
      <c r="AJ584" s="225"/>
      <c r="AK584" s="225"/>
      <c r="AL584" s="225"/>
      <c r="AM584" s="225"/>
      <c r="AN584" s="225"/>
      <c r="AO584" s="225"/>
      <c r="AP584" s="225"/>
      <c r="AQ584" s="225"/>
      <c r="AR584" s="225"/>
    </row>
    <row r="585" spans="1:44" ht="15.75" customHeight="1">
      <c r="A585" s="131"/>
      <c r="B585" s="131"/>
      <c r="C585" s="131"/>
      <c r="D585" s="131"/>
      <c r="E585" s="131"/>
      <c r="F585" s="131"/>
      <c r="G585" s="131"/>
      <c r="H585" s="131"/>
      <c r="I585" s="131"/>
      <c r="J585" s="131"/>
      <c r="K585" s="131"/>
      <c r="L585" s="225"/>
      <c r="M585" s="225"/>
      <c r="N585" s="225"/>
      <c r="O585" s="225"/>
      <c r="P585" s="225"/>
      <c r="Q585" s="225"/>
      <c r="R585" s="225"/>
      <c r="S585" s="225"/>
      <c r="T585" s="225"/>
      <c r="U585" s="225"/>
      <c r="V585" s="225"/>
      <c r="W585" s="225"/>
      <c r="X585" s="225"/>
      <c r="Y585" s="225"/>
      <c r="Z585" s="225"/>
      <c r="AA585" s="225"/>
      <c r="AB585" s="225"/>
      <c r="AC585" s="225"/>
      <c r="AD585" s="225"/>
      <c r="AE585" s="225"/>
      <c r="AF585" s="225"/>
      <c r="AG585" s="225"/>
      <c r="AH585" s="225"/>
      <c r="AI585" s="225"/>
      <c r="AJ585" s="225"/>
      <c r="AK585" s="225"/>
      <c r="AL585" s="225"/>
      <c r="AM585" s="225"/>
      <c r="AN585" s="225"/>
      <c r="AO585" s="225"/>
      <c r="AP585" s="225"/>
      <c r="AQ585" s="225"/>
      <c r="AR585" s="225"/>
    </row>
    <row r="586" spans="1:44" ht="15.75" customHeight="1">
      <c r="A586" s="131"/>
      <c r="B586" s="131"/>
      <c r="C586" s="131"/>
      <c r="D586" s="131"/>
      <c r="E586" s="131"/>
      <c r="F586" s="131"/>
      <c r="G586" s="131"/>
      <c r="H586" s="131"/>
      <c r="I586" s="131"/>
      <c r="J586" s="131"/>
      <c r="K586" s="131"/>
      <c r="L586" s="225"/>
      <c r="M586" s="225"/>
      <c r="N586" s="225"/>
      <c r="O586" s="225"/>
      <c r="P586" s="225"/>
      <c r="Q586" s="225"/>
      <c r="R586" s="225"/>
      <c r="S586" s="225"/>
      <c r="T586" s="225"/>
      <c r="U586" s="225"/>
      <c r="V586" s="225"/>
      <c r="W586" s="225"/>
      <c r="X586" s="225"/>
      <c r="Y586" s="225"/>
      <c r="Z586" s="225"/>
      <c r="AA586" s="225"/>
      <c r="AB586" s="225"/>
      <c r="AC586" s="225"/>
      <c r="AD586" s="225"/>
      <c r="AE586" s="225"/>
      <c r="AF586" s="225"/>
      <c r="AG586" s="225"/>
      <c r="AH586" s="225"/>
      <c r="AI586" s="225"/>
      <c r="AJ586" s="225"/>
      <c r="AK586" s="225"/>
      <c r="AL586" s="225"/>
      <c r="AM586" s="225"/>
      <c r="AN586" s="225"/>
      <c r="AO586" s="225"/>
      <c r="AP586" s="225"/>
      <c r="AQ586" s="225"/>
      <c r="AR586" s="225"/>
    </row>
    <row r="587" spans="1:44" ht="15.75" customHeight="1">
      <c r="A587" s="131"/>
      <c r="B587" s="131"/>
      <c r="C587" s="131"/>
      <c r="D587" s="131"/>
      <c r="E587" s="131"/>
      <c r="F587" s="131"/>
      <c r="G587" s="131"/>
      <c r="H587" s="131"/>
      <c r="I587" s="131"/>
      <c r="J587" s="131"/>
      <c r="K587" s="131"/>
      <c r="L587" s="225"/>
      <c r="M587" s="225"/>
      <c r="N587" s="225"/>
      <c r="O587" s="225"/>
      <c r="P587" s="225"/>
      <c r="Q587" s="225"/>
      <c r="R587" s="225"/>
      <c r="S587" s="225"/>
      <c r="T587" s="225"/>
      <c r="U587" s="225"/>
      <c r="V587" s="225"/>
      <c r="W587" s="225"/>
      <c r="X587" s="225"/>
      <c r="Y587" s="225"/>
      <c r="Z587" s="225"/>
      <c r="AA587" s="225"/>
      <c r="AB587" s="225"/>
      <c r="AC587" s="225"/>
      <c r="AD587" s="225"/>
      <c r="AE587" s="225"/>
      <c r="AF587" s="225"/>
      <c r="AG587" s="225"/>
      <c r="AH587" s="225"/>
      <c r="AI587" s="225"/>
      <c r="AJ587" s="225"/>
      <c r="AK587" s="225"/>
      <c r="AL587" s="225"/>
      <c r="AM587" s="225"/>
      <c r="AN587" s="225"/>
      <c r="AO587" s="225"/>
      <c r="AP587" s="225"/>
      <c r="AQ587" s="225"/>
      <c r="AR587" s="225"/>
    </row>
    <row r="588" spans="1:44" ht="15.75" customHeight="1">
      <c r="A588" s="131"/>
      <c r="B588" s="131"/>
      <c r="C588" s="131"/>
      <c r="D588" s="131"/>
      <c r="E588" s="131"/>
      <c r="F588" s="131"/>
      <c r="G588" s="131"/>
      <c r="H588" s="131"/>
      <c r="I588" s="131"/>
      <c r="J588" s="131"/>
      <c r="K588" s="131"/>
      <c r="L588" s="225"/>
      <c r="M588" s="225"/>
      <c r="N588" s="225"/>
      <c r="O588" s="225"/>
      <c r="P588" s="225"/>
      <c r="Q588" s="225"/>
      <c r="R588" s="225"/>
      <c r="S588" s="225"/>
      <c r="T588" s="225"/>
      <c r="U588" s="225"/>
      <c r="V588" s="225"/>
      <c r="W588" s="225"/>
      <c r="X588" s="225"/>
      <c r="Y588" s="225"/>
      <c r="Z588" s="225"/>
      <c r="AA588" s="225"/>
      <c r="AB588" s="225"/>
      <c r="AC588" s="225"/>
      <c r="AD588" s="225"/>
      <c r="AE588" s="225"/>
      <c r="AF588" s="225"/>
      <c r="AG588" s="225"/>
      <c r="AH588" s="225"/>
      <c r="AI588" s="225"/>
      <c r="AJ588" s="225"/>
      <c r="AK588" s="225"/>
      <c r="AL588" s="225"/>
      <c r="AM588" s="225"/>
      <c r="AN588" s="225"/>
      <c r="AO588" s="225"/>
      <c r="AP588" s="225"/>
      <c r="AQ588" s="225"/>
      <c r="AR588" s="225"/>
    </row>
    <row r="589" spans="1:44" ht="15.75" customHeight="1">
      <c r="A589" s="131"/>
      <c r="B589" s="131"/>
      <c r="C589" s="131"/>
      <c r="D589" s="131"/>
      <c r="E589" s="131"/>
      <c r="F589" s="131"/>
      <c r="G589" s="131"/>
      <c r="H589" s="131"/>
      <c r="I589" s="131"/>
      <c r="J589" s="131"/>
      <c r="K589" s="131"/>
      <c r="L589" s="225"/>
      <c r="M589" s="225"/>
      <c r="N589" s="225"/>
      <c r="O589" s="225"/>
      <c r="P589" s="225"/>
      <c r="Q589" s="225"/>
      <c r="R589" s="225"/>
      <c r="S589" s="225"/>
      <c r="T589" s="225"/>
      <c r="U589" s="225"/>
      <c r="V589" s="225"/>
      <c r="W589" s="225"/>
      <c r="X589" s="225"/>
      <c r="Y589" s="225"/>
      <c r="Z589" s="225"/>
      <c r="AA589" s="225"/>
      <c r="AB589" s="225"/>
      <c r="AC589" s="225"/>
      <c r="AD589" s="225"/>
      <c r="AE589" s="225"/>
      <c r="AF589" s="225"/>
      <c r="AG589" s="225"/>
      <c r="AH589" s="225"/>
      <c r="AI589" s="225"/>
      <c r="AJ589" s="225"/>
      <c r="AK589" s="225"/>
      <c r="AL589" s="225"/>
      <c r="AM589" s="225"/>
      <c r="AN589" s="225"/>
      <c r="AO589" s="225"/>
      <c r="AP589" s="225"/>
      <c r="AQ589" s="225"/>
      <c r="AR589" s="225"/>
    </row>
    <row r="590" spans="1:44" ht="15.75" customHeight="1">
      <c r="A590" s="131"/>
      <c r="B590" s="131"/>
      <c r="C590" s="131"/>
      <c r="D590" s="131"/>
      <c r="E590" s="131"/>
      <c r="F590" s="131"/>
      <c r="G590" s="131"/>
      <c r="H590" s="131"/>
      <c r="I590" s="131"/>
      <c r="J590" s="131"/>
      <c r="K590" s="131"/>
      <c r="L590" s="225"/>
      <c r="M590" s="225"/>
      <c r="N590" s="225"/>
      <c r="O590" s="225"/>
      <c r="P590" s="225"/>
      <c r="Q590" s="225"/>
      <c r="R590" s="225"/>
      <c r="S590" s="225"/>
      <c r="T590" s="225"/>
      <c r="U590" s="225"/>
      <c r="V590" s="225"/>
      <c r="W590" s="225"/>
      <c r="X590" s="225"/>
      <c r="Y590" s="225"/>
      <c r="Z590" s="225"/>
      <c r="AA590" s="225"/>
      <c r="AB590" s="225"/>
      <c r="AC590" s="225"/>
      <c r="AD590" s="225"/>
      <c r="AE590" s="225"/>
      <c r="AF590" s="225"/>
      <c r="AG590" s="225"/>
      <c r="AH590" s="225"/>
      <c r="AI590" s="225"/>
      <c r="AJ590" s="225"/>
      <c r="AK590" s="225"/>
      <c r="AL590" s="225"/>
      <c r="AM590" s="225"/>
      <c r="AN590" s="225"/>
      <c r="AO590" s="225"/>
      <c r="AP590" s="225"/>
      <c r="AQ590" s="225"/>
      <c r="AR590" s="225"/>
    </row>
    <row r="591" spans="1:44" ht="15.75" customHeight="1">
      <c r="A591" s="131"/>
      <c r="B591" s="131"/>
      <c r="C591" s="131"/>
      <c r="D591" s="131"/>
      <c r="E591" s="131"/>
      <c r="F591" s="131"/>
      <c r="G591" s="131"/>
      <c r="H591" s="131"/>
      <c r="I591" s="131"/>
      <c r="J591" s="131"/>
      <c r="K591" s="131"/>
      <c r="L591" s="225"/>
      <c r="M591" s="225"/>
      <c r="N591" s="225"/>
      <c r="O591" s="225"/>
      <c r="P591" s="225"/>
      <c r="Q591" s="225"/>
      <c r="R591" s="225"/>
      <c r="S591" s="225"/>
      <c r="T591" s="225"/>
      <c r="U591" s="225"/>
      <c r="V591" s="225"/>
      <c r="W591" s="225"/>
      <c r="X591" s="225"/>
      <c r="Y591" s="225"/>
      <c r="Z591" s="225"/>
      <c r="AA591" s="225"/>
      <c r="AB591" s="225"/>
      <c r="AC591" s="225"/>
      <c r="AD591" s="225"/>
      <c r="AE591" s="225"/>
      <c r="AF591" s="225"/>
      <c r="AG591" s="225"/>
      <c r="AH591" s="225"/>
      <c r="AI591" s="225"/>
      <c r="AJ591" s="225"/>
      <c r="AK591" s="225"/>
      <c r="AL591" s="225"/>
      <c r="AM591" s="225"/>
      <c r="AN591" s="225"/>
      <c r="AO591" s="225"/>
      <c r="AP591" s="225"/>
      <c r="AQ591" s="225"/>
      <c r="AR591" s="225"/>
    </row>
    <row r="592" spans="1:44" ht="15.75" customHeight="1">
      <c r="A592" s="131"/>
      <c r="B592" s="131"/>
      <c r="C592" s="131"/>
      <c r="D592" s="131"/>
      <c r="E592" s="131"/>
      <c r="F592" s="131"/>
      <c r="G592" s="131"/>
      <c r="H592" s="131"/>
      <c r="I592" s="131"/>
      <c r="J592" s="131"/>
      <c r="K592" s="131"/>
      <c r="L592" s="225"/>
      <c r="M592" s="225"/>
      <c r="N592" s="225"/>
      <c r="O592" s="225"/>
      <c r="P592" s="225"/>
      <c r="Q592" s="225"/>
      <c r="R592" s="225"/>
      <c r="S592" s="225"/>
      <c r="T592" s="225"/>
      <c r="U592" s="225"/>
      <c r="V592" s="225"/>
      <c r="W592" s="225"/>
      <c r="X592" s="225"/>
      <c r="Y592" s="225"/>
      <c r="Z592" s="225"/>
      <c r="AA592" s="225"/>
      <c r="AB592" s="225"/>
      <c r="AC592" s="225"/>
      <c r="AD592" s="225"/>
      <c r="AE592" s="225"/>
      <c r="AF592" s="225"/>
      <c r="AG592" s="225"/>
      <c r="AH592" s="225"/>
      <c r="AI592" s="225"/>
      <c r="AJ592" s="225"/>
      <c r="AK592" s="225"/>
      <c r="AL592" s="225"/>
      <c r="AM592" s="225"/>
      <c r="AN592" s="225"/>
      <c r="AO592" s="225"/>
      <c r="AP592" s="225"/>
      <c r="AQ592" s="225"/>
      <c r="AR592" s="225"/>
    </row>
    <row r="593" spans="1:44" ht="15.75" customHeight="1">
      <c r="A593" s="131"/>
      <c r="B593" s="131"/>
      <c r="C593" s="131"/>
      <c r="D593" s="131"/>
      <c r="E593" s="131"/>
      <c r="F593" s="131"/>
      <c r="G593" s="131"/>
      <c r="H593" s="131"/>
      <c r="I593" s="131"/>
      <c r="J593" s="131"/>
      <c r="K593" s="131"/>
      <c r="L593" s="225"/>
      <c r="M593" s="225"/>
      <c r="N593" s="225"/>
      <c r="O593" s="225"/>
      <c r="P593" s="225"/>
      <c r="Q593" s="225"/>
      <c r="R593" s="225"/>
      <c r="S593" s="225"/>
      <c r="T593" s="225"/>
      <c r="U593" s="225"/>
      <c r="V593" s="225"/>
      <c r="W593" s="225"/>
      <c r="X593" s="225"/>
      <c r="Y593" s="225"/>
      <c r="Z593" s="225"/>
      <c r="AA593" s="225"/>
      <c r="AB593" s="225"/>
      <c r="AC593" s="225"/>
      <c r="AD593" s="225"/>
      <c r="AE593" s="225"/>
      <c r="AF593" s="225"/>
      <c r="AG593" s="225"/>
      <c r="AH593" s="225"/>
      <c r="AI593" s="225"/>
      <c r="AJ593" s="225"/>
      <c r="AK593" s="225"/>
      <c r="AL593" s="225"/>
      <c r="AM593" s="225"/>
      <c r="AN593" s="225"/>
      <c r="AO593" s="225"/>
      <c r="AP593" s="225"/>
      <c r="AQ593" s="225"/>
      <c r="AR593" s="225"/>
    </row>
    <row r="594" spans="1:44" ht="15.75" customHeight="1">
      <c r="A594" s="131"/>
      <c r="B594" s="131"/>
      <c r="C594" s="131"/>
      <c r="D594" s="131"/>
      <c r="E594" s="131"/>
      <c r="F594" s="131"/>
      <c r="G594" s="131"/>
      <c r="H594" s="131"/>
      <c r="I594" s="131"/>
      <c r="J594" s="131"/>
      <c r="K594" s="131"/>
      <c r="L594" s="225"/>
      <c r="M594" s="225"/>
      <c r="N594" s="225"/>
      <c r="O594" s="225"/>
      <c r="P594" s="225"/>
      <c r="Q594" s="225"/>
      <c r="R594" s="225"/>
      <c r="S594" s="225"/>
      <c r="T594" s="225"/>
      <c r="U594" s="225"/>
      <c r="V594" s="225"/>
      <c r="W594" s="225"/>
      <c r="X594" s="225"/>
      <c r="Y594" s="225"/>
      <c r="Z594" s="225"/>
      <c r="AA594" s="225"/>
      <c r="AB594" s="225"/>
      <c r="AC594" s="225"/>
      <c r="AD594" s="225"/>
      <c r="AE594" s="225"/>
      <c r="AF594" s="225"/>
      <c r="AG594" s="225"/>
      <c r="AH594" s="225"/>
      <c r="AI594" s="225"/>
      <c r="AJ594" s="225"/>
      <c r="AK594" s="225"/>
      <c r="AL594" s="225"/>
      <c r="AM594" s="225"/>
      <c r="AN594" s="225"/>
      <c r="AO594" s="225"/>
      <c r="AP594" s="225"/>
      <c r="AQ594" s="225"/>
      <c r="AR594" s="225"/>
    </row>
    <row r="595" spans="1:44" ht="15.75" customHeight="1">
      <c r="A595" s="131"/>
      <c r="B595" s="131"/>
      <c r="C595" s="131"/>
      <c r="D595" s="131"/>
      <c r="E595" s="131"/>
      <c r="F595" s="131"/>
      <c r="G595" s="131"/>
      <c r="H595" s="131"/>
      <c r="I595" s="131"/>
      <c r="J595" s="131"/>
      <c r="K595" s="131"/>
      <c r="L595" s="225"/>
      <c r="M595" s="225"/>
      <c r="N595" s="225"/>
      <c r="O595" s="225"/>
      <c r="P595" s="225"/>
      <c r="Q595" s="225"/>
      <c r="R595" s="225"/>
      <c r="S595" s="225"/>
      <c r="T595" s="225"/>
      <c r="U595" s="225"/>
      <c r="V595" s="225"/>
      <c r="W595" s="225"/>
      <c r="X595" s="225"/>
      <c r="Y595" s="225"/>
      <c r="Z595" s="225"/>
      <c r="AA595" s="225"/>
      <c r="AB595" s="225"/>
      <c r="AC595" s="225"/>
      <c r="AD595" s="225"/>
      <c r="AE595" s="225"/>
      <c r="AF595" s="225"/>
      <c r="AG595" s="225"/>
      <c r="AH595" s="225"/>
      <c r="AI595" s="225"/>
      <c r="AJ595" s="225"/>
      <c r="AK595" s="225"/>
      <c r="AL595" s="225"/>
      <c r="AM595" s="225"/>
      <c r="AN595" s="225"/>
      <c r="AO595" s="225"/>
      <c r="AP595" s="225"/>
      <c r="AQ595" s="225"/>
      <c r="AR595" s="225"/>
    </row>
    <row r="596" spans="1:44" ht="15.75" customHeight="1">
      <c r="A596" s="131"/>
      <c r="B596" s="131"/>
      <c r="C596" s="131"/>
      <c r="D596" s="131"/>
      <c r="E596" s="131"/>
      <c r="F596" s="131"/>
      <c r="G596" s="131"/>
      <c r="H596" s="131"/>
      <c r="I596" s="131"/>
      <c r="J596" s="131"/>
      <c r="K596" s="131"/>
      <c r="L596" s="225"/>
      <c r="M596" s="225"/>
      <c r="N596" s="225"/>
      <c r="O596" s="225"/>
      <c r="P596" s="225"/>
      <c r="Q596" s="225"/>
      <c r="R596" s="225"/>
      <c r="S596" s="225"/>
      <c r="T596" s="225"/>
      <c r="U596" s="225"/>
      <c r="V596" s="225"/>
      <c r="W596" s="225"/>
      <c r="X596" s="225"/>
      <c r="Y596" s="225"/>
      <c r="Z596" s="225"/>
      <c r="AA596" s="225"/>
      <c r="AB596" s="225"/>
      <c r="AC596" s="225"/>
      <c r="AD596" s="225"/>
      <c r="AE596" s="225"/>
      <c r="AF596" s="225"/>
      <c r="AG596" s="225"/>
      <c r="AH596" s="225"/>
      <c r="AI596" s="225"/>
      <c r="AJ596" s="225"/>
      <c r="AK596" s="225"/>
      <c r="AL596" s="225"/>
      <c r="AM596" s="225"/>
      <c r="AN596" s="225"/>
      <c r="AO596" s="225"/>
      <c r="AP596" s="225"/>
      <c r="AQ596" s="225"/>
      <c r="AR596" s="225"/>
    </row>
    <row r="597" spans="1:44" ht="15.75" customHeight="1">
      <c r="A597" s="131"/>
      <c r="B597" s="131"/>
      <c r="C597" s="131"/>
      <c r="D597" s="131"/>
      <c r="E597" s="131"/>
      <c r="F597" s="131"/>
      <c r="G597" s="131"/>
      <c r="H597" s="131"/>
      <c r="I597" s="131"/>
      <c r="J597" s="131"/>
      <c r="K597" s="131"/>
      <c r="L597" s="225"/>
      <c r="M597" s="225"/>
      <c r="N597" s="225"/>
      <c r="O597" s="225"/>
      <c r="P597" s="225"/>
      <c r="Q597" s="225"/>
      <c r="R597" s="225"/>
      <c r="S597" s="225"/>
      <c r="T597" s="225"/>
      <c r="U597" s="225"/>
      <c r="V597" s="225"/>
      <c r="W597" s="225"/>
      <c r="X597" s="225"/>
      <c r="Y597" s="225"/>
      <c r="Z597" s="225"/>
      <c r="AA597" s="225"/>
      <c r="AB597" s="225"/>
      <c r="AC597" s="225"/>
      <c r="AD597" s="225"/>
      <c r="AE597" s="225"/>
      <c r="AF597" s="225"/>
      <c r="AG597" s="225"/>
      <c r="AH597" s="225"/>
      <c r="AI597" s="225"/>
      <c r="AJ597" s="225"/>
      <c r="AK597" s="225"/>
      <c r="AL597" s="225"/>
      <c r="AM597" s="225"/>
      <c r="AN597" s="225"/>
      <c r="AO597" s="225"/>
      <c r="AP597" s="225"/>
      <c r="AQ597" s="225"/>
      <c r="AR597" s="225"/>
    </row>
    <row r="598" spans="1:44" ht="15.75" customHeight="1">
      <c r="A598" s="131"/>
      <c r="B598" s="131"/>
      <c r="C598" s="131"/>
      <c r="D598" s="131"/>
      <c r="E598" s="131"/>
      <c r="F598" s="131"/>
      <c r="G598" s="131"/>
      <c r="H598" s="131"/>
      <c r="I598" s="131"/>
      <c r="J598" s="131"/>
      <c r="K598" s="131"/>
      <c r="L598" s="225"/>
      <c r="M598" s="225"/>
      <c r="N598" s="225"/>
      <c r="O598" s="225"/>
      <c r="P598" s="225"/>
      <c r="Q598" s="225"/>
      <c r="R598" s="225"/>
      <c r="S598" s="225"/>
      <c r="T598" s="225"/>
      <c r="U598" s="225"/>
      <c r="V598" s="225"/>
      <c r="W598" s="225"/>
      <c r="X598" s="225"/>
      <c r="Y598" s="225"/>
      <c r="Z598" s="225"/>
      <c r="AA598" s="225"/>
      <c r="AB598" s="225"/>
      <c r="AC598" s="225"/>
      <c r="AD598" s="225"/>
      <c r="AE598" s="225"/>
      <c r="AF598" s="225"/>
      <c r="AG598" s="225"/>
      <c r="AH598" s="225"/>
      <c r="AI598" s="225"/>
      <c r="AJ598" s="225"/>
      <c r="AK598" s="225"/>
      <c r="AL598" s="225"/>
      <c r="AM598" s="225"/>
      <c r="AN598" s="225"/>
      <c r="AO598" s="225"/>
      <c r="AP598" s="225"/>
      <c r="AQ598" s="225"/>
      <c r="AR598" s="225"/>
    </row>
    <row r="599" spans="1:44" ht="15.75" customHeight="1">
      <c r="A599" s="131"/>
      <c r="B599" s="131"/>
      <c r="C599" s="131"/>
      <c r="D599" s="131"/>
      <c r="E599" s="131"/>
      <c r="F599" s="131"/>
      <c r="G599" s="131"/>
      <c r="H599" s="131"/>
      <c r="I599" s="131"/>
      <c r="J599" s="131"/>
      <c r="K599" s="131"/>
      <c r="L599" s="225"/>
      <c r="M599" s="225"/>
      <c r="N599" s="225"/>
      <c r="O599" s="225"/>
      <c r="P599" s="225"/>
      <c r="Q599" s="225"/>
      <c r="R599" s="225"/>
      <c r="S599" s="225"/>
      <c r="T599" s="225"/>
      <c r="U599" s="225"/>
      <c r="V599" s="225"/>
      <c r="W599" s="225"/>
      <c r="X599" s="225"/>
      <c r="Y599" s="225"/>
      <c r="Z599" s="225"/>
      <c r="AA599" s="225"/>
      <c r="AB599" s="225"/>
      <c r="AC599" s="225"/>
      <c r="AD599" s="225"/>
      <c r="AE599" s="225"/>
      <c r="AF599" s="225"/>
      <c r="AG599" s="225"/>
      <c r="AH599" s="225"/>
      <c r="AI599" s="225"/>
      <c r="AJ599" s="225"/>
      <c r="AK599" s="225"/>
      <c r="AL599" s="225"/>
      <c r="AM599" s="225"/>
      <c r="AN599" s="225"/>
      <c r="AO599" s="225"/>
      <c r="AP599" s="225"/>
      <c r="AQ599" s="225"/>
      <c r="AR599" s="225"/>
    </row>
    <row r="600" spans="1:44" ht="15.75" customHeight="1">
      <c r="A600" s="131"/>
      <c r="B600" s="131"/>
      <c r="C600" s="131"/>
      <c r="D600" s="131"/>
      <c r="E600" s="131"/>
      <c r="F600" s="131"/>
      <c r="G600" s="131"/>
      <c r="H600" s="131"/>
      <c r="I600" s="131"/>
      <c r="J600" s="131"/>
      <c r="K600" s="131"/>
      <c r="L600" s="225"/>
      <c r="M600" s="225"/>
      <c r="N600" s="225"/>
      <c r="O600" s="225"/>
      <c r="P600" s="225"/>
      <c r="Q600" s="225"/>
      <c r="R600" s="225"/>
      <c r="S600" s="225"/>
      <c r="T600" s="225"/>
      <c r="U600" s="225"/>
      <c r="V600" s="225"/>
      <c r="W600" s="225"/>
      <c r="X600" s="225"/>
      <c r="Y600" s="225"/>
      <c r="Z600" s="225"/>
      <c r="AA600" s="225"/>
      <c r="AB600" s="225"/>
      <c r="AC600" s="225"/>
      <c r="AD600" s="225"/>
      <c r="AE600" s="225"/>
      <c r="AF600" s="225"/>
      <c r="AG600" s="225"/>
      <c r="AH600" s="225"/>
      <c r="AI600" s="225"/>
      <c r="AJ600" s="225"/>
      <c r="AK600" s="225"/>
      <c r="AL600" s="225"/>
      <c r="AM600" s="225"/>
      <c r="AN600" s="225"/>
      <c r="AO600" s="225"/>
      <c r="AP600" s="225"/>
      <c r="AQ600" s="225"/>
      <c r="AR600" s="225"/>
    </row>
    <row r="601" spans="1:44" ht="15.75" customHeight="1">
      <c r="A601" s="131"/>
      <c r="B601" s="131"/>
      <c r="C601" s="131"/>
      <c r="D601" s="131"/>
      <c r="E601" s="131"/>
      <c r="F601" s="131"/>
      <c r="G601" s="131"/>
      <c r="H601" s="131"/>
      <c r="I601" s="131"/>
      <c r="J601" s="131"/>
      <c r="K601" s="131"/>
      <c r="L601" s="225"/>
      <c r="M601" s="225"/>
      <c r="N601" s="225"/>
      <c r="O601" s="225"/>
      <c r="P601" s="225"/>
      <c r="Q601" s="225"/>
      <c r="R601" s="225"/>
      <c r="S601" s="225"/>
      <c r="T601" s="225"/>
      <c r="U601" s="225"/>
      <c r="V601" s="225"/>
      <c r="W601" s="225"/>
      <c r="X601" s="225"/>
      <c r="Y601" s="225"/>
      <c r="Z601" s="225"/>
      <c r="AA601" s="225"/>
      <c r="AB601" s="225"/>
      <c r="AC601" s="225"/>
      <c r="AD601" s="225"/>
      <c r="AE601" s="225"/>
      <c r="AF601" s="225"/>
      <c r="AG601" s="225"/>
      <c r="AH601" s="225"/>
      <c r="AI601" s="225"/>
      <c r="AJ601" s="225"/>
      <c r="AK601" s="225"/>
      <c r="AL601" s="225"/>
      <c r="AM601" s="225"/>
      <c r="AN601" s="225"/>
      <c r="AO601" s="225"/>
      <c r="AP601" s="225"/>
      <c r="AQ601" s="225"/>
      <c r="AR601" s="225"/>
    </row>
    <row r="602" spans="1:44" ht="15.75" customHeight="1">
      <c r="A602" s="131"/>
      <c r="B602" s="131"/>
      <c r="C602" s="131"/>
      <c r="D602" s="131"/>
      <c r="E602" s="131"/>
      <c r="F602" s="131"/>
      <c r="G602" s="131"/>
      <c r="H602" s="131"/>
      <c r="I602" s="131"/>
      <c r="J602" s="131"/>
      <c r="K602" s="131"/>
      <c r="L602" s="225"/>
      <c r="M602" s="225"/>
      <c r="N602" s="225"/>
      <c r="O602" s="225"/>
      <c r="P602" s="225"/>
      <c r="Q602" s="225"/>
      <c r="R602" s="225"/>
      <c r="S602" s="225"/>
      <c r="T602" s="225"/>
      <c r="U602" s="225"/>
      <c r="V602" s="225"/>
      <c r="W602" s="225"/>
      <c r="X602" s="225"/>
      <c r="Y602" s="225"/>
      <c r="Z602" s="225"/>
      <c r="AA602" s="225"/>
      <c r="AB602" s="225"/>
      <c r="AC602" s="225"/>
      <c r="AD602" s="225"/>
      <c r="AE602" s="225"/>
      <c r="AF602" s="225"/>
      <c r="AG602" s="225"/>
      <c r="AH602" s="225"/>
      <c r="AI602" s="225"/>
      <c r="AJ602" s="225"/>
      <c r="AK602" s="225"/>
      <c r="AL602" s="225"/>
      <c r="AM602" s="225"/>
      <c r="AN602" s="225"/>
      <c r="AO602" s="225"/>
      <c r="AP602" s="225"/>
      <c r="AQ602" s="225"/>
      <c r="AR602" s="225"/>
    </row>
    <row r="603" spans="1:44" ht="15.75" customHeight="1">
      <c r="A603" s="131"/>
      <c r="B603" s="131"/>
      <c r="C603" s="131"/>
      <c r="D603" s="131"/>
      <c r="E603" s="131"/>
      <c r="F603" s="131"/>
      <c r="G603" s="131"/>
      <c r="H603" s="131"/>
      <c r="I603" s="131"/>
      <c r="J603" s="131"/>
      <c r="K603" s="131"/>
      <c r="L603" s="225"/>
      <c r="M603" s="225"/>
      <c r="N603" s="225"/>
      <c r="O603" s="225"/>
      <c r="P603" s="225"/>
      <c r="Q603" s="225"/>
      <c r="R603" s="225"/>
      <c r="S603" s="225"/>
      <c r="T603" s="225"/>
      <c r="U603" s="225"/>
      <c r="V603" s="225"/>
      <c r="W603" s="225"/>
      <c r="X603" s="225"/>
      <c r="Y603" s="225"/>
      <c r="Z603" s="225"/>
      <c r="AA603" s="225"/>
      <c r="AB603" s="225"/>
      <c r="AC603" s="225"/>
      <c r="AD603" s="225"/>
      <c r="AE603" s="225"/>
      <c r="AF603" s="225"/>
      <c r="AG603" s="225"/>
      <c r="AH603" s="225"/>
      <c r="AI603" s="225"/>
      <c r="AJ603" s="225"/>
      <c r="AK603" s="225"/>
      <c r="AL603" s="225"/>
      <c r="AM603" s="225"/>
      <c r="AN603" s="225"/>
      <c r="AO603" s="225"/>
      <c r="AP603" s="225"/>
      <c r="AQ603" s="225"/>
      <c r="AR603" s="225"/>
    </row>
    <row r="604" spans="1:44" ht="15.75" customHeight="1">
      <c r="A604" s="131"/>
      <c r="B604" s="131"/>
      <c r="C604" s="131"/>
      <c r="D604" s="131"/>
      <c r="E604" s="131"/>
      <c r="F604" s="131"/>
      <c r="G604" s="131"/>
      <c r="H604" s="131"/>
      <c r="I604" s="131"/>
      <c r="J604" s="131"/>
      <c r="K604" s="131"/>
      <c r="L604" s="225"/>
      <c r="M604" s="225"/>
      <c r="N604" s="225"/>
      <c r="O604" s="225"/>
      <c r="P604" s="225"/>
      <c r="Q604" s="225"/>
      <c r="R604" s="225"/>
      <c r="S604" s="225"/>
      <c r="T604" s="225"/>
      <c r="U604" s="225"/>
      <c r="V604" s="225"/>
      <c r="W604" s="225"/>
      <c r="X604" s="225"/>
      <c r="Y604" s="225"/>
      <c r="Z604" s="225"/>
      <c r="AA604" s="225"/>
      <c r="AB604" s="225"/>
      <c r="AC604" s="225"/>
      <c r="AD604" s="225"/>
      <c r="AE604" s="225"/>
      <c r="AF604" s="225"/>
      <c r="AG604" s="225"/>
      <c r="AH604" s="225"/>
      <c r="AI604" s="225"/>
      <c r="AJ604" s="225"/>
      <c r="AK604" s="225"/>
      <c r="AL604" s="225"/>
      <c r="AM604" s="225"/>
      <c r="AN604" s="225"/>
      <c r="AO604" s="225"/>
      <c r="AP604" s="225"/>
      <c r="AQ604" s="225"/>
      <c r="AR604" s="225"/>
    </row>
    <row r="605" spans="1:44" ht="15.75" customHeight="1">
      <c r="A605" s="131"/>
      <c r="B605" s="131"/>
      <c r="C605" s="131"/>
      <c r="D605" s="131"/>
      <c r="E605" s="131"/>
      <c r="F605" s="131"/>
      <c r="G605" s="131"/>
      <c r="H605" s="131"/>
      <c r="I605" s="131"/>
      <c r="J605" s="131"/>
      <c r="K605" s="131"/>
      <c r="L605" s="225"/>
      <c r="M605" s="225"/>
      <c r="N605" s="225"/>
      <c r="O605" s="225"/>
      <c r="P605" s="225"/>
      <c r="Q605" s="225"/>
      <c r="R605" s="225"/>
      <c r="S605" s="225"/>
      <c r="T605" s="225"/>
      <c r="U605" s="225"/>
      <c r="V605" s="225"/>
      <c r="W605" s="225"/>
      <c r="X605" s="225"/>
      <c r="Y605" s="225"/>
      <c r="Z605" s="225"/>
      <c r="AA605" s="225"/>
      <c r="AB605" s="225"/>
      <c r="AC605" s="225"/>
      <c r="AD605" s="225"/>
      <c r="AE605" s="225"/>
      <c r="AF605" s="225"/>
      <c r="AG605" s="225"/>
      <c r="AH605" s="225"/>
      <c r="AI605" s="225"/>
      <c r="AJ605" s="225"/>
      <c r="AK605" s="225"/>
      <c r="AL605" s="225"/>
      <c r="AM605" s="225"/>
      <c r="AN605" s="225"/>
      <c r="AO605" s="225"/>
      <c r="AP605" s="225"/>
      <c r="AQ605" s="225"/>
      <c r="AR605" s="225"/>
    </row>
    <row r="606" spans="1:44" ht="15.75" customHeight="1">
      <c r="A606" s="131"/>
      <c r="B606" s="131"/>
      <c r="C606" s="131"/>
      <c r="D606" s="131"/>
      <c r="E606" s="131"/>
      <c r="F606" s="131"/>
      <c r="G606" s="131"/>
      <c r="H606" s="131"/>
      <c r="I606" s="131"/>
      <c r="J606" s="131"/>
      <c r="K606" s="131"/>
      <c r="L606" s="225"/>
      <c r="M606" s="225"/>
      <c r="N606" s="225"/>
      <c r="O606" s="225"/>
      <c r="P606" s="225"/>
      <c r="Q606" s="225"/>
      <c r="R606" s="225"/>
      <c r="S606" s="225"/>
      <c r="T606" s="225"/>
      <c r="U606" s="225"/>
      <c r="V606" s="225"/>
      <c r="W606" s="225"/>
      <c r="X606" s="225"/>
      <c r="Y606" s="225"/>
      <c r="Z606" s="225"/>
      <c r="AA606" s="225"/>
      <c r="AB606" s="225"/>
      <c r="AC606" s="225"/>
      <c r="AD606" s="225"/>
      <c r="AE606" s="225"/>
      <c r="AF606" s="225"/>
      <c r="AG606" s="225"/>
      <c r="AH606" s="225"/>
      <c r="AI606" s="225"/>
      <c r="AJ606" s="225"/>
      <c r="AK606" s="225"/>
      <c r="AL606" s="225"/>
      <c r="AM606" s="225"/>
      <c r="AN606" s="225"/>
      <c r="AO606" s="225"/>
      <c r="AP606" s="225"/>
      <c r="AQ606" s="225"/>
      <c r="AR606" s="225"/>
    </row>
    <row r="607" spans="1:44" ht="15.75" customHeight="1">
      <c r="A607" s="131"/>
      <c r="B607" s="131"/>
      <c r="C607" s="131"/>
      <c r="D607" s="131"/>
      <c r="E607" s="131"/>
      <c r="F607" s="131"/>
      <c r="G607" s="131"/>
      <c r="H607" s="131"/>
      <c r="I607" s="131"/>
      <c r="J607" s="131"/>
      <c r="K607" s="131"/>
      <c r="L607" s="225"/>
      <c r="M607" s="225"/>
      <c r="N607" s="225"/>
      <c r="O607" s="225"/>
      <c r="P607" s="225"/>
      <c r="Q607" s="225"/>
      <c r="R607" s="225"/>
      <c r="S607" s="225"/>
      <c r="T607" s="225"/>
      <c r="U607" s="225"/>
      <c r="V607" s="225"/>
      <c r="W607" s="225"/>
      <c r="X607" s="225"/>
      <c r="Y607" s="225"/>
      <c r="Z607" s="225"/>
      <c r="AA607" s="225"/>
      <c r="AB607" s="225"/>
      <c r="AC607" s="225"/>
      <c r="AD607" s="225"/>
      <c r="AE607" s="225"/>
      <c r="AF607" s="225"/>
      <c r="AG607" s="225"/>
      <c r="AH607" s="225"/>
      <c r="AI607" s="225"/>
      <c r="AJ607" s="225"/>
      <c r="AK607" s="225"/>
      <c r="AL607" s="225"/>
      <c r="AM607" s="225"/>
      <c r="AN607" s="225"/>
      <c r="AO607" s="225"/>
      <c r="AP607" s="225"/>
      <c r="AQ607" s="225"/>
      <c r="AR607" s="225"/>
    </row>
    <row r="608" spans="1:44" ht="15.75" customHeight="1">
      <c r="A608" s="131"/>
      <c r="B608" s="131"/>
      <c r="C608" s="131"/>
      <c r="D608" s="131"/>
      <c r="E608" s="131"/>
      <c r="F608" s="131"/>
      <c r="G608" s="131"/>
      <c r="H608" s="131"/>
      <c r="I608" s="131"/>
      <c r="J608" s="131"/>
      <c r="K608" s="131"/>
      <c r="L608" s="225"/>
      <c r="M608" s="225"/>
      <c r="N608" s="225"/>
      <c r="O608" s="225"/>
      <c r="P608" s="225"/>
      <c r="Q608" s="225"/>
      <c r="R608" s="225"/>
      <c r="S608" s="225"/>
      <c r="T608" s="225"/>
      <c r="U608" s="225"/>
      <c r="V608" s="225"/>
      <c r="W608" s="225"/>
      <c r="X608" s="225"/>
      <c r="Y608" s="225"/>
      <c r="Z608" s="225"/>
      <c r="AA608" s="225"/>
      <c r="AB608" s="225"/>
      <c r="AC608" s="225"/>
      <c r="AD608" s="225"/>
      <c r="AE608" s="225"/>
      <c r="AF608" s="225"/>
      <c r="AG608" s="225"/>
      <c r="AH608" s="225"/>
      <c r="AI608" s="225"/>
      <c r="AJ608" s="225"/>
      <c r="AK608" s="225"/>
      <c r="AL608" s="225"/>
      <c r="AM608" s="225"/>
      <c r="AN608" s="225"/>
      <c r="AO608" s="225"/>
      <c r="AP608" s="225"/>
      <c r="AQ608" s="225"/>
      <c r="AR608" s="225"/>
    </row>
    <row r="609" spans="1:44" ht="15.75" customHeight="1">
      <c r="A609" s="131"/>
      <c r="B609" s="131"/>
      <c r="C609" s="131"/>
      <c r="D609" s="131"/>
      <c r="E609" s="131"/>
      <c r="F609" s="131"/>
      <c r="G609" s="131"/>
      <c r="H609" s="131"/>
      <c r="I609" s="131"/>
      <c r="J609" s="131"/>
      <c r="K609" s="131"/>
      <c r="L609" s="225"/>
      <c r="M609" s="225"/>
      <c r="N609" s="225"/>
      <c r="O609" s="225"/>
      <c r="P609" s="225"/>
      <c r="Q609" s="225"/>
      <c r="R609" s="225"/>
      <c r="S609" s="225"/>
      <c r="T609" s="225"/>
      <c r="U609" s="225"/>
      <c r="V609" s="225"/>
      <c r="W609" s="225"/>
      <c r="X609" s="225"/>
      <c r="Y609" s="225"/>
      <c r="Z609" s="225"/>
      <c r="AA609" s="225"/>
      <c r="AB609" s="225"/>
      <c r="AC609" s="225"/>
      <c r="AD609" s="225"/>
      <c r="AE609" s="225"/>
      <c r="AF609" s="225"/>
      <c r="AG609" s="225"/>
      <c r="AH609" s="225"/>
      <c r="AI609" s="225"/>
      <c r="AJ609" s="225"/>
      <c r="AK609" s="225"/>
      <c r="AL609" s="225"/>
      <c r="AM609" s="225"/>
      <c r="AN609" s="225"/>
      <c r="AO609" s="225"/>
      <c r="AP609" s="225"/>
      <c r="AQ609" s="225"/>
      <c r="AR609" s="225"/>
    </row>
    <row r="610" spans="1:44" ht="15.75" customHeight="1">
      <c r="A610" s="131"/>
      <c r="B610" s="131"/>
      <c r="C610" s="131"/>
      <c r="D610" s="131"/>
      <c r="E610" s="131"/>
      <c r="F610" s="131"/>
      <c r="G610" s="131"/>
      <c r="H610" s="131"/>
      <c r="I610" s="131"/>
      <c r="J610" s="131"/>
      <c r="K610" s="131"/>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row>
    <row r="611" spans="1:44" ht="15.75" customHeight="1">
      <c r="A611" s="131"/>
      <c r="B611" s="131"/>
      <c r="C611" s="131"/>
      <c r="D611" s="131"/>
      <c r="E611" s="131"/>
      <c r="F611" s="131"/>
      <c r="G611" s="131"/>
      <c r="H611" s="131"/>
      <c r="I611" s="131"/>
      <c r="J611" s="131"/>
      <c r="K611" s="131"/>
      <c r="L611" s="225"/>
      <c r="M611" s="225"/>
      <c r="N611" s="225"/>
      <c r="O611" s="225"/>
      <c r="P611" s="225"/>
      <c r="Q611" s="225"/>
      <c r="R611" s="225"/>
      <c r="S611" s="225"/>
      <c r="T611" s="225"/>
      <c r="U611" s="225"/>
      <c r="V611" s="225"/>
      <c r="W611" s="225"/>
      <c r="X611" s="225"/>
      <c r="Y611" s="225"/>
      <c r="Z611" s="225"/>
      <c r="AA611" s="225"/>
      <c r="AB611" s="225"/>
      <c r="AC611" s="225"/>
      <c r="AD611" s="225"/>
      <c r="AE611" s="225"/>
      <c r="AF611" s="225"/>
      <c r="AG611" s="225"/>
      <c r="AH611" s="225"/>
      <c r="AI611" s="225"/>
      <c r="AJ611" s="225"/>
      <c r="AK611" s="225"/>
      <c r="AL611" s="225"/>
      <c r="AM611" s="225"/>
      <c r="AN611" s="225"/>
      <c r="AO611" s="225"/>
      <c r="AP611" s="225"/>
      <c r="AQ611" s="225"/>
      <c r="AR611" s="225"/>
    </row>
    <row r="612" spans="1:44" ht="15.75" customHeight="1">
      <c r="A612" s="131"/>
      <c r="B612" s="131"/>
      <c r="C612" s="131"/>
      <c r="D612" s="131"/>
      <c r="E612" s="131"/>
      <c r="F612" s="131"/>
      <c r="G612" s="131"/>
      <c r="H612" s="131"/>
      <c r="I612" s="131"/>
      <c r="J612" s="131"/>
      <c r="K612" s="131"/>
      <c r="L612" s="225"/>
      <c r="M612" s="225"/>
      <c r="N612" s="225"/>
      <c r="O612" s="225"/>
      <c r="P612" s="225"/>
      <c r="Q612" s="225"/>
      <c r="R612" s="225"/>
      <c r="S612" s="225"/>
      <c r="T612" s="225"/>
      <c r="U612" s="225"/>
      <c r="V612" s="225"/>
      <c r="W612" s="225"/>
      <c r="X612" s="225"/>
      <c r="Y612" s="225"/>
      <c r="Z612" s="225"/>
      <c r="AA612" s="225"/>
      <c r="AB612" s="225"/>
      <c r="AC612" s="225"/>
      <c r="AD612" s="225"/>
      <c r="AE612" s="225"/>
      <c r="AF612" s="225"/>
      <c r="AG612" s="225"/>
      <c r="AH612" s="225"/>
      <c r="AI612" s="225"/>
      <c r="AJ612" s="225"/>
      <c r="AK612" s="225"/>
      <c r="AL612" s="225"/>
      <c r="AM612" s="225"/>
      <c r="AN612" s="225"/>
      <c r="AO612" s="225"/>
      <c r="AP612" s="225"/>
      <c r="AQ612" s="225"/>
      <c r="AR612" s="225"/>
    </row>
    <row r="613" spans="1:44" ht="15.75" customHeight="1">
      <c r="A613" s="131"/>
      <c r="B613" s="131"/>
      <c r="C613" s="131"/>
      <c r="D613" s="131"/>
      <c r="E613" s="131"/>
      <c r="F613" s="131"/>
      <c r="G613" s="131"/>
      <c r="H613" s="131"/>
      <c r="I613" s="131"/>
      <c r="J613" s="131"/>
      <c r="K613" s="131"/>
      <c r="L613" s="225"/>
      <c r="M613" s="225"/>
      <c r="N613" s="225"/>
      <c r="O613" s="225"/>
      <c r="P613" s="225"/>
      <c r="Q613" s="225"/>
      <c r="R613" s="225"/>
      <c r="S613" s="225"/>
      <c r="T613" s="225"/>
      <c r="U613" s="225"/>
      <c r="V613" s="225"/>
      <c r="W613" s="225"/>
      <c r="X613" s="225"/>
      <c r="Y613" s="225"/>
      <c r="Z613" s="225"/>
      <c r="AA613" s="225"/>
      <c r="AB613" s="225"/>
      <c r="AC613" s="225"/>
      <c r="AD613" s="225"/>
      <c r="AE613" s="225"/>
      <c r="AF613" s="225"/>
      <c r="AG613" s="225"/>
      <c r="AH613" s="225"/>
      <c r="AI613" s="225"/>
      <c r="AJ613" s="225"/>
      <c r="AK613" s="225"/>
      <c r="AL613" s="225"/>
      <c r="AM613" s="225"/>
      <c r="AN613" s="225"/>
      <c r="AO613" s="225"/>
      <c r="AP613" s="225"/>
      <c r="AQ613" s="225"/>
      <c r="AR613" s="225"/>
    </row>
    <row r="614" spans="1:44" ht="15.75" customHeight="1">
      <c r="A614" s="131"/>
      <c r="B614" s="131"/>
      <c r="C614" s="131"/>
      <c r="D614" s="131"/>
      <c r="E614" s="131"/>
      <c r="F614" s="131"/>
      <c r="G614" s="131"/>
      <c r="H614" s="131"/>
      <c r="I614" s="131"/>
      <c r="J614" s="131"/>
      <c r="K614" s="131"/>
      <c r="L614" s="225"/>
      <c r="M614" s="225"/>
      <c r="N614" s="225"/>
      <c r="O614" s="225"/>
      <c r="P614" s="225"/>
      <c r="Q614" s="225"/>
      <c r="R614" s="225"/>
      <c r="S614" s="225"/>
      <c r="T614" s="225"/>
      <c r="U614" s="225"/>
      <c r="V614" s="225"/>
      <c r="W614" s="225"/>
      <c r="X614" s="225"/>
      <c r="Y614" s="225"/>
      <c r="Z614" s="225"/>
      <c r="AA614" s="225"/>
      <c r="AB614" s="225"/>
      <c r="AC614" s="225"/>
      <c r="AD614" s="225"/>
      <c r="AE614" s="225"/>
      <c r="AF614" s="225"/>
      <c r="AG614" s="225"/>
      <c r="AH614" s="225"/>
      <c r="AI614" s="225"/>
      <c r="AJ614" s="225"/>
      <c r="AK614" s="225"/>
      <c r="AL614" s="225"/>
      <c r="AM614" s="225"/>
      <c r="AN614" s="225"/>
      <c r="AO614" s="225"/>
      <c r="AP614" s="225"/>
      <c r="AQ614" s="225"/>
      <c r="AR614" s="225"/>
    </row>
    <row r="615" spans="1:44" ht="15.75" customHeight="1">
      <c r="A615" s="131"/>
      <c r="B615" s="131"/>
      <c r="C615" s="131"/>
      <c r="D615" s="131"/>
      <c r="E615" s="131"/>
      <c r="F615" s="131"/>
      <c r="G615" s="131"/>
      <c r="H615" s="131"/>
      <c r="I615" s="131"/>
      <c r="J615" s="131"/>
      <c r="K615" s="131"/>
      <c r="L615" s="225"/>
      <c r="M615" s="225"/>
      <c r="N615" s="225"/>
      <c r="O615" s="225"/>
      <c r="P615" s="225"/>
      <c r="Q615" s="225"/>
      <c r="R615" s="225"/>
      <c r="S615" s="225"/>
      <c r="T615" s="225"/>
      <c r="U615" s="225"/>
      <c r="V615" s="225"/>
      <c r="W615" s="225"/>
      <c r="X615" s="225"/>
      <c r="Y615" s="225"/>
      <c r="Z615" s="225"/>
      <c r="AA615" s="225"/>
      <c r="AB615" s="225"/>
      <c r="AC615" s="225"/>
      <c r="AD615" s="225"/>
      <c r="AE615" s="225"/>
      <c r="AF615" s="225"/>
      <c r="AG615" s="225"/>
      <c r="AH615" s="225"/>
      <c r="AI615" s="225"/>
      <c r="AJ615" s="225"/>
      <c r="AK615" s="225"/>
      <c r="AL615" s="225"/>
      <c r="AM615" s="225"/>
      <c r="AN615" s="225"/>
      <c r="AO615" s="225"/>
      <c r="AP615" s="225"/>
      <c r="AQ615" s="225"/>
      <c r="AR615" s="225"/>
    </row>
    <row r="616" spans="1:44" ht="15.75" customHeight="1">
      <c r="A616" s="131"/>
      <c r="B616" s="131"/>
      <c r="C616" s="131"/>
      <c r="D616" s="131"/>
      <c r="E616" s="131"/>
      <c r="F616" s="131"/>
      <c r="G616" s="131"/>
      <c r="H616" s="131"/>
      <c r="I616" s="131"/>
      <c r="J616" s="131"/>
      <c r="K616" s="131"/>
      <c r="L616" s="225"/>
      <c r="M616" s="225"/>
      <c r="N616" s="225"/>
      <c r="O616" s="225"/>
      <c r="P616" s="225"/>
      <c r="Q616" s="225"/>
      <c r="R616" s="225"/>
      <c r="S616" s="225"/>
      <c r="T616" s="225"/>
      <c r="U616" s="225"/>
      <c r="V616" s="225"/>
      <c r="W616" s="225"/>
      <c r="X616" s="225"/>
      <c r="Y616" s="225"/>
      <c r="Z616" s="225"/>
      <c r="AA616" s="225"/>
      <c r="AB616" s="225"/>
      <c r="AC616" s="225"/>
      <c r="AD616" s="225"/>
      <c r="AE616" s="225"/>
      <c r="AF616" s="225"/>
      <c r="AG616" s="225"/>
      <c r="AH616" s="225"/>
      <c r="AI616" s="225"/>
      <c r="AJ616" s="225"/>
      <c r="AK616" s="225"/>
      <c r="AL616" s="225"/>
      <c r="AM616" s="225"/>
      <c r="AN616" s="225"/>
      <c r="AO616" s="225"/>
      <c r="AP616" s="225"/>
      <c r="AQ616" s="225"/>
      <c r="AR616" s="225"/>
    </row>
    <row r="617" spans="1:44" ht="15.75" customHeight="1">
      <c r="A617" s="131"/>
      <c r="B617" s="131"/>
      <c r="C617" s="131"/>
      <c r="D617" s="131"/>
      <c r="E617" s="131"/>
      <c r="F617" s="131"/>
      <c r="G617" s="131"/>
      <c r="H617" s="131"/>
      <c r="I617" s="131"/>
      <c r="J617" s="131"/>
      <c r="K617" s="131"/>
      <c r="L617" s="225"/>
      <c r="M617" s="225"/>
      <c r="N617" s="225"/>
      <c r="O617" s="225"/>
      <c r="P617" s="225"/>
      <c r="Q617" s="225"/>
      <c r="R617" s="225"/>
      <c r="S617" s="225"/>
      <c r="T617" s="225"/>
      <c r="U617" s="225"/>
      <c r="V617" s="225"/>
      <c r="W617" s="225"/>
      <c r="X617" s="225"/>
      <c r="Y617" s="225"/>
      <c r="Z617" s="225"/>
      <c r="AA617" s="225"/>
      <c r="AB617" s="225"/>
      <c r="AC617" s="225"/>
      <c r="AD617" s="225"/>
      <c r="AE617" s="225"/>
      <c r="AF617" s="225"/>
      <c r="AG617" s="225"/>
      <c r="AH617" s="225"/>
      <c r="AI617" s="225"/>
      <c r="AJ617" s="225"/>
      <c r="AK617" s="225"/>
      <c r="AL617" s="225"/>
      <c r="AM617" s="225"/>
      <c r="AN617" s="225"/>
      <c r="AO617" s="225"/>
      <c r="AP617" s="225"/>
      <c r="AQ617" s="225"/>
      <c r="AR617" s="225"/>
    </row>
    <row r="618" spans="1:44" ht="15.75" customHeight="1">
      <c r="A618" s="131"/>
      <c r="B618" s="131"/>
      <c r="C618" s="131"/>
      <c r="D618" s="131"/>
      <c r="E618" s="131"/>
      <c r="F618" s="131"/>
      <c r="G618" s="131"/>
      <c r="H618" s="131"/>
      <c r="I618" s="131"/>
      <c r="J618" s="131"/>
      <c r="K618" s="131"/>
      <c r="L618" s="225"/>
      <c r="M618" s="225"/>
      <c r="N618" s="225"/>
      <c r="O618" s="225"/>
      <c r="P618" s="225"/>
      <c r="Q618" s="225"/>
      <c r="R618" s="225"/>
      <c r="S618" s="225"/>
      <c r="T618" s="225"/>
      <c r="U618" s="225"/>
      <c r="V618" s="225"/>
      <c r="W618" s="225"/>
      <c r="X618" s="225"/>
      <c r="Y618" s="225"/>
      <c r="Z618" s="225"/>
      <c r="AA618" s="225"/>
      <c r="AB618" s="225"/>
      <c r="AC618" s="225"/>
      <c r="AD618" s="225"/>
      <c r="AE618" s="225"/>
      <c r="AF618" s="225"/>
      <c r="AG618" s="225"/>
      <c r="AH618" s="225"/>
      <c r="AI618" s="225"/>
      <c r="AJ618" s="225"/>
      <c r="AK618" s="225"/>
      <c r="AL618" s="225"/>
      <c r="AM618" s="225"/>
      <c r="AN618" s="225"/>
      <c r="AO618" s="225"/>
      <c r="AP618" s="225"/>
      <c r="AQ618" s="225"/>
      <c r="AR618" s="225"/>
    </row>
    <row r="619" spans="1:44" ht="15.75" customHeight="1">
      <c r="A619" s="131"/>
      <c r="B619" s="131"/>
      <c r="C619" s="131"/>
      <c r="D619" s="131"/>
      <c r="E619" s="131"/>
      <c r="F619" s="131"/>
      <c r="G619" s="131"/>
      <c r="H619" s="131"/>
      <c r="I619" s="131"/>
      <c r="J619" s="131"/>
      <c r="K619" s="131"/>
      <c r="L619" s="225"/>
      <c r="M619" s="225"/>
      <c r="N619" s="225"/>
      <c r="O619" s="225"/>
      <c r="P619" s="225"/>
      <c r="Q619" s="225"/>
      <c r="R619" s="225"/>
      <c r="S619" s="225"/>
      <c r="T619" s="225"/>
      <c r="U619" s="225"/>
      <c r="V619" s="225"/>
      <c r="W619" s="225"/>
      <c r="X619" s="225"/>
      <c r="Y619" s="225"/>
      <c r="Z619" s="225"/>
      <c r="AA619" s="225"/>
      <c r="AB619" s="225"/>
      <c r="AC619" s="225"/>
      <c r="AD619" s="225"/>
      <c r="AE619" s="225"/>
      <c r="AF619" s="225"/>
      <c r="AG619" s="225"/>
      <c r="AH619" s="225"/>
      <c r="AI619" s="225"/>
      <c r="AJ619" s="225"/>
      <c r="AK619" s="225"/>
      <c r="AL619" s="225"/>
      <c r="AM619" s="225"/>
      <c r="AN619" s="225"/>
      <c r="AO619" s="225"/>
      <c r="AP619" s="225"/>
      <c r="AQ619" s="225"/>
      <c r="AR619" s="225"/>
    </row>
    <row r="620" spans="1:44" ht="15.75" customHeight="1">
      <c r="A620" s="131"/>
      <c r="B620" s="131"/>
      <c r="C620" s="131"/>
      <c r="D620" s="131"/>
      <c r="E620" s="131"/>
      <c r="F620" s="131"/>
      <c r="G620" s="131"/>
      <c r="H620" s="131"/>
      <c r="I620" s="131"/>
      <c r="J620" s="131"/>
      <c r="K620" s="131"/>
      <c r="L620" s="225"/>
      <c r="M620" s="225"/>
      <c r="N620" s="225"/>
      <c r="O620" s="225"/>
      <c r="P620" s="225"/>
      <c r="Q620" s="225"/>
      <c r="R620" s="225"/>
      <c r="S620" s="225"/>
      <c r="T620" s="225"/>
      <c r="U620" s="225"/>
      <c r="V620" s="225"/>
      <c r="W620" s="225"/>
      <c r="X620" s="225"/>
      <c r="Y620" s="225"/>
      <c r="Z620" s="225"/>
      <c r="AA620" s="225"/>
      <c r="AB620" s="225"/>
      <c r="AC620" s="225"/>
      <c r="AD620" s="225"/>
      <c r="AE620" s="225"/>
      <c r="AF620" s="225"/>
      <c r="AG620" s="225"/>
      <c r="AH620" s="225"/>
      <c r="AI620" s="225"/>
      <c r="AJ620" s="225"/>
      <c r="AK620" s="225"/>
      <c r="AL620" s="225"/>
      <c r="AM620" s="225"/>
      <c r="AN620" s="225"/>
      <c r="AO620" s="225"/>
      <c r="AP620" s="225"/>
      <c r="AQ620" s="225"/>
      <c r="AR620" s="225"/>
    </row>
    <row r="621" spans="1:44" ht="15.75" customHeight="1">
      <c r="A621" s="131"/>
      <c r="B621" s="131"/>
      <c r="C621" s="131"/>
      <c r="D621" s="131"/>
      <c r="E621" s="131"/>
      <c r="F621" s="131"/>
      <c r="G621" s="131"/>
      <c r="H621" s="131"/>
      <c r="I621" s="131"/>
      <c r="J621" s="131"/>
      <c r="K621" s="131"/>
      <c r="L621" s="225"/>
      <c r="M621" s="225"/>
      <c r="N621" s="225"/>
      <c r="O621" s="225"/>
      <c r="P621" s="225"/>
      <c r="Q621" s="225"/>
      <c r="R621" s="225"/>
      <c r="S621" s="225"/>
      <c r="T621" s="225"/>
      <c r="U621" s="225"/>
      <c r="V621" s="225"/>
      <c r="W621" s="225"/>
      <c r="X621" s="225"/>
      <c r="Y621" s="225"/>
      <c r="Z621" s="225"/>
      <c r="AA621" s="225"/>
      <c r="AB621" s="225"/>
      <c r="AC621" s="225"/>
      <c r="AD621" s="225"/>
      <c r="AE621" s="225"/>
      <c r="AF621" s="225"/>
      <c r="AG621" s="225"/>
      <c r="AH621" s="225"/>
      <c r="AI621" s="225"/>
      <c r="AJ621" s="225"/>
      <c r="AK621" s="225"/>
      <c r="AL621" s="225"/>
      <c r="AM621" s="225"/>
      <c r="AN621" s="225"/>
      <c r="AO621" s="225"/>
      <c r="AP621" s="225"/>
      <c r="AQ621" s="225"/>
      <c r="AR621" s="225"/>
    </row>
    <row r="622" spans="1:44" ht="15.75" customHeight="1">
      <c r="A622" s="131"/>
      <c r="B622" s="131"/>
      <c r="C622" s="131"/>
      <c r="D622" s="131"/>
      <c r="E622" s="131"/>
      <c r="F622" s="131"/>
      <c r="G622" s="131"/>
      <c r="H622" s="131"/>
      <c r="I622" s="131"/>
      <c r="J622" s="131"/>
      <c r="K622" s="131"/>
      <c r="L622" s="225"/>
      <c r="M622" s="225"/>
      <c r="N622" s="225"/>
      <c r="O622" s="225"/>
      <c r="P622" s="225"/>
      <c r="Q622" s="225"/>
      <c r="R622" s="225"/>
      <c r="S622" s="225"/>
      <c r="T622" s="225"/>
      <c r="U622" s="225"/>
      <c r="V622" s="225"/>
      <c r="W622" s="225"/>
      <c r="X622" s="225"/>
      <c r="Y622" s="225"/>
      <c r="Z622" s="225"/>
      <c r="AA622" s="225"/>
      <c r="AB622" s="225"/>
      <c r="AC622" s="225"/>
      <c r="AD622" s="225"/>
      <c r="AE622" s="225"/>
      <c r="AF622" s="225"/>
      <c r="AG622" s="225"/>
      <c r="AH622" s="225"/>
      <c r="AI622" s="225"/>
      <c r="AJ622" s="225"/>
      <c r="AK622" s="225"/>
      <c r="AL622" s="225"/>
      <c r="AM622" s="225"/>
      <c r="AN622" s="225"/>
      <c r="AO622" s="225"/>
      <c r="AP622" s="225"/>
      <c r="AQ622" s="225"/>
      <c r="AR622" s="225"/>
    </row>
    <row r="623" spans="1:44" ht="15.75" customHeight="1">
      <c r="A623" s="131"/>
      <c r="B623" s="131"/>
      <c r="C623" s="131"/>
      <c r="D623" s="131"/>
      <c r="E623" s="131"/>
      <c r="F623" s="131"/>
      <c r="G623" s="131"/>
      <c r="H623" s="131"/>
      <c r="I623" s="131"/>
      <c r="J623" s="131"/>
      <c r="K623" s="131"/>
      <c r="L623" s="225"/>
      <c r="M623" s="225"/>
      <c r="N623" s="225"/>
      <c r="O623" s="225"/>
      <c r="P623" s="225"/>
      <c r="Q623" s="225"/>
      <c r="R623" s="225"/>
      <c r="S623" s="225"/>
      <c r="T623" s="225"/>
      <c r="U623" s="225"/>
      <c r="V623" s="225"/>
      <c r="W623" s="225"/>
      <c r="X623" s="225"/>
      <c r="Y623" s="225"/>
      <c r="Z623" s="225"/>
      <c r="AA623" s="225"/>
      <c r="AB623" s="225"/>
      <c r="AC623" s="225"/>
      <c r="AD623" s="225"/>
      <c r="AE623" s="225"/>
      <c r="AF623" s="225"/>
      <c r="AG623" s="225"/>
      <c r="AH623" s="225"/>
      <c r="AI623" s="225"/>
      <c r="AJ623" s="225"/>
      <c r="AK623" s="225"/>
      <c r="AL623" s="225"/>
      <c r="AM623" s="225"/>
      <c r="AN623" s="225"/>
      <c r="AO623" s="225"/>
      <c r="AP623" s="225"/>
      <c r="AQ623" s="225"/>
      <c r="AR623" s="225"/>
    </row>
    <row r="624" spans="1:44" ht="15.75" customHeight="1">
      <c r="A624" s="131"/>
      <c r="B624" s="131"/>
      <c r="C624" s="131"/>
      <c r="D624" s="131"/>
      <c r="E624" s="131"/>
      <c r="F624" s="131"/>
      <c r="G624" s="131"/>
      <c r="H624" s="131"/>
      <c r="I624" s="131"/>
      <c r="J624" s="131"/>
      <c r="K624" s="131"/>
      <c r="L624" s="225"/>
      <c r="M624" s="225"/>
      <c r="N624" s="225"/>
      <c r="O624" s="225"/>
      <c r="P624" s="225"/>
      <c r="Q624" s="225"/>
      <c r="R624" s="225"/>
      <c r="S624" s="225"/>
      <c r="T624" s="225"/>
      <c r="U624" s="225"/>
      <c r="V624" s="225"/>
      <c r="W624" s="225"/>
      <c r="X624" s="225"/>
      <c r="Y624" s="225"/>
      <c r="Z624" s="225"/>
      <c r="AA624" s="225"/>
      <c r="AB624" s="225"/>
      <c r="AC624" s="225"/>
      <c r="AD624" s="225"/>
      <c r="AE624" s="225"/>
      <c r="AF624" s="225"/>
      <c r="AG624" s="225"/>
      <c r="AH624" s="225"/>
      <c r="AI624" s="225"/>
      <c r="AJ624" s="225"/>
      <c r="AK624" s="225"/>
      <c r="AL624" s="225"/>
      <c r="AM624" s="225"/>
      <c r="AN624" s="225"/>
      <c r="AO624" s="225"/>
      <c r="AP624" s="225"/>
      <c r="AQ624" s="225"/>
      <c r="AR624" s="225"/>
    </row>
    <row r="625" spans="1:44" ht="15.75" customHeight="1">
      <c r="A625" s="131"/>
      <c r="B625" s="131"/>
      <c r="C625" s="131"/>
      <c r="D625" s="131"/>
      <c r="E625" s="131"/>
      <c r="F625" s="131"/>
      <c r="G625" s="131"/>
      <c r="H625" s="131"/>
      <c r="I625" s="131"/>
      <c r="J625" s="131"/>
      <c r="K625" s="131"/>
      <c r="L625" s="225"/>
      <c r="M625" s="225"/>
      <c r="N625" s="225"/>
      <c r="O625" s="225"/>
      <c r="P625" s="225"/>
      <c r="Q625" s="225"/>
      <c r="R625" s="225"/>
      <c r="S625" s="225"/>
      <c r="T625" s="225"/>
      <c r="U625" s="225"/>
      <c r="V625" s="225"/>
      <c r="W625" s="225"/>
      <c r="X625" s="225"/>
      <c r="Y625" s="225"/>
      <c r="Z625" s="225"/>
      <c r="AA625" s="225"/>
      <c r="AB625" s="225"/>
      <c r="AC625" s="225"/>
      <c r="AD625" s="225"/>
      <c r="AE625" s="225"/>
      <c r="AF625" s="225"/>
      <c r="AG625" s="225"/>
      <c r="AH625" s="225"/>
      <c r="AI625" s="225"/>
      <c r="AJ625" s="225"/>
      <c r="AK625" s="225"/>
      <c r="AL625" s="225"/>
      <c r="AM625" s="225"/>
      <c r="AN625" s="225"/>
      <c r="AO625" s="225"/>
      <c r="AP625" s="225"/>
      <c r="AQ625" s="225"/>
      <c r="AR625" s="225"/>
    </row>
    <row r="626" spans="1:44" ht="15.75" customHeight="1">
      <c r="A626" s="131"/>
      <c r="B626" s="131"/>
      <c r="C626" s="131"/>
      <c r="D626" s="131"/>
      <c r="E626" s="131"/>
      <c r="F626" s="131"/>
      <c r="G626" s="131"/>
      <c r="H626" s="131"/>
      <c r="I626" s="131"/>
      <c r="J626" s="131"/>
      <c r="K626" s="131"/>
      <c r="L626" s="225"/>
      <c r="M626" s="225"/>
      <c r="N626" s="225"/>
      <c r="O626" s="225"/>
      <c r="P626" s="225"/>
      <c r="Q626" s="225"/>
      <c r="R626" s="225"/>
      <c r="S626" s="225"/>
      <c r="T626" s="225"/>
      <c r="U626" s="225"/>
      <c r="V626" s="225"/>
      <c r="W626" s="225"/>
      <c r="X626" s="225"/>
      <c r="Y626" s="225"/>
      <c r="Z626" s="225"/>
      <c r="AA626" s="225"/>
      <c r="AB626" s="225"/>
      <c r="AC626" s="225"/>
      <c r="AD626" s="225"/>
      <c r="AE626" s="225"/>
      <c r="AF626" s="225"/>
      <c r="AG626" s="225"/>
      <c r="AH626" s="225"/>
      <c r="AI626" s="225"/>
      <c r="AJ626" s="225"/>
      <c r="AK626" s="225"/>
      <c r="AL626" s="225"/>
      <c r="AM626" s="225"/>
      <c r="AN626" s="225"/>
      <c r="AO626" s="225"/>
      <c r="AP626" s="225"/>
      <c r="AQ626" s="225"/>
      <c r="AR626" s="225"/>
    </row>
    <row r="627" spans="1:44" ht="15.75" customHeight="1">
      <c r="A627" s="131"/>
      <c r="B627" s="131"/>
      <c r="C627" s="131"/>
      <c r="D627" s="131"/>
      <c r="E627" s="131"/>
      <c r="F627" s="131"/>
      <c r="G627" s="131"/>
      <c r="H627" s="131"/>
      <c r="I627" s="131"/>
      <c r="J627" s="131"/>
      <c r="K627" s="131"/>
      <c r="L627" s="225"/>
      <c r="M627" s="225"/>
      <c r="N627" s="225"/>
      <c r="O627" s="225"/>
      <c r="P627" s="225"/>
      <c r="Q627" s="225"/>
      <c r="R627" s="225"/>
      <c r="S627" s="225"/>
      <c r="T627" s="225"/>
      <c r="U627" s="225"/>
      <c r="V627" s="225"/>
      <c r="W627" s="225"/>
      <c r="X627" s="225"/>
      <c r="Y627" s="225"/>
      <c r="Z627" s="225"/>
      <c r="AA627" s="225"/>
      <c r="AB627" s="225"/>
      <c r="AC627" s="225"/>
      <c r="AD627" s="225"/>
      <c r="AE627" s="225"/>
      <c r="AF627" s="225"/>
      <c r="AG627" s="225"/>
      <c r="AH627" s="225"/>
      <c r="AI627" s="225"/>
      <c r="AJ627" s="225"/>
      <c r="AK627" s="225"/>
      <c r="AL627" s="225"/>
      <c r="AM627" s="225"/>
      <c r="AN627" s="225"/>
      <c r="AO627" s="225"/>
      <c r="AP627" s="225"/>
      <c r="AQ627" s="225"/>
      <c r="AR627" s="225"/>
    </row>
    <row r="628" spans="1:44" ht="15.75" customHeight="1">
      <c r="A628" s="131"/>
      <c r="B628" s="131"/>
      <c r="C628" s="131"/>
      <c r="D628" s="131"/>
      <c r="E628" s="131"/>
      <c r="F628" s="131"/>
      <c r="G628" s="131"/>
      <c r="H628" s="131"/>
      <c r="I628" s="131"/>
      <c r="J628" s="131"/>
      <c r="K628" s="131"/>
      <c r="L628" s="225"/>
      <c r="M628" s="225"/>
      <c r="N628" s="225"/>
      <c r="O628" s="225"/>
      <c r="P628" s="225"/>
      <c r="Q628" s="225"/>
      <c r="R628" s="225"/>
      <c r="S628" s="225"/>
      <c r="T628" s="225"/>
      <c r="U628" s="225"/>
      <c r="V628" s="225"/>
      <c r="W628" s="225"/>
      <c r="X628" s="225"/>
      <c r="Y628" s="225"/>
      <c r="Z628" s="225"/>
      <c r="AA628" s="225"/>
      <c r="AB628" s="225"/>
      <c r="AC628" s="225"/>
      <c r="AD628" s="225"/>
      <c r="AE628" s="225"/>
      <c r="AF628" s="225"/>
      <c r="AG628" s="225"/>
      <c r="AH628" s="225"/>
      <c r="AI628" s="225"/>
      <c r="AJ628" s="225"/>
      <c r="AK628" s="225"/>
      <c r="AL628" s="225"/>
      <c r="AM628" s="225"/>
      <c r="AN628" s="225"/>
      <c r="AO628" s="225"/>
      <c r="AP628" s="225"/>
      <c r="AQ628" s="225"/>
      <c r="AR628" s="225"/>
    </row>
    <row r="629" spans="1:44" ht="15.75" customHeight="1">
      <c r="A629" s="131"/>
      <c r="B629" s="131"/>
      <c r="C629" s="131"/>
      <c r="D629" s="131"/>
      <c r="E629" s="131"/>
      <c r="F629" s="131"/>
      <c r="G629" s="131"/>
      <c r="H629" s="131"/>
      <c r="I629" s="131"/>
      <c r="J629" s="131"/>
      <c r="K629" s="131"/>
      <c r="L629" s="225"/>
      <c r="M629" s="225"/>
      <c r="N629" s="225"/>
      <c r="O629" s="225"/>
      <c r="P629" s="225"/>
      <c r="Q629" s="225"/>
      <c r="R629" s="225"/>
      <c r="S629" s="225"/>
      <c r="T629" s="225"/>
      <c r="U629" s="225"/>
      <c r="V629" s="225"/>
      <c r="W629" s="225"/>
      <c r="X629" s="225"/>
      <c r="Y629" s="225"/>
      <c r="Z629" s="225"/>
      <c r="AA629" s="225"/>
      <c r="AB629" s="225"/>
      <c r="AC629" s="225"/>
      <c r="AD629" s="225"/>
      <c r="AE629" s="225"/>
      <c r="AF629" s="225"/>
      <c r="AG629" s="225"/>
      <c r="AH629" s="225"/>
      <c r="AI629" s="225"/>
      <c r="AJ629" s="225"/>
      <c r="AK629" s="225"/>
      <c r="AL629" s="225"/>
      <c r="AM629" s="225"/>
      <c r="AN629" s="225"/>
      <c r="AO629" s="225"/>
      <c r="AP629" s="225"/>
      <c r="AQ629" s="225"/>
      <c r="AR629" s="225"/>
    </row>
    <row r="630" spans="1:44" ht="15.75" customHeight="1">
      <c r="A630" s="131"/>
      <c r="B630" s="131"/>
      <c r="C630" s="131"/>
      <c r="D630" s="131"/>
      <c r="E630" s="131"/>
      <c r="F630" s="131"/>
      <c r="G630" s="131"/>
      <c r="H630" s="131"/>
      <c r="I630" s="131"/>
      <c r="J630" s="131"/>
      <c r="K630" s="131"/>
      <c r="L630" s="225"/>
      <c r="M630" s="225"/>
      <c r="N630" s="225"/>
      <c r="O630" s="225"/>
      <c r="P630" s="225"/>
      <c r="Q630" s="225"/>
      <c r="R630" s="225"/>
      <c r="S630" s="225"/>
      <c r="T630" s="225"/>
      <c r="U630" s="225"/>
      <c r="V630" s="225"/>
      <c r="W630" s="225"/>
      <c r="X630" s="225"/>
      <c r="Y630" s="225"/>
      <c r="Z630" s="225"/>
      <c r="AA630" s="225"/>
      <c r="AB630" s="225"/>
      <c r="AC630" s="225"/>
      <c r="AD630" s="225"/>
      <c r="AE630" s="225"/>
      <c r="AF630" s="225"/>
      <c r="AG630" s="225"/>
      <c r="AH630" s="225"/>
      <c r="AI630" s="225"/>
      <c r="AJ630" s="225"/>
      <c r="AK630" s="225"/>
      <c r="AL630" s="225"/>
      <c r="AM630" s="225"/>
      <c r="AN630" s="225"/>
      <c r="AO630" s="225"/>
      <c r="AP630" s="225"/>
      <c r="AQ630" s="225"/>
      <c r="AR630" s="225"/>
    </row>
    <row r="631" spans="1:44" ht="15.75" customHeight="1">
      <c r="A631" s="131"/>
      <c r="B631" s="131"/>
      <c r="C631" s="131"/>
      <c r="D631" s="131"/>
      <c r="E631" s="131"/>
      <c r="F631" s="131"/>
      <c r="G631" s="131"/>
      <c r="H631" s="131"/>
      <c r="I631" s="131"/>
      <c r="J631" s="131"/>
      <c r="K631" s="131"/>
      <c r="L631" s="225"/>
      <c r="M631" s="225"/>
      <c r="N631" s="225"/>
      <c r="O631" s="225"/>
      <c r="P631" s="225"/>
      <c r="Q631" s="225"/>
      <c r="R631" s="225"/>
      <c r="S631" s="225"/>
      <c r="T631" s="225"/>
      <c r="U631" s="225"/>
      <c r="V631" s="225"/>
      <c r="W631" s="225"/>
      <c r="X631" s="225"/>
      <c r="Y631" s="225"/>
      <c r="Z631" s="225"/>
      <c r="AA631" s="225"/>
      <c r="AB631" s="225"/>
      <c r="AC631" s="225"/>
      <c r="AD631" s="225"/>
      <c r="AE631" s="225"/>
      <c r="AF631" s="225"/>
      <c r="AG631" s="225"/>
      <c r="AH631" s="225"/>
      <c r="AI631" s="225"/>
      <c r="AJ631" s="225"/>
      <c r="AK631" s="225"/>
      <c r="AL631" s="225"/>
      <c r="AM631" s="225"/>
      <c r="AN631" s="225"/>
      <c r="AO631" s="225"/>
      <c r="AP631" s="225"/>
      <c r="AQ631" s="225"/>
      <c r="AR631" s="225"/>
    </row>
    <row r="632" spans="1:44" ht="15.75" customHeight="1">
      <c r="A632" s="131"/>
      <c r="B632" s="131"/>
      <c r="C632" s="131"/>
      <c r="D632" s="131"/>
      <c r="E632" s="131"/>
      <c r="F632" s="131"/>
      <c r="G632" s="131"/>
      <c r="H632" s="131"/>
      <c r="I632" s="131"/>
      <c r="J632" s="131"/>
      <c r="K632" s="131"/>
      <c r="L632" s="225"/>
      <c r="M632" s="225"/>
      <c r="N632" s="225"/>
      <c r="O632" s="225"/>
      <c r="P632" s="225"/>
      <c r="Q632" s="225"/>
      <c r="R632" s="225"/>
      <c r="S632" s="225"/>
      <c r="T632" s="225"/>
      <c r="U632" s="225"/>
      <c r="V632" s="225"/>
      <c r="W632" s="225"/>
      <c r="X632" s="225"/>
      <c r="Y632" s="225"/>
      <c r="Z632" s="225"/>
      <c r="AA632" s="225"/>
      <c r="AB632" s="225"/>
      <c r="AC632" s="225"/>
      <c r="AD632" s="225"/>
      <c r="AE632" s="225"/>
      <c r="AF632" s="225"/>
      <c r="AG632" s="225"/>
      <c r="AH632" s="225"/>
      <c r="AI632" s="225"/>
      <c r="AJ632" s="225"/>
      <c r="AK632" s="225"/>
      <c r="AL632" s="225"/>
      <c r="AM632" s="225"/>
      <c r="AN632" s="225"/>
      <c r="AO632" s="225"/>
      <c r="AP632" s="225"/>
      <c r="AQ632" s="225"/>
      <c r="AR632" s="225"/>
    </row>
    <row r="633" spans="1:44" ht="15.75" customHeight="1">
      <c r="A633" s="131"/>
      <c r="B633" s="131"/>
      <c r="C633" s="131"/>
      <c r="D633" s="131"/>
      <c r="E633" s="131"/>
      <c r="F633" s="131"/>
      <c r="G633" s="131"/>
      <c r="H633" s="131"/>
      <c r="I633" s="131"/>
      <c r="J633" s="131"/>
      <c r="K633" s="131"/>
      <c r="L633" s="225"/>
      <c r="M633" s="225"/>
      <c r="N633" s="225"/>
      <c r="O633" s="225"/>
      <c r="P633" s="225"/>
      <c r="Q633" s="225"/>
      <c r="R633" s="225"/>
      <c r="S633" s="225"/>
      <c r="T633" s="225"/>
      <c r="U633" s="225"/>
      <c r="V633" s="225"/>
      <c r="W633" s="225"/>
      <c r="X633" s="225"/>
      <c r="Y633" s="225"/>
      <c r="Z633" s="225"/>
      <c r="AA633" s="225"/>
      <c r="AB633" s="225"/>
      <c r="AC633" s="225"/>
      <c r="AD633" s="225"/>
      <c r="AE633" s="225"/>
      <c r="AF633" s="225"/>
      <c r="AG633" s="225"/>
      <c r="AH633" s="225"/>
      <c r="AI633" s="225"/>
      <c r="AJ633" s="225"/>
      <c r="AK633" s="225"/>
      <c r="AL633" s="225"/>
      <c r="AM633" s="225"/>
      <c r="AN633" s="225"/>
      <c r="AO633" s="225"/>
      <c r="AP633" s="225"/>
      <c r="AQ633" s="225"/>
      <c r="AR633" s="225"/>
    </row>
    <row r="634" spans="1:44" ht="15.75" customHeight="1">
      <c r="A634" s="131"/>
      <c r="B634" s="131"/>
      <c r="C634" s="131"/>
      <c r="D634" s="131"/>
      <c r="E634" s="131"/>
      <c r="F634" s="131"/>
      <c r="G634" s="131"/>
      <c r="H634" s="131"/>
      <c r="I634" s="131"/>
      <c r="J634" s="131"/>
      <c r="K634" s="131"/>
      <c r="L634" s="225"/>
      <c r="M634" s="225"/>
      <c r="N634" s="225"/>
      <c r="O634" s="225"/>
      <c r="P634" s="225"/>
      <c r="Q634" s="225"/>
      <c r="R634" s="225"/>
      <c r="S634" s="225"/>
      <c r="T634" s="225"/>
      <c r="U634" s="225"/>
      <c r="V634" s="225"/>
      <c r="W634" s="225"/>
      <c r="X634" s="225"/>
      <c r="Y634" s="225"/>
      <c r="Z634" s="225"/>
      <c r="AA634" s="225"/>
      <c r="AB634" s="225"/>
      <c r="AC634" s="225"/>
      <c r="AD634" s="225"/>
      <c r="AE634" s="225"/>
      <c r="AF634" s="225"/>
      <c r="AG634" s="225"/>
      <c r="AH634" s="225"/>
      <c r="AI634" s="225"/>
      <c r="AJ634" s="225"/>
      <c r="AK634" s="225"/>
      <c r="AL634" s="225"/>
      <c r="AM634" s="225"/>
      <c r="AN634" s="225"/>
      <c r="AO634" s="225"/>
      <c r="AP634" s="225"/>
      <c r="AQ634" s="225"/>
      <c r="AR634" s="225"/>
    </row>
    <row r="635" spans="1:44" ht="15.75" customHeight="1">
      <c r="A635" s="131"/>
      <c r="B635" s="131"/>
      <c r="C635" s="131"/>
      <c r="D635" s="131"/>
      <c r="E635" s="131"/>
      <c r="F635" s="131"/>
      <c r="G635" s="131"/>
      <c r="H635" s="131"/>
      <c r="I635" s="131"/>
      <c r="J635" s="131"/>
      <c r="K635" s="131"/>
      <c r="L635" s="225"/>
      <c r="M635" s="225"/>
      <c r="N635" s="225"/>
      <c r="O635" s="225"/>
      <c r="P635" s="225"/>
      <c r="Q635" s="225"/>
      <c r="R635" s="225"/>
      <c r="S635" s="225"/>
      <c r="T635" s="225"/>
      <c r="U635" s="225"/>
      <c r="V635" s="225"/>
      <c r="W635" s="225"/>
      <c r="X635" s="225"/>
      <c r="Y635" s="225"/>
      <c r="Z635" s="225"/>
      <c r="AA635" s="225"/>
      <c r="AB635" s="225"/>
      <c r="AC635" s="225"/>
      <c r="AD635" s="225"/>
      <c r="AE635" s="225"/>
      <c r="AF635" s="225"/>
      <c r="AG635" s="225"/>
      <c r="AH635" s="225"/>
      <c r="AI635" s="225"/>
      <c r="AJ635" s="225"/>
      <c r="AK635" s="225"/>
      <c r="AL635" s="225"/>
      <c r="AM635" s="225"/>
      <c r="AN635" s="225"/>
      <c r="AO635" s="225"/>
      <c r="AP635" s="225"/>
      <c r="AQ635" s="225"/>
      <c r="AR635" s="225"/>
    </row>
    <row r="636" spans="1:44" ht="15.75" customHeight="1">
      <c r="A636" s="131"/>
      <c r="B636" s="131"/>
      <c r="C636" s="131"/>
      <c r="D636" s="131"/>
      <c r="E636" s="131"/>
      <c r="F636" s="131"/>
      <c r="G636" s="131"/>
      <c r="H636" s="131"/>
      <c r="I636" s="131"/>
      <c r="J636" s="131"/>
      <c r="K636" s="131"/>
      <c r="L636" s="225"/>
      <c r="M636" s="225"/>
      <c r="N636" s="225"/>
      <c r="O636" s="225"/>
      <c r="P636" s="225"/>
      <c r="Q636" s="225"/>
      <c r="R636" s="225"/>
      <c r="S636" s="225"/>
      <c r="T636" s="225"/>
      <c r="U636" s="225"/>
      <c r="V636" s="225"/>
      <c r="W636" s="225"/>
      <c r="X636" s="225"/>
      <c r="Y636" s="225"/>
      <c r="Z636" s="225"/>
      <c r="AA636" s="225"/>
      <c r="AB636" s="225"/>
      <c r="AC636" s="225"/>
      <c r="AD636" s="225"/>
      <c r="AE636" s="225"/>
      <c r="AF636" s="225"/>
      <c r="AG636" s="225"/>
      <c r="AH636" s="225"/>
      <c r="AI636" s="225"/>
      <c r="AJ636" s="225"/>
      <c r="AK636" s="225"/>
      <c r="AL636" s="225"/>
      <c r="AM636" s="225"/>
      <c r="AN636" s="225"/>
      <c r="AO636" s="225"/>
      <c r="AP636" s="225"/>
      <c r="AQ636" s="225"/>
      <c r="AR636" s="225"/>
    </row>
    <row r="637" spans="1:44" ht="15.75" customHeight="1">
      <c r="A637" s="131"/>
      <c r="B637" s="131"/>
      <c r="C637" s="131"/>
      <c r="D637" s="131"/>
      <c r="E637" s="131"/>
      <c r="F637" s="131"/>
      <c r="G637" s="131"/>
      <c r="H637" s="131"/>
      <c r="I637" s="131"/>
      <c r="J637" s="131"/>
      <c r="K637" s="131"/>
      <c r="L637" s="225"/>
      <c r="M637" s="225"/>
      <c r="N637" s="225"/>
      <c r="O637" s="225"/>
      <c r="P637" s="225"/>
      <c r="Q637" s="225"/>
      <c r="R637" s="225"/>
      <c r="S637" s="225"/>
      <c r="T637" s="225"/>
      <c r="U637" s="225"/>
      <c r="V637" s="225"/>
      <c r="W637" s="225"/>
      <c r="X637" s="225"/>
      <c r="Y637" s="225"/>
      <c r="Z637" s="225"/>
      <c r="AA637" s="225"/>
      <c r="AB637" s="225"/>
      <c r="AC637" s="225"/>
      <c r="AD637" s="225"/>
      <c r="AE637" s="225"/>
      <c r="AF637" s="225"/>
      <c r="AG637" s="225"/>
      <c r="AH637" s="225"/>
      <c r="AI637" s="225"/>
      <c r="AJ637" s="225"/>
      <c r="AK637" s="225"/>
      <c r="AL637" s="225"/>
      <c r="AM637" s="225"/>
      <c r="AN637" s="225"/>
      <c r="AO637" s="225"/>
      <c r="AP637" s="225"/>
      <c r="AQ637" s="225"/>
      <c r="AR637" s="225"/>
    </row>
    <row r="638" spans="1:44" ht="15.75" customHeight="1">
      <c r="A638" s="131"/>
      <c r="B638" s="131"/>
      <c r="C638" s="131"/>
      <c r="D638" s="131"/>
      <c r="E638" s="131"/>
      <c r="F638" s="131"/>
      <c r="G638" s="131"/>
      <c r="H638" s="131"/>
      <c r="I638" s="131"/>
      <c r="J638" s="131"/>
      <c r="K638" s="131"/>
      <c r="L638" s="225"/>
      <c r="M638" s="225"/>
      <c r="N638" s="225"/>
      <c r="O638" s="225"/>
      <c r="P638" s="225"/>
      <c r="Q638" s="225"/>
      <c r="R638" s="225"/>
      <c r="S638" s="225"/>
      <c r="T638" s="225"/>
      <c r="U638" s="225"/>
      <c r="V638" s="225"/>
      <c r="W638" s="225"/>
      <c r="X638" s="225"/>
      <c r="Y638" s="225"/>
      <c r="Z638" s="225"/>
      <c r="AA638" s="225"/>
      <c r="AB638" s="225"/>
      <c r="AC638" s="225"/>
      <c r="AD638" s="225"/>
      <c r="AE638" s="225"/>
      <c r="AF638" s="225"/>
      <c r="AG638" s="225"/>
      <c r="AH638" s="225"/>
      <c r="AI638" s="225"/>
      <c r="AJ638" s="225"/>
      <c r="AK638" s="225"/>
      <c r="AL638" s="225"/>
      <c r="AM638" s="225"/>
      <c r="AN638" s="225"/>
      <c r="AO638" s="225"/>
      <c r="AP638" s="225"/>
      <c r="AQ638" s="225"/>
      <c r="AR638" s="225"/>
    </row>
    <row r="639" spans="1:44" ht="15.75" customHeight="1">
      <c r="A639" s="131"/>
      <c r="B639" s="131"/>
      <c r="C639" s="131"/>
      <c r="D639" s="131"/>
      <c r="E639" s="131"/>
      <c r="F639" s="131"/>
      <c r="G639" s="131"/>
      <c r="H639" s="131"/>
      <c r="I639" s="131"/>
      <c r="J639" s="131"/>
      <c r="K639" s="131"/>
      <c r="L639" s="225"/>
      <c r="M639" s="225"/>
      <c r="N639" s="225"/>
      <c r="O639" s="225"/>
      <c r="P639" s="225"/>
      <c r="Q639" s="225"/>
      <c r="R639" s="225"/>
      <c r="S639" s="225"/>
      <c r="T639" s="225"/>
      <c r="U639" s="225"/>
      <c r="V639" s="225"/>
      <c r="W639" s="225"/>
      <c r="X639" s="225"/>
      <c r="Y639" s="225"/>
      <c r="Z639" s="225"/>
      <c r="AA639" s="225"/>
      <c r="AB639" s="225"/>
      <c r="AC639" s="225"/>
      <c r="AD639" s="225"/>
      <c r="AE639" s="225"/>
      <c r="AF639" s="225"/>
      <c r="AG639" s="225"/>
      <c r="AH639" s="225"/>
      <c r="AI639" s="225"/>
      <c r="AJ639" s="225"/>
      <c r="AK639" s="225"/>
      <c r="AL639" s="225"/>
      <c r="AM639" s="225"/>
      <c r="AN639" s="225"/>
      <c r="AO639" s="225"/>
      <c r="AP639" s="225"/>
      <c r="AQ639" s="225"/>
      <c r="AR639" s="225"/>
    </row>
    <row r="640" spans="1:44" ht="15.75" customHeight="1">
      <c r="A640" s="131"/>
      <c r="B640" s="131"/>
      <c r="C640" s="131"/>
      <c r="D640" s="131"/>
      <c r="E640" s="131"/>
      <c r="F640" s="131"/>
      <c r="G640" s="131"/>
      <c r="H640" s="131"/>
      <c r="I640" s="131"/>
      <c r="J640" s="131"/>
      <c r="K640" s="131"/>
      <c r="L640" s="225"/>
      <c r="M640" s="225"/>
      <c r="N640" s="225"/>
      <c r="O640" s="225"/>
      <c r="P640" s="225"/>
      <c r="Q640" s="225"/>
      <c r="R640" s="225"/>
      <c r="S640" s="225"/>
      <c r="T640" s="225"/>
      <c r="U640" s="225"/>
      <c r="V640" s="225"/>
      <c r="W640" s="225"/>
      <c r="X640" s="225"/>
      <c r="Y640" s="225"/>
      <c r="Z640" s="225"/>
      <c r="AA640" s="225"/>
      <c r="AB640" s="225"/>
      <c r="AC640" s="225"/>
      <c r="AD640" s="225"/>
      <c r="AE640" s="225"/>
      <c r="AF640" s="225"/>
      <c r="AG640" s="225"/>
      <c r="AH640" s="225"/>
      <c r="AI640" s="225"/>
      <c r="AJ640" s="225"/>
      <c r="AK640" s="225"/>
      <c r="AL640" s="225"/>
      <c r="AM640" s="225"/>
      <c r="AN640" s="225"/>
      <c r="AO640" s="225"/>
      <c r="AP640" s="225"/>
      <c r="AQ640" s="225"/>
      <c r="AR640" s="225"/>
    </row>
    <row r="641" spans="1:44" ht="15.75" customHeight="1">
      <c r="A641" s="131"/>
      <c r="B641" s="131"/>
      <c r="C641" s="131"/>
      <c r="D641" s="131"/>
      <c r="E641" s="131"/>
      <c r="F641" s="131"/>
      <c r="G641" s="131"/>
      <c r="H641" s="131"/>
      <c r="I641" s="131"/>
      <c r="J641" s="131"/>
      <c r="K641" s="131"/>
      <c r="L641" s="225"/>
      <c r="M641" s="225"/>
      <c r="N641" s="225"/>
      <c r="O641" s="225"/>
      <c r="P641" s="225"/>
      <c r="Q641" s="225"/>
      <c r="R641" s="225"/>
      <c r="S641" s="225"/>
      <c r="T641" s="225"/>
      <c r="U641" s="225"/>
      <c r="V641" s="225"/>
      <c r="W641" s="225"/>
      <c r="X641" s="225"/>
      <c r="Y641" s="225"/>
      <c r="Z641" s="225"/>
      <c r="AA641" s="225"/>
      <c r="AB641" s="225"/>
      <c r="AC641" s="225"/>
      <c r="AD641" s="225"/>
      <c r="AE641" s="225"/>
      <c r="AF641" s="225"/>
      <c r="AG641" s="225"/>
      <c r="AH641" s="225"/>
      <c r="AI641" s="225"/>
      <c r="AJ641" s="225"/>
      <c r="AK641" s="225"/>
      <c r="AL641" s="225"/>
      <c r="AM641" s="225"/>
      <c r="AN641" s="225"/>
      <c r="AO641" s="225"/>
      <c r="AP641" s="225"/>
      <c r="AQ641" s="225"/>
      <c r="AR641" s="225"/>
    </row>
    <row r="642" spans="1:44" ht="15.75" customHeight="1">
      <c r="A642" s="131"/>
      <c r="B642" s="131"/>
      <c r="C642" s="131"/>
      <c r="D642" s="131"/>
      <c r="E642" s="131"/>
      <c r="F642" s="131"/>
      <c r="G642" s="131"/>
      <c r="H642" s="131"/>
      <c r="I642" s="131"/>
      <c r="J642" s="131"/>
      <c r="K642" s="131"/>
      <c r="L642" s="225"/>
      <c r="M642" s="225"/>
      <c r="N642" s="225"/>
      <c r="O642" s="225"/>
      <c r="P642" s="225"/>
      <c r="Q642" s="225"/>
      <c r="R642" s="225"/>
      <c r="S642" s="225"/>
      <c r="T642" s="225"/>
      <c r="U642" s="225"/>
      <c r="V642" s="225"/>
      <c r="W642" s="225"/>
      <c r="X642" s="225"/>
      <c r="Y642" s="225"/>
      <c r="Z642" s="225"/>
      <c r="AA642" s="225"/>
      <c r="AB642" s="225"/>
      <c r="AC642" s="225"/>
      <c r="AD642" s="225"/>
      <c r="AE642" s="225"/>
      <c r="AF642" s="225"/>
      <c r="AG642" s="225"/>
      <c r="AH642" s="225"/>
      <c r="AI642" s="225"/>
      <c r="AJ642" s="225"/>
      <c r="AK642" s="225"/>
      <c r="AL642" s="225"/>
      <c r="AM642" s="225"/>
      <c r="AN642" s="225"/>
      <c r="AO642" s="225"/>
      <c r="AP642" s="225"/>
      <c r="AQ642" s="225"/>
      <c r="AR642" s="225"/>
    </row>
    <row r="643" spans="1:44" ht="15.75" customHeight="1">
      <c r="A643" s="131"/>
      <c r="B643" s="131"/>
      <c r="C643" s="131"/>
      <c r="D643" s="131"/>
      <c r="E643" s="131"/>
      <c r="F643" s="131"/>
      <c r="G643" s="131"/>
      <c r="H643" s="131"/>
      <c r="I643" s="131"/>
      <c r="J643" s="131"/>
      <c r="K643" s="131"/>
      <c r="L643" s="225"/>
      <c r="M643" s="225"/>
      <c r="N643" s="225"/>
      <c r="O643" s="225"/>
      <c r="P643" s="225"/>
      <c r="Q643" s="225"/>
      <c r="R643" s="225"/>
      <c r="S643" s="225"/>
      <c r="T643" s="225"/>
      <c r="U643" s="225"/>
      <c r="V643" s="225"/>
      <c r="W643" s="225"/>
      <c r="X643" s="225"/>
      <c r="Y643" s="225"/>
      <c r="Z643" s="225"/>
      <c r="AA643" s="225"/>
      <c r="AB643" s="225"/>
      <c r="AC643" s="225"/>
      <c r="AD643" s="225"/>
      <c r="AE643" s="225"/>
      <c r="AF643" s="225"/>
      <c r="AG643" s="225"/>
      <c r="AH643" s="225"/>
      <c r="AI643" s="225"/>
      <c r="AJ643" s="225"/>
      <c r="AK643" s="225"/>
      <c r="AL643" s="225"/>
      <c r="AM643" s="225"/>
      <c r="AN643" s="225"/>
      <c r="AO643" s="225"/>
      <c r="AP643" s="225"/>
      <c r="AQ643" s="225"/>
      <c r="AR643" s="225"/>
    </row>
    <row r="644" spans="1:44" ht="15.75" customHeight="1">
      <c r="A644" s="131"/>
      <c r="B644" s="131"/>
      <c r="C644" s="131"/>
      <c r="D644" s="131"/>
      <c r="E644" s="131"/>
      <c r="F644" s="131"/>
      <c r="G644" s="131"/>
      <c r="H644" s="131"/>
      <c r="I644" s="131"/>
      <c r="J644" s="131"/>
      <c r="K644" s="131"/>
      <c r="L644" s="225"/>
      <c r="M644" s="225"/>
      <c r="N644" s="225"/>
      <c r="O644" s="225"/>
      <c r="P644" s="225"/>
      <c r="Q644" s="225"/>
      <c r="R644" s="225"/>
      <c r="S644" s="225"/>
      <c r="T644" s="225"/>
      <c r="U644" s="225"/>
      <c r="V644" s="225"/>
      <c r="W644" s="225"/>
      <c r="X644" s="225"/>
      <c r="Y644" s="225"/>
      <c r="Z644" s="225"/>
      <c r="AA644" s="225"/>
      <c r="AB644" s="225"/>
      <c r="AC644" s="225"/>
      <c r="AD644" s="225"/>
      <c r="AE644" s="225"/>
      <c r="AF644" s="225"/>
      <c r="AG644" s="225"/>
      <c r="AH644" s="225"/>
      <c r="AI644" s="225"/>
      <c r="AJ644" s="225"/>
      <c r="AK644" s="225"/>
      <c r="AL644" s="225"/>
      <c r="AM644" s="225"/>
      <c r="AN644" s="225"/>
      <c r="AO644" s="225"/>
      <c r="AP644" s="225"/>
      <c r="AQ644" s="225"/>
      <c r="AR644" s="225"/>
    </row>
    <row r="645" spans="1:44" ht="15.75" customHeight="1">
      <c r="A645" s="131"/>
      <c r="B645" s="131"/>
      <c r="C645" s="131"/>
      <c r="D645" s="131"/>
      <c r="E645" s="131"/>
      <c r="F645" s="131"/>
      <c r="G645" s="131"/>
      <c r="H645" s="131"/>
      <c r="I645" s="131"/>
      <c r="J645" s="131"/>
      <c r="K645" s="131"/>
      <c r="L645" s="225"/>
      <c r="M645" s="225"/>
      <c r="N645" s="225"/>
      <c r="O645" s="225"/>
      <c r="P645" s="225"/>
      <c r="Q645" s="225"/>
      <c r="R645" s="225"/>
      <c r="S645" s="225"/>
      <c r="T645" s="225"/>
      <c r="U645" s="225"/>
      <c r="V645" s="225"/>
      <c r="W645" s="225"/>
      <c r="X645" s="225"/>
      <c r="Y645" s="225"/>
      <c r="Z645" s="225"/>
      <c r="AA645" s="225"/>
      <c r="AB645" s="225"/>
      <c r="AC645" s="225"/>
      <c r="AD645" s="225"/>
      <c r="AE645" s="225"/>
      <c r="AF645" s="225"/>
      <c r="AG645" s="225"/>
      <c r="AH645" s="225"/>
      <c r="AI645" s="225"/>
      <c r="AJ645" s="225"/>
      <c r="AK645" s="225"/>
      <c r="AL645" s="225"/>
      <c r="AM645" s="225"/>
      <c r="AN645" s="225"/>
      <c r="AO645" s="225"/>
      <c r="AP645" s="225"/>
      <c r="AQ645" s="225"/>
      <c r="AR645" s="225"/>
    </row>
    <row r="646" spans="1:44" ht="15.75" customHeight="1">
      <c r="A646" s="131"/>
      <c r="B646" s="131"/>
      <c r="C646" s="131"/>
      <c r="D646" s="131"/>
      <c r="E646" s="131"/>
      <c r="F646" s="131"/>
      <c r="G646" s="131"/>
      <c r="H646" s="131"/>
      <c r="I646" s="131"/>
      <c r="J646" s="131"/>
      <c r="K646" s="131"/>
      <c r="L646" s="225"/>
      <c r="M646" s="225"/>
      <c r="N646" s="225"/>
      <c r="O646" s="225"/>
      <c r="P646" s="225"/>
      <c r="Q646" s="225"/>
      <c r="R646" s="225"/>
      <c r="S646" s="225"/>
      <c r="T646" s="225"/>
      <c r="U646" s="225"/>
      <c r="V646" s="225"/>
      <c r="W646" s="225"/>
      <c r="X646" s="225"/>
      <c r="Y646" s="225"/>
      <c r="Z646" s="225"/>
      <c r="AA646" s="225"/>
      <c r="AB646" s="225"/>
      <c r="AC646" s="225"/>
      <c r="AD646" s="225"/>
      <c r="AE646" s="225"/>
      <c r="AF646" s="225"/>
      <c r="AG646" s="225"/>
      <c r="AH646" s="225"/>
      <c r="AI646" s="225"/>
      <c r="AJ646" s="225"/>
      <c r="AK646" s="225"/>
      <c r="AL646" s="225"/>
      <c r="AM646" s="225"/>
      <c r="AN646" s="225"/>
      <c r="AO646" s="225"/>
      <c r="AP646" s="225"/>
      <c r="AQ646" s="225"/>
      <c r="AR646" s="225"/>
    </row>
    <row r="647" spans="1:44" ht="15.75" customHeight="1">
      <c r="A647" s="131"/>
      <c r="B647" s="131"/>
      <c r="C647" s="131"/>
      <c r="D647" s="131"/>
      <c r="E647" s="131"/>
      <c r="F647" s="131"/>
      <c r="G647" s="131"/>
      <c r="H647" s="131"/>
      <c r="I647" s="131"/>
      <c r="J647" s="131"/>
      <c r="K647" s="131"/>
      <c r="L647" s="225"/>
      <c r="M647" s="225"/>
      <c r="N647" s="225"/>
      <c r="O647" s="225"/>
      <c r="P647" s="225"/>
      <c r="Q647" s="225"/>
      <c r="R647" s="225"/>
      <c r="S647" s="225"/>
      <c r="T647" s="225"/>
      <c r="U647" s="225"/>
      <c r="V647" s="225"/>
      <c r="W647" s="225"/>
      <c r="X647" s="225"/>
      <c r="Y647" s="225"/>
      <c r="Z647" s="225"/>
      <c r="AA647" s="225"/>
      <c r="AB647" s="225"/>
      <c r="AC647" s="225"/>
      <c r="AD647" s="225"/>
      <c r="AE647" s="225"/>
      <c r="AF647" s="225"/>
      <c r="AG647" s="225"/>
      <c r="AH647" s="225"/>
      <c r="AI647" s="225"/>
      <c r="AJ647" s="225"/>
      <c r="AK647" s="225"/>
      <c r="AL647" s="225"/>
      <c r="AM647" s="225"/>
      <c r="AN647" s="225"/>
      <c r="AO647" s="225"/>
      <c r="AP647" s="225"/>
      <c r="AQ647" s="225"/>
      <c r="AR647" s="225"/>
    </row>
    <row r="648" spans="1:44" ht="15.75" customHeight="1">
      <c r="A648" s="131"/>
      <c r="B648" s="131"/>
      <c r="C648" s="131"/>
      <c r="D648" s="131"/>
      <c r="E648" s="131"/>
      <c r="F648" s="131"/>
      <c r="G648" s="131"/>
      <c r="H648" s="131"/>
      <c r="I648" s="131"/>
      <c r="J648" s="131"/>
      <c r="K648" s="131"/>
      <c r="L648" s="225"/>
      <c r="M648" s="225"/>
      <c r="N648" s="225"/>
      <c r="O648" s="225"/>
      <c r="P648" s="225"/>
      <c r="Q648" s="225"/>
      <c r="R648" s="225"/>
      <c r="S648" s="225"/>
      <c r="T648" s="225"/>
      <c r="U648" s="225"/>
      <c r="V648" s="225"/>
      <c r="W648" s="225"/>
      <c r="X648" s="225"/>
      <c r="Y648" s="225"/>
      <c r="Z648" s="225"/>
      <c r="AA648" s="225"/>
      <c r="AB648" s="225"/>
      <c r="AC648" s="225"/>
      <c r="AD648" s="225"/>
      <c r="AE648" s="225"/>
      <c r="AF648" s="225"/>
      <c r="AG648" s="225"/>
      <c r="AH648" s="225"/>
      <c r="AI648" s="225"/>
      <c r="AJ648" s="225"/>
      <c r="AK648" s="225"/>
      <c r="AL648" s="225"/>
      <c r="AM648" s="225"/>
      <c r="AN648" s="225"/>
      <c r="AO648" s="225"/>
      <c r="AP648" s="225"/>
      <c r="AQ648" s="225"/>
      <c r="AR648" s="225"/>
    </row>
    <row r="649" spans="1:44" ht="15.75" customHeight="1">
      <c r="A649" s="131"/>
      <c r="B649" s="131"/>
      <c r="C649" s="131"/>
      <c r="D649" s="131"/>
      <c r="E649" s="131"/>
      <c r="F649" s="131"/>
      <c r="G649" s="131"/>
      <c r="H649" s="131"/>
      <c r="I649" s="131"/>
      <c r="J649" s="131"/>
      <c r="K649" s="131"/>
      <c r="L649" s="225"/>
      <c r="M649" s="225"/>
      <c r="N649" s="225"/>
      <c r="O649" s="225"/>
      <c r="P649" s="225"/>
      <c r="Q649" s="225"/>
      <c r="R649" s="225"/>
      <c r="S649" s="225"/>
      <c r="T649" s="225"/>
      <c r="U649" s="225"/>
      <c r="V649" s="225"/>
      <c r="W649" s="225"/>
      <c r="X649" s="225"/>
      <c r="Y649" s="225"/>
      <c r="Z649" s="225"/>
      <c r="AA649" s="225"/>
      <c r="AB649" s="225"/>
      <c r="AC649" s="225"/>
      <c r="AD649" s="225"/>
      <c r="AE649" s="225"/>
      <c r="AF649" s="225"/>
      <c r="AG649" s="225"/>
      <c r="AH649" s="225"/>
      <c r="AI649" s="225"/>
      <c r="AJ649" s="225"/>
      <c r="AK649" s="225"/>
      <c r="AL649" s="225"/>
      <c r="AM649" s="225"/>
      <c r="AN649" s="225"/>
      <c r="AO649" s="225"/>
      <c r="AP649" s="225"/>
      <c r="AQ649" s="225"/>
      <c r="AR649" s="225"/>
    </row>
    <row r="650" spans="1:44" ht="15.75" customHeight="1">
      <c r="A650" s="131"/>
      <c r="B650" s="131"/>
      <c r="C650" s="131"/>
      <c r="D650" s="131"/>
      <c r="E650" s="131"/>
      <c r="F650" s="131"/>
      <c r="G650" s="131"/>
      <c r="H650" s="131"/>
      <c r="I650" s="131"/>
      <c r="J650" s="131"/>
      <c r="K650" s="131"/>
      <c r="L650" s="225"/>
      <c r="M650" s="225"/>
      <c r="N650" s="225"/>
      <c r="O650" s="225"/>
      <c r="P650" s="225"/>
      <c r="Q650" s="225"/>
      <c r="R650" s="225"/>
      <c r="S650" s="225"/>
      <c r="T650" s="225"/>
      <c r="U650" s="225"/>
      <c r="V650" s="225"/>
      <c r="W650" s="225"/>
      <c r="X650" s="225"/>
      <c r="Y650" s="225"/>
      <c r="Z650" s="225"/>
      <c r="AA650" s="225"/>
      <c r="AB650" s="225"/>
      <c r="AC650" s="225"/>
      <c r="AD650" s="225"/>
      <c r="AE650" s="225"/>
      <c r="AF650" s="225"/>
      <c r="AG650" s="225"/>
      <c r="AH650" s="225"/>
      <c r="AI650" s="225"/>
      <c r="AJ650" s="225"/>
      <c r="AK650" s="225"/>
      <c r="AL650" s="225"/>
      <c r="AM650" s="225"/>
      <c r="AN650" s="225"/>
      <c r="AO650" s="225"/>
      <c r="AP650" s="225"/>
      <c r="AQ650" s="225"/>
      <c r="AR650" s="225"/>
    </row>
    <row r="651" spans="1:44" ht="15.75" customHeight="1">
      <c r="A651" s="131"/>
      <c r="B651" s="131"/>
      <c r="C651" s="131"/>
      <c r="D651" s="131"/>
      <c r="E651" s="131"/>
      <c r="F651" s="131"/>
      <c r="G651" s="131"/>
      <c r="H651" s="131"/>
      <c r="I651" s="131"/>
      <c r="J651" s="131"/>
      <c r="K651" s="131"/>
      <c r="L651" s="225"/>
      <c r="M651" s="225"/>
      <c r="N651" s="225"/>
      <c r="O651" s="225"/>
      <c r="P651" s="225"/>
      <c r="Q651" s="225"/>
      <c r="R651" s="225"/>
      <c r="S651" s="225"/>
      <c r="T651" s="225"/>
      <c r="U651" s="225"/>
      <c r="V651" s="225"/>
      <c r="W651" s="225"/>
      <c r="X651" s="225"/>
      <c r="Y651" s="225"/>
      <c r="Z651" s="225"/>
      <c r="AA651" s="225"/>
      <c r="AB651" s="225"/>
      <c r="AC651" s="225"/>
      <c r="AD651" s="225"/>
      <c r="AE651" s="225"/>
      <c r="AF651" s="225"/>
      <c r="AG651" s="225"/>
      <c r="AH651" s="225"/>
      <c r="AI651" s="225"/>
      <c r="AJ651" s="225"/>
      <c r="AK651" s="225"/>
      <c r="AL651" s="225"/>
      <c r="AM651" s="225"/>
      <c r="AN651" s="225"/>
      <c r="AO651" s="225"/>
      <c r="AP651" s="225"/>
      <c r="AQ651" s="225"/>
      <c r="AR651" s="225"/>
    </row>
    <row r="652" spans="1:44" ht="15.75" customHeight="1">
      <c r="A652" s="131"/>
      <c r="B652" s="131"/>
      <c r="C652" s="131"/>
      <c r="D652" s="131"/>
      <c r="E652" s="131"/>
      <c r="F652" s="131"/>
      <c r="G652" s="131"/>
      <c r="H652" s="131"/>
      <c r="I652" s="131"/>
      <c r="J652" s="131"/>
      <c r="K652" s="131"/>
      <c r="L652" s="225"/>
      <c r="M652" s="225"/>
      <c r="N652" s="225"/>
      <c r="O652" s="225"/>
      <c r="P652" s="225"/>
      <c r="Q652" s="225"/>
      <c r="R652" s="225"/>
      <c r="S652" s="225"/>
      <c r="T652" s="225"/>
      <c r="U652" s="225"/>
      <c r="V652" s="225"/>
      <c r="W652" s="225"/>
      <c r="X652" s="225"/>
      <c r="Y652" s="225"/>
      <c r="Z652" s="225"/>
      <c r="AA652" s="225"/>
      <c r="AB652" s="225"/>
      <c r="AC652" s="225"/>
      <c r="AD652" s="225"/>
      <c r="AE652" s="225"/>
      <c r="AF652" s="225"/>
      <c r="AG652" s="225"/>
      <c r="AH652" s="225"/>
      <c r="AI652" s="225"/>
      <c r="AJ652" s="225"/>
      <c r="AK652" s="225"/>
      <c r="AL652" s="225"/>
      <c r="AM652" s="225"/>
      <c r="AN652" s="225"/>
      <c r="AO652" s="225"/>
      <c r="AP652" s="225"/>
      <c r="AQ652" s="225"/>
      <c r="AR652" s="225"/>
    </row>
    <row r="653" spans="1:44" ht="15.75" customHeight="1">
      <c r="A653" s="131"/>
      <c r="B653" s="131"/>
      <c r="C653" s="131"/>
      <c r="D653" s="131"/>
      <c r="E653" s="131"/>
      <c r="F653" s="131"/>
      <c r="G653" s="131"/>
      <c r="H653" s="131"/>
      <c r="I653" s="131"/>
      <c r="J653" s="131"/>
      <c r="K653" s="131"/>
      <c r="L653" s="225"/>
      <c r="M653" s="225"/>
      <c r="N653" s="225"/>
      <c r="O653" s="225"/>
      <c r="P653" s="225"/>
      <c r="Q653" s="225"/>
      <c r="R653" s="225"/>
      <c r="S653" s="225"/>
      <c r="T653" s="225"/>
      <c r="U653" s="225"/>
      <c r="V653" s="225"/>
      <c r="W653" s="225"/>
      <c r="X653" s="225"/>
      <c r="Y653" s="225"/>
      <c r="Z653" s="225"/>
      <c r="AA653" s="225"/>
      <c r="AB653" s="225"/>
      <c r="AC653" s="225"/>
      <c r="AD653" s="225"/>
      <c r="AE653" s="225"/>
      <c r="AF653" s="225"/>
      <c r="AG653" s="225"/>
      <c r="AH653" s="225"/>
      <c r="AI653" s="225"/>
      <c r="AJ653" s="225"/>
      <c r="AK653" s="225"/>
      <c r="AL653" s="225"/>
      <c r="AM653" s="225"/>
      <c r="AN653" s="225"/>
      <c r="AO653" s="225"/>
      <c r="AP653" s="225"/>
      <c r="AQ653" s="225"/>
      <c r="AR653" s="225"/>
    </row>
    <row r="654" spans="1:44" ht="15.75" customHeight="1">
      <c r="A654" s="131"/>
      <c r="B654" s="131"/>
      <c r="C654" s="131"/>
      <c r="D654" s="131"/>
      <c r="E654" s="131"/>
      <c r="F654" s="131"/>
      <c r="G654" s="131"/>
      <c r="H654" s="131"/>
      <c r="I654" s="131"/>
      <c r="J654" s="131"/>
      <c r="K654" s="131"/>
      <c r="L654" s="225"/>
      <c r="M654" s="225"/>
      <c r="N654" s="225"/>
      <c r="O654" s="225"/>
      <c r="P654" s="225"/>
      <c r="Q654" s="225"/>
      <c r="R654" s="225"/>
      <c r="S654" s="225"/>
      <c r="T654" s="225"/>
      <c r="U654" s="225"/>
      <c r="V654" s="225"/>
      <c r="W654" s="225"/>
      <c r="X654" s="225"/>
      <c r="Y654" s="225"/>
      <c r="Z654" s="225"/>
      <c r="AA654" s="225"/>
      <c r="AB654" s="225"/>
      <c r="AC654" s="225"/>
      <c r="AD654" s="225"/>
      <c r="AE654" s="225"/>
      <c r="AF654" s="225"/>
      <c r="AG654" s="225"/>
      <c r="AH654" s="225"/>
      <c r="AI654" s="225"/>
      <c r="AJ654" s="225"/>
      <c r="AK654" s="225"/>
      <c r="AL654" s="225"/>
      <c r="AM654" s="225"/>
      <c r="AN654" s="225"/>
      <c r="AO654" s="225"/>
      <c r="AP654" s="225"/>
      <c r="AQ654" s="225"/>
      <c r="AR654" s="225"/>
    </row>
    <row r="655" spans="1:44" ht="15.75" customHeight="1">
      <c r="A655" s="131"/>
      <c r="B655" s="131"/>
      <c r="C655" s="131"/>
      <c r="D655" s="131"/>
      <c r="E655" s="131"/>
      <c r="F655" s="131"/>
      <c r="G655" s="131"/>
      <c r="H655" s="131"/>
      <c r="I655" s="131"/>
      <c r="J655" s="131"/>
      <c r="K655" s="131"/>
      <c r="L655" s="225"/>
      <c r="M655" s="225"/>
      <c r="N655" s="225"/>
      <c r="O655" s="225"/>
      <c r="P655" s="225"/>
      <c r="Q655" s="225"/>
      <c r="R655" s="225"/>
      <c r="S655" s="225"/>
      <c r="T655" s="225"/>
      <c r="U655" s="225"/>
      <c r="V655" s="225"/>
      <c r="W655" s="225"/>
      <c r="X655" s="225"/>
      <c r="Y655" s="225"/>
      <c r="Z655" s="225"/>
      <c r="AA655" s="225"/>
      <c r="AB655" s="225"/>
      <c r="AC655" s="225"/>
      <c r="AD655" s="225"/>
      <c r="AE655" s="225"/>
      <c r="AF655" s="225"/>
      <c r="AG655" s="225"/>
      <c r="AH655" s="225"/>
      <c r="AI655" s="225"/>
      <c r="AJ655" s="225"/>
      <c r="AK655" s="225"/>
      <c r="AL655" s="225"/>
      <c r="AM655" s="225"/>
      <c r="AN655" s="225"/>
      <c r="AO655" s="225"/>
      <c r="AP655" s="225"/>
      <c r="AQ655" s="225"/>
      <c r="AR655" s="225"/>
    </row>
    <row r="656" spans="1:44" ht="15.75" customHeight="1">
      <c r="A656" s="131"/>
      <c r="B656" s="131"/>
      <c r="C656" s="131"/>
      <c r="D656" s="131"/>
      <c r="E656" s="131"/>
      <c r="F656" s="131"/>
      <c r="G656" s="131"/>
      <c r="H656" s="131"/>
      <c r="I656" s="131"/>
      <c r="J656" s="131"/>
      <c r="K656" s="131"/>
      <c r="L656" s="225"/>
      <c r="M656" s="225"/>
      <c r="N656" s="225"/>
      <c r="O656" s="225"/>
      <c r="P656" s="225"/>
      <c r="Q656" s="225"/>
      <c r="R656" s="225"/>
      <c r="S656" s="225"/>
      <c r="T656" s="225"/>
      <c r="U656" s="225"/>
      <c r="V656" s="225"/>
      <c r="W656" s="225"/>
      <c r="X656" s="225"/>
      <c r="Y656" s="225"/>
      <c r="Z656" s="225"/>
      <c r="AA656" s="225"/>
      <c r="AB656" s="225"/>
      <c r="AC656" s="225"/>
      <c r="AD656" s="225"/>
      <c r="AE656" s="225"/>
      <c r="AF656" s="225"/>
      <c r="AG656" s="225"/>
      <c r="AH656" s="225"/>
      <c r="AI656" s="225"/>
      <c r="AJ656" s="225"/>
      <c r="AK656" s="225"/>
      <c r="AL656" s="225"/>
      <c r="AM656" s="225"/>
      <c r="AN656" s="225"/>
      <c r="AO656" s="225"/>
      <c r="AP656" s="225"/>
      <c r="AQ656" s="225"/>
      <c r="AR656" s="225"/>
    </row>
    <row r="657" spans="1:44" ht="15.75" customHeight="1">
      <c r="A657" s="131"/>
      <c r="B657" s="131"/>
      <c r="C657" s="131"/>
      <c r="D657" s="131"/>
      <c r="E657" s="131"/>
      <c r="F657" s="131"/>
      <c r="G657" s="131"/>
      <c r="H657" s="131"/>
      <c r="I657" s="131"/>
      <c r="J657" s="131"/>
      <c r="K657" s="131"/>
      <c r="L657" s="225"/>
      <c r="M657" s="225"/>
      <c r="N657" s="225"/>
      <c r="O657" s="225"/>
      <c r="P657" s="225"/>
      <c r="Q657" s="225"/>
      <c r="R657" s="225"/>
      <c r="S657" s="225"/>
      <c r="T657" s="225"/>
      <c r="U657" s="225"/>
      <c r="V657" s="225"/>
      <c r="W657" s="225"/>
      <c r="X657" s="225"/>
      <c r="Y657" s="225"/>
      <c r="Z657" s="225"/>
      <c r="AA657" s="225"/>
      <c r="AB657" s="225"/>
      <c r="AC657" s="225"/>
      <c r="AD657" s="225"/>
      <c r="AE657" s="225"/>
      <c r="AF657" s="225"/>
      <c r="AG657" s="225"/>
      <c r="AH657" s="225"/>
      <c r="AI657" s="225"/>
      <c r="AJ657" s="225"/>
      <c r="AK657" s="225"/>
      <c r="AL657" s="225"/>
      <c r="AM657" s="225"/>
      <c r="AN657" s="225"/>
      <c r="AO657" s="225"/>
      <c r="AP657" s="225"/>
      <c r="AQ657" s="225"/>
      <c r="AR657" s="225"/>
    </row>
    <row r="658" spans="1:44" ht="15.75" customHeight="1">
      <c r="A658" s="131"/>
      <c r="B658" s="131"/>
      <c r="C658" s="131"/>
      <c r="D658" s="131"/>
      <c r="E658" s="131"/>
      <c r="F658" s="131"/>
      <c r="G658" s="131"/>
      <c r="H658" s="131"/>
      <c r="I658" s="131"/>
      <c r="J658" s="131"/>
      <c r="K658" s="131"/>
      <c r="L658" s="225"/>
      <c r="M658" s="225"/>
      <c r="N658" s="225"/>
      <c r="O658" s="225"/>
      <c r="P658" s="225"/>
      <c r="Q658" s="225"/>
      <c r="R658" s="225"/>
      <c r="S658" s="225"/>
      <c r="T658" s="225"/>
      <c r="U658" s="225"/>
      <c r="V658" s="225"/>
      <c r="W658" s="225"/>
      <c r="X658" s="225"/>
      <c r="Y658" s="225"/>
      <c r="Z658" s="225"/>
      <c r="AA658" s="225"/>
      <c r="AB658" s="225"/>
      <c r="AC658" s="225"/>
      <c r="AD658" s="225"/>
      <c r="AE658" s="225"/>
      <c r="AF658" s="225"/>
      <c r="AG658" s="225"/>
      <c r="AH658" s="225"/>
      <c r="AI658" s="225"/>
      <c r="AJ658" s="225"/>
      <c r="AK658" s="225"/>
      <c r="AL658" s="225"/>
      <c r="AM658" s="225"/>
      <c r="AN658" s="225"/>
      <c r="AO658" s="225"/>
      <c r="AP658" s="225"/>
      <c r="AQ658" s="225"/>
      <c r="AR658" s="225"/>
    </row>
    <row r="659" spans="1:44" ht="15.75" customHeight="1">
      <c r="A659" s="131"/>
      <c r="B659" s="131"/>
      <c r="C659" s="131"/>
      <c r="D659" s="131"/>
      <c r="E659" s="131"/>
      <c r="F659" s="131"/>
      <c r="G659" s="131"/>
      <c r="H659" s="131"/>
      <c r="I659" s="131"/>
      <c r="J659" s="131"/>
      <c r="K659" s="131"/>
      <c r="L659" s="225"/>
      <c r="M659" s="225"/>
      <c r="N659" s="225"/>
      <c r="O659" s="225"/>
      <c r="P659" s="225"/>
      <c r="Q659" s="225"/>
      <c r="R659" s="225"/>
      <c r="S659" s="225"/>
      <c r="T659" s="225"/>
      <c r="U659" s="225"/>
      <c r="V659" s="225"/>
      <c r="W659" s="225"/>
      <c r="X659" s="225"/>
      <c r="Y659" s="225"/>
      <c r="Z659" s="225"/>
      <c r="AA659" s="225"/>
      <c r="AB659" s="225"/>
      <c r="AC659" s="225"/>
      <c r="AD659" s="225"/>
      <c r="AE659" s="225"/>
      <c r="AF659" s="225"/>
      <c r="AG659" s="225"/>
      <c r="AH659" s="225"/>
      <c r="AI659" s="225"/>
      <c r="AJ659" s="225"/>
      <c r="AK659" s="225"/>
      <c r="AL659" s="225"/>
      <c r="AM659" s="225"/>
      <c r="AN659" s="225"/>
      <c r="AO659" s="225"/>
      <c r="AP659" s="225"/>
      <c r="AQ659" s="225"/>
      <c r="AR659" s="225"/>
    </row>
    <row r="660" spans="1:44" ht="15.75" customHeight="1">
      <c r="A660" s="131"/>
      <c r="B660" s="131"/>
      <c r="C660" s="131"/>
      <c r="D660" s="131"/>
      <c r="E660" s="131"/>
      <c r="F660" s="131"/>
      <c r="G660" s="131"/>
      <c r="H660" s="131"/>
      <c r="I660" s="131"/>
      <c r="J660" s="131"/>
      <c r="K660" s="131"/>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row>
    <row r="661" spans="1:44" ht="15.75" customHeight="1">
      <c r="A661" s="131"/>
      <c r="B661" s="131"/>
      <c r="C661" s="131"/>
      <c r="D661" s="131"/>
      <c r="E661" s="131"/>
      <c r="F661" s="131"/>
      <c r="G661" s="131"/>
      <c r="H661" s="131"/>
      <c r="I661" s="131"/>
      <c r="J661" s="131"/>
      <c r="K661" s="131"/>
      <c r="L661" s="225"/>
      <c r="M661" s="225"/>
      <c r="N661" s="225"/>
      <c r="O661" s="225"/>
      <c r="P661" s="225"/>
      <c r="Q661" s="225"/>
      <c r="R661" s="225"/>
      <c r="S661" s="225"/>
      <c r="T661" s="225"/>
      <c r="U661" s="225"/>
      <c r="V661" s="225"/>
      <c r="W661" s="225"/>
      <c r="X661" s="225"/>
      <c r="Y661" s="225"/>
      <c r="Z661" s="225"/>
      <c r="AA661" s="225"/>
      <c r="AB661" s="225"/>
      <c r="AC661" s="225"/>
      <c r="AD661" s="225"/>
      <c r="AE661" s="225"/>
      <c r="AF661" s="225"/>
      <c r="AG661" s="225"/>
      <c r="AH661" s="225"/>
      <c r="AI661" s="225"/>
      <c r="AJ661" s="225"/>
      <c r="AK661" s="225"/>
      <c r="AL661" s="225"/>
      <c r="AM661" s="225"/>
      <c r="AN661" s="225"/>
      <c r="AO661" s="225"/>
      <c r="AP661" s="225"/>
      <c r="AQ661" s="225"/>
      <c r="AR661" s="225"/>
    </row>
    <row r="662" spans="1:44" ht="15.75" customHeight="1">
      <c r="A662" s="131"/>
      <c r="B662" s="131"/>
      <c r="C662" s="131"/>
      <c r="D662" s="131"/>
      <c r="E662" s="131"/>
      <c r="F662" s="131"/>
      <c r="G662" s="131"/>
      <c r="H662" s="131"/>
      <c r="I662" s="131"/>
      <c r="J662" s="131"/>
      <c r="K662" s="131"/>
      <c r="L662" s="225"/>
      <c r="M662" s="225"/>
      <c r="N662" s="225"/>
      <c r="O662" s="225"/>
      <c r="P662" s="225"/>
      <c r="Q662" s="225"/>
      <c r="R662" s="225"/>
      <c r="S662" s="225"/>
      <c r="T662" s="225"/>
      <c r="U662" s="225"/>
      <c r="V662" s="225"/>
      <c r="W662" s="225"/>
      <c r="X662" s="225"/>
      <c r="Y662" s="225"/>
      <c r="Z662" s="225"/>
      <c r="AA662" s="225"/>
      <c r="AB662" s="225"/>
      <c r="AC662" s="225"/>
      <c r="AD662" s="225"/>
      <c r="AE662" s="225"/>
      <c r="AF662" s="225"/>
      <c r="AG662" s="225"/>
      <c r="AH662" s="225"/>
      <c r="AI662" s="225"/>
      <c r="AJ662" s="225"/>
      <c r="AK662" s="225"/>
      <c r="AL662" s="225"/>
      <c r="AM662" s="225"/>
      <c r="AN662" s="225"/>
      <c r="AO662" s="225"/>
      <c r="AP662" s="225"/>
      <c r="AQ662" s="225"/>
      <c r="AR662" s="225"/>
    </row>
    <row r="663" spans="1:44" ht="15.75" customHeight="1">
      <c r="A663" s="131"/>
      <c r="B663" s="131"/>
      <c r="C663" s="131"/>
      <c r="D663" s="131"/>
      <c r="E663" s="131"/>
      <c r="F663" s="131"/>
      <c r="G663" s="131"/>
      <c r="H663" s="131"/>
      <c r="I663" s="131"/>
      <c r="J663" s="131"/>
      <c r="K663" s="131"/>
      <c r="L663" s="225"/>
      <c r="M663" s="225"/>
      <c r="N663" s="225"/>
      <c r="O663" s="225"/>
      <c r="P663" s="225"/>
      <c r="Q663" s="225"/>
      <c r="R663" s="225"/>
      <c r="S663" s="225"/>
      <c r="T663" s="225"/>
      <c r="U663" s="225"/>
      <c r="V663" s="225"/>
      <c r="W663" s="225"/>
      <c r="X663" s="225"/>
      <c r="Y663" s="225"/>
      <c r="Z663" s="225"/>
      <c r="AA663" s="225"/>
      <c r="AB663" s="225"/>
      <c r="AC663" s="225"/>
      <c r="AD663" s="225"/>
      <c r="AE663" s="225"/>
      <c r="AF663" s="225"/>
      <c r="AG663" s="225"/>
      <c r="AH663" s="225"/>
      <c r="AI663" s="225"/>
      <c r="AJ663" s="225"/>
      <c r="AK663" s="225"/>
      <c r="AL663" s="225"/>
      <c r="AM663" s="225"/>
      <c r="AN663" s="225"/>
      <c r="AO663" s="225"/>
      <c r="AP663" s="225"/>
      <c r="AQ663" s="225"/>
      <c r="AR663" s="225"/>
    </row>
    <row r="664" spans="1:44" ht="15.75" customHeight="1">
      <c r="A664" s="131"/>
      <c r="B664" s="131"/>
      <c r="C664" s="131"/>
      <c r="D664" s="131"/>
      <c r="E664" s="131"/>
      <c r="F664" s="131"/>
      <c r="G664" s="131"/>
      <c r="H664" s="131"/>
      <c r="I664" s="131"/>
      <c r="J664" s="131"/>
      <c r="K664" s="131"/>
      <c r="L664" s="225"/>
      <c r="M664" s="225"/>
      <c r="N664" s="225"/>
      <c r="O664" s="225"/>
      <c r="P664" s="225"/>
      <c r="Q664" s="225"/>
      <c r="R664" s="225"/>
      <c r="S664" s="225"/>
      <c r="T664" s="225"/>
      <c r="U664" s="225"/>
      <c r="V664" s="225"/>
      <c r="W664" s="225"/>
      <c r="X664" s="225"/>
      <c r="Y664" s="225"/>
      <c r="Z664" s="225"/>
      <c r="AA664" s="225"/>
      <c r="AB664" s="225"/>
      <c r="AC664" s="225"/>
      <c r="AD664" s="225"/>
      <c r="AE664" s="225"/>
      <c r="AF664" s="225"/>
      <c r="AG664" s="225"/>
      <c r="AH664" s="225"/>
      <c r="AI664" s="225"/>
      <c r="AJ664" s="225"/>
      <c r="AK664" s="225"/>
      <c r="AL664" s="225"/>
      <c r="AM664" s="225"/>
      <c r="AN664" s="225"/>
      <c r="AO664" s="225"/>
      <c r="AP664" s="225"/>
      <c r="AQ664" s="225"/>
      <c r="AR664" s="225"/>
    </row>
    <row r="665" spans="1:44" ht="15.75" customHeight="1">
      <c r="A665" s="131"/>
      <c r="B665" s="131"/>
      <c r="C665" s="131"/>
      <c r="D665" s="131"/>
      <c r="E665" s="131"/>
      <c r="F665" s="131"/>
      <c r="G665" s="131"/>
      <c r="H665" s="131"/>
      <c r="I665" s="131"/>
      <c r="J665" s="131"/>
      <c r="K665" s="131"/>
      <c r="L665" s="225"/>
      <c r="M665" s="225"/>
      <c r="N665" s="225"/>
      <c r="O665" s="225"/>
      <c r="P665" s="225"/>
      <c r="Q665" s="225"/>
      <c r="R665" s="225"/>
      <c r="S665" s="225"/>
      <c r="T665" s="225"/>
      <c r="U665" s="225"/>
      <c r="V665" s="225"/>
      <c r="W665" s="225"/>
      <c r="X665" s="225"/>
      <c r="Y665" s="225"/>
      <c r="Z665" s="225"/>
      <c r="AA665" s="225"/>
      <c r="AB665" s="225"/>
      <c r="AC665" s="225"/>
      <c r="AD665" s="225"/>
      <c r="AE665" s="225"/>
      <c r="AF665" s="225"/>
      <c r="AG665" s="225"/>
      <c r="AH665" s="225"/>
      <c r="AI665" s="225"/>
      <c r="AJ665" s="225"/>
      <c r="AK665" s="225"/>
      <c r="AL665" s="225"/>
      <c r="AM665" s="225"/>
      <c r="AN665" s="225"/>
      <c r="AO665" s="225"/>
      <c r="AP665" s="225"/>
      <c r="AQ665" s="225"/>
      <c r="AR665" s="225"/>
    </row>
    <row r="666" spans="1:44" ht="15.75" customHeight="1">
      <c r="A666" s="131"/>
      <c r="B666" s="131"/>
      <c r="C666" s="131"/>
      <c r="D666" s="131"/>
      <c r="E666" s="131"/>
      <c r="F666" s="131"/>
      <c r="G666" s="131"/>
      <c r="H666" s="131"/>
      <c r="I666" s="131"/>
      <c r="J666" s="131"/>
      <c r="K666" s="131"/>
      <c r="L666" s="225"/>
      <c r="M666" s="225"/>
      <c r="N666" s="225"/>
      <c r="O666" s="225"/>
      <c r="P666" s="225"/>
      <c r="Q666" s="225"/>
      <c r="R666" s="225"/>
      <c r="S666" s="225"/>
      <c r="T666" s="225"/>
      <c r="U666" s="225"/>
      <c r="V666" s="225"/>
      <c r="W666" s="225"/>
      <c r="X666" s="225"/>
      <c r="Y666" s="225"/>
      <c r="Z666" s="225"/>
      <c r="AA666" s="225"/>
      <c r="AB666" s="225"/>
      <c r="AC666" s="225"/>
      <c r="AD666" s="225"/>
      <c r="AE666" s="225"/>
      <c r="AF666" s="225"/>
      <c r="AG666" s="225"/>
      <c r="AH666" s="225"/>
      <c r="AI666" s="225"/>
      <c r="AJ666" s="225"/>
      <c r="AK666" s="225"/>
      <c r="AL666" s="225"/>
      <c r="AM666" s="225"/>
      <c r="AN666" s="225"/>
      <c r="AO666" s="225"/>
      <c r="AP666" s="225"/>
      <c r="AQ666" s="225"/>
      <c r="AR666" s="225"/>
    </row>
    <row r="667" spans="1:44" ht="15.75" customHeight="1">
      <c r="A667" s="131"/>
      <c r="B667" s="131"/>
      <c r="C667" s="131"/>
      <c r="D667" s="131"/>
      <c r="E667" s="131"/>
      <c r="F667" s="131"/>
      <c r="G667" s="131"/>
      <c r="H667" s="131"/>
      <c r="I667" s="131"/>
      <c r="J667" s="131"/>
      <c r="K667" s="131"/>
      <c r="L667" s="225"/>
      <c r="M667" s="225"/>
      <c r="N667" s="225"/>
      <c r="O667" s="225"/>
      <c r="P667" s="225"/>
      <c r="Q667" s="225"/>
      <c r="R667" s="225"/>
      <c r="S667" s="225"/>
      <c r="T667" s="225"/>
      <c r="U667" s="225"/>
      <c r="V667" s="225"/>
      <c r="W667" s="225"/>
      <c r="X667" s="225"/>
      <c r="Y667" s="225"/>
      <c r="Z667" s="225"/>
      <c r="AA667" s="225"/>
      <c r="AB667" s="225"/>
      <c r="AC667" s="225"/>
      <c r="AD667" s="225"/>
      <c r="AE667" s="225"/>
      <c r="AF667" s="225"/>
      <c r="AG667" s="225"/>
      <c r="AH667" s="225"/>
      <c r="AI667" s="225"/>
      <c r="AJ667" s="225"/>
      <c r="AK667" s="225"/>
      <c r="AL667" s="225"/>
      <c r="AM667" s="225"/>
      <c r="AN667" s="225"/>
      <c r="AO667" s="225"/>
      <c r="AP667" s="225"/>
      <c r="AQ667" s="225"/>
      <c r="AR667" s="225"/>
    </row>
    <row r="668" spans="1:44" ht="15.75" customHeight="1">
      <c r="A668" s="131"/>
      <c r="B668" s="131"/>
      <c r="C668" s="131"/>
      <c r="D668" s="131"/>
      <c r="E668" s="131"/>
      <c r="F668" s="131"/>
      <c r="G668" s="131"/>
      <c r="H668" s="131"/>
      <c r="I668" s="131"/>
      <c r="J668" s="131"/>
      <c r="K668" s="131"/>
      <c r="L668" s="225"/>
      <c r="M668" s="225"/>
      <c r="N668" s="225"/>
      <c r="O668" s="225"/>
      <c r="P668" s="225"/>
      <c r="Q668" s="225"/>
      <c r="R668" s="225"/>
      <c r="S668" s="225"/>
      <c r="T668" s="225"/>
      <c r="U668" s="225"/>
      <c r="V668" s="225"/>
      <c r="W668" s="225"/>
      <c r="X668" s="225"/>
      <c r="Y668" s="225"/>
      <c r="Z668" s="225"/>
      <c r="AA668" s="225"/>
      <c r="AB668" s="225"/>
      <c r="AC668" s="225"/>
      <c r="AD668" s="225"/>
      <c r="AE668" s="225"/>
      <c r="AF668" s="225"/>
      <c r="AG668" s="225"/>
      <c r="AH668" s="225"/>
      <c r="AI668" s="225"/>
      <c r="AJ668" s="225"/>
      <c r="AK668" s="225"/>
      <c r="AL668" s="225"/>
      <c r="AM668" s="225"/>
      <c r="AN668" s="225"/>
      <c r="AO668" s="225"/>
      <c r="AP668" s="225"/>
      <c r="AQ668" s="225"/>
      <c r="AR668" s="225"/>
    </row>
    <row r="669" spans="1:44" ht="15.75" customHeight="1">
      <c r="A669" s="131"/>
      <c r="B669" s="131"/>
      <c r="C669" s="131"/>
      <c r="D669" s="131"/>
      <c r="E669" s="131"/>
      <c r="F669" s="131"/>
      <c r="G669" s="131"/>
      <c r="H669" s="131"/>
      <c r="I669" s="131"/>
      <c r="J669" s="131"/>
      <c r="K669" s="131"/>
      <c r="L669" s="225"/>
      <c r="M669" s="225"/>
      <c r="N669" s="225"/>
      <c r="O669" s="225"/>
      <c r="P669" s="225"/>
      <c r="Q669" s="225"/>
      <c r="R669" s="225"/>
      <c r="S669" s="225"/>
      <c r="T669" s="225"/>
      <c r="U669" s="225"/>
      <c r="V669" s="225"/>
      <c r="W669" s="225"/>
      <c r="X669" s="225"/>
      <c r="Y669" s="225"/>
      <c r="Z669" s="225"/>
      <c r="AA669" s="225"/>
      <c r="AB669" s="225"/>
      <c r="AC669" s="225"/>
      <c r="AD669" s="225"/>
      <c r="AE669" s="225"/>
      <c r="AF669" s="225"/>
      <c r="AG669" s="225"/>
      <c r="AH669" s="225"/>
      <c r="AI669" s="225"/>
      <c r="AJ669" s="225"/>
      <c r="AK669" s="225"/>
      <c r="AL669" s="225"/>
      <c r="AM669" s="225"/>
      <c r="AN669" s="225"/>
      <c r="AO669" s="225"/>
      <c r="AP669" s="225"/>
      <c r="AQ669" s="225"/>
      <c r="AR669" s="225"/>
    </row>
    <row r="670" spans="1:44" ht="15.75" customHeight="1">
      <c r="A670" s="131"/>
      <c r="B670" s="131"/>
      <c r="C670" s="131"/>
      <c r="D670" s="131"/>
      <c r="E670" s="131"/>
      <c r="F670" s="131"/>
      <c r="G670" s="131"/>
      <c r="H670" s="131"/>
      <c r="I670" s="131"/>
      <c r="J670" s="131"/>
      <c r="K670" s="131"/>
      <c r="L670" s="225"/>
      <c r="M670" s="225"/>
      <c r="N670" s="225"/>
      <c r="O670" s="225"/>
      <c r="P670" s="225"/>
      <c r="Q670" s="225"/>
      <c r="R670" s="225"/>
      <c r="S670" s="225"/>
      <c r="T670" s="225"/>
      <c r="U670" s="225"/>
      <c r="V670" s="225"/>
      <c r="W670" s="225"/>
      <c r="X670" s="225"/>
      <c r="Y670" s="225"/>
      <c r="Z670" s="225"/>
      <c r="AA670" s="225"/>
      <c r="AB670" s="225"/>
      <c r="AC670" s="225"/>
      <c r="AD670" s="225"/>
      <c r="AE670" s="225"/>
      <c r="AF670" s="225"/>
      <c r="AG670" s="225"/>
      <c r="AH670" s="225"/>
      <c r="AI670" s="225"/>
      <c r="AJ670" s="225"/>
      <c r="AK670" s="225"/>
      <c r="AL670" s="225"/>
      <c r="AM670" s="225"/>
      <c r="AN670" s="225"/>
      <c r="AO670" s="225"/>
      <c r="AP670" s="225"/>
      <c r="AQ670" s="225"/>
      <c r="AR670" s="225"/>
    </row>
    <row r="671" spans="1:44" ht="15.75" customHeight="1">
      <c r="A671" s="131"/>
      <c r="B671" s="131"/>
      <c r="C671" s="131"/>
      <c r="D671" s="131"/>
      <c r="E671" s="131"/>
      <c r="F671" s="131"/>
      <c r="G671" s="131"/>
      <c r="H671" s="131"/>
      <c r="I671" s="131"/>
      <c r="J671" s="131"/>
      <c r="K671" s="131"/>
      <c r="L671" s="225"/>
      <c r="M671" s="225"/>
      <c r="N671" s="225"/>
      <c r="O671" s="225"/>
      <c r="P671" s="225"/>
      <c r="Q671" s="225"/>
      <c r="R671" s="225"/>
      <c r="S671" s="225"/>
      <c r="T671" s="225"/>
      <c r="U671" s="225"/>
      <c r="V671" s="225"/>
      <c r="W671" s="225"/>
      <c r="X671" s="225"/>
      <c r="Y671" s="225"/>
      <c r="Z671" s="225"/>
      <c r="AA671" s="225"/>
      <c r="AB671" s="225"/>
      <c r="AC671" s="225"/>
      <c r="AD671" s="225"/>
      <c r="AE671" s="225"/>
      <c r="AF671" s="225"/>
      <c r="AG671" s="225"/>
      <c r="AH671" s="225"/>
      <c r="AI671" s="225"/>
      <c r="AJ671" s="225"/>
      <c r="AK671" s="225"/>
      <c r="AL671" s="225"/>
      <c r="AM671" s="225"/>
      <c r="AN671" s="225"/>
      <c r="AO671" s="225"/>
      <c r="AP671" s="225"/>
      <c r="AQ671" s="225"/>
      <c r="AR671" s="225"/>
    </row>
    <row r="672" spans="1:44" ht="15.75" customHeight="1">
      <c r="A672" s="131"/>
      <c r="B672" s="131"/>
      <c r="C672" s="131"/>
      <c r="D672" s="131"/>
      <c r="E672" s="131"/>
      <c r="F672" s="131"/>
      <c r="G672" s="131"/>
      <c r="H672" s="131"/>
      <c r="I672" s="131"/>
      <c r="J672" s="131"/>
      <c r="K672" s="131"/>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row>
    <row r="673" spans="1:44" ht="15.75" customHeight="1">
      <c r="A673" s="131"/>
      <c r="B673" s="131"/>
      <c r="C673" s="131"/>
      <c r="D673" s="131"/>
      <c r="E673" s="131"/>
      <c r="F673" s="131"/>
      <c r="G673" s="131"/>
      <c r="H673" s="131"/>
      <c r="I673" s="131"/>
      <c r="J673" s="131"/>
      <c r="K673" s="131"/>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row>
    <row r="674" spans="1:44" ht="15.75" customHeight="1">
      <c r="A674" s="131"/>
      <c r="B674" s="131"/>
      <c r="C674" s="131"/>
      <c r="D674" s="131"/>
      <c r="E674" s="131"/>
      <c r="F674" s="131"/>
      <c r="G674" s="131"/>
      <c r="H674" s="131"/>
      <c r="I674" s="131"/>
      <c r="J674" s="131"/>
      <c r="K674" s="131"/>
      <c r="L674" s="225"/>
      <c r="M674" s="225"/>
      <c r="N674" s="225"/>
      <c r="O674" s="225"/>
      <c r="P674" s="225"/>
      <c r="Q674" s="225"/>
      <c r="R674" s="225"/>
      <c r="S674" s="225"/>
      <c r="T674" s="225"/>
      <c r="U674" s="225"/>
      <c r="V674" s="225"/>
      <c r="W674" s="225"/>
      <c r="X674" s="225"/>
      <c r="Y674" s="225"/>
      <c r="Z674" s="225"/>
      <c r="AA674" s="225"/>
      <c r="AB674" s="225"/>
      <c r="AC674" s="225"/>
      <c r="AD674" s="225"/>
      <c r="AE674" s="225"/>
      <c r="AF674" s="225"/>
      <c r="AG674" s="225"/>
      <c r="AH674" s="225"/>
      <c r="AI674" s="225"/>
      <c r="AJ674" s="225"/>
      <c r="AK674" s="225"/>
      <c r="AL674" s="225"/>
      <c r="AM674" s="225"/>
      <c r="AN674" s="225"/>
      <c r="AO674" s="225"/>
      <c r="AP674" s="225"/>
      <c r="AQ674" s="225"/>
      <c r="AR674" s="225"/>
    </row>
    <row r="675" spans="1:44" ht="15.75" customHeight="1">
      <c r="A675" s="131"/>
      <c r="B675" s="131"/>
      <c r="C675" s="131"/>
      <c r="D675" s="131"/>
      <c r="E675" s="131"/>
      <c r="F675" s="131"/>
      <c r="G675" s="131"/>
      <c r="H675" s="131"/>
      <c r="I675" s="131"/>
      <c r="J675" s="131"/>
      <c r="K675" s="131"/>
      <c r="L675" s="225"/>
      <c r="M675" s="225"/>
      <c r="N675" s="225"/>
      <c r="O675" s="225"/>
      <c r="P675" s="225"/>
      <c r="Q675" s="225"/>
      <c r="R675" s="225"/>
      <c r="S675" s="225"/>
      <c r="T675" s="225"/>
      <c r="U675" s="225"/>
      <c r="V675" s="225"/>
      <c r="W675" s="225"/>
      <c r="X675" s="225"/>
      <c r="Y675" s="225"/>
      <c r="Z675" s="225"/>
      <c r="AA675" s="225"/>
      <c r="AB675" s="225"/>
      <c r="AC675" s="225"/>
      <c r="AD675" s="225"/>
      <c r="AE675" s="225"/>
      <c r="AF675" s="225"/>
      <c r="AG675" s="225"/>
      <c r="AH675" s="225"/>
      <c r="AI675" s="225"/>
      <c r="AJ675" s="225"/>
      <c r="AK675" s="225"/>
      <c r="AL675" s="225"/>
      <c r="AM675" s="225"/>
      <c r="AN675" s="225"/>
      <c r="AO675" s="225"/>
      <c r="AP675" s="225"/>
      <c r="AQ675" s="225"/>
      <c r="AR675" s="225"/>
    </row>
    <row r="676" spans="1:44" ht="15.75" customHeight="1">
      <c r="A676" s="131"/>
      <c r="B676" s="131"/>
      <c r="C676" s="131"/>
      <c r="D676" s="131"/>
      <c r="E676" s="131"/>
      <c r="F676" s="131"/>
      <c r="G676" s="131"/>
      <c r="H676" s="131"/>
      <c r="I676" s="131"/>
      <c r="J676" s="131"/>
      <c r="K676" s="131"/>
      <c r="L676" s="225"/>
      <c r="M676" s="225"/>
      <c r="N676" s="225"/>
      <c r="O676" s="225"/>
      <c r="P676" s="225"/>
      <c r="Q676" s="225"/>
      <c r="R676" s="225"/>
      <c r="S676" s="225"/>
      <c r="T676" s="225"/>
      <c r="U676" s="225"/>
      <c r="V676" s="225"/>
      <c r="W676" s="225"/>
      <c r="X676" s="225"/>
      <c r="Y676" s="225"/>
      <c r="Z676" s="225"/>
      <c r="AA676" s="225"/>
      <c r="AB676" s="225"/>
      <c r="AC676" s="225"/>
      <c r="AD676" s="225"/>
      <c r="AE676" s="225"/>
      <c r="AF676" s="225"/>
      <c r="AG676" s="225"/>
      <c r="AH676" s="225"/>
      <c r="AI676" s="225"/>
      <c r="AJ676" s="225"/>
      <c r="AK676" s="225"/>
      <c r="AL676" s="225"/>
      <c r="AM676" s="225"/>
      <c r="AN676" s="225"/>
      <c r="AO676" s="225"/>
      <c r="AP676" s="225"/>
      <c r="AQ676" s="225"/>
      <c r="AR676" s="225"/>
    </row>
    <row r="677" spans="1:44" ht="15.75" customHeight="1">
      <c r="A677" s="131"/>
      <c r="B677" s="131"/>
      <c r="C677" s="131"/>
      <c r="D677" s="131"/>
      <c r="E677" s="131"/>
      <c r="F677" s="131"/>
      <c r="G677" s="131"/>
      <c r="H677" s="131"/>
      <c r="I677" s="131"/>
      <c r="J677" s="131"/>
      <c r="K677" s="131"/>
      <c r="L677" s="225"/>
      <c r="M677" s="225"/>
      <c r="N677" s="225"/>
      <c r="O677" s="225"/>
      <c r="P677" s="225"/>
      <c r="Q677" s="225"/>
      <c r="R677" s="225"/>
      <c r="S677" s="225"/>
      <c r="T677" s="225"/>
      <c r="U677" s="225"/>
      <c r="V677" s="225"/>
      <c r="W677" s="225"/>
      <c r="X677" s="225"/>
      <c r="Y677" s="225"/>
      <c r="Z677" s="225"/>
      <c r="AA677" s="225"/>
      <c r="AB677" s="225"/>
      <c r="AC677" s="225"/>
      <c r="AD677" s="225"/>
      <c r="AE677" s="225"/>
      <c r="AF677" s="225"/>
      <c r="AG677" s="225"/>
      <c r="AH677" s="225"/>
      <c r="AI677" s="225"/>
      <c r="AJ677" s="225"/>
      <c r="AK677" s="225"/>
      <c r="AL677" s="225"/>
      <c r="AM677" s="225"/>
      <c r="AN677" s="225"/>
      <c r="AO677" s="225"/>
      <c r="AP677" s="225"/>
      <c r="AQ677" s="225"/>
      <c r="AR677" s="225"/>
    </row>
    <row r="678" spans="1:44" ht="15.75" customHeight="1">
      <c r="A678" s="131"/>
      <c r="B678" s="131"/>
      <c r="C678" s="131"/>
      <c r="D678" s="131"/>
      <c r="E678" s="131"/>
      <c r="F678" s="131"/>
      <c r="G678" s="131"/>
      <c r="H678" s="131"/>
      <c r="I678" s="131"/>
      <c r="J678" s="131"/>
      <c r="K678" s="131"/>
      <c r="L678" s="225"/>
      <c r="M678" s="225"/>
      <c r="N678" s="225"/>
      <c r="O678" s="225"/>
      <c r="P678" s="225"/>
      <c r="Q678" s="225"/>
      <c r="R678" s="225"/>
      <c r="S678" s="225"/>
      <c r="T678" s="225"/>
      <c r="U678" s="225"/>
      <c r="V678" s="225"/>
      <c r="W678" s="225"/>
      <c r="X678" s="225"/>
      <c r="Y678" s="225"/>
      <c r="Z678" s="225"/>
      <c r="AA678" s="225"/>
      <c r="AB678" s="225"/>
      <c r="AC678" s="225"/>
      <c r="AD678" s="225"/>
      <c r="AE678" s="225"/>
      <c r="AF678" s="225"/>
      <c r="AG678" s="225"/>
      <c r="AH678" s="225"/>
      <c r="AI678" s="225"/>
      <c r="AJ678" s="225"/>
      <c r="AK678" s="225"/>
      <c r="AL678" s="225"/>
      <c r="AM678" s="225"/>
      <c r="AN678" s="225"/>
      <c r="AO678" s="225"/>
      <c r="AP678" s="225"/>
      <c r="AQ678" s="225"/>
      <c r="AR678" s="225"/>
    </row>
    <row r="679" spans="1:44" ht="15.75" customHeight="1">
      <c r="A679" s="131"/>
      <c r="B679" s="131"/>
      <c r="C679" s="131"/>
      <c r="D679" s="131"/>
      <c r="E679" s="131"/>
      <c r="F679" s="131"/>
      <c r="G679" s="131"/>
      <c r="H679" s="131"/>
      <c r="I679" s="131"/>
      <c r="J679" s="131"/>
      <c r="K679" s="131"/>
      <c r="L679" s="225"/>
      <c r="M679" s="225"/>
      <c r="N679" s="225"/>
      <c r="O679" s="225"/>
      <c r="P679" s="225"/>
      <c r="Q679" s="225"/>
      <c r="R679" s="225"/>
      <c r="S679" s="225"/>
      <c r="T679" s="225"/>
      <c r="U679" s="225"/>
      <c r="V679" s="225"/>
      <c r="W679" s="225"/>
      <c r="X679" s="225"/>
      <c r="Y679" s="225"/>
      <c r="Z679" s="225"/>
      <c r="AA679" s="225"/>
      <c r="AB679" s="225"/>
      <c r="AC679" s="225"/>
      <c r="AD679" s="225"/>
      <c r="AE679" s="225"/>
      <c r="AF679" s="225"/>
      <c r="AG679" s="225"/>
      <c r="AH679" s="225"/>
      <c r="AI679" s="225"/>
      <c r="AJ679" s="225"/>
      <c r="AK679" s="225"/>
      <c r="AL679" s="225"/>
      <c r="AM679" s="225"/>
      <c r="AN679" s="225"/>
      <c r="AO679" s="225"/>
      <c r="AP679" s="225"/>
      <c r="AQ679" s="225"/>
      <c r="AR679" s="225"/>
    </row>
    <row r="680" spans="1:44" ht="15.75" customHeight="1">
      <c r="A680" s="131"/>
      <c r="B680" s="131"/>
      <c r="C680" s="131"/>
      <c r="D680" s="131"/>
      <c r="E680" s="131"/>
      <c r="F680" s="131"/>
      <c r="G680" s="131"/>
      <c r="H680" s="131"/>
      <c r="I680" s="131"/>
      <c r="J680" s="131"/>
      <c r="K680" s="131"/>
      <c r="L680" s="225"/>
      <c r="M680" s="225"/>
      <c r="N680" s="225"/>
      <c r="O680" s="225"/>
      <c r="P680" s="225"/>
      <c r="Q680" s="225"/>
      <c r="R680" s="225"/>
      <c r="S680" s="225"/>
      <c r="T680" s="225"/>
      <c r="U680" s="225"/>
      <c r="V680" s="225"/>
      <c r="W680" s="225"/>
      <c r="X680" s="225"/>
      <c r="Y680" s="225"/>
      <c r="Z680" s="225"/>
      <c r="AA680" s="225"/>
      <c r="AB680" s="225"/>
      <c r="AC680" s="225"/>
      <c r="AD680" s="225"/>
      <c r="AE680" s="225"/>
      <c r="AF680" s="225"/>
      <c r="AG680" s="225"/>
      <c r="AH680" s="225"/>
      <c r="AI680" s="225"/>
      <c r="AJ680" s="225"/>
      <c r="AK680" s="225"/>
      <c r="AL680" s="225"/>
      <c r="AM680" s="225"/>
      <c r="AN680" s="225"/>
      <c r="AO680" s="225"/>
      <c r="AP680" s="225"/>
      <c r="AQ680" s="225"/>
      <c r="AR680" s="225"/>
    </row>
    <row r="681" spans="1:44" ht="15.75" customHeight="1">
      <c r="A681" s="131"/>
      <c r="B681" s="131"/>
      <c r="C681" s="131"/>
      <c r="D681" s="131"/>
      <c r="E681" s="131"/>
      <c r="F681" s="131"/>
      <c r="G681" s="131"/>
      <c r="H681" s="131"/>
      <c r="I681" s="131"/>
      <c r="J681" s="131"/>
      <c r="K681" s="131"/>
      <c r="L681" s="225"/>
      <c r="M681" s="225"/>
      <c r="N681" s="225"/>
      <c r="O681" s="225"/>
      <c r="P681" s="225"/>
      <c r="Q681" s="225"/>
      <c r="R681" s="225"/>
      <c r="S681" s="225"/>
      <c r="T681" s="225"/>
      <c r="U681" s="225"/>
      <c r="V681" s="225"/>
      <c r="W681" s="225"/>
      <c r="X681" s="225"/>
      <c r="Y681" s="225"/>
      <c r="Z681" s="225"/>
      <c r="AA681" s="225"/>
      <c r="AB681" s="225"/>
      <c r="AC681" s="225"/>
      <c r="AD681" s="225"/>
      <c r="AE681" s="225"/>
      <c r="AF681" s="225"/>
      <c r="AG681" s="225"/>
      <c r="AH681" s="225"/>
      <c r="AI681" s="225"/>
      <c r="AJ681" s="225"/>
      <c r="AK681" s="225"/>
      <c r="AL681" s="225"/>
      <c r="AM681" s="225"/>
      <c r="AN681" s="225"/>
      <c r="AO681" s="225"/>
      <c r="AP681" s="225"/>
      <c r="AQ681" s="225"/>
      <c r="AR681" s="225"/>
    </row>
    <row r="682" spans="1:44" ht="15.75" customHeight="1">
      <c r="A682" s="131"/>
      <c r="B682" s="131"/>
      <c r="C682" s="131"/>
      <c r="D682" s="131"/>
      <c r="E682" s="131"/>
      <c r="F682" s="131"/>
      <c r="G682" s="131"/>
      <c r="H682" s="131"/>
      <c r="I682" s="131"/>
      <c r="J682" s="131"/>
      <c r="K682" s="131"/>
      <c r="L682" s="225"/>
      <c r="M682" s="225"/>
      <c r="N682" s="225"/>
      <c r="O682" s="225"/>
      <c r="P682" s="225"/>
      <c r="Q682" s="225"/>
      <c r="R682" s="225"/>
      <c r="S682" s="225"/>
      <c r="T682" s="225"/>
      <c r="U682" s="225"/>
      <c r="V682" s="225"/>
      <c r="W682" s="225"/>
      <c r="X682" s="225"/>
      <c r="Y682" s="225"/>
      <c r="Z682" s="225"/>
      <c r="AA682" s="225"/>
      <c r="AB682" s="225"/>
      <c r="AC682" s="225"/>
      <c r="AD682" s="225"/>
      <c r="AE682" s="225"/>
      <c r="AF682" s="225"/>
      <c r="AG682" s="225"/>
      <c r="AH682" s="225"/>
      <c r="AI682" s="225"/>
      <c r="AJ682" s="225"/>
      <c r="AK682" s="225"/>
      <c r="AL682" s="225"/>
      <c r="AM682" s="225"/>
      <c r="AN682" s="225"/>
      <c r="AO682" s="225"/>
      <c r="AP682" s="225"/>
      <c r="AQ682" s="225"/>
      <c r="AR682" s="225"/>
    </row>
    <row r="683" spans="1:44" ht="15.75" customHeight="1">
      <c r="A683" s="131"/>
      <c r="B683" s="131"/>
      <c r="C683" s="131"/>
      <c r="D683" s="131"/>
      <c r="E683" s="131"/>
      <c r="F683" s="131"/>
      <c r="G683" s="131"/>
      <c r="H683" s="131"/>
      <c r="I683" s="131"/>
      <c r="J683" s="131"/>
      <c r="K683" s="131"/>
      <c r="L683" s="225"/>
      <c r="M683" s="225"/>
      <c r="N683" s="225"/>
      <c r="O683" s="225"/>
      <c r="P683" s="225"/>
      <c r="Q683" s="225"/>
      <c r="R683" s="225"/>
      <c r="S683" s="225"/>
      <c r="T683" s="225"/>
      <c r="U683" s="225"/>
      <c r="V683" s="225"/>
      <c r="W683" s="225"/>
      <c r="X683" s="225"/>
      <c r="Y683" s="225"/>
      <c r="Z683" s="225"/>
      <c r="AA683" s="225"/>
      <c r="AB683" s="225"/>
      <c r="AC683" s="225"/>
      <c r="AD683" s="225"/>
      <c r="AE683" s="225"/>
      <c r="AF683" s="225"/>
      <c r="AG683" s="225"/>
      <c r="AH683" s="225"/>
      <c r="AI683" s="225"/>
      <c r="AJ683" s="225"/>
      <c r="AK683" s="225"/>
      <c r="AL683" s="225"/>
      <c r="AM683" s="225"/>
      <c r="AN683" s="225"/>
      <c r="AO683" s="225"/>
      <c r="AP683" s="225"/>
      <c r="AQ683" s="225"/>
      <c r="AR683" s="225"/>
    </row>
    <row r="684" spans="1:44" ht="15.75" customHeight="1">
      <c r="A684" s="131"/>
      <c r="B684" s="131"/>
      <c r="C684" s="131"/>
      <c r="D684" s="131"/>
      <c r="E684" s="131"/>
      <c r="F684" s="131"/>
      <c r="G684" s="131"/>
      <c r="H684" s="131"/>
      <c r="I684" s="131"/>
      <c r="J684" s="131"/>
      <c r="K684" s="131"/>
      <c r="L684" s="225"/>
      <c r="M684" s="225"/>
      <c r="N684" s="225"/>
      <c r="O684" s="225"/>
      <c r="P684" s="225"/>
      <c r="Q684" s="225"/>
      <c r="R684" s="225"/>
      <c r="S684" s="225"/>
      <c r="T684" s="225"/>
      <c r="U684" s="225"/>
      <c r="V684" s="225"/>
      <c r="W684" s="225"/>
      <c r="X684" s="225"/>
      <c r="Y684" s="225"/>
      <c r="Z684" s="225"/>
      <c r="AA684" s="225"/>
      <c r="AB684" s="225"/>
      <c r="AC684" s="225"/>
      <c r="AD684" s="225"/>
      <c r="AE684" s="225"/>
      <c r="AF684" s="225"/>
      <c r="AG684" s="225"/>
      <c r="AH684" s="225"/>
      <c r="AI684" s="225"/>
      <c r="AJ684" s="225"/>
      <c r="AK684" s="225"/>
      <c r="AL684" s="225"/>
      <c r="AM684" s="225"/>
      <c r="AN684" s="225"/>
      <c r="AO684" s="225"/>
      <c r="AP684" s="225"/>
      <c r="AQ684" s="225"/>
      <c r="AR684" s="225"/>
    </row>
    <row r="685" spans="1:44" ht="15.75" customHeight="1">
      <c r="A685" s="131"/>
      <c r="B685" s="131"/>
      <c r="C685" s="131"/>
      <c r="D685" s="131"/>
      <c r="E685" s="131"/>
      <c r="F685" s="131"/>
      <c r="G685" s="131"/>
      <c r="H685" s="131"/>
      <c r="I685" s="131"/>
      <c r="J685" s="131"/>
      <c r="K685" s="131"/>
      <c r="L685" s="225"/>
      <c r="M685" s="225"/>
      <c r="N685" s="225"/>
      <c r="O685" s="225"/>
      <c r="P685" s="225"/>
      <c r="Q685" s="225"/>
      <c r="R685" s="225"/>
      <c r="S685" s="225"/>
      <c r="T685" s="225"/>
      <c r="U685" s="225"/>
      <c r="V685" s="225"/>
      <c r="W685" s="225"/>
      <c r="X685" s="225"/>
      <c r="Y685" s="225"/>
      <c r="Z685" s="225"/>
      <c r="AA685" s="225"/>
      <c r="AB685" s="225"/>
      <c r="AC685" s="225"/>
      <c r="AD685" s="225"/>
      <c r="AE685" s="225"/>
      <c r="AF685" s="225"/>
      <c r="AG685" s="225"/>
      <c r="AH685" s="225"/>
      <c r="AI685" s="225"/>
      <c r="AJ685" s="225"/>
      <c r="AK685" s="225"/>
      <c r="AL685" s="225"/>
      <c r="AM685" s="225"/>
      <c r="AN685" s="225"/>
      <c r="AO685" s="225"/>
      <c r="AP685" s="225"/>
      <c r="AQ685" s="225"/>
      <c r="AR685" s="225"/>
    </row>
    <row r="686" spans="1:44" ht="15.75" customHeight="1">
      <c r="A686" s="131"/>
      <c r="B686" s="131"/>
      <c r="C686" s="131"/>
      <c r="D686" s="131"/>
      <c r="E686" s="131"/>
      <c r="F686" s="131"/>
      <c r="G686" s="131"/>
      <c r="H686" s="131"/>
      <c r="I686" s="131"/>
      <c r="J686" s="131"/>
      <c r="K686" s="131"/>
      <c r="L686" s="225"/>
      <c r="M686" s="225"/>
      <c r="N686" s="225"/>
      <c r="O686" s="225"/>
      <c r="P686" s="225"/>
      <c r="Q686" s="225"/>
      <c r="R686" s="225"/>
      <c r="S686" s="225"/>
      <c r="T686" s="225"/>
      <c r="U686" s="225"/>
      <c r="V686" s="225"/>
      <c r="W686" s="225"/>
      <c r="X686" s="225"/>
      <c r="Y686" s="225"/>
      <c r="Z686" s="225"/>
      <c r="AA686" s="225"/>
      <c r="AB686" s="225"/>
      <c r="AC686" s="225"/>
      <c r="AD686" s="225"/>
      <c r="AE686" s="225"/>
      <c r="AF686" s="225"/>
      <c r="AG686" s="225"/>
      <c r="AH686" s="225"/>
      <c r="AI686" s="225"/>
      <c r="AJ686" s="225"/>
      <c r="AK686" s="225"/>
      <c r="AL686" s="225"/>
      <c r="AM686" s="225"/>
      <c r="AN686" s="225"/>
      <c r="AO686" s="225"/>
      <c r="AP686" s="225"/>
      <c r="AQ686" s="225"/>
      <c r="AR686" s="225"/>
    </row>
    <row r="687" spans="1:44" ht="15.75" customHeight="1">
      <c r="A687" s="131"/>
      <c r="B687" s="131"/>
      <c r="C687" s="131"/>
      <c r="D687" s="131"/>
      <c r="E687" s="131"/>
      <c r="F687" s="131"/>
      <c r="G687" s="131"/>
      <c r="H687" s="131"/>
      <c r="I687" s="131"/>
      <c r="J687" s="131"/>
      <c r="K687" s="131"/>
      <c r="L687" s="225"/>
      <c r="M687" s="225"/>
      <c r="N687" s="225"/>
      <c r="O687" s="225"/>
      <c r="P687" s="225"/>
      <c r="Q687" s="225"/>
      <c r="R687" s="225"/>
      <c r="S687" s="225"/>
      <c r="T687" s="225"/>
      <c r="U687" s="225"/>
      <c r="V687" s="225"/>
      <c r="W687" s="225"/>
      <c r="X687" s="225"/>
      <c r="Y687" s="225"/>
      <c r="Z687" s="225"/>
      <c r="AA687" s="225"/>
      <c r="AB687" s="225"/>
      <c r="AC687" s="225"/>
      <c r="AD687" s="225"/>
      <c r="AE687" s="225"/>
      <c r="AF687" s="225"/>
      <c r="AG687" s="225"/>
      <c r="AH687" s="225"/>
      <c r="AI687" s="225"/>
      <c r="AJ687" s="225"/>
      <c r="AK687" s="225"/>
      <c r="AL687" s="225"/>
      <c r="AM687" s="225"/>
      <c r="AN687" s="225"/>
      <c r="AO687" s="225"/>
      <c r="AP687" s="225"/>
      <c r="AQ687" s="225"/>
      <c r="AR687" s="225"/>
    </row>
    <row r="688" spans="1:44" ht="15.75" customHeight="1">
      <c r="A688" s="131"/>
      <c r="B688" s="131"/>
      <c r="C688" s="131"/>
      <c r="D688" s="131"/>
      <c r="E688" s="131"/>
      <c r="F688" s="131"/>
      <c r="G688" s="131"/>
      <c r="H688" s="131"/>
      <c r="I688" s="131"/>
      <c r="J688" s="131"/>
      <c r="K688" s="131"/>
      <c r="L688" s="225"/>
      <c r="M688" s="225"/>
      <c r="N688" s="225"/>
      <c r="O688" s="225"/>
      <c r="P688" s="225"/>
      <c r="Q688" s="225"/>
      <c r="R688" s="225"/>
      <c r="S688" s="225"/>
      <c r="T688" s="225"/>
      <c r="U688" s="225"/>
      <c r="V688" s="225"/>
      <c r="W688" s="225"/>
      <c r="X688" s="225"/>
      <c r="Y688" s="225"/>
      <c r="Z688" s="225"/>
      <c r="AA688" s="225"/>
      <c r="AB688" s="225"/>
      <c r="AC688" s="225"/>
      <c r="AD688" s="225"/>
      <c r="AE688" s="225"/>
      <c r="AF688" s="225"/>
      <c r="AG688" s="225"/>
      <c r="AH688" s="225"/>
      <c r="AI688" s="225"/>
      <c r="AJ688" s="225"/>
      <c r="AK688" s="225"/>
      <c r="AL688" s="225"/>
      <c r="AM688" s="225"/>
      <c r="AN688" s="225"/>
      <c r="AO688" s="225"/>
      <c r="AP688" s="225"/>
      <c r="AQ688" s="225"/>
      <c r="AR688" s="225"/>
    </row>
    <row r="689" spans="1:44" ht="15.75" customHeight="1">
      <c r="A689" s="131"/>
      <c r="B689" s="131"/>
      <c r="C689" s="131"/>
      <c r="D689" s="131"/>
      <c r="E689" s="131"/>
      <c r="F689" s="131"/>
      <c r="G689" s="131"/>
      <c r="H689" s="131"/>
      <c r="I689" s="131"/>
      <c r="J689" s="131"/>
      <c r="K689" s="131"/>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c r="AQ689" s="225"/>
      <c r="AR689" s="225"/>
    </row>
    <row r="690" spans="1:44" ht="15.75" customHeight="1">
      <c r="A690" s="131"/>
      <c r="B690" s="131"/>
      <c r="C690" s="131"/>
      <c r="D690" s="131"/>
      <c r="E690" s="131"/>
      <c r="F690" s="131"/>
      <c r="G690" s="131"/>
      <c r="H690" s="131"/>
      <c r="I690" s="131"/>
      <c r="J690" s="131"/>
      <c r="K690" s="131"/>
      <c r="L690" s="225"/>
      <c r="M690" s="225"/>
      <c r="N690" s="225"/>
      <c r="O690" s="225"/>
      <c r="P690" s="225"/>
      <c r="Q690" s="225"/>
      <c r="R690" s="225"/>
      <c r="S690" s="225"/>
      <c r="T690" s="225"/>
      <c r="U690" s="225"/>
      <c r="V690" s="225"/>
      <c r="W690" s="225"/>
      <c r="X690" s="225"/>
      <c r="Y690" s="225"/>
      <c r="Z690" s="225"/>
      <c r="AA690" s="225"/>
      <c r="AB690" s="225"/>
      <c r="AC690" s="225"/>
      <c r="AD690" s="225"/>
      <c r="AE690" s="225"/>
      <c r="AF690" s="225"/>
      <c r="AG690" s="225"/>
      <c r="AH690" s="225"/>
      <c r="AI690" s="225"/>
      <c r="AJ690" s="225"/>
      <c r="AK690" s="225"/>
      <c r="AL690" s="225"/>
      <c r="AM690" s="225"/>
      <c r="AN690" s="225"/>
      <c r="AO690" s="225"/>
      <c r="AP690" s="225"/>
      <c r="AQ690" s="225"/>
      <c r="AR690" s="225"/>
    </row>
    <row r="691" spans="1:44" ht="15.75" customHeight="1">
      <c r="A691" s="131"/>
      <c r="B691" s="131"/>
      <c r="C691" s="131"/>
      <c r="D691" s="131"/>
      <c r="E691" s="131"/>
      <c r="F691" s="131"/>
      <c r="G691" s="131"/>
      <c r="H691" s="131"/>
      <c r="I691" s="131"/>
      <c r="J691" s="131"/>
      <c r="K691" s="131"/>
      <c r="L691" s="225"/>
      <c r="M691" s="225"/>
      <c r="N691" s="225"/>
      <c r="O691" s="225"/>
      <c r="P691" s="225"/>
      <c r="Q691" s="225"/>
      <c r="R691" s="225"/>
      <c r="S691" s="225"/>
      <c r="T691" s="225"/>
      <c r="U691" s="225"/>
      <c r="V691" s="225"/>
      <c r="W691" s="225"/>
      <c r="X691" s="225"/>
      <c r="Y691" s="225"/>
      <c r="Z691" s="225"/>
      <c r="AA691" s="225"/>
      <c r="AB691" s="225"/>
      <c r="AC691" s="225"/>
      <c r="AD691" s="225"/>
      <c r="AE691" s="225"/>
      <c r="AF691" s="225"/>
      <c r="AG691" s="225"/>
      <c r="AH691" s="225"/>
      <c r="AI691" s="225"/>
      <c r="AJ691" s="225"/>
      <c r="AK691" s="225"/>
      <c r="AL691" s="225"/>
      <c r="AM691" s="225"/>
      <c r="AN691" s="225"/>
      <c r="AO691" s="225"/>
      <c r="AP691" s="225"/>
      <c r="AQ691" s="225"/>
      <c r="AR691" s="225"/>
    </row>
    <row r="692" spans="1:44" ht="15.75" customHeight="1">
      <c r="A692" s="131"/>
      <c r="B692" s="131"/>
      <c r="C692" s="131"/>
      <c r="D692" s="131"/>
      <c r="E692" s="131"/>
      <c r="F692" s="131"/>
      <c r="G692" s="131"/>
      <c r="H692" s="131"/>
      <c r="I692" s="131"/>
      <c r="J692" s="131"/>
      <c r="K692" s="131"/>
      <c r="L692" s="225"/>
      <c r="M692" s="225"/>
      <c r="N692" s="225"/>
      <c r="O692" s="225"/>
      <c r="P692" s="225"/>
      <c r="Q692" s="225"/>
      <c r="R692" s="225"/>
      <c r="S692" s="225"/>
      <c r="T692" s="225"/>
      <c r="U692" s="225"/>
      <c r="V692" s="225"/>
      <c r="W692" s="225"/>
      <c r="X692" s="225"/>
      <c r="Y692" s="225"/>
      <c r="Z692" s="225"/>
      <c r="AA692" s="225"/>
      <c r="AB692" s="225"/>
      <c r="AC692" s="225"/>
      <c r="AD692" s="225"/>
      <c r="AE692" s="225"/>
      <c r="AF692" s="225"/>
      <c r="AG692" s="225"/>
      <c r="AH692" s="225"/>
      <c r="AI692" s="225"/>
      <c r="AJ692" s="225"/>
      <c r="AK692" s="225"/>
      <c r="AL692" s="225"/>
      <c r="AM692" s="225"/>
      <c r="AN692" s="225"/>
      <c r="AO692" s="225"/>
      <c r="AP692" s="225"/>
      <c r="AQ692" s="225"/>
      <c r="AR692" s="225"/>
    </row>
    <row r="693" spans="1:44" ht="15.75" customHeight="1">
      <c r="A693" s="131"/>
      <c r="B693" s="131"/>
      <c r="C693" s="131"/>
      <c r="D693" s="131"/>
      <c r="E693" s="131"/>
      <c r="F693" s="131"/>
      <c r="G693" s="131"/>
      <c r="H693" s="131"/>
      <c r="I693" s="131"/>
      <c r="J693" s="131"/>
      <c r="K693" s="131"/>
      <c r="L693" s="225"/>
      <c r="M693" s="225"/>
      <c r="N693" s="225"/>
      <c r="O693" s="225"/>
      <c r="P693" s="225"/>
      <c r="Q693" s="225"/>
      <c r="R693" s="225"/>
      <c r="S693" s="225"/>
      <c r="T693" s="225"/>
      <c r="U693" s="225"/>
      <c r="V693" s="225"/>
      <c r="W693" s="225"/>
      <c r="X693" s="225"/>
      <c r="Y693" s="225"/>
      <c r="Z693" s="225"/>
      <c r="AA693" s="225"/>
      <c r="AB693" s="225"/>
      <c r="AC693" s="225"/>
      <c r="AD693" s="225"/>
      <c r="AE693" s="225"/>
      <c r="AF693" s="225"/>
      <c r="AG693" s="225"/>
      <c r="AH693" s="225"/>
      <c r="AI693" s="225"/>
      <c r="AJ693" s="225"/>
      <c r="AK693" s="225"/>
      <c r="AL693" s="225"/>
      <c r="AM693" s="225"/>
      <c r="AN693" s="225"/>
      <c r="AO693" s="225"/>
      <c r="AP693" s="225"/>
      <c r="AQ693" s="225"/>
      <c r="AR693" s="225"/>
    </row>
    <row r="694" spans="1:44" ht="15.75" customHeight="1">
      <c r="A694" s="131"/>
      <c r="B694" s="131"/>
      <c r="C694" s="131"/>
      <c r="D694" s="131"/>
      <c r="E694" s="131"/>
      <c r="F694" s="131"/>
      <c r="G694" s="131"/>
      <c r="H694" s="131"/>
      <c r="I694" s="131"/>
      <c r="J694" s="131"/>
      <c r="K694" s="131"/>
      <c r="L694" s="225"/>
      <c r="M694" s="225"/>
      <c r="N694" s="225"/>
      <c r="O694" s="225"/>
      <c r="P694" s="225"/>
      <c r="Q694" s="225"/>
      <c r="R694" s="225"/>
      <c r="S694" s="225"/>
      <c r="T694" s="225"/>
      <c r="U694" s="225"/>
      <c r="V694" s="225"/>
      <c r="W694" s="225"/>
      <c r="X694" s="225"/>
      <c r="Y694" s="225"/>
      <c r="Z694" s="225"/>
      <c r="AA694" s="225"/>
      <c r="AB694" s="225"/>
      <c r="AC694" s="225"/>
      <c r="AD694" s="225"/>
      <c r="AE694" s="225"/>
      <c r="AF694" s="225"/>
      <c r="AG694" s="225"/>
      <c r="AH694" s="225"/>
      <c r="AI694" s="225"/>
      <c r="AJ694" s="225"/>
      <c r="AK694" s="225"/>
      <c r="AL694" s="225"/>
      <c r="AM694" s="225"/>
      <c r="AN694" s="225"/>
      <c r="AO694" s="225"/>
      <c r="AP694" s="225"/>
      <c r="AQ694" s="225"/>
      <c r="AR694" s="225"/>
    </row>
    <row r="695" spans="1:44" ht="15.75" customHeight="1">
      <c r="A695" s="131"/>
      <c r="B695" s="131"/>
      <c r="C695" s="131"/>
      <c r="D695" s="131"/>
      <c r="E695" s="131"/>
      <c r="F695" s="131"/>
      <c r="G695" s="131"/>
      <c r="H695" s="131"/>
      <c r="I695" s="131"/>
      <c r="J695" s="131"/>
      <c r="K695" s="131"/>
      <c r="L695" s="225"/>
      <c r="M695" s="225"/>
      <c r="N695" s="225"/>
      <c r="O695" s="225"/>
      <c r="P695" s="225"/>
      <c r="Q695" s="225"/>
      <c r="R695" s="225"/>
      <c r="S695" s="225"/>
      <c r="T695" s="225"/>
      <c r="U695" s="225"/>
      <c r="V695" s="225"/>
      <c r="W695" s="225"/>
      <c r="X695" s="225"/>
      <c r="Y695" s="225"/>
      <c r="Z695" s="225"/>
      <c r="AA695" s="225"/>
      <c r="AB695" s="225"/>
      <c r="AC695" s="225"/>
      <c r="AD695" s="225"/>
      <c r="AE695" s="225"/>
      <c r="AF695" s="225"/>
      <c r="AG695" s="225"/>
      <c r="AH695" s="225"/>
      <c r="AI695" s="225"/>
      <c r="AJ695" s="225"/>
      <c r="AK695" s="225"/>
      <c r="AL695" s="225"/>
      <c r="AM695" s="225"/>
      <c r="AN695" s="225"/>
      <c r="AO695" s="225"/>
      <c r="AP695" s="225"/>
      <c r="AQ695" s="225"/>
      <c r="AR695" s="225"/>
    </row>
    <row r="696" spans="1:44" ht="15.75" customHeight="1">
      <c r="A696" s="131"/>
      <c r="B696" s="131"/>
      <c r="C696" s="131"/>
      <c r="D696" s="131"/>
      <c r="E696" s="131"/>
      <c r="F696" s="131"/>
      <c r="G696" s="131"/>
      <c r="H696" s="131"/>
      <c r="I696" s="131"/>
      <c r="J696" s="131"/>
      <c r="K696" s="131"/>
      <c r="L696" s="225"/>
      <c r="M696" s="225"/>
      <c r="N696" s="225"/>
      <c r="O696" s="225"/>
      <c r="P696" s="225"/>
      <c r="Q696" s="225"/>
      <c r="R696" s="225"/>
      <c r="S696" s="225"/>
      <c r="T696" s="225"/>
      <c r="U696" s="225"/>
      <c r="V696" s="225"/>
      <c r="W696" s="225"/>
      <c r="X696" s="225"/>
      <c r="Y696" s="225"/>
      <c r="Z696" s="225"/>
      <c r="AA696" s="225"/>
      <c r="AB696" s="225"/>
      <c r="AC696" s="225"/>
      <c r="AD696" s="225"/>
      <c r="AE696" s="225"/>
      <c r="AF696" s="225"/>
      <c r="AG696" s="225"/>
      <c r="AH696" s="225"/>
      <c r="AI696" s="225"/>
      <c r="AJ696" s="225"/>
      <c r="AK696" s="225"/>
      <c r="AL696" s="225"/>
      <c r="AM696" s="225"/>
      <c r="AN696" s="225"/>
      <c r="AO696" s="225"/>
      <c r="AP696" s="225"/>
      <c r="AQ696" s="225"/>
      <c r="AR696" s="225"/>
    </row>
    <row r="697" spans="1:44" ht="15.75" customHeight="1">
      <c r="A697" s="131"/>
      <c r="B697" s="131"/>
      <c r="C697" s="131"/>
      <c r="D697" s="131"/>
      <c r="E697" s="131"/>
      <c r="F697" s="131"/>
      <c r="G697" s="131"/>
      <c r="H697" s="131"/>
      <c r="I697" s="131"/>
      <c r="J697" s="131"/>
      <c r="K697" s="131"/>
      <c r="L697" s="225"/>
      <c r="M697" s="225"/>
      <c r="N697" s="225"/>
      <c r="O697" s="225"/>
      <c r="P697" s="225"/>
      <c r="Q697" s="225"/>
      <c r="R697" s="225"/>
      <c r="S697" s="225"/>
      <c r="T697" s="225"/>
      <c r="U697" s="225"/>
      <c r="V697" s="225"/>
      <c r="W697" s="225"/>
      <c r="X697" s="225"/>
      <c r="Y697" s="225"/>
      <c r="Z697" s="225"/>
      <c r="AA697" s="225"/>
      <c r="AB697" s="225"/>
      <c r="AC697" s="225"/>
      <c r="AD697" s="225"/>
      <c r="AE697" s="225"/>
      <c r="AF697" s="225"/>
      <c r="AG697" s="225"/>
      <c r="AH697" s="225"/>
      <c r="AI697" s="225"/>
      <c r="AJ697" s="225"/>
      <c r="AK697" s="225"/>
      <c r="AL697" s="225"/>
      <c r="AM697" s="225"/>
      <c r="AN697" s="225"/>
      <c r="AO697" s="225"/>
      <c r="AP697" s="225"/>
      <c r="AQ697" s="225"/>
      <c r="AR697" s="225"/>
    </row>
    <row r="698" spans="1:44" ht="15.75" customHeight="1">
      <c r="A698" s="131"/>
      <c r="B698" s="131"/>
      <c r="C698" s="131"/>
      <c r="D698" s="131"/>
      <c r="E698" s="131"/>
      <c r="F698" s="131"/>
      <c r="G698" s="131"/>
      <c r="H698" s="131"/>
      <c r="I698" s="131"/>
      <c r="J698" s="131"/>
      <c r="K698" s="131"/>
      <c r="L698" s="225"/>
      <c r="M698" s="225"/>
      <c r="N698" s="225"/>
      <c r="O698" s="225"/>
      <c r="P698" s="225"/>
      <c r="Q698" s="225"/>
      <c r="R698" s="225"/>
      <c r="S698" s="225"/>
      <c r="T698" s="225"/>
      <c r="U698" s="225"/>
      <c r="V698" s="225"/>
      <c r="W698" s="225"/>
      <c r="X698" s="225"/>
      <c r="Y698" s="225"/>
      <c r="Z698" s="225"/>
      <c r="AA698" s="225"/>
      <c r="AB698" s="225"/>
      <c r="AC698" s="225"/>
      <c r="AD698" s="225"/>
      <c r="AE698" s="225"/>
      <c r="AF698" s="225"/>
      <c r="AG698" s="225"/>
      <c r="AH698" s="225"/>
      <c r="AI698" s="225"/>
      <c r="AJ698" s="225"/>
      <c r="AK698" s="225"/>
      <c r="AL698" s="225"/>
      <c r="AM698" s="225"/>
      <c r="AN698" s="225"/>
      <c r="AO698" s="225"/>
      <c r="AP698" s="225"/>
      <c r="AQ698" s="225"/>
      <c r="AR698" s="225"/>
    </row>
    <row r="699" spans="1:44" ht="15.75" customHeight="1">
      <c r="A699" s="131"/>
      <c r="B699" s="131"/>
      <c r="C699" s="131"/>
      <c r="D699" s="131"/>
      <c r="E699" s="131"/>
      <c r="F699" s="131"/>
      <c r="G699" s="131"/>
      <c r="H699" s="131"/>
      <c r="I699" s="131"/>
      <c r="J699" s="131"/>
      <c r="K699" s="131"/>
      <c r="L699" s="225"/>
      <c r="M699" s="225"/>
      <c r="N699" s="225"/>
      <c r="O699" s="225"/>
      <c r="P699" s="225"/>
      <c r="Q699" s="225"/>
      <c r="R699" s="225"/>
      <c r="S699" s="225"/>
      <c r="T699" s="225"/>
      <c r="U699" s="225"/>
      <c r="V699" s="225"/>
      <c r="W699" s="225"/>
      <c r="X699" s="225"/>
      <c r="Y699" s="225"/>
      <c r="Z699" s="225"/>
      <c r="AA699" s="225"/>
      <c r="AB699" s="225"/>
      <c r="AC699" s="225"/>
      <c r="AD699" s="225"/>
      <c r="AE699" s="225"/>
      <c r="AF699" s="225"/>
      <c r="AG699" s="225"/>
      <c r="AH699" s="225"/>
      <c r="AI699" s="225"/>
      <c r="AJ699" s="225"/>
      <c r="AK699" s="225"/>
      <c r="AL699" s="225"/>
      <c r="AM699" s="225"/>
      <c r="AN699" s="225"/>
      <c r="AO699" s="225"/>
      <c r="AP699" s="225"/>
      <c r="AQ699" s="225"/>
      <c r="AR699" s="225"/>
    </row>
    <row r="700" spans="1:44" ht="15.75" customHeight="1">
      <c r="A700" s="131"/>
      <c r="B700" s="131"/>
      <c r="C700" s="131"/>
      <c r="D700" s="131"/>
      <c r="E700" s="131"/>
      <c r="F700" s="131"/>
      <c r="G700" s="131"/>
      <c r="H700" s="131"/>
      <c r="I700" s="131"/>
      <c r="J700" s="131"/>
      <c r="K700" s="131"/>
      <c r="L700" s="225"/>
      <c r="M700" s="225"/>
      <c r="N700" s="225"/>
      <c r="O700" s="225"/>
      <c r="P700" s="225"/>
      <c r="Q700" s="225"/>
      <c r="R700" s="225"/>
      <c r="S700" s="225"/>
      <c r="T700" s="225"/>
      <c r="U700" s="225"/>
      <c r="V700" s="225"/>
      <c r="W700" s="225"/>
      <c r="X700" s="225"/>
      <c r="Y700" s="225"/>
      <c r="Z700" s="225"/>
      <c r="AA700" s="225"/>
      <c r="AB700" s="225"/>
      <c r="AC700" s="225"/>
      <c r="AD700" s="225"/>
      <c r="AE700" s="225"/>
      <c r="AF700" s="225"/>
      <c r="AG700" s="225"/>
      <c r="AH700" s="225"/>
      <c r="AI700" s="225"/>
      <c r="AJ700" s="225"/>
      <c r="AK700" s="225"/>
      <c r="AL700" s="225"/>
      <c r="AM700" s="225"/>
      <c r="AN700" s="225"/>
      <c r="AO700" s="225"/>
      <c r="AP700" s="225"/>
      <c r="AQ700" s="225"/>
      <c r="AR700" s="225"/>
    </row>
    <row r="701" spans="1:44" ht="15.75" customHeight="1">
      <c r="A701" s="131"/>
      <c r="B701" s="131"/>
      <c r="C701" s="131"/>
      <c r="D701" s="131"/>
      <c r="E701" s="131"/>
      <c r="F701" s="131"/>
      <c r="G701" s="131"/>
      <c r="H701" s="131"/>
      <c r="I701" s="131"/>
      <c r="J701" s="131"/>
      <c r="K701" s="131"/>
      <c r="L701" s="225"/>
      <c r="M701" s="225"/>
      <c r="N701" s="225"/>
      <c r="O701" s="225"/>
      <c r="P701" s="225"/>
      <c r="Q701" s="225"/>
      <c r="R701" s="225"/>
      <c r="S701" s="225"/>
      <c r="T701" s="225"/>
      <c r="U701" s="225"/>
      <c r="V701" s="225"/>
      <c r="W701" s="225"/>
      <c r="X701" s="225"/>
      <c r="Y701" s="225"/>
      <c r="Z701" s="225"/>
      <c r="AA701" s="225"/>
      <c r="AB701" s="225"/>
      <c r="AC701" s="225"/>
      <c r="AD701" s="225"/>
      <c r="AE701" s="225"/>
      <c r="AF701" s="225"/>
      <c r="AG701" s="225"/>
      <c r="AH701" s="225"/>
      <c r="AI701" s="225"/>
      <c r="AJ701" s="225"/>
      <c r="AK701" s="225"/>
      <c r="AL701" s="225"/>
      <c r="AM701" s="225"/>
      <c r="AN701" s="225"/>
      <c r="AO701" s="225"/>
      <c r="AP701" s="225"/>
      <c r="AQ701" s="225"/>
      <c r="AR701" s="225"/>
    </row>
    <row r="702" spans="1:44" ht="15.75" customHeight="1">
      <c r="A702" s="131"/>
      <c r="B702" s="131"/>
      <c r="C702" s="131"/>
      <c r="D702" s="131"/>
      <c r="E702" s="131"/>
      <c r="F702" s="131"/>
      <c r="G702" s="131"/>
      <c r="H702" s="131"/>
      <c r="I702" s="131"/>
      <c r="J702" s="131"/>
      <c r="K702" s="131"/>
      <c r="L702" s="225"/>
      <c r="M702" s="225"/>
      <c r="N702" s="225"/>
      <c r="O702" s="225"/>
      <c r="P702" s="225"/>
      <c r="Q702" s="225"/>
      <c r="R702" s="225"/>
      <c r="S702" s="225"/>
      <c r="T702" s="225"/>
      <c r="U702" s="225"/>
      <c r="V702" s="225"/>
      <c r="W702" s="225"/>
      <c r="X702" s="225"/>
      <c r="Y702" s="225"/>
      <c r="Z702" s="225"/>
      <c r="AA702" s="225"/>
      <c r="AB702" s="225"/>
      <c r="AC702" s="225"/>
      <c r="AD702" s="225"/>
      <c r="AE702" s="225"/>
      <c r="AF702" s="225"/>
      <c r="AG702" s="225"/>
      <c r="AH702" s="225"/>
      <c r="AI702" s="225"/>
      <c r="AJ702" s="225"/>
      <c r="AK702" s="225"/>
      <c r="AL702" s="225"/>
      <c r="AM702" s="225"/>
      <c r="AN702" s="225"/>
      <c r="AO702" s="225"/>
      <c r="AP702" s="225"/>
      <c r="AQ702" s="225"/>
      <c r="AR702" s="225"/>
    </row>
    <row r="703" spans="1:44" ht="15.75" customHeight="1">
      <c r="A703" s="131"/>
      <c r="B703" s="131"/>
      <c r="C703" s="131"/>
      <c r="D703" s="131"/>
      <c r="E703" s="131"/>
      <c r="F703" s="131"/>
      <c r="G703" s="131"/>
      <c r="H703" s="131"/>
      <c r="I703" s="131"/>
      <c r="J703" s="131"/>
      <c r="K703" s="131"/>
      <c r="L703" s="225"/>
      <c r="M703" s="225"/>
      <c r="N703" s="225"/>
      <c r="O703" s="225"/>
      <c r="P703" s="225"/>
      <c r="Q703" s="225"/>
      <c r="R703" s="225"/>
      <c r="S703" s="225"/>
      <c r="T703" s="225"/>
      <c r="U703" s="225"/>
      <c r="V703" s="225"/>
      <c r="W703" s="225"/>
      <c r="X703" s="225"/>
      <c r="Y703" s="225"/>
      <c r="Z703" s="225"/>
      <c r="AA703" s="225"/>
      <c r="AB703" s="225"/>
      <c r="AC703" s="225"/>
      <c r="AD703" s="225"/>
      <c r="AE703" s="225"/>
      <c r="AF703" s="225"/>
      <c r="AG703" s="225"/>
      <c r="AH703" s="225"/>
      <c r="AI703" s="225"/>
      <c r="AJ703" s="225"/>
      <c r="AK703" s="225"/>
      <c r="AL703" s="225"/>
      <c r="AM703" s="225"/>
      <c r="AN703" s="225"/>
      <c r="AO703" s="225"/>
      <c r="AP703" s="225"/>
      <c r="AQ703" s="225"/>
      <c r="AR703" s="225"/>
    </row>
    <row r="704" spans="1:44" ht="15.75" customHeight="1">
      <c r="A704" s="131"/>
      <c r="B704" s="131"/>
      <c r="C704" s="131"/>
      <c r="D704" s="131"/>
      <c r="E704" s="131"/>
      <c r="F704" s="131"/>
      <c r="G704" s="131"/>
      <c r="H704" s="131"/>
      <c r="I704" s="131"/>
      <c r="J704" s="131"/>
      <c r="K704" s="131"/>
      <c r="L704" s="225"/>
      <c r="M704" s="225"/>
      <c r="N704" s="225"/>
      <c r="O704" s="225"/>
      <c r="P704" s="225"/>
      <c r="Q704" s="225"/>
      <c r="R704" s="225"/>
      <c r="S704" s="225"/>
      <c r="T704" s="225"/>
      <c r="U704" s="225"/>
      <c r="V704" s="225"/>
      <c r="W704" s="225"/>
      <c r="X704" s="225"/>
      <c r="Y704" s="225"/>
      <c r="Z704" s="225"/>
      <c r="AA704" s="225"/>
      <c r="AB704" s="225"/>
      <c r="AC704" s="225"/>
      <c r="AD704" s="225"/>
      <c r="AE704" s="225"/>
      <c r="AF704" s="225"/>
      <c r="AG704" s="225"/>
      <c r="AH704" s="225"/>
      <c r="AI704" s="225"/>
      <c r="AJ704" s="225"/>
      <c r="AK704" s="225"/>
      <c r="AL704" s="225"/>
      <c r="AM704" s="225"/>
      <c r="AN704" s="225"/>
      <c r="AO704" s="225"/>
      <c r="AP704" s="225"/>
      <c r="AQ704" s="225"/>
      <c r="AR704" s="225"/>
    </row>
    <row r="705" spans="1:44" ht="15.75" customHeight="1">
      <c r="A705" s="131"/>
      <c r="B705" s="131"/>
      <c r="C705" s="131"/>
      <c r="D705" s="131"/>
      <c r="E705" s="131"/>
      <c r="F705" s="131"/>
      <c r="G705" s="131"/>
      <c r="H705" s="131"/>
      <c r="I705" s="131"/>
      <c r="J705" s="131"/>
      <c r="K705" s="131"/>
      <c r="L705" s="225"/>
      <c r="M705" s="225"/>
      <c r="N705" s="225"/>
      <c r="O705" s="225"/>
      <c r="P705" s="225"/>
      <c r="Q705" s="225"/>
      <c r="R705" s="225"/>
      <c r="S705" s="225"/>
      <c r="T705" s="225"/>
      <c r="U705" s="225"/>
      <c r="V705" s="225"/>
      <c r="W705" s="225"/>
      <c r="X705" s="225"/>
      <c r="Y705" s="225"/>
      <c r="Z705" s="225"/>
      <c r="AA705" s="225"/>
      <c r="AB705" s="225"/>
      <c r="AC705" s="225"/>
      <c r="AD705" s="225"/>
      <c r="AE705" s="225"/>
      <c r="AF705" s="225"/>
      <c r="AG705" s="225"/>
      <c r="AH705" s="225"/>
      <c r="AI705" s="225"/>
      <c r="AJ705" s="225"/>
      <c r="AK705" s="225"/>
      <c r="AL705" s="225"/>
      <c r="AM705" s="225"/>
      <c r="AN705" s="225"/>
      <c r="AO705" s="225"/>
      <c r="AP705" s="225"/>
      <c r="AQ705" s="225"/>
      <c r="AR705" s="225"/>
    </row>
    <row r="706" spans="1:44" ht="15.75" customHeight="1">
      <c r="A706" s="131"/>
      <c r="B706" s="131"/>
      <c r="C706" s="131"/>
      <c r="D706" s="131"/>
      <c r="E706" s="131"/>
      <c r="F706" s="131"/>
      <c r="G706" s="131"/>
      <c r="H706" s="131"/>
      <c r="I706" s="131"/>
      <c r="J706" s="131"/>
      <c r="K706" s="131"/>
      <c r="L706" s="225"/>
      <c r="M706" s="225"/>
      <c r="N706" s="225"/>
      <c r="O706" s="225"/>
      <c r="P706" s="225"/>
      <c r="Q706" s="225"/>
      <c r="R706" s="225"/>
      <c r="S706" s="225"/>
      <c r="T706" s="225"/>
      <c r="U706" s="225"/>
      <c r="V706" s="225"/>
      <c r="W706" s="225"/>
      <c r="X706" s="225"/>
      <c r="Y706" s="225"/>
      <c r="Z706" s="225"/>
      <c r="AA706" s="225"/>
      <c r="AB706" s="225"/>
      <c r="AC706" s="225"/>
      <c r="AD706" s="225"/>
      <c r="AE706" s="225"/>
      <c r="AF706" s="225"/>
      <c r="AG706" s="225"/>
      <c r="AH706" s="225"/>
      <c r="AI706" s="225"/>
      <c r="AJ706" s="225"/>
      <c r="AK706" s="225"/>
      <c r="AL706" s="225"/>
      <c r="AM706" s="225"/>
      <c r="AN706" s="225"/>
      <c r="AO706" s="225"/>
      <c r="AP706" s="225"/>
      <c r="AQ706" s="225"/>
      <c r="AR706" s="225"/>
    </row>
    <row r="707" spans="1:44" ht="15.75" customHeight="1">
      <c r="A707" s="131"/>
      <c r="B707" s="131"/>
      <c r="C707" s="131"/>
      <c r="D707" s="131"/>
      <c r="E707" s="131"/>
      <c r="F707" s="131"/>
      <c r="G707" s="131"/>
      <c r="H707" s="131"/>
      <c r="I707" s="131"/>
      <c r="J707" s="131"/>
      <c r="K707" s="131"/>
      <c r="L707" s="225"/>
      <c r="M707" s="225"/>
      <c r="N707" s="225"/>
      <c r="O707" s="225"/>
      <c r="P707" s="225"/>
      <c r="Q707" s="225"/>
      <c r="R707" s="225"/>
      <c r="S707" s="225"/>
      <c r="T707" s="225"/>
      <c r="U707" s="225"/>
      <c r="V707" s="225"/>
      <c r="W707" s="225"/>
      <c r="X707" s="225"/>
      <c r="Y707" s="225"/>
      <c r="Z707" s="225"/>
      <c r="AA707" s="225"/>
      <c r="AB707" s="225"/>
      <c r="AC707" s="225"/>
      <c r="AD707" s="225"/>
      <c r="AE707" s="225"/>
      <c r="AF707" s="225"/>
      <c r="AG707" s="225"/>
      <c r="AH707" s="225"/>
      <c r="AI707" s="225"/>
      <c r="AJ707" s="225"/>
      <c r="AK707" s="225"/>
      <c r="AL707" s="225"/>
      <c r="AM707" s="225"/>
      <c r="AN707" s="225"/>
      <c r="AO707" s="225"/>
      <c r="AP707" s="225"/>
      <c r="AQ707" s="225"/>
      <c r="AR707" s="225"/>
    </row>
    <row r="708" spans="1:44" ht="15.75" customHeight="1">
      <c r="A708" s="131"/>
      <c r="B708" s="131"/>
      <c r="C708" s="131"/>
      <c r="D708" s="131"/>
      <c r="E708" s="131"/>
      <c r="F708" s="131"/>
      <c r="G708" s="131"/>
      <c r="H708" s="131"/>
      <c r="I708" s="131"/>
      <c r="J708" s="131"/>
      <c r="K708" s="131"/>
      <c r="L708" s="225"/>
      <c r="M708" s="225"/>
      <c r="N708" s="225"/>
      <c r="O708" s="225"/>
      <c r="P708" s="225"/>
      <c r="Q708" s="225"/>
      <c r="R708" s="225"/>
      <c r="S708" s="225"/>
      <c r="T708" s="225"/>
      <c r="U708" s="225"/>
      <c r="V708" s="225"/>
      <c r="W708" s="225"/>
      <c r="X708" s="225"/>
      <c r="Y708" s="225"/>
      <c r="Z708" s="225"/>
      <c r="AA708" s="225"/>
      <c r="AB708" s="225"/>
      <c r="AC708" s="225"/>
      <c r="AD708" s="225"/>
      <c r="AE708" s="225"/>
      <c r="AF708" s="225"/>
      <c r="AG708" s="225"/>
      <c r="AH708" s="225"/>
      <c r="AI708" s="225"/>
      <c r="AJ708" s="225"/>
      <c r="AK708" s="225"/>
      <c r="AL708" s="225"/>
      <c r="AM708" s="225"/>
      <c r="AN708" s="225"/>
      <c r="AO708" s="225"/>
      <c r="AP708" s="225"/>
      <c r="AQ708" s="225"/>
      <c r="AR708" s="225"/>
    </row>
    <row r="709" spans="1:44" ht="15.75" customHeight="1">
      <c r="A709" s="131"/>
      <c r="B709" s="131"/>
      <c r="C709" s="131"/>
      <c r="D709" s="131"/>
      <c r="E709" s="131"/>
      <c r="F709" s="131"/>
      <c r="G709" s="131"/>
      <c r="H709" s="131"/>
      <c r="I709" s="131"/>
      <c r="J709" s="131"/>
      <c r="K709" s="131"/>
      <c r="L709" s="225"/>
      <c r="M709" s="225"/>
      <c r="N709" s="225"/>
      <c r="O709" s="225"/>
      <c r="P709" s="225"/>
      <c r="Q709" s="225"/>
      <c r="R709" s="225"/>
      <c r="S709" s="225"/>
      <c r="T709" s="225"/>
      <c r="U709" s="225"/>
      <c r="V709" s="225"/>
      <c r="W709" s="225"/>
      <c r="X709" s="225"/>
      <c r="Y709" s="225"/>
      <c r="Z709" s="225"/>
      <c r="AA709" s="225"/>
      <c r="AB709" s="225"/>
      <c r="AC709" s="225"/>
      <c r="AD709" s="225"/>
      <c r="AE709" s="225"/>
      <c r="AF709" s="225"/>
      <c r="AG709" s="225"/>
      <c r="AH709" s="225"/>
      <c r="AI709" s="225"/>
      <c r="AJ709" s="225"/>
      <c r="AK709" s="225"/>
      <c r="AL709" s="225"/>
      <c r="AM709" s="225"/>
      <c r="AN709" s="225"/>
      <c r="AO709" s="225"/>
      <c r="AP709" s="225"/>
      <c r="AQ709" s="225"/>
      <c r="AR709" s="225"/>
    </row>
    <row r="710" spans="1:44" ht="15.75" customHeight="1">
      <c r="A710" s="131"/>
      <c r="B710" s="131"/>
      <c r="C710" s="131"/>
      <c r="D710" s="131"/>
      <c r="E710" s="131"/>
      <c r="F710" s="131"/>
      <c r="G710" s="131"/>
      <c r="H710" s="131"/>
      <c r="I710" s="131"/>
      <c r="J710" s="131"/>
      <c r="K710" s="131"/>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row>
    <row r="711" spans="1:44" ht="15.75" customHeight="1">
      <c r="A711" s="131"/>
      <c r="B711" s="131"/>
      <c r="C711" s="131"/>
      <c r="D711" s="131"/>
      <c r="E711" s="131"/>
      <c r="F711" s="131"/>
      <c r="G711" s="131"/>
      <c r="H711" s="131"/>
      <c r="I711" s="131"/>
      <c r="J711" s="131"/>
      <c r="K711" s="131"/>
      <c r="L711" s="225"/>
      <c r="M711" s="225"/>
      <c r="N711" s="225"/>
      <c r="O711" s="225"/>
      <c r="P711" s="225"/>
      <c r="Q711" s="225"/>
      <c r="R711" s="225"/>
      <c r="S711" s="225"/>
      <c r="T711" s="225"/>
      <c r="U711" s="225"/>
      <c r="V711" s="225"/>
      <c r="W711" s="225"/>
      <c r="X711" s="225"/>
      <c r="Y711" s="225"/>
      <c r="Z711" s="225"/>
      <c r="AA711" s="225"/>
      <c r="AB711" s="225"/>
      <c r="AC711" s="225"/>
      <c r="AD711" s="225"/>
      <c r="AE711" s="225"/>
      <c r="AF711" s="225"/>
      <c r="AG711" s="225"/>
      <c r="AH711" s="225"/>
      <c r="AI711" s="225"/>
      <c r="AJ711" s="225"/>
      <c r="AK711" s="225"/>
      <c r="AL711" s="225"/>
      <c r="AM711" s="225"/>
      <c r="AN711" s="225"/>
      <c r="AO711" s="225"/>
      <c r="AP711" s="225"/>
      <c r="AQ711" s="225"/>
      <c r="AR711" s="225"/>
    </row>
    <row r="712" spans="1:44" ht="15.75" customHeight="1">
      <c r="A712" s="131"/>
      <c r="B712" s="131"/>
      <c r="C712" s="131"/>
      <c r="D712" s="131"/>
      <c r="E712" s="131"/>
      <c r="F712" s="131"/>
      <c r="G712" s="131"/>
      <c r="H712" s="131"/>
      <c r="I712" s="131"/>
      <c r="J712" s="131"/>
      <c r="K712" s="131"/>
      <c r="L712" s="225"/>
      <c r="M712" s="225"/>
      <c r="N712" s="225"/>
      <c r="O712" s="225"/>
      <c r="P712" s="225"/>
      <c r="Q712" s="225"/>
      <c r="R712" s="225"/>
      <c r="S712" s="225"/>
      <c r="T712" s="225"/>
      <c r="U712" s="225"/>
      <c r="V712" s="225"/>
      <c r="W712" s="225"/>
      <c r="X712" s="225"/>
      <c r="Y712" s="225"/>
      <c r="Z712" s="225"/>
      <c r="AA712" s="225"/>
      <c r="AB712" s="225"/>
      <c r="AC712" s="225"/>
      <c r="AD712" s="225"/>
      <c r="AE712" s="225"/>
      <c r="AF712" s="225"/>
      <c r="AG712" s="225"/>
      <c r="AH712" s="225"/>
      <c r="AI712" s="225"/>
      <c r="AJ712" s="225"/>
      <c r="AK712" s="225"/>
      <c r="AL712" s="225"/>
      <c r="AM712" s="225"/>
      <c r="AN712" s="225"/>
      <c r="AO712" s="225"/>
      <c r="AP712" s="225"/>
      <c r="AQ712" s="225"/>
      <c r="AR712" s="225"/>
    </row>
    <row r="713" spans="1:44" ht="15.75" customHeight="1">
      <c r="A713" s="131"/>
      <c r="B713" s="131"/>
      <c r="C713" s="131"/>
      <c r="D713" s="131"/>
      <c r="E713" s="131"/>
      <c r="F713" s="131"/>
      <c r="G713" s="131"/>
      <c r="H713" s="131"/>
      <c r="I713" s="131"/>
      <c r="J713" s="131"/>
      <c r="K713" s="131"/>
      <c r="L713" s="225"/>
      <c r="M713" s="225"/>
      <c r="N713" s="225"/>
      <c r="O713" s="225"/>
      <c r="P713" s="225"/>
      <c r="Q713" s="225"/>
      <c r="R713" s="225"/>
      <c r="S713" s="225"/>
      <c r="T713" s="225"/>
      <c r="U713" s="225"/>
      <c r="V713" s="225"/>
      <c r="W713" s="225"/>
      <c r="X713" s="225"/>
      <c r="Y713" s="225"/>
      <c r="Z713" s="225"/>
      <c r="AA713" s="225"/>
      <c r="AB713" s="225"/>
      <c r="AC713" s="225"/>
      <c r="AD713" s="225"/>
      <c r="AE713" s="225"/>
      <c r="AF713" s="225"/>
      <c r="AG713" s="225"/>
      <c r="AH713" s="225"/>
      <c r="AI713" s="225"/>
      <c r="AJ713" s="225"/>
      <c r="AK713" s="225"/>
      <c r="AL713" s="225"/>
      <c r="AM713" s="225"/>
      <c r="AN713" s="225"/>
      <c r="AO713" s="225"/>
      <c r="AP713" s="225"/>
      <c r="AQ713" s="225"/>
      <c r="AR713" s="225"/>
    </row>
    <row r="714" spans="1:44" ht="15.75" customHeight="1">
      <c r="A714" s="131"/>
      <c r="B714" s="131"/>
      <c r="C714" s="131"/>
      <c r="D714" s="131"/>
      <c r="E714" s="131"/>
      <c r="F714" s="131"/>
      <c r="G714" s="131"/>
      <c r="H714" s="131"/>
      <c r="I714" s="131"/>
      <c r="J714" s="131"/>
      <c r="K714" s="131"/>
      <c r="L714" s="225"/>
      <c r="M714" s="225"/>
      <c r="N714" s="225"/>
      <c r="O714" s="225"/>
      <c r="P714" s="225"/>
      <c r="Q714" s="225"/>
      <c r="R714" s="225"/>
      <c r="S714" s="225"/>
      <c r="T714" s="225"/>
      <c r="U714" s="225"/>
      <c r="V714" s="225"/>
      <c r="W714" s="225"/>
      <c r="X714" s="225"/>
      <c r="Y714" s="225"/>
      <c r="Z714" s="225"/>
      <c r="AA714" s="225"/>
      <c r="AB714" s="225"/>
      <c r="AC714" s="225"/>
      <c r="AD714" s="225"/>
      <c r="AE714" s="225"/>
      <c r="AF714" s="225"/>
      <c r="AG714" s="225"/>
      <c r="AH714" s="225"/>
      <c r="AI714" s="225"/>
      <c r="AJ714" s="225"/>
      <c r="AK714" s="225"/>
      <c r="AL714" s="225"/>
      <c r="AM714" s="225"/>
      <c r="AN714" s="225"/>
      <c r="AO714" s="225"/>
      <c r="AP714" s="225"/>
      <c r="AQ714" s="225"/>
      <c r="AR714" s="225"/>
    </row>
    <row r="715" spans="1:44" ht="15.75" customHeight="1">
      <c r="A715" s="131"/>
      <c r="B715" s="131"/>
      <c r="C715" s="131"/>
      <c r="D715" s="131"/>
      <c r="E715" s="131"/>
      <c r="F715" s="131"/>
      <c r="G715" s="131"/>
      <c r="H715" s="131"/>
      <c r="I715" s="131"/>
      <c r="J715" s="131"/>
      <c r="K715" s="131"/>
      <c r="L715" s="225"/>
      <c r="M715" s="225"/>
      <c r="N715" s="225"/>
      <c r="O715" s="225"/>
      <c r="P715" s="225"/>
      <c r="Q715" s="225"/>
      <c r="R715" s="225"/>
      <c r="S715" s="225"/>
      <c r="T715" s="225"/>
      <c r="U715" s="225"/>
      <c r="V715" s="225"/>
      <c r="W715" s="225"/>
      <c r="X715" s="225"/>
      <c r="Y715" s="225"/>
      <c r="Z715" s="225"/>
      <c r="AA715" s="225"/>
      <c r="AB715" s="225"/>
      <c r="AC715" s="225"/>
      <c r="AD715" s="225"/>
      <c r="AE715" s="225"/>
      <c r="AF715" s="225"/>
      <c r="AG715" s="225"/>
      <c r="AH715" s="225"/>
      <c r="AI715" s="225"/>
      <c r="AJ715" s="225"/>
      <c r="AK715" s="225"/>
      <c r="AL715" s="225"/>
      <c r="AM715" s="225"/>
      <c r="AN715" s="225"/>
      <c r="AO715" s="225"/>
      <c r="AP715" s="225"/>
      <c r="AQ715" s="225"/>
      <c r="AR715" s="225"/>
    </row>
    <row r="716" spans="1:44" ht="15.75" customHeight="1">
      <c r="A716" s="131"/>
      <c r="B716" s="131"/>
      <c r="C716" s="131"/>
      <c r="D716" s="131"/>
      <c r="E716" s="131"/>
      <c r="F716" s="131"/>
      <c r="G716" s="131"/>
      <c r="H716" s="131"/>
      <c r="I716" s="131"/>
      <c r="J716" s="131"/>
      <c r="K716" s="131"/>
      <c r="L716" s="225"/>
      <c r="M716" s="225"/>
      <c r="N716" s="225"/>
      <c r="O716" s="225"/>
      <c r="P716" s="225"/>
      <c r="Q716" s="225"/>
      <c r="R716" s="225"/>
      <c r="S716" s="225"/>
      <c r="T716" s="225"/>
      <c r="U716" s="225"/>
      <c r="V716" s="225"/>
      <c r="W716" s="225"/>
      <c r="X716" s="225"/>
      <c r="Y716" s="225"/>
      <c r="Z716" s="225"/>
      <c r="AA716" s="225"/>
      <c r="AB716" s="225"/>
      <c r="AC716" s="225"/>
      <c r="AD716" s="225"/>
      <c r="AE716" s="225"/>
      <c r="AF716" s="225"/>
      <c r="AG716" s="225"/>
      <c r="AH716" s="225"/>
      <c r="AI716" s="225"/>
      <c r="AJ716" s="225"/>
      <c r="AK716" s="225"/>
      <c r="AL716" s="225"/>
      <c r="AM716" s="225"/>
      <c r="AN716" s="225"/>
      <c r="AO716" s="225"/>
      <c r="AP716" s="225"/>
      <c r="AQ716" s="225"/>
      <c r="AR716" s="225"/>
    </row>
    <row r="717" spans="1:44" ht="15.75" customHeight="1">
      <c r="A717" s="131"/>
      <c r="B717" s="131"/>
      <c r="C717" s="131"/>
      <c r="D717" s="131"/>
      <c r="E717" s="131"/>
      <c r="F717" s="131"/>
      <c r="G717" s="131"/>
      <c r="H717" s="131"/>
      <c r="I717" s="131"/>
      <c r="J717" s="131"/>
      <c r="K717" s="131"/>
      <c r="L717" s="225"/>
      <c r="M717" s="225"/>
      <c r="N717" s="225"/>
      <c r="O717" s="225"/>
      <c r="P717" s="225"/>
      <c r="Q717" s="225"/>
      <c r="R717" s="225"/>
      <c r="S717" s="225"/>
      <c r="T717" s="225"/>
      <c r="U717" s="225"/>
      <c r="V717" s="225"/>
      <c r="W717" s="225"/>
      <c r="X717" s="225"/>
      <c r="Y717" s="225"/>
      <c r="Z717" s="225"/>
      <c r="AA717" s="225"/>
      <c r="AB717" s="225"/>
      <c r="AC717" s="225"/>
      <c r="AD717" s="225"/>
      <c r="AE717" s="225"/>
      <c r="AF717" s="225"/>
      <c r="AG717" s="225"/>
      <c r="AH717" s="225"/>
      <c r="AI717" s="225"/>
      <c r="AJ717" s="225"/>
      <c r="AK717" s="225"/>
      <c r="AL717" s="225"/>
      <c r="AM717" s="225"/>
      <c r="AN717" s="225"/>
      <c r="AO717" s="225"/>
      <c r="AP717" s="225"/>
      <c r="AQ717" s="225"/>
      <c r="AR717" s="225"/>
    </row>
    <row r="718" spans="1:44" ht="15.75" customHeight="1">
      <c r="A718" s="131"/>
      <c r="B718" s="131"/>
      <c r="C718" s="131"/>
      <c r="D718" s="131"/>
      <c r="E718" s="131"/>
      <c r="F718" s="131"/>
      <c r="G718" s="131"/>
      <c r="H718" s="131"/>
      <c r="I718" s="131"/>
      <c r="J718" s="131"/>
      <c r="K718" s="131"/>
      <c r="L718" s="225"/>
      <c r="M718" s="225"/>
      <c r="N718" s="225"/>
      <c r="O718" s="225"/>
      <c r="P718" s="225"/>
      <c r="Q718" s="225"/>
      <c r="R718" s="225"/>
      <c r="S718" s="225"/>
      <c r="T718" s="225"/>
      <c r="U718" s="225"/>
      <c r="V718" s="225"/>
      <c r="W718" s="225"/>
      <c r="X718" s="225"/>
      <c r="Y718" s="225"/>
      <c r="Z718" s="225"/>
      <c r="AA718" s="225"/>
      <c r="AB718" s="225"/>
      <c r="AC718" s="225"/>
      <c r="AD718" s="225"/>
      <c r="AE718" s="225"/>
      <c r="AF718" s="225"/>
      <c r="AG718" s="225"/>
      <c r="AH718" s="225"/>
      <c r="AI718" s="225"/>
      <c r="AJ718" s="225"/>
      <c r="AK718" s="225"/>
      <c r="AL718" s="225"/>
      <c r="AM718" s="225"/>
      <c r="AN718" s="225"/>
      <c r="AO718" s="225"/>
      <c r="AP718" s="225"/>
      <c r="AQ718" s="225"/>
      <c r="AR718" s="225"/>
    </row>
    <row r="719" spans="1:44" ht="15.75" customHeight="1">
      <c r="A719" s="131"/>
      <c r="B719" s="131"/>
      <c r="C719" s="131"/>
      <c r="D719" s="131"/>
      <c r="E719" s="131"/>
      <c r="F719" s="131"/>
      <c r="G719" s="131"/>
      <c r="H719" s="131"/>
      <c r="I719" s="131"/>
      <c r="J719" s="131"/>
      <c r="K719" s="131"/>
      <c r="L719" s="225"/>
      <c r="M719" s="225"/>
      <c r="N719" s="225"/>
      <c r="O719" s="225"/>
      <c r="P719" s="225"/>
      <c r="Q719" s="225"/>
      <c r="R719" s="225"/>
      <c r="S719" s="225"/>
      <c r="T719" s="225"/>
      <c r="U719" s="225"/>
      <c r="V719" s="225"/>
      <c r="W719" s="225"/>
      <c r="X719" s="225"/>
      <c r="Y719" s="225"/>
      <c r="Z719" s="225"/>
      <c r="AA719" s="225"/>
      <c r="AB719" s="225"/>
      <c r="AC719" s="225"/>
      <c r="AD719" s="225"/>
      <c r="AE719" s="225"/>
      <c r="AF719" s="225"/>
      <c r="AG719" s="225"/>
      <c r="AH719" s="225"/>
      <c r="AI719" s="225"/>
      <c r="AJ719" s="225"/>
      <c r="AK719" s="225"/>
      <c r="AL719" s="225"/>
      <c r="AM719" s="225"/>
      <c r="AN719" s="225"/>
      <c r="AO719" s="225"/>
      <c r="AP719" s="225"/>
      <c r="AQ719" s="225"/>
      <c r="AR719" s="225"/>
    </row>
    <row r="720" spans="1:44" ht="15.75" customHeight="1">
      <c r="A720" s="131"/>
      <c r="B720" s="131"/>
      <c r="C720" s="131"/>
      <c r="D720" s="131"/>
      <c r="E720" s="131"/>
      <c r="F720" s="131"/>
      <c r="G720" s="131"/>
      <c r="H720" s="131"/>
      <c r="I720" s="131"/>
      <c r="J720" s="131"/>
      <c r="K720" s="131"/>
      <c r="L720" s="225"/>
      <c r="M720" s="225"/>
      <c r="N720" s="225"/>
      <c r="O720" s="225"/>
      <c r="P720" s="225"/>
      <c r="Q720" s="225"/>
      <c r="R720" s="225"/>
      <c r="S720" s="225"/>
      <c r="T720" s="225"/>
      <c r="U720" s="225"/>
      <c r="V720" s="225"/>
      <c r="W720" s="225"/>
      <c r="X720" s="225"/>
      <c r="Y720" s="225"/>
      <c r="Z720" s="225"/>
      <c r="AA720" s="225"/>
      <c r="AB720" s="225"/>
      <c r="AC720" s="225"/>
      <c r="AD720" s="225"/>
      <c r="AE720" s="225"/>
      <c r="AF720" s="225"/>
      <c r="AG720" s="225"/>
      <c r="AH720" s="225"/>
      <c r="AI720" s="225"/>
      <c r="AJ720" s="225"/>
      <c r="AK720" s="225"/>
      <c r="AL720" s="225"/>
      <c r="AM720" s="225"/>
      <c r="AN720" s="225"/>
      <c r="AO720" s="225"/>
      <c r="AP720" s="225"/>
      <c r="AQ720" s="225"/>
      <c r="AR720" s="225"/>
    </row>
    <row r="721" spans="1:44" ht="15.75" customHeight="1">
      <c r="A721" s="131"/>
      <c r="B721" s="131"/>
      <c r="C721" s="131"/>
      <c r="D721" s="131"/>
      <c r="E721" s="131"/>
      <c r="F721" s="131"/>
      <c r="G721" s="131"/>
      <c r="H721" s="131"/>
      <c r="I721" s="131"/>
      <c r="J721" s="131"/>
      <c r="K721" s="131"/>
      <c r="L721" s="225"/>
      <c r="M721" s="225"/>
      <c r="N721" s="225"/>
      <c r="O721" s="225"/>
      <c r="P721" s="225"/>
      <c r="Q721" s="225"/>
      <c r="R721" s="225"/>
      <c r="S721" s="225"/>
      <c r="T721" s="225"/>
      <c r="U721" s="225"/>
      <c r="V721" s="225"/>
      <c r="W721" s="225"/>
      <c r="X721" s="225"/>
      <c r="Y721" s="225"/>
      <c r="Z721" s="225"/>
      <c r="AA721" s="225"/>
      <c r="AB721" s="225"/>
      <c r="AC721" s="225"/>
      <c r="AD721" s="225"/>
      <c r="AE721" s="225"/>
      <c r="AF721" s="225"/>
      <c r="AG721" s="225"/>
      <c r="AH721" s="225"/>
      <c r="AI721" s="225"/>
      <c r="AJ721" s="225"/>
      <c r="AK721" s="225"/>
      <c r="AL721" s="225"/>
      <c r="AM721" s="225"/>
      <c r="AN721" s="225"/>
      <c r="AO721" s="225"/>
      <c r="AP721" s="225"/>
      <c r="AQ721" s="225"/>
      <c r="AR721" s="225"/>
    </row>
    <row r="722" spans="1:44" ht="15.75" customHeight="1">
      <c r="A722" s="131"/>
      <c r="B722" s="131"/>
      <c r="C722" s="131"/>
      <c r="D722" s="131"/>
      <c r="E722" s="131"/>
      <c r="F722" s="131"/>
      <c r="G722" s="131"/>
      <c r="H722" s="131"/>
      <c r="I722" s="131"/>
      <c r="J722" s="131"/>
      <c r="K722" s="131"/>
      <c r="L722" s="225"/>
      <c r="M722" s="225"/>
      <c r="N722" s="225"/>
      <c r="O722" s="225"/>
      <c r="P722" s="225"/>
      <c r="Q722" s="225"/>
      <c r="R722" s="225"/>
      <c r="S722" s="225"/>
      <c r="T722" s="225"/>
      <c r="U722" s="225"/>
      <c r="V722" s="225"/>
      <c r="W722" s="225"/>
      <c r="X722" s="225"/>
      <c r="Y722" s="225"/>
      <c r="Z722" s="225"/>
      <c r="AA722" s="225"/>
      <c r="AB722" s="225"/>
      <c r="AC722" s="225"/>
      <c r="AD722" s="225"/>
      <c r="AE722" s="225"/>
      <c r="AF722" s="225"/>
      <c r="AG722" s="225"/>
      <c r="AH722" s="225"/>
      <c r="AI722" s="225"/>
      <c r="AJ722" s="225"/>
      <c r="AK722" s="225"/>
      <c r="AL722" s="225"/>
      <c r="AM722" s="225"/>
      <c r="AN722" s="225"/>
      <c r="AO722" s="225"/>
      <c r="AP722" s="225"/>
      <c r="AQ722" s="225"/>
      <c r="AR722" s="225"/>
    </row>
    <row r="723" spans="1:44" ht="15.75" customHeight="1">
      <c r="A723" s="131"/>
      <c r="B723" s="131"/>
      <c r="C723" s="131"/>
      <c r="D723" s="131"/>
      <c r="E723" s="131"/>
      <c r="F723" s="131"/>
      <c r="G723" s="131"/>
      <c r="H723" s="131"/>
      <c r="I723" s="131"/>
      <c r="J723" s="131"/>
      <c r="K723" s="131"/>
      <c r="L723" s="225"/>
      <c r="M723" s="225"/>
      <c r="N723" s="225"/>
      <c r="O723" s="225"/>
      <c r="P723" s="225"/>
      <c r="Q723" s="225"/>
      <c r="R723" s="225"/>
      <c r="S723" s="225"/>
      <c r="T723" s="225"/>
      <c r="U723" s="225"/>
      <c r="V723" s="225"/>
      <c r="W723" s="225"/>
      <c r="X723" s="225"/>
      <c r="Y723" s="225"/>
      <c r="Z723" s="225"/>
      <c r="AA723" s="225"/>
      <c r="AB723" s="225"/>
      <c r="AC723" s="225"/>
      <c r="AD723" s="225"/>
      <c r="AE723" s="225"/>
      <c r="AF723" s="225"/>
      <c r="AG723" s="225"/>
      <c r="AH723" s="225"/>
      <c r="AI723" s="225"/>
      <c r="AJ723" s="225"/>
      <c r="AK723" s="225"/>
      <c r="AL723" s="225"/>
      <c r="AM723" s="225"/>
      <c r="AN723" s="225"/>
      <c r="AO723" s="225"/>
      <c r="AP723" s="225"/>
      <c r="AQ723" s="225"/>
      <c r="AR723" s="225"/>
    </row>
    <row r="724" spans="1:44" ht="15.75" customHeight="1">
      <c r="A724" s="131"/>
      <c r="B724" s="131"/>
      <c r="C724" s="131"/>
      <c r="D724" s="131"/>
      <c r="E724" s="131"/>
      <c r="F724" s="131"/>
      <c r="G724" s="131"/>
      <c r="H724" s="131"/>
      <c r="I724" s="131"/>
      <c r="J724" s="131"/>
      <c r="K724" s="131"/>
      <c r="L724" s="225"/>
      <c r="M724" s="225"/>
      <c r="N724" s="225"/>
      <c r="O724" s="225"/>
      <c r="P724" s="225"/>
      <c r="Q724" s="225"/>
      <c r="R724" s="225"/>
      <c r="S724" s="225"/>
      <c r="T724" s="225"/>
      <c r="U724" s="225"/>
      <c r="V724" s="225"/>
      <c r="W724" s="225"/>
      <c r="X724" s="225"/>
      <c r="Y724" s="225"/>
      <c r="Z724" s="225"/>
      <c r="AA724" s="225"/>
      <c r="AB724" s="225"/>
      <c r="AC724" s="225"/>
      <c r="AD724" s="225"/>
      <c r="AE724" s="225"/>
      <c r="AF724" s="225"/>
      <c r="AG724" s="225"/>
      <c r="AH724" s="225"/>
      <c r="AI724" s="225"/>
      <c r="AJ724" s="225"/>
      <c r="AK724" s="225"/>
      <c r="AL724" s="225"/>
      <c r="AM724" s="225"/>
      <c r="AN724" s="225"/>
      <c r="AO724" s="225"/>
      <c r="AP724" s="225"/>
      <c r="AQ724" s="225"/>
      <c r="AR724" s="225"/>
    </row>
    <row r="725" spans="1:44" ht="15.75" customHeight="1">
      <c r="A725" s="131"/>
      <c r="B725" s="131"/>
      <c r="C725" s="131"/>
      <c r="D725" s="131"/>
      <c r="E725" s="131"/>
      <c r="F725" s="131"/>
      <c r="G725" s="131"/>
      <c r="H725" s="131"/>
      <c r="I725" s="131"/>
      <c r="J725" s="131"/>
      <c r="K725" s="131"/>
      <c r="L725" s="225"/>
      <c r="M725" s="225"/>
      <c r="N725" s="225"/>
      <c r="O725" s="225"/>
      <c r="P725" s="225"/>
      <c r="Q725" s="225"/>
      <c r="R725" s="225"/>
      <c r="S725" s="225"/>
      <c r="T725" s="225"/>
      <c r="U725" s="225"/>
      <c r="V725" s="225"/>
      <c r="W725" s="225"/>
      <c r="X725" s="225"/>
      <c r="Y725" s="225"/>
      <c r="Z725" s="225"/>
      <c r="AA725" s="225"/>
      <c r="AB725" s="225"/>
      <c r="AC725" s="225"/>
      <c r="AD725" s="225"/>
      <c r="AE725" s="225"/>
      <c r="AF725" s="225"/>
      <c r="AG725" s="225"/>
      <c r="AH725" s="225"/>
      <c r="AI725" s="225"/>
      <c r="AJ725" s="225"/>
      <c r="AK725" s="225"/>
      <c r="AL725" s="225"/>
      <c r="AM725" s="225"/>
      <c r="AN725" s="225"/>
      <c r="AO725" s="225"/>
      <c r="AP725" s="225"/>
      <c r="AQ725" s="225"/>
      <c r="AR725" s="225"/>
    </row>
    <row r="726" spans="1:44" ht="15.75" customHeight="1">
      <c r="A726" s="131"/>
      <c r="B726" s="131"/>
      <c r="C726" s="131"/>
      <c r="D726" s="131"/>
      <c r="E726" s="131"/>
      <c r="F726" s="131"/>
      <c r="G726" s="131"/>
      <c r="H726" s="131"/>
      <c r="I726" s="131"/>
      <c r="J726" s="131"/>
      <c r="K726" s="131"/>
      <c r="L726" s="225"/>
      <c r="M726" s="225"/>
      <c r="N726" s="225"/>
      <c r="O726" s="225"/>
      <c r="P726" s="225"/>
      <c r="Q726" s="225"/>
      <c r="R726" s="225"/>
      <c r="S726" s="225"/>
      <c r="T726" s="225"/>
      <c r="U726" s="225"/>
      <c r="V726" s="225"/>
      <c r="W726" s="225"/>
      <c r="X726" s="225"/>
      <c r="Y726" s="225"/>
      <c r="Z726" s="225"/>
      <c r="AA726" s="225"/>
      <c r="AB726" s="225"/>
      <c r="AC726" s="225"/>
      <c r="AD726" s="225"/>
      <c r="AE726" s="225"/>
      <c r="AF726" s="225"/>
      <c r="AG726" s="225"/>
      <c r="AH726" s="225"/>
      <c r="AI726" s="225"/>
      <c r="AJ726" s="225"/>
      <c r="AK726" s="225"/>
      <c r="AL726" s="225"/>
      <c r="AM726" s="225"/>
      <c r="AN726" s="225"/>
      <c r="AO726" s="225"/>
      <c r="AP726" s="225"/>
      <c r="AQ726" s="225"/>
      <c r="AR726" s="225"/>
    </row>
    <row r="727" spans="1:44" ht="15.75" customHeight="1">
      <c r="A727" s="131"/>
      <c r="B727" s="131"/>
      <c r="C727" s="131"/>
      <c r="D727" s="131"/>
      <c r="E727" s="131"/>
      <c r="F727" s="131"/>
      <c r="G727" s="131"/>
      <c r="H727" s="131"/>
      <c r="I727" s="131"/>
      <c r="J727" s="131"/>
      <c r="K727" s="131"/>
      <c r="L727" s="225"/>
      <c r="M727" s="225"/>
      <c r="N727" s="225"/>
      <c r="O727" s="225"/>
      <c r="P727" s="225"/>
      <c r="Q727" s="225"/>
      <c r="R727" s="225"/>
      <c r="S727" s="225"/>
      <c r="T727" s="225"/>
      <c r="U727" s="225"/>
      <c r="V727" s="225"/>
      <c r="W727" s="225"/>
      <c r="X727" s="225"/>
      <c r="Y727" s="225"/>
      <c r="Z727" s="225"/>
      <c r="AA727" s="225"/>
      <c r="AB727" s="225"/>
      <c r="AC727" s="225"/>
      <c r="AD727" s="225"/>
      <c r="AE727" s="225"/>
      <c r="AF727" s="225"/>
      <c r="AG727" s="225"/>
      <c r="AH727" s="225"/>
      <c r="AI727" s="225"/>
      <c r="AJ727" s="225"/>
      <c r="AK727" s="225"/>
      <c r="AL727" s="225"/>
      <c r="AM727" s="225"/>
      <c r="AN727" s="225"/>
      <c r="AO727" s="225"/>
      <c r="AP727" s="225"/>
      <c r="AQ727" s="225"/>
      <c r="AR727" s="225"/>
    </row>
    <row r="728" spans="1:44" ht="15.75" customHeight="1">
      <c r="A728" s="131"/>
      <c r="B728" s="131"/>
      <c r="C728" s="131"/>
      <c r="D728" s="131"/>
      <c r="E728" s="131"/>
      <c r="F728" s="131"/>
      <c r="G728" s="131"/>
      <c r="H728" s="131"/>
      <c r="I728" s="131"/>
      <c r="J728" s="131"/>
      <c r="K728" s="131"/>
      <c r="L728" s="225"/>
      <c r="M728" s="225"/>
      <c r="N728" s="225"/>
      <c r="O728" s="225"/>
      <c r="P728" s="225"/>
      <c r="Q728" s="225"/>
      <c r="R728" s="225"/>
      <c r="S728" s="225"/>
      <c r="T728" s="225"/>
      <c r="U728" s="225"/>
      <c r="V728" s="225"/>
      <c r="W728" s="225"/>
      <c r="X728" s="225"/>
      <c r="Y728" s="225"/>
      <c r="Z728" s="225"/>
      <c r="AA728" s="225"/>
      <c r="AB728" s="225"/>
      <c r="AC728" s="225"/>
      <c r="AD728" s="225"/>
      <c r="AE728" s="225"/>
      <c r="AF728" s="225"/>
      <c r="AG728" s="225"/>
      <c r="AH728" s="225"/>
      <c r="AI728" s="225"/>
      <c r="AJ728" s="225"/>
      <c r="AK728" s="225"/>
      <c r="AL728" s="225"/>
      <c r="AM728" s="225"/>
      <c r="AN728" s="225"/>
      <c r="AO728" s="225"/>
      <c r="AP728" s="225"/>
      <c r="AQ728" s="225"/>
      <c r="AR728" s="225"/>
    </row>
    <row r="729" spans="1:44" ht="15.75" customHeight="1">
      <c r="A729" s="131"/>
      <c r="B729" s="131"/>
      <c r="C729" s="131"/>
      <c r="D729" s="131"/>
      <c r="E729" s="131"/>
      <c r="F729" s="131"/>
      <c r="G729" s="131"/>
      <c r="H729" s="131"/>
      <c r="I729" s="131"/>
      <c r="J729" s="131"/>
      <c r="K729" s="131"/>
      <c r="L729" s="225"/>
      <c r="M729" s="225"/>
      <c r="N729" s="225"/>
      <c r="O729" s="225"/>
      <c r="P729" s="225"/>
      <c r="Q729" s="225"/>
      <c r="R729" s="225"/>
      <c r="S729" s="225"/>
      <c r="T729" s="225"/>
      <c r="U729" s="225"/>
      <c r="V729" s="225"/>
      <c r="W729" s="225"/>
      <c r="X729" s="225"/>
      <c r="Y729" s="225"/>
      <c r="Z729" s="225"/>
      <c r="AA729" s="225"/>
      <c r="AB729" s="225"/>
      <c r="AC729" s="225"/>
      <c r="AD729" s="225"/>
      <c r="AE729" s="225"/>
      <c r="AF729" s="225"/>
      <c r="AG729" s="225"/>
      <c r="AH729" s="225"/>
      <c r="AI729" s="225"/>
      <c r="AJ729" s="225"/>
      <c r="AK729" s="225"/>
      <c r="AL729" s="225"/>
      <c r="AM729" s="225"/>
      <c r="AN729" s="225"/>
      <c r="AO729" s="225"/>
      <c r="AP729" s="225"/>
      <c r="AQ729" s="225"/>
      <c r="AR729" s="225"/>
    </row>
    <row r="730" spans="1:44" ht="15.75" customHeight="1">
      <c r="A730" s="131"/>
      <c r="B730" s="131"/>
      <c r="C730" s="131"/>
      <c r="D730" s="131"/>
      <c r="E730" s="131"/>
      <c r="F730" s="131"/>
      <c r="G730" s="131"/>
      <c r="H730" s="131"/>
      <c r="I730" s="131"/>
      <c r="J730" s="131"/>
      <c r="K730" s="131"/>
      <c r="L730" s="225"/>
      <c r="M730" s="225"/>
      <c r="N730" s="225"/>
      <c r="O730" s="225"/>
      <c r="P730" s="225"/>
      <c r="Q730" s="225"/>
      <c r="R730" s="225"/>
      <c r="S730" s="225"/>
      <c r="T730" s="225"/>
      <c r="U730" s="225"/>
      <c r="V730" s="225"/>
      <c r="W730" s="225"/>
      <c r="X730" s="225"/>
      <c r="Y730" s="225"/>
      <c r="Z730" s="225"/>
      <c r="AA730" s="225"/>
      <c r="AB730" s="225"/>
      <c r="AC730" s="225"/>
      <c r="AD730" s="225"/>
      <c r="AE730" s="225"/>
      <c r="AF730" s="225"/>
      <c r="AG730" s="225"/>
      <c r="AH730" s="225"/>
      <c r="AI730" s="225"/>
      <c r="AJ730" s="225"/>
      <c r="AK730" s="225"/>
      <c r="AL730" s="225"/>
      <c r="AM730" s="225"/>
      <c r="AN730" s="225"/>
      <c r="AO730" s="225"/>
      <c r="AP730" s="225"/>
      <c r="AQ730" s="225"/>
      <c r="AR730" s="225"/>
    </row>
    <row r="731" spans="1:44" ht="15.75" customHeight="1">
      <c r="A731" s="131"/>
      <c r="B731" s="131"/>
      <c r="C731" s="131"/>
      <c r="D731" s="131"/>
      <c r="E731" s="131"/>
      <c r="F731" s="131"/>
      <c r="G731" s="131"/>
      <c r="H731" s="131"/>
      <c r="I731" s="131"/>
      <c r="J731" s="131"/>
      <c r="K731" s="131"/>
      <c r="L731" s="225"/>
      <c r="M731" s="225"/>
      <c r="N731" s="225"/>
      <c r="O731" s="225"/>
      <c r="P731" s="225"/>
      <c r="Q731" s="225"/>
      <c r="R731" s="225"/>
      <c r="S731" s="225"/>
      <c r="T731" s="225"/>
      <c r="U731" s="225"/>
      <c r="V731" s="225"/>
      <c r="W731" s="225"/>
      <c r="X731" s="225"/>
      <c r="Y731" s="225"/>
      <c r="Z731" s="225"/>
      <c r="AA731" s="225"/>
      <c r="AB731" s="225"/>
      <c r="AC731" s="225"/>
      <c r="AD731" s="225"/>
      <c r="AE731" s="225"/>
      <c r="AF731" s="225"/>
      <c r="AG731" s="225"/>
      <c r="AH731" s="225"/>
      <c r="AI731" s="225"/>
      <c r="AJ731" s="225"/>
      <c r="AK731" s="225"/>
      <c r="AL731" s="225"/>
      <c r="AM731" s="225"/>
      <c r="AN731" s="225"/>
      <c r="AO731" s="225"/>
      <c r="AP731" s="225"/>
      <c r="AQ731" s="225"/>
      <c r="AR731" s="225"/>
    </row>
    <row r="732" spans="1:44" ht="15.75" customHeight="1">
      <c r="A732" s="131"/>
      <c r="B732" s="131"/>
      <c r="C732" s="131"/>
      <c r="D732" s="131"/>
      <c r="E732" s="131"/>
      <c r="F732" s="131"/>
      <c r="G732" s="131"/>
      <c r="H732" s="131"/>
      <c r="I732" s="131"/>
      <c r="J732" s="131"/>
      <c r="K732" s="131"/>
      <c r="L732" s="225"/>
      <c r="M732" s="225"/>
      <c r="N732" s="225"/>
      <c r="O732" s="225"/>
      <c r="P732" s="225"/>
      <c r="Q732" s="225"/>
      <c r="R732" s="225"/>
      <c r="S732" s="225"/>
      <c r="T732" s="225"/>
      <c r="U732" s="225"/>
      <c r="V732" s="225"/>
      <c r="W732" s="225"/>
      <c r="X732" s="225"/>
      <c r="Y732" s="225"/>
      <c r="Z732" s="225"/>
      <c r="AA732" s="225"/>
      <c r="AB732" s="225"/>
      <c r="AC732" s="225"/>
      <c r="AD732" s="225"/>
      <c r="AE732" s="225"/>
      <c r="AF732" s="225"/>
      <c r="AG732" s="225"/>
      <c r="AH732" s="225"/>
      <c r="AI732" s="225"/>
      <c r="AJ732" s="225"/>
      <c r="AK732" s="225"/>
      <c r="AL732" s="225"/>
      <c r="AM732" s="225"/>
      <c r="AN732" s="225"/>
      <c r="AO732" s="225"/>
      <c r="AP732" s="225"/>
      <c r="AQ732" s="225"/>
      <c r="AR732" s="225"/>
    </row>
    <row r="733" spans="1:44" ht="15.75" customHeight="1">
      <c r="A733" s="131"/>
      <c r="B733" s="131"/>
      <c r="C733" s="131"/>
      <c r="D733" s="131"/>
      <c r="E733" s="131"/>
      <c r="F733" s="131"/>
      <c r="G733" s="131"/>
      <c r="H733" s="131"/>
      <c r="I733" s="131"/>
      <c r="J733" s="131"/>
      <c r="K733" s="131"/>
      <c r="L733" s="225"/>
      <c r="M733" s="225"/>
      <c r="N733" s="225"/>
      <c r="O733" s="225"/>
      <c r="P733" s="225"/>
      <c r="Q733" s="225"/>
      <c r="R733" s="225"/>
      <c r="S733" s="225"/>
      <c r="T733" s="225"/>
      <c r="U733" s="225"/>
      <c r="V733" s="225"/>
      <c r="W733" s="225"/>
      <c r="X733" s="225"/>
      <c r="Y733" s="225"/>
      <c r="Z733" s="225"/>
      <c r="AA733" s="225"/>
      <c r="AB733" s="225"/>
      <c r="AC733" s="225"/>
      <c r="AD733" s="225"/>
      <c r="AE733" s="225"/>
      <c r="AF733" s="225"/>
      <c r="AG733" s="225"/>
      <c r="AH733" s="225"/>
      <c r="AI733" s="225"/>
      <c r="AJ733" s="225"/>
      <c r="AK733" s="225"/>
      <c r="AL733" s="225"/>
      <c r="AM733" s="225"/>
      <c r="AN733" s="225"/>
      <c r="AO733" s="225"/>
      <c r="AP733" s="225"/>
      <c r="AQ733" s="225"/>
      <c r="AR733" s="225"/>
    </row>
    <row r="734" spans="1:44" ht="15.75" customHeight="1">
      <c r="A734" s="131"/>
      <c r="B734" s="131"/>
      <c r="C734" s="131"/>
      <c r="D734" s="131"/>
      <c r="E734" s="131"/>
      <c r="F734" s="131"/>
      <c r="G734" s="131"/>
      <c r="H734" s="131"/>
      <c r="I734" s="131"/>
      <c r="J734" s="131"/>
      <c r="K734" s="131"/>
      <c r="L734" s="225"/>
      <c r="M734" s="225"/>
      <c r="N734" s="225"/>
      <c r="O734" s="225"/>
      <c r="P734" s="225"/>
      <c r="Q734" s="225"/>
      <c r="R734" s="225"/>
      <c r="S734" s="225"/>
      <c r="T734" s="225"/>
      <c r="U734" s="225"/>
      <c r="V734" s="225"/>
      <c r="W734" s="225"/>
      <c r="X734" s="225"/>
      <c r="Y734" s="225"/>
      <c r="Z734" s="225"/>
      <c r="AA734" s="225"/>
      <c r="AB734" s="225"/>
      <c r="AC734" s="225"/>
      <c r="AD734" s="225"/>
      <c r="AE734" s="225"/>
      <c r="AF734" s="225"/>
      <c r="AG734" s="225"/>
      <c r="AH734" s="225"/>
      <c r="AI734" s="225"/>
      <c r="AJ734" s="225"/>
      <c r="AK734" s="225"/>
      <c r="AL734" s="225"/>
      <c r="AM734" s="225"/>
      <c r="AN734" s="225"/>
      <c r="AO734" s="225"/>
      <c r="AP734" s="225"/>
      <c r="AQ734" s="225"/>
      <c r="AR734" s="225"/>
    </row>
    <row r="735" spans="1:44" ht="15.75" customHeight="1">
      <c r="A735" s="131"/>
      <c r="B735" s="131"/>
      <c r="C735" s="131"/>
      <c r="D735" s="131"/>
      <c r="E735" s="131"/>
      <c r="F735" s="131"/>
      <c r="G735" s="131"/>
      <c r="H735" s="131"/>
      <c r="I735" s="131"/>
      <c r="J735" s="131"/>
      <c r="K735" s="131"/>
      <c r="L735" s="225"/>
      <c r="M735" s="225"/>
      <c r="N735" s="225"/>
      <c r="O735" s="225"/>
      <c r="P735" s="225"/>
      <c r="Q735" s="225"/>
      <c r="R735" s="225"/>
      <c r="S735" s="225"/>
      <c r="T735" s="225"/>
      <c r="U735" s="225"/>
      <c r="V735" s="225"/>
      <c r="W735" s="225"/>
      <c r="X735" s="225"/>
      <c r="Y735" s="225"/>
      <c r="Z735" s="225"/>
      <c r="AA735" s="225"/>
      <c r="AB735" s="225"/>
      <c r="AC735" s="225"/>
      <c r="AD735" s="225"/>
      <c r="AE735" s="225"/>
      <c r="AF735" s="225"/>
      <c r="AG735" s="225"/>
      <c r="AH735" s="225"/>
      <c r="AI735" s="225"/>
      <c r="AJ735" s="225"/>
      <c r="AK735" s="225"/>
      <c r="AL735" s="225"/>
      <c r="AM735" s="225"/>
      <c r="AN735" s="225"/>
      <c r="AO735" s="225"/>
      <c r="AP735" s="225"/>
      <c r="AQ735" s="225"/>
      <c r="AR735" s="225"/>
    </row>
    <row r="736" spans="1:44" ht="15.75" customHeight="1">
      <c r="A736" s="131"/>
      <c r="B736" s="131"/>
      <c r="C736" s="131"/>
      <c r="D736" s="131"/>
      <c r="E736" s="131"/>
      <c r="F736" s="131"/>
      <c r="G736" s="131"/>
      <c r="H736" s="131"/>
      <c r="I736" s="131"/>
      <c r="J736" s="131"/>
      <c r="K736" s="131"/>
      <c r="L736" s="225"/>
      <c r="M736" s="225"/>
      <c r="N736" s="225"/>
      <c r="O736" s="225"/>
      <c r="P736" s="225"/>
      <c r="Q736" s="225"/>
      <c r="R736" s="225"/>
      <c r="S736" s="225"/>
      <c r="T736" s="225"/>
      <c r="U736" s="225"/>
      <c r="V736" s="225"/>
      <c r="W736" s="225"/>
      <c r="X736" s="225"/>
      <c r="Y736" s="225"/>
      <c r="Z736" s="225"/>
      <c r="AA736" s="225"/>
      <c r="AB736" s="225"/>
      <c r="AC736" s="225"/>
      <c r="AD736" s="225"/>
      <c r="AE736" s="225"/>
      <c r="AF736" s="225"/>
      <c r="AG736" s="225"/>
      <c r="AH736" s="225"/>
      <c r="AI736" s="225"/>
      <c r="AJ736" s="225"/>
      <c r="AK736" s="225"/>
      <c r="AL736" s="225"/>
      <c r="AM736" s="225"/>
      <c r="AN736" s="225"/>
      <c r="AO736" s="225"/>
      <c r="AP736" s="225"/>
      <c r="AQ736" s="225"/>
      <c r="AR736" s="225"/>
    </row>
    <row r="737" spans="1:44" ht="15.75" customHeight="1">
      <c r="A737" s="131"/>
      <c r="B737" s="131"/>
      <c r="C737" s="131"/>
      <c r="D737" s="131"/>
      <c r="E737" s="131"/>
      <c r="F737" s="131"/>
      <c r="G737" s="131"/>
      <c r="H737" s="131"/>
      <c r="I737" s="131"/>
      <c r="J737" s="131"/>
      <c r="K737" s="131"/>
      <c r="L737" s="225"/>
      <c r="M737" s="225"/>
      <c r="N737" s="225"/>
      <c r="O737" s="225"/>
      <c r="P737" s="225"/>
      <c r="Q737" s="225"/>
      <c r="R737" s="225"/>
      <c r="S737" s="225"/>
      <c r="T737" s="225"/>
      <c r="U737" s="225"/>
      <c r="V737" s="225"/>
      <c r="W737" s="225"/>
      <c r="X737" s="225"/>
      <c r="Y737" s="225"/>
      <c r="Z737" s="225"/>
      <c r="AA737" s="225"/>
      <c r="AB737" s="225"/>
      <c r="AC737" s="225"/>
      <c r="AD737" s="225"/>
      <c r="AE737" s="225"/>
      <c r="AF737" s="225"/>
      <c r="AG737" s="225"/>
      <c r="AH737" s="225"/>
      <c r="AI737" s="225"/>
      <c r="AJ737" s="225"/>
      <c r="AK737" s="225"/>
      <c r="AL737" s="225"/>
      <c r="AM737" s="225"/>
      <c r="AN737" s="225"/>
      <c r="AO737" s="225"/>
      <c r="AP737" s="225"/>
      <c r="AQ737" s="225"/>
      <c r="AR737" s="225"/>
    </row>
    <row r="738" spans="1:44" ht="15.75" customHeight="1">
      <c r="A738" s="131"/>
      <c r="B738" s="131"/>
      <c r="C738" s="131"/>
      <c r="D738" s="131"/>
      <c r="E738" s="131"/>
      <c r="F738" s="131"/>
      <c r="G738" s="131"/>
      <c r="H738" s="131"/>
      <c r="I738" s="131"/>
      <c r="J738" s="131"/>
      <c r="K738" s="131"/>
      <c r="L738" s="225"/>
      <c r="M738" s="225"/>
      <c r="N738" s="225"/>
      <c r="O738" s="225"/>
      <c r="P738" s="225"/>
      <c r="Q738" s="225"/>
      <c r="R738" s="225"/>
      <c r="S738" s="225"/>
      <c r="T738" s="225"/>
      <c r="U738" s="225"/>
      <c r="V738" s="225"/>
      <c r="W738" s="225"/>
      <c r="X738" s="225"/>
      <c r="Y738" s="225"/>
      <c r="Z738" s="225"/>
      <c r="AA738" s="225"/>
      <c r="AB738" s="225"/>
      <c r="AC738" s="225"/>
      <c r="AD738" s="225"/>
      <c r="AE738" s="225"/>
      <c r="AF738" s="225"/>
      <c r="AG738" s="225"/>
      <c r="AH738" s="225"/>
      <c r="AI738" s="225"/>
      <c r="AJ738" s="225"/>
      <c r="AK738" s="225"/>
      <c r="AL738" s="225"/>
      <c r="AM738" s="225"/>
      <c r="AN738" s="225"/>
      <c r="AO738" s="225"/>
      <c r="AP738" s="225"/>
      <c r="AQ738" s="225"/>
      <c r="AR738" s="225"/>
    </row>
    <row r="739" spans="1:44" ht="15.75" customHeight="1">
      <c r="A739" s="131"/>
      <c r="B739" s="131"/>
      <c r="C739" s="131"/>
      <c r="D739" s="131"/>
      <c r="E739" s="131"/>
      <c r="F739" s="131"/>
      <c r="G739" s="131"/>
      <c r="H739" s="131"/>
      <c r="I739" s="131"/>
      <c r="J739" s="131"/>
      <c r="K739" s="131"/>
      <c r="L739" s="225"/>
      <c r="M739" s="225"/>
      <c r="N739" s="225"/>
      <c r="O739" s="225"/>
      <c r="P739" s="225"/>
      <c r="Q739" s="225"/>
      <c r="R739" s="225"/>
      <c r="S739" s="225"/>
      <c r="T739" s="225"/>
      <c r="U739" s="225"/>
      <c r="V739" s="225"/>
      <c r="W739" s="225"/>
      <c r="X739" s="225"/>
      <c r="Y739" s="225"/>
      <c r="Z739" s="225"/>
      <c r="AA739" s="225"/>
      <c r="AB739" s="225"/>
      <c r="AC739" s="225"/>
      <c r="AD739" s="225"/>
      <c r="AE739" s="225"/>
      <c r="AF739" s="225"/>
      <c r="AG739" s="225"/>
      <c r="AH739" s="225"/>
      <c r="AI739" s="225"/>
      <c r="AJ739" s="225"/>
      <c r="AK739" s="225"/>
      <c r="AL739" s="225"/>
      <c r="AM739" s="225"/>
      <c r="AN739" s="225"/>
      <c r="AO739" s="225"/>
      <c r="AP739" s="225"/>
      <c r="AQ739" s="225"/>
      <c r="AR739" s="225"/>
    </row>
    <row r="740" spans="1:44" ht="15.75" customHeight="1">
      <c r="A740" s="131"/>
      <c r="B740" s="131"/>
      <c r="C740" s="131"/>
      <c r="D740" s="131"/>
      <c r="E740" s="131"/>
      <c r="F740" s="131"/>
      <c r="G740" s="131"/>
      <c r="H740" s="131"/>
      <c r="I740" s="131"/>
      <c r="J740" s="131"/>
      <c r="K740" s="131"/>
      <c r="L740" s="225"/>
      <c r="M740" s="225"/>
      <c r="N740" s="225"/>
      <c r="O740" s="225"/>
      <c r="P740" s="225"/>
      <c r="Q740" s="225"/>
      <c r="R740" s="225"/>
      <c r="S740" s="225"/>
      <c r="T740" s="225"/>
      <c r="U740" s="225"/>
      <c r="V740" s="225"/>
      <c r="W740" s="225"/>
      <c r="X740" s="225"/>
      <c r="Y740" s="225"/>
      <c r="Z740" s="225"/>
      <c r="AA740" s="225"/>
      <c r="AB740" s="225"/>
      <c r="AC740" s="225"/>
      <c r="AD740" s="225"/>
      <c r="AE740" s="225"/>
      <c r="AF740" s="225"/>
      <c r="AG740" s="225"/>
      <c r="AH740" s="225"/>
      <c r="AI740" s="225"/>
      <c r="AJ740" s="225"/>
      <c r="AK740" s="225"/>
      <c r="AL740" s="225"/>
      <c r="AM740" s="225"/>
      <c r="AN740" s="225"/>
      <c r="AO740" s="225"/>
      <c r="AP740" s="225"/>
      <c r="AQ740" s="225"/>
      <c r="AR740" s="225"/>
    </row>
    <row r="741" spans="1:44" ht="15.75" customHeight="1">
      <c r="A741" s="131"/>
      <c r="B741" s="131"/>
      <c r="C741" s="131"/>
      <c r="D741" s="131"/>
      <c r="E741" s="131"/>
      <c r="F741" s="131"/>
      <c r="G741" s="131"/>
      <c r="H741" s="131"/>
      <c r="I741" s="131"/>
      <c r="J741" s="131"/>
      <c r="K741" s="131"/>
      <c r="L741" s="225"/>
      <c r="M741" s="225"/>
      <c r="N741" s="225"/>
      <c r="O741" s="225"/>
      <c r="P741" s="225"/>
      <c r="Q741" s="225"/>
      <c r="R741" s="225"/>
      <c r="S741" s="225"/>
      <c r="T741" s="225"/>
      <c r="U741" s="225"/>
      <c r="V741" s="225"/>
      <c r="W741" s="225"/>
      <c r="X741" s="225"/>
      <c r="Y741" s="225"/>
      <c r="Z741" s="225"/>
      <c r="AA741" s="225"/>
      <c r="AB741" s="225"/>
      <c r="AC741" s="225"/>
      <c r="AD741" s="225"/>
      <c r="AE741" s="225"/>
      <c r="AF741" s="225"/>
      <c r="AG741" s="225"/>
      <c r="AH741" s="225"/>
      <c r="AI741" s="225"/>
      <c r="AJ741" s="225"/>
      <c r="AK741" s="225"/>
      <c r="AL741" s="225"/>
      <c r="AM741" s="225"/>
      <c r="AN741" s="225"/>
      <c r="AO741" s="225"/>
      <c r="AP741" s="225"/>
      <c r="AQ741" s="225"/>
      <c r="AR741" s="225"/>
    </row>
    <row r="742" spans="1:44" ht="15.75" customHeight="1">
      <c r="A742" s="131"/>
      <c r="B742" s="131"/>
      <c r="C742" s="131"/>
      <c r="D742" s="131"/>
      <c r="E742" s="131"/>
      <c r="F742" s="131"/>
      <c r="G742" s="131"/>
      <c r="H742" s="131"/>
      <c r="I742" s="131"/>
      <c r="J742" s="131"/>
      <c r="K742" s="131"/>
      <c r="L742" s="225"/>
      <c r="M742" s="225"/>
      <c r="N742" s="225"/>
      <c r="O742" s="225"/>
      <c r="P742" s="225"/>
      <c r="Q742" s="225"/>
      <c r="R742" s="225"/>
      <c r="S742" s="225"/>
      <c r="T742" s="225"/>
      <c r="U742" s="225"/>
      <c r="V742" s="225"/>
      <c r="W742" s="225"/>
      <c r="X742" s="225"/>
      <c r="Y742" s="225"/>
      <c r="Z742" s="225"/>
      <c r="AA742" s="225"/>
      <c r="AB742" s="225"/>
      <c r="AC742" s="225"/>
      <c r="AD742" s="225"/>
      <c r="AE742" s="225"/>
      <c r="AF742" s="225"/>
      <c r="AG742" s="225"/>
      <c r="AH742" s="225"/>
      <c r="AI742" s="225"/>
      <c r="AJ742" s="225"/>
      <c r="AK742" s="225"/>
      <c r="AL742" s="225"/>
      <c r="AM742" s="225"/>
      <c r="AN742" s="225"/>
      <c r="AO742" s="225"/>
      <c r="AP742" s="225"/>
      <c r="AQ742" s="225"/>
      <c r="AR742" s="225"/>
    </row>
    <row r="743" spans="1:44" ht="15.75" customHeight="1">
      <c r="A743" s="131"/>
      <c r="B743" s="131"/>
      <c r="C743" s="131"/>
      <c r="D743" s="131"/>
      <c r="E743" s="131"/>
      <c r="F743" s="131"/>
      <c r="G743" s="131"/>
      <c r="H743" s="131"/>
      <c r="I743" s="131"/>
      <c r="J743" s="131"/>
      <c r="K743" s="131"/>
      <c r="L743" s="225"/>
      <c r="M743" s="225"/>
      <c r="N743" s="225"/>
      <c r="O743" s="225"/>
      <c r="P743" s="225"/>
      <c r="Q743" s="225"/>
      <c r="R743" s="225"/>
      <c r="S743" s="225"/>
      <c r="T743" s="225"/>
      <c r="U743" s="225"/>
      <c r="V743" s="225"/>
      <c r="W743" s="225"/>
      <c r="X743" s="225"/>
      <c r="Y743" s="225"/>
      <c r="Z743" s="225"/>
      <c r="AA743" s="225"/>
      <c r="AB743" s="225"/>
      <c r="AC743" s="225"/>
      <c r="AD743" s="225"/>
      <c r="AE743" s="225"/>
      <c r="AF743" s="225"/>
      <c r="AG743" s="225"/>
      <c r="AH743" s="225"/>
      <c r="AI743" s="225"/>
      <c r="AJ743" s="225"/>
      <c r="AK743" s="225"/>
      <c r="AL743" s="225"/>
      <c r="AM743" s="225"/>
      <c r="AN743" s="225"/>
      <c r="AO743" s="225"/>
      <c r="AP743" s="225"/>
      <c r="AQ743" s="225"/>
      <c r="AR743" s="225"/>
    </row>
    <row r="744" spans="1:44" ht="15.75" customHeight="1">
      <c r="A744" s="131"/>
      <c r="B744" s="131"/>
      <c r="C744" s="131"/>
      <c r="D744" s="131"/>
      <c r="E744" s="131"/>
      <c r="F744" s="131"/>
      <c r="G744" s="131"/>
      <c r="H744" s="131"/>
      <c r="I744" s="131"/>
      <c r="J744" s="131"/>
      <c r="K744" s="131"/>
      <c r="L744" s="225"/>
      <c r="M744" s="225"/>
      <c r="N744" s="225"/>
      <c r="O744" s="225"/>
      <c r="P744" s="225"/>
      <c r="Q744" s="225"/>
      <c r="R744" s="225"/>
      <c r="S744" s="225"/>
      <c r="T744" s="225"/>
      <c r="U744" s="225"/>
      <c r="V744" s="225"/>
      <c r="W744" s="225"/>
      <c r="X744" s="225"/>
      <c r="Y744" s="225"/>
      <c r="Z744" s="225"/>
      <c r="AA744" s="225"/>
      <c r="AB744" s="225"/>
      <c r="AC744" s="225"/>
      <c r="AD744" s="225"/>
      <c r="AE744" s="225"/>
      <c r="AF744" s="225"/>
      <c r="AG744" s="225"/>
      <c r="AH744" s="225"/>
      <c r="AI744" s="225"/>
      <c r="AJ744" s="225"/>
      <c r="AK744" s="225"/>
      <c r="AL744" s="225"/>
      <c r="AM744" s="225"/>
      <c r="AN744" s="225"/>
      <c r="AO744" s="225"/>
      <c r="AP744" s="225"/>
      <c r="AQ744" s="225"/>
      <c r="AR744" s="225"/>
    </row>
    <row r="745" spans="1:44" ht="15.75" customHeight="1">
      <c r="A745" s="131"/>
      <c r="B745" s="131"/>
      <c r="C745" s="131"/>
      <c r="D745" s="131"/>
      <c r="E745" s="131"/>
      <c r="F745" s="131"/>
      <c r="G745" s="131"/>
      <c r="H745" s="131"/>
      <c r="I745" s="131"/>
      <c r="J745" s="131"/>
      <c r="K745" s="131"/>
      <c r="L745" s="225"/>
      <c r="M745" s="225"/>
      <c r="N745" s="225"/>
      <c r="O745" s="225"/>
      <c r="P745" s="225"/>
      <c r="Q745" s="225"/>
      <c r="R745" s="225"/>
      <c r="S745" s="225"/>
      <c r="T745" s="225"/>
      <c r="U745" s="225"/>
      <c r="V745" s="225"/>
      <c r="W745" s="225"/>
      <c r="X745" s="225"/>
      <c r="Y745" s="225"/>
      <c r="Z745" s="225"/>
      <c r="AA745" s="225"/>
      <c r="AB745" s="225"/>
      <c r="AC745" s="225"/>
      <c r="AD745" s="225"/>
      <c r="AE745" s="225"/>
      <c r="AF745" s="225"/>
      <c r="AG745" s="225"/>
      <c r="AH745" s="225"/>
      <c r="AI745" s="225"/>
      <c r="AJ745" s="225"/>
      <c r="AK745" s="225"/>
      <c r="AL745" s="225"/>
      <c r="AM745" s="225"/>
      <c r="AN745" s="225"/>
      <c r="AO745" s="225"/>
      <c r="AP745" s="225"/>
      <c r="AQ745" s="225"/>
      <c r="AR745" s="225"/>
    </row>
    <row r="746" spans="1:44" ht="15.75" customHeight="1">
      <c r="A746" s="131"/>
      <c r="B746" s="131"/>
      <c r="C746" s="131"/>
      <c r="D746" s="131"/>
      <c r="E746" s="131"/>
      <c r="F746" s="131"/>
      <c r="G746" s="131"/>
      <c r="H746" s="131"/>
      <c r="I746" s="131"/>
      <c r="J746" s="131"/>
      <c r="K746" s="131"/>
      <c r="L746" s="225"/>
      <c r="M746" s="225"/>
      <c r="N746" s="225"/>
      <c r="O746" s="225"/>
      <c r="P746" s="225"/>
      <c r="Q746" s="225"/>
      <c r="R746" s="225"/>
      <c r="S746" s="225"/>
      <c r="T746" s="225"/>
      <c r="U746" s="225"/>
      <c r="V746" s="225"/>
      <c r="W746" s="225"/>
      <c r="X746" s="225"/>
      <c r="Y746" s="225"/>
      <c r="Z746" s="225"/>
      <c r="AA746" s="225"/>
      <c r="AB746" s="225"/>
      <c r="AC746" s="225"/>
      <c r="AD746" s="225"/>
      <c r="AE746" s="225"/>
      <c r="AF746" s="225"/>
      <c r="AG746" s="225"/>
      <c r="AH746" s="225"/>
      <c r="AI746" s="225"/>
      <c r="AJ746" s="225"/>
      <c r="AK746" s="225"/>
      <c r="AL746" s="225"/>
      <c r="AM746" s="225"/>
      <c r="AN746" s="225"/>
      <c r="AO746" s="225"/>
      <c r="AP746" s="225"/>
      <c r="AQ746" s="225"/>
      <c r="AR746" s="225"/>
    </row>
    <row r="747" spans="1:44" ht="15.75" customHeight="1">
      <c r="A747" s="131"/>
      <c r="B747" s="131"/>
      <c r="C747" s="131"/>
      <c r="D747" s="131"/>
      <c r="E747" s="131"/>
      <c r="F747" s="131"/>
      <c r="G747" s="131"/>
      <c r="H747" s="131"/>
      <c r="I747" s="131"/>
      <c r="J747" s="131"/>
      <c r="K747" s="131"/>
      <c r="L747" s="225"/>
      <c r="M747" s="225"/>
      <c r="N747" s="225"/>
      <c r="O747" s="225"/>
      <c r="P747" s="225"/>
      <c r="Q747" s="225"/>
      <c r="R747" s="225"/>
      <c r="S747" s="225"/>
      <c r="T747" s="225"/>
      <c r="U747" s="225"/>
      <c r="V747" s="225"/>
      <c r="W747" s="225"/>
      <c r="X747" s="225"/>
      <c r="Y747" s="225"/>
      <c r="Z747" s="225"/>
      <c r="AA747" s="225"/>
      <c r="AB747" s="225"/>
      <c r="AC747" s="225"/>
      <c r="AD747" s="225"/>
      <c r="AE747" s="225"/>
      <c r="AF747" s="225"/>
      <c r="AG747" s="225"/>
      <c r="AH747" s="225"/>
      <c r="AI747" s="225"/>
      <c r="AJ747" s="225"/>
      <c r="AK747" s="225"/>
      <c r="AL747" s="225"/>
      <c r="AM747" s="225"/>
      <c r="AN747" s="225"/>
      <c r="AO747" s="225"/>
      <c r="AP747" s="225"/>
      <c r="AQ747" s="225"/>
      <c r="AR747" s="225"/>
    </row>
    <row r="748" spans="1:44" ht="15.75" customHeight="1">
      <c r="A748" s="131"/>
      <c r="B748" s="131"/>
      <c r="C748" s="131"/>
      <c r="D748" s="131"/>
      <c r="E748" s="131"/>
      <c r="F748" s="131"/>
      <c r="G748" s="131"/>
      <c r="H748" s="131"/>
      <c r="I748" s="131"/>
      <c r="J748" s="131"/>
      <c r="K748" s="131"/>
      <c r="L748" s="225"/>
      <c r="M748" s="225"/>
      <c r="N748" s="225"/>
      <c r="O748" s="225"/>
      <c r="P748" s="225"/>
      <c r="Q748" s="225"/>
      <c r="R748" s="225"/>
      <c r="S748" s="225"/>
      <c r="T748" s="225"/>
      <c r="U748" s="225"/>
      <c r="V748" s="225"/>
      <c r="W748" s="225"/>
      <c r="X748" s="225"/>
      <c r="Y748" s="225"/>
      <c r="Z748" s="225"/>
      <c r="AA748" s="225"/>
      <c r="AB748" s="225"/>
      <c r="AC748" s="225"/>
      <c r="AD748" s="225"/>
      <c r="AE748" s="225"/>
      <c r="AF748" s="225"/>
      <c r="AG748" s="225"/>
      <c r="AH748" s="225"/>
      <c r="AI748" s="225"/>
      <c r="AJ748" s="225"/>
      <c r="AK748" s="225"/>
      <c r="AL748" s="225"/>
      <c r="AM748" s="225"/>
      <c r="AN748" s="225"/>
      <c r="AO748" s="225"/>
      <c r="AP748" s="225"/>
      <c r="AQ748" s="225"/>
      <c r="AR748" s="225"/>
    </row>
    <row r="749" spans="1:44" ht="15.75" customHeight="1">
      <c r="A749" s="131"/>
      <c r="B749" s="131"/>
      <c r="C749" s="131"/>
      <c r="D749" s="131"/>
      <c r="E749" s="131"/>
      <c r="F749" s="131"/>
      <c r="G749" s="131"/>
      <c r="H749" s="131"/>
      <c r="I749" s="131"/>
      <c r="J749" s="131"/>
      <c r="K749" s="131"/>
      <c r="L749" s="225"/>
      <c r="M749" s="225"/>
      <c r="N749" s="225"/>
      <c r="O749" s="225"/>
      <c r="P749" s="225"/>
      <c r="Q749" s="225"/>
      <c r="R749" s="225"/>
      <c r="S749" s="225"/>
      <c r="T749" s="225"/>
      <c r="U749" s="225"/>
      <c r="V749" s="225"/>
      <c r="W749" s="225"/>
      <c r="X749" s="225"/>
      <c r="Y749" s="225"/>
      <c r="Z749" s="225"/>
      <c r="AA749" s="225"/>
      <c r="AB749" s="225"/>
      <c r="AC749" s="225"/>
      <c r="AD749" s="225"/>
      <c r="AE749" s="225"/>
      <c r="AF749" s="225"/>
      <c r="AG749" s="225"/>
      <c r="AH749" s="225"/>
      <c r="AI749" s="225"/>
      <c r="AJ749" s="225"/>
      <c r="AK749" s="225"/>
      <c r="AL749" s="225"/>
      <c r="AM749" s="225"/>
      <c r="AN749" s="225"/>
      <c r="AO749" s="225"/>
      <c r="AP749" s="225"/>
      <c r="AQ749" s="225"/>
      <c r="AR749" s="225"/>
    </row>
    <row r="750" spans="1:44" ht="15.75" customHeight="1">
      <c r="A750" s="131"/>
      <c r="B750" s="131"/>
      <c r="C750" s="131"/>
      <c r="D750" s="131"/>
      <c r="E750" s="131"/>
      <c r="F750" s="131"/>
      <c r="G750" s="131"/>
      <c r="H750" s="131"/>
      <c r="I750" s="131"/>
      <c r="J750" s="131"/>
      <c r="K750" s="131"/>
      <c r="L750" s="225"/>
      <c r="M750" s="225"/>
      <c r="N750" s="225"/>
      <c r="O750" s="225"/>
      <c r="P750" s="225"/>
      <c r="Q750" s="225"/>
      <c r="R750" s="225"/>
      <c r="S750" s="225"/>
      <c r="T750" s="225"/>
      <c r="U750" s="225"/>
      <c r="V750" s="225"/>
      <c r="W750" s="225"/>
      <c r="X750" s="225"/>
      <c r="Y750" s="225"/>
      <c r="Z750" s="225"/>
      <c r="AA750" s="225"/>
      <c r="AB750" s="225"/>
      <c r="AC750" s="225"/>
      <c r="AD750" s="225"/>
      <c r="AE750" s="225"/>
      <c r="AF750" s="225"/>
      <c r="AG750" s="225"/>
      <c r="AH750" s="225"/>
      <c r="AI750" s="225"/>
      <c r="AJ750" s="225"/>
      <c r="AK750" s="225"/>
      <c r="AL750" s="225"/>
      <c r="AM750" s="225"/>
      <c r="AN750" s="225"/>
      <c r="AO750" s="225"/>
      <c r="AP750" s="225"/>
      <c r="AQ750" s="225"/>
      <c r="AR750" s="225"/>
    </row>
    <row r="751" spans="1:44" ht="15.75" customHeight="1">
      <c r="A751" s="131"/>
      <c r="B751" s="131"/>
      <c r="C751" s="131"/>
      <c r="D751" s="131"/>
      <c r="E751" s="131"/>
      <c r="F751" s="131"/>
      <c r="G751" s="131"/>
      <c r="H751" s="131"/>
      <c r="I751" s="131"/>
      <c r="J751" s="131"/>
      <c r="K751" s="131"/>
      <c r="L751" s="225"/>
      <c r="M751" s="225"/>
      <c r="N751" s="225"/>
      <c r="O751" s="225"/>
      <c r="P751" s="225"/>
      <c r="Q751" s="225"/>
      <c r="R751" s="225"/>
      <c r="S751" s="225"/>
      <c r="T751" s="225"/>
      <c r="U751" s="225"/>
      <c r="V751" s="225"/>
      <c r="W751" s="225"/>
      <c r="X751" s="225"/>
      <c r="Y751" s="225"/>
      <c r="Z751" s="225"/>
      <c r="AA751" s="225"/>
      <c r="AB751" s="225"/>
      <c r="AC751" s="225"/>
      <c r="AD751" s="225"/>
      <c r="AE751" s="225"/>
      <c r="AF751" s="225"/>
      <c r="AG751" s="225"/>
      <c r="AH751" s="225"/>
      <c r="AI751" s="225"/>
      <c r="AJ751" s="225"/>
      <c r="AK751" s="225"/>
      <c r="AL751" s="225"/>
      <c r="AM751" s="225"/>
      <c r="AN751" s="225"/>
      <c r="AO751" s="225"/>
      <c r="AP751" s="225"/>
      <c r="AQ751" s="225"/>
      <c r="AR751" s="225"/>
    </row>
    <row r="752" spans="1:44" ht="15.75" customHeight="1">
      <c r="A752" s="131"/>
      <c r="B752" s="131"/>
      <c r="C752" s="131"/>
      <c r="D752" s="131"/>
      <c r="E752" s="131"/>
      <c r="F752" s="131"/>
      <c r="G752" s="131"/>
      <c r="H752" s="131"/>
      <c r="I752" s="131"/>
      <c r="J752" s="131"/>
      <c r="K752" s="131"/>
      <c r="L752" s="225"/>
      <c r="M752" s="225"/>
      <c r="N752" s="225"/>
      <c r="O752" s="225"/>
      <c r="P752" s="225"/>
      <c r="Q752" s="225"/>
      <c r="R752" s="225"/>
      <c r="S752" s="225"/>
      <c r="T752" s="225"/>
      <c r="U752" s="225"/>
      <c r="V752" s="225"/>
      <c r="W752" s="225"/>
      <c r="X752" s="225"/>
      <c r="Y752" s="225"/>
      <c r="Z752" s="225"/>
      <c r="AA752" s="225"/>
      <c r="AB752" s="225"/>
      <c r="AC752" s="225"/>
      <c r="AD752" s="225"/>
      <c r="AE752" s="225"/>
      <c r="AF752" s="225"/>
      <c r="AG752" s="225"/>
      <c r="AH752" s="225"/>
      <c r="AI752" s="225"/>
      <c r="AJ752" s="225"/>
      <c r="AK752" s="225"/>
      <c r="AL752" s="225"/>
      <c r="AM752" s="225"/>
      <c r="AN752" s="225"/>
      <c r="AO752" s="225"/>
      <c r="AP752" s="225"/>
      <c r="AQ752" s="225"/>
      <c r="AR752" s="225"/>
    </row>
    <row r="753" spans="1:44" ht="15.75" customHeight="1">
      <c r="A753" s="131"/>
      <c r="B753" s="131"/>
      <c r="C753" s="131"/>
      <c r="D753" s="131"/>
      <c r="E753" s="131"/>
      <c r="F753" s="131"/>
      <c r="G753" s="131"/>
      <c r="H753" s="131"/>
      <c r="I753" s="131"/>
      <c r="J753" s="131"/>
      <c r="K753" s="131"/>
      <c r="L753" s="225"/>
      <c r="M753" s="225"/>
      <c r="N753" s="225"/>
      <c r="O753" s="225"/>
      <c r="P753" s="225"/>
      <c r="Q753" s="225"/>
      <c r="R753" s="225"/>
      <c r="S753" s="225"/>
      <c r="T753" s="225"/>
      <c r="U753" s="225"/>
      <c r="V753" s="225"/>
      <c r="W753" s="225"/>
      <c r="X753" s="225"/>
      <c r="Y753" s="225"/>
      <c r="Z753" s="225"/>
      <c r="AA753" s="225"/>
      <c r="AB753" s="225"/>
      <c r="AC753" s="225"/>
      <c r="AD753" s="225"/>
      <c r="AE753" s="225"/>
      <c r="AF753" s="225"/>
      <c r="AG753" s="225"/>
      <c r="AH753" s="225"/>
      <c r="AI753" s="225"/>
      <c r="AJ753" s="225"/>
      <c r="AK753" s="225"/>
      <c r="AL753" s="225"/>
      <c r="AM753" s="225"/>
      <c r="AN753" s="225"/>
      <c r="AO753" s="225"/>
      <c r="AP753" s="225"/>
      <c r="AQ753" s="225"/>
      <c r="AR753" s="225"/>
    </row>
    <row r="754" spans="1:44" ht="15.75" customHeight="1">
      <c r="A754" s="131"/>
      <c r="B754" s="131"/>
      <c r="C754" s="131"/>
      <c r="D754" s="131"/>
      <c r="E754" s="131"/>
      <c r="F754" s="131"/>
      <c r="G754" s="131"/>
      <c r="H754" s="131"/>
      <c r="I754" s="131"/>
      <c r="J754" s="131"/>
      <c r="K754" s="131"/>
      <c r="L754" s="225"/>
      <c r="M754" s="225"/>
      <c r="N754" s="225"/>
      <c r="O754" s="225"/>
      <c r="P754" s="225"/>
      <c r="Q754" s="225"/>
      <c r="R754" s="225"/>
      <c r="S754" s="225"/>
      <c r="T754" s="225"/>
      <c r="U754" s="225"/>
      <c r="V754" s="225"/>
      <c r="W754" s="225"/>
      <c r="X754" s="225"/>
      <c r="Y754" s="225"/>
      <c r="Z754" s="225"/>
      <c r="AA754" s="225"/>
      <c r="AB754" s="225"/>
      <c r="AC754" s="225"/>
      <c r="AD754" s="225"/>
      <c r="AE754" s="225"/>
      <c r="AF754" s="225"/>
      <c r="AG754" s="225"/>
      <c r="AH754" s="225"/>
      <c r="AI754" s="225"/>
      <c r="AJ754" s="225"/>
      <c r="AK754" s="225"/>
      <c r="AL754" s="225"/>
      <c r="AM754" s="225"/>
      <c r="AN754" s="225"/>
      <c r="AO754" s="225"/>
      <c r="AP754" s="225"/>
      <c r="AQ754" s="225"/>
      <c r="AR754" s="225"/>
    </row>
    <row r="755" spans="1:44" ht="15.75" customHeight="1">
      <c r="A755" s="131"/>
      <c r="B755" s="131"/>
      <c r="C755" s="131"/>
      <c r="D755" s="131"/>
      <c r="E755" s="131"/>
      <c r="F755" s="131"/>
      <c r="G755" s="131"/>
      <c r="H755" s="131"/>
      <c r="I755" s="131"/>
      <c r="J755" s="131"/>
      <c r="K755" s="131"/>
      <c r="L755" s="225"/>
      <c r="M755" s="225"/>
      <c r="N755" s="225"/>
      <c r="O755" s="225"/>
      <c r="P755" s="225"/>
      <c r="Q755" s="225"/>
      <c r="R755" s="225"/>
      <c r="S755" s="225"/>
      <c r="T755" s="225"/>
      <c r="U755" s="225"/>
      <c r="V755" s="225"/>
      <c r="W755" s="225"/>
      <c r="X755" s="225"/>
      <c r="Y755" s="225"/>
      <c r="Z755" s="225"/>
      <c r="AA755" s="225"/>
      <c r="AB755" s="225"/>
      <c r="AC755" s="225"/>
      <c r="AD755" s="225"/>
      <c r="AE755" s="225"/>
      <c r="AF755" s="225"/>
      <c r="AG755" s="225"/>
      <c r="AH755" s="225"/>
      <c r="AI755" s="225"/>
      <c r="AJ755" s="225"/>
      <c r="AK755" s="225"/>
      <c r="AL755" s="225"/>
      <c r="AM755" s="225"/>
      <c r="AN755" s="225"/>
      <c r="AO755" s="225"/>
      <c r="AP755" s="225"/>
      <c r="AQ755" s="225"/>
      <c r="AR755" s="225"/>
    </row>
    <row r="756" spans="1:44" ht="15.75" customHeight="1">
      <c r="A756" s="131"/>
      <c r="B756" s="131"/>
      <c r="C756" s="131"/>
      <c r="D756" s="131"/>
      <c r="E756" s="131"/>
      <c r="F756" s="131"/>
      <c r="G756" s="131"/>
      <c r="H756" s="131"/>
      <c r="I756" s="131"/>
      <c r="J756" s="131"/>
      <c r="K756" s="131"/>
      <c r="L756" s="225"/>
      <c r="M756" s="225"/>
      <c r="N756" s="225"/>
      <c r="O756" s="225"/>
      <c r="P756" s="225"/>
      <c r="Q756" s="225"/>
      <c r="R756" s="225"/>
      <c r="S756" s="225"/>
      <c r="T756" s="225"/>
      <c r="U756" s="225"/>
      <c r="V756" s="225"/>
      <c r="W756" s="225"/>
      <c r="X756" s="225"/>
      <c r="Y756" s="225"/>
      <c r="Z756" s="225"/>
      <c r="AA756" s="225"/>
      <c r="AB756" s="225"/>
      <c r="AC756" s="225"/>
      <c r="AD756" s="225"/>
      <c r="AE756" s="225"/>
      <c r="AF756" s="225"/>
      <c r="AG756" s="225"/>
      <c r="AH756" s="225"/>
      <c r="AI756" s="225"/>
      <c r="AJ756" s="225"/>
      <c r="AK756" s="225"/>
      <c r="AL756" s="225"/>
      <c r="AM756" s="225"/>
      <c r="AN756" s="225"/>
      <c r="AO756" s="225"/>
      <c r="AP756" s="225"/>
      <c r="AQ756" s="225"/>
      <c r="AR756" s="225"/>
    </row>
    <row r="757" spans="1:44" ht="15.75" customHeight="1">
      <c r="A757" s="131"/>
      <c r="B757" s="131"/>
      <c r="C757" s="131"/>
      <c r="D757" s="131"/>
      <c r="E757" s="131"/>
      <c r="F757" s="131"/>
      <c r="G757" s="131"/>
      <c r="H757" s="131"/>
      <c r="I757" s="131"/>
      <c r="J757" s="131"/>
      <c r="K757" s="131"/>
      <c r="L757" s="225"/>
      <c r="M757" s="225"/>
      <c r="N757" s="225"/>
      <c r="O757" s="225"/>
      <c r="P757" s="225"/>
      <c r="Q757" s="225"/>
      <c r="R757" s="225"/>
      <c r="S757" s="225"/>
      <c r="T757" s="225"/>
      <c r="U757" s="225"/>
      <c r="V757" s="225"/>
      <c r="W757" s="225"/>
      <c r="X757" s="225"/>
      <c r="Y757" s="225"/>
      <c r="Z757" s="225"/>
      <c r="AA757" s="225"/>
      <c r="AB757" s="225"/>
      <c r="AC757" s="225"/>
      <c r="AD757" s="225"/>
      <c r="AE757" s="225"/>
      <c r="AF757" s="225"/>
      <c r="AG757" s="225"/>
      <c r="AH757" s="225"/>
      <c r="AI757" s="225"/>
      <c r="AJ757" s="225"/>
      <c r="AK757" s="225"/>
      <c r="AL757" s="225"/>
      <c r="AM757" s="225"/>
      <c r="AN757" s="225"/>
      <c r="AO757" s="225"/>
      <c r="AP757" s="225"/>
      <c r="AQ757" s="225"/>
      <c r="AR757" s="225"/>
    </row>
    <row r="758" spans="1:44" ht="15.75" customHeight="1">
      <c r="A758" s="131"/>
      <c r="B758" s="131"/>
      <c r="C758" s="131"/>
      <c r="D758" s="131"/>
      <c r="E758" s="131"/>
      <c r="F758" s="131"/>
      <c r="G758" s="131"/>
      <c r="H758" s="131"/>
      <c r="I758" s="131"/>
      <c r="J758" s="131"/>
      <c r="K758" s="131"/>
      <c r="L758" s="225"/>
      <c r="M758" s="225"/>
      <c r="N758" s="225"/>
      <c r="O758" s="225"/>
      <c r="P758" s="225"/>
      <c r="Q758" s="225"/>
      <c r="R758" s="225"/>
      <c r="S758" s="225"/>
      <c r="T758" s="225"/>
      <c r="U758" s="225"/>
      <c r="V758" s="225"/>
      <c r="W758" s="225"/>
      <c r="X758" s="225"/>
      <c r="Y758" s="225"/>
      <c r="Z758" s="225"/>
      <c r="AA758" s="225"/>
      <c r="AB758" s="225"/>
      <c r="AC758" s="225"/>
      <c r="AD758" s="225"/>
      <c r="AE758" s="225"/>
      <c r="AF758" s="225"/>
      <c r="AG758" s="225"/>
      <c r="AH758" s="225"/>
      <c r="AI758" s="225"/>
      <c r="AJ758" s="225"/>
      <c r="AK758" s="225"/>
      <c r="AL758" s="225"/>
      <c r="AM758" s="225"/>
      <c r="AN758" s="225"/>
      <c r="AO758" s="225"/>
      <c r="AP758" s="225"/>
      <c r="AQ758" s="225"/>
      <c r="AR758" s="225"/>
    </row>
    <row r="759" spans="1:44" ht="15.75" customHeight="1">
      <c r="A759" s="131"/>
      <c r="B759" s="131"/>
      <c r="C759" s="131"/>
      <c r="D759" s="131"/>
      <c r="E759" s="131"/>
      <c r="F759" s="131"/>
      <c r="G759" s="131"/>
      <c r="H759" s="131"/>
      <c r="I759" s="131"/>
      <c r="J759" s="131"/>
      <c r="K759" s="131"/>
      <c r="L759" s="225"/>
      <c r="M759" s="225"/>
      <c r="N759" s="225"/>
      <c r="O759" s="225"/>
      <c r="P759" s="225"/>
      <c r="Q759" s="225"/>
      <c r="R759" s="225"/>
      <c r="S759" s="225"/>
      <c r="T759" s="225"/>
      <c r="U759" s="225"/>
      <c r="V759" s="225"/>
      <c r="W759" s="225"/>
      <c r="X759" s="225"/>
      <c r="Y759" s="225"/>
      <c r="Z759" s="225"/>
      <c r="AA759" s="225"/>
      <c r="AB759" s="225"/>
      <c r="AC759" s="225"/>
      <c r="AD759" s="225"/>
      <c r="AE759" s="225"/>
      <c r="AF759" s="225"/>
      <c r="AG759" s="225"/>
      <c r="AH759" s="225"/>
      <c r="AI759" s="225"/>
      <c r="AJ759" s="225"/>
      <c r="AK759" s="225"/>
      <c r="AL759" s="225"/>
      <c r="AM759" s="225"/>
      <c r="AN759" s="225"/>
      <c r="AO759" s="225"/>
      <c r="AP759" s="225"/>
      <c r="AQ759" s="225"/>
      <c r="AR759" s="225"/>
    </row>
    <row r="760" spans="1:44" ht="15.75" customHeight="1">
      <c r="A760" s="131"/>
      <c r="B760" s="131"/>
      <c r="C760" s="131"/>
      <c r="D760" s="131"/>
      <c r="E760" s="131"/>
      <c r="F760" s="131"/>
      <c r="G760" s="131"/>
      <c r="H760" s="131"/>
      <c r="I760" s="131"/>
      <c r="J760" s="131"/>
      <c r="K760" s="131"/>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row>
    <row r="761" spans="1:44" ht="15.75" customHeight="1">
      <c r="A761" s="131"/>
      <c r="B761" s="131"/>
      <c r="C761" s="131"/>
      <c r="D761" s="131"/>
      <c r="E761" s="131"/>
      <c r="F761" s="131"/>
      <c r="G761" s="131"/>
      <c r="H761" s="131"/>
      <c r="I761" s="131"/>
      <c r="J761" s="131"/>
      <c r="K761" s="131"/>
      <c r="L761" s="225"/>
      <c r="M761" s="225"/>
      <c r="N761" s="225"/>
      <c r="O761" s="225"/>
      <c r="P761" s="225"/>
      <c r="Q761" s="225"/>
      <c r="R761" s="225"/>
      <c r="S761" s="225"/>
      <c r="T761" s="225"/>
      <c r="U761" s="225"/>
      <c r="V761" s="225"/>
      <c r="W761" s="225"/>
      <c r="X761" s="225"/>
      <c r="Y761" s="225"/>
      <c r="Z761" s="225"/>
      <c r="AA761" s="225"/>
      <c r="AB761" s="225"/>
      <c r="AC761" s="225"/>
      <c r="AD761" s="225"/>
      <c r="AE761" s="225"/>
      <c r="AF761" s="225"/>
      <c r="AG761" s="225"/>
      <c r="AH761" s="225"/>
      <c r="AI761" s="225"/>
      <c r="AJ761" s="225"/>
      <c r="AK761" s="225"/>
      <c r="AL761" s="225"/>
      <c r="AM761" s="225"/>
      <c r="AN761" s="225"/>
      <c r="AO761" s="225"/>
      <c r="AP761" s="225"/>
      <c r="AQ761" s="225"/>
      <c r="AR761" s="225"/>
    </row>
    <row r="762" spans="1:44" ht="15.75" customHeight="1">
      <c r="A762" s="131"/>
      <c r="B762" s="131"/>
      <c r="C762" s="131"/>
      <c r="D762" s="131"/>
      <c r="E762" s="131"/>
      <c r="F762" s="131"/>
      <c r="G762" s="131"/>
      <c r="H762" s="131"/>
      <c r="I762" s="131"/>
      <c r="J762" s="131"/>
      <c r="K762" s="131"/>
      <c r="L762" s="225"/>
      <c r="M762" s="225"/>
      <c r="N762" s="225"/>
      <c r="O762" s="225"/>
      <c r="P762" s="225"/>
      <c r="Q762" s="225"/>
      <c r="R762" s="225"/>
      <c r="S762" s="225"/>
      <c r="T762" s="225"/>
      <c r="U762" s="225"/>
      <c r="V762" s="225"/>
      <c r="W762" s="225"/>
      <c r="X762" s="225"/>
      <c r="Y762" s="225"/>
      <c r="Z762" s="225"/>
      <c r="AA762" s="225"/>
      <c r="AB762" s="225"/>
      <c r="AC762" s="225"/>
      <c r="AD762" s="225"/>
      <c r="AE762" s="225"/>
      <c r="AF762" s="225"/>
      <c r="AG762" s="225"/>
      <c r="AH762" s="225"/>
      <c r="AI762" s="225"/>
      <c r="AJ762" s="225"/>
      <c r="AK762" s="225"/>
      <c r="AL762" s="225"/>
      <c r="AM762" s="225"/>
      <c r="AN762" s="225"/>
      <c r="AO762" s="225"/>
      <c r="AP762" s="225"/>
      <c r="AQ762" s="225"/>
      <c r="AR762" s="225"/>
    </row>
    <row r="763" spans="1:44" ht="15.75" customHeight="1">
      <c r="A763" s="131"/>
      <c r="B763" s="131"/>
      <c r="C763" s="131"/>
      <c r="D763" s="131"/>
      <c r="E763" s="131"/>
      <c r="F763" s="131"/>
      <c r="G763" s="131"/>
      <c r="H763" s="131"/>
      <c r="I763" s="131"/>
      <c r="J763" s="131"/>
      <c r="K763" s="131"/>
      <c r="L763" s="225"/>
      <c r="M763" s="225"/>
      <c r="N763" s="225"/>
      <c r="O763" s="225"/>
      <c r="P763" s="225"/>
      <c r="Q763" s="225"/>
      <c r="R763" s="225"/>
      <c r="S763" s="225"/>
      <c r="T763" s="225"/>
      <c r="U763" s="225"/>
      <c r="V763" s="225"/>
      <c r="W763" s="225"/>
      <c r="X763" s="225"/>
      <c r="Y763" s="225"/>
      <c r="Z763" s="225"/>
      <c r="AA763" s="225"/>
      <c r="AB763" s="225"/>
      <c r="AC763" s="225"/>
      <c r="AD763" s="225"/>
      <c r="AE763" s="225"/>
      <c r="AF763" s="225"/>
      <c r="AG763" s="225"/>
      <c r="AH763" s="225"/>
      <c r="AI763" s="225"/>
      <c r="AJ763" s="225"/>
      <c r="AK763" s="225"/>
      <c r="AL763" s="225"/>
      <c r="AM763" s="225"/>
      <c r="AN763" s="225"/>
      <c r="AO763" s="225"/>
      <c r="AP763" s="225"/>
      <c r="AQ763" s="225"/>
      <c r="AR763" s="225"/>
    </row>
    <row r="764" spans="1:44" ht="15.75" customHeight="1">
      <c r="A764" s="131"/>
      <c r="B764" s="131"/>
      <c r="C764" s="131"/>
      <c r="D764" s="131"/>
      <c r="E764" s="131"/>
      <c r="F764" s="131"/>
      <c r="G764" s="131"/>
      <c r="H764" s="131"/>
      <c r="I764" s="131"/>
      <c r="J764" s="131"/>
      <c r="K764" s="131"/>
      <c r="L764" s="225"/>
      <c r="M764" s="225"/>
      <c r="N764" s="225"/>
      <c r="O764" s="225"/>
      <c r="P764" s="225"/>
      <c r="Q764" s="225"/>
      <c r="R764" s="225"/>
      <c r="S764" s="225"/>
      <c r="T764" s="225"/>
      <c r="U764" s="225"/>
      <c r="V764" s="225"/>
      <c r="W764" s="225"/>
      <c r="X764" s="225"/>
      <c r="Y764" s="225"/>
      <c r="Z764" s="225"/>
      <c r="AA764" s="225"/>
      <c r="AB764" s="225"/>
      <c r="AC764" s="225"/>
      <c r="AD764" s="225"/>
      <c r="AE764" s="225"/>
      <c r="AF764" s="225"/>
      <c r="AG764" s="225"/>
      <c r="AH764" s="225"/>
      <c r="AI764" s="225"/>
      <c r="AJ764" s="225"/>
      <c r="AK764" s="225"/>
      <c r="AL764" s="225"/>
      <c r="AM764" s="225"/>
      <c r="AN764" s="225"/>
      <c r="AO764" s="225"/>
      <c r="AP764" s="225"/>
      <c r="AQ764" s="225"/>
      <c r="AR764" s="225"/>
    </row>
    <row r="765" spans="1:44" ht="15.75" customHeight="1">
      <c r="A765" s="131"/>
      <c r="B765" s="131"/>
      <c r="C765" s="131"/>
      <c r="D765" s="131"/>
      <c r="E765" s="131"/>
      <c r="F765" s="131"/>
      <c r="G765" s="131"/>
      <c r="H765" s="131"/>
      <c r="I765" s="131"/>
      <c r="J765" s="131"/>
      <c r="K765" s="131"/>
      <c r="L765" s="225"/>
      <c r="M765" s="225"/>
      <c r="N765" s="225"/>
      <c r="O765" s="225"/>
      <c r="P765" s="225"/>
      <c r="Q765" s="225"/>
      <c r="R765" s="225"/>
      <c r="S765" s="225"/>
      <c r="T765" s="225"/>
      <c r="U765" s="225"/>
      <c r="V765" s="225"/>
      <c r="W765" s="225"/>
      <c r="X765" s="225"/>
      <c r="Y765" s="225"/>
      <c r="Z765" s="225"/>
      <c r="AA765" s="225"/>
      <c r="AB765" s="225"/>
      <c r="AC765" s="225"/>
      <c r="AD765" s="225"/>
      <c r="AE765" s="225"/>
      <c r="AF765" s="225"/>
      <c r="AG765" s="225"/>
      <c r="AH765" s="225"/>
      <c r="AI765" s="225"/>
      <c r="AJ765" s="225"/>
      <c r="AK765" s="225"/>
      <c r="AL765" s="225"/>
      <c r="AM765" s="225"/>
      <c r="AN765" s="225"/>
      <c r="AO765" s="225"/>
      <c r="AP765" s="225"/>
      <c r="AQ765" s="225"/>
      <c r="AR765" s="225"/>
    </row>
    <row r="766" spans="1:44" ht="15.75" customHeight="1">
      <c r="A766" s="131"/>
      <c r="B766" s="131"/>
      <c r="C766" s="131"/>
      <c r="D766" s="131"/>
      <c r="E766" s="131"/>
      <c r="F766" s="131"/>
      <c r="G766" s="131"/>
      <c r="H766" s="131"/>
      <c r="I766" s="131"/>
      <c r="J766" s="131"/>
      <c r="K766" s="131"/>
      <c r="L766" s="225"/>
      <c r="M766" s="225"/>
      <c r="N766" s="225"/>
      <c r="O766" s="225"/>
      <c r="P766" s="225"/>
      <c r="Q766" s="225"/>
      <c r="R766" s="225"/>
      <c r="S766" s="225"/>
      <c r="T766" s="225"/>
      <c r="U766" s="225"/>
      <c r="V766" s="225"/>
      <c r="W766" s="225"/>
      <c r="X766" s="225"/>
      <c r="Y766" s="225"/>
      <c r="Z766" s="225"/>
      <c r="AA766" s="225"/>
      <c r="AB766" s="225"/>
      <c r="AC766" s="225"/>
      <c r="AD766" s="225"/>
      <c r="AE766" s="225"/>
      <c r="AF766" s="225"/>
      <c r="AG766" s="225"/>
      <c r="AH766" s="225"/>
      <c r="AI766" s="225"/>
      <c r="AJ766" s="225"/>
      <c r="AK766" s="225"/>
      <c r="AL766" s="225"/>
      <c r="AM766" s="225"/>
      <c r="AN766" s="225"/>
      <c r="AO766" s="225"/>
      <c r="AP766" s="225"/>
      <c r="AQ766" s="225"/>
      <c r="AR766" s="225"/>
    </row>
    <row r="767" spans="1:44" ht="15.75" customHeight="1">
      <c r="A767" s="131"/>
      <c r="B767" s="131"/>
      <c r="C767" s="131"/>
      <c r="D767" s="131"/>
      <c r="E767" s="131"/>
      <c r="F767" s="131"/>
      <c r="G767" s="131"/>
      <c r="H767" s="131"/>
      <c r="I767" s="131"/>
      <c r="J767" s="131"/>
      <c r="K767" s="131"/>
      <c r="L767" s="225"/>
      <c r="M767" s="225"/>
      <c r="N767" s="225"/>
      <c r="O767" s="225"/>
      <c r="P767" s="225"/>
      <c r="Q767" s="225"/>
      <c r="R767" s="225"/>
      <c r="S767" s="225"/>
      <c r="T767" s="225"/>
      <c r="U767" s="225"/>
      <c r="V767" s="225"/>
      <c r="W767" s="225"/>
      <c r="X767" s="225"/>
      <c r="Y767" s="225"/>
      <c r="Z767" s="225"/>
      <c r="AA767" s="225"/>
      <c r="AB767" s="225"/>
      <c r="AC767" s="225"/>
      <c r="AD767" s="225"/>
      <c r="AE767" s="225"/>
      <c r="AF767" s="225"/>
      <c r="AG767" s="225"/>
      <c r="AH767" s="225"/>
      <c r="AI767" s="225"/>
      <c r="AJ767" s="225"/>
      <c r="AK767" s="225"/>
      <c r="AL767" s="225"/>
      <c r="AM767" s="225"/>
      <c r="AN767" s="225"/>
      <c r="AO767" s="225"/>
      <c r="AP767" s="225"/>
      <c r="AQ767" s="225"/>
      <c r="AR767" s="225"/>
    </row>
    <row r="768" spans="1:44" ht="15.75" customHeight="1">
      <c r="A768" s="131"/>
      <c r="B768" s="131"/>
      <c r="C768" s="131"/>
      <c r="D768" s="131"/>
      <c r="E768" s="131"/>
      <c r="F768" s="131"/>
      <c r="G768" s="131"/>
      <c r="H768" s="131"/>
      <c r="I768" s="131"/>
      <c r="J768" s="131"/>
      <c r="K768" s="131"/>
      <c r="L768" s="225"/>
      <c r="M768" s="225"/>
      <c r="N768" s="225"/>
      <c r="O768" s="225"/>
      <c r="P768" s="225"/>
      <c r="Q768" s="225"/>
      <c r="R768" s="225"/>
      <c r="S768" s="225"/>
      <c r="T768" s="225"/>
      <c r="U768" s="225"/>
      <c r="V768" s="225"/>
      <c r="W768" s="225"/>
      <c r="X768" s="225"/>
      <c r="Y768" s="225"/>
      <c r="Z768" s="225"/>
      <c r="AA768" s="225"/>
      <c r="AB768" s="225"/>
      <c r="AC768" s="225"/>
      <c r="AD768" s="225"/>
      <c r="AE768" s="225"/>
      <c r="AF768" s="225"/>
      <c r="AG768" s="225"/>
      <c r="AH768" s="225"/>
      <c r="AI768" s="225"/>
      <c r="AJ768" s="225"/>
      <c r="AK768" s="225"/>
      <c r="AL768" s="225"/>
      <c r="AM768" s="225"/>
      <c r="AN768" s="225"/>
      <c r="AO768" s="225"/>
      <c r="AP768" s="225"/>
      <c r="AQ768" s="225"/>
      <c r="AR768" s="225"/>
    </row>
    <row r="769" spans="1:44" ht="15.75" customHeight="1">
      <c r="A769" s="131"/>
      <c r="B769" s="131"/>
      <c r="C769" s="131"/>
      <c r="D769" s="131"/>
      <c r="E769" s="131"/>
      <c r="F769" s="131"/>
      <c r="G769" s="131"/>
      <c r="H769" s="131"/>
      <c r="I769" s="131"/>
      <c r="J769" s="131"/>
      <c r="K769" s="131"/>
      <c r="L769" s="225"/>
      <c r="M769" s="225"/>
      <c r="N769" s="225"/>
      <c r="O769" s="225"/>
      <c r="P769" s="225"/>
      <c r="Q769" s="225"/>
      <c r="R769" s="225"/>
      <c r="S769" s="225"/>
      <c r="T769" s="225"/>
      <c r="U769" s="225"/>
      <c r="V769" s="225"/>
      <c r="W769" s="225"/>
      <c r="X769" s="225"/>
      <c r="Y769" s="225"/>
      <c r="Z769" s="225"/>
      <c r="AA769" s="225"/>
      <c r="AB769" s="225"/>
      <c r="AC769" s="225"/>
      <c r="AD769" s="225"/>
      <c r="AE769" s="225"/>
      <c r="AF769" s="225"/>
      <c r="AG769" s="225"/>
      <c r="AH769" s="225"/>
      <c r="AI769" s="225"/>
      <c r="AJ769" s="225"/>
      <c r="AK769" s="225"/>
      <c r="AL769" s="225"/>
      <c r="AM769" s="225"/>
      <c r="AN769" s="225"/>
      <c r="AO769" s="225"/>
      <c r="AP769" s="225"/>
      <c r="AQ769" s="225"/>
      <c r="AR769" s="225"/>
    </row>
    <row r="770" spans="1:44" ht="15.75" customHeight="1">
      <c r="A770" s="131"/>
      <c r="B770" s="131"/>
      <c r="C770" s="131"/>
      <c r="D770" s="131"/>
      <c r="E770" s="131"/>
      <c r="F770" s="131"/>
      <c r="G770" s="131"/>
      <c r="H770" s="131"/>
      <c r="I770" s="131"/>
      <c r="J770" s="131"/>
      <c r="K770" s="131"/>
      <c r="L770" s="225"/>
      <c r="M770" s="225"/>
      <c r="N770" s="225"/>
      <c r="O770" s="225"/>
      <c r="P770" s="225"/>
      <c r="Q770" s="225"/>
      <c r="R770" s="225"/>
      <c r="S770" s="225"/>
      <c r="T770" s="225"/>
      <c r="U770" s="225"/>
      <c r="V770" s="225"/>
      <c r="W770" s="225"/>
      <c r="X770" s="225"/>
      <c r="Y770" s="225"/>
      <c r="Z770" s="225"/>
      <c r="AA770" s="225"/>
      <c r="AB770" s="225"/>
      <c r="AC770" s="225"/>
      <c r="AD770" s="225"/>
      <c r="AE770" s="225"/>
      <c r="AF770" s="225"/>
      <c r="AG770" s="225"/>
      <c r="AH770" s="225"/>
      <c r="AI770" s="225"/>
      <c r="AJ770" s="225"/>
      <c r="AK770" s="225"/>
      <c r="AL770" s="225"/>
      <c r="AM770" s="225"/>
      <c r="AN770" s="225"/>
      <c r="AO770" s="225"/>
      <c r="AP770" s="225"/>
      <c r="AQ770" s="225"/>
      <c r="AR770" s="225"/>
    </row>
    <row r="771" spans="1:44" ht="15.75" customHeight="1">
      <c r="A771" s="131"/>
      <c r="B771" s="131"/>
      <c r="C771" s="131"/>
      <c r="D771" s="131"/>
      <c r="E771" s="131"/>
      <c r="F771" s="131"/>
      <c r="G771" s="131"/>
      <c r="H771" s="131"/>
      <c r="I771" s="131"/>
      <c r="J771" s="131"/>
      <c r="K771" s="131"/>
      <c r="L771" s="225"/>
      <c r="M771" s="225"/>
      <c r="N771" s="225"/>
      <c r="O771" s="225"/>
      <c r="P771" s="225"/>
      <c r="Q771" s="225"/>
      <c r="R771" s="225"/>
      <c r="S771" s="225"/>
      <c r="T771" s="225"/>
      <c r="U771" s="225"/>
      <c r="V771" s="225"/>
      <c r="W771" s="225"/>
      <c r="X771" s="225"/>
      <c r="Y771" s="225"/>
      <c r="Z771" s="225"/>
      <c r="AA771" s="225"/>
      <c r="AB771" s="225"/>
      <c r="AC771" s="225"/>
      <c r="AD771" s="225"/>
      <c r="AE771" s="225"/>
      <c r="AF771" s="225"/>
      <c r="AG771" s="225"/>
      <c r="AH771" s="225"/>
      <c r="AI771" s="225"/>
      <c r="AJ771" s="225"/>
      <c r="AK771" s="225"/>
      <c r="AL771" s="225"/>
      <c r="AM771" s="225"/>
      <c r="AN771" s="225"/>
      <c r="AO771" s="225"/>
      <c r="AP771" s="225"/>
      <c r="AQ771" s="225"/>
      <c r="AR771" s="225"/>
    </row>
    <row r="772" spans="1:44" ht="15.75" customHeight="1">
      <c r="A772" s="131"/>
      <c r="B772" s="131"/>
      <c r="C772" s="131"/>
      <c r="D772" s="131"/>
      <c r="E772" s="131"/>
      <c r="F772" s="131"/>
      <c r="G772" s="131"/>
      <c r="H772" s="131"/>
      <c r="I772" s="131"/>
      <c r="J772" s="131"/>
      <c r="K772" s="131"/>
      <c r="L772" s="225"/>
      <c r="M772" s="225"/>
      <c r="N772" s="225"/>
      <c r="O772" s="225"/>
      <c r="P772" s="225"/>
      <c r="Q772" s="225"/>
      <c r="R772" s="225"/>
      <c r="S772" s="225"/>
      <c r="T772" s="225"/>
      <c r="U772" s="225"/>
      <c r="V772" s="225"/>
      <c r="W772" s="225"/>
      <c r="X772" s="225"/>
      <c r="Y772" s="225"/>
      <c r="Z772" s="225"/>
      <c r="AA772" s="225"/>
      <c r="AB772" s="225"/>
      <c r="AC772" s="225"/>
      <c r="AD772" s="225"/>
      <c r="AE772" s="225"/>
      <c r="AF772" s="225"/>
      <c r="AG772" s="225"/>
      <c r="AH772" s="225"/>
      <c r="AI772" s="225"/>
      <c r="AJ772" s="225"/>
      <c r="AK772" s="225"/>
      <c r="AL772" s="225"/>
      <c r="AM772" s="225"/>
      <c r="AN772" s="225"/>
      <c r="AO772" s="225"/>
      <c r="AP772" s="225"/>
      <c r="AQ772" s="225"/>
      <c r="AR772" s="225"/>
    </row>
    <row r="773" spans="1:44" ht="15.75" customHeight="1">
      <c r="A773" s="131"/>
      <c r="B773" s="131"/>
      <c r="C773" s="131"/>
      <c r="D773" s="131"/>
      <c r="E773" s="131"/>
      <c r="F773" s="131"/>
      <c r="G773" s="131"/>
      <c r="H773" s="131"/>
      <c r="I773" s="131"/>
      <c r="J773" s="131"/>
      <c r="K773" s="131"/>
      <c r="L773" s="225"/>
      <c r="M773" s="225"/>
      <c r="N773" s="225"/>
      <c r="O773" s="225"/>
      <c r="P773" s="225"/>
      <c r="Q773" s="225"/>
      <c r="R773" s="225"/>
      <c r="S773" s="225"/>
      <c r="T773" s="225"/>
      <c r="U773" s="225"/>
      <c r="V773" s="225"/>
      <c r="W773" s="225"/>
      <c r="X773" s="225"/>
      <c r="Y773" s="225"/>
      <c r="Z773" s="225"/>
      <c r="AA773" s="225"/>
      <c r="AB773" s="225"/>
      <c r="AC773" s="225"/>
      <c r="AD773" s="225"/>
      <c r="AE773" s="225"/>
      <c r="AF773" s="225"/>
      <c r="AG773" s="225"/>
      <c r="AH773" s="225"/>
      <c r="AI773" s="225"/>
      <c r="AJ773" s="225"/>
      <c r="AK773" s="225"/>
      <c r="AL773" s="225"/>
      <c r="AM773" s="225"/>
      <c r="AN773" s="225"/>
      <c r="AO773" s="225"/>
      <c r="AP773" s="225"/>
      <c r="AQ773" s="225"/>
      <c r="AR773" s="225"/>
    </row>
    <row r="774" spans="1:44" ht="15.75" customHeight="1">
      <c r="A774" s="131"/>
      <c r="B774" s="131"/>
      <c r="C774" s="131"/>
      <c r="D774" s="131"/>
      <c r="E774" s="131"/>
      <c r="F774" s="131"/>
      <c r="G774" s="131"/>
      <c r="H774" s="131"/>
      <c r="I774" s="131"/>
      <c r="J774" s="131"/>
      <c r="K774" s="131"/>
      <c r="L774" s="225"/>
      <c r="M774" s="225"/>
      <c r="N774" s="225"/>
      <c r="O774" s="225"/>
      <c r="P774" s="225"/>
      <c r="Q774" s="225"/>
      <c r="R774" s="225"/>
      <c r="S774" s="225"/>
      <c r="T774" s="225"/>
      <c r="U774" s="225"/>
      <c r="V774" s="225"/>
      <c r="W774" s="225"/>
      <c r="X774" s="225"/>
      <c r="Y774" s="225"/>
      <c r="Z774" s="225"/>
      <c r="AA774" s="225"/>
      <c r="AB774" s="225"/>
      <c r="AC774" s="225"/>
      <c r="AD774" s="225"/>
      <c r="AE774" s="225"/>
      <c r="AF774" s="225"/>
      <c r="AG774" s="225"/>
      <c r="AH774" s="225"/>
      <c r="AI774" s="225"/>
      <c r="AJ774" s="225"/>
      <c r="AK774" s="225"/>
      <c r="AL774" s="225"/>
      <c r="AM774" s="225"/>
      <c r="AN774" s="225"/>
      <c r="AO774" s="225"/>
      <c r="AP774" s="225"/>
      <c r="AQ774" s="225"/>
      <c r="AR774" s="225"/>
    </row>
    <row r="775" spans="1:44" ht="15.75" customHeight="1">
      <c r="A775" s="131"/>
      <c r="B775" s="131"/>
      <c r="C775" s="131"/>
      <c r="D775" s="131"/>
      <c r="E775" s="131"/>
      <c r="F775" s="131"/>
      <c r="G775" s="131"/>
      <c r="H775" s="131"/>
      <c r="I775" s="131"/>
      <c r="J775" s="131"/>
      <c r="K775" s="131"/>
      <c r="L775" s="225"/>
      <c r="M775" s="225"/>
      <c r="N775" s="225"/>
      <c r="O775" s="225"/>
      <c r="P775" s="225"/>
      <c r="Q775" s="225"/>
      <c r="R775" s="225"/>
      <c r="S775" s="225"/>
      <c r="T775" s="225"/>
      <c r="U775" s="225"/>
      <c r="V775" s="225"/>
      <c r="W775" s="225"/>
      <c r="X775" s="225"/>
      <c r="Y775" s="225"/>
      <c r="Z775" s="225"/>
      <c r="AA775" s="225"/>
      <c r="AB775" s="225"/>
      <c r="AC775" s="225"/>
      <c r="AD775" s="225"/>
      <c r="AE775" s="225"/>
      <c r="AF775" s="225"/>
      <c r="AG775" s="225"/>
      <c r="AH775" s="225"/>
      <c r="AI775" s="225"/>
      <c r="AJ775" s="225"/>
      <c r="AK775" s="225"/>
      <c r="AL775" s="225"/>
      <c r="AM775" s="225"/>
      <c r="AN775" s="225"/>
      <c r="AO775" s="225"/>
      <c r="AP775" s="225"/>
      <c r="AQ775" s="225"/>
      <c r="AR775" s="225"/>
    </row>
    <row r="776" spans="1:44" ht="15.75" customHeight="1">
      <c r="A776" s="131"/>
      <c r="B776" s="131"/>
      <c r="C776" s="131"/>
      <c r="D776" s="131"/>
      <c r="E776" s="131"/>
      <c r="F776" s="131"/>
      <c r="G776" s="131"/>
      <c r="H776" s="131"/>
      <c r="I776" s="131"/>
      <c r="J776" s="131"/>
      <c r="K776" s="131"/>
      <c r="L776" s="225"/>
      <c r="M776" s="225"/>
      <c r="N776" s="225"/>
      <c r="O776" s="225"/>
      <c r="P776" s="225"/>
      <c r="Q776" s="225"/>
      <c r="R776" s="225"/>
      <c r="S776" s="225"/>
      <c r="T776" s="225"/>
      <c r="U776" s="225"/>
      <c r="V776" s="225"/>
      <c r="W776" s="225"/>
      <c r="X776" s="225"/>
      <c r="Y776" s="225"/>
      <c r="Z776" s="225"/>
      <c r="AA776" s="225"/>
      <c r="AB776" s="225"/>
      <c r="AC776" s="225"/>
      <c r="AD776" s="225"/>
      <c r="AE776" s="225"/>
      <c r="AF776" s="225"/>
      <c r="AG776" s="225"/>
      <c r="AH776" s="225"/>
      <c r="AI776" s="225"/>
      <c r="AJ776" s="225"/>
      <c r="AK776" s="225"/>
      <c r="AL776" s="225"/>
      <c r="AM776" s="225"/>
      <c r="AN776" s="225"/>
      <c r="AO776" s="225"/>
      <c r="AP776" s="225"/>
      <c r="AQ776" s="225"/>
      <c r="AR776" s="225"/>
    </row>
    <row r="777" spans="1:44" ht="15.75" customHeight="1">
      <c r="A777" s="131"/>
      <c r="B777" s="131"/>
      <c r="C777" s="131"/>
      <c r="D777" s="131"/>
      <c r="E777" s="131"/>
      <c r="F777" s="131"/>
      <c r="G777" s="131"/>
      <c r="H777" s="131"/>
      <c r="I777" s="131"/>
      <c r="J777" s="131"/>
      <c r="K777" s="131"/>
      <c r="L777" s="225"/>
      <c r="M777" s="225"/>
      <c r="N777" s="225"/>
      <c r="O777" s="225"/>
      <c r="P777" s="225"/>
      <c r="Q777" s="225"/>
      <c r="R777" s="225"/>
      <c r="S777" s="225"/>
      <c r="T777" s="225"/>
      <c r="U777" s="225"/>
      <c r="V777" s="225"/>
      <c r="W777" s="225"/>
      <c r="X777" s="225"/>
      <c r="Y777" s="225"/>
      <c r="Z777" s="225"/>
      <c r="AA777" s="225"/>
      <c r="AB777" s="225"/>
      <c r="AC777" s="225"/>
      <c r="AD777" s="225"/>
      <c r="AE777" s="225"/>
      <c r="AF777" s="225"/>
      <c r="AG777" s="225"/>
      <c r="AH777" s="225"/>
      <c r="AI777" s="225"/>
      <c r="AJ777" s="225"/>
      <c r="AK777" s="225"/>
      <c r="AL777" s="225"/>
      <c r="AM777" s="225"/>
      <c r="AN777" s="225"/>
      <c r="AO777" s="225"/>
      <c r="AP777" s="225"/>
      <c r="AQ777" s="225"/>
      <c r="AR777" s="225"/>
    </row>
    <row r="778" spans="1:44" ht="15.75" customHeight="1">
      <c r="A778" s="131"/>
      <c r="B778" s="131"/>
      <c r="C778" s="131"/>
      <c r="D778" s="131"/>
      <c r="E778" s="131"/>
      <c r="F778" s="131"/>
      <c r="G778" s="131"/>
      <c r="H778" s="131"/>
      <c r="I778" s="131"/>
      <c r="J778" s="131"/>
      <c r="K778" s="131"/>
      <c r="L778" s="225"/>
      <c r="M778" s="225"/>
      <c r="N778" s="225"/>
      <c r="O778" s="225"/>
      <c r="P778" s="225"/>
      <c r="Q778" s="225"/>
      <c r="R778" s="225"/>
      <c r="S778" s="225"/>
      <c r="T778" s="225"/>
      <c r="U778" s="225"/>
      <c r="V778" s="225"/>
      <c r="W778" s="225"/>
      <c r="X778" s="225"/>
      <c r="Y778" s="225"/>
      <c r="Z778" s="225"/>
      <c r="AA778" s="225"/>
      <c r="AB778" s="225"/>
      <c r="AC778" s="225"/>
      <c r="AD778" s="225"/>
      <c r="AE778" s="225"/>
      <c r="AF778" s="225"/>
      <c r="AG778" s="225"/>
      <c r="AH778" s="225"/>
      <c r="AI778" s="225"/>
      <c r="AJ778" s="225"/>
      <c r="AK778" s="225"/>
      <c r="AL778" s="225"/>
      <c r="AM778" s="225"/>
      <c r="AN778" s="225"/>
      <c r="AO778" s="225"/>
      <c r="AP778" s="225"/>
      <c r="AQ778" s="225"/>
      <c r="AR778" s="225"/>
    </row>
    <row r="779" spans="1:44" ht="15.75" customHeight="1">
      <c r="A779" s="131"/>
      <c r="B779" s="131"/>
      <c r="C779" s="131"/>
      <c r="D779" s="131"/>
      <c r="E779" s="131"/>
      <c r="F779" s="131"/>
      <c r="G779" s="131"/>
      <c r="H779" s="131"/>
      <c r="I779" s="131"/>
      <c r="J779" s="131"/>
      <c r="K779" s="131"/>
      <c r="L779" s="225"/>
      <c r="M779" s="225"/>
      <c r="N779" s="225"/>
      <c r="O779" s="225"/>
      <c r="P779" s="225"/>
      <c r="Q779" s="225"/>
      <c r="R779" s="225"/>
      <c r="S779" s="225"/>
      <c r="T779" s="225"/>
      <c r="U779" s="225"/>
      <c r="V779" s="225"/>
      <c r="W779" s="225"/>
      <c r="X779" s="225"/>
      <c r="Y779" s="225"/>
      <c r="Z779" s="225"/>
      <c r="AA779" s="225"/>
      <c r="AB779" s="225"/>
      <c r="AC779" s="225"/>
      <c r="AD779" s="225"/>
      <c r="AE779" s="225"/>
      <c r="AF779" s="225"/>
      <c r="AG779" s="225"/>
      <c r="AH779" s="225"/>
      <c r="AI779" s="225"/>
      <c r="AJ779" s="225"/>
      <c r="AK779" s="225"/>
      <c r="AL779" s="225"/>
      <c r="AM779" s="225"/>
      <c r="AN779" s="225"/>
      <c r="AO779" s="225"/>
      <c r="AP779" s="225"/>
      <c r="AQ779" s="225"/>
      <c r="AR779" s="225"/>
    </row>
    <row r="780" spans="1:44" ht="15.75" customHeight="1">
      <c r="A780" s="131"/>
      <c r="B780" s="131"/>
      <c r="C780" s="131"/>
      <c r="D780" s="131"/>
      <c r="E780" s="131"/>
      <c r="F780" s="131"/>
      <c r="G780" s="131"/>
      <c r="H780" s="131"/>
      <c r="I780" s="131"/>
      <c r="J780" s="131"/>
      <c r="K780" s="131"/>
      <c r="L780" s="225"/>
      <c r="M780" s="225"/>
      <c r="N780" s="225"/>
      <c r="O780" s="225"/>
      <c r="P780" s="225"/>
      <c r="Q780" s="225"/>
      <c r="R780" s="225"/>
      <c r="S780" s="225"/>
      <c r="T780" s="225"/>
      <c r="U780" s="225"/>
      <c r="V780" s="225"/>
      <c r="W780" s="225"/>
      <c r="X780" s="225"/>
      <c r="Y780" s="225"/>
      <c r="Z780" s="225"/>
      <c r="AA780" s="225"/>
      <c r="AB780" s="225"/>
      <c r="AC780" s="225"/>
      <c r="AD780" s="225"/>
      <c r="AE780" s="225"/>
      <c r="AF780" s="225"/>
      <c r="AG780" s="225"/>
      <c r="AH780" s="225"/>
      <c r="AI780" s="225"/>
      <c r="AJ780" s="225"/>
      <c r="AK780" s="225"/>
      <c r="AL780" s="225"/>
      <c r="AM780" s="225"/>
      <c r="AN780" s="225"/>
      <c r="AO780" s="225"/>
      <c r="AP780" s="225"/>
      <c r="AQ780" s="225"/>
      <c r="AR780" s="225"/>
    </row>
    <row r="781" spans="1:44" ht="15.75" customHeight="1">
      <c r="A781" s="131"/>
      <c r="B781" s="131"/>
      <c r="C781" s="131"/>
      <c r="D781" s="131"/>
      <c r="E781" s="131"/>
      <c r="F781" s="131"/>
      <c r="G781" s="131"/>
      <c r="H781" s="131"/>
      <c r="I781" s="131"/>
      <c r="J781" s="131"/>
      <c r="K781" s="131"/>
      <c r="L781" s="225"/>
      <c r="M781" s="225"/>
      <c r="N781" s="225"/>
      <c r="O781" s="225"/>
      <c r="P781" s="225"/>
      <c r="Q781" s="225"/>
      <c r="R781" s="225"/>
      <c r="S781" s="225"/>
      <c r="T781" s="225"/>
      <c r="U781" s="225"/>
      <c r="V781" s="225"/>
      <c r="W781" s="225"/>
      <c r="X781" s="225"/>
      <c r="Y781" s="225"/>
      <c r="Z781" s="225"/>
      <c r="AA781" s="225"/>
      <c r="AB781" s="225"/>
      <c r="AC781" s="225"/>
      <c r="AD781" s="225"/>
      <c r="AE781" s="225"/>
      <c r="AF781" s="225"/>
      <c r="AG781" s="225"/>
      <c r="AH781" s="225"/>
      <c r="AI781" s="225"/>
      <c r="AJ781" s="225"/>
      <c r="AK781" s="225"/>
      <c r="AL781" s="225"/>
      <c r="AM781" s="225"/>
      <c r="AN781" s="225"/>
      <c r="AO781" s="225"/>
      <c r="AP781" s="225"/>
      <c r="AQ781" s="225"/>
      <c r="AR781" s="225"/>
    </row>
    <row r="782" spans="1:44" ht="15.75" customHeight="1">
      <c r="A782" s="131"/>
      <c r="B782" s="131"/>
      <c r="C782" s="131"/>
      <c r="D782" s="131"/>
      <c r="E782" s="131"/>
      <c r="F782" s="131"/>
      <c r="G782" s="131"/>
      <c r="H782" s="131"/>
      <c r="I782" s="131"/>
      <c r="J782" s="131"/>
      <c r="K782" s="131"/>
      <c r="L782" s="225"/>
      <c r="M782" s="225"/>
      <c r="N782" s="225"/>
      <c r="O782" s="225"/>
      <c r="P782" s="225"/>
      <c r="Q782" s="225"/>
      <c r="R782" s="225"/>
      <c r="S782" s="225"/>
      <c r="T782" s="225"/>
      <c r="U782" s="225"/>
      <c r="V782" s="225"/>
      <c r="W782" s="225"/>
      <c r="X782" s="225"/>
      <c r="Y782" s="225"/>
      <c r="Z782" s="225"/>
      <c r="AA782" s="225"/>
      <c r="AB782" s="225"/>
      <c r="AC782" s="225"/>
      <c r="AD782" s="225"/>
      <c r="AE782" s="225"/>
      <c r="AF782" s="225"/>
      <c r="AG782" s="225"/>
      <c r="AH782" s="225"/>
      <c r="AI782" s="225"/>
      <c r="AJ782" s="225"/>
      <c r="AK782" s="225"/>
      <c r="AL782" s="225"/>
      <c r="AM782" s="225"/>
      <c r="AN782" s="225"/>
      <c r="AO782" s="225"/>
      <c r="AP782" s="225"/>
      <c r="AQ782" s="225"/>
      <c r="AR782" s="225"/>
    </row>
    <row r="783" spans="1:44" ht="15.75" customHeight="1">
      <c r="A783" s="131"/>
      <c r="B783" s="131"/>
      <c r="C783" s="131"/>
      <c r="D783" s="131"/>
      <c r="E783" s="131"/>
      <c r="F783" s="131"/>
      <c r="G783" s="131"/>
      <c r="H783" s="131"/>
      <c r="I783" s="131"/>
      <c r="J783" s="131"/>
      <c r="K783" s="131"/>
      <c r="L783" s="225"/>
      <c r="M783" s="225"/>
      <c r="N783" s="225"/>
      <c r="O783" s="225"/>
      <c r="P783" s="225"/>
      <c r="Q783" s="225"/>
      <c r="R783" s="225"/>
      <c r="S783" s="225"/>
      <c r="T783" s="225"/>
      <c r="U783" s="225"/>
      <c r="V783" s="225"/>
      <c r="W783" s="225"/>
      <c r="X783" s="225"/>
      <c r="Y783" s="225"/>
      <c r="Z783" s="225"/>
      <c r="AA783" s="225"/>
      <c r="AB783" s="225"/>
      <c r="AC783" s="225"/>
      <c r="AD783" s="225"/>
      <c r="AE783" s="225"/>
      <c r="AF783" s="225"/>
      <c r="AG783" s="225"/>
      <c r="AH783" s="225"/>
      <c r="AI783" s="225"/>
      <c r="AJ783" s="225"/>
      <c r="AK783" s="225"/>
      <c r="AL783" s="225"/>
      <c r="AM783" s="225"/>
      <c r="AN783" s="225"/>
      <c r="AO783" s="225"/>
      <c r="AP783" s="225"/>
      <c r="AQ783" s="225"/>
      <c r="AR783" s="225"/>
    </row>
    <row r="784" spans="1:44" ht="15.75" customHeight="1">
      <c r="A784" s="131"/>
      <c r="B784" s="131"/>
      <c r="C784" s="131"/>
      <c r="D784" s="131"/>
      <c r="E784" s="131"/>
      <c r="F784" s="131"/>
      <c r="G784" s="131"/>
      <c r="H784" s="131"/>
      <c r="I784" s="131"/>
      <c r="J784" s="131"/>
      <c r="K784" s="131"/>
      <c r="L784" s="225"/>
      <c r="M784" s="225"/>
      <c r="N784" s="225"/>
      <c r="O784" s="225"/>
      <c r="P784" s="225"/>
      <c r="Q784" s="225"/>
      <c r="R784" s="225"/>
      <c r="S784" s="225"/>
      <c r="T784" s="225"/>
      <c r="U784" s="225"/>
      <c r="V784" s="225"/>
      <c r="W784" s="225"/>
      <c r="X784" s="225"/>
      <c r="Y784" s="225"/>
      <c r="Z784" s="225"/>
      <c r="AA784" s="225"/>
      <c r="AB784" s="225"/>
      <c r="AC784" s="225"/>
      <c r="AD784" s="225"/>
      <c r="AE784" s="225"/>
      <c r="AF784" s="225"/>
      <c r="AG784" s="225"/>
      <c r="AH784" s="225"/>
      <c r="AI784" s="225"/>
      <c r="AJ784" s="225"/>
      <c r="AK784" s="225"/>
      <c r="AL784" s="225"/>
      <c r="AM784" s="225"/>
      <c r="AN784" s="225"/>
      <c r="AO784" s="225"/>
      <c r="AP784" s="225"/>
      <c r="AQ784" s="225"/>
      <c r="AR784" s="225"/>
    </row>
    <row r="785" spans="1:44" ht="15.75" customHeight="1">
      <c r="A785" s="131"/>
      <c r="B785" s="131"/>
      <c r="C785" s="131"/>
      <c r="D785" s="131"/>
      <c r="E785" s="131"/>
      <c r="F785" s="131"/>
      <c r="G785" s="131"/>
      <c r="H785" s="131"/>
      <c r="I785" s="131"/>
      <c r="J785" s="131"/>
      <c r="K785" s="131"/>
      <c r="L785" s="225"/>
      <c r="M785" s="225"/>
      <c r="N785" s="225"/>
      <c r="O785" s="225"/>
      <c r="P785" s="225"/>
      <c r="Q785" s="225"/>
      <c r="R785" s="225"/>
      <c r="S785" s="225"/>
      <c r="T785" s="225"/>
      <c r="U785" s="225"/>
      <c r="V785" s="225"/>
      <c r="W785" s="225"/>
      <c r="X785" s="225"/>
      <c r="Y785" s="225"/>
      <c r="Z785" s="225"/>
      <c r="AA785" s="225"/>
      <c r="AB785" s="225"/>
      <c r="AC785" s="225"/>
      <c r="AD785" s="225"/>
      <c r="AE785" s="225"/>
      <c r="AF785" s="225"/>
      <c r="AG785" s="225"/>
      <c r="AH785" s="225"/>
      <c r="AI785" s="225"/>
      <c r="AJ785" s="225"/>
      <c r="AK785" s="225"/>
      <c r="AL785" s="225"/>
      <c r="AM785" s="225"/>
      <c r="AN785" s="225"/>
      <c r="AO785" s="225"/>
      <c r="AP785" s="225"/>
      <c r="AQ785" s="225"/>
      <c r="AR785" s="225"/>
    </row>
    <row r="786" spans="1:44" ht="15.75" customHeight="1">
      <c r="A786" s="131"/>
      <c r="B786" s="131"/>
      <c r="C786" s="131"/>
      <c r="D786" s="131"/>
      <c r="E786" s="131"/>
      <c r="F786" s="131"/>
      <c r="G786" s="131"/>
      <c r="H786" s="131"/>
      <c r="I786" s="131"/>
      <c r="J786" s="131"/>
      <c r="K786" s="131"/>
      <c r="L786" s="225"/>
      <c r="M786" s="225"/>
      <c r="N786" s="225"/>
      <c r="O786" s="225"/>
      <c r="P786" s="225"/>
      <c r="Q786" s="225"/>
      <c r="R786" s="225"/>
      <c r="S786" s="225"/>
      <c r="T786" s="225"/>
      <c r="U786" s="225"/>
      <c r="V786" s="225"/>
      <c r="W786" s="225"/>
      <c r="X786" s="225"/>
      <c r="Y786" s="225"/>
      <c r="Z786" s="225"/>
      <c r="AA786" s="225"/>
      <c r="AB786" s="225"/>
      <c r="AC786" s="225"/>
      <c r="AD786" s="225"/>
      <c r="AE786" s="225"/>
      <c r="AF786" s="225"/>
      <c r="AG786" s="225"/>
      <c r="AH786" s="225"/>
      <c r="AI786" s="225"/>
      <c r="AJ786" s="225"/>
      <c r="AK786" s="225"/>
      <c r="AL786" s="225"/>
      <c r="AM786" s="225"/>
      <c r="AN786" s="225"/>
      <c r="AO786" s="225"/>
      <c r="AP786" s="225"/>
      <c r="AQ786" s="225"/>
      <c r="AR786" s="225"/>
    </row>
    <row r="787" spans="1:44" ht="15.75" customHeight="1">
      <c r="A787" s="131"/>
      <c r="B787" s="131"/>
      <c r="C787" s="131"/>
      <c r="D787" s="131"/>
      <c r="E787" s="131"/>
      <c r="F787" s="131"/>
      <c r="G787" s="131"/>
      <c r="H787" s="131"/>
      <c r="I787" s="131"/>
      <c r="J787" s="131"/>
      <c r="K787" s="131"/>
      <c r="L787" s="225"/>
      <c r="M787" s="225"/>
      <c r="N787" s="225"/>
      <c r="O787" s="225"/>
      <c r="P787" s="225"/>
      <c r="Q787" s="225"/>
      <c r="R787" s="225"/>
      <c r="S787" s="225"/>
      <c r="T787" s="225"/>
      <c r="U787" s="225"/>
      <c r="V787" s="225"/>
      <c r="W787" s="225"/>
      <c r="X787" s="225"/>
      <c r="Y787" s="225"/>
      <c r="Z787" s="225"/>
      <c r="AA787" s="225"/>
      <c r="AB787" s="225"/>
      <c r="AC787" s="225"/>
      <c r="AD787" s="225"/>
      <c r="AE787" s="225"/>
      <c r="AF787" s="225"/>
      <c r="AG787" s="225"/>
      <c r="AH787" s="225"/>
      <c r="AI787" s="225"/>
      <c r="AJ787" s="225"/>
      <c r="AK787" s="225"/>
      <c r="AL787" s="225"/>
      <c r="AM787" s="225"/>
      <c r="AN787" s="225"/>
      <c r="AO787" s="225"/>
      <c r="AP787" s="225"/>
      <c r="AQ787" s="225"/>
      <c r="AR787" s="225"/>
    </row>
    <row r="788" spans="1:44" ht="15.75" customHeight="1">
      <c r="A788" s="131"/>
      <c r="B788" s="131"/>
      <c r="C788" s="131"/>
      <c r="D788" s="131"/>
      <c r="E788" s="131"/>
      <c r="F788" s="131"/>
      <c r="G788" s="131"/>
      <c r="H788" s="131"/>
      <c r="I788" s="131"/>
      <c r="J788" s="131"/>
      <c r="K788" s="131"/>
      <c r="L788" s="225"/>
      <c r="M788" s="225"/>
      <c r="N788" s="225"/>
      <c r="O788" s="225"/>
      <c r="P788" s="225"/>
      <c r="Q788" s="225"/>
      <c r="R788" s="225"/>
      <c r="S788" s="225"/>
      <c r="T788" s="225"/>
      <c r="U788" s="225"/>
      <c r="V788" s="225"/>
      <c r="W788" s="225"/>
      <c r="X788" s="225"/>
      <c r="Y788" s="225"/>
      <c r="Z788" s="225"/>
      <c r="AA788" s="225"/>
      <c r="AB788" s="225"/>
      <c r="AC788" s="225"/>
      <c r="AD788" s="225"/>
      <c r="AE788" s="225"/>
      <c r="AF788" s="225"/>
      <c r="AG788" s="225"/>
      <c r="AH788" s="225"/>
      <c r="AI788" s="225"/>
      <c r="AJ788" s="225"/>
      <c r="AK788" s="225"/>
      <c r="AL788" s="225"/>
      <c r="AM788" s="225"/>
      <c r="AN788" s="225"/>
      <c r="AO788" s="225"/>
      <c r="AP788" s="225"/>
      <c r="AQ788" s="225"/>
      <c r="AR788" s="225"/>
    </row>
    <row r="789" spans="1:44" ht="15.75" customHeight="1">
      <c r="A789" s="131"/>
      <c r="B789" s="131"/>
      <c r="C789" s="131"/>
      <c r="D789" s="131"/>
      <c r="E789" s="131"/>
      <c r="F789" s="131"/>
      <c r="G789" s="131"/>
      <c r="H789" s="131"/>
      <c r="I789" s="131"/>
      <c r="J789" s="131"/>
      <c r="K789" s="131"/>
      <c r="L789" s="225"/>
      <c r="M789" s="225"/>
      <c r="N789" s="225"/>
      <c r="O789" s="225"/>
      <c r="P789" s="225"/>
      <c r="Q789" s="225"/>
      <c r="R789" s="225"/>
      <c r="S789" s="225"/>
      <c r="T789" s="225"/>
      <c r="U789" s="225"/>
      <c r="V789" s="225"/>
      <c r="W789" s="225"/>
      <c r="X789" s="225"/>
      <c r="Y789" s="225"/>
      <c r="Z789" s="225"/>
      <c r="AA789" s="225"/>
      <c r="AB789" s="225"/>
      <c r="AC789" s="225"/>
      <c r="AD789" s="225"/>
      <c r="AE789" s="225"/>
      <c r="AF789" s="225"/>
      <c r="AG789" s="225"/>
      <c r="AH789" s="225"/>
      <c r="AI789" s="225"/>
      <c r="AJ789" s="225"/>
      <c r="AK789" s="225"/>
      <c r="AL789" s="225"/>
      <c r="AM789" s="225"/>
      <c r="AN789" s="225"/>
      <c r="AO789" s="225"/>
      <c r="AP789" s="225"/>
      <c r="AQ789" s="225"/>
      <c r="AR789" s="225"/>
    </row>
    <row r="790" spans="1:44" ht="15.75" customHeight="1">
      <c r="A790" s="131"/>
      <c r="B790" s="131"/>
      <c r="C790" s="131"/>
      <c r="D790" s="131"/>
      <c r="E790" s="131"/>
      <c r="F790" s="131"/>
      <c r="G790" s="131"/>
      <c r="H790" s="131"/>
      <c r="I790" s="131"/>
      <c r="J790" s="131"/>
      <c r="K790" s="131"/>
      <c r="L790" s="225"/>
      <c r="M790" s="225"/>
      <c r="N790" s="225"/>
      <c r="O790" s="225"/>
      <c r="P790" s="225"/>
      <c r="Q790" s="225"/>
      <c r="R790" s="225"/>
      <c r="S790" s="225"/>
      <c r="T790" s="225"/>
      <c r="U790" s="225"/>
      <c r="V790" s="225"/>
      <c r="W790" s="225"/>
      <c r="X790" s="225"/>
      <c r="Y790" s="225"/>
      <c r="Z790" s="225"/>
      <c r="AA790" s="225"/>
      <c r="AB790" s="225"/>
      <c r="AC790" s="225"/>
      <c r="AD790" s="225"/>
      <c r="AE790" s="225"/>
      <c r="AF790" s="225"/>
      <c r="AG790" s="225"/>
      <c r="AH790" s="225"/>
      <c r="AI790" s="225"/>
      <c r="AJ790" s="225"/>
      <c r="AK790" s="225"/>
      <c r="AL790" s="225"/>
      <c r="AM790" s="225"/>
      <c r="AN790" s="225"/>
      <c r="AO790" s="225"/>
      <c r="AP790" s="225"/>
      <c r="AQ790" s="225"/>
      <c r="AR790" s="225"/>
    </row>
    <row r="791" spans="1:44" ht="15.75" customHeight="1">
      <c r="A791" s="131"/>
      <c r="B791" s="131"/>
      <c r="C791" s="131"/>
      <c r="D791" s="131"/>
      <c r="E791" s="131"/>
      <c r="F791" s="131"/>
      <c r="G791" s="131"/>
      <c r="H791" s="131"/>
      <c r="I791" s="131"/>
      <c r="J791" s="131"/>
      <c r="K791" s="131"/>
      <c r="L791" s="225"/>
      <c r="M791" s="225"/>
      <c r="N791" s="225"/>
      <c r="O791" s="225"/>
      <c r="P791" s="225"/>
      <c r="Q791" s="225"/>
      <c r="R791" s="225"/>
      <c r="S791" s="225"/>
      <c r="T791" s="225"/>
      <c r="U791" s="225"/>
      <c r="V791" s="225"/>
      <c r="W791" s="225"/>
      <c r="X791" s="225"/>
      <c r="Y791" s="225"/>
      <c r="Z791" s="225"/>
      <c r="AA791" s="225"/>
      <c r="AB791" s="225"/>
      <c r="AC791" s="225"/>
      <c r="AD791" s="225"/>
      <c r="AE791" s="225"/>
      <c r="AF791" s="225"/>
      <c r="AG791" s="225"/>
      <c r="AH791" s="225"/>
      <c r="AI791" s="225"/>
      <c r="AJ791" s="225"/>
      <c r="AK791" s="225"/>
      <c r="AL791" s="225"/>
      <c r="AM791" s="225"/>
      <c r="AN791" s="225"/>
      <c r="AO791" s="225"/>
      <c r="AP791" s="225"/>
      <c r="AQ791" s="225"/>
      <c r="AR791" s="225"/>
    </row>
    <row r="792" spans="1:44" ht="15.75" customHeight="1">
      <c r="A792" s="131"/>
      <c r="B792" s="131"/>
      <c r="C792" s="131"/>
      <c r="D792" s="131"/>
      <c r="E792" s="131"/>
      <c r="F792" s="131"/>
      <c r="G792" s="131"/>
      <c r="H792" s="131"/>
      <c r="I792" s="131"/>
      <c r="J792" s="131"/>
      <c r="K792" s="131"/>
      <c r="L792" s="225"/>
      <c r="M792" s="225"/>
      <c r="N792" s="225"/>
      <c r="O792" s="225"/>
      <c r="P792" s="225"/>
      <c r="Q792" s="225"/>
      <c r="R792" s="225"/>
      <c r="S792" s="225"/>
      <c r="T792" s="225"/>
      <c r="U792" s="225"/>
      <c r="V792" s="225"/>
      <c r="W792" s="225"/>
      <c r="X792" s="225"/>
      <c r="Y792" s="225"/>
      <c r="Z792" s="225"/>
      <c r="AA792" s="225"/>
      <c r="AB792" s="225"/>
      <c r="AC792" s="225"/>
      <c r="AD792" s="225"/>
      <c r="AE792" s="225"/>
      <c r="AF792" s="225"/>
      <c r="AG792" s="225"/>
      <c r="AH792" s="225"/>
      <c r="AI792" s="225"/>
      <c r="AJ792" s="225"/>
      <c r="AK792" s="225"/>
      <c r="AL792" s="225"/>
      <c r="AM792" s="225"/>
      <c r="AN792" s="225"/>
      <c r="AO792" s="225"/>
      <c r="AP792" s="225"/>
      <c r="AQ792" s="225"/>
      <c r="AR792" s="225"/>
    </row>
    <row r="793" spans="1:44" ht="15.75" customHeight="1">
      <c r="A793" s="131"/>
      <c r="B793" s="131"/>
      <c r="C793" s="131"/>
      <c r="D793" s="131"/>
      <c r="E793" s="131"/>
      <c r="F793" s="131"/>
      <c r="G793" s="131"/>
      <c r="H793" s="131"/>
      <c r="I793" s="131"/>
      <c r="J793" s="131"/>
      <c r="K793" s="131"/>
      <c r="L793" s="225"/>
      <c r="M793" s="225"/>
      <c r="N793" s="225"/>
      <c r="O793" s="225"/>
      <c r="P793" s="225"/>
      <c r="Q793" s="225"/>
      <c r="R793" s="225"/>
      <c r="S793" s="225"/>
      <c r="T793" s="225"/>
      <c r="U793" s="225"/>
      <c r="V793" s="225"/>
      <c r="W793" s="225"/>
      <c r="X793" s="225"/>
      <c r="Y793" s="225"/>
      <c r="Z793" s="225"/>
      <c r="AA793" s="225"/>
      <c r="AB793" s="225"/>
      <c r="AC793" s="225"/>
      <c r="AD793" s="225"/>
      <c r="AE793" s="225"/>
      <c r="AF793" s="225"/>
      <c r="AG793" s="225"/>
      <c r="AH793" s="225"/>
      <c r="AI793" s="225"/>
      <c r="AJ793" s="225"/>
      <c r="AK793" s="225"/>
      <c r="AL793" s="225"/>
      <c r="AM793" s="225"/>
      <c r="AN793" s="225"/>
      <c r="AO793" s="225"/>
      <c r="AP793" s="225"/>
      <c r="AQ793" s="225"/>
      <c r="AR793" s="225"/>
    </row>
    <row r="794" spans="1:44" ht="15.75" customHeight="1">
      <c r="A794" s="131"/>
      <c r="B794" s="131"/>
      <c r="C794" s="131"/>
      <c r="D794" s="131"/>
      <c r="E794" s="131"/>
      <c r="F794" s="131"/>
      <c r="G794" s="131"/>
      <c r="H794" s="131"/>
      <c r="I794" s="131"/>
      <c r="J794" s="131"/>
      <c r="K794" s="131"/>
      <c r="L794" s="225"/>
      <c r="M794" s="225"/>
      <c r="N794" s="225"/>
      <c r="O794" s="225"/>
      <c r="P794" s="225"/>
      <c r="Q794" s="225"/>
      <c r="R794" s="225"/>
      <c r="S794" s="225"/>
      <c r="T794" s="225"/>
      <c r="U794" s="225"/>
      <c r="V794" s="225"/>
      <c r="W794" s="225"/>
      <c r="X794" s="225"/>
      <c r="Y794" s="225"/>
      <c r="Z794" s="225"/>
      <c r="AA794" s="225"/>
      <c r="AB794" s="225"/>
      <c r="AC794" s="225"/>
      <c r="AD794" s="225"/>
      <c r="AE794" s="225"/>
      <c r="AF794" s="225"/>
      <c r="AG794" s="225"/>
      <c r="AH794" s="225"/>
      <c r="AI794" s="225"/>
      <c r="AJ794" s="225"/>
      <c r="AK794" s="225"/>
      <c r="AL794" s="225"/>
      <c r="AM794" s="225"/>
      <c r="AN794" s="225"/>
      <c r="AO794" s="225"/>
      <c r="AP794" s="225"/>
      <c r="AQ794" s="225"/>
      <c r="AR794" s="225"/>
    </row>
    <row r="795" spans="1:44" ht="15.75" customHeight="1">
      <c r="A795" s="131"/>
      <c r="B795" s="131"/>
      <c r="C795" s="131"/>
      <c r="D795" s="131"/>
      <c r="E795" s="131"/>
      <c r="F795" s="131"/>
      <c r="G795" s="131"/>
      <c r="H795" s="131"/>
      <c r="I795" s="131"/>
      <c r="J795" s="131"/>
      <c r="K795" s="131"/>
      <c r="L795" s="225"/>
      <c r="M795" s="225"/>
      <c r="N795" s="225"/>
      <c r="O795" s="225"/>
      <c r="P795" s="225"/>
      <c r="Q795" s="225"/>
      <c r="R795" s="225"/>
      <c r="S795" s="225"/>
      <c r="T795" s="225"/>
      <c r="U795" s="225"/>
      <c r="V795" s="225"/>
      <c r="W795" s="225"/>
      <c r="X795" s="225"/>
      <c r="Y795" s="225"/>
      <c r="Z795" s="225"/>
      <c r="AA795" s="225"/>
      <c r="AB795" s="225"/>
      <c r="AC795" s="225"/>
      <c r="AD795" s="225"/>
      <c r="AE795" s="225"/>
      <c r="AF795" s="225"/>
      <c r="AG795" s="225"/>
      <c r="AH795" s="225"/>
      <c r="AI795" s="225"/>
      <c r="AJ795" s="225"/>
      <c r="AK795" s="225"/>
      <c r="AL795" s="225"/>
      <c r="AM795" s="225"/>
      <c r="AN795" s="225"/>
      <c r="AO795" s="225"/>
      <c r="AP795" s="225"/>
      <c r="AQ795" s="225"/>
      <c r="AR795" s="225"/>
    </row>
    <row r="796" spans="1:44" ht="15.75" customHeight="1">
      <c r="A796" s="131"/>
      <c r="B796" s="131"/>
      <c r="C796" s="131"/>
      <c r="D796" s="131"/>
      <c r="E796" s="131"/>
      <c r="F796" s="131"/>
      <c r="G796" s="131"/>
      <c r="H796" s="131"/>
      <c r="I796" s="131"/>
      <c r="J796" s="131"/>
      <c r="K796" s="131"/>
      <c r="L796" s="225"/>
      <c r="M796" s="225"/>
      <c r="N796" s="225"/>
      <c r="O796" s="225"/>
      <c r="P796" s="225"/>
      <c r="Q796" s="225"/>
      <c r="R796" s="225"/>
      <c r="S796" s="225"/>
      <c r="T796" s="225"/>
      <c r="U796" s="225"/>
      <c r="V796" s="225"/>
      <c r="W796" s="225"/>
      <c r="X796" s="225"/>
      <c r="Y796" s="225"/>
      <c r="Z796" s="225"/>
      <c r="AA796" s="225"/>
      <c r="AB796" s="225"/>
      <c r="AC796" s="225"/>
      <c r="AD796" s="225"/>
      <c r="AE796" s="225"/>
      <c r="AF796" s="225"/>
      <c r="AG796" s="225"/>
      <c r="AH796" s="225"/>
      <c r="AI796" s="225"/>
      <c r="AJ796" s="225"/>
      <c r="AK796" s="225"/>
      <c r="AL796" s="225"/>
      <c r="AM796" s="225"/>
      <c r="AN796" s="225"/>
      <c r="AO796" s="225"/>
      <c r="AP796" s="225"/>
      <c r="AQ796" s="225"/>
      <c r="AR796" s="225"/>
    </row>
    <row r="797" spans="1:44" ht="15.75" customHeight="1">
      <c r="A797" s="131"/>
      <c r="B797" s="131"/>
      <c r="C797" s="131"/>
      <c r="D797" s="131"/>
      <c r="E797" s="131"/>
      <c r="F797" s="131"/>
      <c r="G797" s="131"/>
      <c r="H797" s="131"/>
      <c r="I797" s="131"/>
      <c r="J797" s="131"/>
      <c r="K797" s="131"/>
      <c r="L797" s="225"/>
      <c r="M797" s="225"/>
      <c r="N797" s="225"/>
      <c r="O797" s="225"/>
      <c r="P797" s="225"/>
      <c r="Q797" s="225"/>
      <c r="R797" s="225"/>
      <c r="S797" s="225"/>
      <c r="T797" s="225"/>
      <c r="U797" s="225"/>
      <c r="V797" s="225"/>
      <c r="W797" s="225"/>
      <c r="X797" s="225"/>
      <c r="Y797" s="225"/>
      <c r="Z797" s="225"/>
      <c r="AA797" s="225"/>
      <c r="AB797" s="225"/>
      <c r="AC797" s="225"/>
      <c r="AD797" s="225"/>
      <c r="AE797" s="225"/>
      <c r="AF797" s="225"/>
      <c r="AG797" s="225"/>
      <c r="AH797" s="225"/>
      <c r="AI797" s="225"/>
      <c r="AJ797" s="225"/>
      <c r="AK797" s="225"/>
      <c r="AL797" s="225"/>
      <c r="AM797" s="225"/>
      <c r="AN797" s="225"/>
      <c r="AO797" s="225"/>
      <c r="AP797" s="225"/>
      <c r="AQ797" s="225"/>
      <c r="AR797" s="225"/>
    </row>
    <row r="798" spans="1:44" ht="15.75" customHeight="1">
      <c r="A798" s="131"/>
      <c r="B798" s="131"/>
      <c r="C798" s="131"/>
      <c r="D798" s="131"/>
      <c r="E798" s="131"/>
      <c r="F798" s="131"/>
      <c r="G798" s="131"/>
      <c r="H798" s="131"/>
      <c r="I798" s="131"/>
      <c r="J798" s="131"/>
      <c r="K798" s="131"/>
      <c r="L798" s="225"/>
      <c r="M798" s="225"/>
      <c r="N798" s="225"/>
      <c r="O798" s="225"/>
      <c r="P798" s="225"/>
      <c r="Q798" s="225"/>
      <c r="R798" s="225"/>
      <c r="S798" s="225"/>
      <c r="T798" s="225"/>
      <c r="U798" s="225"/>
      <c r="V798" s="225"/>
      <c r="W798" s="225"/>
      <c r="X798" s="225"/>
      <c r="Y798" s="225"/>
      <c r="Z798" s="225"/>
      <c r="AA798" s="225"/>
      <c r="AB798" s="225"/>
      <c r="AC798" s="225"/>
      <c r="AD798" s="225"/>
      <c r="AE798" s="225"/>
      <c r="AF798" s="225"/>
      <c r="AG798" s="225"/>
      <c r="AH798" s="225"/>
      <c r="AI798" s="225"/>
      <c r="AJ798" s="225"/>
      <c r="AK798" s="225"/>
      <c r="AL798" s="225"/>
      <c r="AM798" s="225"/>
      <c r="AN798" s="225"/>
      <c r="AO798" s="225"/>
      <c r="AP798" s="225"/>
      <c r="AQ798" s="225"/>
      <c r="AR798" s="225"/>
    </row>
    <row r="799" spans="1:44" ht="15.75" customHeight="1">
      <c r="A799" s="131"/>
      <c r="B799" s="131"/>
      <c r="C799" s="131"/>
      <c r="D799" s="131"/>
      <c r="E799" s="131"/>
      <c r="F799" s="131"/>
      <c r="G799" s="131"/>
      <c r="H799" s="131"/>
      <c r="I799" s="131"/>
      <c r="J799" s="131"/>
      <c r="K799" s="131"/>
      <c r="L799" s="225"/>
      <c r="M799" s="225"/>
      <c r="N799" s="225"/>
      <c r="O799" s="225"/>
      <c r="P799" s="225"/>
      <c r="Q799" s="225"/>
      <c r="R799" s="225"/>
      <c r="S799" s="225"/>
      <c r="T799" s="225"/>
      <c r="U799" s="225"/>
      <c r="V799" s="225"/>
      <c r="W799" s="225"/>
      <c r="X799" s="225"/>
      <c r="Y799" s="225"/>
      <c r="Z799" s="225"/>
      <c r="AA799" s="225"/>
      <c r="AB799" s="225"/>
      <c r="AC799" s="225"/>
      <c r="AD799" s="225"/>
      <c r="AE799" s="225"/>
      <c r="AF799" s="225"/>
      <c r="AG799" s="225"/>
      <c r="AH799" s="225"/>
      <c r="AI799" s="225"/>
      <c r="AJ799" s="225"/>
      <c r="AK799" s="225"/>
      <c r="AL799" s="225"/>
      <c r="AM799" s="225"/>
      <c r="AN799" s="225"/>
      <c r="AO799" s="225"/>
      <c r="AP799" s="225"/>
      <c r="AQ799" s="225"/>
      <c r="AR799" s="225"/>
    </row>
    <row r="800" spans="1:44" ht="15.75" customHeight="1">
      <c r="A800" s="131"/>
      <c r="B800" s="131"/>
      <c r="C800" s="131"/>
      <c r="D800" s="131"/>
      <c r="E800" s="131"/>
      <c r="F800" s="131"/>
      <c r="G800" s="131"/>
      <c r="H800" s="131"/>
      <c r="I800" s="131"/>
      <c r="J800" s="131"/>
      <c r="K800" s="131"/>
      <c r="L800" s="225"/>
      <c r="M800" s="225"/>
      <c r="N800" s="225"/>
      <c r="O800" s="225"/>
      <c r="P800" s="225"/>
      <c r="Q800" s="225"/>
      <c r="R800" s="225"/>
      <c r="S800" s="225"/>
      <c r="T800" s="225"/>
      <c r="U800" s="225"/>
      <c r="V800" s="225"/>
      <c r="W800" s="225"/>
      <c r="X800" s="225"/>
      <c r="Y800" s="225"/>
      <c r="Z800" s="225"/>
      <c r="AA800" s="225"/>
      <c r="AB800" s="225"/>
      <c r="AC800" s="225"/>
      <c r="AD800" s="225"/>
      <c r="AE800" s="225"/>
      <c r="AF800" s="225"/>
      <c r="AG800" s="225"/>
      <c r="AH800" s="225"/>
      <c r="AI800" s="225"/>
      <c r="AJ800" s="225"/>
      <c r="AK800" s="225"/>
      <c r="AL800" s="225"/>
      <c r="AM800" s="225"/>
      <c r="AN800" s="225"/>
      <c r="AO800" s="225"/>
      <c r="AP800" s="225"/>
      <c r="AQ800" s="225"/>
      <c r="AR800" s="225"/>
    </row>
    <row r="801" spans="1:44" ht="15.75" customHeight="1">
      <c r="A801" s="131"/>
      <c r="B801" s="131"/>
      <c r="C801" s="131"/>
      <c r="D801" s="131"/>
      <c r="E801" s="131"/>
      <c r="F801" s="131"/>
      <c r="G801" s="131"/>
      <c r="H801" s="131"/>
      <c r="I801" s="131"/>
      <c r="J801" s="131"/>
      <c r="K801" s="131"/>
      <c r="L801" s="225"/>
      <c r="M801" s="225"/>
      <c r="N801" s="225"/>
      <c r="O801" s="225"/>
      <c r="P801" s="225"/>
      <c r="Q801" s="225"/>
      <c r="R801" s="225"/>
      <c r="S801" s="225"/>
      <c r="T801" s="225"/>
      <c r="U801" s="225"/>
      <c r="V801" s="225"/>
      <c r="W801" s="225"/>
      <c r="X801" s="225"/>
      <c r="Y801" s="225"/>
      <c r="Z801" s="225"/>
      <c r="AA801" s="225"/>
      <c r="AB801" s="225"/>
      <c r="AC801" s="225"/>
      <c r="AD801" s="225"/>
      <c r="AE801" s="225"/>
      <c r="AF801" s="225"/>
      <c r="AG801" s="225"/>
      <c r="AH801" s="225"/>
      <c r="AI801" s="225"/>
      <c r="AJ801" s="225"/>
      <c r="AK801" s="225"/>
      <c r="AL801" s="225"/>
      <c r="AM801" s="225"/>
      <c r="AN801" s="225"/>
      <c r="AO801" s="225"/>
      <c r="AP801" s="225"/>
      <c r="AQ801" s="225"/>
      <c r="AR801" s="225"/>
    </row>
    <row r="802" spans="1:44" ht="15.75" customHeight="1">
      <c r="A802" s="131"/>
      <c r="B802" s="131"/>
      <c r="C802" s="131"/>
      <c r="D802" s="131"/>
      <c r="E802" s="131"/>
      <c r="F802" s="131"/>
      <c r="G802" s="131"/>
      <c r="H802" s="131"/>
      <c r="I802" s="131"/>
      <c r="J802" s="131"/>
      <c r="K802" s="131"/>
      <c r="L802" s="225"/>
      <c r="M802" s="225"/>
      <c r="N802" s="225"/>
      <c r="O802" s="225"/>
      <c r="P802" s="225"/>
      <c r="Q802" s="225"/>
      <c r="R802" s="225"/>
      <c r="S802" s="225"/>
      <c r="T802" s="225"/>
      <c r="U802" s="225"/>
      <c r="V802" s="225"/>
      <c r="W802" s="225"/>
      <c r="X802" s="225"/>
      <c r="Y802" s="225"/>
      <c r="Z802" s="225"/>
      <c r="AA802" s="225"/>
      <c r="AB802" s="225"/>
      <c r="AC802" s="225"/>
      <c r="AD802" s="225"/>
      <c r="AE802" s="225"/>
      <c r="AF802" s="225"/>
      <c r="AG802" s="225"/>
      <c r="AH802" s="225"/>
      <c r="AI802" s="225"/>
      <c r="AJ802" s="225"/>
      <c r="AK802" s="225"/>
      <c r="AL802" s="225"/>
      <c r="AM802" s="225"/>
      <c r="AN802" s="225"/>
      <c r="AO802" s="225"/>
      <c r="AP802" s="225"/>
      <c r="AQ802" s="225"/>
      <c r="AR802" s="225"/>
    </row>
    <row r="803" spans="1:44" ht="15.75" customHeight="1">
      <c r="A803" s="131"/>
      <c r="B803" s="131"/>
      <c r="C803" s="131"/>
      <c r="D803" s="131"/>
      <c r="E803" s="131"/>
      <c r="F803" s="131"/>
      <c r="G803" s="131"/>
      <c r="H803" s="131"/>
      <c r="I803" s="131"/>
      <c r="J803" s="131"/>
      <c r="K803" s="131"/>
      <c r="L803" s="225"/>
      <c r="M803" s="225"/>
      <c r="N803" s="225"/>
      <c r="O803" s="225"/>
      <c r="P803" s="225"/>
      <c r="Q803" s="225"/>
      <c r="R803" s="225"/>
      <c r="S803" s="225"/>
      <c r="T803" s="225"/>
      <c r="U803" s="225"/>
      <c r="V803" s="225"/>
      <c r="W803" s="225"/>
      <c r="X803" s="225"/>
      <c r="Y803" s="225"/>
      <c r="Z803" s="225"/>
      <c r="AA803" s="225"/>
      <c r="AB803" s="225"/>
      <c r="AC803" s="225"/>
      <c r="AD803" s="225"/>
      <c r="AE803" s="225"/>
      <c r="AF803" s="225"/>
      <c r="AG803" s="225"/>
      <c r="AH803" s="225"/>
      <c r="AI803" s="225"/>
      <c r="AJ803" s="225"/>
      <c r="AK803" s="225"/>
      <c r="AL803" s="225"/>
      <c r="AM803" s="225"/>
      <c r="AN803" s="225"/>
      <c r="AO803" s="225"/>
      <c r="AP803" s="225"/>
      <c r="AQ803" s="225"/>
      <c r="AR803" s="225"/>
    </row>
    <row r="804" spans="1:44" ht="15.75" customHeight="1">
      <c r="A804" s="131"/>
      <c r="B804" s="131"/>
      <c r="C804" s="131"/>
      <c r="D804" s="131"/>
      <c r="E804" s="131"/>
      <c r="F804" s="131"/>
      <c r="G804" s="131"/>
      <c r="H804" s="131"/>
      <c r="I804" s="131"/>
      <c r="J804" s="131"/>
      <c r="K804" s="131"/>
      <c r="L804" s="225"/>
      <c r="M804" s="225"/>
      <c r="N804" s="225"/>
      <c r="O804" s="225"/>
      <c r="P804" s="225"/>
      <c r="Q804" s="225"/>
      <c r="R804" s="225"/>
      <c r="S804" s="225"/>
      <c r="T804" s="225"/>
      <c r="U804" s="225"/>
      <c r="V804" s="225"/>
      <c r="W804" s="225"/>
      <c r="X804" s="225"/>
      <c r="Y804" s="225"/>
      <c r="Z804" s="225"/>
      <c r="AA804" s="225"/>
      <c r="AB804" s="225"/>
      <c r="AC804" s="225"/>
      <c r="AD804" s="225"/>
      <c r="AE804" s="225"/>
      <c r="AF804" s="225"/>
      <c r="AG804" s="225"/>
      <c r="AH804" s="225"/>
      <c r="AI804" s="225"/>
      <c r="AJ804" s="225"/>
      <c r="AK804" s="225"/>
      <c r="AL804" s="225"/>
      <c r="AM804" s="225"/>
      <c r="AN804" s="225"/>
      <c r="AO804" s="225"/>
      <c r="AP804" s="225"/>
      <c r="AQ804" s="225"/>
      <c r="AR804" s="225"/>
    </row>
    <row r="805" spans="1:44" ht="15.75" customHeight="1">
      <c r="A805" s="131"/>
      <c r="B805" s="131"/>
      <c r="C805" s="131"/>
      <c r="D805" s="131"/>
      <c r="E805" s="131"/>
      <c r="F805" s="131"/>
      <c r="G805" s="131"/>
      <c r="H805" s="131"/>
      <c r="I805" s="131"/>
      <c r="J805" s="131"/>
      <c r="K805" s="131"/>
      <c r="L805" s="225"/>
      <c r="M805" s="225"/>
      <c r="N805" s="225"/>
      <c r="O805" s="225"/>
      <c r="P805" s="225"/>
      <c r="Q805" s="225"/>
      <c r="R805" s="225"/>
      <c r="S805" s="225"/>
      <c r="T805" s="225"/>
      <c r="U805" s="225"/>
      <c r="V805" s="225"/>
      <c r="W805" s="225"/>
      <c r="X805" s="225"/>
      <c r="Y805" s="225"/>
      <c r="Z805" s="225"/>
      <c r="AA805" s="225"/>
      <c r="AB805" s="225"/>
      <c r="AC805" s="225"/>
      <c r="AD805" s="225"/>
      <c r="AE805" s="225"/>
      <c r="AF805" s="225"/>
      <c r="AG805" s="225"/>
      <c r="AH805" s="225"/>
      <c r="AI805" s="225"/>
      <c r="AJ805" s="225"/>
      <c r="AK805" s="225"/>
      <c r="AL805" s="225"/>
      <c r="AM805" s="225"/>
      <c r="AN805" s="225"/>
      <c r="AO805" s="225"/>
      <c r="AP805" s="225"/>
      <c r="AQ805" s="225"/>
      <c r="AR805" s="225"/>
    </row>
    <row r="806" spans="1:44" ht="15.75" customHeight="1">
      <c r="A806" s="131"/>
      <c r="B806" s="131"/>
      <c r="C806" s="131"/>
      <c r="D806" s="131"/>
      <c r="E806" s="131"/>
      <c r="F806" s="131"/>
      <c r="G806" s="131"/>
      <c r="H806" s="131"/>
      <c r="I806" s="131"/>
      <c r="J806" s="131"/>
      <c r="K806" s="131"/>
      <c r="L806" s="225"/>
      <c r="M806" s="225"/>
      <c r="N806" s="225"/>
      <c r="O806" s="225"/>
      <c r="P806" s="225"/>
      <c r="Q806" s="225"/>
      <c r="R806" s="225"/>
      <c r="S806" s="225"/>
      <c r="T806" s="225"/>
      <c r="U806" s="225"/>
      <c r="V806" s="225"/>
      <c r="W806" s="225"/>
      <c r="X806" s="225"/>
      <c r="Y806" s="225"/>
      <c r="Z806" s="225"/>
      <c r="AA806" s="225"/>
      <c r="AB806" s="225"/>
      <c r="AC806" s="225"/>
      <c r="AD806" s="225"/>
      <c r="AE806" s="225"/>
      <c r="AF806" s="225"/>
      <c r="AG806" s="225"/>
      <c r="AH806" s="225"/>
      <c r="AI806" s="225"/>
      <c r="AJ806" s="225"/>
      <c r="AK806" s="225"/>
      <c r="AL806" s="225"/>
      <c r="AM806" s="225"/>
      <c r="AN806" s="225"/>
      <c r="AO806" s="225"/>
      <c r="AP806" s="225"/>
      <c r="AQ806" s="225"/>
      <c r="AR806" s="225"/>
    </row>
    <row r="807" spans="1:44" ht="15.75" customHeight="1">
      <c r="A807" s="131"/>
      <c r="B807" s="131"/>
      <c r="C807" s="131"/>
      <c r="D807" s="131"/>
      <c r="E807" s="131"/>
      <c r="F807" s="131"/>
      <c r="G807" s="131"/>
      <c r="H807" s="131"/>
      <c r="I807" s="131"/>
      <c r="J807" s="131"/>
      <c r="K807" s="131"/>
      <c r="L807" s="225"/>
      <c r="M807" s="225"/>
      <c r="N807" s="225"/>
      <c r="O807" s="225"/>
      <c r="P807" s="225"/>
      <c r="Q807" s="225"/>
      <c r="R807" s="225"/>
      <c r="S807" s="225"/>
      <c r="T807" s="225"/>
      <c r="U807" s="225"/>
      <c r="V807" s="225"/>
      <c r="W807" s="225"/>
      <c r="X807" s="225"/>
      <c r="Y807" s="225"/>
      <c r="Z807" s="225"/>
      <c r="AA807" s="225"/>
      <c r="AB807" s="225"/>
      <c r="AC807" s="225"/>
      <c r="AD807" s="225"/>
      <c r="AE807" s="225"/>
      <c r="AF807" s="225"/>
      <c r="AG807" s="225"/>
      <c r="AH807" s="225"/>
      <c r="AI807" s="225"/>
      <c r="AJ807" s="225"/>
      <c r="AK807" s="225"/>
      <c r="AL807" s="225"/>
      <c r="AM807" s="225"/>
      <c r="AN807" s="225"/>
      <c r="AO807" s="225"/>
      <c r="AP807" s="225"/>
      <c r="AQ807" s="225"/>
      <c r="AR807" s="225"/>
    </row>
    <row r="808" spans="1:44" ht="15.75" customHeight="1">
      <c r="A808" s="131"/>
      <c r="B808" s="131"/>
      <c r="C808" s="131"/>
      <c r="D808" s="131"/>
      <c r="E808" s="131"/>
      <c r="F808" s="131"/>
      <c r="G808" s="131"/>
      <c r="H808" s="131"/>
      <c r="I808" s="131"/>
      <c r="J808" s="131"/>
      <c r="K808" s="131"/>
      <c r="L808" s="225"/>
      <c r="M808" s="225"/>
      <c r="N808" s="225"/>
      <c r="O808" s="225"/>
      <c r="P808" s="225"/>
      <c r="Q808" s="225"/>
      <c r="R808" s="225"/>
      <c r="S808" s="225"/>
      <c r="T808" s="225"/>
      <c r="U808" s="225"/>
      <c r="V808" s="225"/>
      <c r="W808" s="225"/>
      <c r="X808" s="225"/>
      <c r="Y808" s="225"/>
      <c r="Z808" s="225"/>
      <c r="AA808" s="225"/>
      <c r="AB808" s="225"/>
      <c r="AC808" s="225"/>
      <c r="AD808" s="225"/>
      <c r="AE808" s="225"/>
      <c r="AF808" s="225"/>
      <c r="AG808" s="225"/>
      <c r="AH808" s="225"/>
      <c r="AI808" s="225"/>
      <c r="AJ808" s="225"/>
      <c r="AK808" s="225"/>
      <c r="AL808" s="225"/>
      <c r="AM808" s="225"/>
      <c r="AN808" s="225"/>
      <c r="AO808" s="225"/>
      <c r="AP808" s="225"/>
      <c r="AQ808" s="225"/>
      <c r="AR808" s="225"/>
    </row>
    <row r="809" spans="1:44" ht="15.75" customHeight="1">
      <c r="A809" s="131"/>
      <c r="B809" s="131"/>
      <c r="C809" s="131"/>
      <c r="D809" s="131"/>
      <c r="E809" s="131"/>
      <c r="F809" s="131"/>
      <c r="G809" s="131"/>
      <c r="H809" s="131"/>
      <c r="I809" s="131"/>
      <c r="J809" s="131"/>
      <c r="K809" s="131"/>
      <c r="L809" s="225"/>
      <c r="M809" s="225"/>
      <c r="N809" s="225"/>
      <c r="O809" s="225"/>
      <c r="P809" s="225"/>
      <c r="Q809" s="225"/>
      <c r="R809" s="225"/>
      <c r="S809" s="225"/>
      <c r="T809" s="225"/>
      <c r="U809" s="225"/>
      <c r="V809" s="225"/>
      <c r="W809" s="225"/>
      <c r="X809" s="225"/>
      <c r="Y809" s="225"/>
      <c r="Z809" s="225"/>
      <c r="AA809" s="225"/>
      <c r="AB809" s="225"/>
      <c r="AC809" s="225"/>
      <c r="AD809" s="225"/>
      <c r="AE809" s="225"/>
      <c r="AF809" s="225"/>
      <c r="AG809" s="225"/>
      <c r="AH809" s="225"/>
      <c r="AI809" s="225"/>
      <c r="AJ809" s="225"/>
      <c r="AK809" s="225"/>
      <c r="AL809" s="225"/>
      <c r="AM809" s="225"/>
      <c r="AN809" s="225"/>
      <c r="AO809" s="225"/>
      <c r="AP809" s="225"/>
      <c r="AQ809" s="225"/>
      <c r="AR809" s="225"/>
    </row>
    <row r="810" spans="1:44" ht="15.75" customHeight="1">
      <c r="A810" s="131"/>
      <c r="B810" s="131"/>
      <c r="C810" s="131"/>
      <c r="D810" s="131"/>
      <c r="E810" s="131"/>
      <c r="F810" s="131"/>
      <c r="G810" s="131"/>
      <c r="H810" s="131"/>
      <c r="I810" s="131"/>
      <c r="J810" s="131"/>
      <c r="K810" s="131"/>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row>
    <row r="811" spans="1:44" ht="15.75" customHeight="1">
      <c r="A811" s="131"/>
      <c r="B811" s="131"/>
      <c r="C811" s="131"/>
      <c r="D811" s="131"/>
      <c r="E811" s="131"/>
      <c r="F811" s="131"/>
      <c r="G811" s="131"/>
      <c r="H811" s="131"/>
      <c r="I811" s="131"/>
      <c r="J811" s="131"/>
      <c r="K811" s="131"/>
      <c r="L811" s="225"/>
      <c r="M811" s="225"/>
      <c r="N811" s="225"/>
      <c r="O811" s="225"/>
      <c r="P811" s="225"/>
      <c r="Q811" s="225"/>
      <c r="R811" s="225"/>
      <c r="S811" s="225"/>
      <c r="T811" s="225"/>
      <c r="U811" s="225"/>
      <c r="V811" s="225"/>
      <c r="W811" s="225"/>
      <c r="X811" s="225"/>
      <c r="Y811" s="225"/>
      <c r="Z811" s="225"/>
      <c r="AA811" s="225"/>
      <c r="AB811" s="225"/>
      <c r="AC811" s="225"/>
      <c r="AD811" s="225"/>
      <c r="AE811" s="225"/>
      <c r="AF811" s="225"/>
      <c r="AG811" s="225"/>
      <c r="AH811" s="225"/>
      <c r="AI811" s="225"/>
      <c r="AJ811" s="225"/>
      <c r="AK811" s="225"/>
      <c r="AL811" s="225"/>
      <c r="AM811" s="225"/>
      <c r="AN811" s="225"/>
      <c r="AO811" s="225"/>
      <c r="AP811" s="225"/>
      <c r="AQ811" s="225"/>
      <c r="AR811" s="225"/>
    </row>
    <row r="812" spans="1:44" ht="15.75" customHeight="1">
      <c r="A812" s="131"/>
      <c r="B812" s="131"/>
      <c r="C812" s="131"/>
      <c r="D812" s="131"/>
      <c r="E812" s="131"/>
      <c r="F812" s="131"/>
      <c r="G812" s="131"/>
      <c r="H812" s="131"/>
      <c r="I812" s="131"/>
      <c r="J812" s="131"/>
      <c r="K812" s="131"/>
      <c r="L812" s="225"/>
      <c r="M812" s="225"/>
      <c r="N812" s="225"/>
      <c r="O812" s="225"/>
      <c r="P812" s="225"/>
      <c r="Q812" s="225"/>
      <c r="R812" s="225"/>
      <c r="S812" s="225"/>
      <c r="T812" s="225"/>
      <c r="U812" s="225"/>
      <c r="V812" s="225"/>
      <c r="W812" s="225"/>
      <c r="X812" s="225"/>
      <c r="Y812" s="225"/>
      <c r="Z812" s="225"/>
      <c r="AA812" s="225"/>
      <c r="AB812" s="225"/>
      <c r="AC812" s="225"/>
      <c r="AD812" s="225"/>
      <c r="AE812" s="225"/>
      <c r="AF812" s="225"/>
      <c r="AG812" s="225"/>
      <c r="AH812" s="225"/>
      <c r="AI812" s="225"/>
      <c r="AJ812" s="225"/>
      <c r="AK812" s="225"/>
      <c r="AL812" s="225"/>
      <c r="AM812" s="225"/>
      <c r="AN812" s="225"/>
      <c r="AO812" s="225"/>
      <c r="AP812" s="225"/>
      <c r="AQ812" s="225"/>
      <c r="AR812" s="225"/>
    </row>
    <row r="813" spans="1:44" ht="15.75" customHeight="1">
      <c r="A813" s="131"/>
      <c r="B813" s="131"/>
      <c r="C813" s="131"/>
      <c r="D813" s="131"/>
      <c r="E813" s="131"/>
      <c r="F813" s="131"/>
      <c r="G813" s="131"/>
      <c r="H813" s="131"/>
      <c r="I813" s="131"/>
      <c r="J813" s="131"/>
      <c r="K813" s="131"/>
      <c r="L813" s="225"/>
      <c r="M813" s="225"/>
      <c r="N813" s="225"/>
      <c r="O813" s="225"/>
      <c r="P813" s="225"/>
      <c r="Q813" s="225"/>
      <c r="R813" s="225"/>
      <c r="S813" s="225"/>
      <c r="T813" s="225"/>
      <c r="U813" s="225"/>
      <c r="V813" s="225"/>
      <c r="W813" s="225"/>
      <c r="X813" s="225"/>
      <c r="Y813" s="225"/>
      <c r="Z813" s="225"/>
      <c r="AA813" s="225"/>
      <c r="AB813" s="225"/>
      <c r="AC813" s="225"/>
      <c r="AD813" s="225"/>
      <c r="AE813" s="225"/>
      <c r="AF813" s="225"/>
      <c r="AG813" s="225"/>
      <c r="AH813" s="225"/>
      <c r="AI813" s="225"/>
      <c r="AJ813" s="225"/>
      <c r="AK813" s="225"/>
      <c r="AL813" s="225"/>
      <c r="AM813" s="225"/>
      <c r="AN813" s="225"/>
      <c r="AO813" s="225"/>
      <c r="AP813" s="225"/>
      <c r="AQ813" s="225"/>
      <c r="AR813" s="225"/>
    </row>
    <row r="814" spans="1:44" ht="15.75" customHeight="1">
      <c r="A814" s="131"/>
      <c r="B814" s="131"/>
      <c r="C814" s="131"/>
      <c r="D814" s="131"/>
      <c r="E814" s="131"/>
      <c r="F814" s="131"/>
      <c r="G814" s="131"/>
      <c r="H814" s="131"/>
      <c r="I814" s="131"/>
      <c r="J814" s="131"/>
      <c r="K814" s="131"/>
      <c r="L814" s="225"/>
      <c r="M814" s="225"/>
      <c r="N814" s="225"/>
      <c r="O814" s="225"/>
      <c r="P814" s="225"/>
      <c r="Q814" s="225"/>
      <c r="R814" s="225"/>
      <c r="S814" s="225"/>
      <c r="T814" s="225"/>
      <c r="U814" s="225"/>
      <c r="V814" s="225"/>
      <c r="W814" s="225"/>
      <c r="X814" s="225"/>
      <c r="Y814" s="225"/>
      <c r="Z814" s="225"/>
      <c r="AA814" s="225"/>
      <c r="AB814" s="225"/>
      <c r="AC814" s="225"/>
      <c r="AD814" s="225"/>
      <c r="AE814" s="225"/>
      <c r="AF814" s="225"/>
      <c r="AG814" s="225"/>
      <c r="AH814" s="225"/>
      <c r="AI814" s="225"/>
      <c r="AJ814" s="225"/>
      <c r="AK814" s="225"/>
      <c r="AL814" s="225"/>
      <c r="AM814" s="225"/>
      <c r="AN814" s="225"/>
      <c r="AO814" s="225"/>
      <c r="AP814" s="225"/>
      <c r="AQ814" s="225"/>
      <c r="AR814" s="225"/>
    </row>
    <row r="815" spans="1:44" ht="15.75" customHeight="1">
      <c r="A815" s="131"/>
      <c r="B815" s="131"/>
      <c r="C815" s="131"/>
      <c r="D815" s="131"/>
      <c r="E815" s="131"/>
      <c r="F815" s="131"/>
      <c r="G815" s="131"/>
      <c r="H815" s="131"/>
      <c r="I815" s="131"/>
      <c r="J815" s="131"/>
      <c r="K815" s="131"/>
      <c r="L815" s="225"/>
      <c r="M815" s="225"/>
      <c r="N815" s="225"/>
      <c r="O815" s="225"/>
      <c r="P815" s="225"/>
      <c r="Q815" s="225"/>
      <c r="R815" s="225"/>
      <c r="S815" s="225"/>
      <c r="T815" s="225"/>
      <c r="U815" s="225"/>
      <c r="V815" s="225"/>
      <c r="W815" s="225"/>
      <c r="X815" s="225"/>
      <c r="Y815" s="225"/>
      <c r="Z815" s="225"/>
      <c r="AA815" s="225"/>
      <c r="AB815" s="225"/>
      <c r="AC815" s="225"/>
      <c r="AD815" s="225"/>
      <c r="AE815" s="225"/>
      <c r="AF815" s="225"/>
      <c r="AG815" s="225"/>
      <c r="AH815" s="225"/>
      <c r="AI815" s="225"/>
      <c r="AJ815" s="225"/>
      <c r="AK815" s="225"/>
      <c r="AL815" s="225"/>
      <c r="AM815" s="225"/>
      <c r="AN815" s="225"/>
      <c r="AO815" s="225"/>
      <c r="AP815" s="225"/>
      <c r="AQ815" s="225"/>
      <c r="AR815" s="225"/>
    </row>
    <row r="816" spans="1:44" ht="15.75" customHeight="1">
      <c r="A816" s="131"/>
      <c r="B816" s="131"/>
      <c r="C816" s="131"/>
      <c r="D816" s="131"/>
      <c r="E816" s="131"/>
      <c r="F816" s="131"/>
      <c r="G816" s="131"/>
      <c r="H816" s="131"/>
      <c r="I816" s="131"/>
      <c r="J816" s="131"/>
      <c r="K816" s="131"/>
      <c r="L816" s="225"/>
      <c r="M816" s="225"/>
      <c r="N816" s="225"/>
      <c r="O816" s="225"/>
      <c r="P816" s="225"/>
      <c r="Q816" s="225"/>
      <c r="R816" s="225"/>
      <c r="S816" s="225"/>
      <c r="T816" s="225"/>
      <c r="U816" s="225"/>
      <c r="V816" s="225"/>
      <c r="W816" s="225"/>
      <c r="X816" s="225"/>
      <c r="Y816" s="225"/>
      <c r="Z816" s="225"/>
      <c r="AA816" s="225"/>
      <c r="AB816" s="225"/>
      <c r="AC816" s="225"/>
      <c r="AD816" s="225"/>
      <c r="AE816" s="225"/>
      <c r="AF816" s="225"/>
      <c r="AG816" s="225"/>
      <c r="AH816" s="225"/>
      <c r="AI816" s="225"/>
      <c r="AJ816" s="225"/>
      <c r="AK816" s="225"/>
      <c r="AL816" s="225"/>
      <c r="AM816" s="225"/>
      <c r="AN816" s="225"/>
      <c r="AO816" s="225"/>
      <c r="AP816" s="225"/>
      <c r="AQ816" s="225"/>
      <c r="AR816" s="225"/>
    </row>
    <row r="817" spans="1:44" ht="15.75" customHeight="1">
      <c r="A817" s="131"/>
      <c r="B817" s="131"/>
      <c r="C817" s="131"/>
      <c r="D817" s="131"/>
      <c r="E817" s="131"/>
      <c r="F817" s="131"/>
      <c r="G817" s="131"/>
      <c r="H817" s="131"/>
      <c r="I817" s="131"/>
      <c r="J817" s="131"/>
      <c r="K817" s="131"/>
      <c r="L817" s="225"/>
      <c r="M817" s="225"/>
      <c r="N817" s="225"/>
      <c r="O817" s="225"/>
      <c r="P817" s="225"/>
      <c r="Q817" s="225"/>
      <c r="R817" s="225"/>
      <c r="S817" s="225"/>
      <c r="T817" s="225"/>
      <c r="U817" s="225"/>
      <c r="V817" s="225"/>
      <c r="W817" s="225"/>
      <c r="X817" s="225"/>
      <c r="Y817" s="225"/>
      <c r="Z817" s="225"/>
      <c r="AA817" s="225"/>
      <c r="AB817" s="225"/>
      <c r="AC817" s="225"/>
      <c r="AD817" s="225"/>
      <c r="AE817" s="225"/>
      <c r="AF817" s="225"/>
      <c r="AG817" s="225"/>
      <c r="AH817" s="225"/>
      <c r="AI817" s="225"/>
      <c r="AJ817" s="225"/>
      <c r="AK817" s="225"/>
      <c r="AL817" s="225"/>
      <c r="AM817" s="225"/>
      <c r="AN817" s="225"/>
      <c r="AO817" s="225"/>
      <c r="AP817" s="225"/>
      <c r="AQ817" s="225"/>
      <c r="AR817" s="225"/>
    </row>
    <row r="818" spans="1:44" ht="15.75" customHeight="1">
      <c r="A818" s="131"/>
      <c r="B818" s="131"/>
      <c r="C818" s="131"/>
      <c r="D818" s="131"/>
      <c r="E818" s="131"/>
      <c r="F818" s="131"/>
      <c r="G818" s="131"/>
      <c r="H818" s="131"/>
      <c r="I818" s="131"/>
      <c r="J818" s="131"/>
      <c r="K818" s="131"/>
      <c r="L818" s="225"/>
      <c r="M818" s="225"/>
      <c r="N818" s="225"/>
      <c r="O818" s="225"/>
      <c r="P818" s="225"/>
      <c r="Q818" s="225"/>
      <c r="R818" s="225"/>
      <c r="S818" s="225"/>
      <c r="T818" s="225"/>
      <c r="U818" s="225"/>
      <c r="V818" s="225"/>
      <c r="W818" s="225"/>
      <c r="X818" s="225"/>
      <c r="Y818" s="225"/>
      <c r="Z818" s="225"/>
      <c r="AA818" s="225"/>
      <c r="AB818" s="225"/>
      <c r="AC818" s="225"/>
      <c r="AD818" s="225"/>
      <c r="AE818" s="225"/>
      <c r="AF818" s="225"/>
      <c r="AG818" s="225"/>
      <c r="AH818" s="225"/>
      <c r="AI818" s="225"/>
      <c r="AJ818" s="225"/>
      <c r="AK818" s="225"/>
      <c r="AL818" s="225"/>
      <c r="AM818" s="225"/>
      <c r="AN818" s="225"/>
      <c r="AO818" s="225"/>
      <c r="AP818" s="225"/>
      <c r="AQ818" s="225"/>
      <c r="AR818" s="225"/>
    </row>
    <row r="819" spans="1:44" ht="15.75" customHeight="1">
      <c r="A819" s="131"/>
      <c r="B819" s="131"/>
      <c r="C819" s="131"/>
      <c r="D819" s="131"/>
      <c r="E819" s="131"/>
      <c r="F819" s="131"/>
      <c r="G819" s="131"/>
      <c r="H819" s="131"/>
      <c r="I819" s="131"/>
      <c r="J819" s="131"/>
      <c r="K819" s="131"/>
      <c r="L819" s="225"/>
      <c r="M819" s="225"/>
      <c r="N819" s="225"/>
      <c r="O819" s="225"/>
      <c r="P819" s="225"/>
      <c r="Q819" s="225"/>
      <c r="R819" s="225"/>
      <c r="S819" s="225"/>
      <c r="T819" s="225"/>
      <c r="U819" s="225"/>
      <c r="V819" s="225"/>
      <c r="W819" s="225"/>
      <c r="X819" s="225"/>
      <c r="Y819" s="225"/>
      <c r="Z819" s="225"/>
      <c r="AA819" s="225"/>
      <c r="AB819" s="225"/>
      <c r="AC819" s="225"/>
      <c r="AD819" s="225"/>
      <c r="AE819" s="225"/>
      <c r="AF819" s="225"/>
      <c r="AG819" s="225"/>
      <c r="AH819" s="225"/>
      <c r="AI819" s="225"/>
      <c r="AJ819" s="225"/>
      <c r="AK819" s="225"/>
      <c r="AL819" s="225"/>
      <c r="AM819" s="225"/>
      <c r="AN819" s="225"/>
      <c r="AO819" s="225"/>
      <c r="AP819" s="225"/>
      <c r="AQ819" s="225"/>
      <c r="AR819" s="225"/>
    </row>
    <row r="820" spans="1:44" ht="15.75" customHeight="1">
      <c r="A820" s="131"/>
      <c r="B820" s="131"/>
      <c r="C820" s="131"/>
      <c r="D820" s="131"/>
      <c r="E820" s="131"/>
      <c r="F820" s="131"/>
      <c r="G820" s="131"/>
      <c r="H820" s="131"/>
      <c r="I820" s="131"/>
      <c r="J820" s="131"/>
      <c r="K820" s="131"/>
      <c r="L820" s="225"/>
      <c r="M820" s="225"/>
      <c r="N820" s="225"/>
      <c r="O820" s="225"/>
      <c r="P820" s="225"/>
      <c r="Q820" s="225"/>
      <c r="R820" s="225"/>
      <c r="S820" s="225"/>
      <c r="T820" s="225"/>
      <c r="U820" s="225"/>
      <c r="V820" s="225"/>
      <c r="W820" s="225"/>
      <c r="X820" s="225"/>
      <c r="Y820" s="225"/>
      <c r="Z820" s="225"/>
      <c r="AA820" s="225"/>
      <c r="AB820" s="225"/>
      <c r="AC820" s="225"/>
      <c r="AD820" s="225"/>
      <c r="AE820" s="225"/>
      <c r="AF820" s="225"/>
      <c r="AG820" s="225"/>
      <c r="AH820" s="225"/>
      <c r="AI820" s="225"/>
      <c r="AJ820" s="225"/>
      <c r="AK820" s="225"/>
      <c r="AL820" s="225"/>
      <c r="AM820" s="225"/>
      <c r="AN820" s="225"/>
      <c r="AO820" s="225"/>
      <c r="AP820" s="225"/>
      <c r="AQ820" s="225"/>
      <c r="AR820" s="225"/>
    </row>
    <row r="821" spans="1:44" ht="15.75" customHeight="1">
      <c r="A821" s="131"/>
      <c r="B821" s="131"/>
      <c r="C821" s="131"/>
      <c r="D821" s="131"/>
      <c r="E821" s="131"/>
      <c r="F821" s="131"/>
      <c r="G821" s="131"/>
      <c r="H821" s="131"/>
      <c r="I821" s="131"/>
      <c r="J821" s="131"/>
      <c r="K821" s="131"/>
      <c r="L821" s="225"/>
      <c r="M821" s="225"/>
      <c r="N821" s="225"/>
      <c r="O821" s="225"/>
      <c r="P821" s="225"/>
      <c r="Q821" s="225"/>
      <c r="R821" s="225"/>
      <c r="S821" s="225"/>
      <c r="T821" s="225"/>
      <c r="U821" s="225"/>
      <c r="V821" s="225"/>
      <c r="W821" s="225"/>
      <c r="X821" s="225"/>
      <c r="Y821" s="225"/>
      <c r="Z821" s="225"/>
      <c r="AA821" s="225"/>
      <c r="AB821" s="225"/>
      <c r="AC821" s="225"/>
      <c r="AD821" s="225"/>
      <c r="AE821" s="225"/>
      <c r="AF821" s="225"/>
      <c r="AG821" s="225"/>
      <c r="AH821" s="225"/>
      <c r="AI821" s="225"/>
      <c r="AJ821" s="225"/>
      <c r="AK821" s="225"/>
      <c r="AL821" s="225"/>
      <c r="AM821" s="225"/>
      <c r="AN821" s="225"/>
      <c r="AO821" s="225"/>
      <c r="AP821" s="225"/>
      <c r="AQ821" s="225"/>
      <c r="AR821" s="225"/>
    </row>
    <row r="822" spans="1:44" ht="15.75" customHeight="1">
      <c r="A822" s="131"/>
      <c r="B822" s="131"/>
      <c r="C822" s="131"/>
      <c r="D822" s="131"/>
      <c r="E822" s="131"/>
      <c r="F822" s="131"/>
      <c r="G822" s="131"/>
      <c r="H822" s="131"/>
      <c r="I822" s="131"/>
      <c r="J822" s="131"/>
      <c r="K822" s="131"/>
      <c r="L822" s="225"/>
      <c r="M822" s="225"/>
      <c r="N822" s="225"/>
      <c r="O822" s="225"/>
      <c r="P822" s="225"/>
      <c r="Q822" s="225"/>
      <c r="R822" s="225"/>
      <c r="S822" s="225"/>
      <c r="T822" s="225"/>
      <c r="U822" s="225"/>
      <c r="V822" s="225"/>
      <c r="W822" s="225"/>
      <c r="X822" s="225"/>
      <c r="Y822" s="225"/>
      <c r="Z822" s="225"/>
      <c r="AA822" s="225"/>
      <c r="AB822" s="225"/>
      <c r="AC822" s="225"/>
      <c r="AD822" s="225"/>
      <c r="AE822" s="225"/>
      <c r="AF822" s="225"/>
      <c r="AG822" s="225"/>
      <c r="AH822" s="225"/>
      <c r="AI822" s="225"/>
      <c r="AJ822" s="225"/>
      <c r="AK822" s="225"/>
      <c r="AL822" s="225"/>
      <c r="AM822" s="225"/>
      <c r="AN822" s="225"/>
      <c r="AO822" s="225"/>
      <c r="AP822" s="225"/>
      <c r="AQ822" s="225"/>
      <c r="AR822" s="225"/>
    </row>
    <row r="823" spans="1:44" ht="15.75" customHeight="1">
      <c r="A823" s="131"/>
      <c r="B823" s="131"/>
      <c r="C823" s="131"/>
      <c r="D823" s="131"/>
      <c r="E823" s="131"/>
      <c r="F823" s="131"/>
      <c r="G823" s="131"/>
      <c r="H823" s="131"/>
      <c r="I823" s="131"/>
      <c r="J823" s="131"/>
      <c r="K823" s="131"/>
      <c r="L823" s="225"/>
      <c r="M823" s="225"/>
      <c r="N823" s="225"/>
      <c r="O823" s="225"/>
      <c r="P823" s="225"/>
      <c r="Q823" s="225"/>
      <c r="R823" s="225"/>
      <c r="S823" s="225"/>
      <c r="T823" s="225"/>
      <c r="U823" s="225"/>
      <c r="V823" s="225"/>
      <c r="W823" s="225"/>
      <c r="X823" s="225"/>
      <c r="Y823" s="225"/>
      <c r="Z823" s="225"/>
      <c r="AA823" s="225"/>
      <c r="AB823" s="225"/>
      <c r="AC823" s="225"/>
      <c r="AD823" s="225"/>
      <c r="AE823" s="225"/>
      <c r="AF823" s="225"/>
      <c r="AG823" s="225"/>
      <c r="AH823" s="225"/>
      <c r="AI823" s="225"/>
      <c r="AJ823" s="225"/>
      <c r="AK823" s="225"/>
      <c r="AL823" s="225"/>
      <c r="AM823" s="225"/>
      <c r="AN823" s="225"/>
      <c r="AO823" s="225"/>
      <c r="AP823" s="225"/>
      <c r="AQ823" s="225"/>
      <c r="AR823" s="225"/>
    </row>
    <row r="824" spans="1:44" ht="15.75" customHeight="1">
      <c r="A824" s="131"/>
      <c r="B824" s="131"/>
      <c r="C824" s="131"/>
      <c r="D824" s="131"/>
      <c r="E824" s="131"/>
      <c r="F824" s="131"/>
      <c r="G824" s="131"/>
      <c r="H824" s="131"/>
      <c r="I824" s="131"/>
      <c r="J824" s="131"/>
      <c r="K824" s="131"/>
      <c r="L824" s="225"/>
      <c r="M824" s="225"/>
      <c r="N824" s="225"/>
      <c r="O824" s="225"/>
      <c r="P824" s="225"/>
      <c r="Q824" s="225"/>
      <c r="R824" s="225"/>
      <c r="S824" s="225"/>
      <c r="T824" s="225"/>
      <c r="U824" s="225"/>
      <c r="V824" s="225"/>
      <c r="W824" s="225"/>
      <c r="X824" s="225"/>
      <c r="Y824" s="225"/>
      <c r="Z824" s="225"/>
      <c r="AA824" s="225"/>
      <c r="AB824" s="225"/>
      <c r="AC824" s="225"/>
      <c r="AD824" s="225"/>
      <c r="AE824" s="225"/>
      <c r="AF824" s="225"/>
      <c r="AG824" s="225"/>
      <c r="AH824" s="225"/>
      <c r="AI824" s="225"/>
      <c r="AJ824" s="225"/>
      <c r="AK824" s="225"/>
      <c r="AL824" s="225"/>
      <c r="AM824" s="225"/>
      <c r="AN824" s="225"/>
      <c r="AO824" s="225"/>
      <c r="AP824" s="225"/>
      <c r="AQ824" s="225"/>
      <c r="AR824" s="225"/>
    </row>
    <row r="825" spans="1:44" ht="15.75" customHeight="1">
      <c r="A825" s="131"/>
      <c r="B825" s="131"/>
      <c r="C825" s="131"/>
      <c r="D825" s="131"/>
      <c r="E825" s="131"/>
      <c r="F825" s="131"/>
      <c r="G825" s="131"/>
      <c r="H825" s="131"/>
      <c r="I825" s="131"/>
      <c r="J825" s="131"/>
      <c r="K825" s="131"/>
      <c r="L825" s="225"/>
      <c r="M825" s="225"/>
      <c r="N825" s="225"/>
      <c r="O825" s="225"/>
      <c r="P825" s="225"/>
      <c r="Q825" s="225"/>
      <c r="R825" s="225"/>
      <c r="S825" s="225"/>
      <c r="T825" s="225"/>
      <c r="U825" s="225"/>
      <c r="V825" s="225"/>
      <c r="W825" s="225"/>
      <c r="X825" s="225"/>
      <c r="Y825" s="225"/>
      <c r="Z825" s="225"/>
      <c r="AA825" s="225"/>
      <c r="AB825" s="225"/>
      <c r="AC825" s="225"/>
      <c r="AD825" s="225"/>
      <c r="AE825" s="225"/>
      <c r="AF825" s="225"/>
      <c r="AG825" s="225"/>
      <c r="AH825" s="225"/>
      <c r="AI825" s="225"/>
      <c r="AJ825" s="225"/>
      <c r="AK825" s="225"/>
      <c r="AL825" s="225"/>
      <c r="AM825" s="225"/>
      <c r="AN825" s="225"/>
      <c r="AO825" s="225"/>
      <c r="AP825" s="225"/>
      <c r="AQ825" s="225"/>
      <c r="AR825" s="225"/>
    </row>
    <row r="826" spans="1:44" ht="15.75" customHeight="1">
      <c r="A826" s="131"/>
      <c r="B826" s="131"/>
      <c r="C826" s="131"/>
      <c r="D826" s="131"/>
      <c r="E826" s="131"/>
      <c r="F826" s="131"/>
      <c r="G826" s="131"/>
      <c r="H826" s="131"/>
      <c r="I826" s="131"/>
      <c r="J826" s="131"/>
      <c r="K826" s="131"/>
      <c r="L826" s="225"/>
      <c r="M826" s="225"/>
      <c r="N826" s="225"/>
      <c r="O826" s="225"/>
      <c r="P826" s="225"/>
      <c r="Q826" s="225"/>
      <c r="R826" s="225"/>
      <c r="S826" s="225"/>
      <c r="T826" s="225"/>
      <c r="U826" s="225"/>
      <c r="V826" s="225"/>
      <c r="W826" s="225"/>
      <c r="X826" s="225"/>
      <c r="Y826" s="225"/>
      <c r="Z826" s="225"/>
      <c r="AA826" s="225"/>
      <c r="AB826" s="225"/>
      <c r="AC826" s="225"/>
      <c r="AD826" s="225"/>
      <c r="AE826" s="225"/>
      <c r="AF826" s="225"/>
      <c r="AG826" s="225"/>
      <c r="AH826" s="225"/>
      <c r="AI826" s="225"/>
      <c r="AJ826" s="225"/>
      <c r="AK826" s="225"/>
      <c r="AL826" s="225"/>
      <c r="AM826" s="225"/>
      <c r="AN826" s="225"/>
      <c r="AO826" s="225"/>
      <c r="AP826" s="225"/>
      <c r="AQ826" s="225"/>
      <c r="AR826" s="225"/>
    </row>
    <row r="827" spans="1:44" ht="15.75" customHeight="1">
      <c r="A827" s="131"/>
      <c r="B827" s="131"/>
      <c r="C827" s="131"/>
      <c r="D827" s="131"/>
      <c r="E827" s="131"/>
      <c r="F827" s="131"/>
      <c r="G827" s="131"/>
      <c r="H827" s="131"/>
      <c r="I827" s="131"/>
      <c r="J827" s="131"/>
      <c r="K827" s="131"/>
      <c r="L827" s="225"/>
      <c r="M827" s="225"/>
      <c r="N827" s="225"/>
      <c r="O827" s="225"/>
      <c r="P827" s="225"/>
      <c r="Q827" s="225"/>
      <c r="R827" s="225"/>
      <c r="S827" s="225"/>
      <c r="T827" s="225"/>
      <c r="U827" s="225"/>
      <c r="V827" s="225"/>
      <c r="W827" s="225"/>
      <c r="X827" s="225"/>
      <c r="Y827" s="225"/>
      <c r="Z827" s="225"/>
      <c r="AA827" s="225"/>
      <c r="AB827" s="225"/>
      <c r="AC827" s="225"/>
      <c r="AD827" s="225"/>
      <c r="AE827" s="225"/>
      <c r="AF827" s="225"/>
      <c r="AG827" s="225"/>
      <c r="AH827" s="225"/>
      <c r="AI827" s="225"/>
      <c r="AJ827" s="225"/>
      <c r="AK827" s="225"/>
      <c r="AL827" s="225"/>
      <c r="AM827" s="225"/>
      <c r="AN827" s="225"/>
      <c r="AO827" s="225"/>
      <c r="AP827" s="225"/>
      <c r="AQ827" s="225"/>
      <c r="AR827" s="225"/>
    </row>
    <row r="828" spans="1:44" ht="15.75" customHeight="1">
      <c r="A828" s="131"/>
      <c r="B828" s="131"/>
      <c r="C828" s="131"/>
      <c r="D828" s="131"/>
      <c r="E828" s="131"/>
      <c r="F828" s="131"/>
      <c r="G828" s="131"/>
      <c r="H828" s="131"/>
      <c r="I828" s="131"/>
      <c r="J828" s="131"/>
      <c r="K828" s="131"/>
      <c r="L828" s="225"/>
      <c r="M828" s="225"/>
      <c r="N828" s="225"/>
      <c r="O828" s="225"/>
      <c r="P828" s="225"/>
      <c r="Q828" s="225"/>
      <c r="R828" s="225"/>
      <c r="S828" s="225"/>
      <c r="T828" s="225"/>
      <c r="U828" s="225"/>
      <c r="V828" s="225"/>
      <c r="W828" s="225"/>
      <c r="X828" s="225"/>
      <c r="Y828" s="225"/>
      <c r="Z828" s="225"/>
      <c r="AA828" s="225"/>
      <c r="AB828" s="225"/>
      <c r="AC828" s="225"/>
      <c r="AD828" s="225"/>
      <c r="AE828" s="225"/>
      <c r="AF828" s="225"/>
      <c r="AG828" s="225"/>
      <c r="AH828" s="225"/>
      <c r="AI828" s="225"/>
      <c r="AJ828" s="225"/>
      <c r="AK828" s="225"/>
      <c r="AL828" s="225"/>
      <c r="AM828" s="225"/>
      <c r="AN828" s="225"/>
      <c r="AO828" s="225"/>
      <c r="AP828" s="225"/>
      <c r="AQ828" s="225"/>
      <c r="AR828" s="225"/>
    </row>
    <row r="829" spans="1:44" ht="15.75" customHeight="1">
      <c r="A829" s="131"/>
      <c r="B829" s="131"/>
      <c r="C829" s="131"/>
      <c r="D829" s="131"/>
      <c r="E829" s="131"/>
      <c r="F829" s="131"/>
      <c r="G829" s="131"/>
      <c r="H829" s="131"/>
      <c r="I829" s="131"/>
      <c r="J829" s="131"/>
      <c r="K829" s="131"/>
      <c r="L829" s="225"/>
      <c r="M829" s="225"/>
      <c r="N829" s="225"/>
      <c r="O829" s="225"/>
      <c r="P829" s="225"/>
      <c r="Q829" s="225"/>
      <c r="R829" s="225"/>
      <c r="S829" s="225"/>
      <c r="T829" s="225"/>
      <c r="U829" s="225"/>
      <c r="V829" s="225"/>
      <c r="W829" s="225"/>
      <c r="X829" s="225"/>
      <c r="Y829" s="225"/>
      <c r="Z829" s="225"/>
      <c r="AA829" s="225"/>
      <c r="AB829" s="225"/>
      <c r="AC829" s="225"/>
      <c r="AD829" s="225"/>
      <c r="AE829" s="225"/>
      <c r="AF829" s="225"/>
      <c r="AG829" s="225"/>
      <c r="AH829" s="225"/>
      <c r="AI829" s="225"/>
      <c r="AJ829" s="225"/>
      <c r="AK829" s="225"/>
      <c r="AL829" s="225"/>
      <c r="AM829" s="225"/>
      <c r="AN829" s="225"/>
      <c r="AO829" s="225"/>
      <c r="AP829" s="225"/>
      <c r="AQ829" s="225"/>
      <c r="AR829" s="225"/>
    </row>
    <row r="830" spans="1:44" ht="15.75" customHeight="1">
      <c r="A830" s="131"/>
      <c r="B830" s="131"/>
      <c r="C830" s="131"/>
      <c r="D830" s="131"/>
      <c r="E830" s="131"/>
      <c r="F830" s="131"/>
      <c r="G830" s="131"/>
      <c r="H830" s="131"/>
      <c r="I830" s="131"/>
      <c r="J830" s="131"/>
      <c r="K830" s="131"/>
      <c r="L830" s="225"/>
      <c r="M830" s="225"/>
      <c r="N830" s="225"/>
      <c r="O830" s="225"/>
      <c r="P830" s="225"/>
      <c r="Q830" s="225"/>
      <c r="R830" s="225"/>
      <c r="S830" s="225"/>
      <c r="T830" s="225"/>
      <c r="U830" s="225"/>
      <c r="V830" s="225"/>
      <c r="W830" s="225"/>
      <c r="X830" s="225"/>
      <c r="Y830" s="225"/>
      <c r="Z830" s="225"/>
      <c r="AA830" s="225"/>
      <c r="AB830" s="225"/>
      <c r="AC830" s="225"/>
      <c r="AD830" s="225"/>
      <c r="AE830" s="225"/>
      <c r="AF830" s="225"/>
      <c r="AG830" s="225"/>
      <c r="AH830" s="225"/>
      <c r="AI830" s="225"/>
      <c r="AJ830" s="225"/>
      <c r="AK830" s="225"/>
      <c r="AL830" s="225"/>
      <c r="AM830" s="225"/>
      <c r="AN830" s="225"/>
      <c r="AO830" s="225"/>
      <c r="AP830" s="225"/>
      <c r="AQ830" s="225"/>
      <c r="AR830" s="225"/>
    </row>
    <row r="831" spans="1:44" ht="15.75" customHeight="1">
      <c r="A831" s="131"/>
      <c r="B831" s="131"/>
      <c r="C831" s="131"/>
      <c r="D831" s="131"/>
      <c r="E831" s="131"/>
      <c r="F831" s="131"/>
      <c r="G831" s="131"/>
      <c r="H831" s="131"/>
      <c r="I831" s="131"/>
      <c r="J831" s="131"/>
      <c r="K831" s="131"/>
      <c r="L831" s="225"/>
      <c r="M831" s="225"/>
      <c r="N831" s="225"/>
      <c r="O831" s="225"/>
      <c r="P831" s="225"/>
      <c r="Q831" s="225"/>
      <c r="R831" s="225"/>
      <c r="S831" s="225"/>
      <c r="T831" s="225"/>
      <c r="U831" s="225"/>
      <c r="V831" s="225"/>
      <c r="W831" s="225"/>
      <c r="X831" s="225"/>
      <c r="Y831" s="225"/>
      <c r="Z831" s="225"/>
      <c r="AA831" s="225"/>
      <c r="AB831" s="225"/>
      <c r="AC831" s="225"/>
      <c r="AD831" s="225"/>
      <c r="AE831" s="225"/>
      <c r="AF831" s="225"/>
      <c r="AG831" s="225"/>
      <c r="AH831" s="225"/>
      <c r="AI831" s="225"/>
      <c r="AJ831" s="225"/>
      <c r="AK831" s="225"/>
      <c r="AL831" s="225"/>
      <c r="AM831" s="225"/>
      <c r="AN831" s="225"/>
      <c r="AO831" s="225"/>
      <c r="AP831" s="225"/>
      <c r="AQ831" s="225"/>
      <c r="AR831" s="225"/>
    </row>
    <row r="832" spans="1:44" ht="15.75" customHeight="1">
      <c r="A832" s="131"/>
      <c r="B832" s="131"/>
      <c r="C832" s="131"/>
      <c r="D832" s="131"/>
      <c r="E832" s="131"/>
      <c r="F832" s="131"/>
      <c r="G832" s="131"/>
      <c r="H832" s="131"/>
      <c r="I832" s="131"/>
      <c r="J832" s="131"/>
      <c r="K832" s="131"/>
      <c r="L832" s="225"/>
      <c r="M832" s="225"/>
      <c r="N832" s="225"/>
      <c r="O832" s="225"/>
      <c r="P832" s="225"/>
      <c r="Q832" s="225"/>
      <c r="R832" s="225"/>
      <c r="S832" s="225"/>
      <c r="T832" s="225"/>
      <c r="U832" s="225"/>
      <c r="V832" s="225"/>
      <c r="W832" s="225"/>
      <c r="X832" s="225"/>
      <c r="Y832" s="225"/>
      <c r="Z832" s="225"/>
      <c r="AA832" s="225"/>
      <c r="AB832" s="225"/>
      <c r="AC832" s="225"/>
      <c r="AD832" s="225"/>
      <c r="AE832" s="225"/>
      <c r="AF832" s="225"/>
      <c r="AG832" s="225"/>
      <c r="AH832" s="225"/>
      <c r="AI832" s="225"/>
      <c r="AJ832" s="225"/>
      <c r="AK832" s="225"/>
      <c r="AL832" s="225"/>
      <c r="AM832" s="225"/>
      <c r="AN832" s="225"/>
      <c r="AO832" s="225"/>
      <c r="AP832" s="225"/>
      <c r="AQ832" s="225"/>
      <c r="AR832" s="225"/>
    </row>
    <row r="833" spans="1:44" ht="15.75" customHeight="1">
      <c r="A833" s="131"/>
      <c r="B833" s="131"/>
      <c r="C833" s="131"/>
      <c r="D833" s="131"/>
      <c r="E833" s="131"/>
      <c r="F833" s="131"/>
      <c r="G833" s="131"/>
      <c r="H833" s="131"/>
      <c r="I833" s="131"/>
      <c r="J833" s="131"/>
      <c r="K833" s="131"/>
      <c r="L833" s="225"/>
      <c r="M833" s="225"/>
      <c r="N833" s="225"/>
      <c r="O833" s="225"/>
      <c r="P833" s="225"/>
      <c r="Q833" s="225"/>
      <c r="R833" s="225"/>
      <c r="S833" s="225"/>
      <c r="T833" s="225"/>
      <c r="U833" s="225"/>
      <c r="V833" s="225"/>
      <c r="W833" s="225"/>
      <c r="X833" s="225"/>
      <c r="Y833" s="225"/>
      <c r="Z833" s="225"/>
      <c r="AA833" s="225"/>
      <c r="AB833" s="225"/>
      <c r="AC833" s="225"/>
      <c r="AD833" s="225"/>
      <c r="AE833" s="225"/>
      <c r="AF833" s="225"/>
      <c r="AG833" s="225"/>
      <c r="AH833" s="225"/>
      <c r="AI833" s="225"/>
      <c r="AJ833" s="225"/>
      <c r="AK833" s="225"/>
      <c r="AL833" s="225"/>
      <c r="AM833" s="225"/>
      <c r="AN833" s="225"/>
      <c r="AO833" s="225"/>
      <c r="AP833" s="225"/>
      <c r="AQ833" s="225"/>
      <c r="AR833" s="225"/>
    </row>
    <row r="834" spans="1:44" ht="15.75" customHeight="1">
      <c r="A834" s="131"/>
      <c r="B834" s="131"/>
      <c r="C834" s="131"/>
      <c r="D834" s="131"/>
      <c r="E834" s="131"/>
      <c r="F834" s="131"/>
      <c r="G834" s="131"/>
      <c r="H834" s="131"/>
      <c r="I834" s="131"/>
      <c r="J834" s="131"/>
      <c r="K834" s="131"/>
      <c r="L834" s="225"/>
      <c r="M834" s="225"/>
      <c r="N834" s="225"/>
      <c r="O834" s="225"/>
      <c r="P834" s="225"/>
      <c r="Q834" s="225"/>
      <c r="R834" s="225"/>
      <c r="S834" s="225"/>
      <c r="T834" s="225"/>
      <c r="U834" s="225"/>
      <c r="V834" s="225"/>
      <c r="W834" s="225"/>
      <c r="X834" s="225"/>
      <c r="Y834" s="225"/>
      <c r="Z834" s="225"/>
      <c r="AA834" s="225"/>
      <c r="AB834" s="225"/>
      <c r="AC834" s="225"/>
      <c r="AD834" s="225"/>
      <c r="AE834" s="225"/>
      <c r="AF834" s="225"/>
      <c r="AG834" s="225"/>
      <c r="AH834" s="225"/>
      <c r="AI834" s="225"/>
      <c r="AJ834" s="225"/>
      <c r="AK834" s="225"/>
      <c r="AL834" s="225"/>
      <c r="AM834" s="225"/>
      <c r="AN834" s="225"/>
      <c r="AO834" s="225"/>
      <c r="AP834" s="225"/>
      <c r="AQ834" s="225"/>
      <c r="AR834" s="225"/>
    </row>
    <row r="835" spans="1:44" ht="15.75" customHeight="1">
      <c r="A835" s="131"/>
      <c r="B835" s="131"/>
      <c r="C835" s="131"/>
      <c r="D835" s="131"/>
      <c r="E835" s="131"/>
      <c r="F835" s="131"/>
      <c r="G835" s="131"/>
      <c r="H835" s="131"/>
      <c r="I835" s="131"/>
      <c r="J835" s="131"/>
      <c r="K835" s="131"/>
      <c r="L835" s="225"/>
      <c r="M835" s="225"/>
      <c r="N835" s="225"/>
      <c r="O835" s="225"/>
      <c r="P835" s="225"/>
      <c r="Q835" s="225"/>
      <c r="R835" s="225"/>
      <c r="S835" s="225"/>
      <c r="T835" s="225"/>
      <c r="U835" s="225"/>
      <c r="V835" s="225"/>
      <c r="W835" s="225"/>
      <c r="X835" s="225"/>
      <c r="Y835" s="225"/>
      <c r="Z835" s="225"/>
      <c r="AA835" s="225"/>
      <c r="AB835" s="225"/>
      <c r="AC835" s="225"/>
      <c r="AD835" s="225"/>
      <c r="AE835" s="225"/>
      <c r="AF835" s="225"/>
      <c r="AG835" s="225"/>
      <c r="AH835" s="225"/>
      <c r="AI835" s="225"/>
      <c r="AJ835" s="225"/>
      <c r="AK835" s="225"/>
      <c r="AL835" s="225"/>
      <c r="AM835" s="225"/>
      <c r="AN835" s="225"/>
      <c r="AO835" s="225"/>
      <c r="AP835" s="225"/>
      <c r="AQ835" s="225"/>
      <c r="AR835" s="225"/>
    </row>
    <row r="836" spans="1:44" ht="15.75" customHeight="1">
      <c r="A836" s="131"/>
      <c r="B836" s="131"/>
      <c r="C836" s="131"/>
      <c r="D836" s="131"/>
      <c r="E836" s="131"/>
      <c r="F836" s="131"/>
      <c r="G836" s="131"/>
      <c r="H836" s="131"/>
      <c r="I836" s="131"/>
      <c r="J836" s="131"/>
      <c r="K836" s="131"/>
      <c r="L836" s="225"/>
      <c r="M836" s="225"/>
      <c r="N836" s="225"/>
      <c r="O836" s="225"/>
      <c r="P836" s="225"/>
      <c r="Q836" s="225"/>
      <c r="R836" s="225"/>
      <c r="S836" s="225"/>
      <c r="T836" s="225"/>
      <c r="U836" s="225"/>
      <c r="V836" s="225"/>
      <c r="W836" s="225"/>
      <c r="X836" s="225"/>
      <c r="Y836" s="225"/>
      <c r="Z836" s="225"/>
      <c r="AA836" s="225"/>
      <c r="AB836" s="225"/>
      <c r="AC836" s="225"/>
      <c r="AD836" s="225"/>
      <c r="AE836" s="225"/>
      <c r="AF836" s="225"/>
      <c r="AG836" s="225"/>
      <c r="AH836" s="225"/>
      <c r="AI836" s="225"/>
      <c r="AJ836" s="225"/>
      <c r="AK836" s="225"/>
      <c r="AL836" s="225"/>
      <c r="AM836" s="225"/>
      <c r="AN836" s="225"/>
      <c r="AO836" s="225"/>
      <c r="AP836" s="225"/>
      <c r="AQ836" s="225"/>
      <c r="AR836" s="225"/>
    </row>
    <row r="837" spans="1:44" ht="15.75" customHeight="1">
      <c r="A837" s="131"/>
      <c r="B837" s="131"/>
      <c r="C837" s="131"/>
      <c r="D837" s="131"/>
      <c r="E837" s="131"/>
      <c r="F837" s="131"/>
      <c r="G837" s="131"/>
      <c r="H837" s="131"/>
      <c r="I837" s="131"/>
      <c r="J837" s="131"/>
      <c r="K837" s="131"/>
      <c r="L837" s="225"/>
      <c r="M837" s="225"/>
      <c r="N837" s="225"/>
      <c r="O837" s="225"/>
      <c r="P837" s="225"/>
      <c r="Q837" s="225"/>
      <c r="R837" s="225"/>
      <c r="S837" s="225"/>
      <c r="T837" s="225"/>
      <c r="U837" s="225"/>
      <c r="V837" s="225"/>
      <c r="W837" s="225"/>
      <c r="X837" s="225"/>
      <c r="Y837" s="225"/>
      <c r="Z837" s="225"/>
      <c r="AA837" s="225"/>
      <c r="AB837" s="225"/>
      <c r="AC837" s="225"/>
      <c r="AD837" s="225"/>
      <c r="AE837" s="225"/>
      <c r="AF837" s="225"/>
      <c r="AG837" s="225"/>
      <c r="AH837" s="225"/>
      <c r="AI837" s="225"/>
      <c r="AJ837" s="225"/>
      <c r="AK837" s="225"/>
      <c r="AL837" s="225"/>
      <c r="AM837" s="225"/>
      <c r="AN837" s="225"/>
      <c r="AO837" s="225"/>
      <c r="AP837" s="225"/>
      <c r="AQ837" s="225"/>
      <c r="AR837" s="225"/>
    </row>
    <row r="838" spans="1:44" ht="15.75" customHeight="1">
      <c r="A838" s="131"/>
      <c r="B838" s="131"/>
      <c r="C838" s="131"/>
      <c r="D838" s="131"/>
      <c r="E838" s="131"/>
      <c r="F838" s="131"/>
      <c r="G838" s="131"/>
      <c r="H838" s="131"/>
      <c r="I838" s="131"/>
      <c r="J838" s="131"/>
      <c r="K838" s="131"/>
      <c r="L838" s="225"/>
      <c r="M838" s="225"/>
      <c r="N838" s="225"/>
      <c r="O838" s="225"/>
      <c r="P838" s="225"/>
      <c r="Q838" s="225"/>
      <c r="R838" s="225"/>
      <c r="S838" s="225"/>
      <c r="T838" s="225"/>
      <c r="U838" s="225"/>
      <c r="V838" s="225"/>
      <c r="W838" s="225"/>
      <c r="X838" s="225"/>
      <c r="Y838" s="225"/>
      <c r="Z838" s="225"/>
      <c r="AA838" s="225"/>
      <c r="AB838" s="225"/>
      <c r="AC838" s="225"/>
      <c r="AD838" s="225"/>
      <c r="AE838" s="225"/>
      <c r="AF838" s="225"/>
      <c r="AG838" s="225"/>
      <c r="AH838" s="225"/>
      <c r="AI838" s="225"/>
      <c r="AJ838" s="225"/>
      <c r="AK838" s="225"/>
      <c r="AL838" s="225"/>
      <c r="AM838" s="225"/>
      <c r="AN838" s="225"/>
      <c r="AO838" s="225"/>
      <c r="AP838" s="225"/>
      <c r="AQ838" s="225"/>
      <c r="AR838" s="225"/>
    </row>
    <row r="839" spans="1:44" ht="15.75" customHeight="1">
      <c r="A839" s="131"/>
      <c r="B839" s="131"/>
      <c r="C839" s="131"/>
      <c r="D839" s="131"/>
      <c r="E839" s="131"/>
      <c r="F839" s="131"/>
      <c r="G839" s="131"/>
      <c r="H839" s="131"/>
      <c r="I839" s="131"/>
      <c r="J839" s="131"/>
      <c r="K839" s="131"/>
      <c r="L839" s="225"/>
      <c r="M839" s="225"/>
      <c r="N839" s="225"/>
      <c r="O839" s="225"/>
      <c r="P839" s="225"/>
      <c r="Q839" s="225"/>
      <c r="R839" s="225"/>
      <c r="S839" s="225"/>
      <c r="T839" s="225"/>
      <c r="U839" s="225"/>
      <c r="V839" s="225"/>
      <c r="W839" s="225"/>
      <c r="X839" s="225"/>
      <c r="Y839" s="225"/>
      <c r="Z839" s="225"/>
      <c r="AA839" s="225"/>
      <c r="AB839" s="225"/>
      <c r="AC839" s="225"/>
      <c r="AD839" s="225"/>
      <c r="AE839" s="225"/>
      <c r="AF839" s="225"/>
      <c r="AG839" s="225"/>
      <c r="AH839" s="225"/>
      <c r="AI839" s="225"/>
      <c r="AJ839" s="225"/>
      <c r="AK839" s="225"/>
      <c r="AL839" s="225"/>
      <c r="AM839" s="225"/>
      <c r="AN839" s="225"/>
      <c r="AO839" s="225"/>
      <c r="AP839" s="225"/>
      <c r="AQ839" s="225"/>
      <c r="AR839" s="225"/>
    </row>
    <row r="840" spans="1:44" ht="15.75" customHeight="1">
      <c r="A840" s="131"/>
      <c r="B840" s="131"/>
      <c r="C840" s="131"/>
      <c r="D840" s="131"/>
      <c r="E840" s="131"/>
      <c r="F840" s="131"/>
      <c r="G840" s="131"/>
      <c r="H840" s="131"/>
      <c r="I840" s="131"/>
      <c r="J840" s="131"/>
      <c r="K840" s="131"/>
      <c r="L840" s="225"/>
      <c r="M840" s="225"/>
      <c r="N840" s="225"/>
      <c r="O840" s="225"/>
      <c r="P840" s="225"/>
      <c r="Q840" s="225"/>
      <c r="R840" s="225"/>
      <c r="S840" s="225"/>
      <c r="T840" s="225"/>
      <c r="U840" s="225"/>
      <c r="V840" s="225"/>
      <c r="W840" s="225"/>
      <c r="X840" s="225"/>
      <c r="Y840" s="225"/>
      <c r="Z840" s="225"/>
      <c r="AA840" s="225"/>
      <c r="AB840" s="225"/>
      <c r="AC840" s="225"/>
      <c r="AD840" s="225"/>
      <c r="AE840" s="225"/>
      <c r="AF840" s="225"/>
      <c r="AG840" s="225"/>
      <c r="AH840" s="225"/>
      <c r="AI840" s="225"/>
      <c r="AJ840" s="225"/>
      <c r="AK840" s="225"/>
      <c r="AL840" s="225"/>
      <c r="AM840" s="225"/>
      <c r="AN840" s="225"/>
      <c r="AO840" s="225"/>
      <c r="AP840" s="225"/>
      <c r="AQ840" s="225"/>
      <c r="AR840" s="225"/>
    </row>
    <row r="841" spans="1:44" ht="15.75" customHeight="1">
      <c r="A841" s="131"/>
      <c r="B841" s="131"/>
      <c r="C841" s="131"/>
      <c r="D841" s="131"/>
      <c r="E841" s="131"/>
      <c r="F841" s="131"/>
      <c r="G841" s="131"/>
      <c r="H841" s="131"/>
      <c r="I841" s="131"/>
      <c r="J841" s="131"/>
      <c r="K841" s="131"/>
      <c r="L841" s="225"/>
      <c r="M841" s="225"/>
      <c r="N841" s="225"/>
      <c r="O841" s="225"/>
      <c r="P841" s="225"/>
      <c r="Q841" s="225"/>
      <c r="R841" s="225"/>
      <c r="S841" s="225"/>
      <c r="T841" s="225"/>
      <c r="U841" s="225"/>
      <c r="V841" s="225"/>
      <c r="W841" s="225"/>
      <c r="X841" s="225"/>
      <c r="Y841" s="225"/>
      <c r="Z841" s="225"/>
      <c r="AA841" s="225"/>
      <c r="AB841" s="225"/>
      <c r="AC841" s="225"/>
      <c r="AD841" s="225"/>
      <c r="AE841" s="225"/>
      <c r="AF841" s="225"/>
      <c r="AG841" s="225"/>
      <c r="AH841" s="225"/>
      <c r="AI841" s="225"/>
      <c r="AJ841" s="225"/>
      <c r="AK841" s="225"/>
      <c r="AL841" s="225"/>
      <c r="AM841" s="225"/>
      <c r="AN841" s="225"/>
      <c r="AO841" s="225"/>
      <c r="AP841" s="225"/>
      <c r="AQ841" s="225"/>
      <c r="AR841" s="225"/>
    </row>
    <row r="842" spans="1:44" ht="15.75" customHeight="1">
      <c r="A842" s="131"/>
      <c r="B842" s="131"/>
      <c r="C842" s="131"/>
      <c r="D842" s="131"/>
      <c r="E842" s="131"/>
      <c r="F842" s="131"/>
      <c r="G842" s="131"/>
      <c r="H842" s="131"/>
      <c r="I842" s="131"/>
      <c r="J842" s="131"/>
      <c r="K842" s="131"/>
      <c r="L842" s="225"/>
      <c r="M842" s="225"/>
      <c r="N842" s="225"/>
      <c r="O842" s="225"/>
      <c r="P842" s="225"/>
      <c r="Q842" s="225"/>
      <c r="R842" s="225"/>
      <c r="S842" s="225"/>
      <c r="T842" s="225"/>
      <c r="U842" s="225"/>
      <c r="V842" s="225"/>
      <c r="W842" s="225"/>
      <c r="X842" s="225"/>
      <c r="Y842" s="225"/>
      <c r="Z842" s="225"/>
      <c r="AA842" s="225"/>
      <c r="AB842" s="225"/>
      <c r="AC842" s="225"/>
      <c r="AD842" s="225"/>
      <c r="AE842" s="225"/>
      <c r="AF842" s="225"/>
      <c r="AG842" s="225"/>
      <c r="AH842" s="225"/>
      <c r="AI842" s="225"/>
      <c r="AJ842" s="225"/>
      <c r="AK842" s="225"/>
      <c r="AL842" s="225"/>
      <c r="AM842" s="225"/>
      <c r="AN842" s="225"/>
      <c r="AO842" s="225"/>
      <c r="AP842" s="225"/>
      <c r="AQ842" s="225"/>
      <c r="AR842" s="225"/>
    </row>
    <row r="843" spans="1:44" ht="15.75" customHeight="1">
      <c r="A843" s="131"/>
      <c r="B843" s="131"/>
      <c r="C843" s="131"/>
      <c r="D843" s="131"/>
      <c r="E843" s="131"/>
      <c r="F843" s="131"/>
      <c r="G843" s="131"/>
      <c r="H843" s="131"/>
      <c r="I843" s="131"/>
      <c r="J843" s="131"/>
      <c r="K843" s="131"/>
      <c r="L843" s="225"/>
      <c r="M843" s="225"/>
      <c r="N843" s="225"/>
      <c r="O843" s="225"/>
      <c r="P843" s="225"/>
      <c r="Q843" s="225"/>
      <c r="R843" s="225"/>
      <c r="S843" s="225"/>
      <c r="T843" s="225"/>
      <c r="U843" s="225"/>
      <c r="V843" s="225"/>
      <c r="W843" s="225"/>
      <c r="X843" s="225"/>
      <c r="Y843" s="225"/>
      <c r="Z843" s="225"/>
      <c r="AA843" s="225"/>
      <c r="AB843" s="225"/>
      <c r="AC843" s="225"/>
      <c r="AD843" s="225"/>
      <c r="AE843" s="225"/>
      <c r="AF843" s="225"/>
      <c r="AG843" s="225"/>
      <c r="AH843" s="225"/>
      <c r="AI843" s="225"/>
      <c r="AJ843" s="225"/>
      <c r="AK843" s="225"/>
      <c r="AL843" s="225"/>
      <c r="AM843" s="225"/>
      <c r="AN843" s="225"/>
      <c r="AO843" s="225"/>
      <c r="AP843" s="225"/>
      <c r="AQ843" s="225"/>
      <c r="AR843" s="225"/>
    </row>
    <row r="844" spans="1:44" ht="15.75" customHeight="1">
      <c r="A844" s="131"/>
      <c r="B844" s="131"/>
      <c r="C844" s="131"/>
      <c r="D844" s="131"/>
      <c r="E844" s="131"/>
      <c r="F844" s="131"/>
      <c r="G844" s="131"/>
      <c r="H844" s="131"/>
      <c r="I844" s="131"/>
      <c r="J844" s="131"/>
      <c r="K844" s="131"/>
      <c r="L844" s="225"/>
      <c r="M844" s="225"/>
      <c r="N844" s="225"/>
      <c r="O844" s="225"/>
      <c r="P844" s="225"/>
      <c r="Q844" s="225"/>
      <c r="R844" s="225"/>
      <c r="S844" s="225"/>
      <c r="T844" s="225"/>
      <c r="U844" s="225"/>
      <c r="V844" s="225"/>
      <c r="W844" s="225"/>
      <c r="X844" s="225"/>
      <c r="Y844" s="225"/>
      <c r="Z844" s="225"/>
      <c r="AA844" s="225"/>
      <c r="AB844" s="225"/>
      <c r="AC844" s="225"/>
      <c r="AD844" s="225"/>
      <c r="AE844" s="225"/>
      <c r="AF844" s="225"/>
      <c r="AG844" s="225"/>
      <c r="AH844" s="225"/>
      <c r="AI844" s="225"/>
      <c r="AJ844" s="225"/>
      <c r="AK844" s="225"/>
      <c r="AL844" s="225"/>
      <c r="AM844" s="225"/>
      <c r="AN844" s="225"/>
      <c r="AO844" s="225"/>
      <c r="AP844" s="225"/>
      <c r="AQ844" s="225"/>
      <c r="AR844" s="225"/>
    </row>
    <row r="845" spans="1:44" ht="15.75" customHeight="1">
      <c r="A845" s="131"/>
      <c r="B845" s="131"/>
      <c r="C845" s="131"/>
      <c r="D845" s="131"/>
      <c r="E845" s="131"/>
      <c r="F845" s="131"/>
      <c r="G845" s="131"/>
      <c r="H845" s="131"/>
      <c r="I845" s="131"/>
      <c r="J845" s="131"/>
      <c r="K845" s="131"/>
      <c r="L845" s="225"/>
      <c r="M845" s="225"/>
      <c r="N845" s="225"/>
      <c r="O845" s="225"/>
      <c r="P845" s="225"/>
      <c r="Q845" s="225"/>
      <c r="R845" s="225"/>
      <c r="S845" s="225"/>
      <c r="T845" s="225"/>
      <c r="U845" s="225"/>
      <c r="V845" s="225"/>
      <c r="W845" s="225"/>
      <c r="X845" s="225"/>
      <c r="Y845" s="225"/>
      <c r="Z845" s="225"/>
      <c r="AA845" s="225"/>
      <c r="AB845" s="225"/>
      <c r="AC845" s="225"/>
      <c r="AD845" s="225"/>
      <c r="AE845" s="225"/>
      <c r="AF845" s="225"/>
      <c r="AG845" s="225"/>
      <c r="AH845" s="225"/>
      <c r="AI845" s="225"/>
      <c r="AJ845" s="225"/>
      <c r="AK845" s="225"/>
      <c r="AL845" s="225"/>
      <c r="AM845" s="225"/>
      <c r="AN845" s="225"/>
      <c r="AO845" s="225"/>
      <c r="AP845" s="225"/>
      <c r="AQ845" s="225"/>
      <c r="AR845" s="225"/>
    </row>
    <row r="846" spans="1:44" ht="15.75" customHeight="1">
      <c r="A846" s="131"/>
      <c r="B846" s="131"/>
      <c r="C846" s="131"/>
      <c r="D846" s="131"/>
      <c r="E846" s="131"/>
      <c r="F846" s="131"/>
      <c r="G846" s="131"/>
      <c r="H846" s="131"/>
      <c r="I846" s="131"/>
      <c r="J846" s="131"/>
      <c r="K846" s="131"/>
      <c r="L846" s="225"/>
      <c r="M846" s="225"/>
      <c r="N846" s="225"/>
      <c r="O846" s="225"/>
      <c r="P846" s="225"/>
      <c r="Q846" s="225"/>
      <c r="R846" s="225"/>
      <c r="S846" s="225"/>
      <c r="T846" s="225"/>
      <c r="U846" s="225"/>
      <c r="V846" s="225"/>
      <c r="W846" s="225"/>
      <c r="X846" s="225"/>
      <c r="Y846" s="225"/>
      <c r="Z846" s="225"/>
      <c r="AA846" s="225"/>
      <c r="AB846" s="225"/>
      <c r="AC846" s="225"/>
      <c r="AD846" s="225"/>
      <c r="AE846" s="225"/>
      <c r="AF846" s="225"/>
      <c r="AG846" s="225"/>
      <c r="AH846" s="225"/>
      <c r="AI846" s="225"/>
      <c r="AJ846" s="225"/>
      <c r="AK846" s="225"/>
      <c r="AL846" s="225"/>
      <c r="AM846" s="225"/>
      <c r="AN846" s="225"/>
      <c r="AO846" s="225"/>
      <c r="AP846" s="225"/>
      <c r="AQ846" s="225"/>
      <c r="AR846" s="225"/>
    </row>
    <row r="847" spans="1:44" ht="15.75" customHeight="1">
      <c r="A847" s="131"/>
      <c r="B847" s="131"/>
      <c r="C847" s="131"/>
      <c r="D847" s="131"/>
      <c r="E847" s="131"/>
      <c r="F847" s="131"/>
      <c r="G847" s="131"/>
      <c r="H847" s="131"/>
      <c r="I847" s="131"/>
      <c r="J847" s="131"/>
      <c r="K847" s="131"/>
      <c r="L847" s="225"/>
      <c r="M847" s="225"/>
      <c r="N847" s="225"/>
      <c r="O847" s="225"/>
      <c r="P847" s="225"/>
      <c r="Q847" s="225"/>
      <c r="R847" s="225"/>
      <c r="S847" s="225"/>
      <c r="T847" s="225"/>
      <c r="U847" s="225"/>
      <c r="V847" s="225"/>
      <c r="W847" s="225"/>
      <c r="X847" s="225"/>
      <c r="Y847" s="225"/>
      <c r="Z847" s="225"/>
      <c r="AA847" s="225"/>
      <c r="AB847" s="225"/>
      <c r="AC847" s="225"/>
      <c r="AD847" s="225"/>
      <c r="AE847" s="225"/>
      <c r="AF847" s="225"/>
      <c r="AG847" s="225"/>
      <c r="AH847" s="225"/>
      <c r="AI847" s="225"/>
      <c r="AJ847" s="225"/>
      <c r="AK847" s="225"/>
      <c r="AL847" s="225"/>
      <c r="AM847" s="225"/>
      <c r="AN847" s="225"/>
      <c r="AO847" s="225"/>
      <c r="AP847" s="225"/>
      <c r="AQ847" s="225"/>
      <c r="AR847" s="225"/>
    </row>
    <row r="848" spans="1:44" ht="15.75" customHeight="1">
      <c r="A848" s="131"/>
      <c r="B848" s="131"/>
      <c r="C848" s="131"/>
      <c r="D848" s="131"/>
      <c r="E848" s="131"/>
      <c r="F848" s="131"/>
      <c r="G848" s="131"/>
      <c r="H848" s="131"/>
      <c r="I848" s="131"/>
      <c r="J848" s="131"/>
      <c r="K848" s="131"/>
      <c r="L848" s="225"/>
      <c r="M848" s="225"/>
      <c r="N848" s="225"/>
      <c r="O848" s="225"/>
      <c r="P848" s="225"/>
      <c r="Q848" s="225"/>
      <c r="R848" s="225"/>
      <c r="S848" s="225"/>
      <c r="T848" s="225"/>
      <c r="U848" s="225"/>
      <c r="V848" s="225"/>
      <c r="W848" s="225"/>
      <c r="X848" s="225"/>
      <c r="Y848" s="225"/>
      <c r="Z848" s="225"/>
      <c r="AA848" s="225"/>
      <c r="AB848" s="225"/>
      <c r="AC848" s="225"/>
      <c r="AD848" s="225"/>
      <c r="AE848" s="225"/>
      <c r="AF848" s="225"/>
      <c r="AG848" s="225"/>
      <c r="AH848" s="225"/>
      <c r="AI848" s="225"/>
      <c r="AJ848" s="225"/>
      <c r="AK848" s="225"/>
      <c r="AL848" s="225"/>
      <c r="AM848" s="225"/>
      <c r="AN848" s="225"/>
      <c r="AO848" s="225"/>
      <c r="AP848" s="225"/>
      <c r="AQ848" s="225"/>
      <c r="AR848" s="225"/>
    </row>
    <row r="849" spans="1:44" ht="15.75" customHeight="1">
      <c r="A849" s="131"/>
      <c r="B849" s="131"/>
      <c r="C849" s="131"/>
      <c r="D849" s="131"/>
      <c r="E849" s="131"/>
      <c r="F849" s="131"/>
      <c r="G849" s="131"/>
      <c r="H849" s="131"/>
      <c r="I849" s="131"/>
      <c r="J849" s="131"/>
      <c r="K849" s="131"/>
      <c r="L849" s="225"/>
      <c r="M849" s="225"/>
      <c r="N849" s="225"/>
      <c r="O849" s="225"/>
      <c r="P849" s="225"/>
      <c r="Q849" s="225"/>
      <c r="R849" s="225"/>
      <c r="S849" s="225"/>
      <c r="T849" s="225"/>
      <c r="U849" s="225"/>
      <c r="V849" s="225"/>
      <c r="W849" s="225"/>
      <c r="X849" s="225"/>
      <c r="Y849" s="225"/>
      <c r="Z849" s="225"/>
      <c r="AA849" s="225"/>
      <c r="AB849" s="225"/>
      <c r="AC849" s="225"/>
      <c r="AD849" s="225"/>
      <c r="AE849" s="225"/>
      <c r="AF849" s="225"/>
      <c r="AG849" s="225"/>
      <c r="AH849" s="225"/>
      <c r="AI849" s="225"/>
      <c r="AJ849" s="225"/>
      <c r="AK849" s="225"/>
      <c r="AL849" s="225"/>
      <c r="AM849" s="225"/>
      <c r="AN849" s="225"/>
      <c r="AO849" s="225"/>
      <c r="AP849" s="225"/>
      <c r="AQ849" s="225"/>
      <c r="AR849" s="225"/>
    </row>
    <row r="850" spans="1:44" ht="15.75" customHeight="1">
      <c r="A850" s="131"/>
      <c r="B850" s="131"/>
      <c r="C850" s="131"/>
      <c r="D850" s="131"/>
      <c r="E850" s="131"/>
      <c r="F850" s="131"/>
      <c r="G850" s="131"/>
      <c r="H850" s="131"/>
      <c r="I850" s="131"/>
      <c r="J850" s="131"/>
      <c r="K850" s="131"/>
      <c r="L850" s="225"/>
      <c r="M850" s="225"/>
      <c r="N850" s="225"/>
      <c r="O850" s="225"/>
      <c r="P850" s="225"/>
      <c r="Q850" s="225"/>
      <c r="R850" s="225"/>
      <c r="S850" s="225"/>
      <c r="T850" s="225"/>
      <c r="U850" s="225"/>
      <c r="V850" s="225"/>
      <c r="W850" s="225"/>
      <c r="X850" s="225"/>
      <c r="Y850" s="225"/>
      <c r="Z850" s="225"/>
      <c r="AA850" s="225"/>
      <c r="AB850" s="225"/>
      <c r="AC850" s="225"/>
      <c r="AD850" s="225"/>
      <c r="AE850" s="225"/>
      <c r="AF850" s="225"/>
      <c r="AG850" s="225"/>
      <c r="AH850" s="225"/>
      <c r="AI850" s="225"/>
      <c r="AJ850" s="225"/>
      <c r="AK850" s="225"/>
      <c r="AL850" s="225"/>
      <c r="AM850" s="225"/>
      <c r="AN850" s="225"/>
      <c r="AO850" s="225"/>
      <c r="AP850" s="225"/>
      <c r="AQ850" s="225"/>
      <c r="AR850" s="225"/>
    </row>
    <row r="851" spans="1:44" ht="15.75" customHeight="1">
      <c r="A851" s="131"/>
      <c r="B851" s="131"/>
      <c r="C851" s="131"/>
      <c r="D851" s="131"/>
      <c r="E851" s="131"/>
      <c r="F851" s="131"/>
      <c r="G851" s="131"/>
      <c r="H851" s="131"/>
      <c r="I851" s="131"/>
      <c r="J851" s="131"/>
      <c r="K851" s="131"/>
      <c r="L851" s="225"/>
      <c r="M851" s="225"/>
      <c r="N851" s="225"/>
      <c r="O851" s="225"/>
      <c r="P851" s="225"/>
      <c r="Q851" s="225"/>
      <c r="R851" s="225"/>
      <c r="S851" s="225"/>
      <c r="T851" s="225"/>
      <c r="U851" s="225"/>
      <c r="V851" s="225"/>
      <c r="W851" s="225"/>
      <c r="X851" s="225"/>
      <c r="Y851" s="225"/>
      <c r="Z851" s="225"/>
      <c r="AA851" s="225"/>
      <c r="AB851" s="225"/>
      <c r="AC851" s="225"/>
      <c r="AD851" s="225"/>
      <c r="AE851" s="225"/>
      <c r="AF851" s="225"/>
      <c r="AG851" s="225"/>
      <c r="AH851" s="225"/>
      <c r="AI851" s="225"/>
      <c r="AJ851" s="225"/>
      <c r="AK851" s="225"/>
      <c r="AL851" s="225"/>
      <c r="AM851" s="225"/>
      <c r="AN851" s="225"/>
      <c r="AO851" s="225"/>
      <c r="AP851" s="225"/>
      <c r="AQ851" s="225"/>
      <c r="AR851" s="225"/>
    </row>
    <row r="852" spans="1:44" ht="15.75" customHeight="1">
      <c r="A852" s="131"/>
      <c r="B852" s="131"/>
      <c r="C852" s="131"/>
      <c r="D852" s="131"/>
      <c r="E852" s="131"/>
      <c r="F852" s="131"/>
      <c r="G852" s="131"/>
      <c r="H852" s="131"/>
      <c r="I852" s="131"/>
      <c r="J852" s="131"/>
      <c r="K852" s="131"/>
      <c r="L852" s="225"/>
      <c r="M852" s="225"/>
      <c r="N852" s="225"/>
      <c r="O852" s="225"/>
      <c r="P852" s="225"/>
      <c r="Q852" s="225"/>
      <c r="R852" s="225"/>
      <c r="S852" s="225"/>
      <c r="T852" s="225"/>
      <c r="U852" s="225"/>
      <c r="V852" s="225"/>
      <c r="W852" s="225"/>
      <c r="X852" s="225"/>
      <c r="Y852" s="225"/>
      <c r="Z852" s="225"/>
      <c r="AA852" s="225"/>
      <c r="AB852" s="225"/>
      <c r="AC852" s="225"/>
      <c r="AD852" s="225"/>
      <c r="AE852" s="225"/>
      <c r="AF852" s="225"/>
      <c r="AG852" s="225"/>
      <c r="AH852" s="225"/>
      <c r="AI852" s="225"/>
      <c r="AJ852" s="225"/>
      <c r="AK852" s="225"/>
      <c r="AL852" s="225"/>
      <c r="AM852" s="225"/>
      <c r="AN852" s="225"/>
      <c r="AO852" s="225"/>
      <c r="AP852" s="225"/>
      <c r="AQ852" s="225"/>
      <c r="AR852" s="225"/>
    </row>
    <row r="853" spans="1:44" ht="15.75" customHeight="1">
      <c r="A853" s="131"/>
      <c r="B853" s="131"/>
      <c r="C853" s="131"/>
      <c r="D853" s="131"/>
      <c r="E853" s="131"/>
      <c r="F853" s="131"/>
      <c r="G853" s="131"/>
      <c r="H853" s="131"/>
      <c r="I853" s="131"/>
      <c r="J853" s="131"/>
      <c r="K853" s="131"/>
      <c r="L853" s="225"/>
      <c r="M853" s="225"/>
      <c r="N853" s="225"/>
      <c r="O853" s="225"/>
      <c r="P853" s="225"/>
      <c r="Q853" s="225"/>
      <c r="R853" s="225"/>
      <c r="S853" s="225"/>
      <c r="T853" s="225"/>
      <c r="U853" s="225"/>
      <c r="V853" s="225"/>
      <c r="W853" s="225"/>
      <c r="X853" s="225"/>
      <c r="Y853" s="225"/>
      <c r="Z853" s="225"/>
      <c r="AA853" s="225"/>
      <c r="AB853" s="225"/>
      <c r="AC853" s="225"/>
      <c r="AD853" s="225"/>
      <c r="AE853" s="225"/>
      <c r="AF853" s="225"/>
      <c r="AG853" s="225"/>
      <c r="AH853" s="225"/>
      <c r="AI853" s="225"/>
      <c r="AJ853" s="225"/>
      <c r="AK853" s="225"/>
      <c r="AL853" s="225"/>
      <c r="AM853" s="225"/>
      <c r="AN853" s="225"/>
      <c r="AO853" s="225"/>
      <c r="AP853" s="225"/>
      <c r="AQ853" s="225"/>
      <c r="AR853" s="225"/>
    </row>
    <row r="854" spans="1:44" ht="15.75" customHeight="1">
      <c r="A854" s="131"/>
      <c r="B854" s="131"/>
      <c r="C854" s="131"/>
      <c r="D854" s="131"/>
      <c r="E854" s="131"/>
      <c r="F854" s="131"/>
      <c r="G854" s="131"/>
      <c r="H854" s="131"/>
      <c r="I854" s="131"/>
      <c r="J854" s="131"/>
      <c r="K854" s="131"/>
      <c r="L854" s="225"/>
      <c r="M854" s="225"/>
      <c r="N854" s="225"/>
      <c r="O854" s="225"/>
      <c r="P854" s="225"/>
      <c r="Q854" s="225"/>
      <c r="R854" s="225"/>
      <c r="S854" s="225"/>
      <c r="T854" s="225"/>
      <c r="U854" s="225"/>
      <c r="V854" s="225"/>
      <c r="W854" s="225"/>
      <c r="X854" s="225"/>
      <c r="Y854" s="225"/>
      <c r="Z854" s="225"/>
      <c r="AA854" s="225"/>
      <c r="AB854" s="225"/>
      <c r="AC854" s="225"/>
      <c r="AD854" s="225"/>
      <c r="AE854" s="225"/>
      <c r="AF854" s="225"/>
      <c r="AG854" s="225"/>
      <c r="AH854" s="225"/>
      <c r="AI854" s="225"/>
      <c r="AJ854" s="225"/>
      <c r="AK854" s="225"/>
      <c r="AL854" s="225"/>
      <c r="AM854" s="225"/>
      <c r="AN854" s="225"/>
      <c r="AO854" s="225"/>
      <c r="AP854" s="225"/>
      <c r="AQ854" s="225"/>
      <c r="AR854" s="225"/>
    </row>
    <row r="855" spans="1:44" ht="15.75" customHeight="1">
      <c r="A855" s="131"/>
      <c r="B855" s="131"/>
      <c r="C855" s="131"/>
      <c r="D855" s="131"/>
      <c r="E855" s="131"/>
      <c r="F855" s="131"/>
      <c r="G855" s="131"/>
      <c r="H855" s="131"/>
      <c r="I855" s="131"/>
      <c r="J855" s="131"/>
      <c r="K855" s="131"/>
      <c r="L855" s="225"/>
      <c r="M855" s="225"/>
      <c r="N855" s="225"/>
      <c r="O855" s="225"/>
      <c r="P855" s="225"/>
      <c r="Q855" s="225"/>
      <c r="R855" s="225"/>
      <c r="S855" s="225"/>
      <c r="T855" s="225"/>
      <c r="U855" s="225"/>
      <c r="V855" s="225"/>
      <c r="W855" s="225"/>
      <c r="X855" s="225"/>
      <c r="Y855" s="225"/>
      <c r="Z855" s="225"/>
      <c r="AA855" s="225"/>
      <c r="AB855" s="225"/>
      <c r="AC855" s="225"/>
      <c r="AD855" s="225"/>
      <c r="AE855" s="225"/>
      <c r="AF855" s="225"/>
      <c r="AG855" s="225"/>
      <c r="AH855" s="225"/>
      <c r="AI855" s="225"/>
      <c r="AJ855" s="225"/>
      <c r="AK855" s="225"/>
      <c r="AL855" s="225"/>
      <c r="AM855" s="225"/>
      <c r="AN855" s="225"/>
      <c r="AO855" s="225"/>
      <c r="AP855" s="225"/>
      <c r="AQ855" s="225"/>
      <c r="AR855" s="225"/>
    </row>
    <row r="856" spans="1:44" ht="15.75" customHeight="1">
      <c r="A856" s="131"/>
      <c r="B856" s="131"/>
      <c r="C856" s="131"/>
      <c r="D856" s="131"/>
      <c r="E856" s="131"/>
      <c r="F856" s="131"/>
      <c r="G856" s="131"/>
      <c r="H856" s="131"/>
      <c r="I856" s="131"/>
      <c r="J856" s="131"/>
      <c r="K856" s="131"/>
      <c r="L856" s="225"/>
      <c r="M856" s="225"/>
      <c r="N856" s="225"/>
      <c r="O856" s="225"/>
      <c r="P856" s="225"/>
      <c r="Q856" s="225"/>
      <c r="R856" s="225"/>
      <c r="S856" s="225"/>
      <c r="T856" s="225"/>
      <c r="U856" s="225"/>
      <c r="V856" s="225"/>
      <c r="W856" s="225"/>
      <c r="X856" s="225"/>
      <c r="Y856" s="225"/>
      <c r="Z856" s="225"/>
      <c r="AA856" s="225"/>
      <c r="AB856" s="225"/>
      <c r="AC856" s="225"/>
      <c r="AD856" s="225"/>
      <c r="AE856" s="225"/>
      <c r="AF856" s="225"/>
      <c r="AG856" s="225"/>
      <c r="AH856" s="225"/>
      <c r="AI856" s="225"/>
      <c r="AJ856" s="225"/>
      <c r="AK856" s="225"/>
      <c r="AL856" s="225"/>
      <c r="AM856" s="225"/>
      <c r="AN856" s="225"/>
      <c r="AO856" s="225"/>
      <c r="AP856" s="225"/>
      <c r="AQ856" s="225"/>
      <c r="AR856" s="225"/>
    </row>
    <row r="857" spans="1:44" ht="15.75" customHeight="1">
      <c r="A857" s="131"/>
      <c r="B857" s="131"/>
      <c r="C857" s="131"/>
      <c r="D857" s="131"/>
      <c r="E857" s="131"/>
      <c r="F857" s="131"/>
      <c r="G857" s="131"/>
      <c r="H857" s="131"/>
      <c r="I857" s="131"/>
      <c r="J857" s="131"/>
      <c r="K857" s="131"/>
      <c r="L857" s="225"/>
      <c r="M857" s="225"/>
      <c r="N857" s="225"/>
      <c r="O857" s="225"/>
      <c r="P857" s="225"/>
      <c r="Q857" s="225"/>
      <c r="R857" s="225"/>
      <c r="S857" s="225"/>
      <c r="T857" s="225"/>
      <c r="U857" s="225"/>
      <c r="V857" s="225"/>
      <c r="W857" s="225"/>
      <c r="X857" s="225"/>
      <c r="Y857" s="225"/>
      <c r="Z857" s="225"/>
      <c r="AA857" s="225"/>
      <c r="AB857" s="225"/>
      <c r="AC857" s="225"/>
      <c r="AD857" s="225"/>
      <c r="AE857" s="225"/>
      <c r="AF857" s="225"/>
      <c r="AG857" s="225"/>
      <c r="AH857" s="225"/>
      <c r="AI857" s="225"/>
      <c r="AJ857" s="225"/>
      <c r="AK857" s="225"/>
      <c r="AL857" s="225"/>
      <c r="AM857" s="225"/>
      <c r="AN857" s="225"/>
      <c r="AO857" s="225"/>
      <c r="AP857" s="225"/>
      <c r="AQ857" s="225"/>
      <c r="AR857" s="225"/>
    </row>
    <row r="858" spans="1:44" ht="15.75" customHeight="1">
      <c r="A858" s="131"/>
      <c r="B858" s="131"/>
      <c r="C858" s="131"/>
      <c r="D858" s="131"/>
      <c r="E858" s="131"/>
      <c r="F858" s="131"/>
      <c r="G858" s="131"/>
      <c r="H858" s="131"/>
      <c r="I858" s="131"/>
      <c r="J858" s="131"/>
      <c r="K858" s="131"/>
      <c r="L858" s="225"/>
      <c r="M858" s="225"/>
      <c r="N858" s="225"/>
      <c r="O858" s="225"/>
      <c r="P858" s="225"/>
      <c r="Q858" s="225"/>
      <c r="R858" s="225"/>
      <c r="S858" s="225"/>
      <c r="T858" s="225"/>
      <c r="U858" s="225"/>
      <c r="V858" s="225"/>
      <c r="W858" s="225"/>
      <c r="X858" s="225"/>
      <c r="Y858" s="225"/>
      <c r="Z858" s="225"/>
      <c r="AA858" s="225"/>
      <c r="AB858" s="225"/>
      <c r="AC858" s="225"/>
      <c r="AD858" s="225"/>
      <c r="AE858" s="225"/>
      <c r="AF858" s="225"/>
      <c r="AG858" s="225"/>
      <c r="AH858" s="225"/>
      <c r="AI858" s="225"/>
      <c r="AJ858" s="225"/>
      <c r="AK858" s="225"/>
      <c r="AL858" s="225"/>
      <c r="AM858" s="225"/>
      <c r="AN858" s="225"/>
      <c r="AO858" s="225"/>
      <c r="AP858" s="225"/>
      <c r="AQ858" s="225"/>
      <c r="AR858" s="225"/>
    </row>
    <row r="859" spans="1:44" ht="15.75" customHeight="1">
      <c r="A859" s="131"/>
      <c r="B859" s="131"/>
      <c r="C859" s="131"/>
      <c r="D859" s="131"/>
      <c r="E859" s="131"/>
      <c r="F859" s="131"/>
      <c r="G859" s="131"/>
      <c r="H859" s="131"/>
      <c r="I859" s="131"/>
      <c r="J859" s="131"/>
      <c r="K859" s="131"/>
      <c r="L859" s="225"/>
      <c r="M859" s="225"/>
      <c r="N859" s="225"/>
      <c r="O859" s="225"/>
      <c r="P859" s="225"/>
      <c r="Q859" s="225"/>
      <c r="R859" s="225"/>
      <c r="S859" s="225"/>
      <c r="T859" s="225"/>
      <c r="U859" s="225"/>
      <c r="V859" s="225"/>
      <c r="W859" s="225"/>
      <c r="X859" s="225"/>
      <c r="Y859" s="225"/>
      <c r="Z859" s="225"/>
      <c r="AA859" s="225"/>
      <c r="AB859" s="225"/>
      <c r="AC859" s="225"/>
      <c r="AD859" s="225"/>
      <c r="AE859" s="225"/>
      <c r="AF859" s="225"/>
      <c r="AG859" s="225"/>
      <c r="AH859" s="225"/>
      <c r="AI859" s="225"/>
      <c r="AJ859" s="225"/>
      <c r="AK859" s="225"/>
      <c r="AL859" s="225"/>
      <c r="AM859" s="225"/>
      <c r="AN859" s="225"/>
      <c r="AO859" s="225"/>
      <c r="AP859" s="225"/>
      <c r="AQ859" s="225"/>
      <c r="AR859" s="225"/>
    </row>
    <row r="860" spans="1:44" ht="15.75" customHeight="1">
      <c r="A860" s="131"/>
      <c r="B860" s="131"/>
      <c r="C860" s="131"/>
      <c r="D860" s="131"/>
      <c r="E860" s="131"/>
      <c r="F860" s="131"/>
      <c r="G860" s="131"/>
      <c r="H860" s="131"/>
      <c r="I860" s="131"/>
      <c r="J860" s="131"/>
      <c r="K860" s="131"/>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row>
    <row r="861" spans="1:44" ht="15.75" customHeight="1">
      <c r="A861" s="131"/>
      <c r="B861" s="131"/>
      <c r="C861" s="131"/>
      <c r="D861" s="131"/>
      <c r="E861" s="131"/>
      <c r="F861" s="131"/>
      <c r="G861" s="131"/>
      <c r="H861" s="131"/>
      <c r="I861" s="131"/>
      <c r="J861" s="131"/>
      <c r="K861" s="131"/>
      <c r="L861" s="225"/>
      <c r="M861" s="225"/>
      <c r="N861" s="225"/>
      <c r="O861" s="225"/>
      <c r="P861" s="225"/>
      <c r="Q861" s="225"/>
      <c r="R861" s="225"/>
      <c r="S861" s="225"/>
      <c r="T861" s="225"/>
      <c r="U861" s="225"/>
      <c r="V861" s="225"/>
      <c r="W861" s="225"/>
      <c r="X861" s="225"/>
      <c r="Y861" s="225"/>
      <c r="Z861" s="225"/>
      <c r="AA861" s="225"/>
      <c r="AB861" s="225"/>
      <c r="AC861" s="225"/>
      <c r="AD861" s="225"/>
      <c r="AE861" s="225"/>
      <c r="AF861" s="225"/>
      <c r="AG861" s="225"/>
      <c r="AH861" s="225"/>
      <c r="AI861" s="225"/>
      <c r="AJ861" s="225"/>
      <c r="AK861" s="225"/>
      <c r="AL861" s="225"/>
      <c r="AM861" s="225"/>
      <c r="AN861" s="225"/>
      <c r="AO861" s="225"/>
      <c r="AP861" s="225"/>
      <c r="AQ861" s="225"/>
      <c r="AR861" s="225"/>
    </row>
    <row r="862" spans="1:44" ht="15.75" customHeight="1">
      <c r="A862" s="131"/>
      <c r="B862" s="131"/>
      <c r="C862" s="131"/>
      <c r="D862" s="131"/>
      <c r="E862" s="131"/>
      <c r="F862" s="131"/>
      <c r="G862" s="131"/>
      <c r="H862" s="131"/>
      <c r="I862" s="131"/>
      <c r="J862" s="131"/>
      <c r="K862" s="131"/>
      <c r="L862" s="225"/>
      <c r="M862" s="225"/>
      <c r="N862" s="225"/>
      <c r="O862" s="225"/>
      <c r="P862" s="225"/>
      <c r="Q862" s="225"/>
      <c r="R862" s="225"/>
      <c r="S862" s="225"/>
      <c r="T862" s="225"/>
      <c r="U862" s="225"/>
      <c r="V862" s="225"/>
      <c r="W862" s="225"/>
      <c r="X862" s="225"/>
      <c r="Y862" s="225"/>
      <c r="Z862" s="225"/>
      <c r="AA862" s="225"/>
      <c r="AB862" s="225"/>
      <c r="AC862" s="225"/>
      <c r="AD862" s="225"/>
      <c r="AE862" s="225"/>
      <c r="AF862" s="225"/>
      <c r="AG862" s="225"/>
      <c r="AH862" s="225"/>
      <c r="AI862" s="225"/>
      <c r="AJ862" s="225"/>
      <c r="AK862" s="225"/>
      <c r="AL862" s="225"/>
      <c r="AM862" s="225"/>
      <c r="AN862" s="225"/>
      <c r="AO862" s="225"/>
      <c r="AP862" s="225"/>
      <c r="AQ862" s="225"/>
      <c r="AR862" s="225"/>
    </row>
    <row r="863" spans="1:44" ht="15.75" customHeight="1">
      <c r="A863" s="131"/>
      <c r="B863" s="131"/>
      <c r="C863" s="131"/>
      <c r="D863" s="131"/>
      <c r="E863" s="131"/>
      <c r="F863" s="131"/>
      <c r="G863" s="131"/>
      <c r="H863" s="131"/>
      <c r="I863" s="131"/>
      <c r="J863" s="131"/>
      <c r="K863" s="131"/>
      <c r="L863" s="225"/>
      <c r="M863" s="225"/>
      <c r="N863" s="225"/>
      <c r="O863" s="225"/>
      <c r="P863" s="225"/>
      <c r="Q863" s="225"/>
      <c r="R863" s="225"/>
      <c r="S863" s="225"/>
      <c r="T863" s="225"/>
      <c r="U863" s="225"/>
      <c r="V863" s="225"/>
      <c r="W863" s="225"/>
      <c r="X863" s="225"/>
      <c r="Y863" s="225"/>
      <c r="Z863" s="225"/>
      <c r="AA863" s="225"/>
      <c r="AB863" s="225"/>
      <c r="AC863" s="225"/>
      <c r="AD863" s="225"/>
      <c r="AE863" s="225"/>
      <c r="AF863" s="225"/>
      <c r="AG863" s="225"/>
      <c r="AH863" s="225"/>
      <c r="AI863" s="225"/>
      <c r="AJ863" s="225"/>
      <c r="AK863" s="225"/>
      <c r="AL863" s="225"/>
      <c r="AM863" s="225"/>
      <c r="AN863" s="225"/>
      <c r="AO863" s="225"/>
      <c r="AP863" s="225"/>
      <c r="AQ863" s="225"/>
      <c r="AR863" s="225"/>
    </row>
    <row r="864" spans="1:44" ht="15.75" customHeight="1">
      <c r="A864" s="131"/>
      <c r="B864" s="131"/>
      <c r="C864" s="131"/>
      <c r="D864" s="131"/>
      <c r="E864" s="131"/>
      <c r="F864" s="131"/>
      <c r="G864" s="131"/>
      <c r="H864" s="131"/>
      <c r="I864" s="131"/>
      <c r="J864" s="131"/>
      <c r="K864" s="131"/>
      <c r="L864" s="225"/>
      <c r="M864" s="225"/>
      <c r="N864" s="225"/>
      <c r="O864" s="225"/>
      <c r="P864" s="225"/>
      <c r="Q864" s="225"/>
      <c r="R864" s="225"/>
      <c r="S864" s="225"/>
      <c r="T864" s="225"/>
      <c r="U864" s="225"/>
      <c r="V864" s="225"/>
      <c r="W864" s="225"/>
      <c r="X864" s="225"/>
      <c r="Y864" s="225"/>
      <c r="Z864" s="225"/>
      <c r="AA864" s="225"/>
      <c r="AB864" s="225"/>
      <c r="AC864" s="225"/>
      <c r="AD864" s="225"/>
      <c r="AE864" s="225"/>
      <c r="AF864" s="225"/>
      <c r="AG864" s="225"/>
      <c r="AH864" s="225"/>
      <c r="AI864" s="225"/>
      <c r="AJ864" s="225"/>
      <c r="AK864" s="225"/>
      <c r="AL864" s="225"/>
      <c r="AM864" s="225"/>
      <c r="AN864" s="225"/>
      <c r="AO864" s="225"/>
      <c r="AP864" s="225"/>
      <c r="AQ864" s="225"/>
      <c r="AR864" s="225"/>
    </row>
    <row r="865" spans="1:44" ht="15.75" customHeight="1">
      <c r="A865" s="131"/>
      <c r="B865" s="131"/>
      <c r="C865" s="131"/>
      <c r="D865" s="131"/>
      <c r="E865" s="131"/>
      <c r="F865" s="131"/>
      <c r="G865" s="131"/>
      <c r="H865" s="131"/>
      <c r="I865" s="131"/>
      <c r="J865" s="131"/>
      <c r="K865" s="131"/>
      <c r="L865" s="225"/>
      <c r="M865" s="225"/>
      <c r="N865" s="225"/>
      <c r="O865" s="225"/>
      <c r="P865" s="225"/>
      <c r="Q865" s="225"/>
      <c r="R865" s="225"/>
      <c r="S865" s="225"/>
      <c r="T865" s="225"/>
      <c r="U865" s="225"/>
      <c r="V865" s="225"/>
      <c r="W865" s="225"/>
      <c r="X865" s="225"/>
      <c r="Y865" s="225"/>
      <c r="Z865" s="225"/>
      <c r="AA865" s="225"/>
      <c r="AB865" s="225"/>
      <c r="AC865" s="225"/>
      <c r="AD865" s="225"/>
      <c r="AE865" s="225"/>
      <c r="AF865" s="225"/>
      <c r="AG865" s="225"/>
      <c r="AH865" s="225"/>
      <c r="AI865" s="225"/>
      <c r="AJ865" s="225"/>
      <c r="AK865" s="225"/>
      <c r="AL865" s="225"/>
      <c r="AM865" s="225"/>
      <c r="AN865" s="225"/>
      <c r="AO865" s="225"/>
      <c r="AP865" s="225"/>
      <c r="AQ865" s="225"/>
      <c r="AR865" s="225"/>
    </row>
    <row r="866" spans="1:44" ht="15.75" customHeight="1">
      <c r="A866" s="131"/>
      <c r="B866" s="131"/>
      <c r="C866" s="131"/>
      <c r="D866" s="131"/>
      <c r="E866" s="131"/>
      <c r="F866" s="131"/>
      <c r="G866" s="131"/>
      <c r="H866" s="131"/>
      <c r="I866" s="131"/>
      <c r="J866" s="131"/>
      <c r="K866" s="131"/>
      <c r="L866" s="225"/>
      <c r="M866" s="225"/>
      <c r="N866" s="225"/>
      <c r="O866" s="225"/>
      <c r="P866" s="225"/>
      <c r="Q866" s="225"/>
      <c r="R866" s="225"/>
      <c r="S866" s="225"/>
      <c r="T866" s="225"/>
      <c r="U866" s="225"/>
      <c r="V866" s="225"/>
      <c r="W866" s="225"/>
      <c r="X866" s="225"/>
      <c r="Y866" s="225"/>
      <c r="Z866" s="225"/>
      <c r="AA866" s="225"/>
      <c r="AB866" s="225"/>
      <c r="AC866" s="225"/>
      <c r="AD866" s="225"/>
      <c r="AE866" s="225"/>
      <c r="AF866" s="225"/>
      <c r="AG866" s="225"/>
      <c r="AH866" s="225"/>
      <c r="AI866" s="225"/>
      <c r="AJ866" s="225"/>
      <c r="AK866" s="225"/>
      <c r="AL866" s="225"/>
      <c r="AM866" s="225"/>
      <c r="AN866" s="225"/>
      <c r="AO866" s="225"/>
      <c r="AP866" s="225"/>
      <c r="AQ866" s="225"/>
      <c r="AR866" s="225"/>
    </row>
    <row r="867" spans="1:44" ht="15.75" customHeight="1">
      <c r="A867" s="131"/>
      <c r="B867" s="131"/>
      <c r="C867" s="131"/>
      <c r="D867" s="131"/>
      <c r="E867" s="131"/>
      <c r="F867" s="131"/>
      <c r="G867" s="131"/>
      <c r="H867" s="131"/>
      <c r="I867" s="131"/>
      <c r="J867" s="131"/>
      <c r="K867" s="131"/>
      <c r="L867" s="225"/>
      <c r="M867" s="225"/>
      <c r="N867" s="225"/>
      <c r="O867" s="225"/>
      <c r="P867" s="225"/>
      <c r="Q867" s="225"/>
      <c r="R867" s="225"/>
      <c r="S867" s="225"/>
      <c r="T867" s="225"/>
      <c r="U867" s="225"/>
      <c r="V867" s="225"/>
      <c r="W867" s="225"/>
      <c r="X867" s="225"/>
      <c r="Y867" s="225"/>
      <c r="Z867" s="225"/>
      <c r="AA867" s="225"/>
      <c r="AB867" s="225"/>
      <c r="AC867" s="225"/>
      <c r="AD867" s="225"/>
      <c r="AE867" s="225"/>
      <c r="AF867" s="225"/>
      <c r="AG867" s="225"/>
      <c r="AH867" s="225"/>
      <c r="AI867" s="225"/>
      <c r="AJ867" s="225"/>
      <c r="AK867" s="225"/>
      <c r="AL867" s="225"/>
      <c r="AM867" s="225"/>
      <c r="AN867" s="225"/>
      <c r="AO867" s="225"/>
      <c r="AP867" s="225"/>
      <c r="AQ867" s="225"/>
      <c r="AR867" s="225"/>
    </row>
    <row r="868" spans="1:44" ht="15.75" customHeight="1">
      <c r="A868" s="131"/>
      <c r="B868" s="131"/>
      <c r="C868" s="131"/>
      <c r="D868" s="131"/>
      <c r="E868" s="131"/>
      <c r="F868" s="131"/>
      <c r="G868" s="131"/>
      <c r="H868" s="131"/>
      <c r="I868" s="131"/>
      <c r="J868" s="131"/>
      <c r="K868" s="131"/>
      <c r="L868" s="225"/>
      <c r="M868" s="225"/>
      <c r="N868" s="225"/>
      <c r="O868" s="225"/>
      <c r="P868" s="225"/>
      <c r="Q868" s="225"/>
      <c r="R868" s="225"/>
      <c r="S868" s="225"/>
      <c r="T868" s="225"/>
      <c r="U868" s="225"/>
      <c r="V868" s="225"/>
      <c r="W868" s="225"/>
      <c r="X868" s="225"/>
      <c r="Y868" s="225"/>
      <c r="Z868" s="225"/>
      <c r="AA868" s="225"/>
      <c r="AB868" s="225"/>
      <c r="AC868" s="225"/>
      <c r="AD868" s="225"/>
      <c r="AE868" s="225"/>
      <c r="AF868" s="225"/>
      <c r="AG868" s="225"/>
      <c r="AH868" s="225"/>
      <c r="AI868" s="225"/>
      <c r="AJ868" s="225"/>
      <c r="AK868" s="225"/>
      <c r="AL868" s="225"/>
      <c r="AM868" s="225"/>
      <c r="AN868" s="225"/>
      <c r="AO868" s="225"/>
      <c r="AP868" s="225"/>
      <c r="AQ868" s="225"/>
      <c r="AR868" s="225"/>
    </row>
    <row r="869" spans="1:44" ht="15.75" customHeight="1">
      <c r="A869" s="131"/>
      <c r="B869" s="131"/>
      <c r="C869" s="131"/>
      <c r="D869" s="131"/>
      <c r="E869" s="131"/>
      <c r="F869" s="131"/>
      <c r="G869" s="131"/>
      <c r="H869" s="131"/>
      <c r="I869" s="131"/>
      <c r="J869" s="131"/>
      <c r="K869" s="131"/>
      <c r="L869" s="225"/>
      <c r="M869" s="225"/>
      <c r="N869" s="225"/>
      <c r="O869" s="225"/>
      <c r="P869" s="225"/>
      <c r="Q869" s="225"/>
      <c r="R869" s="225"/>
      <c r="S869" s="225"/>
      <c r="T869" s="225"/>
      <c r="U869" s="225"/>
      <c r="V869" s="225"/>
      <c r="W869" s="225"/>
      <c r="X869" s="225"/>
      <c r="Y869" s="225"/>
      <c r="Z869" s="225"/>
      <c r="AA869" s="225"/>
      <c r="AB869" s="225"/>
      <c r="AC869" s="225"/>
      <c r="AD869" s="225"/>
      <c r="AE869" s="225"/>
      <c r="AF869" s="225"/>
      <c r="AG869" s="225"/>
      <c r="AH869" s="225"/>
      <c r="AI869" s="225"/>
      <c r="AJ869" s="225"/>
      <c r="AK869" s="225"/>
      <c r="AL869" s="225"/>
      <c r="AM869" s="225"/>
      <c r="AN869" s="225"/>
      <c r="AO869" s="225"/>
      <c r="AP869" s="225"/>
      <c r="AQ869" s="225"/>
      <c r="AR869" s="225"/>
    </row>
    <row r="870" spans="1:44" ht="15.75" customHeight="1">
      <c r="A870" s="131"/>
      <c r="B870" s="131"/>
      <c r="C870" s="131"/>
      <c r="D870" s="131"/>
      <c r="E870" s="131"/>
      <c r="F870" s="131"/>
      <c r="G870" s="131"/>
      <c r="H870" s="131"/>
      <c r="I870" s="131"/>
      <c r="J870" s="131"/>
      <c r="K870" s="131"/>
      <c r="L870" s="225"/>
      <c r="M870" s="225"/>
      <c r="N870" s="225"/>
      <c r="O870" s="225"/>
      <c r="P870" s="225"/>
      <c r="Q870" s="225"/>
      <c r="R870" s="225"/>
      <c r="S870" s="225"/>
      <c r="T870" s="225"/>
      <c r="U870" s="225"/>
      <c r="V870" s="225"/>
      <c r="W870" s="225"/>
      <c r="X870" s="225"/>
      <c r="Y870" s="225"/>
      <c r="Z870" s="225"/>
      <c r="AA870" s="225"/>
      <c r="AB870" s="225"/>
      <c r="AC870" s="225"/>
      <c r="AD870" s="225"/>
      <c r="AE870" s="225"/>
      <c r="AF870" s="225"/>
      <c r="AG870" s="225"/>
      <c r="AH870" s="225"/>
      <c r="AI870" s="225"/>
      <c r="AJ870" s="225"/>
      <c r="AK870" s="225"/>
      <c r="AL870" s="225"/>
      <c r="AM870" s="225"/>
      <c r="AN870" s="225"/>
      <c r="AO870" s="225"/>
      <c r="AP870" s="225"/>
      <c r="AQ870" s="225"/>
      <c r="AR870" s="225"/>
    </row>
    <row r="871" spans="1:44" ht="15.75" customHeight="1">
      <c r="A871" s="131"/>
      <c r="B871" s="131"/>
      <c r="C871" s="131"/>
      <c r="D871" s="131"/>
      <c r="E871" s="131"/>
      <c r="F871" s="131"/>
      <c r="G871" s="131"/>
      <c r="H871" s="131"/>
      <c r="I871" s="131"/>
      <c r="J871" s="131"/>
      <c r="K871" s="131"/>
      <c r="L871" s="225"/>
      <c r="M871" s="225"/>
      <c r="N871" s="225"/>
      <c r="O871" s="225"/>
      <c r="P871" s="225"/>
      <c r="Q871" s="225"/>
      <c r="R871" s="225"/>
      <c r="S871" s="225"/>
      <c r="T871" s="225"/>
      <c r="U871" s="225"/>
      <c r="V871" s="225"/>
      <c r="W871" s="225"/>
      <c r="X871" s="225"/>
      <c r="Y871" s="225"/>
      <c r="Z871" s="225"/>
      <c r="AA871" s="225"/>
      <c r="AB871" s="225"/>
      <c r="AC871" s="225"/>
      <c r="AD871" s="225"/>
      <c r="AE871" s="225"/>
      <c r="AF871" s="225"/>
      <c r="AG871" s="225"/>
      <c r="AH871" s="225"/>
      <c r="AI871" s="225"/>
      <c r="AJ871" s="225"/>
      <c r="AK871" s="225"/>
      <c r="AL871" s="225"/>
      <c r="AM871" s="225"/>
      <c r="AN871" s="225"/>
      <c r="AO871" s="225"/>
      <c r="AP871" s="225"/>
      <c r="AQ871" s="225"/>
      <c r="AR871" s="225"/>
    </row>
    <row r="872" spans="1:44" ht="15.75" customHeight="1">
      <c r="A872" s="131"/>
      <c r="B872" s="131"/>
      <c r="C872" s="131"/>
      <c r="D872" s="131"/>
      <c r="E872" s="131"/>
      <c r="F872" s="131"/>
      <c r="G872" s="131"/>
      <c r="H872" s="131"/>
      <c r="I872" s="131"/>
      <c r="J872" s="131"/>
      <c r="K872" s="131"/>
      <c r="L872" s="225"/>
      <c r="M872" s="225"/>
      <c r="N872" s="225"/>
      <c r="O872" s="225"/>
      <c r="P872" s="225"/>
      <c r="Q872" s="225"/>
      <c r="R872" s="225"/>
      <c r="S872" s="225"/>
      <c r="T872" s="225"/>
      <c r="U872" s="225"/>
      <c r="V872" s="225"/>
      <c r="W872" s="225"/>
      <c r="X872" s="225"/>
      <c r="Y872" s="225"/>
      <c r="Z872" s="225"/>
      <c r="AA872" s="225"/>
      <c r="AB872" s="225"/>
      <c r="AC872" s="225"/>
      <c r="AD872" s="225"/>
      <c r="AE872" s="225"/>
      <c r="AF872" s="225"/>
      <c r="AG872" s="225"/>
      <c r="AH872" s="225"/>
      <c r="AI872" s="225"/>
      <c r="AJ872" s="225"/>
      <c r="AK872" s="225"/>
      <c r="AL872" s="225"/>
      <c r="AM872" s="225"/>
      <c r="AN872" s="225"/>
      <c r="AO872" s="225"/>
      <c r="AP872" s="225"/>
      <c r="AQ872" s="225"/>
      <c r="AR872" s="225"/>
    </row>
    <row r="873" spans="1:44" ht="15.75" customHeight="1">
      <c r="A873" s="131"/>
      <c r="B873" s="131"/>
      <c r="C873" s="131"/>
      <c r="D873" s="131"/>
      <c r="E873" s="131"/>
      <c r="F873" s="131"/>
      <c r="G873" s="131"/>
      <c r="H873" s="131"/>
      <c r="I873" s="131"/>
      <c r="J873" s="131"/>
      <c r="K873" s="131"/>
      <c r="L873" s="225"/>
      <c r="M873" s="225"/>
      <c r="N873" s="225"/>
      <c r="O873" s="225"/>
      <c r="P873" s="225"/>
      <c r="Q873" s="225"/>
      <c r="R873" s="225"/>
      <c r="S873" s="225"/>
      <c r="T873" s="225"/>
      <c r="U873" s="225"/>
      <c r="V873" s="225"/>
      <c r="W873" s="225"/>
      <c r="X873" s="225"/>
      <c r="Y873" s="225"/>
      <c r="Z873" s="225"/>
      <c r="AA873" s="225"/>
      <c r="AB873" s="225"/>
      <c r="AC873" s="225"/>
      <c r="AD873" s="225"/>
      <c r="AE873" s="225"/>
      <c r="AF873" s="225"/>
      <c r="AG873" s="225"/>
      <c r="AH873" s="225"/>
      <c r="AI873" s="225"/>
      <c r="AJ873" s="225"/>
      <c r="AK873" s="225"/>
      <c r="AL873" s="225"/>
      <c r="AM873" s="225"/>
      <c r="AN873" s="225"/>
      <c r="AO873" s="225"/>
      <c r="AP873" s="225"/>
      <c r="AQ873" s="225"/>
      <c r="AR873" s="225"/>
    </row>
    <row r="874" spans="1:44" ht="15.75" customHeight="1">
      <c r="A874" s="131"/>
      <c r="B874" s="131"/>
      <c r="C874" s="131"/>
      <c r="D874" s="131"/>
      <c r="E874" s="131"/>
      <c r="F874" s="131"/>
      <c r="G874" s="131"/>
      <c r="H874" s="131"/>
      <c r="I874" s="131"/>
      <c r="J874" s="131"/>
      <c r="K874" s="131"/>
      <c r="L874" s="225"/>
      <c r="M874" s="225"/>
      <c r="N874" s="225"/>
      <c r="O874" s="225"/>
      <c r="P874" s="225"/>
      <c r="Q874" s="225"/>
      <c r="R874" s="225"/>
      <c r="S874" s="225"/>
      <c r="T874" s="225"/>
      <c r="U874" s="225"/>
      <c r="V874" s="225"/>
      <c r="W874" s="225"/>
      <c r="X874" s="225"/>
      <c r="Y874" s="225"/>
      <c r="Z874" s="225"/>
      <c r="AA874" s="225"/>
      <c r="AB874" s="225"/>
      <c r="AC874" s="225"/>
      <c r="AD874" s="225"/>
      <c r="AE874" s="225"/>
      <c r="AF874" s="225"/>
      <c r="AG874" s="225"/>
      <c r="AH874" s="225"/>
      <c r="AI874" s="225"/>
      <c r="AJ874" s="225"/>
      <c r="AK874" s="225"/>
      <c r="AL874" s="225"/>
      <c r="AM874" s="225"/>
      <c r="AN874" s="225"/>
      <c r="AO874" s="225"/>
      <c r="AP874" s="225"/>
      <c r="AQ874" s="225"/>
      <c r="AR874" s="225"/>
    </row>
    <row r="875" spans="1:44" ht="15.75" customHeight="1">
      <c r="A875" s="131"/>
      <c r="B875" s="131"/>
      <c r="C875" s="131"/>
      <c r="D875" s="131"/>
      <c r="E875" s="131"/>
      <c r="F875" s="131"/>
      <c r="G875" s="131"/>
      <c r="H875" s="131"/>
      <c r="I875" s="131"/>
      <c r="J875" s="131"/>
      <c r="K875" s="131"/>
      <c r="L875" s="225"/>
      <c r="M875" s="225"/>
      <c r="N875" s="225"/>
      <c r="O875" s="225"/>
      <c r="P875" s="225"/>
      <c r="Q875" s="225"/>
      <c r="R875" s="225"/>
      <c r="S875" s="225"/>
      <c r="T875" s="225"/>
      <c r="U875" s="225"/>
      <c r="V875" s="225"/>
      <c r="W875" s="225"/>
      <c r="X875" s="225"/>
      <c r="Y875" s="225"/>
      <c r="Z875" s="225"/>
      <c r="AA875" s="225"/>
      <c r="AB875" s="225"/>
      <c r="AC875" s="225"/>
      <c r="AD875" s="225"/>
      <c r="AE875" s="225"/>
      <c r="AF875" s="225"/>
      <c r="AG875" s="225"/>
      <c r="AH875" s="225"/>
      <c r="AI875" s="225"/>
      <c r="AJ875" s="225"/>
      <c r="AK875" s="225"/>
      <c r="AL875" s="225"/>
      <c r="AM875" s="225"/>
      <c r="AN875" s="225"/>
      <c r="AO875" s="225"/>
      <c r="AP875" s="225"/>
      <c r="AQ875" s="225"/>
      <c r="AR875" s="225"/>
    </row>
    <row r="876" spans="1:44" ht="15.75" customHeight="1">
      <c r="A876" s="131"/>
      <c r="B876" s="131"/>
      <c r="C876" s="131"/>
      <c r="D876" s="131"/>
      <c r="E876" s="131"/>
      <c r="F876" s="131"/>
      <c r="G876" s="131"/>
      <c r="H876" s="131"/>
      <c r="I876" s="131"/>
      <c r="J876" s="131"/>
      <c r="K876" s="131"/>
      <c r="L876" s="225"/>
      <c r="M876" s="225"/>
      <c r="N876" s="225"/>
      <c r="O876" s="225"/>
      <c r="P876" s="225"/>
      <c r="Q876" s="225"/>
      <c r="R876" s="225"/>
      <c r="S876" s="225"/>
      <c r="T876" s="225"/>
      <c r="U876" s="225"/>
      <c r="V876" s="225"/>
      <c r="W876" s="225"/>
      <c r="X876" s="225"/>
      <c r="Y876" s="225"/>
      <c r="Z876" s="225"/>
      <c r="AA876" s="225"/>
      <c r="AB876" s="225"/>
      <c r="AC876" s="225"/>
      <c r="AD876" s="225"/>
      <c r="AE876" s="225"/>
      <c r="AF876" s="225"/>
      <c r="AG876" s="225"/>
      <c r="AH876" s="225"/>
      <c r="AI876" s="225"/>
      <c r="AJ876" s="225"/>
      <c r="AK876" s="225"/>
      <c r="AL876" s="225"/>
      <c r="AM876" s="225"/>
      <c r="AN876" s="225"/>
      <c r="AO876" s="225"/>
      <c r="AP876" s="225"/>
      <c r="AQ876" s="225"/>
      <c r="AR876" s="225"/>
    </row>
    <row r="877" spans="1:44" ht="15.75" customHeight="1">
      <c r="A877" s="131"/>
      <c r="B877" s="131"/>
      <c r="C877" s="131"/>
      <c r="D877" s="131"/>
      <c r="E877" s="131"/>
      <c r="F877" s="131"/>
      <c r="G877" s="131"/>
      <c r="H877" s="131"/>
      <c r="I877" s="131"/>
      <c r="J877" s="131"/>
      <c r="K877" s="131"/>
      <c r="L877" s="225"/>
      <c r="M877" s="225"/>
      <c r="N877" s="225"/>
      <c r="O877" s="225"/>
      <c r="P877" s="225"/>
      <c r="Q877" s="225"/>
      <c r="R877" s="225"/>
      <c r="S877" s="225"/>
      <c r="T877" s="225"/>
      <c r="U877" s="225"/>
      <c r="V877" s="225"/>
      <c r="W877" s="225"/>
      <c r="X877" s="225"/>
      <c r="Y877" s="225"/>
      <c r="Z877" s="225"/>
      <c r="AA877" s="225"/>
      <c r="AB877" s="225"/>
      <c r="AC877" s="225"/>
      <c r="AD877" s="225"/>
      <c r="AE877" s="225"/>
      <c r="AF877" s="225"/>
      <c r="AG877" s="225"/>
      <c r="AH877" s="225"/>
      <c r="AI877" s="225"/>
      <c r="AJ877" s="225"/>
      <c r="AK877" s="225"/>
      <c r="AL877" s="225"/>
      <c r="AM877" s="225"/>
      <c r="AN877" s="225"/>
      <c r="AO877" s="225"/>
      <c r="AP877" s="225"/>
      <c r="AQ877" s="225"/>
      <c r="AR877" s="225"/>
    </row>
    <row r="878" spans="1:44" ht="15.75" customHeight="1">
      <c r="A878" s="131"/>
      <c r="B878" s="131"/>
      <c r="C878" s="131"/>
      <c r="D878" s="131"/>
      <c r="E878" s="131"/>
      <c r="F878" s="131"/>
      <c r="G878" s="131"/>
      <c r="H878" s="131"/>
      <c r="I878" s="131"/>
      <c r="J878" s="131"/>
      <c r="K878" s="131"/>
      <c r="L878" s="225"/>
      <c r="M878" s="225"/>
      <c r="N878" s="225"/>
      <c r="O878" s="225"/>
      <c r="P878" s="225"/>
      <c r="Q878" s="225"/>
      <c r="R878" s="225"/>
      <c r="S878" s="225"/>
      <c r="T878" s="225"/>
      <c r="U878" s="225"/>
      <c r="V878" s="225"/>
      <c r="W878" s="225"/>
      <c r="X878" s="225"/>
      <c r="Y878" s="225"/>
      <c r="Z878" s="225"/>
      <c r="AA878" s="225"/>
      <c r="AB878" s="225"/>
      <c r="AC878" s="225"/>
      <c r="AD878" s="225"/>
      <c r="AE878" s="225"/>
      <c r="AF878" s="225"/>
      <c r="AG878" s="225"/>
      <c r="AH878" s="225"/>
      <c r="AI878" s="225"/>
      <c r="AJ878" s="225"/>
      <c r="AK878" s="225"/>
      <c r="AL878" s="225"/>
      <c r="AM878" s="225"/>
      <c r="AN878" s="225"/>
      <c r="AO878" s="225"/>
      <c r="AP878" s="225"/>
      <c r="AQ878" s="225"/>
      <c r="AR878" s="225"/>
    </row>
    <row r="879" spans="1:44" ht="15.75" customHeight="1">
      <c r="A879" s="131"/>
      <c r="B879" s="131"/>
      <c r="C879" s="131"/>
      <c r="D879" s="131"/>
      <c r="E879" s="131"/>
      <c r="F879" s="131"/>
      <c r="G879" s="131"/>
      <c r="H879" s="131"/>
      <c r="I879" s="131"/>
      <c r="J879" s="131"/>
      <c r="K879" s="131"/>
      <c r="L879" s="225"/>
      <c r="M879" s="225"/>
      <c r="N879" s="225"/>
      <c r="O879" s="225"/>
      <c r="P879" s="225"/>
      <c r="Q879" s="225"/>
      <c r="R879" s="225"/>
      <c r="S879" s="225"/>
      <c r="T879" s="225"/>
      <c r="U879" s="225"/>
      <c r="V879" s="225"/>
      <c r="W879" s="225"/>
      <c r="X879" s="225"/>
      <c r="Y879" s="225"/>
      <c r="Z879" s="225"/>
      <c r="AA879" s="225"/>
      <c r="AB879" s="225"/>
      <c r="AC879" s="225"/>
      <c r="AD879" s="225"/>
      <c r="AE879" s="225"/>
      <c r="AF879" s="225"/>
      <c r="AG879" s="225"/>
      <c r="AH879" s="225"/>
      <c r="AI879" s="225"/>
      <c r="AJ879" s="225"/>
      <c r="AK879" s="225"/>
      <c r="AL879" s="225"/>
      <c r="AM879" s="225"/>
      <c r="AN879" s="225"/>
      <c r="AO879" s="225"/>
      <c r="AP879" s="225"/>
      <c r="AQ879" s="225"/>
      <c r="AR879" s="225"/>
    </row>
    <row r="880" spans="1:44" ht="15.75" customHeight="1">
      <c r="A880" s="131"/>
      <c r="B880" s="131"/>
      <c r="C880" s="131"/>
      <c r="D880" s="131"/>
      <c r="E880" s="131"/>
      <c r="F880" s="131"/>
      <c r="G880" s="131"/>
      <c r="H880" s="131"/>
      <c r="I880" s="131"/>
      <c r="J880" s="131"/>
      <c r="K880" s="131"/>
      <c r="L880" s="225"/>
      <c r="M880" s="225"/>
      <c r="N880" s="225"/>
      <c r="O880" s="225"/>
      <c r="P880" s="225"/>
      <c r="Q880" s="225"/>
      <c r="R880" s="225"/>
      <c r="S880" s="225"/>
      <c r="T880" s="225"/>
      <c r="U880" s="225"/>
      <c r="V880" s="225"/>
      <c r="W880" s="225"/>
      <c r="X880" s="225"/>
      <c r="Y880" s="225"/>
      <c r="Z880" s="225"/>
      <c r="AA880" s="225"/>
      <c r="AB880" s="225"/>
      <c r="AC880" s="225"/>
      <c r="AD880" s="225"/>
      <c r="AE880" s="225"/>
      <c r="AF880" s="225"/>
      <c r="AG880" s="225"/>
      <c r="AH880" s="225"/>
      <c r="AI880" s="225"/>
      <c r="AJ880" s="225"/>
      <c r="AK880" s="225"/>
      <c r="AL880" s="225"/>
      <c r="AM880" s="225"/>
      <c r="AN880" s="225"/>
      <c r="AO880" s="225"/>
      <c r="AP880" s="225"/>
      <c r="AQ880" s="225"/>
      <c r="AR880" s="225"/>
    </row>
    <row r="881" spans="1:44" ht="15.75" customHeight="1">
      <c r="A881" s="131"/>
      <c r="B881" s="131"/>
      <c r="C881" s="131"/>
      <c r="D881" s="131"/>
      <c r="E881" s="131"/>
      <c r="F881" s="131"/>
      <c r="G881" s="131"/>
      <c r="H881" s="131"/>
      <c r="I881" s="131"/>
      <c r="J881" s="131"/>
      <c r="K881" s="131"/>
      <c r="L881" s="225"/>
      <c r="M881" s="225"/>
      <c r="N881" s="225"/>
      <c r="O881" s="225"/>
      <c r="P881" s="225"/>
      <c r="Q881" s="225"/>
      <c r="R881" s="225"/>
      <c r="S881" s="225"/>
      <c r="T881" s="225"/>
      <c r="U881" s="225"/>
      <c r="V881" s="225"/>
      <c r="W881" s="225"/>
      <c r="X881" s="225"/>
      <c r="Y881" s="225"/>
      <c r="Z881" s="225"/>
      <c r="AA881" s="225"/>
      <c r="AB881" s="225"/>
      <c r="AC881" s="225"/>
      <c r="AD881" s="225"/>
      <c r="AE881" s="225"/>
      <c r="AF881" s="225"/>
      <c r="AG881" s="225"/>
      <c r="AH881" s="225"/>
      <c r="AI881" s="225"/>
      <c r="AJ881" s="225"/>
      <c r="AK881" s="225"/>
      <c r="AL881" s="225"/>
      <c r="AM881" s="225"/>
      <c r="AN881" s="225"/>
      <c r="AO881" s="225"/>
      <c r="AP881" s="225"/>
      <c r="AQ881" s="225"/>
      <c r="AR881" s="225"/>
    </row>
    <row r="882" spans="1:44" ht="15.75" customHeight="1">
      <c r="A882" s="131"/>
      <c r="B882" s="131"/>
      <c r="C882" s="131"/>
      <c r="D882" s="131"/>
      <c r="E882" s="131"/>
      <c r="F882" s="131"/>
      <c r="G882" s="131"/>
      <c r="H882" s="131"/>
      <c r="I882" s="131"/>
      <c r="J882" s="131"/>
      <c r="K882" s="131"/>
      <c r="L882" s="225"/>
      <c r="M882" s="225"/>
      <c r="N882" s="225"/>
      <c r="O882" s="225"/>
      <c r="P882" s="225"/>
      <c r="Q882" s="225"/>
      <c r="R882" s="225"/>
      <c r="S882" s="225"/>
      <c r="T882" s="225"/>
      <c r="U882" s="225"/>
      <c r="V882" s="225"/>
      <c r="W882" s="225"/>
      <c r="X882" s="225"/>
      <c r="Y882" s="225"/>
      <c r="Z882" s="225"/>
      <c r="AA882" s="225"/>
      <c r="AB882" s="225"/>
      <c r="AC882" s="225"/>
      <c r="AD882" s="225"/>
      <c r="AE882" s="225"/>
      <c r="AF882" s="225"/>
      <c r="AG882" s="225"/>
      <c r="AH882" s="225"/>
      <c r="AI882" s="225"/>
      <c r="AJ882" s="225"/>
      <c r="AK882" s="225"/>
      <c r="AL882" s="225"/>
      <c r="AM882" s="225"/>
      <c r="AN882" s="225"/>
      <c r="AO882" s="225"/>
      <c r="AP882" s="225"/>
      <c r="AQ882" s="225"/>
      <c r="AR882" s="225"/>
    </row>
    <row r="883" spans="1:44" ht="15.75" customHeight="1">
      <c r="A883" s="131"/>
      <c r="B883" s="131"/>
      <c r="C883" s="131"/>
      <c r="D883" s="131"/>
      <c r="E883" s="131"/>
      <c r="F883" s="131"/>
      <c r="G883" s="131"/>
      <c r="H883" s="131"/>
      <c r="I883" s="131"/>
      <c r="J883" s="131"/>
      <c r="K883" s="131"/>
      <c r="L883" s="225"/>
      <c r="M883" s="225"/>
      <c r="N883" s="225"/>
      <c r="O883" s="225"/>
      <c r="P883" s="225"/>
      <c r="Q883" s="225"/>
      <c r="R883" s="225"/>
      <c r="S883" s="225"/>
      <c r="T883" s="225"/>
      <c r="U883" s="225"/>
      <c r="V883" s="225"/>
      <c r="W883" s="225"/>
      <c r="X883" s="225"/>
      <c r="Y883" s="225"/>
      <c r="Z883" s="225"/>
      <c r="AA883" s="225"/>
      <c r="AB883" s="225"/>
      <c r="AC883" s="225"/>
      <c r="AD883" s="225"/>
      <c r="AE883" s="225"/>
      <c r="AF883" s="225"/>
      <c r="AG883" s="225"/>
      <c r="AH883" s="225"/>
      <c r="AI883" s="225"/>
      <c r="AJ883" s="225"/>
      <c r="AK883" s="225"/>
      <c r="AL883" s="225"/>
      <c r="AM883" s="225"/>
      <c r="AN883" s="225"/>
      <c r="AO883" s="225"/>
      <c r="AP883" s="225"/>
      <c r="AQ883" s="225"/>
      <c r="AR883" s="225"/>
    </row>
    <row r="884" spans="1:44" ht="15.75" customHeight="1">
      <c r="A884" s="131"/>
      <c r="B884" s="131"/>
      <c r="C884" s="131"/>
      <c r="D884" s="131"/>
      <c r="E884" s="131"/>
      <c r="F884" s="131"/>
      <c r="G884" s="131"/>
      <c r="H884" s="131"/>
      <c r="I884" s="131"/>
      <c r="J884" s="131"/>
      <c r="K884" s="131"/>
      <c r="L884" s="225"/>
      <c r="M884" s="225"/>
      <c r="N884" s="225"/>
      <c r="O884" s="225"/>
      <c r="P884" s="225"/>
      <c r="Q884" s="225"/>
      <c r="R884" s="225"/>
      <c r="S884" s="225"/>
      <c r="T884" s="225"/>
      <c r="U884" s="225"/>
      <c r="V884" s="225"/>
      <c r="W884" s="225"/>
      <c r="X884" s="225"/>
      <c r="Y884" s="225"/>
      <c r="Z884" s="225"/>
      <c r="AA884" s="225"/>
      <c r="AB884" s="225"/>
      <c r="AC884" s="225"/>
      <c r="AD884" s="225"/>
      <c r="AE884" s="225"/>
      <c r="AF884" s="225"/>
      <c r="AG884" s="225"/>
      <c r="AH884" s="225"/>
      <c r="AI884" s="225"/>
      <c r="AJ884" s="225"/>
      <c r="AK884" s="225"/>
      <c r="AL884" s="225"/>
      <c r="AM884" s="225"/>
      <c r="AN884" s="225"/>
      <c r="AO884" s="225"/>
      <c r="AP884" s="225"/>
      <c r="AQ884" s="225"/>
      <c r="AR884" s="225"/>
    </row>
    <row r="885" spans="1:44" ht="15.75" customHeight="1">
      <c r="A885" s="131"/>
      <c r="B885" s="131"/>
      <c r="C885" s="131"/>
      <c r="D885" s="131"/>
      <c r="E885" s="131"/>
      <c r="F885" s="131"/>
      <c r="G885" s="131"/>
      <c r="H885" s="131"/>
      <c r="I885" s="131"/>
      <c r="J885" s="131"/>
      <c r="K885" s="131"/>
      <c r="L885" s="225"/>
      <c r="M885" s="225"/>
      <c r="N885" s="225"/>
      <c r="O885" s="225"/>
      <c r="P885" s="225"/>
      <c r="Q885" s="225"/>
      <c r="R885" s="225"/>
      <c r="S885" s="225"/>
      <c r="T885" s="225"/>
      <c r="U885" s="225"/>
      <c r="V885" s="225"/>
      <c r="W885" s="225"/>
      <c r="X885" s="225"/>
      <c r="Y885" s="225"/>
      <c r="Z885" s="225"/>
      <c r="AA885" s="225"/>
      <c r="AB885" s="225"/>
      <c r="AC885" s="225"/>
      <c r="AD885" s="225"/>
      <c r="AE885" s="225"/>
      <c r="AF885" s="225"/>
      <c r="AG885" s="225"/>
      <c r="AH885" s="225"/>
      <c r="AI885" s="225"/>
      <c r="AJ885" s="225"/>
      <c r="AK885" s="225"/>
      <c r="AL885" s="225"/>
      <c r="AM885" s="225"/>
      <c r="AN885" s="225"/>
      <c r="AO885" s="225"/>
      <c r="AP885" s="225"/>
      <c r="AQ885" s="225"/>
      <c r="AR885" s="225"/>
    </row>
    <row r="886" spans="1:44" ht="15.75" customHeight="1">
      <c r="A886" s="131"/>
      <c r="B886" s="131"/>
      <c r="C886" s="131"/>
      <c r="D886" s="131"/>
      <c r="E886" s="131"/>
      <c r="F886" s="131"/>
      <c r="G886" s="131"/>
      <c r="H886" s="131"/>
      <c r="I886" s="131"/>
      <c r="J886" s="131"/>
      <c r="K886" s="131"/>
      <c r="L886" s="225"/>
      <c r="M886" s="225"/>
      <c r="N886" s="225"/>
      <c r="O886" s="225"/>
      <c r="P886" s="225"/>
      <c r="Q886" s="225"/>
      <c r="R886" s="225"/>
      <c r="S886" s="225"/>
      <c r="T886" s="225"/>
      <c r="U886" s="225"/>
      <c r="V886" s="225"/>
      <c r="W886" s="225"/>
      <c r="X886" s="225"/>
      <c r="Y886" s="225"/>
      <c r="Z886" s="225"/>
      <c r="AA886" s="225"/>
      <c r="AB886" s="225"/>
      <c r="AC886" s="225"/>
      <c r="AD886" s="225"/>
      <c r="AE886" s="225"/>
      <c r="AF886" s="225"/>
      <c r="AG886" s="225"/>
      <c r="AH886" s="225"/>
      <c r="AI886" s="225"/>
      <c r="AJ886" s="225"/>
      <c r="AK886" s="225"/>
      <c r="AL886" s="225"/>
      <c r="AM886" s="225"/>
      <c r="AN886" s="225"/>
      <c r="AO886" s="225"/>
      <c r="AP886" s="225"/>
      <c r="AQ886" s="225"/>
      <c r="AR886" s="225"/>
    </row>
    <row r="887" spans="1:44" ht="15.75" customHeight="1">
      <c r="A887" s="131"/>
      <c r="B887" s="131"/>
      <c r="C887" s="131"/>
      <c r="D887" s="131"/>
      <c r="E887" s="131"/>
      <c r="F887" s="131"/>
      <c r="G887" s="131"/>
      <c r="H887" s="131"/>
      <c r="I887" s="131"/>
      <c r="J887" s="131"/>
      <c r="K887" s="131"/>
      <c r="L887" s="225"/>
      <c r="M887" s="225"/>
      <c r="N887" s="225"/>
      <c r="O887" s="225"/>
      <c r="P887" s="225"/>
      <c r="Q887" s="225"/>
      <c r="R887" s="225"/>
      <c r="S887" s="225"/>
      <c r="T887" s="225"/>
      <c r="U887" s="225"/>
      <c r="V887" s="225"/>
      <c r="W887" s="225"/>
      <c r="X887" s="225"/>
      <c r="Y887" s="225"/>
      <c r="Z887" s="225"/>
      <c r="AA887" s="225"/>
      <c r="AB887" s="225"/>
      <c r="AC887" s="225"/>
      <c r="AD887" s="225"/>
      <c r="AE887" s="225"/>
      <c r="AF887" s="225"/>
      <c r="AG887" s="225"/>
      <c r="AH887" s="225"/>
      <c r="AI887" s="225"/>
      <c r="AJ887" s="225"/>
      <c r="AK887" s="225"/>
      <c r="AL887" s="225"/>
      <c r="AM887" s="225"/>
      <c r="AN887" s="225"/>
      <c r="AO887" s="225"/>
      <c r="AP887" s="225"/>
      <c r="AQ887" s="225"/>
      <c r="AR887" s="225"/>
    </row>
    <row r="888" spans="1:44" ht="15.75" customHeight="1">
      <c r="A888" s="131"/>
      <c r="B888" s="131"/>
      <c r="C888" s="131"/>
      <c r="D888" s="131"/>
      <c r="E888" s="131"/>
      <c r="F888" s="131"/>
      <c r="G888" s="131"/>
      <c r="H888" s="131"/>
      <c r="I888" s="131"/>
      <c r="J888" s="131"/>
      <c r="K888" s="131"/>
      <c r="L888" s="225"/>
      <c r="M888" s="225"/>
      <c r="N888" s="225"/>
      <c r="O888" s="225"/>
      <c r="P888" s="225"/>
      <c r="Q888" s="225"/>
      <c r="R888" s="225"/>
      <c r="S888" s="225"/>
      <c r="T888" s="225"/>
      <c r="U888" s="225"/>
      <c r="V888" s="225"/>
      <c r="W888" s="225"/>
      <c r="X888" s="225"/>
      <c r="Y888" s="225"/>
      <c r="Z888" s="225"/>
      <c r="AA888" s="225"/>
      <c r="AB888" s="225"/>
      <c r="AC888" s="225"/>
      <c r="AD888" s="225"/>
      <c r="AE888" s="225"/>
      <c r="AF888" s="225"/>
      <c r="AG888" s="225"/>
      <c r="AH888" s="225"/>
      <c r="AI888" s="225"/>
      <c r="AJ888" s="225"/>
      <c r="AK888" s="225"/>
      <c r="AL888" s="225"/>
      <c r="AM888" s="225"/>
      <c r="AN888" s="225"/>
      <c r="AO888" s="225"/>
      <c r="AP888" s="225"/>
      <c r="AQ888" s="225"/>
      <c r="AR888" s="225"/>
    </row>
    <row r="889" spans="1:44" ht="15.75" customHeight="1">
      <c r="A889" s="131"/>
      <c r="B889" s="131"/>
      <c r="C889" s="131"/>
      <c r="D889" s="131"/>
      <c r="E889" s="131"/>
      <c r="F889" s="131"/>
      <c r="G889" s="131"/>
      <c r="H889" s="131"/>
      <c r="I889" s="131"/>
      <c r="J889" s="131"/>
      <c r="K889" s="131"/>
      <c r="L889" s="225"/>
      <c r="M889" s="225"/>
      <c r="N889" s="225"/>
      <c r="O889" s="225"/>
      <c r="P889" s="225"/>
      <c r="Q889" s="225"/>
      <c r="R889" s="225"/>
      <c r="S889" s="225"/>
      <c r="T889" s="225"/>
      <c r="U889" s="225"/>
      <c r="V889" s="225"/>
      <c r="W889" s="225"/>
      <c r="X889" s="225"/>
      <c r="Y889" s="225"/>
      <c r="Z889" s="225"/>
      <c r="AA889" s="225"/>
      <c r="AB889" s="225"/>
      <c r="AC889" s="225"/>
      <c r="AD889" s="225"/>
      <c r="AE889" s="225"/>
      <c r="AF889" s="225"/>
      <c r="AG889" s="225"/>
      <c r="AH889" s="225"/>
      <c r="AI889" s="225"/>
      <c r="AJ889" s="225"/>
      <c r="AK889" s="225"/>
      <c r="AL889" s="225"/>
      <c r="AM889" s="225"/>
      <c r="AN889" s="225"/>
      <c r="AO889" s="225"/>
      <c r="AP889" s="225"/>
      <c r="AQ889" s="225"/>
      <c r="AR889" s="225"/>
    </row>
    <row r="890" spans="1:44" ht="15.75" customHeight="1">
      <c r="A890" s="131"/>
      <c r="B890" s="131"/>
      <c r="C890" s="131"/>
      <c r="D890" s="131"/>
      <c r="E890" s="131"/>
      <c r="F890" s="131"/>
      <c r="G890" s="131"/>
      <c r="H890" s="131"/>
      <c r="I890" s="131"/>
      <c r="J890" s="131"/>
      <c r="K890" s="131"/>
      <c r="L890" s="225"/>
      <c r="M890" s="225"/>
      <c r="N890" s="225"/>
      <c r="O890" s="225"/>
      <c r="P890" s="225"/>
      <c r="Q890" s="225"/>
      <c r="R890" s="225"/>
      <c r="S890" s="225"/>
      <c r="T890" s="225"/>
      <c r="U890" s="225"/>
      <c r="V890" s="225"/>
      <c r="W890" s="225"/>
      <c r="X890" s="225"/>
      <c r="Y890" s="225"/>
      <c r="Z890" s="225"/>
      <c r="AA890" s="225"/>
      <c r="AB890" s="225"/>
      <c r="AC890" s="225"/>
      <c r="AD890" s="225"/>
      <c r="AE890" s="225"/>
      <c r="AF890" s="225"/>
      <c r="AG890" s="225"/>
      <c r="AH890" s="225"/>
      <c r="AI890" s="225"/>
      <c r="AJ890" s="225"/>
      <c r="AK890" s="225"/>
      <c r="AL890" s="225"/>
      <c r="AM890" s="225"/>
      <c r="AN890" s="225"/>
      <c r="AO890" s="225"/>
      <c r="AP890" s="225"/>
      <c r="AQ890" s="225"/>
      <c r="AR890" s="225"/>
    </row>
    <row r="891" spans="1:44" ht="15.75" customHeight="1">
      <c r="A891" s="131"/>
      <c r="B891" s="131"/>
      <c r="C891" s="131"/>
      <c r="D891" s="131"/>
      <c r="E891" s="131"/>
      <c r="F891" s="131"/>
      <c r="G891" s="131"/>
      <c r="H891" s="131"/>
      <c r="I891" s="131"/>
      <c r="J891" s="131"/>
      <c r="K891" s="131"/>
      <c r="L891" s="225"/>
      <c r="M891" s="225"/>
      <c r="N891" s="225"/>
      <c r="O891" s="225"/>
      <c r="P891" s="225"/>
      <c r="Q891" s="225"/>
      <c r="R891" s="225"/>
      <c r="S891" s="225"/>
      <c r="T891" s="225"/>
      <c r="U891" s="225"/>
      <c r="V891" s="225"/>
      <c r="W891" s="225"/>
      <c r="X891" s="225"/>
      <c r="Y891" s="225"/>
      <c r="Z891" s="225"/>
      <c r="AA891" s="225"/>
      <c r="AB891" s="225"/>
      <c r="AC891" s="225"/>
      <c r="AD891" s="225"/>
      <c r="AE891" s="225"/>
      <c r="AF891" s="225"/>
      <c r="AG891" s="225"/>
      <c r="AH891" s="225"/>
      <c r="AI891" s="225"/>
      <c r="AJ891" s="225"/>
      <c r="AK891" s="225"/>
      <c r="AL891" s="225"/>
      <c r="AM891" s="225"/>
      <c r="AN891" s="225"/>
      <c r="AO891" s="225"/>
      <c r="AP891" s="225"/>
      <c r="AQ891" s="225"/>
      <c r="AR891" s="225"/>
    </row>
    <row r="892" spans="1:44" ht="15.75" customHeight="1">
      <c r="A892" s="131"/>
      <c r="B892" s="131"/>
      <c r="C892" s="131"/>
      <c r="D892" s="131"/>
      <c r="E892" s="131"/>
      <c r="F892" s="131"/>
      <c r="G892" s="131"/>
      <c r="H892" s="131"/>
      <c r="I892" s="131"/>
      <c r="J892" s="131"/>
      <c r="K892" s="131"/>
      <c r="L892" s="225"/>
      <c r="M892" s="225"/>
      <c r="N892" s="225"/>
      <c r="O892" s="225"/>
      <c r="P892" s="225"/>
      <c r="Q892" s="225"/>
      <c r="R892" s="225"/>
      <c r="S892" s="225"/>
      <c r="T892" s="225"/>
      <c r="U892" s="225"/>
      <c r="V892" s="225"/>
      <c r="W892" s="225"/>
      <c r="X892" s="225"/>
      <c r="Y892" s="225"/>
      <c r="Z892" s="225"/>
      <c r="AA892" s="225"/>
      <c r="AB892" s="225"/>
      <c r="AC892" s="225"/>
      <c r="AD892" s="225"/>
      <c r="AE892" s="225"/>
      <c r="AF892" s="225"/>
      <c r="AG892" s="225"/>
      <c r="AH892" s="225"/>
      <c r="AI892" s="225"/>
      <c r="AJ892" s="225"/>
      <c r="AK892" s="225"/>
      <c r="AL892" s="225"/>
      <c r="AM892" s="225"/>
      <c r="AN892" s="225"/>
      <c r="AO892" s="225"/>
      <c r="AP892" s="225"/>
      <c r="AQ892" s="225"/>
      <c r="AR892" s="225"/>
    </row>
    <row r="893" spans="1:44" ht="15.75" customHeight="1">
      <c r="A893" s="131"/>
      <c r="B893" s="131"/>
      <c r="C893" s="131"/>
      <c r="D893" s="131"/>
      <c r="E893" s="131"/>
      <c r="F893" s="131"/>
      <c r="G893" s="131"/>
      <c r="H893" s="131"/>
      <c r="I893" s="131"/>
      <c r="J893" s="131"/>
      <c r="K893" s="131"/>
      <c r="L893" s="225"/>
      <c r="M893" s="225"/>
      <c r="N893" s="225"/>
      <c r="O893" s="225"/>
      <c r="P893" s="225"/>
      <c r="Q893" s="225"/>
      <c r="R893" s="225"/>
      <c r="S893" s="225"/>
      <c r="T893" s="225"/>
      <c r="U893" s="225"/>
      <c r="V893" s="225"/>
      <c r="W893" s="225"/>
      <c r="X893" s="225"/>
      <c r="Y893" s="225"/>
      <c r="Z893" s="225"/>
      <c r="AA893" s="225"/>
      <c r="AB893" s="225"/>
      <c r="AC893" s="225"/>
      <c r="AD893" s="225"/>
      <c r="AE893" s="225"/>
      <c r="AF893" s="225"/>
      <c r="AG893" s="225"/>
      <c r="AH893" s="225"/>
      <c r="AI893" s="225"/>
      <c r="AJ893" s="225"/>
      <c r="AK893" s="225"/>
      <c r="AL893" s="225"/>
      <c r="AM893" s="225"/>
      <c r="AN893" s="225"/>
      <c r="AO893" s="225"/>
      <c r="AP893" s="225"/>
      <c r="AQ893" s="225"/>
      <c r="AR893" s="225"/>
    </row>
    <row r="894" spans="1:44" ht="15.75" customHeight="1">
      <c r="A894" s="131"/>
      <c r="B894" s="131"/>
      <c r="C894" s="131"/>
      <c r="D894" s="131"/>
      <c r="E894" s="131"/>
      <c r="F894" s="131"/>
      <c r="G894" s="131"/>
      <c r="H894" s="131"/>
      <c r="I894" s="131"/>
      <c r="J894" s="131"/>
      <c r="K894" s="131"/>
      <c r="L894" s="225"/>
      <c r="M894" s="225"/>
      <c r="N894" s="225"/>
      <c r="O894" s="225"/>
      <c r="P894" s="225"/>
      <c r="Q894" s="225"/>
      <c r="R894" s="225"/>
      <c r="S894" s="225"/>
      <c r="T894" s="225"/>
      <c r="U894" s="225"/>
      <c r="V894" s="225"/>
      <c r="W894" s="225"/>
      <c r="X894" s="225"/>
      <c r="Y894" s="225"/>
      <c r="Z894" s="225"/>
      <c r="AA894" s="225"/>
      <c r="AB894" s="225"/>
      <c r="AC894" s="225"/>
      <c r="AD894" s="225"/>
      <c r="AE894" s="225"/>
      <c r="AF894" s="225"/>
      <c r="AG894" s="225"/>
      <c r="AH894" s="225"/>
      <c r="AI894" s="225"/>
      <c r="AJ894" s="225"/>
      <c r="AK894" s="225"/>
      <c r="AL894" s="225"/>
      <c r="AM894" s="225"/>
      <c r="AN894" s="225"/>
      <c r="AO894" s="225"/>
      <c r="AP894" s="225"/>
      <c r="AQ894" s="225"/>
      <c r="AR894" s="225"/>
    </row>
    <row r="895" spans="1:44" ht="15.75" customHeight="1">
      <c r="A895" s="131"/>
      <c r="B895" s="131"/>
      <c r="C895" s="131"/>
      <c r="D895" s="131"/>
      <c r="E895" s="131"/>
      <c r="F895" s="131"/>
      <c r="G895" s="131"/>
      <c r="H895" s="131"/>
      <c r="I895" s="131"/>
      <c r="J895" s="131"/>
      <c r="K895" s="131"/>
      <c r="L895" s="225"/>
      <c r="M895" s="225"/>
      <c r="N895" s="225"/>
      <c r="O895" s="225"/>
      <c r="P895" s="225"/>
      <c r="Q895" s="225"/>
      <c r="R895" s="225"/>
      <c r="S895" s="225"/>
      <c r="T895" s="225"/>
      <c r="U895" s="225"/>
      <c r="V895" s="225"/>
      <c r="W895" s="225"/>
      <c r="X895" s="225"/>
      <c r="Y895" s="225"/>
      <c r="Z895" s="225"/>
      <c r="AA895" s="225"/>
      <c r="AB895" s="225"/>
      <c r="AC895" s="225"/>
      <c r="AD895" s="225"/>
      <c r="AE895" s="225"/>
      <c r="AF895" s="225"/>
      <c r="AG895" s="225"/>
      <c r="AH895" s="225"/>
      <c r="AI895" s="225"/>
      <c r="AJ895" s="225"/>
      <c r="AK895" s="225"/>
      <c r="AL895" s="225"/>
      <c r="AM895" s="225"/>
      <c r="AN895" s="225"/>
      <c r="AO895" s="225"/>
      <c r="AP895" s="225"/>
      <c r="AQ895" s="225"/>
      <c r="AR895" s="225"/>
    </row>
    <row r="896" spans="1:44" ht="15.75" customHeight="1">
      <c r="A896" s="131"/>
      <c r="B896" s="131"/>
      <c r="C896" s="131"/>
      <c r="D896" s="131"/>
      <c r="E896" s="131"/>
      <c r="F896" s="131"/>
      <c r="G896" s="131"/>
      <c r="H896" s="131"/>
      <c r="I896" s="131"/>
      <c r="J896" s="131"/>
      <c r="K896" s="131"/>
      <c r="L896" s="225"/>
      <c r="M896" s="225"/>
      <c r="N896" s="225"/>
      <c r="O896" s="225"/>
      <c r="P896" s="225"/>
      <c r="Q896" s="225"/>
      <c r="R896" s="225"/>
      <c r="S896" s="225"/>
      <c r="T896" s="225"/>
      <c r="U896" s="225"/>
      <c r="V896" s="225"/>
      <c r="W896" s="225"/>
      <c r="X896" s="225"/>
      <c r="Y896" s="225"/>
      <c r="Z896" s="225"/>
      <c r="AA896" s="225"/>
      <c r="AB896" s="225"/>
      <c r="AC896" s="225"/>
      <c r="AD896" s="225"/>
      <c r="AE896" s="225"/>
      <c r="AF896" s="225"/>
      <c r="AG896" s="225"/>
      <c r="AH896" s="225"/>
      <c r="AI896" s="225"/>
      <c r="AJ896" s="225"/>
      <c r="AK896" s="225"/>
      <c r="AL896" s="225"/>
      <c r="AM896" s="225"/>
      <c r="AN896" s="225"/>
      <c r="AO896" s="225"/>
      <c r="AP896" s="225"/>
      <c r="AQ896" s="225"/>
      <c r="AR896" s="225"/>
    </row>
    <row r="897" spans="1:44" ht="15.75" customHeight="1">
      <c r="A897" s="131"/>
      <c r="B897" s="131"/>
      <c r="C897" s="131"/>
      <c r="D897" s="131"/>
      <c r="E897" s="131"/>
      <c r="F897" s="131"/>
      <c r="G897" s="131"/>
      <c r="H897" s="131"/>
      <c r="I897" s="131"/>
      <c r="J897" s="131"/>
      <c r="K897" s="131"/>
      <c r="L897" s="225"/>
      <c r="M897" s="225"/>
      <c r="N897" s="225"/>
      <c r="O897" s="225"/>
      <c r="P897" s="225"/>
      <c r="Q897" s="225"/>
      <c r="R897" s="225"/>
      <c r="S897" s="225"/>
      <c r="T897" s="225"/>
      <c r="U897" s="225"/>
      <c r="V897" s="225"/>
      <c r="W897" s="225"/>
      <c r="X897" s="225"/>
      <c r="Y897" s="225"/>
      <c r="Z897" s="225"/>
      <c r="AA897" s="225"/>
      <c r="AB897" s="225"/>
      <c r="AC897" s="225"/>
      <c r="AD897" s="225"/>
      <c r="AE897" s="225"/>
      <c r="AF897" s="225"/>
      <c r="AG897" s="225"/>
      <c r="AH897" s="225"/>
      <c r="AI897" s="225"/>
      <c r="AJ897" s="225"/>
      <c r="AK897" s="225"/>
      <c r="AL897" s="225"/>
      <c r="AM897" s="225"/>
      <c r="AN897" s="225"/>
      <c r="AO897" s="225"/>
      <c r="AP897" s="225"/>
      <c r="AQ897" s="225"/>
      <c r="AR897" s="225"/>
    </row>
    <row r="898" spans="1:44" ht="15.75" customHeight="1">
      <c r="A898" s="131"/>
      <c r="B898" s="131"/>
      <c r="C898" s="131"/>
      <c r="D898" s="131"/>
      <c r="E898" s="131"/>
      <c r="F898" s="131"/>
      <c r="G898" s="131"/>
      <c r="H898" s="131"/>
      <c r="I898" s="131"/>
      <c r="J898" s="131"/>
      <c r="K898" s="131"/>
      <c r="L898" s="225"/>
      <c r="M898" s="225"/>
      <c r="N898" s="225"/>
      <c r="O898" s="225"/>
      <c r="P898" s="225"/>
      <c r="Q898" s="225"/>
      <c r="R898" s="225"/>
      <c r="S898" s="225"/>
      <c r="T898" s="225"/>
      <c r="U898" s="225"/>
      <c r="V898" s="225"/>
      <c r="W898" s="225"/>
      <c r="X898" s="225"/>
      <c r="Y898" s="225"/>
      <c r="Z898" s="225"/>
      <c r="AA898" s="225"/>
      <c r="AB898" s="225"/>
      <c r="AC898" s="225"/>
      <c r="AD898" s="225"/>
      <c r="AE898" s="225"/>
      <c r="AF898" s="225"/>
      <c r="AG898" s="225"/>
      <c r="AH898" s="225"/>
      <c r="AI898" s="225"/>
      <c r="AJ898" s="225"/>
      <c r="AK898" s="225"/>
      <c r="AL898" s="225"/>
      <c r="AM898" s="225"/>
      <c r="AN898" s="225"/>
      <c r="AO898" s="225"/>
      <c r="AP898" s="225"/>
      <c r="AQ898" s="225"/>
      <c r="AR898" s="225"/>
    </row>
    <row r="899" spans="1:44" ht="15.75" customHeight="1">
      <c r="A899" s="131"/>
      <c r="B899" s="131"/>
      <c r="C899" s="131"/>
      <c r="D899" s="131"/>
      <c r="E899" s="131"/>
      <c r="F899" s="131"/>
      <c r="G899" s="131"/>
      <c r="H899" s="131"/>
      <c r="I899" s="131"/>
      <c r="J899" s="131"/>
      <c r="K899" s="131"/>
      <c r="L899" s="225"/>
      <c r="M899" s="225"/>
      <c r="N899" s="225"/>
      <c r="O899" s="225"/>
      <c r="P899" s="225"/>
      <c r="Q899" s="225"/>
      <c r="R899" s="225"/>
      <c r="S899" s="225"/>
      <c r="T899" s="225"/>
      <c r="U899" s="225"/>
      <c r="V899" s="225"/>
      <c r="W899" s="225"/>
      <c r="X899" s="225"/>
      <c r="Y899" s="225"/>
      <c r="Z899" s="225"/>
      <c r="AA899" s="225"/>
      <c r="AB899" s="225"/>
      <c r="AC899" s="225"/>
      <c r="AD899" s="225"/>
      <c r="AE899" s="225"/>
      <c r="AF899" s="225"/>
      <c r="AG899" s="225"/>
      <c r="AH899" s="225"/>
      <c r="AI899" s="225"/>
      <c r="AJ899" s="225"/>
      <c r="AK899" s="225"/>
      <c r="AL899" s="225"/>
      <c r="AM899" s="225"/>
      <c r="AN899" s="225"/>
      <c r="AO899" s="225"/>
      <c r="AP899" s="225"/>
      <c r="AQ899" s="225"/>
      <c r="AR899" s="225"/>
    </row>
    <row r="900" spans="1:44" ht="15.75" customHeight="1">
      <c r="A900" s="131"/>
      <c r="B900" s="131"/>
      <c r="C900" s="131"/>
      <c r="D900" s="131"/>
      <c r="E900" s="131"/>
      <c r="F900" s="131"/>
      <c r="G900" s="131"/>
      <c r="H900" s="131"/>
      <c r="I900" s="131"/>
      <c r="J900" s="131"/>
      <c r="K900" s="131"/>
      <c r="L900" s="225"/>
      <c r="M900" s="225"/>
      <c r="N900" s="225"/>
      <c r="O900" s="225"/>
      <c r="P900" s="225"/>
      <c r="Q900" s="225"/>
      <c r="R900" s="225"/>
      <c r="S900" s="225"/>
      <c r="T900" s="225"/>
      <c r="U900" s="225"/>
      <c r="V900" s="225"/>
      <c r="W900" s="225"/>
      <c r="X900" s="225"/>
      <c r="Y900" s="225"/>
      <c r="Z900" s="225"/>
      <c r="AA900" s="225"/>
      <c r="AB900" s="225"/>
      <c r="AC900" s="225"/>
      <c r="AD900" s="225"/>
      <c r="AE900" s="225"/>
      <c r="AF900" s="225"/>
      <c r="AG900" s="225"/>
      <c r="AH900" s="225"/>
      <c r="AI900" s="225"/>
      <c r="AJ900" s="225"/>
      <c r="AK900" s="225"/>
      <c r="AL900" s="225"/>
      <c r="AM900" s="225"/>
      <c r="AN900" s="225"/>
      <c r="AO900" s="225"/>
      <c r="AP900" s="225"/>
      <c r="AQ900" s="225"/>
      <c r="AR900" s="225"/>
    </row>
    <row r="901" spans="1:44" ht="15.75" customHeight="1">
      <c r="A901" s="131"/>
      <c r="B901" s="131"/>
      <c r="C901" s="131"/>
      <c r="D901" s="131"/>
      <c r="E901" s="131"/>
      <c r="F901" s="131"/>
      <c r="G901" s="131"/>
      <c r="H901" s="131"/>
      <c r="I901" s="131"/>
      <c r="J901" s="131"/>
      <c r="K901" s="131"/>
      <c r="L901" s="225"/>
      <c r="M901" s="225"/>
      <c r="N901" s="225"/>
      <c r="O901" s="225"/>
      <c r="P901" s="225"/>
      <c r="Q901" s="225"/>
      <c r="R901" s="225"/>
      <c r="S901" s="225"/>
      <c r="T901" s="225"/>
      <c r="U901" s="225"/>
      <c r="V901" s="225"/>
      <c r="W901" s="225"/>
      <c r="X901" s="225"/>
      <c r="Y901" s="225"/>
      <c r="Z901" s="225"/>
      <c r="AA901" s="225"/>
      <c r="AB901" s="225"/>
      <c r="AC901" s="225"/>
      <c r="AD901" s="225"/>
      <c r="AE901" s="225"/>
      <c r="AF901" s="225"/>
      <c r="AG901" s="225"/>
      <c r="AH901" s="225"/>
      <c r="AI901" s="225"/>
      <c r="AJ901" s="225"/>
      <c r="AK901" s="225"/>
      <c r="AL901" s="225"/>
      <c r="AM901" s="225"/>
      <c r="AN901" s="225"/>
      <c r="AO901" s="225"/>
      <c r="AP901" s="225"/>
      <c r="AQ901" s="225"/>
      <c r="AR901" s="225"/>
    </row>
    <row r="902" spans="1:44" ht="15.75" customHeight="1">
      <c r="A902" s="131"/>
      <c r="B902" s="131"/>
      <c r="C902" s="131"/>
      <c r="D902" s="131"/>
      <c r="E902" s="131"/>
      <c r="F902" s="131"/>
      <c r="G902" s="131"/>
      <c r="H902" s="131"/>
      <c r="I902" s="131"/>
      <c r="J902" s="131"/>
      <c r="K902" s="131"/>
      <c r="L902" s="225"/>
      <c r="M902" s="225"/>
      <c r="N902" s="225"/>
      <c r="O902" s="225"/>
      <c r="P902" s="225"/>
      <c r="Q902" s="225"/>
      <c r="R902" s="225"/>
      <c r="S902" s="225"/>
      <c r="T902" s="225"/>
      <c r="U902" s="225"/>
      <c r="V902" s="225"/>
      <c r="W902" s="225"/>
      <c r="X902" s="225"/>
      <c r="Y902" s="225"/>
      <c r="Z902" s="225"/>
      <c r="AA902" s="225"/>
      <c r="AB902" s="225"/>
      <c r="AC902" s="225"/>
      <c r="AD902" s="225"/>
      <c r="AE902" s="225"/>
      <c r="AF902" s="225"/>
      <c r="AG902" s="225"/>
      <c r="AH902" s="225"/>
      <c r="AI902" s="225"/>
      <c r="AJ902" s="225"/>
      <c r="AK902" s="225"/>
      <c r="AL902" s="225"/>
      <c r="AM902" s="225"/>
      <c r="AN902" s="225"/>
      <c r="AO902" s="225"/>
      <c r="AP902" s="225"/>
      <c r="AQ902" s="225"/>
      <c r="AR902" s="225"/>
    </row>
    <row r="903" spans="1:44" ht="15.75" customHeight="1">
      <c r="A903" s="131"/>
      <c r="B903" s="131"/>
      <c r="C903" s="131"/>
      <c r="D903" s="131"/>
      <c r="E903" s="131"/>
      <c r="F903" s="131"/>
      <c r="G903" s="131"/>
      <c r="H903" s="131"/>
      <c r="I903" s="131"/>
      <c r="J903" s="131"/>
      <c r="K903" s="131"/>
      <c r="L903" s="225"/>
      <c r="M903" s="225"/>
      <c r="N903" s="225"/>
      <c r="O903" s="225"/>
      <c r="P903" s="225"/>
      <c r="Q903" s="225"/>
      <c r="R903" s="225"/>
      <c r="S903" s="225"/>
      <c r="T903" s="225"/>
      <c r="U903" s="225"/>
      <c r="V903" s="225"/>
      <c r="W903" s="225"/>
      <c r="X903" s="225"/>
      <c r="Y903" s="225"/>
      <c r="Z903" s="225"/>
      <c r="AA903" s="225"/>
      <c r="AB903" s="225"/>
      <c r="AC903" s="225"/>
      <c r="AD903" s="225"/>
      <c r="AE903" s="225"/>
      <c r="AF903" s="225"/>
      <c r="AG903" s="225"/>
      <c r="AH903" s="225"/>
      <c r="AI903" s="225"/>
      <c r="AJ903" s="225"/>
      <c r="AK903" s="225"/>
      <c r="AL903" s="225"/>
      <c r="AM903" s="225"/>
      <c r="AN903" s="225"/>
      <c r="AO903" s="225"/>
      <c r="AP903" s="225"/>
      <c r="AQ903" s="225"/>
      <c r="AR903" s="225"/>
    </row>
    <row r="904" spans="1:44" ht="15.75" customHeight="1">
      <c r="A904" s="131"/>
      <c r="B904" s="131"/>
      <c r="C904" s="131"/>
      <c r="D904" s="131"/>
      <c r="E904" s="131"/>
      <c r="F904" s="131"/>
      <c r="G904" s="131"/>
      <c r="H904" s="131"/>
      <c r="I904" s="131"/>
      <c r="J904" s="131"/>
      <c r="K904" s="131"/>
      <c r="L904" s="225"/>
      <c r="M904" s="225"/>
      <c r="N904" s="225"/>
      <c r="O904" s="225"/>
      <c r="P904" s="225"/>
      <c r="Q904" s="225"/>
      <c r="R904" s="225"/>
      <c r="S904" s="225"/>
      <c r="T904" s="225"/>
      <c r="U904" s="225"/>
      <c r="V904" s="225"/>
      <c r="W904" s="225"/>
      <c r="X904" s="225"/>
      <c r="Y904" s="225"/>
      <c r="Z904" s="225"/>
      <c r="AA904" s="225"/>
      <c r="AB904" s="225"/>
      <c r="AC904" s="225"/>
      <c r="AD904" s="225"/>
      <c r="AE904" s="225"/>
      <c r="AF904" s="225"/>
      <c r="AG904" s="225"/>
      <c r="AH904" s="225"/>
      <c r="AI904" s="225"/>
      <c r="AJ904" s="225"/>
      <c r="AK904" s="225"/>
      <c r="AL904" s="225"/>
      <c r="AM904" s="225"/>
      <c r="AN904" s="225"/>
      <c r="AO904" s="225"/>
      <c r="AP904" s="225"/>
      <c r="AQ904" s="225"/>
      <c r="AR904" s="225"/>
    </row>
    <row r="905" spans="1:44" ht="15.75" customHeight="1">
      <c r="A905" s="131"/>
      <c r="B905" s="131"/>
      <c r="C905" s="131"/>
      <c r="D905" s="131"/>
      <c r="E905" s="131"/>
      <c r="F905" s="131"/>
      <c r="G905" s="131"/>
      <c r="H905" s="131"/>
      <c r="I905" s="131"/>
      <c r="J905" s="131"/>
      <c r="K905" s="131"/>
      <c r="L905" s="225"/>
      <c r="M905" s="225"/>
      <c r="N905" s="225"/>
      <c r="O905" s="225"/>
      <c r="P905" s="225"/>
      <c r="Q905" s="225"/>
      <c r="R905" s="225"/>
      <c r="S905" s="225"/>
      <c r="T905" s="225"/>
      <c r="U905" s="225"/>
      <c r="V905" s="225"/>
      <c r="W905" s="225"/>
      <c r="X905" s="225"/>
      <c r="Y905" s="225"/>
      <c r="Z905" s="225"/>
      <c r="AA905" s="225"/>
      <c r="AB905" s="225"/>
      <c r="AC905" s="225"/>
      <c r="AD905" s="225"/>
      <c r="AE905" s="225"/>
      <c r="AF905" s="225"/>
      <c r="AG905" s="225"/>
      <c r="AH905" s="225"/>
      <c r="AI905" s="225"/>
      <c r="AJ905" s="225"/>
      <c r="AK905" s="225"/>
      <c r="AL905" s="225"/>
      <c r="AM905" s="225"/>
      <c r="AN905" s="225"/>
      <c r="AO905" s="225"/>
      <c r="AP905" s="225"/>
      <c r="AQ905" s="225"/>
      <c r="AR905" s="225"/>
    </row>
    <row r="906" spans="1:44" ht="15.75" customHeight="1">
      <c r="A906" s="131"/>
      <c r="B906" s="131"/>
      <c r="C906" s="131"/>
      <c r="D906" s="131"/>
      <c r="E906" s="131"/>
      <c r="F906" s="131"/>
      <c r="G906" s="131"/>
      <c r="H906" s="131"/>
      <c r="I906" s="131"/>
      <c r="J906" s="131"/>
      <c r="K906" s="131"/>
      <c r="L906" s="225"/>
      <c r="M906" s="225"/>
      <c r="N906" s="225"/>
      <c r="O906" s="225"/>
      <c r="P906" s="225"/>
      <c r="Q906" s="225"/>
      <c r="R906" s="225"/>
      <c r="S906" s="225"/>
      <c r="T906" s="225"/>
      <c r="U906" s="225"/>
      <c r="V906" s="225"/>
      <c r="W906" s="225"/>
      <c r="X906" s="225"/>
      <c r="Y906" s="225"/>
      <c r="Z906" s="225"/>
      <c r="AA906" s="225"/>
      <c r="AB906" s="225"/>
      <c r="AC906" s="225"/>
      <c r="AD906" s="225"/>
      <c r="AE906" s="225"/>
      <c r="AF906" s="225"/>
      <c r="AG906" s="225"/>
      <c r="AH906" s="225"/>
      <c r="AI906" s="225"/>
      <c r="AJ906" s="225"/>
      <c r="AK906" s="225"/>
      <c r="AL906" s="225"/>
      <c r="AM906" s="225"/>
      <c r="AN906" s="225"/>
      <c r="AO906" s="225"/>
      <c r="AP906" s="225"/>
      <c r="AQ906" s="225"/>
      <c r="AR906" s="225"/>
    </row>
    <row r="907" spans="1:44" ht="15.75" customHeight="1">
      <c r="A907" s="131"/>
      <c r="B907" s="131"/>
      <c r="C907" s="131"/>
      <c r="D907" s="131"/>
      <c r="E907" s="131"/>
      <c r="F907" s="131"/>
      <c r="G907" s="131"/>
      <c r="H907" s="131"/>
      <c r="I907" s="131"/>
      <c r="J907" s="131"/>
      <c r="K907" s="131"/>
      <c r="L907" s="225"/>
      <c r="M907" s="225"/>
      <c r="N907" s="225"/>
      <c r="O907" s="225"/>
      <c r="P907" s="225"/>
      <c r="Q907" s="225"/>
      <c r="R907" s="225"/>
      <c r="S907" s="225"/>
      <c r="T907" s="225"/>
      <c r="U907" s="225"/>
      <c r="V907" s="225"/>
      <c r="W907" s="225"/>
      <c r="X907" s="225"/>
      <c r="Y907" s="225"/>
      <c r="Z907" s="225"/>
      <c r="AA907" s="225"/>
      <c r="AB907" s="225"/>
      <c r="AC907" s="225"/>
      <c r="AD907" s="225"/>
      <c r="AE907" s="225"/>
      <c r="AF907" s="225"/>
      <c r="AG907" s="225"/>
      <c r="AH907" s="225"/>
      <c r="AI907" s="225"/>
      <c r="AJ907" s="225"/>
      <c r="AK907" s="225"/>
      <c r="AL907" s="225"/>
      <c r="AM907" s="225"/>
      <c r="AN907" s="225"/>
      <c r="AO907" s="225"/>
      <c r="AP907" s="225"/>
      <c r="AQ907" s="225"/>
      <c r="AR907" s="225"/>
    </row>
    <row r="908" spans="1:44" ht="15.75" customHeight="1">
      <c r="A908" s="131"/>
      <c r="B908" s="131"/>
      <c r="C908" s="131"/>
      <c r="D908" s="131"/>
      <c r="E908" s="131"/>
      <c r="F908" s="131"/>
      <c r="G908" s="131"/>
      <c r="H908" s="131"/>
      <c r="I908" s="131"/>
      <c r="J908" s="131"/>
      <c r="K908" s="131"/>
      <c r="L908" s="225"/>
      <c r="M908" s="225"/>
      <c r="N908" s="225"/>
      <c r="O908" s="225"/>
      <c r="P908" s="225"/>
      <c r="Q908" s="225"/>
      <c r="R908" s="225"/>
      <c r="S908" s="225"/>
      <c r="T908" s="225"/>
      <c r="U908" s="225"/>
      <c r="V908" s="225"/>
      <c r="W908" s="225"/>
      <c r="X908" s="225"/>
      <c r="Y908" s="225"/>
      <c r="Z908" s="225"/>
      <c r="AA908" s="225"/>
      <c r="AB908" s="225"/>
      <c r="AC908" s="225"/>
      <c r="AD908" s="225"/>
      <c r="AE908" s="225"/>
      <c r="AF908" s="225"/>
      <c r="AG908" s="225"/>
      <c r="AH908" s="225"/>
      <c r="AI908" s="225"/>
      <c r="AJ908" s="225"/>
      <c r="AK908" s="225"/>
      <c r="AL908" s="225"/>
      <c r="AM908" s="225"/>
      <c r="AN908" s="225"/>
      <c r="AO908" s="225"/>
      <c r="AP908" s="225"/>
      <c r="AQ908" s="225"/>
      <c r="AR908" s="225"/>
    </row>
    <row r="909" spans="1:44" ht="15.75" customHeight="1">
      <c r="A909" s="131"/>
      <c r="B909" s="131"/>
      <c r="C909" s="131"/>
      <c r="D909" s="131"/>
      <c r="E909" s="131"/>
      <c r="F909" s="131"/>
      <c r="G909" s="131"/>
      <c r="H909" s="131"/>
      <c r="I909" s="131"/>
      <c r="J909" s="131"/>
      <c r="K909" s="131"/>
      <c r="L909" s="225"/>
      <c r="M909" s="225"/>
      <c r="N909" s="225"/>
      <c r="O909" s="225"/>
      <c r="P909" s="225"/>
      <c r="Q909" s="225"/>
      <c r="R909" s="225"/>
      <c r="S909" s="225"/>
      <c r="T909" s="225"/>
      <c r="U909" s="225"/>
      <c r="V909" s="225"/>
      <c r="W909" s="225"/>
      <c r="X909" s="225"/>
      <c r="Y909" s="225"/>
      <c r="Z909" s="225"/>
      <c r="AA909" s="225"/>
      <c r="AB909" s="225"/>
      <c r="AC909" s="225"/>
      <c r="AD909" s="225"/>
      <c r="AE909" s="225"/>
      <c r="AF909" s="225"/>
      <c r="AG909" s="225"/>
      <c r="AH909" s="225"/>
      <c r="AI909" s="225"/>
      <c r="AJ909" s="225"/>
      <c r="AK909" s="225"/>
      <c r="AL909" s="225"/>
      <c r="AM909" s="225"/>
      <c r="AN909" s="225"/>
      <c r="AO909" s="225"/>
      <c r="AP909" s="225"/>
      <c r="AQ909" s="225"/>
      <c r="AR909" s="225"/>
    </row>
    <row r="910" spans="1:44" ht="15.75" customHeight="1">
      <c r="A910" s="131"/>
      <c r="B910" s="131"/>
      <c r="C910" s="131"/>
      <c r="D910" s="131"/>
      <c r="E910" s="131"/>
      <c r="F910" s="131"/>
      <c r="G910" s="131"/>
      <c r="H910" s="131"/>
      <c r="I910" s="131"/>
      <c r="J910" s="131"/>
      <c r="K910" s="131"/>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row>
    <row r="911" spans="1:44" ht="15.75" customHeight="1">
      <c r="A911" s="131"/>
      <c r="B911" s="131"/>
      <c r="C911" s="131"/>
      <c r="D911" s="131"/>
      <c r="E911" s="131"/>
      <c r="F911" s="131"/>
      <c r="G911" s="131"/>
      <c r="H911" s="131"/>
      <c r="I911" s="131"/>
      <c r="J911" s="131"/>
      <c r="K911" s="131"/>
      <c r="L911" s="225"/>
      <c r="M911" s="225"/>
      <c r="N911" s="225"/>
      <c r="O911" s="225"/>
      <c r="P911" s="225"/>
      <c r="Q911" s="225"/>
      <c r="R911" s="225"/>
      <c r="S911" s="225"/>
      <c r="T911" s="225"/>
      <c r="U911" s="225"/>
      <c r="V911" s="225"/>
      <c r="W911" s="225"/>
      <c r="X911" s="225"/>
      <c r="Y911" s="225"/>
      <c r="Z911" s="225"/>
      <c r="AA911" s="225"/>
      <c r="AB911" s="225"/>
      <c r="AC911" s="225"/>
      <c r="AD911" s="225"/>
      <c r="AE911" s="225"/>
      <c r="AF911" s="225"/>
      <c r="AG911" s="225"/>
      <c r="AH911" s="225"/>
      <c r="AI911" s="225"/>
      <c r="AJ911" s="225"/>
      <c r="AK911" s="225"/>
      <c r="AL911" s="225"/>
      <c r="AM911" s="225"/>
      <c r="AN911" s="225"/>
      <c r="AO911" s="225"/>
      <c r="AP911" s="225"/>
      <c r="AQ911" s="225"/>
      <c r="AR911" s="225"/>
    </row>
    <row r="912" spans="1:44" ht="15.75" customHeight="1">
      <c r="A912" s="131"/>
      <c r="B912" s="131"/>
      <c r="C912" s="131"/>
      <c r="D912" s="131"/>
      <c r="E912" s="131"/>
      <c r="F912" s="131"/>
      <c r="G912" s="131"/>
      <c r="H912" s="131"/>
      <c r="I912" s="131"/>
      <c r="J912" s="131"/>
      <c r="K912" s="131"/>
      <c r="L912" s="225"/>
      <c r="M912" s="225"/>
      <c r="N912" s="225"/>
      <c r="O912" s="225"/>
      <c r="P912" s="225"/>
      <c r="Q912" s="225"/>
      <c r="R912" s="225"/>
      <c r="S912" s="225"/>
      <c r="T912" s="225"/>
      <c r="U912" s="225"/>
      <c r="V912" s="225"/>
      <c r="W912" s="225"/>
      <c r="X912" s="225"/>
      <c r="Y912" s="225"/>
      <c r="Z912" s="225"/>
      <c r="AA912" s="225"/>
      <c r="AB912" s="225"/>
      <c r="AC912" s="225"/>
      <c r="AD912" s="225"/>
      <c r="AE912" s="225"/>
      <c r="AF912" s="225"/>
      <c r="AG912" s="225"/>
      <c r="AH912" s="225"/>
      <c r="AI912" s="225"/>
      <c r="AJ912" s="225"/>
      <c r="AK912" s="225"/>
      <c r="AL912" s="225"/>
      <c r="AM912" s="225"/>
      <c r="AN912" s="225"/>
      <c r="AO912" s="225"/>
      <c r="AP912" s="225"/>
      <c r="AQ912" s="225"/>
      <c r="AR912" s="225"/>
    </row>
    <row r="913" spans="1:44" ht="15.75" customHeight="1">
      <c r="A913" s="131"/>
      <c r="B913" s="131"/>
      <c r="C913" s="131"/>
      <c r="D913" s="131"/>
      <c r="E913" s="131"/>
      <c r="F913" s="131"/>
      <c r="G913" s="131"/>
      <c r="H913" s="131"/>
      <c r="I913" s="131"/>
      <c r="J913" s="131"/>
      <c r="K913" s="131"/>
      <c r="L913" s="225"/>
      <c r="M913" s="225"/>
      <c r="N913" s="225"/>
      <c r="O913" s="225"/>
      <c r="P913" s="225"/>
      <c r="Q913" s="225"/>
      <c r="R913" s="225"/>
      <c r="S913" s="225"/>
      <c r="T913" s="225"/>
      <c r="U913" s="225"/>
      <c r="V913" s="225"/>
      <c r="W913" s="225"/>
      <c r="X913" s="225"/>
      <c r="Y913" s="225"/>
      <c r="Z913" s="225"/>
      <c r="AA913" s="225"/>
      <c r="AB913" s="225"/>
      <c r="AC913" s="225"/>
      <c r="AD913" s="225"/>
      <c r="AE913" s="225"/>
      <c r="AF913" s="225"/>
      <c r="AG913" s="225"/>
      <c r="AH913" s="225"/>
      <c r="AI913" s="225"/>
      <c r="AJ913" s="225"/>
      <c r="AK913" s="225"/>
      <c r="AL913" s="225"/>
      <c r="AM913" s="225"/>
      <c r="AN913" s="225"/>
      <c r="AO913" s="225"/>
      <c r="AP913" s="225"/>
      <c r="AQ913" s="225"/>
      <c r="AR913" s="225"/>
    </row>
    <row r="914" spans="1:44" ht="15.75" customHeight="1">
      <c r="A914" s="131"/>
      <c r="B914" s="131"/>
      <c r="C914" s="131"/>
      <c r="D914" s="131"/>
      <c r="E914" s="131"/>
      <c r="F914" s="131"/>
      <c r="G914" s="131"/>
      <c r="H914" s="131"/>
      <c r="I914" s="131"/>
      <c r="J914" s="131"/>
      <c r="K914" s="131"/>
      <c r="L914" s="225"/>
      <c r="M914" s="225"/>
      <c r="N914" s="225"/>
      <c r="O914" s="225"/>
      <c r="P914" s="225"/>
      <c r="Q914" s="225"/>
      <c r="R914" s="225"/>
      <c r="S914" s="225"/>
      <c r="T914" s="225"/>
      <c r="U914" s="225"/>
      <c r="V914" s="225"/>
      <c r="W914" s="225"/>
      <c r="X914" s="225"/>
      <c r="Y914" s="225"/>
      <c r="Z914" s="225"/>
      <c r="AA914" s="225"/>
      <c r="AB914" s="225"/>
      <c r="AC914" s="225"/>
      <c r="AD914" s="225"/>
      <c r="AE914" s="225"/>
      <c r="AF914" s="225"/>
      <c r="AG914" s="225"/>
      <c r="AH914" s="225"/>
      <c r="AI914" s="225"/>
      <c r="AJ914" s="225"/>
      <c r="AK914" s="225"/>
      <c r="AL914" s="225"/>
      <c r="AM914" s="225"/>
      <c r="AN914" s="225"/>
      <c r="AO914" s="225"/>
      <c r="AP914" s="225"/>
      <c r="AQ914" s="225"/>
      <c r="AR914" s="225"/>
    </row>
    <row r="915" spans="1:44" ht="15.75" customHeight="1">
      <c r="A915" s="131"/>
      <c r="B915" s="131"/>
      <c r="C915" s="131"/>
      <c r="D915" s="131"/>
      <c r="E915" s="131"/>
      <c r="F915" s="131"/>
      <c r="G915" s="131"/>
      <c r="H915" s="131"/>
      <c r="I915" s="131"/>
      <c r="J915" s="131"/>
      <c r="K915" s="131"/>
      <c r="L915" s="225"/>
      <c r="M915" s="225"/>
      <c r="N915" s="225"/>
      <c r="O915" s="225"/>
      <c r="P915" s="225"/>
      <c r="Q915" s="225"/>
      <c r="R915" s="225"/>
      <c r="S915" s="225"/>
      <c r="T915" s="225"/>
      <c r="U915" s="225"/>
      <c r="V915" s="225"/>
      <c r="W915" s="225"/>
      <c r="X915" s="225"/>
      <c r="Y915" s="225"/>
      <c r="Z915" s="225"/>
      <c r="AA915" s="225"/>
      <c r="AB915" s="225"/>
      <c r="AC915" s="225"/>
      <c r="AD915" s="225"/>
      <c r="AE915" s="225"/>
      <c r="AF915" s="225"/>
      <c r="AG915" s="225"/>
      <c r="AH915" s="225"/>
      <c r="AI915" s="225"/>
      <c r="AJ915" s="225"/>
      <c r="AK915" s="225"/>
      <c r="AL915" s="225"/>
      <c r="AM915" s="225"/>
      <c r="AN915" s="225"/>
      <c r="AO915" s="225"/>
      <c r="AP915" s="225"/>
      <c r="AQ915" s="225"/>
      <c r="AR915" s="225"/>
    </row>
    <row r="916" spans="1:44" ht="15.75" customHeight="1">
      <c r="A916" s="131"/>
      <c r="B916" s="131"/>
      <c r="C916" s="131"/>
      <c r="D916" s="131"/>
      <c r="E916" s="131"/>
      <c r="F916" s="131"/>
      <c r="G916" s="131"/>
      <c r="H916" s="131"/>
      <c r="I916" s="131"/>
      <c r="J916" s="131"/>
      <c r="K916" s="131"/>
      <c r="L916" s="225"/>
      <c r="M916" s="225"/>
      <c r="N916" s="225"/>
      <c r="O916" s="225"/>
      <c r="P916" s="225"/>
      <c r="Q916" s="225"/>
      <c r="R916" s="225"/>
      <c r="S916" s="225"/>
      <c r="T916" s="225"/>
      <c r="U916" s="225"/>
      <c r="V916" s="225"/>
      <c r="W916" s="225"/>
      <c r="X916" s="225"/>
      <c r="Y916" s="225"/>
      <c r="Z916" s="225"/>
      <c r="AA916" s="225"/>
      <c r="AB916" s="225"/>
      <c r="AC916" s="225"/>
      <c r="AD916" s="225"/>
      <c r="AE916" s="225"/>
      <c r="AF916" s="225"/>
      <c r="AG916" s="225"/>
      <c r="AH916" s="225"/>
      <c r="AI916" s="225"/>
      <c r="AJ916" s="225"/>
      <c r="AK916" s="225"/>
      <c r="AL916" s="225"/>
      <c r="AM916" s="225"/>
      <c r="AN916" s="225"/>
      <c r="AO916" s="225"/>
      <c r="AP916" s="225"/>
      <c r="AQ916" s="225"/>
      <c r="AR916" s="225"/>
    </row>
    <row r="917" spans="1:44" ht="15.75" customHeight="1">
      <c r="A917" s="131"/>
      <c r="B917" s="131"/>
      <c r="C917" s="131"/>
      <c r="D917" s="131"/>
      <c r="E917" s="131"/>
      <c r="F917" s="131"/>
      <c r="G917" s="131"/>
      <c r="H917" s="131"/>
      <c r="I917" s="131"/>
      <c r="J917" s="131"/>
      <c r="K917" s="131"/>
      <c r="L917" s="225"/>
      <c r="M917" s="225"/>
      <c r="N917" s="225"/>
      <c r="O917" s="225"/>
      <c r="P917" s="225"/>
      <c r="Q917" s="225"/>
      <c r="R917" s="225"/>
      <c r="S917" s="225"/>
      <c r="T917" s="225"/>
      <c r="U917" s="225"/>
      <c r="V917" s="225"/>
      <c r="W917" s="225"/>
      <c r="X917" s="225"/>
      <c r="Y917" s="225"/>
      <c r="Z917" s="225"/>
      <c r="AA917" s="225"/>
      <c r="AB917" s="225"/>
      <c r="AC917" s="225"/>
      <c r="AD917" s="225"/>
      <c r="AE917" s="225"/>
      <c r="AF917" s="225"/>
      <c r="AG917" s="225"/>
      <c r="AH917" s="225"/>
      <c r="AI917" s="225"/>
      <c r="AJ917" s="225"/>
      <c r="AK917" s="225"/>
      <c r="AL917" s="225"/>
      <c r="AM917" s="225"/>
      <c r="AN917" s="225"/>
      <c r="AO917" s="225"/>
      <c r="AP917" s="225"/>
      <c r="AQ917" s="225"/>
      <c r="AR917" s="225"/>
    </row>
    <row r="918" spans="1:44" ht="15.75" customHeight="1">
      <c r="A918" s="131"/>
      <c r="B918" s="131"/>
      <c r="C918" s="131"/>
      <c r="D918" s="131"/>
      <c r="E918" s="131"/>
      <c r="F918" s="131"/>
      <c r="G918" s="131"/>
      <c r="H918" s="131"/>
      <c r="I918" s="131"/>
      <c r="J918" s="131"/>
      <c r="K918" s="131"/>
      <c r="L918" s="225"/>
      <c r="M918" s="225"/>
      <c r="N918" s="225"/>
      <c r="O918" s="225"/>
      <c r="P918" s="225"/>
      <c r="Q918" s="225"/>
      <c r="R918" s="225"/>
      <c r="S918" s="225"/>
      <c r="T918" s="225"/>
      <c r="U918" s="225"/>
      <c r="V918" s="225"/>
      <c r="W918" s="225"/>
      <c r="X918" s="225"/>
      <c r="Y918" s="225"/>
      <c r="Z918" s="225"/>
      <c r="AA918" s="225"/>
      <c r="AB918" s="225"/>
      <c r="AC918" s="225"/>
      <c r="AD918" s="225"/>
      <c r="AE918" s="225"/>
      <c r="AF918" s="225"/>
      <c r="AG918" s="225"/>
      <c r="AH918" s="225"/>
      <c r="AI918" s="225"/>
      <c r="AJ918" s="225"/>
      <c r="AK918" s="225"/>
      <c r="AL918" s="225"/>
      <c r="AM918" s="225"/>
      <c r="AN918" s="225"/>
      <c r="AO918" s="225"/>
      <c r="AP918" s="225"/>
      <c r="AQ918" s="225"/>
      <c r="AR918" s="225"/>
    </row>
    <row r="919" spans="1:44" ht="15.75" customHeight="1">
      <c r="A919" s="131"/>
      <c r="B919" s="131"/>
      <c r="C919" s="131"/>
      <c r="D919" s="131"/>
      <c r="E919" s="131"/>
      <c r="F919" s="131"/>
      <c r="G919" s="131"/>
      <c r="H919" s="131"/>
      <c r="I919" s="131"/>
      <c r="J919" s="131"/>
      <c r="K919" s="131"/>
      <c r="L919" s="225"/>
      <c r="M919" s="225"/>
      <c r="N919" s="225"/>
      <c r="O919" s="225"/>
      <c r="P919" s="225"/>
      <c r="Q919" s="225"/>
      <c r="R919" s="225"/>
      <c r="S919" s="225"/>
      <c r="T919" s="225"/>
      <c r="U919" s="225"/>
      <c r="V919" s="225"/>
      <c r="W919" s="225"/>
      <c r="X919" s="225"/>
      <c r="Y919" s="225"/>
      <c r="Z919" s="225"/>
      <c r="AA919" s="225"/>
      <c r="AB919" s="225"/>
      <c r="AC919" s="225"/>
      <c r="AD919" s="225"/>
      <c r="AE919" s="225"/>
      <c r="AF919" s="225"/>
      <c r="AG919" s="225"/>
      <c r="AH919" s="225"/>
      <c r="AI919" s="225"/>
      <c r="AJ919" s="225"/>
      <c r="AK919" s="225"/>
      <c r="AL919" s="225"/>
      <c r="AM919" s="225"/>
      <c r="AN919" s="225"/>
      <c r="AO919" s="225"/>
      <c r="AP919" s="225"/>
      <c r="AQ919" s="225"/>
      <c r="AR919" s="225"/>
    </row>
    <row r="920" spans="1:44" ht="15.75" customHeight="1">
      <c r="A920" s="131"/>
      <c r="B920" s="131"/>
      <c r="C920" s="131"/>
      <c r="D920" s="131"/>
      <c r="E920" s="131"/>
      <c r="F920" s="131"/>
      <c r="G920" s="131"/>
      <c r="H920" s="131"/>
      <c r="I920" s="131"/>
      <c r="J920" s="131"/>
      <c r="K920" s="131"/>
      <c r="L920" s="225"/>
      <c r="M920" s="225"/>
      <c r="N920" s="225"/>
      <c r="O920" s="225"/>
      <c r="P920" s="225"/>
      <c r="Q920" s="225"/>
      <c r="R920" s="225"/>
      <c r="S920" s="225"/>
      <c r="T920" s="225"/>
      <c r="U920" s="225"/>
      <c r="V920" s="225"/>
      <c r="W920" s="225"/>
      <c r="X920" s="225"/>
      <c r="Y920" s="225"/>
      <c r="Z920" s="225"/>
      <c r="AA920" s="225"/>
      <c r="AB920" s="225"/>
      <c r="AC920" s="225"/>
      <c r="AD920" s="225"/>
      <c r="AE920" s="225"/>
      <c r="AF920" s="225"/>
      <c r="AG920" s="225"/>
      <c r="AH920" s="225"/>
      <c r="AI920" s="225"/>
      <c r="AJ920" s="225"/>
      <c r="AK920" s="225"/>
      <c r="AL920" s="225"/>
      <c r="AM920" s="225"/>
      <c r="AN920" s="225"/>
      <c r="AO920" s="225"/>
      <c r="AP920" s="225"/>
      <c r="AQ920" s="225"/>
      <c r="AR920" s="225"/>
    </row>
    <row r="921" spans="1:44" ht="15.75" customHeight="1">
      <c r="A921" s="131"/>
      <c r="B921" s="131"/>
      <c r="C921" s="131"/>
      <c r="D921" s="131"/>
      <c r="E921" s="131"/>
      <c r="F921" s="131"/>
      <c r="G921" s="131"/>
      <c r="H921" s="131"/>
      <c r="I921" s="131"/>
      <c r="J921" s="131"/>
      <c r="K921" s="131"/>
      <c r="L921" s="225"/>
      <c r="M921" s="225"/>
      <c r="N921" s="225"/>
      <c r="O921" s="225"/>
      <c r="P921" s="225"/>
      <c r="Q921" s="225"/>
      <c r="R921" s="225"/>
      <c r="S921" s="225"/>
      <c r="T921" s="225"/>
      <c r="U921" s="225"/>
      <c r="V921" s="225"/>
      <c r="W921" s="225"/>
      <c r="X921" s="225"/>
      <c r="Y921" s="225"/>
      <c r="Z921" s="225"/>
      <c r="AA921" s="225"/>
      <c r="AB921" s="225"/>
      <c r="AC921" s="225"/>
      <c r="AD921" s="225"/>
      <c r="AE921" s="225"/>
      <c r="AF921" s="225"/>
      <c r="AG921" s="225"/>
      <c r="AH921" s="225"/>
      <c r="AI921" s="225"/>
      <c r="AJ921" s="225"/>
      <c r="AK921" s="225"/>
      <c r="AL921" s="225"/>
      <c r="AM921" s="225"/>
      <c r="AN921" s="225"/>
      <c r="AO921" s="225"/>
      <c r="AP921" s="225"/>
      <c r="AQ921" s="225"/>
      <c r="AR921" s="225"/>
    </row>
    <row r="922" spans="1:44" ht="15.75" customHeight="1">
      <c r="A922" s="131"/>
      <c r="B922" s="131"/>
      <c r="C922" s="131"/>
      <c r="D922" s="131"/>
      <c r="E922" s="131"/>
      <c r="F922" s="131"/>
      <c r="G922" s="131"/>
      <c r="H922" s="131"/>
      <c r="I922" s="131"/>
      <c r="J922" s="131"/>
      <c r="K922" s="131"/>
      <c r="L922" s="225"/>
      <c r="M922" s="225"/>
      <c r="N922" s="225"/>
      <c r="O922" s="225"/>
      <c r="P922" s="225"/>
      <c r="Q922" s="225"/>
      <c r="R922" s="225"/>
      <c r="S922" s="225"/>
      <c r="T922" s="225"/>
      <c r="U922" s="225"/>
      <c r="V922" s="225"/>
      <c r="W922" s="225"/>
      <c r="X922" s="225"/>
      <c r="Y922" s="225"/>
      <c r="Z922" s="225"/>
      <c r="AA922" s="225"/>
      <c r="AB922" s="225"/>
      <c r="AC922" s="225"/>
      <c r="AD922" s="225"/>
      <c r="AE922" s="225"/>
      <c r="AF922" s="225"/>
      <c r="AG922" s="225"/>
      <c r="AH922" s="225"/>
      <c r="AI922" s="225"/>
      <c r="AJ922" s="225"/>
      <c r="AK922" s="225"/>
      <c r="AL922" s="225"/>
      <c r="AM922" s="225"/>
      <c r="AN922" s="225"/>
      <c r="AO922" s="225"/>
      <c r="AP922" s="225"/>
      <c r="AQ922" s="225"/>
      <c r="AR922" s="225"/>
    </row>
    <row r="923" spans="1:44" ht="15.75" customHeight="1">
      <c r="A923" s="131"/>
      <c r="B923" s="131"/>
      <c r="C923" s="131"/>
      <c r="D923" s="131"/>
      <c r="E923" s="131"/>
      <c r="F923" s="131"/>
      <c r="G923" s="131"/>
      <c r="H923" s="131"/>
      <c r="I923" s="131"/>
      <c r="J923" s="131"/>
      <c r="K923" s="131"/>
      <c r="L923" s="225"/>
      <c r="M923" s="225"/>
      <c r="N923" s="225"/>
      <c r="O923" s="225"/>
      <c r="P923" s="225"/>
      <c r="Q923" s="225"/>
      <c r="R923" s="225"/>
      <c r="S923" s="225"/>
      <c r="T923" s="225"/>
      <c r="U923" s="225"/>
      <c r="V923" s="225"/>
      <c r="W923" s="225"/>
      <c r="X923" s="225"/>
      <c r="Y923" s="225"/>
      <c r="Z923" s="225"/>
      <c r="AA923" s="225"/>
      <c r="AB923" s="225"/>
      <c r="AC923" s="225"/>
      <c r="AD923" s="225"/>
      <c r="AE923" s="225"/>
      <c r="AF923" s="225"/>
      <c r="AG923" s="225"/>
      <c r="AH923" s="225"/>
      <c r="AI923" s="225"/>
      <c r="AJ923" s="225"/>
      <c r="AK923" s="225"/>
      <c r="AL923" s="225"/>
      <c r="AM923" s="225"/>
      <c r="AN923" s="225"/>
      <c r="AO923" s="225"/>
      <c r="AP923" s="225"/>
      <c r="AQ923" s="225"/>
      <c r="AR923" s="225"/>
    </row>
    <row r="924" spans="1:44" ht="15.75" customHeight="1">
      <c r="A924" s="131"/>
      <c r="B924" s="131"/>
      <c r="C924" s="131"/>
      <c r="D924" s="131"/>
      <c r="E924" s="131"/>
      <c r="F924" s="131"/>
      <c r="G924" s="131"/>
      <c r="H924" s="131"/>
      <c r="I924" s="131"/>
      <c r="J924" s="131"/>
      <c r="K924" s="131"/>
      <c r="L924" s="225"/>
      <c r="M924" s="225"/>
      <c r="N924" s="225"/>
      <c r="O924" s="225"/>
      <c r="P924" s="225"/>
      <c r="Q924" s="225"/>
      <c r="R924" s="225"/>
      <c r="S924" s="225"/>
      <c r="T924" s="225"/>
      <c r="U924" s="225"/>
      <c r="V924" s="225"/>
      <c r="W924" s="225"/>
      <c r="X924" s="225"/>
      <c r="Y924" s="225"/>
      <c r="Z924" s="225"/>
      <c r="AA924" s="225"/>
      <c r="AB924" s="225"/>
      <c r="AC924" s="225"/>
      <c r="AD924" s="225"/>
      <c r="AE924" s="225"/>
      <c r="AF924" s="225"/>
      <c r="AG924" s="225"/>
      <c r="AH924" s="225"/>
      <c r="AI924" s="225"/>
      <c r="AJ924" s="225"/>
      <c r="AK924" s="225"/>
      <c r="AL924" s="225"/>
      <c r="AM924" s="225"/>
      <c r="AN924" s="225"/>
      <c r="AO924" s="225"/>
      <c r="AP924" s="225"/>
      <c r="AQ924" s="225"/>
      <c r="AR924" s="225"/>
    </row>
    <row r="925" spans="1:44" ht="15.75" customHeight="1">
      <c r="A925" s="131"/>
      <c r="B925" s="131"/>
      <c r="C925" s="131"/>
      <c r="D925" s="131"/>
      <c r="E925" s="131"/>
      <c r="F925" s="131"/>
      <c r="G925" s="131"/>
      <c r="H925" s="131"/>
      <c r="I925" s="131"/>
      <c r="J925" s="131"/>
      <c r="K925" s="131"/>
      <c r="L925" s="225"/>
      <c r="M925" s="225"/>
      <c r="N925" s="225"/>
      <c r="O925" s="225"/>
      <c r="P925" s="225"/>
      <c r="Q925" s="225"/>
      <c r="R925" s="225"/>
      <c r="S925" s="225"/>
      <c r="T925" s="225"/>
      <c r="U925" s="225"/>
      <c r="V925" s="225"/>
      <c r="W925" s="225"/>
      <c r="X925" s="225"/>
      <c r="Y925" s="225"/>
      <c r="Z925" s="225"/>
      <c r="AA925" s="225"/>
      <c r="AB925" s="225"/>
      <c r="AC925" s="225"/>
      <c r="AD925" s="225"/>
      <c r="AE925" s="225"/>
      <c r="AF925" s="225"/>
      <c r="AG925" s="225"/>
      <c r="AH925" s="225"/>
      <c r="AI925" s="225"/>
      <c r="AJ925" s="225"/>
      <c r="AK925" s="225"/>
      <c r="AL925" s="225"/>
      <c r="AM925" s="225"/>
      <c r="AN925" s="225"/>
      <c r="AO925" s="225"/>
      <c r="AP925" s="225"/>
      <c r="AQ925" s="225"/>
      <c r="AR925" s="225"/>
    </row>
    <row r="926" spans="1:44" ht="15.75" customHeight="1">
      <c r="A926" s="131"/>
      <c r="B926" s="131"/>
      <c r="C926" s="131"/>
      <c r="D926" s="131"/>
      <c r="E926" s="131"/>
      <c r="F926" s="131"/>
      <c r="G926" s="131"/>
      <c r="H926" s="131"/>
      <c r="I926" s="131"/>
      <c r="J926" s="131"/>
      <c r="K926" s="131"/>
      <c r="L926" s="225"/>
      <c r="M926" s="225"/>
      <c r="N926" s="225"/>
      <c r="O926" s="225"/>
      <c r="P926" s="225"/>
      <c r="Q926" s="225"/>
      <c r="R926" s="225"/>
      <c r="S926" s="225"/>
      <c r="T926" s="225"/>
      <c r="U926" s="225"/>
      <c r="V926" s="225"/>
      <c r="W926" s="225"/>
      <c r="X926" s="225"/>
      <c r="Y926" s="225"/>
      <c r="Z926" s="225"/>
      <c r="AA926" s="225"/>
      <c r="AB926" s="225"/>
      <c r="AC926" s="225"/>
      <c r="AD926" s="225"/>
      <c r="AE926" s="225"/>
      <c r="AF926" s="225"/>
      <c r="AG926" s="225"/>
      <c r="AH926" s="225"/>
      <c r="AI926" s="225"/>
      <c r="AJ926" s="225"/>
      <c r="AK926" s="225"/>
      <c r="AL926" s="225"/>
      <c r="AM926" s="225"/>
      <c r="AN926" s="225"/>
      <c r="AO926" s="225"/>
      <c r="AP926" s="225"/>
      <c r="AQ926" s="225"/>
      <c r="AR926" s="225"/>
    </row>
    <row r="927" spans="1:44" ht="15.75" customHeight="1">
      <c r="A927" s="131"/>
      <c r="B927" s="131"/>
      <c r="C927" s="131"/>
      <c r="D927" s="131"/>
      <c r="E927" s="131"/>
      <c r="F927" s="131"/>
      <c r="G927" s="131"/>
      <c r="H927" s="131"/>
      <c r="I927" s="131"/>
      <c r="J927" s="131"/>
      <c r="K927" s="131"/>
      <c r="L927" s="225"/>
      <c r="M927" s="225"/>
      <c r="N927" s="225"/>
      <c r="O927" s="225"/>
      <c r="P927" s="225"/>
      <c r="Q927" s="225"/>
      <c r="R927" s="225"/>
      <c r="S927" s="225"/>
      <c r="T927" s="225"/>
      <c r="U927" s="225"/>
      <c r="V927" s="225"/>
      <c r="W927" s="225"/>
      <c r="X927" s="225"/>
      <c r="Y927" s="225"/>
      <c r="Z927" s="225"/>
      <c r="AA927" s="225"/>
      <c r="AB927" s="225"/>
      <c r="AC927" s="225"/>
      <c r="AD927" s="225"/>
      <c r="AE927" s="225"/>
      <c r="AF927" s="225"/>
      <c r="AG927" s="225"/>
      <c r="AH927" s="225"/>
      <c r="AI927" s="225"/>
      <c r="AJ927" s="225"/>
      <c r="AK927" s="225"/>
      <c r="AL927" s="225"/>
      <c r="AM927" s="225"/>
      <c r="AN927" s="225"/>
      <c r="AO927" s="225"/>
      <c r="AP927" s="225"/>
      <c r="AQ927" s="225"/>
      <c r="AR927" s="225"/>
    </row>
    <row r="928" spans="1:44" ht="15.75" customHeight="1">
      <c r="A928" s="131"/>
      <c r="B928" s="131"/>
      <c r="C928" s="131"/>
      <c r="D928" s="131"/>
      <c r="E928" s="131"/>
      <c r="F928" s="131"/>
      <c r="G928" s="131"/>
      <c r="H928" s="131"/>
      <c r="I928" s="131"/>
      <c r="J928" s="131"/>
      <c r="K928" s="131"/>
      <c r="L928" s="225"/>
      <c r="M928" s="225"/>
      <c r="N928" s="225"/>
      <c r="O928" s="225"/>
      <c r="P928" s="225"/>
      <c r="Q928" s="225"/>
      <c r="R928" s="225"/>
      <c r="S928" s="225"/>
      <c r="T928" s="225"/>
      <c r="U928" s="225"/>
      <c r="V928" s="225"/>
      <c r="W928" s="225"/>
      <c r="X928" s="225"/>
      <c r="Y928" s="225"/>
      <c r="Z928" s="225"/>
      <c r="AA928" s="225"/>
      <c r="AB928" s="225"/>
      <c r="AC928" s="225"/>
      <c r="AD928" s="225"/>
      <c r="AE928" s="225"/>
      <c r="AF928" s="225"/>
      <c r="AG928" s="225"/>
      <c r="AH928" s="225"/>
      <c r="AI928" s="225"/>
      <c r="AJ928" s="225"/>
      <c r="AK928" s="225"/>
      <c r="AL928" s="225"/>
      <c r="AM928" s="225"/>
      <c r="AN928" s="225"/>
      <c r="AO928" s="225"/>
      <c r="AP928" s="225"/>
      <c r="AQ928" s="225"/>
      <c r="AR928" s="225"/>
    </row>
    <row r="929" spans="1:44" ht="15.75" customHeight="1">
      <c r="A929" s="131"/>
      <c r="B929" s="131"/>
      <c r="C929" s="131"/>
      <c r="D929" s="131"/>
      <c r="E929" s="131"/>
      <c r="F929" s="131"/>
      <c r="G929" s="131"/>
      <c r="H929" s="131"/>
      <c r="I929" s="131"/>
      <c r="J929" s="131"/>
      <c r="K929" s="131"/>
      <c r="L929" s="225"/>
      <c r="M929" s="225"/>
      <c r="N929" s="225"/>
      <c r="O929" s="225"/>
      <c r="P929" s="225"/>
      <c r="Q929" s="225"/>
      <c r="R929" s="225"/>
      <c r="S929" s="225"/>
      <c r="T929" s="225"/>
      <c r="U929" s="225"/>
      <c r="V929" s="225"/>
      <c r="W929" s="225"/>
      <c r="X929" s="225"/>
      <c r="Y929" s="225"/>
      <c r="Z929" s="225"/>
      <c r="AA929" s="225"/>
      <c r="AB929" s="225"/>
      <c r="AC929" s="225"/>
      <c r="AD929" s="225"/>
      <c r="AE929" s="225"/>
      <c r="AF929" s="225"/>
      <c r="AG929" s="225"/>
      <c r="AH929" s="225"/>
      <c r="AI929" s="225"/>
      <c r="AJ929" s="225"/>
      <c r="AK929" s="225"/>
      <c r="AL929" s="225"/>
      <c r="AM929" s="225"/>
      <c r="AN929" s="225"/>
      <c r="AO929" s="225"/>
      <c r="AP929" s="225"/>
      <c r="AQ929" s="225"/>
      <c r="AR929" s="225"/>
    </row>
    <row r="930" spans="1:44" ht="15.75" customHeight="1">
      <c r="A930" s="131"/>
      <c r="B930" s="131"/>
      <c r="C930" s="131"/>
      <c r="D930" s="131"/>
      <c r="E930" s="131"/>
      <c r="F930" s="131"/>
      <c r="G930" s="131"/>
      <c r="H930" s="131"/>
      <c r="I930" s="131"/>
      <c r="J930" s="131"/>
      <c r="K930" s="131"/>
      <c r="L930" s="225"/>
      <c r="M930" s="225"/>
      <c r="N930" s="225"/>
      <c r="O930" s="225"/>
      <c r="P930" s="225"/>
      <c r="Q930" s="225"/>
      <c r="R930" s="225"/>
      <c r="S930" s="225"/>
      <c r="T930" s="225"/>
      <c r="U930" s="225"/>
      <c r="V930" s="225"/>
      <c r="W930" s="225"/>
      <c r="X930" s="225"/>
      <c r="Y930" s="225"/>
      <c r="Z930" s="225"/>
      <c r="AA930" s="225"/>
      <c r="AB930" s="225"/>
      <c r="AC930" s="225"/>
      <c r="AD930" s="225"/>
      <c r="AE930" s="225"/>
      <c r="AF930" s="225"/>
      <c r="AG930" s="225"/>
      <c r="AH930" s="225"/>
      <c r="AI930" s="225"/>
      <c r="AJ930" s="225"/>
      <c r="AK930" s="225"/>
      <c r="AL930" s="225"/>
      <c r="AM930" s="225"/>
      <c r="AN930" s="225"/>
      <c r="AO930" s="225"/>
      <c r="AP930" s="225"/>
      <c r="AQ930" s="225"/>
      <c r="AR930" s="225"/>
    </row>
    <row r="931" spans="1:44" ht="15.75" customHeight="1">
      <c r="A931" s="131"/>
      <c r="B931" s="131"/>
      <c r="C931" s="131"/>
      <c r="D931" s="131"/>
      <c r="E931" s="131"/>
      <c r="F931" s="131"/>
      <c r="G931" s="131"/>
      <c r="H931" s="131"/>
      <c r="I931" s="131"/>
      <c r="J931" s="131"/>
      <c r="K931" s="131"/>
      <c r="L931" s="225"/>
      <c r="M931" s="225"/>
      <c r="N931" s="225"/>
      <c r="O931" s="225"/>
      <c r="P931" s="225"/>
      <c r="Q931" s="225"/>
      <c r="R931" s="225"/>
      <c r="S931" s="225"/>
      <c r="T931" s="225"/>
      <c r="U931" s="225"/>
      <c r="V931" s="225"/>
      <c r="W931" s="225"/>
      <c r="X931" s="225"/>
      <c r="Y931" s="225"/>
      <c r="Z931" s="225"/>
      <c r="AA931" s="225"/>
      <c r="AB931" s="225"/>
      <c r="AC931" s="225"/>
      <c r="AD931" s="225"/>
      <c r="AE931" s="225"/>
      <c r="AF931" s="225"/>
      <c r="AG931" s="225"/>
      <c r="AH931" s="225"/>
      <c r="AI931" s="225"/>
      <c r="AJ931" s="225"/>
      <c r="AK931" s="225"/>
      <c r="AL931" s="225"/>
      <c r="AM931" s="225"/>
      <c r="AN931" s="225"/>
      <c r="AO931" s="225"/>
      <c r="AP931" s="225"/>
      <c r="AQ931" s="225"/>
      <c r="AR931" s="225"/>
    </row>
    <row r="932" spans="1:44" ht="15.75" customHeight="1">
      <c r="A932" s="131"/>
      <c r="B932" s="131"/>
      <c r="C932" s="131"/>
      <c r="D932" s="131"/>
      <c r="E932" s="131"/>
      <c r="F932" s="131"/>
      <c r="G932" s="131"/>
      <c r="H932" s="131"/>
      <c r="I932" s="131"/>
      <c r="J932" s="131"/>
      <c r="K932" s="131"/>
      <c r="L932" s="225"/>
      <c r="M932" s="225"/>
      <c r="N932" s="225"/>
      <c r="O932" s="225"/>
      <c r="P932" s="225"/>
      <c r="Q932" s="225"/>
      <c r="R932" s="225"/>
      <c r="S932" s="225"/>
      <c r="T932" s="225"/>
      <c r="U932" s="225"/>
      <c r="V932" s="225"/>
      <c r="W932" s="225"/>
      <c r="X932" s="225"/>
      <c r="Y932" s="225"/>
      <c r="Z932" s="225"/>
      <c r="AA932" s="225"/>
      <c r="AB932" s="225"/>
      <c r="AC932" s="225"/>
      <c r="AD932" s="225"/>
      <c r="AE932" s="225"/>
      <c r="AF932" s="225"/>
      <c r="AG932" s="225"/>
      <c r="AH932" s="225"/>
      <c r="AI932" s="225"/>
      <c r="AJ932" s="225"/>
      <c r="AK932" s="225"/>
      <c r="AL932" s="225"/>
      <c r="AM932" s="225"/>
      <c r="AN932" s="225"/>
      <c r="AO932" s="225"/>
      <c r="AP932" s="225"/>
      <c r="AQ932" s="225"/>
      <c r="AR932" s="225"/>
    </row>
    <row r="933" spans="1:44" ht="15.75" customHeight="1">
      <c r="A933" s="131"/>
      <c r="B933" s="131"/>
      <c r="C933" s="131"/>
      <c r="D933" s="131"/>
      <c r="E933" s="131"/>
      <c r="F933" s="131"/>
      <c r="G933" s="131"/>
      <c r="H933" s="131"/>
      <c r="I933" s="131"/>
      <c r="J933" s="131"/>
      <c r="K933" s="131"/>
      <c r="L933" s="225"/>
      <c r="M933" s="225"/>
      <c r="N933" s="225"/>
      <c r="O933" s="225"/>
      <c r="P933" s="225"/>
      <c r="Q933" s="225"/>
      <c r="R933" s="225"/>
      <c r="S933" s="225"/>
      <c r="T933" s="225"/>
      <c r="U933" s="225"/>
      <c r="V933" s="225"/>
      <c r="W933" s="225"/>
      <c r="X933" s="225"/>
      <c r="Y933" s="225"/>
      <c r="Z933" s="225"/>
      <c r="AA933" s="225"/>
      <c r="AB933" s="225"/>
      <c r="AC933" s="225"/>
      <c r="AD933" s="225"/>
      <c r="AE933" s="225"/>
      <c r="AF933" s="225"/>
      <c r="AG933" s="225"/>
      <c r="AH933" s="225"/>
      <c r="AI933" s="225"/>
      <c r="AJ933" s="225"/>
      <c r="AK933" s="225"/>
      <c r="AL933" s="225"/>
      <c r="AM933" s="225"/>
      <c r="AN933" s="225"/>
      <c r="AO933" s="225"/>
      <c r="AP933" s="225"/>
      <c r="AQ933" s="225"/>
      <c r="AR933" s="225"/>
    </row>
    <row r="934" spans="1:44" ht="15.75" customHeight="1">
      <c r="A934" s="131"/>
      <c r="B934" s="131"/>
      <c r="C934" s="131"/>
      <c r="D934" s="131"/>
      <c r="E934" s="131"/>
      <c r="F934" s="131"/>
      <c r="G934" s="131"/>
      <c r="H934" s="131"/>
      <c r="I934" s="131"/>
      <c r="J934" s="131"/>
      <c r="K934" s="131"/>
      <c r="L934" s="225"/>
      <c r="M934" s="225"/>
      <c r="N934" s="225"/>
      <c r="O934" s="225"/>
      <c r="P934" s="225"/>
      <c r="Q934" s="225"/>
      <c r="R934" s="225"/>
      <c r="S934" s="225"/>
      <c r="T934" s="225"/>
      <c r="U934" s="225"/>
      <c r="V934" s="225"/>
      <c r="W934" s="225"/>
      <c r="X934" s="225"/>
      <c r="Y934" s="225"/>
      <c r="Z934" s="225"/>
      <c r="AA934" s="225"/>
      <c r="AB934" s="225"/>
      <c r="AC934" s="225"/>
      <c r="AD934" s="225"/>
      <c r="AE934" s="225"/>
      <c r="AF934" s="225"/>
      <c r="AG934" s="225"/>
      <c r="AH934" s="225"/>
      <c r="AI934" s="225"/>
      <c r="AJ934" s="225"/>
      <c r="AK934" s="225"/>
      <c r="AL934" s="225"/>
      <c r="AM934" s="225"/>
      <c r="AN934" s="225"/>
      <c r="AO934" s="225"/>
      <c r="AP934" s="225"/>
      <c r="AQ934" s="225"/>
      <c r="AR934" s="225"/>
    </row>
    <row r="935" spans="1:44" ht="15.75" customHeight="1">
      <c r="A935" s="131"/>
      <c r="B935" s="131"/>
      <c r="C935" s="131"/>
      <c r="D935" s="131"/>
      <c r="E935" s="131"/>
      <c r="F935" s="131"/>
      <c r="G935" s="131"/>
      <c r="H935" s="131"/>
      <c r="I935" s="131"/>
      <c r="J935" s="131"/>
      <c r="K935" s="131"/>
      <c r="L935" s="225"/>
      <c r="M935" s="225"/>
      <c r="N935" s="225"/>
      <c r="O935" s="225"/>
      <c r="P935" s="225"/>
      <c r="Q935" s="225"/>
      <c r="R935" s="225"/>
      <c r="S935" s="225"/>
      <c r="T935" s="225"/>
      <c r="U935" s="225"/>
      <c r="V935" s="225"/>
      <c r="W935" s="225"/>
      <c r="X935" s="225"/>
      <c r="Y935" s="225"/>
      <c r="Z935" s="225"/>
      <c r="AA935" s="225"/>
      <c r="AB935" s="225"/>
      <c r="AC935" s="225"/>
      <c r="AD935" s="225"/>
      <c r="AE935" s="225"/>
      <c r="AF935" s="225"/>
      <c r="AG935" s="225"/>
      <c r="AH935" s="225"/>
      <c r="AI935" s="225"/>
      <c r="AJ935" s="225"/>
      <c r="AK935" s="225"/>
      <c r="AL935" s="225"/>
      <c r="AM935" s="225"/>
      <c r="AN935" s="225"/>
      <c r="AO935" s="225"/>
      <c r="AP935" s="225"/>
      <c r="AQ935" s="225"/>
      <c r="AR935" s="225"/>
    </row>
    <row r="936" spans="1:44" ht="15.75" customHeight="1">
      <c r="A936" s="131"/>
      <c r="B936" s="131"/>
      <c r="C936" s="131"/>
      <c r="D936" s="131"/>
      <c r="E936" s="131"/>
      <c r="F936" s="131"/>
      <c r="G936" s="131"/>
      <c r="H936" s="131"/>
      <c r="I936" s="131"/>
      <c r="J936" s="131"/>
      <c r="K936" s="131"/>
      <c r="L936" s="225"/>
      <c r="M936" s="225"/>
      <c r="N936" s="225"/>
      <c r="O936" s="225"/>
      <c r="P936" s="225"/>
      <c r="Q936" s="225"/>
      <c r="R936" s="225"/>
      <c r="S936" s="225"/>
      <c r="T936" s="225"/>
      <c r="U936" s="225"/>
      <c r="V936" s="225"/>
      <c r="W936" s="225"/>
      <c r="X936" s="225"/>
      <c r="Y936" s="225"/>
      <c r="Z936" s="225"/>
      <c r="AA936" s="225"/>
      <c r="AB936" s="225"/>
      <c r="AC936" s="225"/>
      <c r="AD936" s="225"/>
      <c r="AE936" s="225"/>
      <c r="AF936" s="225"/>
      <c r="AG936" s="225"/>
      <c r="AH936" s="225"/>
      <c r="AI936" s="225"/>
      <c r="AJ936" s="225"/>
      <c r="AK936" s="225"/>
      <c r="AL936" s="225"/>
      <c r="AM936" s="225"/>
      <c r="AN936" s="225"/>
      <c r="AO936" s="225"/>
      <c r="AP936" s="225"/>
      <c r="AQ936" s="225"/>
      <c r="AR936" s="225"/>
    </row>
    <row r="937" spans="1:44" ht="15.75" customHeight="1">
      <c r="A937" s="131"/>
      <c r="B937" s="131"/>
      <c r="C937" s="131"/>
      <c r="D937" s="131"/>
      <c r="E937" s="131"/>
      <c r="F937" s="131"/>
      <c r="G937" s="131"/>
      <c r="H937" s="131"/>
      <c r="I937" s="131"/>
      <c r="J937" s="131"/>
      <c r="K937" s="131"/>
      <c r="L937" s="225"/>
      <c r="M937" s="225"/>
      <c r="N937" s="225"/>
      <c r="O937" s="225"/>
      <c r="P937" s="225"/>
      <c r="Q937" s="225"/>
      <c r="R937" s="225"/>
      <c r="S937" s="225"/>
      <c r="T937" s="225"/>
      <c r="U937" s="225"/>
      <c r="V937" s="225"/>
      <c r="W937" s="225"/>
      <c r="X937" s="225"/>
      <c r="Y937" s="225"/>
      <c r="Z937" s="225"/>
      <c r="AA937" s="225"/>
      <c r="AB937" s="225"/>
      <c r="AC937" s="225"/>
      <c r="AD937" s="225"/>
      <c r="AE937" s="225"/>
      <c r="AF937" s="225"/>
      <c r="AG937" s="225"/>
      <c r="AH937" s="225"/>
      <c r="AI937" s="225"/>
      <c r="AJ937" s="225"/>
      <c r="AK937" s="225"/>
      <c r="AL937" s="225"/>
      <c r="AM937" s="225"/>
      <c r="AN937" s="225"/>
      <c r="AO937" s="225"/>
      <c r="AP937" s="225"/>
      <c r="AQ937" s="225"/>
      <c r="AR937" s="225"/>
    </row>
    <row r="938" spans="1:44" ht="15.75" customHeight="1">
      <c r="A938" s="131"/>
      <c r="B938" s="131"/>
      <c r="C938" s="131"/>
      <c r="D938" s="131"/>
      <c r="E938" s="131"/>
      <c r="F938" s="131"/>
      <c r="G938" s="131"/>
      <c r="H938" s="131"/>
      <c r="I938" s="131"/>
      <c r="J938" s="131"/>
      <c r="K938" s="131"/>
      <c r="L938" s="225"/>
      <c r="M938" s="225"/>
      <c r="N938" s="225"/>
      <c r="O938" s="225"/>
      <c r="P938" s="225"/>
      <c r="Q938" s="225"/>
      <c r="R938" s="225"/>
      <c r="S938" s="225"/>
      <c r="T938" s="225"/>
      <c r="U938" s="225"/>
      <c r="V938" s="225"/>
      <c r="W938" s="225"/>
      <c r="X938" s="225"/>
      <c r="Y938" s="225"/>
      <c r="Z938" s="225"/>
      <c r="AA938" s="225"/>
      <c r="AB938" s="225"/>
      <c r="AC938" s="225"/>
      <c r="AD938" s="225"/>
      <c r="AE938" s="225"/>
      <c r="AF938" s="225"/>
      <c r="AG938" s="225"/>
      <c r="AH938" s="225"/>
      <c r="AI938" s="225"/>
      <c r="AJ938" s="225"/>
      <c r="AK938" s="225"/>
      <c r="AL938" s="225"/>
      <c r="AM938" s="225"/>
      <c r="AN938" s="225"/>
      <c r="AO938" s="225"/>
      <c r="AP938" s="225"/>
      <c r="AQ938" s="225"/>
      <c r="AR938" s="225"/>
    </row>
    <row r="939" spans="1:44" ht="15.75" customHeight="1">
      <c r="A939" s="131"/>
      <c r="B939" s="131"/>
      <c r="C939" s="131"/>
      <c r="D939" s="131"/>
      <c r="E939" s="131"/>
      <c r="F939" s="131"/>
      <c r="G939" s="131"/>
      <c r="H939" s="131"/>
      <c r="I939" s="131"/>
      <c r="J939" s="131"/>
      <c r="K939" s="131"/>
      <c r="L939" s="225"/>
      <c r="M939" s="225"/>
      <c r="N939" s="225"/>
      <c r="O939" s="225"/>
      <c r="P939" s="225"/>
      <c r="Q939" s="225"/>
      <c r="R939" s="225"/>
      <c r="S939" s="225"/>
      <c r="T939" s="225"/>
      <c r="U939" s="225"/>
      <c r="V939" s="225"/>
      <c r="W939" s="225"/>
      <c r="X939" s="225"/>
      <c r="Y939" s="225"/>
      <c r="Z939" s="225"/>
      <c r="AA939" s="225"/>
      <c r="AB939" s="225"/>
      <c r="AC939" s="225"/>
      <c r="AD939" s="225"/>
      <c r="AE939" s="225"/>
      <c r="AF939" s="225"/>
      <c r="AG939" s="225"/>
      <c r="AH939" s="225"/>
      <c r="AI939" s="225"/>
      <c r="AJ939" s="225"/>
      <c r="AK939" s="225"/>
      <c r="AL939" s="225"/>
      <c r="AM939" s="225"/>
      <c r="AN939" s="225"/>
      <c r="AO939" s="225"/>
      <c r="AP939" s="225"/>
      <c r="AQ939" s="225"/>
      <c r="AR939" s="225"/>
    </row>
    <row r="940" spans="1:44" ht="15.75" customHeight="1">
      <c r="A940" s="131"/>
      <c r="B940" s="131"/>
      <c r="C940" s="131"/>
      <c r="D940" s="131"/>
      <c r="E940" s="131"/>
      <c r="F940" s="131"/>
      <c r="G940" s="131"/>
      <c r="H940" s="131"/>
      <c r="I940" s="131"/>
      <c r="J940" s="131"/>
      <c r="K940" s="131"/>
      <c r="L940" s="225"/>
      <c r="M940" s="225"/>
      <c r="N940" s="225"/>
      <c r="O940" s="225"/>
      <c r="P940" s="225"/>
      <c r="Q940" s="225"/>
      <c r="R940" s="225"/>
      <c r="S940" s="225"/>
      <c r="T940" s="225"/>
      <c r="U940" s="225"/>
      <c r="V940" s="225"/>
      <c r="W940" s="225"/>
      <c r="X940" s="225"/>
      <c r="Y940" s="225"/>
      <c r="Z940" s="225"/>
      <c r="AA940" s="225"/>
      <c r="AB940" s="225"/>
      <c r="AC940" s="225"/>
      <c r="AD940" s="225"/>
      <c r="AE940" s="225"/>
      <c r="AF940" s="225"/>
      <c r="AG940" s="225"/>
      <c r="AH940" s="225"/>
      <c r="AI940" s="225"/>
      <c r="AJ940" s="225"/>
      <c r="AK940" s="225"/>
      <c r="AL940" s="225"/>
      <c r="AM940" s="225"/>
      <c r="AN940" s="225"/>
      <c r="AO940" s="225"/>
      <c r="AP940" s="225"/>
      <c r="AQ940" s="225"/>
      <c r="AR940" s="225"/>
    </row>
    <row r="941" spans="1:44" ht="15.75" customHeight="1">
      <c r="A941" s="131"/>
      <c r="B941" s="131"/>
      <c r="C941" s="131"/>
      <c r="D941" s="131"/>
      <c r="E941" s="131"/>
      <c r="F941" s="131"/>
      <c r="G941" s="131"/>
      <c r="H941" s="131"/>
      <c r="I941" s="131"/>
      <c r="J941" s="131"/>
      <c r="K941" s="131"/>
      <c r="L941" s="225"/>
      <c r="M941" s="225"/>
      <c r="N941" s="225"/>
      <c r="O941" s="225"/>
      <c r="P941" s="225"/>
      <c r="Q941" s="225"/>
      <c r="R941" s="225"/>
      <c r="S941" s="225"/>
      <c r="T941" s="225"/>
      <c r="U941" s="225"/>
      <c r="V941" s="225"/>
      <c r="W941" s="225"/>
      <c r="X941" s="225"/>
      <c r="Y941" s="225"/>
      <c r="Z941" s="225"/>
      <c r="AA941" s="225"/>
      <c r="AB941" s="225"/>
      <c r="AC941" s="225"/>
      <c r="AD941" s="225"/>
      <c r="AE941" s="225"/>
      <c r="AF941" s="225"/>
      <c r="AG941" s="225"/>
      <c r="AH941" s="225"/>
      <c r="AI941" s="225"/>
      <c r="AJ941" s="225"/>
      <c r="AK941" s="225"/>
      <c r="AL941" s="225"/>
      <c r="AM941" s="225"/>
      <c r="AN941" s="225"/>
      <c r="AO941" s="225"/>
      <c r="AP941" s="225"/>
      <c r="AQ941" s="225"/>
      <c r="AR941" s="225"/>
    </row>
    <row r="942" spans="1:44" ht="15.75" customHeight="1">
      <c r="A942" s="131"/>
      <c r="B942" s="131"/>
      <c r="C942" s="131"/>
      <c r="D942" s="131"/>
      <c r="E942" s="131"/>
      <c r="F942" s="131"/>
      <c r="G942" s="131"/>
      <c r="H942" s="131"/>
      <c r="I942" s="131"/>
      <c r="J942" s="131"/>
      <c r="K942" s="131"/>
      <c r="L942" s="225"/>
      <c r="M942" s="225"/>
      <c r="N942" s="225"/>
      <c r="O942" s="225"/>
      <c r="P942" s="225"/>
      <c r="Q942" s="225"/>
      <c r="R942" s="225"/>
      <c r="S942" s="225"/>
      <c r="T942" s="225"/>
      <c r="U942" s="225"/>
      <c r="V942" s="225"/>
      <c r="W942" s="225"/>
      <c r="X942" s="225"/>
      <c r="Y942" s="225"/>
      <c r="Z942" s="225"/>
      <c r="AA942" s="225"/>
      <c r="AB942" s="225"/>
      <c r="AC942" s="225"/>
      <c r="AD942" s="225"/>
      <c r="AE942" s="225"/>
      <c r="AF942" s="225"/>
      <c r="AG942" s="225"/>
      <c r="AH942" s="225"/>
      <c r="AI942" s="225"/>
      <c r="AJ942" s="225"/>
      <c r="AK942" s="225"/>
      <c r="AL942" s="225"/>
      <c r="AM942" s="225"/>
      <c r="AN942" s="225"/>
      <c r="AO942" s="225"/>
      <c r="AP942" s="225"/>
      <c r="AQ942" s="225"/>
      <c r="AR942" s="225"/>
    </row>
    <row r="943" spans="1:44" ht="15.75" customHeight="1">
      <c r="A943" s="131"/>
      <c r="B943" s="131"/>
      <c r="C943" s="131"/>
      <c r="D943" s="131"/>
      <c r="E943" s="131"/>
      <c r="F943" s="131"/>
      <c r="G943" s="131"/>
      <c r="H943" s="131"/>
      <c r="I943" s="131"/>
      <c r="J943" s="131"/>
      <c r="K943" s="131"/>
      <c r="L943" s="225"/>
      <c r="M943" s="225"/>
      <c r="N943" s="225"/>
      <c r="O943" s="225"/>
      <c r="P943" s="225"/>
      <c r="Q943" s="225"/>
      <c r="R943" s="225"/>
      <c r="S943" s="225"/>
      <c r="T943" s="225"/>
      <c r="U943" s="225"/>
      <c r="V943" s="225"/>
      <c r="W943" s="225"/>
      <c r="X943" s="225"/>
      <c r="Y943" s="225"/>
      <c r="Z943" s="225"/>
      <c r="AA943" s="225"/>
      <c r="AB943" s="225"/>
      <c r="AC943" s="225"/>
      <c r="AD943" s="225"/>
      <c r="AE943" s="225"/>
      <c r="AF943" s="225"/>
      <c r="AG943" s="225"/>
      <c r="AH943" s="225"/>
      <c r="AI943" s="225"/>
      <c r="AJ943" s="225"/>
      <c r="AK943" s="225"/>
      <c r="AL943" s="225"/>
      <c r="AM943" s="225"/>
      <c r="AN943" s="225"/>
      <c r="AO943" s="225"/>
      <c r="AP943" s="225"/>
      <c r="AQ943" s="225"/>
      <c r="AR943" s="225"/>
    </row>
    <row r="944" spans="1:44" ht="15.75" customHeight="1">
      <c r="A944" s="131"/>
      <c r="B944" s="131"/>
      <c r="C944" s="131"/>
      <c r="D944" s="131"/>
      <c r="E944" s="131"/>
      <c r="F944" s="131"/>
      <c r="G944" s="131"/>
      <c r="H944" s="131"/>
      <c r="I944" s="131"/>
      <c r="J944" s="131"/>
      <c r="K944" s="131"/>
      <c r="L944" s="225"/>
      <c r="M944" s="225"/>
      <c r="N944" s="225"/>
      <c r="O944" s="225"/>
      <c r="P944" s="225"/>
      <c r="Q944" s="225"/>
      <c r="R944" s="225"/>
      <c r="S944" s="225"/>
      <c r="T944" s="225"/>
      <c r="U944" s="225"/>
      <c r="V944" s="225"/>
      <c r="W944" s="225"/>
      <c r="X944" s="225"/>
      <c r="Y944" s="225"/>
      <c r="Z944" s="225"/>
      <c r="AA944" s="225"/>
      <c r="AB944" s="225"/>
      <c r="AC944" s="225"/>
      <c r="AD944" s="225"/>
      <c r="AE944" s="225"/>
      <c r="AF944" s="225"/>
      <c r="AG944" s="225"/>
      <c r="AH944" s="225"/>
      <c r="AI944" s="225"/>
      <c r="AJ944" s="225"/>
      <c r="AK944" s="225"/>
      <c r="AL944" s="225"/>
      <c r="AM944" s="225"/>
      <c r="AN944" s="225"/>
      <c r="AO944" s="225"/>
      <c r="AP944" s="225"/>
      <c r="AQ944" s="225"/>
      <c r="AR944" s="225"/>
    </row>
    <row r="945" spans="1:44" ht="15.75" customHeight="1">
      <c r="A945" s="131"/>
      <c r="B945" s="131"/>
      <c r="C945" s="131"/>
      <c r="D945" s="131"/>
      <c r="E945" s="131"/>
      <c r="F945" s="131"/>
      <c r="G945" s="131"/>
      <c r="H945" s="131"/>
      <c r="I945" s="131"/>
      <c r="J945" s="131"/>
      <c r="K945" s="131"/>
      <c r="L945" s="225"/>
      <c r="M945" s="225"/>
      <c r="N945" s="225"/>
      <c r="O945" s="225"/>
      <c r="P945" s="225"/>
      <c r="Q945" s="225"/>
      <c r="R945" s="225"/>
      <c r="S945" s="225"/>
      <c r="T945" s="225"/>
      <c r="U945" s="225"/>
      <c r="V945" s="225"/>
      <c r="W945" s="225"/>
      <c r="X945" s="225"/>
      <c r="Y945" s="225"/>
      <c r="Z945" s="225"/>
      <c r="AA945" s="225"/>
      <c r="AB945" s="225"/>
      <c r="AC945" s="225"/>
      <c r="AD945" s="225"/>
      <c r="AE945" s="225"/>
      <c r="AF945" s="225"/>
      <c r="AG945" s="225"/>
      <c r="AH945" s="225"/>
      <c r="AI945" s="225"/>
      <c r="AJ945" s="225"/>
      <c r="AK945" s="225"/>
      <c r="AL945" s="225"/>
      <c r="AM945" s="225"/>
      <c r="AN945" s="225"/>
      <c r="AO945" s="225"/>
      <c r="AP945" s="225"/>
      <c r="AQ945" s="225"/>
      <c r="AR945" s="225"/>
    </row>
    <row r="946" spans="1:44" ht="15.75" customHeight="1">
      <c r="A946" s="131"/>
      <c r="B946" s="131"/>
      <c r="C946" s="131"/>
      <c r="D946" s="131"/>
      <c r="E946" s="131"/>
      <c r="F946" s="131"/>
      <c r="G946" s="131"/>
      <c r="H946" s="131"/>
      <c r="I946" s="131"/>
      <c r="J946" s="131"/>
      <c r="K946" s="131"/>
      <c r="L946" s="225"/>
      <c r="M946" s="225"/>
      <c r="N946" s="225"/>
      <c r="O946" s="225"/>
      <c r="P946" s="225"/>
      <c r="Q946" s="225"/>
      <c r="R946" s="225"/>
      <c r="S946" s="225"/>
      <c r="T946" s="225"/>
      <c r="U946" s="225"/>
      <c r="V946" s="225"/>
      <c r="W946" s="225"/>
      <c r="X946" s="225"/>
      <c r="Y946" s="225"/>
      <c r="Z946" s="225"/>
      <c r="AA946" s="225"/>
      <c r="AB946" s="225"/>
      <c r="AC946" s="225"/>
      <c r="AD946" s="225"/>
      <c r="AE946" s="225"/>
      <c r="AF946" s="225"/>
      <c r="AG946" s="225"/>
      <c r="AH946" s="225"/>
      <c r="AI946" s="225"/>
      <c r="AJ946" s="225"/>
      <c r="AK946" s="225"/>
      <c r="AL946" s="225"/>
      <c r="AM946" s="225"/>
      <c r="AN946" s="225"/>
      <c r="AO946" s="225"/>
      <c r="AP946" s="225"/>
      <c r="AQ946" s="225"/>
      <c r="AR946" s="225"/>
    </row>
    <row r="947" spans="1:44" ht="15.75" customHeight="1">
      <c r="A947" s="131"/>
      <c r="B947" s="131"/>
      <c r="C947" s="131"/>
      <c r="D947" s="131"/>
      <c r="E947" s="131"/>
      <c r="F947" s="131"/>
      <c r="G947" s="131"/>
      <c r="H947" s="131"/>
      <c r="I947" s="131"/>
      <c r="J947" s="131"/>
      <c r="K947" s="131"/>
      <c r="L947" s="225"/>
      <c r="M947" s="225"/>
      <c r="N947" s="225"/>
      <c r="O947" s="225"/>
      <c r="P947" s="225"/>
      <c r="Q947" s="225"/>
      <c r="R947" s="225"/>
      <c r="S947" s="225"/>
      <c r="T947" s="225"/>
      <c r="U947" s="225"/>
      <c r="V947" s="225"/>
      <c r="W947" s="225"/>
      <c r="X947" s="225"/>
      <c r="Y947" s="225"/>
      <c r="Z947" s="225"/>
      <c r="AA947" s="225"/>
      <c r="AB947" s="225"/>
      <c r="AC947" s="225"/>
      <c r="AD947" s="225"/>
      <c r="AE947" s="225"/>
      <c r="AF947" s="225"/>
      <c r="AG947" s="225"/>
      <c r="AH947" s="225"/>
      <c r="AI947" s="225"/>
      <c r="AJ947" s="225"/>
      <c r="AK947" s="225"/>
      <c r="AL947" s="225"/>
      <c r="AM947" s="225"/>
      <c r="AN947" s="225"/>
      <c r="AO947" s="225"/>
      <c r="AP947" s="225"/>
      <c r="AQ947" s="225"/>
      <c r="AR947" s="225"/>
    </row>
    <row r="948" spans="1:44" ht="15.75" customHeight="1">
      <c r="A948" s="131"/>
      <c r="B948" s="131"/>
      <c r="C948" s="131"/>
      <c r="D948" s="131"/>
      <c r="E948" s="131"/>
      <c r="F948" s="131"/>
      <c r="G948" s="131"/>
      <c r="H948" s="131"/>
      <c r="I948" s="131"/>
      <c r="J948" s="131"/>
      <c r="K948" s="131"/>
      <c r="L948" s="225"/>
      <c r="M948" s="225"/>
      <c r="N948" s="225"/>
      <c r="O948" s="225"/>
      <c r="P948" s="225"/>
      <c r="Q948" s="225"/>
      <c r="R948" s="225"/>
      <c r="S948" s="225"/>
      <c r="T948" s="225"/>
      <c r="U948" s="225"/>
      <c r="V948" s="225"/>
      <c r="W948" s="225"/>
      <c r="X948" s="225"/>
      <c r="Y948" s="225"/>
      <c r="Z948" s="225"/>
      <c r="AA948" s="225"/>
      <c r="AB948" s="225"/>
      <c r="AC948" s="225"/>
      <c r="AD948" s="225"/>
      <c r="AE948" s="225"/>
      <c r="AF948" s="225"/>
      <c r="AG948" s="225"/>
      <c r="AH948" s="225"/>
      <c r="AI948" s="225"/>
      <c r="AJ948" s="225"/>
      <c r="AK948" s="225"/>
      <c r="AL948" s="225"/>
      <c r="AM948" s="225"/>
      <c r="AN948" s="225"/>
      <c r="AO948" s="225"/>
      <c r="AP948" s="225"/>
      <c r="AQ948" s="225"/>
      <c r="AR948" s="225"/>
    </row>
    <row r="949" spans="1:44" ht="15.75" customHeight="1">
      <c r="A949" s="131"/>
      <c r="B949" s="131"/>
      <c r="C949" s="131"/>
      <c r="D949" s="131"/>
      <c r="E949" s="131"/>
      <c r="F949" s="131"/>
      <c r="G949" s="131"/>
      <c r="H949" s="131"/>
      <c r="I949" s="131"/>
      <c r="J949" s="131"/>
      <c r="K949" s="131"/>
      <c r="L949" s="225"/>
      <c r="M949" s="225"/>
      <c r="N949" s="225"/>
      <c r="O949" s="225"/>
      <c r="P949" s="225"/>
      <c r="Q949" s="225"/>
      <c r="R949" s="225"/>
      <c r="S949" s="225"/>
      <c r="T949" s="225"/>
      <c r="U949" s="225"/>
      <c r="V949" s="225"/>
      <c r="W949" s="225"/>
      <c r="X949" s="225"/>
      <c r="Y949" s="225"/>
      <c r="Z949" s="225"/>
      <c r="AA949" s="225"/>
      <c r="AB949" s="225"/>
      <c r="AC949" s="225"/>
      <c r="AD949" s="225"/>
      <c r="AE949" s="225"/>
      <c r="AF949" s="225"/>
      <c r="AG949" s="225"/>
      <c r="AH949" s="225"/>
      <c r="AI949" s="225"/>
      <c r="AJ949" s="225"/>
      <c r="AK949" s="225"/>
      <c r="AL949" s="225"/>
      <c r="AM949" s="225"/>
      <c r="AN949" s="225"/>
      <c r="AO949" s="225"/>
      <c r="AP949" s="225"/>
      <c r="AQ949" s="225"/>
      <c r="AR949" s="225"/>
    </row>
    <row r="950" spans="1:44" ht="15.75" customHeight="1">
      <c r="A950" s="131"/>
      <c r="B950" s="131"/>
      <c r="C950" s="131"/>
      <c r="D950" s="131"/>
      <c r="E950" s="131"/>
      <c r="F950" s="131"/>
      <c r="G950" s="131"/>
      <c r="H950" s="131"/>
      <c r="I950" s="131"/>
      <c r="J950" s="131"/>
      <c r="K950" s="131"/>
      <c r="L950" s="225"/>
      <c r="M950" s="225"/>
      <c r="N950" s="225"/>
      <c r="O950" s="225"/>
      <c r="P950" s="225"/>
      <c r="Q950" s="225"/>
      <c r="R950" s="225"/>
      <c r="S950" s="225"/>
      <c r="T950" s="225"/>
      <c r="U950" s="225"/>
      <c r="V950" s="225"/>
      <c r="W950" s="225"/>
      <c r="X950" s="225"/>
      <c r="Y950" s="225"/>
      <c r="Z950" s="225"/>
      <c r="AA950" s="225"/>
      <c r="AB950" s="225"/>
      <c r="AC950" s="225"/>
      <c r="AD950" s="225"/>
      <c r="AE950" s="225"/>
      <c r="AF950" s="225"/>
      <c r="AG950" s="225"/>
      <c r="AH950" s="225"/>
      <c r="AI950" s="225"/>
      <c r="AJ950" s="225"/>
      <c r="AK950" s="225"/>
      <c r="AL950" s="225"/>
      <c r="AM950" s="225"/>
      <c r="AN950" s="225"/>
      <c r="AO950" s="225"/>
      <c r="AP950" s="225"/>
      <c r="AQ950" s="225"/>
      <c r="AR950" s="225"/>
    </row>
    <row r="951" spans="1:44" ht="15.75" customHeight="1">
      <c r="A951" s="131"/>
      <c r="B951" s="131"/>
      <c r="C951" s="131"/>
      <c r="D951" s="131"/>
      <c r="E951" s="131"/>
      <c r="F951" s="131"/>
      <c r="G951" s="131"/>
      <c r="H951" s="131"/>
      <c r="I951" s="131"/>
      <c r="J951" s="131"/>
      <c r="K951" s="131"/>
      <c r="L951" s="225"/>
      <c r="M951" s="225"/>
      <c r="N951" s="225"/>
      <c r="O951" s="225"/>
      <c r="P951" s="225"/>
      <c r="Q951" s="225"/>
      <c r="R951" s="225"/>
      <c r="S951" s="225"/>
      <c r="T951" s="225"/>
      <c r="U951" s="225"/>
      <c r="V951" s="225"/>
      <c r="W951" s="225"/>
      <c r="X951" s="225"/>
      <c r="Y951" s="225"/>
      <c r="Z951" s="225"/>
      <c r="AA951" s="225"/>
      <c r="AB951" s="225"/>
      <c r="AC951" s="225"/>
      <c r="AD951" s="225"/>
      <c r="AE951" s="225"/>
      <c r="AF951" s="225"/>
      <c r="AG951" s="225"/>
      <c r="AH951" s="225"/>
      <c r="AI951" s="225"/>
      <c r="AJ951" s="225"/>
      <c r="AK951" s="225"/>
      <c r="AL951" s="225"/>
      <c r="AM951" s="225"/>
      <c r="AN951" s="225"/>
      <c r="AO951" s="225"/>
      <c r="AP951" s="225"/>
      <c r="AQ951" s="225"/>
      <c r="AR951" s="225"/>
    </row>
    <row r="952" spans="1:44" ht="15.75" customHeight="1">
      <c r="A952" s="131"/>
      <c r="B952" s="131"/>
      <c r="C952" s="131"/>
      <c r="D952" s="131"/>
      <c r="E952" s="131"/>
      <c r="F952" s="131"/>
      <c r="G952" s="131"/>
      <c r="H952" s="131"/>
      <c r="I952" s="131"/>
      <c r="J952" s="131"/>
      <c r="K952" s="131"/>
      <c r="L952" s="225"/>
      <c r="M952" s="225"/>
      <c r="N952" s="225"/>
      <c r="O952" s="225"/>
      <c r="P952" s="225"/>
      <c r="Q952" s="225"/>
      <c r="R952" s="225"/>
      <c r="S952" s="225"/>
      <c r="T952" s="225"/>
      <c r="U952" s="225"/>
      <c r="V952" s="225"/>
      <c r="W952" s="225"/>
      <c r="X952" s="225"/>
      <c r="Y952" s="225"/>
      <c r="Z952" s="225"/>
      <c r="AA952" s="225"/>
      <c r="AB952" s="225"/>
      <c r="AC952" s="225"/>
      <c r="AD952" s="225"/>
      <c r="AE952" s="225"/>
      <c r="AF952" s="225"/>
      <c r="AG952" s="225"/>
      <c r="AH952" s="225"/>
      <c r="AI952" s="225"/>
      <c r="AJ952" s="225"/>
      <c r="AK952" s="225"/>
      <c r="AL952" s="225"/>
      <c r="AM952" s="225"/>
      <c r="AN952" s="225"/>
      <c r="AO952" s="225"/>
      <c r="AP952" s="225"/>
      <c r="AQ952" s="225"/>
      <c r="AR952" s="225"/>
    </row>
    <row r="953" spans="1:44" ht="15.75" customHeight="1">
      <c r="A953" s="131"/>
      <c r="B953" s="131"/>
      <c r="C953" s="131"/>
      <c r="D953" s="131"/>
      <c r="E953" s="131"/>
      <c r="F953" s="131"/>
      <c r="G953" s="131"/>
      <c r="H953" s="131"/>
      <c r="I953" s="131"/>
      <c r="J953" s="131"/>
      <c r="K953" s="131"/>
      <c r="L953" s="225"/>
      <c r="M953" s="225"/>
      <c r="N953" s="225"/>
      <c r="O953" s="225"/>
      <c r="P953" s="225"/>
      <c r="Q953" s="225"/>
      <c r="R953" s="225"/>
      <c r="S953" s="225"/>
      <c r="T953" s="225"/>
      <c r="U953" s="225"/>
      <c r="V953" s="225"/>
      <c r="W953" s="225"/>
      <c r="X953" s="225"/>
      <c r="Y953" s="225"/>
      <c r="Z953" s="225"/>
      <c r="AA953" s="225"/>
      <c r="AB953" s="225"/>
      <c r="AC953" s="225"/>
      <c r="AD953" s="225"/>
      <c r="AE953" s="225"/>
      <c r="AF953" s="225"/>
      <c r="AG953" s="225"/>
      <c r="AH953" s="225"/>
      <c r="AI953" s="225"/>
      <c r="AJ953" s="225"/>
      <c r="AK953" s="225"/>
      <c r="AL953" s="225"/>
      <c r="AM953" s="225"/>
      <c r="AN953" s="225"/>
      <c r="AO953" s="225"/>
      <c r="AP953" s="225"/>
      <c r="AQ953" s="225"/>
      <c r="AR953" s="225"/>
    </row>
    <row r="954" spans="1:44" ht="15.75" customHeight="1">
      <c r="A954" s="131"/>
      <c r="B954" s="131"/>
      <c r="C954" s="131"/>
      <c r="D954" s="131"/>
      <c r="E954" s="131"/>
      <c r="F954" s="131"/>
      <c r="G954" s="131"/>
      <c r="H954" s="131"/>
      <c r="I954" s="131"/>
      <c r="J954" s="131"/>
      <c r="K954" s="131"/>
      <c r="L954" s="225"/>
      <c r="M954" s="225"/>
      <c r="N954" s="225"/>
      <c r="O954" s="225"/>
      <c r="P954" s="225"/>
      <c r="Q954" s="225"/>
      <c r="R954" s="225"/>
      <c r="S954" s="225"/>
      <c r="T954" s="225"/>
      <c r="U954" s="225"/>
      <c r="V954" s="225"/>
      <c r="W954" s="225"/>
      <c r="X954" s="225"/>
      <c r="Y954" s="225"/>
      <c r="Z954" s="225"/>
      <c r="AA954" s="225"/>
      <c r="AB954" s="225"/>
      <c r="AC954" s="225"/>
      <c r="AD954" s="225"/>
      <c r="AE954" s="225"/>
      <c r="AF954" s="225"/>
      <c r="AG954" s="225"/>
      <c r="AH954" s="225"/>
      <c r="AI954" s="225"/>
      <c r="AJ954" s="225"/>
      <c r="AK954" s="225"/>
      <c r="AL954" s="225"/>
      <c r="AM954" s="225"/>
      <c r="AN954" s="225"/>
      <c r="AO954" s="225"/>
      <c r="AP954" s="225"/>
      <c r="AQ954" s="225"/>
      <c r="AR954" s="225"/>
    </row>
    <row r="955" spans="1:44" ht="15.75" customHeight="1">
      <c r="A955" s="131"/>
      <c r="B955" s="131"/>
      <c r="C955" s="131"/>
      <c r="D955" s="131"/>
      <c r="E955" s="131"/>
      <c r="F955" s="131"/>
      <c r="G955" s="131"/>
      <c r="H955" s="131"/>
      <c r="I955" s="131"/>
      <c r="J955" s="131"/>
      <c r="K955" s="131"/>
      <c r="L955" s="225"/>
      <c r="M955" s="225"/>
      <c r="N955" s="225"/>
      <c r="O955" s="225"/>
      <c r="P955" s="225"/>
      <c r="Q955" s="225"/>
      <c r="R955" s="225"/>
      <c r="S955" s="225"/>
      <c r="T955" s="225"/>
      <c r="U955" s="225"/>
      <c r="V955" s="225"/>
      <c r="W955" s="225"/>
      <c r="X955" s="225"/>
      <c r="Y955" s="225"/>
      <c r="Z955" s="225"/>
      <c r="AA955" s="225"/>
      <c r="AB955" s="225"/>
      <c r="AC955" s="225"/>
      <c r="AD955" s="225"/>
      <c r="AE955" s="225"/>
      <c r="AF955" s="225"/>
      <c r="AG955" s="225"/>
      <c r="AH955" s="225"/>
      <c r="AI955" s="225"/>
      <c r="AJ955" s="225"/>
      <c r="AK955" s="225"/>
      <c r="AL955" s="225"/>
      <c r="AM955" s="225"/>
      <c r="AN955" s="225"/>
      <c r="AO955" s="225"/>
      <c r="AP955" s="225"/>
      <c r="AQ955" s="225"/>
      <c r="AR955" s="225"/>
    </row>
    <row r="956" spans="1:44" ht="15.75" customHeight="1">
      <c r="A956" s="131"/>
      <c r="B956" s="131"/>
      <c r="C956" s="131"/>
      <c r="D956" s="131"/>
      <c r="E956" s="131"/>
      <c r="F956" s="131"/>
      <c r="G956" s="131"/>
      <c r="H956" s="131"/>
      <c r="I956" s="131"/>
      <c r="J956" s="131"/>
      <c r="K956" s="131"/>
      <c r="L956" s="225"/>
      <c r="M956" s="225"/>
      <c r="N956" s="225"/>
      <c r="O956" s="225"/>
      <c r="P956" s="225"/>
      <c r="Q956" s="225"/>
      <c r="R956" s="225"/>
      <c r="S956" s="225"/>
      <c r="T956" s="225"/>
      <c r="U956" s="225"/>
      <c r="V956" s="225"/>
      <c r="W956" s="225"/>
      <c r="X956" s="225"/>
      <c r="Y956" s="225"/>
      <c r="Z956" s="225"/>
      <c r="AA956" s="225"/>
      <c r="AB956" s="225"/>
      <c r="AC956" s="225"/>
      <c r="AD956" s="225"/>
      <c r="AE956" s="225"/>
      <c r="AF956" s="225"/>
      <c r="AG956" s="225"/>
      <c r="AH956" s="225"/>
      <c r="AI956" s="225"/>
      <c r="AJ956" s="225"/>
      <c r="AK956" s="225"/>
      <c r="AL956" s="225"/>
      <c r="AM956" s="225"/>
      <c r="AN956" s="225"/>
      <c r="AO956" s="225"/>
      <c r="AP956" s="225"/>
      <c r="AQ956" s="225"/>
      <c r="AR956" s="225"/>
    </row>
    <row r="957" spans="1:44" ht="15.75" customHeight="1">
      <c r="A957" s="131"/>
      <c r="B957" s="131"/>
      <c r="C957" s="131"/>
      <c r="D957" s="131"/>
      <c r="E957" s="131"/>
      <c r="F957" s="131"/>
      <c r="G957" s="131"/>
      <c r="H957" s="131"/>
      <c r="I957" s="131"/>
      <c r="J957" s="131"/>
      <c r="K957" s="131"/>
      <c r="L957" s="225"/>
      <c r="M957" s="225"/>
      <c r="N957" s="225"/>
      <c r="O957" s="225"/>
      <c r="P957" s="225"/>
      <c r="Q957" s="225"/>
      <c r="R957" s="225"/>
      <c r="S957" s="225"/>
      <c r="T957" s="225"/>
      <c r="U957" s="225"/>
      <c r="V957" s="225"/>
      <c r="W957" s="225"/>
      <c r="X957" s="225"/>
      <c r="Y957" s="225"/>
      <c r="Z957" s="225"/>
      <c r="AA957" s="225"/>
      <c r="AB957" s="225"/>
      <c r="AC957" s="225"/>
      <c r="AD957" s="225"/>
      <c r="AE957" s="225"/>
      <c r="AF957" s="225"/>
      <c r="AG957" s="225"/>
      <c r="AH957" s="225"/>
      <c r="AI957" s="225"/>
      <c r="AJ957" s="225"/>
      <c r="AK957" s="225"/>
      <c r="AL957" s="225"/>
      <c r="AM957" s="225"/>
      <c r="AN957" s="225"/>
      <c r="AO957" s="225"/>
      <c r="AP957" s="225"/>
      <c r="AQ957" s="225"/>
      <c r="AR957" s="225"/>
    </row>
    <row r="958" spans="1:44" ht="15.75" customHeight="1">
      <c r="A958" s="131"/>
      <c r="B958" s="131"/>
      <c r="C958" s="131"/>
      <c r="D958" s="131"/>
      <c r="E958" s="131"/>
      <c r="F958" s="131"/>
      <c r="G958" s="131"/>
      <c r="H958" s="131"/>
      <c r="I958" s="131"/>
      <c r="J958" s="131"/>
      <c r="K958" s="131"/>
      <c r="L958" s="225"/>
      <c r="M958" s="225"/>
      <c r="N958" s="225"/>
      <c r="O958" s="225"/>
      <c r="P958" s="225"/>
      <c r="Q958" s="225"/>
      <c r="R958" s="225"/>
      <c r="S958" s="225"/>
      <c r="T958" s="225"/>
      <c r="U958" s="225"/>
      <c r="V958" s="225"/>
      <c r="W958" s="225"/>
      <c r="X958" s="225"/>
      <c r="Y958" s="225"/>
      <c r="Z958" s="225"/>
      <c r="AA958" s="225"/>
      <c r="AB958" s="225"/>
      <c r="AC958" s="225"/>
      <c r="AD958" s="225"/>
      <c r="AE958" s="225"/>
      <c r="AF958" s="225"/>
      <c r="AG958" s="225"/>
      <c r="AH958" s="225"/>
      <c r="AI958" s="225"/>
      <c r="AJ958" s="225"/>
      <c r="AK958" s="225"/>
      <c r="AL958" s="225"/>
      <c r="AM958" s="225"/>
      <c r="AN958" s="225"/>
      <c r="AO958" s="225"/>
      <c r="AP958" s="225"/>
      <c r="AQ958" s="225"/>
      <c r="AR958" s="225"/>
    </row>
    <row r="959" spans="1:44" ht="15.75" customHeight="1">
      <c r="A959" s="131"/>
      <c r="B959" s="131"/>
      <c r="C959" s="131"/>
      <c r="D959" s="131"/>
      <c r="E959" s="131"/>
      <c r="F959" s="131"/>
      <c r="G959" s="131"/>
      <c r="H959" s="131"/>
      <c r="I959" s="131"/>
      <c r="J959" s="131"/>
      <c r="K959" s="131"/>
      <c r="L959" s="225"/>
      <c r="M959" s="225"/>
      <c r="N959" s="225"/>
      <c r="O959" s="225"/>
      <c r="P959" s="225"/>
      <c r="Q959" s="225"/>
      <c r="R959" s="225"/>
      <c r="S959" s="225"/>
      <c r="T959" s="225"/>
      <c r="U959" s="225"/>
      <c r="V959" s="225"/>
      <c r="W959" s="225"/>
      <c r="X959" s="225"/>
      <c r="Y959" s="225"/>
      <c r="Z959" s="225"/>
      <c r="AA959" s="225"/>
      <c r="AB959" s="225"/>
      <c r="AC959" s="225"/>
      <c r="AD959" s="225"/>
      <c r="AE959" s="225"/>
      <c r="AF959" s="225"/>
      <c r="AG959" s="225"/>
      <c r="AH959" s="225"/>
      <c r="AI959" s="225"/>
      <c r="AJ959" s="225"/>
      <c r="AK959" s="225"/>
      <c r="AL959" s="225"/>
      <c r="AM959" s="225"/>
      <c r="AN959" s="225"/>
      <c r="AO959" s="225"/>
      <c r="AP959" s="225"/>
      <c r="AQ959" s="225"/>
      <c r="AR959" s="225"/>
    </row>
    <row r="960" spans="1:44" ht="15.75" customHeight="1">
      <c r="A960" s="131"/>
      <c r="B960" s="131"/>
      <c r="C960" s="131"/>
      <c r="D960" s="131"/>
      <c r="E960" s="131"/>
      <c r="F960" s="131"/>
      <c r="G960" s="131"/>
      <c r="H960" s="131"/>
      <c r="I960" s="131"/>
      <c r="J960" s="131"/>
      <c r="K960" s="131"/>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row>
    <row r="961" spans="1:44" ht="15.75" customHeight="1">
      <c r="A961" s="131"/>
      <c r="B961" s="131"/>
      <c r="C961" s="131"/>
      <c r="D961" s="131"/>
      <c r="E961" s="131"/>
      <c r="F961" s="131"/>
      <c r="G961" s="131"/>
      <c r="H961" s="131"/>
      <c r="I961" s="131"/>
      <c r="J961" s="131"/>
      <c r="K961" s="131"/>
      <c r="L961" s="225"/>
      <c r="M961" s="225"/>
      <c r="N961" s="225"/>
      <c r="O961" s="225"/>
      <c r="P961" s="225"/>
      <c r="Q961" s="225"/>
      <c r="R961" s="225"/>
      <c r="S961" s="225"/>
      <c r="T961" s="225"/>
      <c r="U961" s="225"/>
      <c r="V961" s="225"/>
      <c r="W961" s="225"/>
      <c r="X961" s="225"/>
      <c r="Y961" s="225"/>
      <c r="Z961" s="225"/>
      <c r="AA961" s="225"/>
      <c r="AB961" s="225"/>
      <c r="AC961" s="225"/>
      <c r="AD961" s="225"/>
      <c r="AE961" s="225"/>
      <c r="AF961" s="225"/>
      <c r="AG961" s="225"/>
      <c r="AH961" s="225"/>
      <c r="AI961" s="225"/>
      <c r="AJ961" s="225"/>
      <c r="AK961" s="225"/>
      <c r="AL961" s="225"/>
      <c r="AM961" s="225"/>
      <c r="AN961" s="225"/>
      <c r="AO961" s="225"/>
      <c r="AP961" s="225"/>
      <c r="AQ961" s="225"/>
      <c r="AR961" s="225"/>
    </row>
    <row r="962" spans="1:44" ht="15.75" customHeight="1">
      <c r="A962" s="131"/>
      <c r="B962" s="131"/>
      <c r="C962" s="131"/>
      <c r="D962" s="131"/>
      <c r="E962" s="131"/>
      <c r="F962" s="131"/>
      <c r="G962" s="131"/>
      <c r="H962" s="131"/>
      <c r="I962" s="131"/>
      <c r="J962" s="131"/>
      <c r="K962" s="131"/>
      <c r="L962" s="225"/>
      <c r="M962" s="225"/>
      <c r="N962" s="225"/>
      <c r="O962" s="225"/>
      <c r="P962" s="225"/>
      <c r="Q962" s="225"/>
      <c r="R962" s="225"/>
      <c r="S962" s="225"/>
      <c r="T962" s="225"/>
      <c r="U962" s="225"/>
      <c r="V962" s="225"/>
      <c r="W962" s="225"/>
      <c r="X962" s="225"/>
      <c r="Y962" s="225"/>
      <c r="Z962" s="225"/>
      <c r="AA962" s="225"/>
      <c r="AB962" s="225"/>
      <c r="AC962" s="225"/>
      <c r="AD962" s="225"/>
      <c r="AE962" s="225"/>
      <c r="AF962" s="225"/>
      <c r="AG962" s="225"/>
      <c r="AH962" s="225"/>
      <c r="AI962" s="225"/>
      <c r="AJ962" s="225"/>
      <c r="AK962" s="225"/>
      <c r="AL962" s="225"/>
      <c r="AM962" s="225"/>
      <c r="AN962" s="225"/>
      <c r="AO962" s="225"/>
      <c r="AP962" s="225"/>
      <c r="AQ962" s="225"/>
      <c r="AR962" s="225"/>
    </row>
    <row r="963" spans="1:44" ht="15.75" customHeight="1">
      <c r="A963" s="131"/>
      <c r="B963" s="131"/>
      <c r="C963" s="131"/>
      <c r="D963" s="131"/>
      <c r="E963" s="131"/>
      <c r="F963" s="131"/>
      <c r="G963" s="131"/>
      <c r="H963" s="131"/>
      <c r="I963" s="131"/>
      <c r="J963" s="131"/>
      <c r="K963" s="131"/>
      <c r="L963" s="225"/>
      <c r="M963" s="225"/>
      <c r="N963" s="225"/>
      <c r="O963" s="225"/>
      <c r="P963" s="225"/>
      <c r="Q963" s="225"/>
      <c r="R963" s="225"/>
      <c r="S963" s="225"/>
      <c r="T963" s="225"/>
      <c r="U963" s="225"/>
      <c r="V963" s="225"/>
      <c r="W963" s="225"/>
      <c r="X963" s="225"/>
      <c r="Y963" s="225"/>
      <c r="Z963" s="225"/>
      <c r="AA963" s="225"/>
      <c r="AB963" s="225"/>
      <c r="AC963" s="225"/>
      <c r="AD963" s="225"/>
      <c r="AE963" s="225"/>
      <c r="AF963" s="225"/>
      <c r="AG963" s="225"/>
      <c r="AH963" s="225"/>
      <c r="AI963" s="225"/>
      <c r="AJ963" s="225"/>
      <c r="AK963" s="225"/>
      <c r="AL963" s="225"/>
      <c r="AM963" s="225"/>
      <c r="AN963" s="225"/>
      <c r="AO963" s="225"/>
      <c r="AP963" s="225"/>
      <c r="AQ963" s="225"/>
      <c r="AR963" s="225"/>
    </row>
    <row r="964" spans="1:44" ht="15.75" customHeight="1">
      <c r="A964" s="131"/>
      <c r="B964" s="131"/>
      <c r="C964" s="131"/>
      <c r="D964" s="131"/>
      <c r="E964" s="131"/>
      <c r="F964" s="131"/>
      <c r="G964" s="131"/>
      <c r="H964" s="131"/>
      <c r="I964" s="131"/>
      <c r="J964" s="131"/>
      <c r="K964" s="131"/>
      <c r="L964" s="225"/>
      <c r="M964" s="225"/>
      <c r="N964" s="225"/>
      <c r="O964" s="225"/>
      <c r="P964" s="225"/>
      <c r="Q964" s="225"/>
      <c r="R964" s="225"/>
      <c r="S964" s="225"/>
      <c r="T964" s="225"/>
      <c r="U964" s="225"/>
      <c r="V964" s="225"/>
      <c r="W964" s="225"/>
      <c r="X964" s="225"/>
      <c r="Y964" s="225"/>
      <c r="Z964" s="225"/>
      <c r="AA964" s="225"/>
      <c r="AB964" s="225"/>
      <c r="AC964" s="225"/>
      <c r="AD964" s="225"/>
      <c r="AE964" s="225"/>
      <c r="AF964" s="225"/>
      <c r="AG964" s="225"/>
      <c r="AH964" s="225"/>
      <c r="AI964" s="225"/>
      <c r="AJ964" s="225"/>
      <c r="AK964" s="225"/>
      <c r="AL964" s="225"/>
      <c r="AM964" s="225"/>
      <c r="AN964" s="225"/>
      <c r="AO964" s="225"/>
      <c r="AP964" s="225"/>
      <c r="AQ964" s="225"/>
      <c r="AR964" s="225"/>
    </row>
    <row r="965" spans="1:44" ht="15.75" customHeight="1">
      <c r="A965" s="131"/>
      <c r="B965" s="131"/>
      <c r="C965" s="131"/>
      <c r="D965" s="131"/>
      <c r="E965" s="131"/>
      <c r="F965" s="131"/>
      <c r="G965" s="131"/>
      <c r="H965" s="131"/>
      <c r="I965" s="131"/>
      <c r="J965" s="131"/>
      <c r="K965" s="131"/>
      <c r="L965" s="225"/>
      <c r="M965" s="225"/>
      <c r="N965" s="225"/>
      <c r="O965" s="225"/>
      <c r="P965" s="225"/>
      <c r="Q965" s="225"/>
      <c r="R965" s="225"/>
      <c r="S965" s="225"/>
      <c r="T965" s="225"/>
      <c r="U965" s="225"/>
      <c r="V965" s="225"/>
      <c r="W965" s="225"/>
      <c r="X965" s="225"/>
      <c r="Y965" s="225"/>
      <c r="Z965" s="225"/>
      <c r="AA965" s="225"/>
      <c r="AB965" s="225"/>
      <c r="AC965" s="225"/>
      <c r="AD965" s="225"/>
      <c r="AE965" s="225"/>
      <c r="AF965" s="225"/>
      <c r="AG965" s="225"/>
      <c r="AH965" s="225"/>
      <c r="AI965" s="225"/>
      <c r="AJ965" s="225"/>
      <c r="AK965" s="225"/>
      <c r="AL965" s="225"/>
      <c r="AM965" s="225"/>
      <c r="AN965" s="225"/>
      <c r="AO965" s="225"/>
      <c r="AP965" s="225"/>
      <c r="AQ965" s="225"/>
      <c r="AR965" s="225"/>
    </row>
    <row r="966" spans="1:44" ht="15.75" customHeight="1">
      <c r="A966" s="131"/>
      <c r="B966" s="131"/>
      <c r="C966" s="131"/>
      <c r="D966" s="131"/>
      <c r="E966" s="131"/>
      <c r="F966" s="131"/>
      <c r="G966" s="131"/>
      <c r="H966" s="131"/>
      <c r="I966" s="131"/>
      <c r="J966" s="131"/>
      <c r="K966" s="131"/>
      <c r="L966" s="225"/>
      <c r="M966" s="225"/>
      <c r="N966" s="225"/>
      <c r="O966" s="225"/>
      <c r="P966" s="225"/>
      <c r="Q966" s="225"/>
      <c r="R966" s="225"/>
      <c r="S966" s="225"/>
      <c r="T966" s="225"/>
      <c r="U966" s="225"/>
      <c r="V966" s="225"/>
      <c r="W966" s="225"/>
      <c r="X966" s="225"/>
      <c r="Y966" s="225"/>
      <c r="Z966" s="225"/>
      <c r="AA966" s="225"/>
      <c r="AB966" s="225"/>
      <c r="AC966" s="225"/>
      <c r="AD966" s="225"/>
      <c r="AE966" s="225"/>
      <c r="AF966" s="225"/>
      <c r="AG966" s="225"/>
      <c r="AH966" s="225"/>
      <c r="AI966" s="225"/>
      <c r="AJ966" s="225"/>
      <c r="AK966" s="225"/>
      <c r="AL966" s="225"/>
      <c r="AM966" s="225"/>
      <c r="AN966" s="225"/>
      <c r="AO966" s="225"/>
      <c r="AP966" s="225"/>
      <c r="AQ966" s="225"/>
      <c r="AR966" s="225"/>
    </row>
    <row r="967" spans="1:44" ht="15.75" customHeight="1">
      <c r="A967" s="131"/>
      <c r="B967" s="131"/>
      <c r="C967" s="131"/>
      <c r="D967" s="131"/>
      <c r="E967" s="131"/>
      <c r="F967" s="131"/>
      <c r="G967" s="131"/>
      <c r="H967" s="131"/>
      <c r="I967" s="131"/>
      <c r="J967" s="131"/>
      <c r="K967" s="131"/>
      <c r="L967" s="225"/>
      <c r="M967" s="225"/>
      <c r="N967" s="225"/>
      <c r="O967" s="225"/>
      <c r="P967" s="225"/>
      <c r="Q967" s="225"/>
      <c r="R967" s="225"/>
      <c r="S967" s="225"/>
      <c r="T967" s="225"/>
      <c r="U967" s="225"/>
      <c r="V967" s="225"/>
      <c r="W967" s="225"/>
      <c r="X967" s="225"/>
      <c r="Y967" s="225"/>
      <c r="Z967" s="225"/>
      <c r="AA967" s="225"/>
      <c r="AB967" s="225"/>
      <c r="AC967" s="225"/>
      <c r="AD967" s="225"/>
      <c r="AE967" s="225"/>
      <c r="AF967" s="225"/>
      <c r="AG967" s="225"/>
      <c r="AH967" s="225"/>
      <c r="AI967" s="225"/>
      <c r="AJ967" s="225"/>
      <c r="AK967" s="225"/>
      <c r="AL967" s="225"/>
      <c r="AM967" s="225"/>
      <c r="AN967" s="225"/>
      <c r="AO967" s="225"/>
      <c r="AP967" s="225"/>
      <c r="AQ967" s="225"/>
      <c r="AR967" s="225"/>
    </row>
    <row r="968" spans="1:44" ht="15.75" customHeight="1">
      <c r="A968" s="131"/>
      <c r="B968" s="131"/>
      <c r="C968" s="131"/>
      <c r="D968" s="131"/>
      <c r="E968" s="131"/>
      <c r="F968" s="131"/>
      <c r="G968" s="131"/>
      <c r="H968" s="131"/>
      <c r="I968" s="131"/>
      <c r="J968" s="131"/>
      <c r="K968" s="131"/>
      <c r="L968" s="225"/>
      <c r="M968" s="225"/>
      <c r="N968" s="225"/>
      <c r="O968" s="225"/>
      <c r="P968" s="225"/>
      <c r="Q968" s="225"/>
      <c r="R968" s="225"/>
      <c r="S968" s="225"/>
      <c r="T968" s="225"/>
      <c r="U968" s="225"/>
      <c r="V968" s="225"/>
      <c r="W968" s="225"/>
      <c r="X968" s="225"/>
      <c r="Y968" s="225"/>
      <c r="Z968" s="225"/>
      <c r="AA968" s="225"/>
      <c r="AB968" s="225"/>
      <c r="AC968" s="225"/>
      <c r="AD968" s="225"/>
      <c r="AE968" s="225"/>
      <c r="AF968" s="225"/>
      <c r="AG968" s="225"/>
      <c r="AH968" s="225"/>
      <c r="AI968" s="225"/>
      <c r="AJ968" s="225"/>
      <c r="AK968" s="225"/>
      <c r="AL968" s="225"/>
      <c r="AM968" s="225"/>
      <c r="AN968" s="225"/>
      <c r="AO968" s="225"/>
      <c r="AP968" s="225"/>
      <c r="AQ968" s="225"/>
      <c r="AR968" s="225"/>
    </row>
    <row r="969" spans="1:44" ht="15.75" customHeight="1">
      <c r="A969" s="131"/>
      <c r="B969" s="131"/>
      <c r="C969" s="131"/>
      <c r="D969" s="131"/>
      <c r="E969" s="131"/>
      <c r="F969" s="131"/>
      <c r="G969" s="131"/>
      <c r="H969" s="131"/>
      <c r="I969" s="131"/>
      <c r="J969" s="131"/>
      <c r="K969" s="131"/>
      <c r="L969" s="225"/>
      <c r="M969" s="225"/>
      <c r="N969" s="225"/>
      <c r="O969" s="225"/>
      <c r="P969" s="225"/>
      <c r="Q969" s="225"/>
      <c r="R969" s="225"/>
      <c r="S969" s="225"/>
      <c r="T969" s="225"/>
      <c r="U969" s="225"/>
      <c r="V969" s="225"/>
      <c r="W969" s="225"/>
      <c r="X969" s="225"/>
      <c r="Y969" s="225"/>
      <c r="Z969" s="225"/>
      <c r="AA969" s="225"/>
      <c r="AB969" s="225"/>
      <c r="AC969" s="225"/>
      <c r="AD969" s="225"/>
      <c r="AE969" s="225"/>
      <c r="AF969" s="225"/>
      <c r="AG969" s="225"/>
      <c r="AH969" s="225"/>
      <c r="AI969" s="225"/>
      <c r="AJ969" s="225"/>
      <c r="AK969" s="225"/>
      <c r="AL969" s="225"/>
      <c r="AM969" s="225"/>
      <c r="AN969" s="225"/>
      <c r="AO969" s="225"/>
      <c r="AP969" s="225"/>
      <c r="AQ969" s="225"/>
      <c r="AR969" s="225"/>
    </row>
    <row r="970" spans="1:44" ht="15.75" customHeight="1">
      <c r="A970" s="131"/>
      <c r="B970" s="131"/>
      <c r="C970" s="131"/>
      <c r="D970" s="131"/>
      <c r="E970" s="131"/>
      <c r="F970" s="131"/>
      <c r="G970" s="131"/>
      <c r="H970" s="131"/>
      <c r="I970" s="131"/>
      <c r="J970" s="131"/>
      <c r="K970" s="131"/>
      <c r="L970" s="225"/>
      <c r="M970" s="225"/>
      <c r="N970" s="225"/>
      <c r="O970" s="225"/>
      <c r="P970" s="225"/>
      <c r="Q970" s="225"/>
      <c r="R970" s="225"/>
      <c r="S970" s="225"/>
      <c r="T970" s="225"/>
      <c r="U970" s="225"/>
      <c r="V970" s="225"/>
      <c r="W970" s="225"/>
      <c r="X970" s="225"/>
      <c r="Y970" s="225"/>
      <c r="Z970" s="225"/>
      <c r="AA970" s="225"/>
      <c r="AB970" s="225"/>
      <c r="AC970" s="225"/>
      <c r="AD970" s="225"/>
      <c r="AE970" s="225"/>
      <c r="AF970" s="225"/>
      <c r="AG970" s="225"/>
      <c r="AH970" s="225"/>
      <c r="AI970" s="225"/>
      <c r="AJ970" s="225"/>
      <c r="AK970" s="225"/>
      <c r="AL970" s="225"/>
      <c r="AM970" s="225"/>
      <c r="AN970" s="225"/>
      <c r="AO970" s="225"/>
      <c r="AP970" s="225"/>
      <c r="AQ970" s="225"/>
      <c r="AR970" s="225"/>
    </row>
    <row r="971" spans="1:44" ht="15.75" customHeight="1">
      <c r="A971" s="131"/>
      <c r="B971" s="131"/>
      <c r="C971" s="131"/>
      <c r="D971" s="131"/>
      <c r="E971" s="131"/>
      <c r="F971" s="131"/>
      <c r="G971" s="131"/>
      <c r="H971" s="131"/>
      <c r="I971" s="131"/>
      <c r="J971" s="131"/>
      <c r="K971" s="131"/>
      <c r="L971" s="225"/>
      <c r="M971" s="225"/>
      <c r="N971" s="225"/>
      <c r="O971" s="225"/>
      <c r="P971" s="225"/>
      <c r="Q971" s="225"/>
      <c r="R971" s="225"/>
      <c r="S971" s="225"/>
      <c r="T971" s="225"/>
      <c r="U971" s="225"/>
      <c r="V971" s="225"/>
      <c r="W971" s="225"/>
      <c r="X971" s="225"/>
      <c r="Y971" s="225"/>
      <c r="Z971" s="225"/>
      <c r="AA971" s="225"/>
      <c r="AB971" s="225"/>
      <c r="AC971" s="225"/>
      <c r="AD971" s="225"/>
      <c r="AE971" s="225"/>
      <c r="AF971" s="225"/>
      <c r="AG971" s="225"/>
      <c r="AH971" s="225"/>
      <c r="AI971" s="225"/>
      <c r="AJ971" s="225"/>
      <c r="AK971" s="225"/>
      <c r="AL971" s="225"/>
      <c r="AM971" s="225"/>
      <c r="AN971" s="225"/>
      <c r="AO971" s="225"/>
      <c r="AP971" s="225"/>
      <c r="AQ971" s="225"/>
      <c r="AR971" s="225"/>
    </row>
    <row r="972" spans="1:44" ht="15.75" customHeight="1">
      <c r="A972" s="131"/>
      <c r="B972" s="131"/>
      <c r="C972" s="131"/>
      <c r="D972" s="131"/>
      <c r="E972" s="131"/>
      <c r="F972" s="131"/>
      <c r="G972" s="131"/>
      <c r="H972" s="131"/>
      <c r="I972" s="131"/>
      <c r="J972" s="131"/>
      <c r="K972" s="131"/>
      <c r="L972" s="225"/>
      <c r="M972" s="225"/>
      <c r="N972" s="225"/>
      <c r="O972" s="225"/>
      <c r="P972" s="225"/>
      <c r="Q972" s="225"/>
      <c r="R972" s="225"/>
      <c r="S972" s="225"/>
      <c r="T972" s="225"/>
      <c r="U972" s="225"/>
      <c r="V972" s="225"/>
      <c r="W972" s="225"/>
      <c r="X972" s="225"/>
      <c r="Y972" s="225"/>
      <c r="Z972" s="225"/>
      <c r="AA972" s="225"/>
      <c r="AB972" s="225"/>
      <c r="AC972" s="225"/>
      <c r="AD972" s="225"/>
      <c r="AE972" s="225"/>
      <c r="AF972" s="225"/>
      <c r="AG972" s="225"/>
      <c r="AH972" s="225"/>
      <c r="AI972" s="225"/>
      <c r="AJ972" s="225"/>
      <c r="AK972" s="225"/>
      <c r="AL972" s="225"/>
      <c r="AM972" s="225"/>
      <c r="AN972" s="225"/>
      <c r="AO972" s="225"/>
      <c r="AP972" s="225"/>
      <c r="AQ972" s="225"/>
      <c r="AR972" s="225"/>
    </row>
    <row r="973" spans="1:44" ht="15.75" customHeight="1">
      <c r="A973" s="131"/>
      <c r="B973" s="131"/>
      <c r="C973" s="131"/>
      <c r="D973" s="131"/>
      <c r="E973" s="131"/>
      <c r="F973" s="131"/>
      <c r="G973" s="131"/>
      <c r="H973" s="131"/>
      <c r="I973" s="131"/>
      <c r="J973" s="131"/>
      <c r="K973" s="131"/>
      <c r="L973" s="225"/>
      <c r="M973" s="225"/>
      <c r="N973" s="225"/>
      <c r="O973" s="225"/>
      <c r="P973" s="225"/>
      <c r="Q973" s="225"/>
      <c r="R973" s="225"/>
      <c r="S973" s="225"/>
      <c r="T973" s="225"/>
      <c r="U973" s="225"/>
      <c r="V973" s="225"/>
      <c r="W973" s="225"/>
      <c r="X973" s="225"/>
      <c r="Y973" s="225"/>
      <c r="Z973" s="225"/>
      <c r="AA973" s="225"/>
      <c r="AB973" s="225"/>
      <c r="AC973" s="225"/>
      <c r="AD973" s="225"/>
      <c r="AE973" s="225"/>
      <c r="AF973" s="225"/>
      <c r="AG973" s="225"/>
      <c r="AH973" s="225"/>
      <c r="AI973" s="225"/>
      <c r="AJ973" s="225"/>
      <c r="AK973" s="225"/>
      <c r="AL973" s="225"/>
      <c r="AM973" s="225"/>
      <c r="AN973" s="225"/>
      <c r="AO973" s="225"/>
      <c r="AP973" s="225"/>
      <c r="AQ973" s="225"/>
      <c r="AR973" s="225"/>
    </row>
    <row r="974" spans="1:44" ht="15.75" customHeight="1">
      <c r="A974" s="131"/>
      <c r="B974" s="131"/>
      <c r="C974" s="131"/>
      <c r="D974" s="131"/>
      <c r="E974" s="131"/>
      <c r="F974" s="131"/>
      <c r="G974" s="131"/>
      <c r="H974" s="131"/>
      <c r="I974" s="131"/>
      <c r="J974" s="131"/>
      <c r="K974" s="131"/>
      <c r="L974" s="225"/>
      <c r="M974" s="225"/>
      <c r="N974" s="225"/>
      <c r="O974" s="225"/>
      <c r="P974" s="225"/>
      <c r="Q974" s="225"/>
      <c r="R974" s="225"/>
      <c r="S974" s="225"/>
      <c r="T974" s="225"/>
      <c r="U974" s="225"/>
      <c r="V974" s="225"/>
      <c r="W974" s="225"/>
      <c r="X974" s="225"/>
      <c r="Y974" s="225"/>
      <c r="Z974" s="225"/>
      <c r="AA974" s="225"/>
      <c r="AB974" s="225"/>
      <c r="AC974" s="225"/>
      <c r="AD974" s="225"/>
      <c r="AE974" s="225"/>
      <c r="AF974" s="225"/>
      <c r="AG974" s="225"/>
      <c r="AH974" s="225"/>
      <c r="AI974" s="225"/>
      <c r="AJ974" s="225"/>
      <c r="AK974" s="225"/>
      <c r="AL974" s="225"/>
      <c r="AM974" s="225"/>
      <c r="AN974" s="225"/>
      <c r="AO974" s="225"/>
      <c r="AP974" s="225"/>
      <c r="AQ974" s="225"/>
      <c r="AR974" s="225"/>
    </row>
    <row r="975" spans="1:44" ht="15.75" customHeight="1">
      <c r="A975" s="131"/>
      <c r="B975" s="131"/>
      <c r="C975" s="131"/>
      <c r="D975" s="131"/>
      <c r="E975" s="131"/>
      <c r="F975" s="131"/>
      <c r="G975" s="131"/>
      <c r="H975" s="131"/>
      <c r="I975" s="131"/>
      <c r="J975" s="131"/>
      <c r="K975" s="131"/>
      <c r="L975" s="225"/>
      <c r="M975" s="225"/>
      <c r="N975" s="225"/>
      <c r="O975" s="225"/>
      <c r="P975" s="225"/>
      <c r="Q975" s="225"/>
      <c r="R975" s="225"/>
      <c r="S975" s="225"/>
      <c r="T975" s="225"/>
      <c r="U975" s="225"/>
      <c r="V975" s="225"/>
      <c r="W975" s="225"/>
      <c r="X975" s="225"/>
      <c r="Y975" s="225"/>
      <c r="Z975" s="225"/>
      <c r="AA975" s="225"/>
      <c r="AB975" s="225"/>
      <c r="AC975" s="225"/>
      <c r="AD975" s="225"/>
      <c r="AE975" s="225"/>
      <c r="AF975" s="225"/>
      <c r="AG975" s="225"/>
      <c r="AH975" s="225"/>
      <c r="AI975" s="225"/>
      <c r="AJ975" s="225"/>
      <c r="AK975" s="225"/>
      <c r="AL975" s="225"/>
      <c r="AM975" s="225"/>
      <c r="AN975" s="225"/>
      <c r="AO975" s="225"/>
      <c r="AP975" s="225"/>
      <c r="AQ975" s="225"/>
      <c r="AR975" s="225"/>
    </row>
    <row r="976" spans="1:44" ht="15.75" customHeight="1">
      <c r="A976" s="131"/>
      <c r="B976" s="131"/>
      <c r="C976" s="131"/>
      <c r="D976" s="131"/>
      <c r="E976" s="131"/>
      <c r="F976" s="131"/>
      <c r="G976" s="131"/>
      <c r="H976" s="131"/>
      <c r="I976" s="131"/>
      <c r="J976" s="131"/>
      <c r="K976" s="131"/>
      <c r="L976" s="225"/>
      <c r="M976" s="225"/>
      <c r="N976" s="225"/>
      <c r="O976" s="225"/>
      <c r="P976" s="225"/>
      <c r="Q976" s="225"/>
      <c r="R976" s="225"/>
      <c r="S976" s="225"/>
      <c r="T976" s="225"/>
      <c r="U976" s="225"/>
      <c r="V976" s="225"/>
      <c r="W976" s="225"/>
      <c r="X976" s="225"/>
      <c r="Y976" s="225"/>
      <c r="Z976" s="225"/>
      <c r="AA976" s="225"/>
      <c r="AB976" s="225"/>
      <c r="AC976" s="225"/>
      <c r="AD976" s="225"/>
      <c r="AE976" s="225"/>
      <c r="AF976" s="225"/>
      <c r="AG976" s="225"/>
      <c r="AH976" s="225"/>
      <c r="AI976" s="225"/>
      <c r="AJ976" s="225"/>
      <c r="AK976" s="225"/>
      <c r="AL976" s="225"/>
      <c r="AM976" s="225"/>
      <c r="AN976" s="225"/>
      <c r="AO976" s="225"/>
      <c r="AP976" s="225"/>
      <c r="AQ976" s="225"/>
      <c r="AR976" s="225"/>
    </row>
    <row r="977" spans="1:44" ht="15.75" customHeight="1">
      <c r="A977" s="131"/>
      <c r="B977" s="131"/>
      <c r="C977" s="131"/>
      <c r="D977" s="131"/>
      <c r="E977" s="131"/>
      <c r="F977" s="131"/>
      <c r="G977" s="131"/>
      <c r="H977" s="131"/>
      <c r="I977" s="131"/>
      <c r="J977" s="131"/>
      <c r="K977" s="131"/>
      <c r="L977" s="225"/>
      <c r="M977" s="225"/>
      <c r="N977" s="225"/>
      <c r="O977" s="225"/>
      <c r="P977" s="225"/>
      <c r="Q977" s="225"/>
      <c r="R977" s="225"/>
      <c r="S977" s="225"/>
      <c r="T977" s="225"/>
      <c r="U977" s="225"/>
      <c r="V977" s="225"/>
      <c r="W977" s="225"/>
      <c r="X977" s="225"/>
      <c r="Y977" s="225"/>
      <c r="Z977" s="225"/>
      <c r="AA977" s="225"/>
      <c r="AB977" s="225"/>
      <c r="AC977" s="225"/>
      <c r="AD977" s="225"/>
      <c r="AE977" s="225"/>
      <c r="AF977" s="225"/>
      <c r="AG977" s="225"/>
      <c r="AH977" s="225"/>
      <c r="AI977" s="225"/>
      <c r="AJ977" s="225"/>
      <c r="AK977" s="225"/>
      <c r="AL977" s="225"/>
      <c r="AM977" s="225"/>
      <c r="AN977" s="225"/>
      <c r="AO977" s="225"/>
      <c r="AP977" s="225"/>
      <c r="AQ977" s="225"/>
      <c r="AR977" s="225"/>
    </row>
    <row r="978" spans="1:44" ht="15.75" customHeight="1">
      <c r="A978" s="131"/>
      <c r="B978" s="131"/>
      <c r="C978" s="131"/>
      <c r="D978" s="131"/>
      <c r="E978" s="131"/>
      <c r="F978" s="131"/>
      <c r="G978" s="131"/>
      <c r="H978" s="131"/>
      <c r="I978" s="131"/>
      <c r="J978" s="131"/>
      <c r="K978" s="131"/>
      <c r="L978" s="225"/>
      <c r="M978" s="225"/>
      <c r="N978" s="225"/>
      <c r="O978" s="225"/>
      <c r="P978" s="225"/>
      <c r="Q978" s="225"/>
      <c r="R978" s="225"/>
      <c r="S978" s="225"/>
      <c r="T978" s="225"/>
      <c r="U978" s="225"/>
      <c r="V978" s="225"/>
      <c r="W978" s="225"/>
      <c r="X978" s="225"/>
      <c r="Y978" s="225"/>
      <c r="Z978" s="225"/>
      <c r="AA978" s="225"/>
      <c r="AB978" s="225"/>
      <c r="AC978" s="225"/>
      <c r="AD978" s="225"/>
      <c r="AE978" s="225"/>
      <c r="AF978" s="225"/>
      <c r="AG978" s="225"/>
      <c r="AH978" s="225"/>
      <c r="AI978" s="225"/>
      <c r="AJ978" s="225"/>
      <c r="AK978" s="225"/>
      <c r="AL978" s="225"/>
      <c r="AM978" s="225"/>
      <c r="AN978" s="225"/>
      <c r="AO978" s="225"/>
      <c r="AP978" s="225"/>
      <c r="AQ978" s="225"/>
      <c r="AR978" s="225"/>
    </row>
    <row r="979" spans="1:44" ht="15.75" customHeight="1">
      <c r="A979" s="131"/>
      <c r="B979" s="131"/>
      <c r="C979" s="131"/>
      <c r="D979" s="131"/>
      <c r="E979" s="131"/>
      <c r="F979" s="131"/>
      <c r="G979" s="131"/>
      <c r="H979" s="131"/>
      <c r="I979" s="131"/>
      <c r="J979" s="131"/>
      <c r="K979" s="131"/>
      <c r="L979" s="225"/>
      <c r="M979" s="225"/>
      <c r="N979" s="225"/>
      <c r="O979" s="225"/>
      <c r="P979" s="225"/>
      <c r="Q979" s="225"/>
      <c r="R979" s="225"/>
      <c r="S979" s="225"/>
      <c r="T979" s="225"/>
      <c r="U979" s="225"/>
      <c r="V979" s="225"/>
      <c r="W979" s="225"/>
      <c r="X979" s="225"/>
      <c r="Y979" s="225"/>
      <c r="Z979" s="225"/>
      <c r="AA979" s="225"/>
      <c r="AB979" s="225"/>
      <c r="AC979" s="225"/>
      <c r="AD979" s="225"/>
      <c r="AE979" s="225"/>
      <c r="AF979" s="225"/>
      <c r="AG979" s="225"/>
      <c r="AH979" s="225"/>
      <c r="AI979" s="225"/>
      <c r="AJ979" s="225"/>
      <c r="AK979" s="225"/>
      <c r="AL979" s="225"/>
      <c r="AM979" s="225"/>
      <c r="AN979" s="225"/>
      <c r="AO979" s="225"/>
      <c r="AP979" s="225"/>
      <c r="AQ979" s="225"/>
      <c r="AR979" s="225"/>
    </row>
    <row r="980" spans="1:44" ht="15.75" customHeight="1">
      <c r="A980" s="131"/>
      <c r="B980" s="131"/>
      <c r="C980" s="131"/>
      <c r="D980" s="131"/>
      <c r="E980" s="131"/>
      <c r="F980" s="131"/>
      <c r="G980" s="131"/>
      <c r="H980" s="131"/>
      <c r="I980" s="131"/>
      <c r="J980" s="131"/>
      <c r="K980" s="131"/>
      <c r="L980" s="225"/>
      <c r="M980" s="225"/>
      <c r="N980" s="225"/>
      <c r="O980" s="225"/>
      <c r="P980" s="225"/>
      <c r="Q980" s="225"/>
      <c r="R980" s="225"/>
      <c r="S980" s="225"/>
      <c r="T980" s="225"/>
      <c r="U980" s="225"/>
      <c r="V980" s="225"/>
      <c r="W980" s="225"/>
      <c r="X980" s="225"/>
      <c r="Y980" s="225"/>
      <c r="Z980" s="225"/>
      <c r="AA980" s="225"/>
      <c r="AB980" s="225"/>
      <c r="AC980" s="225"/>
      <c r="AD980" s="225"/>
      <c r="AE980" s="225"/>
      <c r="AF980" s="225"/>
      <c r="AG980" s="225"/>
      <c r="AH980" s="225"/>
      <c r="AI980" s="225"/>
      <c r="AJ980" s="225"/>
      <c r="AK980" s="225"/>
      <c r="AL980" s="225"/>
      <c r="AM980" s="225"/>
      <c r="AN980" s="225"/>
      <c r="AO980" s="225"/>
      <c r="AP980" s="225"/>
      <c r="AQ980" s="225"/>
      <c r="AR980" s="225"/>
    </row>
    <row r="981" spans="1:44" ht="15.75" customHeight="1">
      <c r="A981" s="131"/>
      <c r="B981" s="131"/>
      <c r="C981" s="131"/>
      <c r="D981" s="131"/>
      <c r="E981" s="131"/>
      <c r="F981" s="131"/>
      <c r="G981" s="131"/>
      <c r="H981" s="131"/>
      <c r="I981" s="131"/>
      <c r="J981" s="131"/>
      <c r="K981" s="131"/>
      <c r="L981" s="225"/>
      <c r="M981" s="225"/>
      <c r="N981" s="225"/>
      <c r="O981" s="225"/>
      <c r="P981" s="225"/>
      <c r="Q981" s="225"/>
      <c r="R981" s="225"/>
      <c r="S981" s="225"/>
      <c r="T981" s="225"/>
      <c r="U981" s="225"/>
      <c r="V981" s="225"/>
      <c r="W981" s="225"/>
      <c r="X981" s="225"/>
      <c r="Y981" s="225"/>
      <c r="Z981" s="225"/>
      <c r="AA981" s="225"/>
      <c r="AB981" s="225"/>
      <c r="AC981" s="225"/>
      <c r="AD981" s="225"/>
      <c r="AE981" s="225"/>
      <c r="AF981" s="225"/>
      <c r="AG981" s="225"/>
      <c r="AH981" s="225"/>
      <c r="AI981" s="225"/>
      <c r="AJ981" s="225"/>
      <c r="AK981" s="225"/>
      <c r="AL981" s="225"/>
      <c r="AM981" s="225"/>
      <c r="AN981" s="225"/>
      <c r="AO981" s="225"/>
      <c r="AP981" s="225"/>
      <c r="AQ981" s="225"/>
      <c r="AR981" s="225"/>
    </row>
    <row r="982" spans="1:44" ht="15.75" customHeight="1">
      <c r="A982" s="131"/>
      <c r="B982" s="131"/>
      <c r="C982" s="131"/>
      <c r="D982" s="131"/>
      <c r="E982" s="131"/>
      <c r="F982" s="131"/>
      <c r="G982" s="131"/>
      <c r="H982" s="131"/>
      <c r="I982" s="131"/>
      <c r="J982" s="131"/>
      <c r="K982" s="131"/>
      <c r="L982" s="225"/>
      <c r="M982" s="225"/>
      <c r="N982" s="225"/>
      <c r="O982" s="225"/>
      <c r="P982" s="225"/>
      <c r="Q982" s="225"/>
      <c r="R982" s="225"/>
      <c r="S982" s="225"/>
      <c r="T982" s="225"/>
      <c r="U982" s="225"/>
      <c r="V982" s="225"/>
      <c r="W982" s="225"/>
      <c r="X982" s="225"/>
      <c r="Y982" s="225"/>
      <c r="Z982" s="225"/>
      <c r="AA982" s="225"/>
      <c r="AB982" s="225"/>
      <c r="AC982" s="225"/>
      <c r="AD982" s="225"/>
      <c r="AE982" s="225"/>
      <c r="AF982" s="225"/>
      <c r="AG982" s="225"/>
      <c r="AH982" s="225"/>
      <c r="AI982" s="225"/>
      <c r="AJ982" s="225"/>
      <c r="AK982" s="225"/>
      <c r="AL982" s="225"/>
      <c r="AM982" s="225"/>
      <c r="AN982" s="225"/>
      <c r="AO982" s="225"/>
      <c r="AP982" s="225"/>
      <c r="AQ982" s="225"/>
      <c r="AR982" s="225"/>
    </row>
    <row r="983" spans="1:44" ht="15.75" customHeight="1">
      <c r="A983" s="131"/>
      <c r="B983" s="131"/>
      <c r="C983" s="131"/>
      <c r="D983" s="131"/>
      <c r="E983" s="131"/>
      <c r="F983" s="131"/>
      <c r="G983" s="131"/>
      <c r="H983" s="131"/>
      <c r="I983" s="131"/>
      <c r="J983" s="131"/>
      <c r="K983" s="131"/>
      <c r="L983" s="225"/>
      <c r="M983" s="225"/>
      <c r="N983" s="225"/>
      <c r="O983" s="225"/>
      <c r="P983" s="225"/>
      <c r="Q983" s="225"/>
      <c r="R983" s="225"/>
      <c r="S983" s="225"/>
      <c r="T983" s="225"/>
      <c r="U983" s="225"/>
      <c r="V983" s="225"/>
      <c r="W983" s="225"/>
      <c r="X983" s="225"/>
      <c r="Y983" s="225"/>
      <c r="Z983" s="225"/>
      <c r="AA983" s="225"/>
      <c r="AB983" s="225"/>
      <c r="AC983" s="225"/>
      <c r="AD983" s="225"/>
      <c r="AE983" s="225"/>
      <c r="AF983" s="225"/>
      <c r="AG983" s="225"/>
      <c r="AH983" s="225"/>
      <c r="AI983" s="225"/>
      <c r="AJ983" s="225"/>
      <c r="AK983" s="225"/>
      <c r="AL983" s="225"/>
      <c r="AM983" s="225"/>
      <c r="AN983" s="225"/>
      <c r="AO983" s="225"/>
      <c r="AP983" s="225"/>
      <c r="AQ983" s="225"/>
      <c r="AR983" s="225"/>
    </row>
    <row r="984" spans="1:44" ht="15.75" customHeight="1">
      <c r="A984" s="131"/>
      <c r="B984" s="131"/>
      <c r="C984" s="131"/>
      <c r="D984" s="131"/>
      <c r="E984" s="131"/>
      <c r="F984" s="131"/>
      <c r="G984" s="131"/>
      <c r="H984" s="131"/>
      <c r="I984" s="131"/>
      <c r="J984" s="131"/>
      <c r="K984" s="131"/>
      <c r="L984" s="225"/>
      <c r="M984" s="225"/>
      <c r="N984" s="225"/>
      <c r="O984" s="225"/>
      <c r="P984" s="225"/>
      <c r="Q984" s="225"/>
      <c r="R984" s="225"/>
      <c r="S984" s="225"/>
      <c r="T984" s="225"/>
      <c r="U984" s="225"/>
      <c r="V984" s="225"/>
      <c r="W984" s="225"/>
      <c r="X984" s="225"/>
      <c r="Y984" s="225"/>
      <c r="Z984" s="225"/>
      <c r="AA984" s="225"/>
      <c r="AB984" s="225"/>
      <c r="AC984" s="225"/>
      <c r="AD984" s="225"/>
      <c r="AE984" s="225"/>
      <c r="AF984" s="225"/>
      <c r="AG984" s="225"/>
      <c r="AH984" s="225"/>
      <c r="AI984" s="225"/>
      <c r="AJ984" s="225"/>
      <c r="AK984" s="225"/>
      <c r="AL984" s="225"/>
      <c r="AM984" s="225"/>
      <c r="AN984" s="225"/>
      <c r="AO984" s="225"/>
      <c r="AP984" s="225"/>
      <c r="AQ984" s="225"/>
      <c r="AR984" s="225"/>
    </row>
    <row r="985" spans="1:44" ht="15.75" customHeight="1">
      <c r="A985" s="131"/>
      <c r="B985" s="131"/>
      <c r="C985" s="131"/>
      <c r="D985" s="131"/>
      <c r="E985" s="131"/>
      <c r="F985" s="131"/>
      <c r="G985" s="131"/>
      <c r="H985" s="131"/>
      <c r="I985" s="131"/>
      <c r="J985" s="131"/>
      <c r="K985" s="131"/>
      <c r="L985" s="225"/>
      <c r="M985" s="225"/>
      <c r="N985" s="225"/>
      <c r="O985" s="225"/>
      <c r="P985" s="225"/>
      <c r="Q985" s="225"/>
      <c r="R985" s="225"/>
      <c r="S985" s="225"/>
      <c r="T985" s="225"/>
      <c r="U985" s="225"/>
      <c r="V985" s="225"/>
      <c r="W985" s="225"/>
      <c r="X985" s="225"/>
      <c r="Y985" s="225"/>
      <c r="Z985" s="225"/>
      <c r="AA985" s="225"/>
      <c r="AB985" s="225"/>
      <c r="AC985" s="225"/>
      <c r="AD985" s="225"/>
      <c r="AE985" s="225"/>
      <c r="AF985" s="225"/>
      <c r="AG985" s="225"/>
      <c r="AH985" s="225"/>
      <c r="AI985" s="225"/>
      <c r="AJ985" s="225"/>
      <c r="AK985" s="225"/>
      <c r="AL985" s="225"/>
      <c r="AM985" s="225"/>
      <c r="AN985" s="225"/>
      <c r="AO985" s="225"/>
      <c r="AP985" s="225"/>
      <c r="AQ985" s="225"/>
      <c r="AR985" s="225"/>
    </row>
    <row r="986" spans="1:44" ht="15.75" customHeight="1">
      <c r="A986" s="131"/>
      <c r="B986" s="131"/>
      <c r="C986" s="131"/>
      <c r="D986" s="131"/>
      <c r="E986" s="131"/>
      <c r="F986" s="131"/>
      <c r="G986" s="131"/>
      <c r="H986" s="131"/>
      <c r="I986" s="131"/>
      <c r="J986" s="131"/>
      <c r="K986" s="131"/>
      <c r="L986" s="225"/>
      <c r="M986" s="225"/>
      <c r="N986" s="225"/>
      <c r="O986" s="225"/>
      <c r="P986" s="225"/>
      <c r="Q986" s="225"/>
      <c r="R986" s="225"/>
      <c r="S986" s="225"/>
      <c r="T986" s="225"/>
      <c r="U986" s="225"/>
      <c r="V986" s="225"/>
      <c r="W986" s="225"/>
      <c r="X986" s="225"/>
      <c r="Y986" s="225"/>
      <c r="Z986" s="225"/>
      <c r="AA986" s="225"/>
      <c r="AB986" s="225"/>
      <c r="AC986" s="225"/>
      <c r="AD986" s="225"/>
      <c r="AE986" s="225"/>
      <c r="AF986" s="225"/>
      <c r="AG986" s="225"/>
      <c r="AH986" s="225"/>
      <c r="AI986" s="225"/>
      <c r="AJ986" s="225"/>
      <c r="AK986" s="225"/>
      <c r="AL986" s="225"/>
      <c r="AM986" s="225"/>
      <c r="AN986" s="225"/>
      <c r="AO986" s="225"/>
      <c r="AP986" s="225"/>
      <c r="AQ986" s="225"/>
      <c r="AR986" s="225"/>
    </row>
    <row r="987" spans="1:44" ht="15.75" customHeight="1">
      <c r="A987" s="131"/>
      <c r="B987" s="131"/>
      <c r="C987" s="131"/>
      <c r="D987" s="131"/>
      <c r="E987" s="131"/>
      <c r="F987" s="131"/>
      <c r="G987" s="131"/>
      <c r="H987" s="131"/>
      <c r="I987" s="131"/>
      <c r="J987" s="131"/>
      <c r="K987" s="131"/>
      <c r="L987" s="225"/>
      <c r="M987" s="225"/>
      <c r="N987" s="225"/>
      <c r="O987" s="225"/>
      <c r="P987" s="225"/>
      <c r="Q987" s="225"/>
      <c r="R987" s="225"/>
      <c r="S987" s="225"/>
      <c r="T987" s="225"/>
      <c r="U987" s="225"/>
      <c r="V987" s="225"/>
      <c r="W987" s="225"/>
      <c r="X987" s="225"/>
      <c r="Y987" s="225"/>
      <c r="Z987" s="225"/>
      <c r="AA987" s="225"/>
      <c r="AB987" s="225"/>
      <c r="AC987" s="225"/>
      <c r="AD987" s="225"/>
      <c r="AE987" s="225"/>
      <c r="AF987" s="225"/>
      <c r="AG987" s="225"/>
      <c r="AH987" s="225"/>
      <c r="AI987" s="225"/>
      <c r="AJ987" s="225"/>
      <c r="AK987" s="225"/>
      <c r="AL987" s="225"/>
      <c r="AM987" s="225"/>
      <c r="AN987" s="225"/>
      <c r="AO987" s="225"/>
      <c r="AP987" s="225"/>
      <c r="AQ987" s="225"/>
      <c r="AR987" s="225"/>
    </row>
    <row r="988" spans="1:44" ht="15.75" customHeight="1">
      <c r="A988" s="131"/>
      <c r="B988" s="131"/>
      <c r="C988" s="131"/>
      <c r="D988" s="131"/>
      <c r="E988" s="131"/>
      <c r="F988" s="131"/>
      <c r="G988" s="131"/>
      <c r="H988" s="131"/>
      <c r="I988" s="131"/>
      <c r="J988" s="131"/>
      <c r="K988" s="131"/>
      <c r="L988" s="225"/>
      <c r="M988" s="225"/>
      <c r="N988" s="225"/>
      <c r="O988" s="225"/>
      <c r="P988" s="225"/>
      <c r="Q988" s="225"/>
      <c r="R988" s="225"/>
      <c r="S988" s="225"/>
      <c r="T988" s="225"/>
      <c r="U988" s="225"/>
      <c r="V988" s="225"/>
      <c r="W988" s="225"/>
      <c r="X988" s="225"/>
      <c r="Y988" s="225"/>
      <c r="Z988" s="225"/>
      <c r="AA988" s="225"/>
      <c r="AB988" s="225"/>
      <c r="AC988" s="225"/>
      <c r="AD988" s="225"/>
      <c r="AE988" s="225"/>
      <c r="AF988" s="225"/>
      <c r="AG988" s="225"/>
      <c r="AH988" s="225"/>
      <c r="AI988" s="225"/>
      <c r="AJ988" s="225"/>
      <c r="AK988" s="225"/>
      <c r="AL988" s="225"/>
      <c r="AM988" s="225"/>
      <c r="AN988" s="225"/>
      <c r="AO988" s="225"/>
      <c r="AP988" s="225"/>
      <c r="AQ988" s="225"/>
      <c r="AR988" s="225"/>
    </row>
    <row r="989" spans="1:44" ht="15.75" customHeight="1">
      <c r="A989" s="131"/>
      <c r="B989" s="131"/>
      <c r="C989" s="131"/>
      <c r="D989" s="131"/>
      <c r="E989" s="131"/>
      <c r="F989" s="131"/>
      <c r="G989" s="131"/>
      <c r="H989" s="131"/>
      <c r="I989" s="131"/>
      <c r="J989" s="131"/>
      <c r="K989" s="131"/>
      <c r="L989" s="225"/>
      <c r="M989" s="225"/>
      <c r="N989" s="225"/>
      <c r="O989" s="225"/>
      <c r="P989" s="225"/>
      <c r="Q989" s="225"/>
      <c r="R989" s="225"/>
      <c r="S989" s="225"/>
      <c r="T989" s="225"/>
      <c r="U989" s="225"/>
      <c r="V989" s="225"/>
      <c r="W989" s="225"/>
      <c r="X989" s="225"/>
      <c r="Y989" s="225"/>
      <c r="Z989" s="225"/>
      <c r="AA989" s="225"/>
      <c r="AB989" s="225"/>
      <c r="AC989" s="225"/>
      <c r="AD989" s="225"/>
      <c r="AE989" s="225"/>
      <c r="AF989" s="225"/>
      <c r="AG989" s="225"/>
      <c r="AH989" s="225"/>
      <c r="AI989" s="225"/>
      <c r="AJ989" s="225"/>
      <c r="AK989" s="225"/>
      <c r="AL989" s="225"/>
      <c r="AM989" s="225"/>
      <c r="AN989" s="225"/>
      <c r="AO989" s="225"/>
      <c r="AP989" s="225"/>
      <c r="AQ989" s="225"/>
      <c r="AR989" s="225"/>
    </row>
    <row r="990" spans="1:44" ht="15.75" customHeight="1">
      <c r="A990" s="131"/>
      <c r="B990" s="131"/>
      <c r="C990" s="131"/>
      <c r="D990" s="131"/>
      <c r="E990" s="131"/>
      <c r="F990" s="131"/>
      <c r="G990" s="131"/>
      <c r="H990" s="131"/>
      <c r="I990" s="131"/>
      <c r="J990" s="131"/>
      <c r="K990" s="131"/>
      <c r="L990" s="225"/>
      <c r="M990" s="225"/>
      <c r="N990" s="225"/>
      <c r="O990" s="225"/>
      <c r="P990" s="225"/>
      <c r="Q990" s="225"/>
      <c r="R990" s="225"/>
      <c r="S990" s="225"/>
      <c r="T990" s="225"/>
      <c r="U990" s="225"/>
      <c r="V990" s="225"/>
      <c r="W990" s="225"/>
      <c r="X990" s="225"/>
      <c r="Y990" s="225"/>
      <c r="Z990" s="225"/>
      <c r="AA990" s="225"/>
      <c r="AB990" s="225"/>
      <c r="AC990" s="225"/>
      <c r="AD990" s="225"/>
      <c r="AE990" s="225"/>
      <c r="AF990" s="225"/>
      <c r="AG990" s="225"/>
      <c r="AH990" s="225"/>
      <c r="AI990" s="225"/>
      <c r="AJ990" s="225"/>
      <c r="AK990" s="225"/>
      <c r="AL990" s="225"/>
      <c r="AM990" s="225"/>
      <c r="AN990" s="225"/>
      <c r="AO990" s="225"/>
      <c r="AP990" s="225"/>
      <c r="AQ990" s="225"/>
      <c r="AR990" s="225"/>
    </row>
    <row r="991" spans="1:44" ht="15.75" customHeight="1">
      <c r="A991" s="131"/>
      <c r="B991" s="131"/>
      <c r="C991" s="131"/>
      <c r="D991" s="131"/>
      <c r="E991" s="131"/>
      <c r="F991" s="131"/>
      <c r="G991" s="131"/>
      <c r="H991" s="131"/>
      <c r="I991" s="131"/>
      <c r="J991" s="131"/>
      <c r="K991" s="131"/>
      <c r="L991" s="225"/>
      <c r="M991" s="225"/>
      <c r="N991" s="225"/>
      <c r="O991" s="225"/>
      <c r="P991" s="225"/>
      <c r="Q991" s="225"/>
      <c r="R991" s="225"/>
      <c r="S991" s="225"/>
      <c r="T991" s="225"/>
      <c r="U991" s="225"/>
      <c r="V991" s="225"/>
      <c r="W991" s="225"/>
      <c r="X991" s="225"/>
      <c r="Y991" s="225"/>
      <c r="Z991" s="225"/>
      <c r="AA991" s="225"/>
      <c r="AB991" s="225"/>
      <c r="AC991" s="225"/>
      <c r="AD991" s="225"/>
      <c r="AE991" s="225"/>
      <c r="AF991" s="225"/>
      <c r="AG991" s="225"/>
      <c r="AH991" s="225"/>
      <c r="AI991" s="225"/>
      <c r="AJ991" s="225"/>
      <c r="AK991" s="225"/>
      <c r="AL991" s="225"/>
      <c r="AM991" s="225"/>
      <c r="AN991" s="225"/>
      <c r="AO991" s="225"/>
      <c r="AP991" s="225"/>
      <c r="AQ991" s="225"/>
      <c r="AR991" s="225"/>
    </row>
    <row r="992" spans="1:44" ht="15.75" customHeight="1">
      <c r="A992" s="131"/>
      <c r="B992" s="131"/>
      <c r="C992" s="131"/>
      <c r="D992" s="131"/>
      <c r="E992" s="131"/>
      <c r="F992" s="131"/>
      <c r="G992" s="131"/>
      <c r="H992" s="131"/>
      <c r="I992" s="131"/>
      <c r="J992" s="131"/>
      <c r="K992" s="131"/>
      <c r="L992" s="225"/>
      <c r="M992" s="225"/>
      <c r="N992" s="225"/>
      <c r="O992" s="225"/>
      <c r="P992" s="225"/>
      <c r="Q992" s="225"/>
      <c r="R992" s="225"/>
      <c r="S992" s="225"/>
      <c r="T992" s="225"/>
      <c r="U992" s="225"/>
      <c r="V992" s="225"/>
      <c r="W992" s="225"/>
      <c r="X992" s="225"/>
      <c r="Y992" s="225"/>
      <c r="Z992" s="225"/>
      <c r="AA992" s="225"/>
      <c r="AB992" s="225"/>
      <c r="AC992" s="225"/>
      <c r="AD992" s="225"/>
      <c r="AE992" s="225"/>
      <c r="AF992" s="225"/>
      <c r="AG992" s="225"/>
      <c r="AH992" s="225"/>
      <c r="AI992" s="225"/>
      <c r="AJ992" s="225"/>
      <c r="AK992" s="225"/>
      <c r="AL992" s="225"/>
      <c r="AM992" s="225"/>
      <c r="AN992" s="225"/>
      <c r="AO992" s="225"/>
      <c r="AP992" s="225"/>
      <c r="AQ992" s="225"/>
      <c r="AR992" s="225"/>
    </row>
    <row r="993" spans="1:44" ht="15.75" customHeight="1">
      <c r="A993" s="131"/>
      <c r="B993" s="131"/>
      <c r="C993" s="131"/>
      <c r="D993" s="131"/>
      <c r="E993" s="131"/>
      <c r="F993" s="131"/>
      <c r="G993" s="131"/>
      <c r="H993" s="131"/>
      <c r="I993" s="131"/>
      <c r="J993" s="131"/>
      <c r="K993" s="131"/>
      <c r="L993" s="225"/>
      <c r="M993" s="225"/>
      <c r="N993" s="225"/>
      <c r="O993" s="225"/>
      <c r="P993" s="225"/>
      <c r="Q993" s="225"/>
      <c r="R993" s="225"/>
      <c r="S993" s="225"/>
      <c r="T993" s="225"/>
      <c r="U993" s="225"/>
      <c r="V993" s="225"/>
      <c r="W993" s="225"/>
      <c r="X993" s="225"/>
      <c r="Y993" s="225"/>
      <c r="Z993" s="225"/>
      <c r="AA993" s="225"/>
      <c r="AB993" s="225"/>
      <c r="AC993" s="225"/>
      <c r="AD993" s="225"/>
      <c r="AE993" s="225"/>
      <c r="AF993" s="225"/>
      <c r="AG993" s="225"/>
      <c r="AH993" s="225"/>
      <c r="AI993" s="225"/>
      <c r="AJ993" s="225"/>
      <c r="AK993" s="225"/>
      <c r="AL993" s="225"/>
      <c r="AM993" s="225"/>
      <c r="AN993" s="225"/>
      <c r="AO993" s="225"/>
      <c r="AP993" s="225"/>
      <c r="AQ993" s="225"/>
      <c r="AR993" s="225"/>
    </row>
    <row r="994" spans="1:44" ht="15.75" customHeight="1">
      <c r="A994" s="131"/>
      <c r="B994" s="131"/>
      <c r="C994" s="131"/>
      <c r="D994" s="131"/>
      <c r="E994" s="131"/>
      <c r="F994" s="131"/>
      <c r="G994" s="131"/>
      <c r="H994" s="131"/>
      <c r="I994" s="131"/>
      <c r="J994" s="131"/>
      <c r="K994" s="131"/>
      <c r="L994" s="225"/>
      <c r="M994" s="225"/>
      <c r="N994" s="225"/>
      <c r="O994" s="225"/>
      <c r="P994" s="225"/>
      <c r="Q994" s="225"/>
      <c r="R994" s="225"/>
      <c r="S994" s="225"/>
      <c r="T994" s="225"/>
      <c r="U994" s="225"/>
      <c r="V994" s="225"/>
      <c r="W994" s="225"/>
      <c r="X994" s="225"/>
      <c r="Y994" s="225"/>
      <c r="Z994" s="225"/>
      <c r="AA994" s="225"/>
      <c r="AB994" s="225"/>
      <c r="AC994" s="225"/>
      <c r="AD994" s="225"/>
      <c r="AE994" s="225"/>
      <c r="AF994" s="225"/>
      <c r="AG994" s="225"/>
      <c r="AH994" s="225"/>
      <c r="AI994" s="225"/>
      <c r="AJ994" s="225"/>
      <c r="AK994" s="225"/>
      <c r="AL994" s="225"/>
      <c r="AM994" s="225"/>
      <c r="AN994" s="225"/>
      <c r="AO994" s="225"/>
      <c r="AP994" s="225"/>
      <c r="AQ994" s="225"/>
      <c r="AR994" s="225"/>
    </row>
    <row r="995" spans="1:44" ht="15.75" customHeight="1">
      <c r="A995" s="131"/>
      <c r="B995" s="131"/>
      <c r="C995" s="131"/>
      <c r="D995" s="131"/>
      <c r="E995" s="131"/>
      <c r="F995" s="131"/>
      <c r="G995" s="131"/>
      <c r="H995" s="131"/>
      <c r="I995" s="131"/>
      <c r="J995" s="131"/>
      <c r="K995" s="131"/>
      <c r="L995" s="225"/>
      <c r="M995" s="225"/>
      <c r="N995" s="225"/>
      <c r="O995" s="225"/>
      <c r="P995" s="225"/>
      <c r="Q995" s="225"/>
      <c r="R995" s="225"/>
      <c r="S995" s="225"/>
      <c r="T995" s="225"/>
      <c r="U995" s="225"/>
      <c r="V995" s="225"/>
      <c r="W995" s="225"/>
      <c r="X995" s="225"/>
      <c r="Y995" s="225"/>
      <c r="Z995" s="225"/>
      <c r="AA995" s="225"/>
      <c r="AB995" s="225"/>
      <c r="AC995" s="225"/>
      <c r="AD995" s="225"/>
      <c r="AE995" s="225"/>
      <c r="AF995" s="225"/>
      <c r="AG995" s="225"/>
      <c r="AH995" s="225"/>
      <c r="AI995" s="225"/>
      <c r="AJ995" s="225"/>
      <c r="AK995" s="225"/>
      <c r="AL995" s="225"/>
      <c r="AM995" s="225"/>
      <c r="AN995" s="225"/>
      <c r="AO995" s="225"/>
      <c r="AP995" s="225"/>
      <c r="AQ995" s="225"/>
      <c r="AR995" s="225"/>
    </row>
    <row r="996" spans="1:44" ht="15.75" customHeight="1">
      <c r="A996" s="131"/>
      <c r="B996" s="131"/>
      <c r="C996" s="131"/>
      <c r="D996" s="131"/>
      <c r="E996" s="131"/>
      <c r="F996" s="131"/>
      <c r="G996" s="131"/>
      <c r="H996" s="131"/>
      <c r="I996" s="131"/>
      <c r="J996" s="131"/>
      <c r="K996" s="131"/>
      <c r="L996" s="225"/>
      <c r="M996" s="225"/>
      <c r="N996" s="225"/>
      <c r="O996" s="225"/>
      <c r="P996" s="225"/>
      <c r="Q996" s="225"/>
      <c r="R996" s="225"/>
      <c r="S996" s="225"/>
      <c r="T996" s="225"/>
      <c r="U996" s="225"/>
      <c r="V996" s="225"/>
      <c r="W996" s="225"/>
      <c r="X996" s="225"/>
      <c r="Y996" s="225"/>
      <c r="Z996" s="225"/>
      <c r="AA996" s="225"/>
      <c r="AB996" s="225"/>
      <c r="AC996" s="225"/>
      <c r="AD996" s="225"/>
      <c r="AE996" s="225"/>
      <c r="AF996" s="225"/>
      <c r="AG996" s="225"/>
      <c r="AH996" s="225"/>
      <c r="AI996" s="225"/>
      <c r="AJ996" s="225"/>
      <c r="AK996" s="225"/>
      <c r="AL996" s="225"/>
      <c r="AM996" s="225"/>
      <c r="AN996" s="225"/>
      <c r="AO996" s="225"/>
      <c r="AP996" s="225"/>
      <c r="AQ996" s="225"/>
      <c r="AR996" s="225"/>
    </row>
    <row r="997" spans="1:44" ht="15.75" customHeight="1">
      <c r="A997" s="131"/>
      <c r="B997" s="131"/>
      <c r="C997" s="131"/>
      <c r="D997" s="131"/>
      <c r="E997" s="131"/>
      <c r="F997" s="131"/>
      <c r="G997" s="131"/>
      <c r="H997" s="131"/>
      <c r="I997" s="131"/>
      <c r="J997" s="131"/>
      <c r="K997" s="131"/>
      <c r="L997" s="225"/>
      <c r="M997" s="225"/>
      <c r="N997" s="225"/>
      <c r="O997" s="225"/>
      <c r="P997" s="225"/>
      <c r="Q997" s="225"/>
      <c r="R997" s="225"/>
      <c r="S997" s="225"/>
      <c r="T997" s="225"/>
      <c r="U997" s="225"/>
      <c r="V997" s="225"/>
      <c r="W997" s="225"/>
      <c r="X997" s="225"/>
      <c r="Y997" s="225"/>
      <c r="Z997" s="225"/>
      <c r="AA997" s="225"/>
      <c r="AB997" s="225"/>
      <c r="AC997" s="225"/>
      <c r="AD997" s="225"/>
      <c r="AE997" s="225"/>
      <c r="AF997" s="225"/>
      <c r="AG997" s="225"/>
      <c r="AH997" s="225"/>
      <c r="AI997" s="225"/>
      <c r="AJ997" s="225"/>
      <c r="AK997" s="225"/>
      <c r="AL997" s="225"/>
      <c r="AM997" s="225"/>
      <c r="AN997" s="225"/>
      <c r="AO997" s="225"/>
      <c r="AP997" s="225"/>
      <c r="AQ997" s="225"/>
      <c r="AR997" s="225"/>
    </row>
    <row r="998" spans="1:44" ht="15.75" customHeight="1">
      <c r="A998" s="131"/>
      <c r="B998" s="131"/>
      <c r="C998" s="131"/>
      <c r="D998" s="131"/>
      <c r="E998" s="131"/>
      <c r="F998" s="131"/>
      <c r="G998" s="131"/>
      <c r="H998" s="131"/>
      <c r="I998" s="131"/>
      <c r="J998" s="131"/>
      <c r="K998" s="131"/>
      <c r="L998" s="225"/>
      <c r="M998" s="225"/>
      <c r="N998" s="225"/>
      <c r="O998" s="225"/>
      <c r="P998" s="225"/>
      <c r="Q998" s="225"/>
      <c r="R998" s="225"/>
      <c r="S998" s="225"/>
      <c r="T998" s="225"/>
      <c r="U998" s="225"/>
      <c r="V998" s="225"/>
      <c r="W998" s="225"/>
      <c r="X998" s="225"/>
      <c r="Y998" s="225"/>
      <c r="Z998" s="225"/>
      <c r="AA998" s="225"/>
      <c r="AB998" s="225"/>
      <c r="AC998" s="225"/>
      <c r="AD998" s="225"/>
      <c r="AE998" s="225"/>
      <c r="AF998" s="225"/>
      <c r="AG998" s="225"/>
      <c r="AH998" s="225"/>
      <c r="AI998" s="225"/>
      <c r="AJ998" s="225"/>
      <c r="AK998" s="225"/>
      <c r="AL998" s="225"/>
      <c r="AM998" s="225"/>
      <c r="AN998" s="225"/>
      <c r="AO998" s="225"/>
      <c r="AP998" s="225"/>
      <c r="AQ998" s="225"/>
      <c r="AR998" s="225"/>
    </row>
    <row r="999" spans="1:44" ht="15.75" customHeight="1">
      <c r="A999" s="131"/>
      <c r="B999" s="131"/>
      <c r="C999" s="131"/>
      <c r="D999" s="131"/>
      <c r="E999" s="131"/>
      <c r="F999" s="131"/>
      <c r="G999" s="131"/>
      <c r="H999" s="131"/>
      <c r="I999" s="131"/>
      <c r="J999" s="131"/>
      <c r="K999" s="131"/>
      <c r="L999" s="225"/>
      <c r="M999" s="225"/>
      <c r="N999" s="225"/>
      <c r="O999" s="225"/>
      <c r="P999" s="225"/>
      <c r="Q999" s="225"/>
      <c r="R999" s="225"/>
      <c r="S999" s="225"/>
      <c r="T999" s="225"/>
      <c r="U999" s="225"/>
      <c r="V999" s="225"/>
      <c r="W999" s="225"/>
      <c r="X999" s="225"/>
      <c r="Y999" s="225"/>
      <c r="Z999" s="225"/>
      <c r="AA999" s="225"/>
      <c r="AB999" s="225"/>
      <c r="AC999" s="225"/>
      <c r="AD999" s="225"/>
      <c r="AE999" s="225"/>
      <c r="AF999" s="225"/>
      <c r="AG999" s="225"/>
      <c r="AH999" s="225"/>
      <c r="AI999" s="225"/>
      <c r="AJ999" s="225"/>
      <c r="AK999" s="225"/>
      <c r="AL999" s="225"/>
      <c r="AM999" s="225"/>
      <c r="AN999" s="225"/>
      <c r="AO999" s="225"/>
      <c r="AP999" s="225"/>
      <c r="AQ999" s="225"/>
      <c r="AR999" s="225"/>
    </row>
    <row r="1000" spans="1:44" ht="15.75" customHeight="1">
      <c r="A1000" s="131"/>
      <c r="B1000" s="131"/>
      <c r="C1000" s="131"/>
      <c r="D1000" s="131"/>
      <c r="E1000" s="131"/>
      <c r="F1000" s="131"/>
      <c r="G1000" s="131"/>
      <c r="H1000" s="131"/>
      <c r="I1000" s="131"/>
      <c r="J1000" s="131"/>
      <c r="K1000" s="131"/>
      <c r="L1000" s="225"/>
      <c r="M1000" s="225"/>
      <c r="N1000" s="225"/>
      <c r="O1000" s="225"/>
      <c r="P1000" s="225"/>
      <c r="Q1000" s="225"/>
      <c r="R1000" s="225"/>
      <c r="S1000" s="225"/>
      <c r="T1000" s="225"/>
      <c r="U1000" s="225"/>
      <c r="V1000" s="225"/>
      <c r="W1000" s="225"/>
      <c r="X1000" s="225"/>
      <c r="Y1000" s="225"/>
      <c r="Z1000" s="225"/>
      <c r="AA1000" s="225"/>
      <c r="AB1000" s="225"/>
      <c r="AC1000" s="225"/>
      <c r="AD1000" s="225"/>
      <c r="AE1000" s="225"/>
      <c r="AF1000" s="225"/>
      <c r="AG1000" s="225"/>
      <c r="AH1000" s="225"/>
      <c r="AI1000" s="225"/>
      <c r="AJ1000" s="225"/>
      <c r="AK1000" s="225"/>
      <c r="AL1000" s="225"/>
      <c r="AM1000" s="225"/>
      <c r="AN1000" s="225"/>
      <c r="AO1000" s="225"/>
      <c r="AP1000" s="225"/>
      <c r="AQ1000" s="225"/>
      <c r="AR1000" s="225"/>
    </row>
  </sheetData>
  <mergeCells count="28">
    <mergeCell ref="A1:G1"/>
    <mergeCell ref="A2:G2"/>
    <mergeCell ref="A3:G3"/>
    <mergeCell ref="A4:G4"/>
    <mergeCell ref="A5:G5"/>
    <mergeCell ref="A6:A7"/>
    <mergeCell ref="G6:G7"/>
    <mergeCell ref="B65:F65"/>
    <mergeCell ref="G65:G66"/>
    <mergeCell ref="B6:F6"/>
    <mergeCell ref="A60:G60"/>
    <mergeCell ref="A61:G61"/>
    <mergeCell ref="A62:G62"/>
    <mergeCell ref="A63:G63"/>
    <mergeCell ref="A64:G64"/>
    <mergeCell ref="A65:A66"/>
    <mergeCell ref="A105:B106"/>
    <mergeCell ref="D105:F106"/>
    <mergeCell ref="A107:B108"/>
    <mergeCell ref="D107:F108"/>
    <mergeCell ref="B80:F80"/>
    <mergeCell ref="G80:G81"/>
    <mergeCell ref="A75:G75"/>
    <mergeCell ref="A76:G76"/>
    <mergeCell ref="A77:G77"/>
    <mergeCell ref="A78:G78"/>
    <mergeCell ref="A79:G79"/>
    <mergeCell ref="A80:A81"/>
  </mergeCells>
  <conditionalFormatting sqref="B97">
    <cfRule type="containsBlanks" dxfId="57" priority="1">
      <formula>LEN(TRIM(B97))=0</formula>
    </cfRule>
  </conditionalFormatting>
  <conditionalFormatting sqref="C97">
    <cfRule type="containsBlanks" dxfId="56" priority="2">
      <formula>LEN(TRIM(C97))=0</formula>
    </cfRule>
  </conditionalFormatting>
  <conditionalFormatting sqref="E97">
    <cfRule type="containsBlanks" dxfId="55" priority="3">
      <formula>LEN(TRIM(E97))=0</formula>
    </cfRule>
  </conditionalFormatting>
  <conditionalFormatting sqref="F97">
    <cfRule type="containsBlanks" dxfId="54" priority="4">
      <formula>LEN(TRIM(F97))=0</formula>
    </cfRule>
  </conditionalFormatting>
  <dataValidations count="1">
    <dataValidation type="decimal" allowBlank="1" showErrorMessage="1" sqref="B8:C57 E8:F57 B67:C72 E67:F72 B73:G73 B82:C91 E82:F91 B93:C93 E93:F93 B95:C95 E95:F95 B97:C97 E97:F97 B99:G99">
      <formula1>-20000000000</formula1>
      <formula2>20000000000</formula2>
    </dataValidation>
  </dataValidations>
  <printOptions horizontalCentered="1"/>
  <pageMargins left="0.39370078740157483" right="0.39370078740157483" top="0.55118110236220474" bottom="0.6692913385826772" header="0" footer="0"/>
  <pageSetup scale="60" orientation="landscape"/>
  <headerFooter>
    <oddFooter>&amp;REstado analítico del ejercicio del presupuesto de egresos clasificación administrativa Página &amp;P de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26" width="10.7109375" customWidth="1"/>
  </cols>
  <sheetData>
    <row r="1" spans="1:26" ht="50.25" customHeight="1">
      <c r="A1" s="818" t="str">
        <f>"NOMBRE DEL ENTE PÚBLICO: "&amp;Validacion!A2</f>
        <v>NOMBRE DEL ENTE PÚBLICO: Guadalajara</v>
      </c>
      <c r="B1" s="746"/>
      <c r="C1" s="746"/>
      <c r="D1" s="746"/>
      <c r="E1" s="746"/>
      <c r="F1" s="746"/>
      <c r="G1" s="747"/>
      <c r="H1" s="131"/>
      <c r="I1" s="131"/>
      <c r="J1" s="131"/>
      <c r="K1" s="131"/>
      <c r="L1" s="131"/>
      <c r="M1" s="131"/>
      <c r="N1" s="131"/>
      <c r="O1" s="131"/>
      <c r="P1" s="131"/>
      <c r="Q1" s="131"/>
      <c r="R1" s="131"/>
      <c r="S1" s="131"/>
      <c r="T1" s="131"/>
      <c r="U1" s="131"/>
      <c r="V1" s="131"/>
      <c r="W1" s="131"/>
      <c r="X1" s="131"/>
      <c r="Y1" s="131"/>
      <c r="Z1" s="131"/>
    </row>
    <row r="2" spans="1:26" ht="18.75">
      <c r="A2" s="811" t="s">
        <v>6274</v>
      </c>
      <c r="B2" s="749"/>
      <c r="C2" s="749"/>
      <c r="D2" s="749"/>
      <c r="E2" s="749"/>
      <c r="F2" s="749"/>
      <c r="G2" s="750"/>
      <c r="H2" s="131"/>
      <c r="I2" s="131"/>
      <c r="J2" s="131"/>
      <c r="K2" s="131"/>
      <c r="L2" s="131"/>
      <c r="M2" s="131"/>
      <c r="N2" s="131"/>
      <c r="O2" s="131"/>
      <c r="P2" s="131"/>
      <c r="Q2" s="131"/>
      <c r="R2" s="131"/>
      <c r="S2" s="131"/>
      <c r="T2" s="131"/>
      <c r="U2" s="131"/>
      <c r="V2" s="131"/>
      <c r="W2" s="131"/>
      <c r="X2" s="131"/>
      <c r="Y2" s="131"/>
      <c r="Z2" s="131"/>
    </row>
    <row r="3" spans="1:26" ht="18.75">
      <c r="A3" s="811" t="s">
        <v>6255</v>
      </c>
      <c r="B3" s="749"/>
      <c r="C3" s="749"/>
      <c r="D3" s="749"/>
      <c r="E3" s="749"/>
      <c r="F3" s="749"/>
      <c r="G3" s="750"/>
      <c r="H3" s="131"/>
      <c r="I3" s="131"/>
      <c r="J3" s="131"/>
      <c r="K3" s="131"/>
      <c r="L3" s="131"/>
      <c r="M3" s="131"/>
      <c r="N3" s="131"/>
      <c r="O3" s="131"/>
      <c r="P3" s="131"/>
      <c r="Q3" s="131"/>
      <c r="R3" s="131"/>
      <c r="S3" s="131"/>
      <c r="T3" s="131"/>
      <c r="U3" s="131"/>
      <c r="V3" s="131"/>
      <c r="W3" s="131"/>
      <c r="X3" s="131"/>
      <c r="Y3" s="131"/>
      <c r="Z3" s="131"/>
    </row>
    <row r="4" spans="1:26" ht="15.75">
      <c r="A4" s="812" t="e">
        <f>'F6'!A3</f>
        <v>#REF!</v>
      </c>
      <c r="B4" s="749"/>
      <c r="C4" s="749"/>
      <c r="D4" s="749"/>
      <c r="E4" s="749"/>
      <c r="F4" s="749"/>
      <c r="G4" s="750"/>
      <c r="H4" s="131"/>
      <c r="I4" s="131"/>
      <c r="J4" s="131"/>
      <c r="K4" s="131"/>
      <c r="L4" s="131"/>
      <c r="M4" s="131"/>
      <c r="N4" s="131"/>
      <c r="O4" s="131"/>
      <c r="P4" s="131"/>
      <c r="Q4" s="131"/>
      <c r="R4" s="131"/>
      <c r="S4" s="131"/>
      <c r="T4" s="131"/>
      <c r="U4" s="131"/>
      <c r="V4" s="131"/>
      <c r="W4" s="131"/>
      <c r="X4" s="131"/>
      <c r="Y4" s="131"/>
      <c r="Z4" s="131"/>
    </row>
    <row r="5" spans="1:26" ht="15.75">
      <c r="A5" s="813" t="s">
        <v>4447</v>
      </c>
      <c r="B5" s="753"/>
      <c r="C5" s="753"/>
      <c r="D5" s="753"/>
      <c r="E5" s="753"/>
      <c r="F5" s="753"/>
      <c r="G5" s="754"/>
      <c r="H5" s="131"/>
      <c r="I5" s="131"/>
      <c r="J5" s="131"/>
      <c r="K5" s="131"/>
      <c r="L5" s="131"/>
      <c r="M5" s="131"/>
      <c r="N5" s="131"/>
      <c r="O5" s="131"/>
      <c r="P5" s="131"/>
      <c r="Q5" s="131"/>
      <c r="R5" s="131"/>
      <c r="S5" s="131"/>
      <c r="T5" s="131"/>
      <c r="U5" s="131"/>
      <c r="V5" s="131"/>
      <c r="W5" s="131"/>
      <c r="X5" s="131"/>
      <c r="Y5" s="131"/>
      <c r="Z5" s="131"/>
    </row>
    <row r="6" spans="1:26" ht="15.75">
      <c r="A6" s="814" t="s">
        <v>4379</v>
      </c>
      <c r="B6" s="819" t="s">
        <v>88</v>
      </c>
      <c r="C6" s="756"/>
      <c r="D6" s="756"/>
      <c r="E6" s="756"/>
      <c r="F6" s="733"/>
      <c r="G6" s="821" t="s">
        <v>6256</v>
      </c>
      <c r="H6" s="131"/>
      <c r="I6" s="131"/>
      <c r="J6" s="131"/>
      <c r="K6" s="131"/>
      <c r="L6" s="131"/>
      <c r="M6" s="131"/>
      <c r="N6" s="131"/>
      <c r="O6" s="131"/>
      <c r="P6" s="131"/>
      <c r="Q6" s="131"/>
      <c r="R6" s="131"/>
      <c r="S6" s="131"/>
      <c r="T6" s="131"/>
      <c r="U6" s="131"/>
      <c r="V6" s="131"/>
      <c r="W6" s="131"/>
      <c r="X6" s="131"/>
      <c r="Y6" s="131"/>
      <c r="Z6" s="131"/>
    </row>
    <row r="7" spans="1:26" ht="24">
      <c r="A7" s="730"/>
      <c r="B7" s="252" t="s">
        <v>6257</v>
      </c>
      <c r="C7" s="252" t="s">
        <v>4431</v>
      </c>
      <c r="D7" s="252" t="s">
        <v>4432</v>
      </c>
      <c r="E7" s="252" t="s">
        <v>4433</v>
      </c>
      <c r="F7" s="252" t="s">
        <v>6258</v>
      </c>
      <c r="G7" s="730"/>
      <c r="H7" s="131"/>
      <c r="I7" s="131"/>
      <c r="J7" s="131"/>
      <c r="K7" s="131"/>
      <c r="L7" s="131"/>
      <c r="M7" s="131"/>
      <c r="N7" s="131"/>
      <c r="O7" s="131"/>
      <c r="P7" s="131"/>
      <c r="Q7" s="131"/>
      <c r="R7" s="131"/>
      <c r="S7" s="131"/>
      <c r="T7" s="131"/>
      <c r="U7" s="131"/>
      <c r="V7" s="131"/>
      <c r="W7" s="131"/>
      <c r="X7" s="131"/>
      <c r="Y7" s="131"/>
      <c r="Z7" s="131"/>
    </row>
    <row r="8" spans="1:26">
      <c r="A8" s="253" t="s">
        <v>6275</v>
      </c>
      <c r="B8" s="254">
        <f t="shared" ref="B8:G8" si="0">SUM(B9:B33)</f>
        <v>0</v>
      </c>
      <c r="C8" s="254">
        <f t="shared" si="0"/>
        <v>0</v>
      </c>
      <c r="D8" s="254">
        <f t="shared" si="0"/>
        <v>0</v>
      </c>
      <c r="E8" s="254">
        <f t="shared" si="0"/>
        <v>0</v>
      </c>
      <c r="F8" s="254">
        <f t="shared" si="0"/>
        <v>0</v>
      </c>
      <c r="G8" s="254">
        <f t="shared" si="0"/>
        <v>0</v>
      </c>
      <c r="H8" s="131"/>
      <c r="I8" s="131"/>
      <c r="J8" s="131"/>
      <c r="K8" s="131"/>
      <c r="L8" s="131"/>
      <c r="M8" s="131"/>
      <c r="N8" s="131"/>
      <c r="O8" s="131"/>
      <c r="P8" s="131"/>
      <c r="Q8" s="131"/>
      <c r="R8" s="131"/>
      <c r="S8" s="131"/>
      <c r="T8" s="131"/>
      <c r="U8" s="131"/>
      <c r="V8" s="131"/>
      <c r="W8" s="131"/>
      <c r="X8" s="131"/>
      <c r="Y8" s="131"/>
      <c r="Z8" s="131"/>
    </row>
    <row r="9" spans="1:26">
      <c r="A9" s="255"/>
      <c r="B9" s="256"/>
      <c r="C9" s="256"/>
      <c r="D9" s="257">
        <f t="shared" ref="D9:D33" si="1">B9+C9</f>
        <v>0</v>
      </c>
      <c r="E9" s="256"/>
      <c r="F9" s="256"/>
      <c r="G9" s="257">
        <f t="shared" ref="G9:G33" si="2">D9-E9</f>
        <v>0</v>
      </c>
      <c r="H9" s="131"/>
      <c r="I9" s="131"/>
      <c r="J9" s="131"/>
      <c r="K9" s="131"/>
      <c r="L9" s="131"/>
      <c r="M9" s="131"/>
      <c r="N9" s="131"/>
      <c r="O9" s="131"/>
      <c r="P9" s="131"/>
      <c r="Q9" s="131"/>
      <c r="R9" s="131"/>
      <c r="S9" s="131"/>
      <c r="T9" s="131"/>
      <c r="U9" s="131"/>
      <c r="V9" s="131"/>
      <c r="W9" s="131"/>
      <c r="X9" s="131"/>
      <c r="Y9" s="131"/>
      <c r="Z9" s="131"/>
    </row>
    <row r="10" spans="1:26">
      <c r="A10" s="258"/>
      <c r="B10" s="153"/>
      <c r="C10" s="153"/>
      <c r="D10" s="237">
        <f t="shared" si="1"/>
        <v>0</v>
      </c>
      <c r="E10" s="153"/>
      <c r="F10" s="153"/>
      <c r="G10" s="237">
        <f t="shared" si="2"/>
        <v>0</v>
      </c>
      <c r="H10" s="131"/>
      <c r="I10" s="131"/>
      <c r="J10" s="131"/>
      <c r="K10" s="131"/>
      <c r="L10" s="131"/>
      <c r="M10" s="131"/>
      <c r="N10" s="131"/>
      <c r="O10" s="131"/>
      <c r="P10" s="131"/>
      <c r="Q10" s="131"/>
      <c r="R10" s="131"/>
      <c r="S10" s="131"/>
      <c r="T10" s="131"/>
      <c r="U10" s="131"/>
      <c r="V10" s="131"/>
      <c r="W10" s="131"/>
      <c r="X10" s="131"/>
      <c r="Y10" s="131"/>
      <c r="Z10" s="131"/>
    </row>
    <row r="11" spans="1:26">
      <c r="A11" s="258"/>
      <c r="B11" s="153"/>
      <c r="C11" s="153"/>
      <c r="D11" s="237">
        <f t="shared" si="1"/>
        <v>0</v>
      </c>
      <c r="E11" s="153"/>
      <c r="F11" s="153"/>
      <c r="G11" s="237">
        <f t="shared" si="2"/>
        <v>0</v>
      </c>
      <c r="H11" s="131"/>
      <c r="I11" s="131"/>
      <c r="J11" s="131"/>
      <c r="K11" s="131"/>
      <c r="L11" s="131"/>
      <c r="M11" s="131"/>
      <c r="N11" s="131"/>
      <c r="O11" s="131"/>
      <c r="P11" s="131"/>
      <c r="Q11" s="131"/>
      <c r="R11" s="131"/>
      <c r="S11" s="131"/>
      <c r="T11" s="131"/>
      <c r="U11" s="131"/>
      <c r="V11" s="131"/>
      <c r="W11" s="131"/>
      <c r="X11" s="131"/>
      <c r="Y11" s="131"/>
      <c r="Z11" s="131"/>
    </row>
    <row r="12" spans="1:26">
      <c r="A12" s="258"/>
      <c r="B12" s="153"/>
      <c r="C12" s="153"/>
      <c r="D12" s="237">
        <f t="shared" si="1"/>
        <v>0</v>
      </c>
      <c r="E12" s="153"/>
      <c r="F12" s="153"/>
      <c r="G12" s="237">
        <f t="shared" si="2"/>
        <v>0</v>
      </c>
      <c r="H12" s="131"/>
      <c r="I12" s="131"/>
      <c r="J12" s="131"/>
      <c r="K12" s="131"/>
      <c r="L12" s="131"/>
      <c r="M12" s="131"/>
      <c r="N12" s="131"/>
      <c r="O12" s="131"/>
      <c r="P12" s="131"/>
      <c r="Q12" s="131"/>
      <c r="R12" s="131"/>
      <c r="S12" s="131"/>
      <c r="T12" s="131"/>
      <c r="U12" s="131"/>
      <c r="V12" s="131"/>
      <c r="W12" s="131"/>
      <c r="X12" s="131"/>
      <c r="Y12" s="131"/>
      <c r="Z12" s="131"/>
    </row>
    <row r="13" spans="1:26">
      <c r="A13" s="258"/>
      <c r="B13" s="153"/>
      <c r="C13" s="153"/>
      <c r="D13" s="237">
        <f t="shared" si="1"/>
        <v>0</v>
      </c>
      <c r="E13" s="153"/>
      <c r="F13" s="153"/>
      <c r="G13" s="237">
        <f t="shared" si="2"/>
        <v>0</v>
      </c>
      <c r="H13" s="131"/>
      <c r="I13" s="131"/>
      <c r="J13" s="131"/>
      <c r="K13" s="131"/>
      <c r="L13" s="131"/>
      <c r="M13" s="131"/>
      <c r="N13" s="131"/>
      <c r="O13" s="131"/>
      <c r="P13" s="131"/>
      <c r="Q13" s="131"/>
      <c r="R13" s="131"/>
      <c r="S13" s="131"/>
      <c r="T13" s="131"/>
      <c r="U13" s="131"/>
      <c r="V13" s="131"/>
      <c r="W13" s="131"/>
      <c r="X13" s="131"/>
      <c r="Y13" s="131"/>
      <c r="Z13" s="131"/>
    </row>
    <row r="14" spans="1:26">
      <c r="A14" s="258"/>
      <c r="B14" s="153"/>
      <c r="C14" s="153"/>
      <c r="D14" s="237">
        <f t="shared" si="1"/>
        <v>0</v>
      </c>
      <c r="E14" s="153"/>
      <c r="F14" s="153"/>
      <c r="G14" s="237">
        <f t="shared" si="2"/>
        <v>0</v>
      </c>
      <c r="H14" s="131"/>
      <c r="I14" s="131"/>
      <c r="J14" s="131"/>
      <c r="K14" s="131"/>
      <c r="L14" s="131"/>
      <c r="M14" s="131"/>
      <c r="N14" s="131"/>
      <c r="O14" s="131"/>
      <c r="P14" s="131"/>
      <c r="Q14" s="131"/>
      <c r="R14" s="131"/>
      <c r="S14" s="131"/>
      <c r="T14" s="131"/>
      <c r="U14" s="131"/>
      <c r="V14" s="131"/>
      <c r="W14" s="131"/>
      <c r="X14" s="131"/>
      <c r="Y14" s="131"/>
      <c r="Z14" s="131"/>
    </row>
    <row r="15" spans="1:26">
      <c r="A15" s="258"/>
      <c r="B15" s="153"/>
      <c r="C15" s="153"/>
      <c r="D15" s="237">
        <f t="shared" si="1"/>
        <v>0</v>
      </c>
      <c r="E15" s="153"/>
      <c r="F15" s="153"/>
      <c r="G15" s="237">
        <f t="shared" si="2"/>
        <v>0</v>
      </c>
      <c r="H15" s="131"/>
      <c r="I15" s="131"/>
      <c r="J15" s="131"/>
      <c r="K15" s="131"/>
      <c r="L15" s="131"/>
      <c r="M15" s="131"/>
      <c r="N15" s="131"/>
      <c r="O15" s="131"/>
      <c r="P15" s="131"/>
      <c r="Q15" s="131"/>
      <c r="R15" s="131"/>
      <c r="S15" s="131"/>
      <c r="T15" s="131"/>
      <c r="U15" s="131"/>
      <c r="V15" s="131"/>
      <c r="W15" s="131"/>
      <c r="X15" s="131"/>
      <c r="Y15" s="131"/>
      <c r="Z15" s="131"/>
    </row>
    <row r="16" spans="1:26">
      <c r="A16" s="258"/>
      <c r="B16" s="153"/>
      <c r="C16" s="153"/>
      <c r="D16" s="237">
        <f t="shared" si="1"/>
        <v>0</v>
      </c>
      <c r="E16" s="153"/>
      <c r="F16" s="153"/>
      <c r="G16" s="237">
        <f t="shared" si="2"/>
        <v>0</v>
      </c>
      <c r="H16" s="131"/>
      <c r="I16" s="131"/>
      <c r="J16" s="131"/>
      <c r="K16" s="131"/>
      <c r="L16" s="131"/>
      <c r="M16" s="131"/>
      <c r="N16" s="131"/>
      <c r="O16" s="131"/>
      <c r="P16" s="131"/>
      <c r="Q16" s="131"/>
      <c r="R16" s="131"/>
      <c r="S16" s="131"/>
      <c r="T16" s="131"/>
      <c r="U16" s="131"/>
      <c r="V16" s="131"/>
      <c r="W16" s="131"/>
      <c r="X16" s="131"/>
      <c r="Y16" s="131"/>
      <c r="Z16" s="131"/>
    </row>
    <row r="17" spans="1:26">
      <c r="A17" s="258"/>
      <c r="B17" s="153"/>
      <c r="C17" s="153"/>
      <c r="D17" s="237">
        <f t="shared" si="1"/>
        <v>0</v>
      </c>
      <c r="E17" s="153"/>
      <c r="F17" s="153"/>
      <c r="G17" s="237">
        <f t="shared" si="2"/>
        <v>0</v>
      </c>
      <c r="H17" s="131"/>
      <c r="I17" s="131"/>
      <c r="J17" s="131"/>
      <c r="K17" s="131"/>
      <c r="L17" s="131"/>
      <c r="M17" s="131"/>
      <c r="N17" s="131"/>
      <c r="O17" s="131"/>
      <c r="P17" s="131"/>
      <c r="Q17" s="131"/>
      <c r="R17" s="131"/>
      <c r="S17" s="131"/>
      <c r="T17" s="131"/>
      <c r="U17" s="131"/>
      <c r="V17" s="131"/>
      <c r="W17" s="131"/>
      <c r="X17" s="131"/>
      <c r="Y17" s="131"/>
      <c r="Z17" s="131"/>
    </row>
    <row r="18" spans="1:26">
      <c r="A18" s="258"/>
      <c r="B18" s="153"/>
      <c r="C18" s="153"/>
      <c r="D18" s="237">
        <f t="shared" si="1"/>
        <v>0</v>
      </c>
      <c r="E18" s="153"/>
      <c r="F18" s="153"/>
      <c r="G18" s="237">
        <f t="shared" si="2"/>
        <v>0</v>
      </c>
      <c r="H18" s="131"/>
      <c r="I18" s="131"/>
      <c r="J18" s="131"/>
      <c r="K18" s="131"/>
      <c r="L18" s="131"/>
      <c r="M18" s="131"/>
      <c r="N18" s="131"/>
      <c r="O18" s="131"/>
      <c r="P18" s="131"/>
      <c r="Q18" s="131"/>
      <c r="R18" s="131"/>
      <c r="S18" s="131"/>
      <c r="T18" s="131"/>
      <c r="U18" s="131"/>
      <c r="V18" s="131"/>
      <c r="W18" s="131"/>
      <c r="X18" s="131"/>
      <c r="Y18" s="131"/>
      <c r="Z18" s="131"/>
    </row>
    <row r="19" spans="1:26">
      <c r="A19" s="258"/>
      <c r="B19" s="153"/>
      <c r="C19" s="153"/>
      <c r="D19" s="237">
        <f t="shared" si="1"/>
        <v>0</v>
      </c>
      <c r="E19" s="153"/>
      <c r="F19" s="153"/>
      <c r="G19" s="237">
        <f t="shared" si="2"/>
        <v>0</v>
      </c>
      <c r="H19" s="131"/>
      <c r="I19" s="131"/>
      <c r="J19" s="131"/>
      <c r="K19" s="131"/>
      <c r="L19" s="131"/>
      <c r="M19" s="131"/>
      <c r="N19" s="131"/>
      <c r="O19" s="131"/>
      <c r="P19" s="131"/>
      <c r="Q19" s="131"/>
      <c r="R19" s="131"/>
      <c r="S19" s="131"/>
      <c r="T19" s="131"/>
      <c r="U19" s="131"/>
      <c r="V19" s="131"/>
      <c r="W19" s="131"/>
      <c r="X19" s="131"/>
      <c r="Y19" s="131"/>
      <c r="Z19" s="131"/>
    </row>
    <row r="20" spans="1:26">
      <c r="A20" s="258"/>
      <c r="B20" s="153"/>
      <c r="C20" s="153"/>
      <c r="D20" s="237">
        <f t="shared" si="1"/>
        <v>0</v>
      </c>
      <c r="E20" s="153"/>
      <c r="F20" s="153"/>
      <c r="G20" s="237">
        <f t="shared" si="2"/>
        <v>0</v>
      </c>
      <c r="H20" s="131"/>
      <c r="I20" s="131"/>
      <c r="J20" s="131"/>
      <c r="K20" s="131"/>
      <c r="L20" s="131"/>
      <c r="M20" s="131"/>
      <c r="N20" s="131"/>
      <c r="O20" s="131"/>
      <c r="P20" s="131"/>
      <c r="Q20" s="131"/>
      <c r="R20" s="131"/>
      <c r="S20" s="131"/>
      <c r="T20" s="131"/>
      <c r="U20" s="131"/>
      <c r="V20" s="131"/>
      <c r="W20" s="131"/>
      <c r="X20" s="131"/>
      <c r="Y20" s="131"/>
      <c r="Z20" s="131"/>
    </row>
    <row r="21" spans="1:26" ht="15.75" customHeight="1">
      <c r="A21" s="258"/>
      <c r="B21" s="153"/>
      <c r="C21" s="153"/>
      <c r="D21" s="237">
        <f t="shared" si="1"/>
        <v>0</v>
      </c>
      <c r="E21" s="153"/>
      <c r="F21" s="153"/>
      <c r="G21" s="237">
        <f t="shared" si="2"/>
        <v>0</v>
      </c>
      <c r="H21" s="131"/>
      <c r="I21" s="131"/>
      <c r="J21" s="131"/>
      <c r="K21" s="131"/>
      <c r="L21" s="131"/>
      <c r="M21" s="131"/>
      <c r="N21" s="131"/>
      <c r="O21" s="131"/>
      <c r="P21" s="131"/>
      <c r="Q21" s="131"/>
      <c r="R21" s="131"/>
      <c r="S21" s="131"/>
      <c r="T21" s="131"/>
      <c r="U21" s="131"/>
      <c r="V21" s="131"/>
      <c r="W21" s="131"/>
      <c r="X21" s="131"/>
      <c r="Y21" s="131"/>
      <c r="Z21" s="131"/>
    </row>
    <row r="22" spans="1:26" ht="15.75" customHeight="1">
      <c r="A22" s="258"/>
      <c r="B22" s="153"/>
      <c r="C22" s="153"/>
      <c r="D22" s="237">
        <f t="shared" si="1"/>
        <v>0</v>
      </c>
      <c r="E22" s="153"/>
      <c r="F22" s="153"/>
      <c r="G22" s="237">
        <f t="shared" si="2"/>
        <v>0</v>
      </c>
      <c r="H22" s="131"/>
      <c r="I22" s="131"/>
      <c r="J22" s="131"/>
      <c r="K22" s="131"/>
      <c r="L22" s="131"/>
      <c r="M22" s="131"/>
      <c r="N22" s="131"/>
      <c r="O22" s="131"/>
      <c r="P22" s="131"/>
      <c r="Q22" s="131"/>
      <c r="R22" s="131"/>
      <c r="S22" s="131"/>
      <c r="T22" s="131"/>
      <c r="U22" s="131"/>
      <c r="V22" s="131"/>
      <c r="W22" s="131"/>
      <c r="X22" s="131"/>
      <c r="Y22" s="131"/>
      <c r="Z22" s="131"/>
    </row>
    <row r="23" spans="1:26" ht="15.75" customHeight="1">
      <c r="A23" s="258"/>
      <c r="B23" s="153"/>
      <c r="C23" s="153"/>
      <c r="D23" s="237">
        <f t="shared" si="1"/>
        <v>0</v>
      </c>
      <c r="E23" s="153"/>
      <c r="F23" s="153"/>
      <c r="G23" s="237">
        <f t="shared" si="2"/>
        <v>0</v>
      </c>
      <c r="H23" s="131"/>
      <c r="I23" s="131"/>
      <c r="J23" s="131"/>
      <c r="K23" s="131"/>
      <c r="L23" s="131"/>
      <c r="M23" s="131"/>
      <c r="N23" s="131"/>
      <c r="O23" s="131"/>
      <c r="P23" s="131"/>
      <c r="Q23" s="131"/>
      <c r="R23" s="131"/>
      <c r="S23" s="131"/>
      <c r="T23" s="131"/>
      <c r="U23" s="131"/>
      <c r="V23" s="131"/>
      <c r="W23" s="131"/>
      <c r="X23" s="131"/>
      <c r="Y23" s="131"/>
      <c r="Z23" s="131"/>
    </row>
    <row r="24" spans="1:26" ht="15.75" customHeight="1">
      <c r="A24" s="258"/>
      <c r="B24" s="153"/>
      <c r="C24" s="153"/>
      <c r="D24" s="237">
        <f t="shared" si="1"/>
        <v>0</v>
      </c>
      <c r="E24" s="153"/>
      <c r="F24" s="153"/>
      <c r="G24" s="237">
        <f t="shared" si="2"/>
        <v>0</v>
      </c>
      <c r="H24" s="131"/>
      <c r="I24" s="131"/>
      <c r="J24" s="131"/>
      <c r="K24" s="131"/>
      <c r="L24" s="131"/>
      <c r="M24" s="131"/>
      <c r="N24" s="131"/>
      <c r="O24" s="131"/>
      <c r="P24" s="131"/>
      <c r="Q24" s="131"/>
      <c r="R24" s="131"/>
      <c r="S24" s="131"/>
      <c r="T24" s="131"/>
      <c r="U24" s="131"/>
      <c r="V24" s="131"/>
      <c r="W24" s="131"/>
      <c r="X24" s="131"/>
      <c r="Y24" s="131"/>
      <c r="Z24" s="131"/>
    </row>
    <row r="25" spans="1:26" ht="15.75" customHeight="1">
      <c r="A25" s="258"/>
      <c r="B25" s="153"/>
      <c r="C25" s="153"/>
      <c r="D25" s="237">
        <f t="shared" si="1"/>
        <v>0</v>
      </c>
      <c r="E25" s="153"/>
      <c r="F25" s="153"/>
      <c r="G25" s="237">
        <f t="shared" si="2"/>
        <v>0</v>
      </c>
      <c r="H25" s="131"/>
      <c r="I25" s="131"/>
      <c r="J25" s="131"/>
      <c r="K25" s="131"/>
      <c r="L25" s="131"/>
      <c r="M25" s="131"/>
      <c r="N25" s="131"/>
      <c r="O25" s="131"/>
      <c r="P25" s="131"/>
      <c r="Q25" s="131"/>
      <c r="R25" s="131"/>
      <c r="S25" s="131"/>
      <c r="T25" s="131"/>
      <c r="U25" s="131"/>
      <c r="V25" s="131"/>
      <c r="W25" s="131"/>
      <c r="X25" s="131"/>
      <c r="Y25" s="131"/>
      <c r="Z25" s="131"/>
    </row>
    <row r="26" spans="1:26" ht="15.75" customHeight="1">
      <c r="A26" s="258"/>
      <c r="B26" s="153"/>
      <c r="C26" s="153"/>
      <c r="D26" s="237">
        <f t="shared" si="1"/>
        <v>0</v>
      </c>
      <c r="E26" s="153"/>
      <c r="F26" s="153"/>
      <c r="G26" s="237">
        <f t="shared" si="2"/>
        <v>0</v>
      </c>
      <c r="H26" s="131"/>
      <c r="I26" s="131"/>
      <c r="J26" s="131"/>
      <c r="K26" s="131"/>
      <c r="L26" s="131"/>
      <c r="M26" s="131"/>
      <c r="N26" s="131"/>
      <c r="O26" s="131"/>
      <c r="P26" s="131"/>
      <c r="Q26" s="131"/>
      <c r="R26" s="131"/>
      <c r="S26" s="131"/>
      <c r="T26" s="131"/>
      <c r="U26" s="131"/>
      <c r="V26" s="131"/>
      <c r="W26" s="131"/>
      <c r="X26" s="131"/>
      <c r="Y26" s="131"/>
      <c r="Z26" s="131"/>
    </row>
    <row r="27" spans="1:26" ht="15.75" customHeight="1">
      <c r="A27" s="258"/>
      <c r="B27" s="153"/>
      <c r="C27" s="153"/>
      <c r="D27" s="237">
        <f t="shared" si="1"/>
        <v>0</v>
      </c>
      <c r="E27" s="153"/>
      <c r="F27" s="153"/>
      <c r="G27" s="237">
        <f t="shared" si="2"/>
        <v>0</v>
      </c>
      <c r="H27" s="131"/>
      <c r="I27" s="131"/>
      <c r="J27" s="131"/>
      <c r="K27" s="131"/>
      <c r="L27" s="131"/>
      <c r="M27" s="131"/>
      <c r="N27" s="131"/>
      <c r="O27" s="131"/>
      <c r="P27" s="131"/>
      <c r="Q27" s="131"/>
      <c r="R27" s="131"/>
      <c r="S27" s="131"/>
      <c r="T27" s="131"/>
      <c r="U27" s="131"/>
      <c r="V27" s="131"/>
      <c r="W27" s="131"/>
      <c r="X27" s="131"/>
      <c r="Y27" s="131"/>
      <c r="Z27" s="131"/>
    </row>
    <row r="28" spans="1:26" ht="15.75" customHeight="1">
      <c r="A28" s="258"/>
      <c r="B28" s="153"/>
      <c r="C28" s="153"/>
      <c r="D28" s="237">
        <f t="shared" si="1"/>
        <v>0</v>
      </c>
      <c r="E28" s="153"/>
      <c r="F28" s="153"/>
      <c r="G28" s="237">
        <f t="shared" si="2"/>
        <v>0</v>
      </c>
      <c r="H28" s="131"/>
      <c r="I28" s="131"/>
      <c r="J28" s="131"/>
      <c r="K28" s="131"/>
      <c r="L28" s="131"/>
      <c r="M28" s="131"/>
      <c r="N28" s="131"/>
      <c r="O28" s="131"/>
      <c r="P28" s="131"/>
      <c r="Q28" s="131"/>
      <c r="R28" s="131"/>
      <c r="S28" s="131"/>
      <c r="T28" s="131"/>
      <c r="U28" s="131"/>
      <c r="V28" s="131"/>
      <c r="W28" s="131"/>
      <c r="X28" s="131"/>
      <c r="Y28" s="131"/>
      <c r="Z28" s="131"/>
    </row>
    <row r="29" spans="1:26" ht="15.75" customHeight="1">
      <c r="A29" s="258"/>
      <c r="B29" s="153"/>
      <c r="C29" s="153"/>
      <c r="D29" s="237">
        <f t="shared" si="1"/>
        <v>0</v>
      </c>
      <c r="E29" s="153"/>
      <c r="F29" s="153"/>
      <c r="G29" s="237">
        <f t="shared" si="2"/>
        <v>0</v>
      </c>
      <c r="H29" s="131"/>
      <c r="I29" s="131"/>
      <c r="J29" s="131"/>
      <c r="K29" s="131"/>
      <c r="L29" s="131"/>
      <c r="M29" s="131"/>
      <c r="N29" s="131"/>
      <c r="O29" s="131"/>
      <c r="P29" s="131"/>
      <c r="Q29" s="131"/>
      <c r="R29" s="131"/>
      <c r="S29" s="131"/>
      <c r="T29" s="131"/>
      <c r="U29" s="131"/>
      <c r="V29" s="131"/>
      <c r="W29" s="131"/>
      <c r="X29" s="131"/>
      <c r="Y29" s="131"/>
      <c r="Z29" s="131"/>
    </row>
    <row r="30" spans="1:26" ht="15.75" customHeight="1">
      <c r="A30" s="258"/>
      <c r="B30" s="153"/>
      <c r="C30" s="153"/>
      <c r="D30" s="237">
        <f t="shared" si="1"/>
        <v>0</v>
      </c>
      <c r="E30" s="153"/>
      <c r="F30" s="153"/>
      <c r="G30" s="237">
        <f t="shared" si="2"/>
        <v>0</v>
      </c>
      <c r="H30" s="131"/>
      <c r="I30" s="131"/>
      <c r="J30" s="131"/>
      <c r="K30" s="131"/>
      <c r="L30" s="131"/>
      <c r="M30" s="131"/>
      <c r="N30" s="131"/>
      <c r="O30" s="131"/>
      <c r="P30" s="131"/>
      <c r="Q30" s="131"/>
      <c r="R30" s="131"/>
      <c r="S30" s="131"/>
      <c r="T30" s="131"/>
      <c r="U30" s="131"/>
      <c r="V30" s="131"/>
      <c r="W30" s="131"/>
      <c r="X30" s="131"/>
      <c r="Y30" s="131"/>
      <c r="Z30" s="131"/>
    </row>
    <row r="31" spans="1:26" ht="15.75" customHeight="1">
      <c r="A31" s="258"/>
      <c r="B31" s="153"/>
      <c r="C31" s="153"/>
      <c r="D31" s="237">
        <f t="shared" si="1"/>
        <v>0</v>
      </c>
      <c r="E31" s="153"/>
      <c r="F31" s="153"/>
      <c r="G31" s="237">
        <f t="shared" si="2"/>
        <v>0</v>
      </c>
      <c r="H31" s="131"/>
      <c r="I31" s="131"/>
      <c r="J31" s="131"/>
      <c r="K31" s="131"/>
      <c r="L31" s="131"/>
      <c r="M31" s="131"/>
      <c r="N31" s="131"/>
      <c r="O31" s="131"/>
      <c r="P31" s="131"/>
      <c r="Q31" s="131"/>
      <c r="R31" s="131"/>
      <c r="S31" s="131"/>
      <c r="T31" s="131"/>
      <c r="U31" s="131"/>
      <c r="V31" s="131"/>
      <c r="W31" s="131"/>
      <c r="X31" s="131"/>
      <c r="Y31" s="131"/>
      <c r="Z31" s="131"/>
    </row>
    <row r="32" spans="1:26" ht="15.75" customHeight="1">
      <c r="A32" s="258"/>
      <c r="B32" s="153"/>
      <c r="C32" s="153"/>
      <c r="D32" s="237">
        <f t="shared" si="1"/>
        <v>0</v>
      </c>
      <c r="E32" s="153"/>
      <c r="F32" s="153"/>
      <c r="G32" s="237">
        <f t="shared" si="2"/>
        <v>0</v>
      </c>
      <c r="H32" s="131"/>
      <c r="I32" s="131"/>
      <c r="J32" s="131"/>
      <c r="K32" s="131"/>
      <c r="L32" s="131"/>
      <c r="M32" s="131"/>
      <c r="N32" s="131"/>
      <c r="O32" s="131"/>
      <c r="P32" s="131"/>
      <c r="Q32" s="131"/>
      <c r="R32" s="131"/>
      <c r="S32" s="131"/>
      <c r="T32" s="131"/>
      <c r="U32" s="131"/>
      <c r="V32" s="131"/>
      <c r="W32" s="131"/>
      <c r="X32" s="131"/>
      <c r="Y32" s="131"/>
      <c r="Z32" s="131"/>
    </row>
    <row r="33" spans="1:26" ht="15.75" customHeight="1">
      <c r="A33" s="258"/>
      <c r="B33" s="153"/>
      <c r="C33" s="153"/>
      <c r="D33" s="237">
        <f t="shared" si="1"/>
        <v>0</v>
      </c>
      <c r="E33" s="153"/>
      <c r="F33" s="153"/>
      <c r="G33" s="237">
        <f t="shared" si="2"/>
        <v>0</v>
      </c>
      <c r="H33" s="131"/>
      <c r="I33" s="131"/>
      <c r="J33" s="131"/>
      <c r="K33" s="131"/>
      <c r="L33" s="131"/>
      <c r="M33" s="131"/>
      <c r="N33" s="131"/>
      <c r="O33" s="131"/>
      <c r="P33" s="131"/>
      <c r="Q33" s="131"/>
      <c r="R33" s="131"/>
      <c r="S33" s="131"/>
      <c r="T33" s="131"/>
      <c r="U33" s="131"/>
      <c r="V33" s="131"/>
      <c r="W33" s="131"/>
      <c r="X33" s="131"/>
      <c r="Y33" s="131"/>
      <c r="Z33" s="131"/>
    </row>
    <row r="34" spans="1:26" ht="15.75" customHeight="1">
      <c r="A34" s="259"/>
      <c r="B34" s="260"/>
      <c r="C34" s="260"/>
      <c r="D34" s="260"/>
      <c r="E34" s="260"/>
      <c r="F34" s="260"/>
      <c r="G34" s="260"/>
      <c r="H34" s="131"/>
      <c r="I34" s="131"/>
      <c r="J34" s="131"/>
      <c r="K34" s="131"/>
      <c r="L34" s="131"/>
      <c r="M34" s="131"/>
      <c r="N34" s="131"/>
      <c r="O34" s="131"/>
      <c r="P34" s="131"/>
      <c r="Q34" s="131"/>
      <c r="R34" s="131"/>
      <c r="S34" s="131"/>
      <c r="T34" s="131"/>
      <c r="U34" s="131"/>
      <c r="V34" s="131"/>
      <c r="W34" s="131"/>
      <c r="X34" s="131"/>
      <c r="Y34" s="131"/>
      <c r="Z34" s="131"/>
    </row>
    <row r="35" spans="1:26" ht="15.75" customHeight="1">
      <c r="A35" s="261" t="s">
        <v>6276</v>
      </c>
      <c r="B35" s="262">
        <f t="shared" ref="B35:G35" si="3">SUM(B36:B60)</f>
        <v>0</v>
      </c>
      <c r="C35" s="262">
        <f t="shared" si="3"/>
        <v>0</v>
      </c>
      <c r="D35" s="262">
        <f t="shared" si="3"/>
        <v>0</v>
      </c>
      <c r="E35" s="262">
        <f t="shared" si="3"/>
        <v>0</v>
      </c>
      <c r="F35" s="262">
        <f t="shared" si="3"/>
        <v>0</v>
      </c>
      <c r="G35" s="262">
        <f t="shared" si="3"/>
        <v>0</v>
      </c>
      <c r="H35" s="131"/>
      <c r="I35" s="131"/>
      <c r="J35" s="131"/>
      <c r="K35" s="131"/>
      <c r="L35" s="131"/>
      <c r="M35" s="131"/>
      <c r="N35" s="131"/>
      <c r="O35" s="131"/>
      <c r="P35" s="131"/>
      <c r="Q35" s="131"/>
      <c r="R35" s="131"/>
      <c r="S35" s="131"/>
      <c r="T35" s="131"/>
      <c r="U35" s="131"/>
      <c r="V35" s="131"/>
      <c r="W35" s="131"/>
      <c r="X35" s="131"/>
      <c r="Y35" s="131"/>
      <c r="Z35" s="131"/>
    </row>
    <row r="36" spans="1:26" ht="15.75" customHeight="1">
      <c r="A36" s="258"/>
      <c r="B36" s="153"/>
      <c r="C36" s="153"/>
      <c r="D36" s="237">
        <f t="shared" ref="D36:D60" si="4">B36+C36</f>
        <v>0</v>
      </c>
      <c r="E36" s="153"/>
      <c r="F36" s="153"/>
      <c r="G36" s="237">
        <f t="shared" ref="G36:G60" si="5">D36-E36</f>
        <v>0</v>
      </c>
      <c r="H36" s="131"/>
      <c r="I36" s="131"/>
      <c r="J36" s="131"/>
      <c r="K36" s="131"/>
      <c r="L36" s="131"/>
      <c r="M36" s="131"/>
      <c r="N36" s="131"/>
      <c r="O36" s="131"/>
      <c r="P36" s="131"/>
      <c r="Q36" s="131"/>
      <c r="R36" s="131"/>
      <c r="S36" s="131"/>
      <c r="T36" s="131"/>
      <c r="U36" s="131"/>
      <c r="V36" s="131"/>
      <c r="W36" s="131"/>
      <c r="X36" s="131"/>
      <c r="Y36" s="131"/>
      <c r="Z36" s="131"/>
    </row>
    <row r="37" spans="1:26" ht="15.75" customHeight="1">
      <c r="A37" s="258"/>
      <c r="B37" s="153"/>
      <c r="C37" s="153"/>
      <c r="D37" s="237">
        <f t="shared" si="4"/>
        <v>0</v>
      </c>
      <c r="E37" s="153"/>
      <c r="F37" s="153"/>
      <c r="G37" s="237">
        <f t="shared" si="5"/>
        <v>0</v>
      </c>
      <c r="H37" s="131"/>
      <c r="I37" s="131"/>
      <c r="J37" s="131"/>
      <c r="K37" s="131"/>
      <c r="L37" s="131"/>
      <c r="M37" s="131"/>
      <c r="N37" s="131"/>
      <c r="O37" s="131"/>
      <c r="P37" s="131"/>
      <c r="Q37" s="131"/>
      <c r="R37" s="131"/>
      <c r="S37" s="131"/>
      <c r="T37" s="131"/>
      <c r="U37" s="131"/>
      <c r="V37" s="131"/>
      <c r="W37" s="131"/>
      <c r="X37" s="131"/>
      <c r="Y37" s="131"/>
      <c r="Z37" s="131"/>
    </row>
    <row r="38" spans="1:26" ht="15.75" customHeight="1">
      <c r="A38" s="258"/>
      <c r="B38" s="153"/>
      <c r="C38" s="153"/>
      <c r="D38" s="237">
        <f t="shared" si="4"/>
        <v>0</v>
      </c>
      <c r="E38" s="153"/>
      <c r="F38" s="153"/>
      <c r="G38" s="237">
        <f t="shared" si="5"/>
        <v>0</v>
      </c>
      <c r="H38" s="131"/>
      <c r="I38" s="131"/>
      <c r="J38" s="131"/>
      <c r="K38" s="131"/>
      <c r="L38" s="131"/>
      <c r="M38" s="131"/>
      <c r="N38" s="131"/>
      <c r="O38" s="131"/>
      <c r="P38" s="131"/>
      <c r="Q38" s="131"/>
      <c r="R38" s="131"/>
      <c r="S38" s="131"/>
      <c r="T38" s="131"/>
      <c r="U38" s="131"/>
      <c r="V38" s="131"/>
      <c r="W38" s="131"/>
      <c r="X38" s="131"/>
      <c r="Y38" s="131"/>
      <c r="Z38" s="131"/>
    </row>
    <row r="39" spans="1:26" ht="15.75" customHeight="1">
      <c r="A39" s="258"/>
      <c r="B39" s="153"/>
      <c r="C39" s="153"/>
      <c r="D39" s="237">
        <f t="shared" si="4"/>
        <v>0</v>
      </c>
      <c r="E39" s="153"/>
      <c r="F39" s="153"/>
      <c r="G39" s="237">
        <f t="shared" si="5"/>
        <v>0</v>
      </c>
      <c r="H39" s="131"/>
      <c r="I39" s="131"/>
      <c r="J39" s="131"/>
      <c r="K39" s="131"/>
      <c r="L39" s="131"/>
      <c r="M39" s="131"/>
      <c r="N39" s="131"/>
      <c r="O39" s="131"/>
      <c r="P39" s="131"/>
      <c r="Q39" s="131"/>
      <c r="R39" s="131"/>
      <c r="S39" s="131"/>
      <c r="T39" s="131"/>
      <c r="U39" s="131"/>
      <c r="V39" s="131"/>
      <c r="W39" s="131"/>
      <c r="X39" s="131"/>
      <c r="Y39" s="131"/>
      <c r="Z39" s="131"/>
    </row>
    <row r="40" spans="1:26" ht="15.75" customHeight="1">
      <c r="A40" s="258"/>
      <c r="B40" s="153"/>
      <c r="C40" s="153"/>
      <c r="D40" s="237">
        <f t="shared" si="4"/>
        <v>0</v>
      </c>
      <c r="E40" s="153"/>
      <c r="F40" s="153"/>
      <c r="G40" s="237">
        <f t="shared" si="5"/>
        <v>0</v>
      </c>
      <c r="H40" s="131"/>
      <c r="I40" s="131"/>
      <c r="J40" s="131"/>
      <c r="K40" s="131"/>
      <c r="L40" s="131"/>
      <c r="M40" s="131"/>
      <c r="N40" s="131"/>
      <c r="O40" s="131"/>
      <c r="P40" s="131"/>
      <c r="Q40" s="131"/>
      <c r="R40" s="131"/>
      <c r="S40" s="131"/>
      <c r="T40" s="131"/>
      <c r="U40" s="131"/>
      <c r="V40" s="131"/>
      <c r="W40" s="131"/>
      <c r="X40" s="131"/>
      <c r="Y40" s="131"/>
      <c r="Z40" s="131"/>
    </row>
    <row r="41" spans="1:26" ht="15.75" customHeight="1">
      <c r="A41" s="258"/>
      <c r="B41" s="153"/>
      <c r="C41" s="153"/>
      <c r="D41" s="237">
        <f t="shared" si="4"/>
        <v>0</v>
      </c>
      <c r="E41" s="153"/>
      <c r="F41" s="153"/>
      <c r="G41" s="237">
        <f t="shared" si="5"/>
        <v>0</v>
      </c>
      <c r="H41" s="131"/>
      <c r="I41" s="131"/>
      <c r="J41" s="131"/>
      <c r="K41" s="131"/>
      <c r="L41" s="131"/>
      <c r="M41" s="131"/>
      <c r="N41" s="131"/>
      <c r="O41" s="131"/>
      <c r="P41" s="131"/>
      <c r="Q41" s="131"/>
      <c r="R41" s="131"/>
      <c r="S41" s="131"/>
      <c r="T41" s="131"/>
      <c r="U41" s="131"/>
      <c r="V41" s="131"/>
      <c r="W41" s="131"/>
      <c r="X41" s="131"/>
      <c r="Y41" s="131"/>
      <c r="Z41" s="131"/>
    </row>
    <row r="42" spans="1:26" ht="15.75" customHeight="1">
      <c r="A42" s="258"/>
      <c r="B42" s="153"/>
      <c r="C42" s="153"/>
      <c r="D42" s="237">
        <f t="shared" si="4"/>
        <v>0</v>
      </c>
      <c r="E42" s="153"/>
      <c r="F42" s="153"/>
      <c r="G42" s="237">
        <f t="shared" si="5"/>
        <v>0</v>
      </c>
      <c r="H42" s="131"/>
      <c r="I42" s="131"/>
      <c r="J42" s="131"/>
      <c r="K42" s="131"/>
      <c r="L42" s="131"/>
      <c r="M42" s="131"/>
      <c r="N42" s="131"/>
      <c r="O42" s="131"/>
      <c r="P42" s="131"/>
      <c r="Q42" s="131"/>
      <c r="R42" s="131"/>
      <c r="S42" s="131"/>
      <c r="T42" s="131"/>
      <c r="U42" s="131"/>
      <c r="V42" s="131"/>
      <c r="W42" s="131"/>
      <c r="X42" s="131"/>
      <c r="Y42" s="131"/>
      <c r="Z42" s="131"/>
    </row>
    <row r="43" spans="1:26" ht="15.75" customHeight="1">
      <c r="A43" s="258"/>
      <c r="B43" s="153"/>
      <c r="C43" s="153"/>
      <c r="D43" s="237">
        <f t="shared" si="4"/>
        <v>0</v>
      </c>
      <c r="E43" s="153"/>
      <c r="F43" s="153"/>
      <c r="G43" s="237">
        <f t="shared" si="5"/>
        <v>0</v>
      </c>
      <c r="H43" s="131"/>
      <c r="I43" s="131"/>
      <c r="J43" s="131"/>
      <c r="K43" s="131"/>
      <c r="L43" s="131"/>
      <c r="M43" s="131"/>
      <c r="N43" s="131"/>
      <c r="O43" s="131"/>
      <c r="P43" s="131"/>
      <c r="Q43" s="131"/>
      <c r="R43" s="131"/>
      <c r="S43" s="131"/>
      <c r="T43" s="131"/>
      <c r="U43" s="131"/>
      <c r="V43" s="131"/>
      <c r="W43" s="131"/>
      <c r="X43" s="131"/>
      <c r="Y43" s="131"/>
      <c r="Z43" s="131"/>
    </row>
    <row r="44" spans="1:26" ht="15.75" customHeight="1">
      <c r="A44" s="258"/>
      <c r="B44" s="153"/>
      <c r="C44" s="153"/>
      <c r="D44" s="237">
        <f t="shared" si="4"/>
        <v>0</v>
      </c>
      <c r="E44" s="153"/>
      <c r="F44" s="153"/>
      <c r="G44" s="237">
        <f t="shared" si="5"/>
        <v>0</v>
      </c>
      <c r="H44" s="131"/>
      <c r="I44" s="131"/>
      <c r="J44" s="131"/>
      <c r="K44" s="131"/>
      <c r="L44" s="131"/>
      <c r="M44" s="131"/>
      <c r="N44" s="131"/>
      <c r="O44" s="131"/>
      <c r="P44" s="131"/>
      <c r="Q44" s="131"/>
      <c r="R44" s="131"/>
      <c r="S44" s="131"/>
      <c r="T44" s="131"/>
      <c r="U44" s="131"/>
      <c r="V44" s="131"/>
      <c r="W44" s="131"/>
      <c r="X44" s="131"/>
      <c r="Y44" s="131"/>
      <c r="Z44" s="131"/>
    </row>
    <row r="45" spans="1:26" ht="15.75" customHeight="1">
      <c r="A45" s="258"/>
      <c r="B45" s="153"/>
      <c r="C45" s="153"/>
      <c r="D45" s="237">
        <f t="shared" si="4"/>
        <v>0</v>
      </c>
      <c r="E45" s="153"/>
      <c r="F45" s="153"/>
      <c r="G45" s="237">
        <f t="shared" si="5"/>
        <v>0</v>
      </c>
      <c r="H45" s="131"/>
      <c r="I45" s="131"/>
      <c r="J45" s="131"/>
      <c r="K45" s="131"/>
      <c r="L45" s="131"/>
      <c r="M45" s="131"/>
      <c r="N45" s="131"/>
      <c r="O45" s="131"/>
      <c r="P45" s="131"/>
      <c r="Q45" s="131"/>
      <c r="R45" s="131"/>
      <c r="S45" s="131"/>
      <c r="T45" s="131"/>
      <c r="U45" s="131"/>
      <c r="V45" s="131"/>
      <c r="W45" s="131"/>
      <c r="X45" s="131"/>
      <c r="Y45" s="131"/>
      <c r="Z45" s="131"/>
    </row>
    <row r="46" spans="1:26" ht="15.75" customHeight="1">
      <c r="A46" s="258"/>
      <c r="B46" s="153"/>
      <c r="C46" s="153"/>
      <c r="D46" s="237">
        <f t="shared" si="4"/>
        <v>0</v>
      </c>
      <c r="E46" s="153"/>
      <c r="F46" s="153"/>
      <c r="G46" s="237">
        <f t="shared" si="5"/>
        <v>0</v>
      </c>
      <c r="H46" s="131"/>
      <c r="I46" s="131"/>
      <c r="J46" s="131"/>
      <c r="K46" s="131"/>
      <c r="L46" s="131"/>
      <c r="M46" s="131"/>
      <c r="N46" s="131"/>
      <c r="O46" s="131"/>
      <c r="P46" s="131"/>
      <c r="Q46" s="131"/>
      <c r="R46" s="131"/>
      <c r="S46" s="131"/>
      <c r="T46" s="131"/>
      <c r="U46" s="131"/>
      <c r="V46" s="131"/>
      <c r="W46" s="131"/>
      <c r="X46" s="131"/>
      <c r="Y46" s="131"/>
      <c r="Z46" s="131"/>
    </row>
    <row r="47" spans="1:26" ht="15.75" customHeight="1">
      <c r="A47" s="258"/>
      <c r="B47" s="153"/>
      <c r="C47" s="153"/>
      <c r="D47" s="237">
        <f t="shared" si="4"/>
        <v>0</v>
      </c>
      <c r="E47" s="153"/>
      <c r="F47" s="153"/>
      <c r="G47" s="237">
        <f t="shared" si="5"/>
        <v>0</v>
      </c>
      <c r="H47" s="131"/>
      <c r="I47" s="131"/>
      <c r="J47" s="131"/>
      <c r="K47" s="131"/>
      <c r="L47" s="131"/>
      <c r="M47" s="131"/>
      <c r="N47" s="131"/>
      <c r="O47" s="131"/>
      <c r="P47" s="131"/>
      <c r="Q47" s="131"/>
      <c r="R47" s="131"/>
      <c r="S47" s="131"/>
      <c r="T47" s="131"/>
      <c r="U47" s="131"/>
      <c r="V47" s="131"/>
      <c r="W47" s="131"/>
      <c r="X47" s="131"/>
      <c r="Y47" s="131"/>
      <c r="Z47" s="131"/>
    </row>
    <row r="48" spans="1:26" ht="15.75" customHeight="1">
      <c r="A48" s="258"/>
      <c r="B48" s="153"/>
      <c r="C48" s="153"/>
      <c r="D48" s="237">
        <f t="shared" si="4"/>
        <v>0</v>
      </c>
      <c r="E48" s="153"/>
      <c r="F48" s="153"/>
      <c r="G48" s="237">
        <f t="shared" si="5"/>
        <v>0</v>
      </c>
      <c r="H48" s="131"/>
      <c r="I48" s="131"/>
      <c r="J48" s="131"/>
      <c r="K48" s="131"/>
      <c r="L48" s="131"/>
      <c r="M48" s="131"/>
      <c r="N48" s="131"/>
      <c r="O48" s="131"/>
      <c r="P48" s="131"/>
      <c r="Q48" s="131"/>
      <c r="R48" s="131"/>
      <c r="S48" s="131"/>
      <c r="T48" s="131"/>
      <c r="U48" s="131"/>
      <c r="V48" s="131"/>
      <c r="W48" s="131"/>
      <c r="X48" s="131"/>
      <c r="Y48" s="131"/>
      <c r="Z48" s="131"/>
    </row>
    <row r="49" spans="1:26" ht="15.75" customHeight="1">
      <c r="A49" s="258"/>
      <c r="B49" s="153"/>
      <c r="C49" s="153"/>
      <c r="D49" s="237">
        <f t="shared" si="4"/>
        <v>0</v>
      </c>
      <c r="E49" s="153"/>
      <c r="F49" s="153"/>
      <c r="G49" s="237">
        <f t="shared" si="5"/>
        <v>0</v>
      </c>
      <c r="H49" s="131"/>
      <c r="I49" s="131"/>
      <c r="J49" s="131"/>
      <c r="K49" s="131"/>
      <c r="L49" s="131"/>
      <c r="M49" s="131"/>
      <c r="N49" s="131"/>
      <c r="O49" s="131"/>
      <c r="P49" s="131"/>
      <c r="Q49" s="131"/>
      <c r="R49" s="131"/>
      <c r="S49" s="131"/>
      <c r="T49" s="131"/>
      <c r="U49" s="131"/>
      <c r="V49" s="131"/>
      <c r="W49" s="131"/>
      <c r="X49" s="131"/>
      <c r="Y49" s="131"/>
      <c r="Z49" s="131"/>
    </row>
    <row r="50" spans="1:26" ht="15.75" customHeight="1">
      <c r="A50" s="258"/>
      <c r="B50" s="153"/>
      <c r="C50" s="153"/>
      <c r="D50" s="237">
        <f t="shared" si="4"/>
        <v>0</v>
      </c>
      <c r="E50" s="153"/>
      <c r="F50" s="153"/>
      <c r="G50" s="237">
        <f t="shared" si="5"/>
        <v>0</v>
      </c>
      <c r="H50" s="131"/>
      <c r="I50" s="131"/>
      <c r="J50" s="131"/>
      <c r="K50" s="131"/>
      <c r="L50" s="131"/>
      <c r="M50" s="131"/>
      <c r="N50" s="131"/>
      <c r="O50" s="131"/>
      <c r="P50" s="131"/>
      <c r="Q50" s="131"/>
      <c r="R50" s="131"/>
      <c r="S50" s="131"/>
      <c r="T50" s="131"/>
      <c r="U50" s="131"/>
      <c r="V50" s="131"/>
      <c r="W50" s="131"/>
      <c r="X50" s="131"/>
      <c r="Y50" s="131"/>
      <c r="Z50" s="131"/>
    </row>
    <row r="51" spans="1:26" ht="15.75" customHeight="1">
      <c r="A51" s="258"/>
      <c r="B51" s="153"/>
      <c r="C51" s="153"/>
      <c r="D51" s="237">
        <f t="shared" si="4"/>
        <v>0</v>
      </c>
      <c r="E51" s="153"/>
      <c r="F51" s="153"/>
      <c r="G51" s="237">
        <f t="shared" si="5"/>
        <v>0</v>
      </c>
      <c r="H51" s="131"/>
      <c r="I51" s="131"/>
      <c r="J51" s="131"/>
      <c r="K51" s="131"/>
      <c r="L51" s="131"/>
      <c r="M51" s="131"/>
      <c r="N51" s="131"/>
      <c r="O51" s="131"/>
      <c r="P51" s="131"/>
      <c r="Q51" s="131"/>
      <c r="R51" s="131"/>
      <c r="S51" s="131"/>
      <c r="T51" s="131"/>
      <c r="U51" s="131"/>
      <c r="V51" s="131"/>
      <c r="W51" s="131"/>
      <c r="X51" s="131"/>
      <c r="Y51" s="131"/>
      <c r="Z51" s="131"/>
    </row>
    <row r="52" spans="1:26" ht="15.75" customHeight="1">
      <c r="A52" s="258"/>
      <c r="B52" s="153"/>
      <c r="C52" s="153"/>
      <c r="D52" s="237">
        <f t="shared" si="4"/>
        <v>0</v>
      </c>
      <c r="E52" s="153"/>
      <c r="F52" s="153"/>
      <c r="G52" s="237">
        <f t="shared" si="5"/>
        <v>0</v>
      </c>
      <c r="H52" s="131"/>
      <c r="I52" s="131"/>
      <c r="J52" s="131"/>
      <c r="K52" s="131"/>
      <c r="L52" s="131"/>
      <c r="M52" s="131"/>
      <c r="N52" s="131"/>
      <c r="O52" s="131"/>
      <c r="P52" s="131"/>
      <c r="Q52" s="131"/>
      <c r="R52" s="131"/>
      <c r="S52" s="131"/>
      <c r="T52" s="131"/>
      <c r="U52" s="131"/>
      <c r="V52" s="131"/>
      <c r="W52" s="131"/>
      <c r="X52" s="131"/>
      <c r="Y52" s="131"/>
      <c r="Z52" s="131"/>
    </row>
    <row r="53" spans="1:26" ht="15.75" customHeight="1">
      <c r="A53" s="258"/>
      <c r="B53" s="153"/>
      <c r="C53" s="153"/>
      <c r="D53" s="237">
        <f t="shared" si="4"/>
        <v>0</v>
      </c>
      <c r="E53" s="153"/>
      <c r="F53" s="153"/>
      <c r="G53" s="237">
        <f t="shared" si="5"/>
        <v>0</v>
      </c>
      <c r="H53" s="131"/>
      <c r="I53" s="131"/>
      <c r="J53" s="131"/>
      <c r="K53" s="131"/>
      <c r="L53" s="131"/>
      <c r="M53" s="131"/>
      <c r="N53" s="131"/>
      <c r="O53" s="131"/>
      <c r="P53" s="131"/>
      <c r="Q53" s="131"/>
      <c r="R53" s="131"/>
      <c r="S53" s="131"/>
      <c r="T53" s="131"/>
      <c r="U53" s="131"/>
      <c r="V53" s="131"/>
      <c r="W53" s="131"/>
      <c r="X53" s="131"/>
      <c r="Y53" s="131"/>
      <c r="Z53" s="131"/>
    </row>
    <row r="54" spans="1:26" ht="15.75" customHeight="1">
      <c r="A54" s="258"/>
      <c r="B54" s="153"/>
      <c r="C54" s="153"/>
      <c r="D54" s="237">
        <f t="shared" si="4"/>
        <v>0</v>
      </c>
      <c r="E54" s="153"/>
      <c r="F54" s="153"/>
      <c r="G54" s="237">
        <f t="shared" si="5"/>
        <v>0</v>
      </c>
      <c r="H54" s="131"/>
      <c r="I54" s="131"/>
      <c r="J54" s="131"/>
      <c r="K54" s="131"/>
      <c r="L54" s="131"/>
      <c r="M54" s="131"/>
      <c r="N54" s="131"/>
      <c r="O54" s="131"/>
      <c r="P54" s="131"/>
      <c r="Q54" s="131"/>
      <c r="R54" s="131"/>
      <c r="S54" s="131"/>
      <c r="T54" s="131"/>
      <c r="U54" s="131"/>
      <c r="V54" s="131"/>
      <c r="W54" s="131"/>
      <c r="X54" s="131"/>
      <c r="Y54" s="131"/>
      <c r="Z54" s="131"/>
    </row>
    <row r="55" spans="1:26" ht="15.75" customHeight="1">
      <c r="A55" s="258"/>
      <c r="B55" s="153"/>
      <c r="C55" s="153"/>
      <c r="D55" s="237">
        <f t="shared" si="4"/>
        <v>0</v>
      </c>
      <c r="E55" s="153"/>
      <c r="F55" s="153"/>
      <c r="G55" s="237">
        <f t="shared" si="5"/>
        <v>0</v>
      </c>
      <c r="H55" s="131"/>
      <c r="I55" s="131"/>
      <c r="J55" s="131"/>
      <c r="K55" s="131"/>
      <c r="L55" s="131"/>
      <c r="M55" s="131"/>
      <c r="N55" s="131"/>
      <c r="O55" s="131"/>
      <c r="P55" s="131"/>
      <c r="Q55" s="131"/>
      <c r="R55" s="131"/>
      <c r="S55" s="131"/>
      <c r="T55" s="131"/>
      <c r="U55" s="131"/>
      <c r="V55" s="131"/>
      <c r="W55" s="131"/>
      <c r="X55" s="131"/>
      <c r="Y55" s="131"/>
      <c r="Z55" s="131"/>
    </row>
    <row r="56" spans="1:26" ht="15.75" customHeight="1">
      <c r="A56" s="258"/>
      <c r="B56" s="153"/>
      <c r="C56" s="153"/>
      <c r="D56" s="237">
        <f t="shared" si="4"/>
        <v>0</v>
      </c>
      <c r="E56" s="153"/>
      <c r="F56" s="153"/>
      <c r="G56" s="237">
        <f t="shared" si="5"/>
        <v>0</v>
      </c>
      <c r="H56" s="131"/>
      <c r="I56" s="131"/>
      <c r="J56" s="131"/>
      <c r="K56" s="131"/>
      <c r="L56" s="131"/>
      <c r="M56" s="131"/>
      <c r="N56" s="131"/>
      <c r="O56" s="131"/>
      <c r="P56" s="131"/>
      <c r="Q56" s="131"/>
      <c r="R56" s="131"/>
      <c r="S56" s="131"/>
      <c r="T56" s="131"/>
      <c r="U56" s="131"/>
      <c r="V56" s="131"/>
      <c r="W56" s="131"/>
      <c r="X56" s="131"/>
      <c r="Y56" s="131"/>
      <c r="Z56" s="131"/>
    </row>
    <row r="57" spans="1:26" ht="15.75" customHeight="1">
      <c r="A57" s="258"/>
      <c r="B57" s="153"/>
      <c r="C57" s="153"/>
      <c r="D57" s="237">
        <f t="shared" si="4"/>
        <v>0</v>
      </c>
      <c r="E57" s="153"/>
      <c r="F57" s="153"/>
      <c r="G57" s="237">
        <f t="shared" si="5"/>
        <v>0</v>
      </c>
      <c r="H57" s="131"/>
      <c r="I57" s="131"/>
      <c r="J57" s="131"/>
      <c r="K57" s="131"/>
      <c r="L57" s="131"/>
      <c r="M57" s="131"/>
      <c r="N57" s="131"/>
      <c r="O57" s="131"/>
      <c r="P57" s="131"/>
      <c r="Q57" s="131"/>
      <c r="R57" s="131"/>
      <c r="S57" s="131"/>
      <c r="T57" s="131"/>
      <c r="U57" s="131"/>
      <c r="V57" s="131"/>
      <c r="W57" s="131"/>
      <c r="X57" s="131"/>
      <c r="Y57" s="131"/>
      <c r="Z57" s="131"/>
    </row>
    <row r="58" spans="1:26" ht="15.75" customHeight="1">
      <c r="A58" s="258"/>
      <c r="B58" s="153"/>
      <c r="C58" s="153"/>
      <c r="D58" s="237">
        <f t="shared" si="4"/>
        <v>0</v>
      </c>
      <c r="E58" s="153"/>
      <c r="F58" s="153"/>
      <c r="G58" s="237">
        <f t="shared" si="5"/>
        <v>0</v>
      </c>
      <c r="H58" s="131"/>
      <c r="I58" s="131"/>
      <c r="J58" s="131"/>
      <c r="K58" s="131"/>
      <c r="L58" s="131"/>
      <c r="M58" s="131"/>
      <c r="N58" s="131"/>
      <c r="O58" s="131"/>
      <c r="P58" s="131"/>
      <c r="Q58" s="131"/>
      <c r="R58" s="131"/>
      <c r="S58" s="131"/>
      <c r="T58" s="131"/>
      <c r="U58" s="131"/>
      <c r="V58" s="131"/>
      <c r="W58" s="131"/>
      <c r="X58" s="131"/>
      <c r="Y58" s="131"/>
      <c r="Z58" s="131"/>
    </row>
    <row r="59" spans="1:26" ht="15.75" customHeight="1">
      <c r="A59" s="258"/>
      <c r="B59" s="153"/>
      <c r="C59" s="153"/>
      <c r="D59" s="237">
        <f t="shared" si="4"/>
        <v>0</v>
      </c>
      <c r="E59" s="153"/>
      <c r="F59" s="153"/>
      <c r="G59" s="237">
        <f t="shared" si="5"/>
        <v>0</v>
      </c>
      <c r="H59" s="131"/>
      <c r="I59" s="131"/>
      <c r="J59" s="131"/>
      <c r="K59" s="131"/>
      <c r="L59" s="131"/>
      <c r="M59" s="131"/>
      <c r="N59" s="131"/>
      <c r="O59" s="131"/>
      <c r="P59" s="131"/>
      <c r="Q59" s="131"/>
      <c r="R59" s="131"/>
      <c r="S59" s="131"/>
      <c r="T59" s="131"/>
      <c r="U59" s="131"/>
      <c r="V59" s="131"/>
      <c r="W59" s="131"/>
      <c r="X59" s="131"/>
      <c r="Y59" s="131"/>
      <c r="Z59" s="131"/>
    </row>
    <row r="60" spans="1:26" ht="15.75" customHeight="1">
      <c r="A60" s="258"/>
      <c r="B60" s="239"/>
      <c r="C60" s="239"/>
      <c r="D60" s="240">
        <f t="shared" si="4"/>
        <v>0</v>
      </c>
      <c r="E60" s="239"/>
      <c r="F60" s="239"/>
      <c r="G60" s="240">
        <f t="shared" si="5"/>
        <v>0</v>
      </c>
      <c r="H60" s="131"/>
      <c r="I60" s="131"/>
      <c r="J60" s="131"/>
      <c r="K60" s="131"/>
      <c r="L60" s="131"/>
      <c r="M60" s="131"/>
      <c r="N60" s="131"/>
      <c r="O60" s="131"/>
      <c r="P60" s="131"/>
      <c r="Q60" s="131"/>
      <c r="R60" s="131"/>
      <c r="S60" s="131"/>
      <c r="T60" s="131"/>
      <c r="U60" s="131"/>
      <c r="V60" s="131"/>
      <c r="W60" s="131"/>
      <c r="X60" s="131"/>
      <c r="Y60" s="131"/>
      <c r="Z60" s="131"/>
    </row>
    <row r="61" spans="1:26" ht="15.75" customHeight="1">
      <c r="A61" s="259"/>
      <c r="B61" s="263"/>
      <c r="C61" s="263"/>
      <c r="D61" s="263"/>
      <c r="E61" s="263"/>
      <c r="F61" s="263"/>
      <c r="G61" s="263"/>
      <c r="H61" s="131"/>
      <c r="I61" s="131"/>
      <c r="J61" s="131"/>
      <c r="K61" s="131"/>
      <c r="L61" s="131"/>
      <c r="M61" s="131"/>
      <c r="N61" s="131"/>
      <c r="O61" s="131"/>
      <c r="P61" s="131"/>
      <c r="Q61" s="131"/>
      <c r="R61" s="131"/>
      <c r="S61" s="131"/>
      <c r="T61" s="131"/>
      <c r="U61" s="131"/>
      <c r="V61" s="131"/>
      <c r="W61" s="131"/>
      <c r="X61" s="131"/>
      <c r="Y61" s="131"/>
      <c r="Z61" s="131"/>
    </row>
    <row r="62" spans="1:26" ht="15.75" customHeight="1">
      <c r="A62" s="264" t="s">
        <v>6277</v>
      </c>
      <c r="B62" s="263">
        <f t="shared" ref="B62:G62" si="6">B34+B61</f>
        <v>0</v>
      </c>
      <c r="C62" s="263">
        <f t="shared" si="6"/>
        <v>0</v>
      </c>
      <c r="D62" s="263">
        <f t="shared" si="6"/>
        <v>0</v>
      </c>
      <c r="E62" s="263">
        <f t="shared" si="6"/>
        <v>0</v>
      </c>
      <c r="F62" s="263">
        <f t="shared" si="6"/>
        <v>0</v>
      </c>
      <c r="G62" s="263">
        <f t="shared" si="6"/>
        <v>0</v>
      </c>
      <c r="H62" s="131"/>
      <c r="I62" s="131"/>
      <c r="J62" s="131"/>
      <c r="K62" s="131"/>
      <c r="L62" s="131"/>
      <c r="M62" s="131"/>
      <c r="N62" s="131"/>
      <c r="O62" s="131"/>
      <c r="P62" s="131"/>
      <c r="Q62" s="131"/>
      <c r="R62" s="131"/>
      <c r="S62" s="131"/>
      <c r="T62" s="131"/>
      <c r="U62" s="131"/>
      <c r="V62" s="131"/>
      <c r="W62" s="131"/>
      <c r="X62" s="131"/>
      <c r="Y62" s="131"/>
      <c r="Z62" s="131"/>
    </row>
    <row r="63" spans="1:26" ht="15.75" customHeight="1">
      <c r="A63" s="249"/>
      <c r="B63" s="249"/>
      <c r="C63" s="249"/>
      <c r="D63" s="249"/>
      <c r="E63" s="249"/>
      <c r="F63" s="249"/>
      <c r="G63" s="249"/>
      <c r="H63" s="131"/>
      <c r="I63" s="131"/>
      <c r="J63" s="131"/>
      <c r="K63" s="131"/>
      <c r="L63" s="131"/>
      <c r="M63" s="131"/>
      <c r="N63" s="131"/>
      <c r="O63" s="131"/>
      <c r="P63" s="131"/>
      <c r="Q63" s="131"/>
      <c r="R63" s="131"/>
      <c r="S63" s="131"/>
      <c r="T63" s="131"/>
      <c r="U63" s="131"/>
      <c r="V63" s="131"/>
      <c r="W63" s="131"/>
      <c r="X63" s="131"/>
      <c r="Y63" s="131"/>
      <c r="Z63" s="131"/>
    </row>
    <row r="64" spans="1:26" ht="15.75" customHeight="1">
      <c r="A64" s="820" t="s">
        <v>4422</v>
      </c>
      <c r="B64" s="725"/>
      <c r="C64" s="725"/>
      <c r="D64" s="725"/>
      <c r="E64" s="725"/>
      <c r="F64" s="725"/>
      <c r="G64" s="725"/>
      <c r="H64" s="131"/>
      <c r="I64" s="131"/>
      <c r="J64" s="131"/>
      <c r="K64" s="131"/>
      <c r="L64" s="131"/>
      <c r="M64" s="131"/>
      <c r="N64" s="131"/>
      <c r="O64" s="131"/>
      <c r="P64" s="131"/>
      <c r="Q64" s="131"/>
      <c r="R64" s="131"/>
      <c r="S64" s="131"/>
      <c r="T64" s="131"/>
      <c r="U64" s="131"/>
      <c r="V64" s="131"/>
      <c r="W64" s="131"/>
      <c r="X64" s="131"/>
      <c r="Y64" s="131"/>
      <c r="Z64" s="131"/>
    </row>
    <row r="65" spans="1:26" ht="15.75" customHeight="1">
      <c r="A65" s="725"/>
      <c r="B65" s="725"/>
      <c r="C65" s="725"/>
      <c r="D65" s="725"/>
      <c r="E65" s="725"/>
      <c r="F65" s="725"/>
      <c r="G65" s="725"/>
      <c r="H65" s="131"/>
      <c r="I65" s="131"/>
      <c r="J65" s="131"/>
      <c r="K65" s="131"/>
      <c r="L65" s="131"/>
      <c r="M65" s="131"/>
      <c r="N65" s="131"/>
      <c r="O65" s="131"/>
      <c r="P65" s="131"/>
      <c r="Q65" s="131"/>
      <c r="R65" s="131"/>
      <c r="S65" s="131"/>
      <c r="T65" s="131"/>
      <c r="U65" s="131"/>
      <c r="V65" s="131"/>
      <c r="W65" s="131"/>
      <c r="X65" s="131"/>
      <c r="Y65" s="131"/>
      <c r="Z65" s="131"/>
    </row>
    <row r="66" spans="1:26" ht="15.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15.75" customHeight="1">
      <c r="A67" s="197"/>
      <c r="B67" s="197"/>
      <c r="C67" s="131"/>
      <c r="D67" s="197"/>
      <c r="E67" s="197"/>
      <c r="F67" s="197"/>
      <c r="G67" s="131"/>
      <c r="H67" s="131"/>
      <c r="I67" s="131"/>
      <c r="J67" s="131"/>
      <c r="K67" s="131"/>
      <c r="L67" s="131"/>
      <c r="M67" s="131"/>
      <c r="N67" s="131"/>
      <c r="O67" s="131"/>
      <c r="P67" s="131"/>
      <c r="Q67" s="131"/>
      <c r="R67" s="131"/>
      <c r="S67" s="131"/>
      <c r="T67" s="131"/>
      <c r="U67" s="131"/>
      <c r="V67" s="131"/>
      <c r="W67" s="131"/>
      <c r="X67" s="131"/>
      <c r="Y67" s="131"/>
      <c r="Z67" s="131"/>
    </row>
    <row r="68" spans="1:26" ht="15.75" customHeight="1">
      <c r="A68" s="815" t="str">
        <f>Validacion!A7</f>
        <v>Vero</v>
      </c>
      <c r="B68" s="725"/>
      <c r="C68" s="131"/>
      <c r="D68" s="815" t="str">
        <f>Validacion!A9</f>
        <v>Irlanda</v>
      </c>
      <c r="E68" s="725"/>
      <c r="F68" s="725"/>
      <c r="G68" s="131"/>
      <c r="H68" s="131"/>
      <c r="I68" s="131"/>
      <c r="J68" s="131"/>
      <c r="K68" s="131"/>
      <c r="L68" s="131"/>
      <c r="M68" s="131"/>
      <c r="N68" s="131"/>
      <c r="O68" s="131"/>
      <c r="P68" s="131"/>
      <c r="Q68" s="131"/>
      <c r="R68" s="131"/>
      <c r="S68" s="131"/>
      <c r="T68" s="131"/>
      <c r="U68" s="131"/>
      <c r="V68" s="131"/>
      <c r="W68" s="131"/>
      <c r="X68" s="131"/>
      <c r="Y68" s="131"/>
      <c r="Z68" s="131"/>
    </row>
    <row r="69" spans="1:26" ht="15.75" customHeight="1">
      <c r="A69" s="725"/>
      <c r="B69" s="725"/>
      <c r="C69" s="131"/>
      <c r="D69" s="725"/>
      <c r="E69" s="725"/>
      <c r="F69" s="725"/>
      <c r="G69" s="131"/>
      <c r="H69" s="131"/>
      <c r="I69" s="131"/>
      <c r="J69" s="131"/>
      <c r="K69" s="131"/>
      <c r="L69" s="131"/>
      <c r="M69" s="131"/>
      <c r="N69" s="131"/>
      <c r="O69" s="131"/>
      <c r="P69" s="131"/>
      <c r="Q69" s="131"/>
      <c r="R69" s="131"/>
      <c r="S69" s="131"/>
      <c r="T69" s="131"/>
      <c r="U69" s="131"/>
      <c r="V69" s="131"/>
      <c r="W69" s="131"/>
      <c r="X69" s="131"/>
      <c r="Y69" s="131"/>
      <c r="Z69" s="131"/>
    </row>
    <row r="70" spans="1:26" ht="15" customHeight="1">
      <c r="A70" s="773" t="s">
        <v>4443</v>
      </c>
      <c r="B70" s="725"/>
      <c r="C70" s="131"/>
      <c r="D70" s="816" t="s">
        <v>6273</v>
      </c>
      <c r="E70" s="725"/>
      <c r="F70" s="725"/>
      <c r="G70" s="131"/>
      <c r="H70" s="131"/>
      <c r="I70" s="131"/>
      <c r="J70" s="131"/>
      <c r="K70" s="131"/>
      <c r="L70" s="131"/>
      <c r="M70" s="131"/>
      <c r="N70" s="131"/>
      <c r="O70" s="131"/>
      <c r="P70" s="131"/>
      <c r="Q70" s="131"/>
      <c r="R70" s="131"/>
      <c r="S70" s="131"/>
      <c r="T70" s="131"/>
      <c r="U70" s="131"/>
      <c r="V70" s="131"/>
      <c r="W70" s="131"/>
      <c r="X70" s="131"/>
      <c r="Y70" s="131"/>
      <c r="Z70" s="131"/>
    </row>
    <row r="71" spans="1:26" ht="15.75" customHeight="1">
      <c r="A71" s="725"/>
      <c r="B71" s="725"/>
      <c r="C71" s="131"/>
      <c r="D71" s="725"/>
      <c r="E71" s="725"/>
      <c r="F71" s="725"/>
      <c r="G71" s="131"/>
      <c r="H71" s="131"/>
      <c r="I71" s="131"/>
      <c r="J71" s="131"/>
      <c r="K71" s="131"/>
      <c r="L71" s="131"/>
      <c r="M71" s="131"/>
      <c r="N71" s="131"/>
      <c r="O71" s="131"/>
      <c r="P71" s="131"/>
      <c r="Q71" s="131"/>
      <c r="R71" s="131"/>
      <c r="S71" s="131"/>
      <c r="T71" s="131"/>
      <c r="U71" s="131"/>
      <c r="V71" s="131"/>
      <c r="W71" s="131"/>
      <c r="X71" s="131"/>
      <c r="Y71" s="131"/>
      <c r="Z71" s="131"/>
    </row>
    <row r="72" spans="1:26"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5.7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3">
    <mergeCell ref="B6:F6"/>
    <mergeCell ref="A64:G65"/>
    <mergeCell ref="A68:B69"/>
    <mergeCell ref="D68:F69"/>
    <mergeCell ref="A70:B71"/>
    <mergeCell ref="D70:F71"/>
    <mergeCell ref="A6:A7"/>
    <mergeCell ref="G6:G7"/>
    <mergeCell ref="A1:G1"/>
    <mergeCell ref="A2:G2"/>
    <mergeCell ref="A3:G3"/>
    <mergeCell ref="A4:G4"/>
    <mergeCell ref="A5:G5"/>
  </mergeCells>
  <conditionalFormatting sqref="A9:C33">
    <cfRule type="containsBlanks" dxfId="53" priority="1">
      <formula>LEN(TRIM(A9))=0</formula>
    </cfRule>
  </conditionalFormatting>
  <conditionalFormatting sqref="E9:F33">
    <cfRule type="containsBlanks" dxfId="52" priority="2">
      <formula>LEN(TRIM(E9))=0</formula>
    </cfRule>
  </conditionalFormatting>
  <conditionalFormatting sqref="A36:C60">
    <cfRule type="containsBlanks" dxfId="51" priority="3">
      <formula>LEN(TRIM(A36))=0</formula>
    </cfRule>
  </conditionalFormatting>
  <conditionalFormatting sqref="E36:F60">
    <cfRule type="containsBlanks" dxfId="50" priority="4">
      <formula>LEN(TRIM(E36))=0</formula>
    </cfRule>
  </conditionalFormatting>
  <dataValidations count="1">
    <dataValidation type="decimal" allowBlank="1" showErrorMessage="1" sqref="B9:C33 E9:F33 B36:C60 E36:F60">
      <formula1>-20000000000</formula1>
      <formula2>20000000000</formula2>
    </dataValidation>
  </dataValidations>
  <printOptions horizontalCentered="1"/>
  <pageMargins left="0.19685039370078741" right="0.31496062992125984" top="0.74803149606299213" bottom="0.74803149606299213" header="0" footer="0"/>
  <pageSetup scale="60" orientation="landscape"/>
  <headerFooter>
    <oddFooter>&amp;REstado analítico del ejercicio del presupuesto de egresos clasificación administrativa Página &amp;P de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2" customWidth="1"/>
    <col min="2" max="2" width="2.85546875" customWidth="1"/>
    <col min="3" max="3" width="85.7109375" customWidth="1"/>
    <col min="4" max="9" width="18" customWidth="1"/>
    <col min="10" max="10" width="1" customWidth="1"/>
    <col min="11" max="26" width="10.7109375" customWidth="1"/>
  </cols>
  <sheetData>
    <row r="1" spans="1:26" ht="54" customHeight="1">
      <c r="A1" s="266"/>
      <c r="B1" s="829" t="str">
        <f>"NOMBRE DEL ENTE PÚBLICO: "&amp;Validacion!A2</f>
        <v>NOMBRE DEL ENTE PÚBLICO: Guadalajara</v>
      </c>
      <c r="C1" s="746"/>
      <c r="D1" s="746"/>
      <c r="E1" s="746"/>
      <c r="F1" s="746"/>
      <c r="G1" s="746"/>
      <c r="H1" s="746"/>
      <c r="I1" s="746"/>
      <c r="J1" s="747"/>
      <c r="K1" s="131"/>
      <c r="L1" s="131"/>
      <c r="M1" s="131"/>
      <c r="N1" s="131"/>
      <c r="O1" s="131"/>
      <c r="P1" s="131"/>
      <c r="Q1" s="131"/>
      <c r="R1" s="131"/>
      <c r="S1" s="131"/>
      <c r="T1" s="131"/>
      <c r="U1" s="131"/>
      <c r="V1" s="131"/>
      <c r="W1" s="131"/>
      <c r="X1" s="131"/>
      <c r="Y1" s="131"/>
      <c r="Z1" s="131"/>
    </row>
    <row r="2" spans="1:26" ht="18.75">
      <c r="A2" s="267"/>
      <c r="B2" s="830" t="s">
        <v>6274</v>
      </c>
      <c r="C2" s="749"/>
      <c r="D2" s="749"/>
      <c r="E2" s="749"/>
      <c r="F2" s="749"/>
      <c r="G2" s="749"/>
      <c r="H2" s="749"/>
      <c r="I2" s="831"/>
      <c r="J2" s="268"/>
      <c r="K2" s="131"/>
      <c r="L2" s="131"/>
      <c r="M2" s="131"/>
      <c r="N2" s="131"/>
      <c r="O2" s="131"/>
      <c r="P2" s="131"/>
      <c r="Q2" s="131"/>
      <c r="R2" s="131"/>
      <c r="S2" s="131"/>
      <c r="T2" s="131"/>
      <c r="U2" s="131"/>
      <c r="V2" s="131"/>
      <c r="W2" s="131"/>
      <c r="X2" s="131"/>
      <c r="Y2" s="131"/>
      <c r="Z2" s="131"/>
    </row>
    <row r="3" spans="1:26" ht="18.75">
      <c r="A3" s="267"/>
      <c r="B3" s="830" t="s">
        <v>6278</v>
      </c>
      <c r="C3" s="749"/>
      <c r="D3" s="749"/>
      <c r="E3" s="749"/>
      <c r="F3" s="749"/>
      <c r="G3" s="749"/>
      <c r="H3" s="749"/>
      <c r="I3" s="831"/>
      <c r="J3" s="268"/>
      <c r="K3" s="131"/>
      <c r="L3" s="131"/>
      <c r="M3" s="131"/>
      <c r="N3" s="131"/>
      <c r="O3" s="131"/>
      <c r="P3" s="131"/>
      <c r="Q3" s="131"/>
      <c r="R3" s="131"/>
      <c r="S3" s="131"/>
      <c r="T3" s="131"/>
      <c r="U3" s="131"/>
      <c r="V3" s="131"/>
      <c r="W3" s="131"/>
      <c r="X3" s="131"/>
      <c r="Y3" s="131"/>
      <c r="Z3" s="131"/>
    </row>
    <row r="4" spans="1:26" ht="15.75">
      <c r="A4" s="267"/>
      <c r="B4" s="269"/>
      <c r="C4" s="832" t="e">
        <f>'F6'!A3</f>
        <v>#REF!</v>
      </c>
      <c r="D4" s="749"/>
      <c r="E4" s="749"/>
      <c r="F4" s="749"/>
      <c r="G4" s="749"/>
      <c r="H4" s="749"/>
      <c r="I4" s="749"/>
      <c r="J4" s="750"/>
      <c r="K4" s="131"/>
      <c r="L4" s="131"/>
      <c r="M4" s="131"/>
      <c r="N4" s="131"/>
      <c r="O4" s="131"/>
      <c r="P4" s="131"/>
      <c r="Q4" s="131"/>
      <c r="R4" s="131"/>
      <c r="S4" s="131"/>
      <c r="T4" s="131"/>
      <c r="U4" s="131"/>
      <c r="V4" s="131"/>
      <c r="W4" s="131"/>
      <c r="X4" s="131"/>
      <c r="Y4" s="131"/>
      <c r="Z4" s="131"/>
    </row>
    <row r="5" spans="1:26" ht="15.75">
      <c r="A5" s="270"/>
      <c r="B5" s="271"/>
      <c r="C5" s="833" t="s">
        <v>4447</v>
      </c>
      <c r="D5" s="753"/>
      <c r="E5" s="753"/>
      <c r="F5" s="753"/>
      <c r="G5" s="753"/>
      <c r="H5" s="753"/>
      <c r="I5" s="753"/>
      <c r="J5" s="754"/>
      <c r="K5" s="131"/>
      <c r="L5" s="131"/>
      <c r="M5" s="131"/>
      <c r="N5" s="131"/>
      <c r="O5" s="131"/>
      <c r="P5" s="131"/>
      <c r="Q5" s="131"/>
      <c r="R5" s="131"/>
      <c r="S5" s="131"/>
      <c r="T5" s="131"/>
      <c r="U5" s="131"/>
      <c r="V5" s="131"/>
      <c r="W5" s="131"/>
      <c r="X5" s="131"/>
      <c r="Y5" s="131"/>
      <c r="Z5" s="131"/>
    </row>
    <row r="6" spans="1:26" ht="15" customHeight="1">
      <c r="A6" s="823" t="s">
        <v>4379</v>
      </c>
      <c r="B6" s="787"/>
      <c r="C6" s="778"/>
      <c r="D6" s="825" t="s">
        <v>88</v>
      </c>
      <c r="E6" s="753"/>
      <c r="F6" s="753"/>
      <c r="G6" s="753"/>
      <c r="H6" s="754"/>
      <c r="I6" s="826" t="s">
        <v>6256</v>
      </c>
      <c r="J6" s="272"/>
      <c r="K6" s="131"/>
      <c r="L6" s="131"/>
      <c r="M6" s="131"/>
      <c r="N6" s="131"/>
      <c r="O6" s="131"/>
      <c r="P6" s="131"/>
      <c r="Q6" s="131"/>
      <c r="R6" s="131"/>
      <c r="S6" s="131"/>
      <c r="T6" s="131"/>
      <c r="U6" s="131"/>
      <c r="V6" s="131"/>
      <c r="W6" s="131"/>
      <c r="X6" s="131"/>
      <c r="Y6" s="131"/>
      <c r="Z6" s="131"/>
    </row>
    <row r="7" spans="1:26" ht="30">
      <c r="A7" s="779"/>
      <c r="B7" s="793"/>
      <c r="C7" s="780"/>
      <c r="D7" s="226" t="s">
        <v>6257</v>
      </c>
      <c r="E7" s="226" t="s">
        <v>4431</v>
      </c>
      <c r="F7" s="226" t="s">
        <v>4432</v>
      </c>
      <c r="G7" s="226" t="s">
        <v>4433</v>
      </c>
      <c r="H7" s="226" t="s">
        <v>6258</v>
      </c>
      <c r="I7" s="827"/>
      <c r="J7" s="273"/>
      <c r="K7" s="131"/>
      <c r="L7" s="131"/>
      <c r="M7" s="131"/>
      <c r="N7" s="131"/>
      <c r="O7" s="131"/>
      <c r="P7" s="131"/>
      <c r="Q7" s="131"/>
      <c r="R7" s="131"/>
      <c r="S7" s="131"/>
      <c r="T7" s="131"/>
      <c r="U7" s="131"/>
      <c r="V7" s="131"/>
      <c r="W7" s="131"/>
      <c r="X7" s="131"/>
      <c r="Y7" s="131"/>
      <c r="Z7" s="131"/>
    </row>
    <row r="8" spans="1:26">
      <c r="A8" s="274" t="s">
        <v>6279</v>
      </c>
      <c r="B8" s="275" t="s">
        <v>6280</v>
      </c>
      <c r="C8" s="276"/>
      <c r="D8" s="277">
        <f t="shared" ref="D8:I8" si="0">D9+D18+D26+D36</f>
        <v>0</v>
      </c>
      <c r="E8" s="277">
        <f t="shared" si="0"/>
        <v>0</v>
      </c>
      <c r="F8" s="277">
        <f t="shared" si="0"/>
        <v>0</v>
      </c>
      <c r="G8" s="277">
        <f t="shared" si="0"/>
        <v>0</v>
      </c>
      <c r="H8" s="277">
        <f t="shared" si="0"/>
        <v>0</v>
      </c>
      <c r="I8" s="278">
        <f t="shared" si="0"/>
        <v>0</v>
      </c>
      <c r="J8" s="193"/>
      <c r="K8" s="131"/>
      <c r="L8" s="131"/>
      <c r="M8" s="131"/>
      <c r="N8" s="131"/>
      <c r="O8" s="131"/>
      <c r="P8" s="131"/>
      <c r="Q8" s="131"/>
      <c r="R8" s="131"/>
      <c r="S8" s="131"/>
      <c r="T8" s="131"/>
      <c r="U8" s="131"/>
      <c r="V8" s="131"/>
      <c r="W8" s="131"/>
      <c r="X8" s="131"/>
      <c r="Y8" s="131"/>
      <c r="Z8" s="131"/>
    </row>
    <row r="9" spans="1:26" ht="15" customHeight="1">
      <c r="A9" s="188"/>
      <c r="B9" s="279" t="s">
        <v>6281</v>
      </c>
      <c r="C9" s="280"/>
      <c r="D9" s="281">
        <f t="shared" ref="D9:E9" si="1">SUM(D10:D17)</f>
        <v>0</v>
      </c>
      <c r="E9" s="281">
        <f t="shared" si="1"/>
        <v>0</v>
      </c>
      <c r="F9" s="281">
        <f t="shared" ref="F9:F40" si="2">D9+E9</f>
        <v>0</v>
      </c>
      <c r="G9" s="281">
        <f t="shared" ref="G9:H9" si="3">SUM(G10:G17)</f>
        <v>0</v>
      </c>
      <c r="H9" s="281">
        <f t="shared" si="3"/>
        <v>0</v>
      </c>
      <c r="I9" s="282">
        <f t="shared" ref="I9:I40" si="4">F9-G9</f>
        <v>0</v>
      </c>
      <c r="J9" s="187"/>
      <c r="K9" s="131"/>
      <c r="L9" s="131"/>
      <c r="M9" s="131"/>
      <c r="N9" s="131"/>
      <c r="O9" s="131"/>
      <c r="P9" s="131"/>
      <c r="Q9" s="131"/>
      <c r="R9" s="131"/>
      <c r="S9" s="131"/>
      <c r="T9" s="131"/>
      <c r="U9" s="131"/>
      <c r="V9" s="131"/>
      <c r="W9" s="131"/>
      <c r="X9" s="131"/>
      <c r="Y9" s="131"/>
      <c r="Z9" s="131"/>
    </row>
    <row r="10" spans="1:26">
      <c r="A10" s="188"/>
      <c r="B10" s="283"/>
      <c r="C10" s="284" t="s">
        <v>6282</v>
      </c>
      <c r="D10" s="153"/>
      <c r="E10" s="153"/>
      <c r="F10" s="285">
        <f t="shared" si="2"/>
        <v>0</v>
      </c>
      <c r="G10" s="153"/>
      <c r="H10" s="153"/>
      <c r="I10" s="286">
        <f t="shared" si="4"/>
        <v>0</v>
      </c>
      <c r="J10" s="187"/>
      <c r="K10" s="131"/>
      <c r="L10" s="131"/>
      <c r="M10" s="131"/>
      <c r="N10" s="131"/>
      <c r="O10" s="131"/>
      <c r="P10" s="131"/>
      <c r="Q10" s="131"/>
      <c r="R10" s="131"/>
      <c r="S10" s="131"/>
      <c r="T10" s="131"/>
      <c r="U10" s="131"/>
      <c r="V10" s="131"/>
      <c r="W10" s="131"/>
      <c r="X10" s="131"/>
      <c r="Y10" s="131"/>
      <c r="Z10" s="131"/>
    </row>
    <row r="11" spans="1:26">
      <c r="A11" s="188"/>
      <c r="B11" s="131"/>
      <c r="C11" s="284" t="s">
        <v>6283</v>
      </c>
      <c r="D11" s="153"/>
      <c r="E11" s="153"/>
      <c r="F11" s="285">
        <f t="shared" si="2"/>
        <v>0</v>
      </c>
      <c r="G11" s="153"/>
      <c r="H11" s="153"/>
      <c r="I11" s="286">
        <f t="shared" si="4"/>
        <v>0</v>
      </c>
      <c r="J11" s="187"/>
      <c r="K11" s="131"/>
      <c r="L11" s="131"/>
      <c r="M11" s="131"/>
      <c r="N11" s="131"/>
      <c r="O11" s="131"/>
      <c r="P11" s="131"/>
      <c r="Q11" s="131"/>
      <c r="R11" s="131"/>
      <c r="S11" s="131"/>
      <c r="T11" s="131"/>
      <c r="U11" s="131"/>
      <c r="V11" s="131"/>
      <c r="W11" s="131"/>
      <c r="X11" s="131"/>
      <c r="Y11" s="131"/>
      <c r="Z11" s="131"/>
    </row>
    <row r="12" spans="1:26">
      <c r="A12" s="188"/>
      <c r="B12" s="131"/>
      <c r="C12" s="284" t="s">
        <v>6284</v>
      </c>
      <c r="D12" s="153"/>
      <c r="E12" s="153"/>
      <c r="F12" s="285">
        <f t="shared" si="2"/>
        <v>0</v>
      </c>
      <c r="G12" s="153"/>
      <c r="H12" s="153"/>
      <c r="I12" s="286">
        <f t="shared" si="4"/>
        <v>0</v>
      </c>
      <c r="J12" s="187"/>
      <c r="K12" s="131"/>
      <c r="L12" s="131"/>
      <c r="M12" s="131"/>
      <c r="N12" s="131"/>
      <c r="O12" s="131"/>
      <c r="P12" s="131"/>
      <c r="Q12" s="131"/>
      <c r="R12" s="131"/>
      <c r="S12" s="131"/>
      <c r="T12" s="131"/>
      <c r="U12" s="131"/>
      <c r="V12" s="131"/>
      <c r="W12" s="131"/>
      <c r="X12" s="131"/>
      <c r="Y12" s="131"/>
      <c r="Z12" s="131"/>
    </row>
    <row r="13" spans="1:26">
      <c r="A13" s="188"/>
      <c r="B13" s="131"/>
      <c r="C13" s="284" t="s">
        <v>6285</v>
      </c>
      <c r="D13" s="153"/>
      <c r="E13" s="153"/>
      <c r="F13" s="285">
        <f t="shared" si="2"/>
        <v>0</v>
      </c>
      <c r="G13" s="153"/>
      <c r="H13" s="153"/>
      <c r="I13" s="286">
        <f t="shared" si="4"/>
        <v>0</v>
      </c>
      <c r="J13" s="187"/>
      <c r="K13" s="131"/>
      <c r="L13" s="131"/>
      <c r="M13" s="131"/>
      <c r="N13" s="131"/>
      <c r="O13" s="131"/>
      <c r="P13" s="131"/>
      <c r="Q13" s="131"/>
      <c r="R13" s="131"/>
      <c r="S13" s="131"/>
      <c r="T13" s="131"/>
      <c r="U13" s="131"/>
      <c r="V13" s="131"/>
      <c r="W13" s="131"/>
      <c r="X13" s="131"/>
      <c r="Y13" s="131"/>
      <c r="Z13" s="131"/>
    </row>
    <row r="14" spans="1:26">
      <c r="A14" s="188"/>
      <c r="B14" s="131"/>
      <c r="C14" s="284" t="s">
        <v>6286</v>
      </c>
      <c r="D14" s="153"/>
      <c r="E14" s="153"/>
      <c r="F14" s="285">
        <f t="shared" si="2"/>
        <v>0</v>
      </c>
      <c r="G14" s="153"/>
      <c r="H14" s="153"/>
      <c r="I14" s="286">
        <f t="shared" si="4"/>
        <v>0</v>
      </c>
      <c r="J14" s="187"/>
      <c r="K14" s="131"/>
      <c r="L14" s="131"/>
      <c r="M14" s="131"/>
      <c r="N14" s="131"/>
      <c r="O14" s="131"/>
      <c r="P14" s="131"/>
      <c r="Q14" s="131"/>
      <c r="R14" s="131"/>
      <c r="S14" s="131"/>
      <c r="T14" s="131"/>
      <c r="U14" s="131"/>
      <c r="V14" s="131"/>
      <c r="W14" s="131"/>
      <c r="X14" s="131"/>
      <c r="Y14" s="131"/>
      <c r="Z14" s="131"/>
    </row>
    <row r="15" spans="1:26">
      <c r="A15" s="188"/>
      <c r="B15" s="131"/>
      <c r="C15" s="284" t="s">
        <v>6287</v>
      </c>
      <c r="D15" s="153"/>
      <c r="E15" s="153"/>
      <c r="F15" s="285">
        <f t="shared" si="2"/>
        <v>0</v>
      </c>
      <c r="G15" s="153"/>
      <c r="H15" s="153"/>
      <c r="I15" s="286">
        <f t="shared" si="4"/>
        <v>0</v>
      </c>
      <c r="J15" s="187"/>
      <c r="K15" s="131"/>
      <c r="L15" s="131"/>
      <c r="M15" s="131"/>
      <c r="N15" s="131"/>
      <c r="O15" s="131"/>
      <c r="P15" s="131"/>
      <c r="Q15" s="131"/>
      <c r="R15" s="131"/>
      <c r="S15" s="131"/>
      <c r="T15" s="131"/>
      <c r="U15" s="131"/>
      <c r="V15" s="131"/>
      <c r="W15" s="131"/>
      <c r="X15" s="131"/>
      <c r="Y15" s="131"/>
      <c r="Z15" s="131"/>
    </row>
    <row r="16" spans="1:26">
      <c r="A16" s="188"/>
      <c r="B16" s="131"/>
      <c r="C16" s="284" t="s">
        <v>6288</v>
      </c>
      <c r="D16" s="153"/>
      <c r="E16" s="153"/>
      <c r="F16" s="285">
        <f t="shared" si="2"/>
        <v>0</v>
      </c>
      <c r="G16" s="153"/>
      <c r="H16" s="153"/>
      <c r="I16" s="286">
        <f t="shared" si="4"/>
        <v>0</v>
      </c>
      <c r="J16" s="187"/>
      <c r="K16" s="131"/>
      <c r="L16" s="131"/>
      <c r="M16" s="131"/>
      <c r="N16" s="131"/>
      <c r="O16" s="131"/>
      <c r="P16" s="131"/>
      <c r="Q16" s="131"/>
      <c r="R16" s="131"/>
      <c r="S16" s="131"/>
      <c r="T16" s="131"/>
      <c r="U16" s="131"/>
      <c r="V16" s="131"/>
      <c r="W16" s="131"/>
      <c r="X16" s="131"/>
      <c r="Y16" s="131"/>
      <c r="Z16" s="131"/>
    </row>
    <row r="17" spans="1:26">
      <c r="A17" s="188"/>
      <c r="B17" s="131"/>
      <c r="C17" s="284" t="s">
        <v>6289</v>
      </c>
      <c r="D17" s="153"/>
      <c r="E17" s="153"/>
      <c r="F17" s="285">
        <f t="shared" si="2"/>
        <v>0</v>
      </c>
      <c r="G17" s="153"/>
      <c r="H17" s="153"/>
      <c r="I17" s="286">
        <f t="shared" si="4"/>
        <v>0</v>
      </c>
      <c r="J17" s="187"/>
      <c r="K17" s="131"/>
      <c r="L17" s="131"/>
      <c r="M17" s="131"/>
      <c r="N17" s="131"/>
      <c r="O17" s="131"/>
      <c r="P17" s="131"/>
      <c r="Q17" s="131"/>
      <c r="R17" s="131"/>
      <c r="S17" s="131"/>
      <c r="T17" s="131"/>
      <c r="U17" s="131"/>
      <c r="V17" s="131"/>
      <c r="W17" s="131"/>
      <c r="X17" s="131"/>
      <c r="Y17" s="131"/>
      <c r="Z17" s="131"/>
    </row>
    <row r="18" spans="1:26" ht="14.25" customHeight="1">
      <c r="A18" s="188"/>
      <c r="B18" s="824" t="s">
        <v>6290</v>
      </c>
      <c r="C18" s="783"/>
      <c r="D18" s="287">
        <f t="shared" ref="D18:E18" si="5">SUM(D19:D25)</f>
        <v>0</v>
      </c>
      <c r="E18" s="287">
        <f t="shared" si="5"/>
        <v>0</v>
      </c>
      <c r="F18" s="287">
        <f t="shared" si="2"/>
        <v>0</v>
      </c>
      <c r="G18" s="287">
        <f t="shared" ref="G18:H18" si="6">SUM(G19:G25)</f>
        <v>0</v>
      </c>
      <c r="H18" s="287">
        <f t="shared" si="6"/>
        <v>0</v>
      </c>
      <c r="I18" s="288">
        <f t="shared" si="4"/>
        <v>0</v>
      </c>
      <c r="J18" s="187"/>
      <c r="K18" s="131"/>
      <c r="L18" s="131"/>
      <c r="M18" s="131"/>
      <c r="N18" s="131"/>
      <c r="O18" s="131"/>
      <c r="P18" s="131"/>
      <c r="Q18" s="131"/>
      <c r="R18" s="131"/>
      <c r="S18" s="131"/>
      <c r="T18" s="131"/>
      <c r="U18" s="131"/>
      <c r="V18" s="131"/>
      <c r="W18" s="131"/>
      <c r="X18" s="131"/>
      <c r="Y18" s="131"/>
      <c r="Z18" s="131"/>
    </row>
    <row r="19" spans="1:26">
      <c r="A19" s="188"/>
      <c r="B19" s="283"/>
      <c r="C19" s="284" t="s">
        <v>6291</v>
      </c>
      <c r="D19" s="153"/>
      <c r="E19" s="153"/>
      <c r="F19" s="285">
        <f t="shared" si="2"/>
        <v>0</v>
      </c>
      <c r="G19" s="153"/>
      <c r="H19" s="153"/>
      <c r="I19" s="286">
        <f t="shared" si="4"/>
        <v>0</v>
      </c>
      <c r="J19" s="187"/>
      <c r="K19" s="131"/>
      <c r="L19" s="131"/>
      <c r="M19" s="131"/>
      <c r="N19" s="131"/>
      <c r="O19" s="131"/>
      <c r="P19" s="131"/>
      <c r="Q19" s="131"/>
      <c r="R19" s="131"/>
      <c r="S19" s="131"/>
      <c r="T19" s="131"/>
      <c r="U19" s="131"/>
      <c r="V19" s="131"/>
      <c r="W19" s="131"/>
      <c r="X19" s="131"/>
      <c r="Y19" s="131"/>
      <c r="Z19" s="131"/>
    </row>
    <row r="20" spans="1:26">
      <c r="A20" s="188"/>
      <c r="B20" s="131"/>
      <c r="C20" s="284" t="s">
        <v>6292</v>
      </c>
      <c r="D20" s="153"/>
      <c r="E20" s="153"/>
      <c r="F20" s="285">
        <f t="shared" si="2"/>
        <v>0</v>
      </c>
      <c r="G20" s="153"/>
      <c r="H20" s="153"/>
      <c r="I20" s="286">
        <f t="shared" si="4"/>
        <v>0</v>
      </c>
      <c r="J20" s="187"/>
      <c r="K20" s="131"/>
      <c r="L20" s="131"/>
      <c r="M20" s="131"/>
      <c r="N20" s="131"/>
      <c r="O20" s="131"/>
      <c r="P20" s="131"/>
      <c r="Q20" s="131"/>
      <c r="R20" s="131"/>
      <c r="S20" s="131"/>
      <c r="T20" s="131"/>
      <c r="U20" s="131"/>
      <c r="V20" s="131"/>
      <c r="W20" s="131"/>
      <c r="X20" s="131"/>
      <c r="Y20" s="131"/>
      <c r="Z20" s="131"/>
    </row>
    <row r="21" spans="1:26" ht="15.75" customHeight="1">
      <c r="A21" s="188"/>
      <c r="B21" s="131"/>
      <c r="C21" s="284" t="s">
        <v>6293</v>
      </c>
      <c r="D21" s="153"/>
      <c r="E21" s="153"/>
      <c r="F21" s="285">
        <f t="shared" si="2"/>
        <v>0</v>
      </c>
      <c r="G21" s="153"/>
      <c r="H21" s="153"/>
      <c r="I21" s="286">
        <f t="shared" si="4"/>
        <v>0</v>
      </c>
      <c r="J21" s="187"/>
      <c r="K21" s="131"/>
      <c r="L21" s="131"/>
      <c r="M21" s="131"/>
      <c r="N21" s="131"/>
      <c r="O21" s="131"/>
      <c r="P21" s="131"/>
      <c r="Q21" s="131"/>
      <c r="R21" s="131"/>
      <c r="S21" s="131"/>
      <c r="T21" s="131"/>
      <c r="U21" s="131"/>
      <c r="V21" s="131"/>
      <c r="W21" s="131"/>
      <c r="X21" s="131"/>
      <c r="Y21" s="131"/>
      <c r="Z21" s="131"/>
    </row>
    <row r="22" spans="1:26" ht="15.75" customHeight="1">
      <c r="A22" s="188"/>
      <c r="B22" s="131"/>
      <c r="C22" s="284" t="s">
        <v>6294</v>
      </c>
      <c r="D22" s="153"/>
      <c r="E22" s="153"/>
      <c r="F22" s="285">
        <f t="shared" si="2"/>
        <v>0</v>
      </c>
      <c r="G22" s="153"/>
      <c r="H22" s="153"/>
      <c r="I22" s="286">
        <f t="shared" si="4"/>
        <v>0</v>
      </c>
      <c r="J22" s="187"/>
      <c r="K22" s="131"/>
      <c r="L22" s="131"/>
      <c r="M22" s="131"/>
      <c r="N22" s="131"/>
      <c r="O22" s="131"/>
      <c r="P22" s="131"/>
      <c r="Q22" s="131"/>
      <c r="R22" s="131"/>
      <c r="S22" s="131"/>
      <c r="T22" s="131"/>
      <c r="U22" s="131"/>
      <c r="V22" s="131"/>
      <c r="W22" s="131"/>
      <c r="X22" s="131"/>
      <c r="Y22" s="131"/>
      <c r="Z22" s="131"/>
    </row>
    <row r="23" spans="1:26" ht="15.75" customHeight="1">
      <c r="A23" s="188"/>
      <c r="B23" s="131"/>
      <c r="C23" s="284" t="s">
        <v>6295</v>
      </c>
      <c r="D23" s="153"/>
      <c r="E23" s="153"/>
      <c r="F23" s="285">
        <f t="shared" si="2"/>
        <v>0</v>
      </c>
      <c r="G23" s="153"/>
      <c r="H23" s="153"/>
      <c r="I23" s="286">
        <f t="shared" si="4"/>
        <v>0</v>
      </c>
      <c r="J23" s="187"/>
      <c r="K23" s="131"/>
      <c r="L23" s="131"/>
      <c r="M23" s="131"/>
      <c r="N23" s="131"/>
      <c r="O23" s="131"/>
      <c r="P23" s="131"/>
      <c r="Q23" s="131"/>
      <c r="R23" s="131"/>
      <c r="S23" s="131"/>
      <c r="T23" s="131"/>
      <c r="U23" s="131"/>
      <c r="V23" s="131"/>
      <c r="W23" s="131"/>
      <c r="X23" s="131"/>
      <c r="Y23" s="131"/>
      <c r="Z23" s="131"/>
    </row>
    <row r="24" spans="1:26" ht="15.75" customHeight="1">
      <c r="A24" s="188"/>
      <c r="B24" s="131"/>
      <c r="C24" s="284" t="s">
        <v>6296</v>
      </c>
      <c r="D24" s="153"/>
      <c r="E24" s="153"/>
      <c r="F24" s="285">
        <f t="shared" si="2"/>
        <v>0</v>
      </c>
      <c r="G24" s="153"/>
      <c r="H24" s="153"/>
      <c r="I24" s="286">
        <f t="shared" si="4"/>
        <v>0</v>
      </c>
      <c r="J24" s="187"/>
      <c r="K24" s="131"/>
      <c r="L24" s="131"/>
      <c r="M24" s="131"/>
      <c r="N24" s="131"/>
      <c r="O24" s="131"/>
      <c r="P24" s="131"/>
      <c r="Q24" s="131"/>
      <c r="R24" s="131"/>
      <c r="S24" s="131"/>
      <c r="T24" s="131"/>
      <c r="U24" s="131"/>
      <c r="V24" s="131"/>
      <c r="W24" s="131"/>
      <c r="X24" s="131"/>
      <c r="Y24" s="131"/>
      <c r="Z24" s="131"/>
    </row>
    <row r="25" spans="1:26" ht="15.75" customHeight="1">
      <c r="A25" s="188"/>
      <c r="B25" s="131"/>
      <c r="C25" s="284" t="s">
        <v>6297</v>
      </c>
      <c r="D25" s="153"/>
      <c r="E25" s="153"/>
      <c r="F25" s="285">
        <f t="shared" si="2"/>
        <v>0</v>
      </c>
      <c r="G25" s="153"/>
      <c r="H25" s="153"/>
      <c r="I25" s="286">
        <f t="shared" si="4"/>
        <v>0</v>
      </c>
      <c r="J25" s="187"/>
      <c r="K25" s="131"/>
      <c r="L25" s="131"/>
      <c r="M25" s="131"/>
      <c r="N25" s="131"/>
      <c r="O25" s="131"/>
      <c r="P25" s="131"/>
      <c r="Q25" s="131"/>
      <c r="R25" s="131"/>
      <c r="S25" s="131"/>
      <c r="T25" s="131"/>
      <c r="U25" s="131"/>
      <c r="V25" s="131"/>
      <c r="W25" s="131"/>
      <c r="X25" s="131"/>
      <c r="Y25" s="131"/>
      <c r="Z25" s="131"/>
    </row>
    <row r="26" spans="1:26" ht="14.25" customHeight="1">
      <c r="A26" s="188"/>
      <c r="B26" s="824" t="s">
        <v>6298</v>
      </c>
      <c r="C26" s="783"/>
      <c r="D26" s="289">
        <f t="shared" ref="D26:E26" si="7">SUM(D27:D35)</f>
        <v>0</v>
      </c>
      <c r="E26" s="289">
        <f t="shared" si="7"/>
        <v>0</v>
      </c>
      <c r="F26" s="289">
        <f t="shared" si="2"/>
        <v>0</v>
      </c>
      <c r="G26" s="289">
        <f t="shared" ref="G26:H26" si="8">SUM(G27:G35)</f>
        <v>0</v>
      </c>
      <c r="H26" s="289">
        <f t="shared" si="8"/>
        <v>0</v>
      </c>
      <c r="I26" s="290">
        <f t="shared" si="4"/>
        <v>0</v>
      </c>
      <c r="J26" s="187"/>
      <c r="K26" s="131"/>
      <c r="L26" s="131"/>
      <c r="M26" s="131"/>
      <c r="N26" s="131"/>
      <c r="O26" s="131"/>
      <c r="P26" s="131"/>
      <c r="Q26" s="131"/>
      <c r="R26" s="131"/>
      <c r="S26" s="131"/>
      <c r="T26" s="131"/>
      <c r="U26" s="131"/>
      <c r="V26" s="131"/>
      <c r="W26" s="131"/>
      <c r="X26" s="131"/>
      <c r="Y26" s="131"/>
      <c r="Z26" s="131"/>
    </row>
    <row r="27" spans="1:26" ht="15.75" customHeight="1">
      <c r="A27" s="188"/>
      <c r="B27" s="283"/>
      <c r="C27" s="284" t="s">
        <v>6299</v>
      </c>
      <c r="D27" s="153"/>
      <c r="E27" s="153"/>
      <c r="F27" s="285">
        <f t="shared" si="2"/>
        <v>0</v>
      </c>
      <c r="G27" s="153"/>
      <c r="H27" s="153"/>
      <c r="I27" s="286">
        <f t="shared" si="4"/>
        <v>0</v>
      </c>
      <c r="J27" s="187"/>
      <c r="K27" s="131"/>
      <c r="L27" s="131"/>
      <c r="M27" s="131"/>
      <c r="N27" s="131"/>
      <c r="O27" s="131"/>
      <c r="P27" s="131"/>
      <c r="Q27" s="131"/>
      <c r="R27" s="131"/>
      <c r="S27" s="131"/>
      <c r="T27" s="131"/>
      <c r="U27" s="131"/>
      <c r="V27" s="131"/>
      <c r="W27" s="131"/>
      <c r="X27" s="131"/>
      <c r="Y27" s="131"/>
      <c r="Z27" s="131"/>
    </row>
    <row r="28" spans="1:26" ht="15.75" customHeight="1">
      <c r="A28" s="188"/>
      <c r="B28" s="131"/>
      <c r="C28" s="284" t="s">
        <v>6300</v>
      </c>
      <c r="D28" s="153"/>
      <c r="E28" s="153"/>
      <c r="F28" s="285">
        <f t="shared" si="2"/>
        <v>0</v>
      </c>
      <c r="G28" s="153"/>
      <c r="H28" s="153"/>
      <c r="I28" s="286">
        <f t="shared" si="4"/>
        <v>0</v>
      </c>
      <c r="J28" s="187"/>
      <c r="K28" s="131"/>
      <c r="L28" s="131"/>
      <c r="M28" s="131"/>
      <c r="N28" s="131"/>
      <c r="O28" s="131"/>
      <c r="P28" s="131"/>
      <c r="Q28" s="131"/>
      <c r="R28" s="131"/>
      <c r="S28" s="131"/>
      <c r="T28" s="131"/>
      <c r="U28" s="131"/>
      <c r="V28" s="131"/>
      <c r="W28" s="131"/>
      <c r="X28" s="131"/>
      <c r="Y28" s="131"/>
      <c r="Z28" s="131"/>
    </row>
    <row r="29" spans="1:26" ht="15.75" customHeight="1">
      <c r="A29" s="188"/>
      <c r="B29" s="131"/>
      <c r="C29" s="284" t="s">
        <v>6301</v>
      </c>
      <c r="D29" s="153"/>
      <c r="E29" s="153"/>
      <c r="F29" s="285">
        <f t="shared" si="2"/>
        <v>0</v>
      </c>
      <c r="G29" s="153"/>
      <c r="H29" s="153"/>
      <c r="I29" s="286">
        <f t="shared" si="4"/>
        <v>0</v>
      </c>
      <c r="J29" s="187"/>
      <c r="K29" s="131"/>
      <c r="L29" s="131"/>
      <c r="M29" s="131"/>
      <c r="N29" s="131"/>
      <c r="O29" s="131"/>
      <c r="P29" s="131"/>
      <c r="Q29" s="131"/>
      <c r="R29" s="131"/>
      <c r="S29" s="131"/>
      <c r="T29" s="131"/>
      <c r="U29" s="131"/>
      <c r="V29" s="131"/>
      <c r="W29" s="131"/>
      <c r="X29" s="131"/>
      <c r="Y29" s="131"/>
      <c r="Z29" s="131"/>
    </row>
    <row r="30" spans="1:26" ht="15.75" customHeight="1">
      <c r="A30" s="188"/>
      <c r="B30" s="131"/>
      <c r="C30" s="284" t="s">
        <v>6302</v>
      </c>
      <c r="D30" s="153"/>
      <c r="E30" s="153"/>
      <c r="F30" s="285">
        <f t="shared" si="2"/>
        <v>0</v>
      </c>
      <c r="G30" s="153"/>
      <c r="H30" s="153"/>
      <c r="I30" s="286">
        <f t="shared" si="4"/>
        <v>0</v>
      </c>
      <c r="J30" s="187"/>
      <c r="K30" s="131"/>
      <c r="L30" s="131"/>
      <c r="M30" s="131"/>
      <c r="N30" s="131"/>
      <c r="O30" s="131"/>
      <c r="P30" s="131"/>
      <c r="Q30" s="131"/>
      <c r="R30" s="131"/>
      <c r="S30" s="131"/>
      <c r="T30" s="131"/>
      <c r="U30" s="131"/>
      <c r="V30" s="131"/>
      <c r="W30" s="131"/>
      <c r="X30" s="131"/>
      <c r="Y30" s="131"/>
      <c r="Z30" s="131"/>
    </row>
    <row r="31" spans="1:26" ht="15.75" customHeight="1">
      <c r="A31" s="188"/>
      <c r="B31" s="131"/>
      <c r="C31" s="284" t="s">
        <v>6303</v>
      </c>
      <c r="D31" s="153"/>
      <c r="E31" s="153"/>
      <c r="F31" s="285">
        <f t="shared" si="2"/>
        <v>0</v>
      </c>
      <c r="G31" s="153"/>
      <c r="H31" s="153"/>
      <c r="I31" s="286">
        <f t="shared" si="4"/>
        <v>0</v>
      </c>
      <c r="J31" s="187"/>
      <c r="K31" s="131"/>
      <c r="L31" s="131"/>
      <c r="M31" s="131"/>
      <c r="N31" s="131"/>
      <c r="O31" s="131"/>
      <c r="P31" s="131"/>
      <c r="Q31" s="131"/>
      <c r="R31" s="131"/>
      <c r="S31" s="131"/>
      <c r="T31" s="131"/>
      <c r="U31" s="131"/>
      <c r="V31" s="131"/>
      <c r="W31" s="131"/>
      <c r="X31" s="131"/>
      <c r="Y31" s="131"/>
      <c r="Z31" s="131"/>
    </row>
    <row r="32" spans="1:26" ht="15.75" customHeight="1">
      <c r="A32" s="188"/>
      <c r="B32" s="131"/>
      <c r="C32" s="284" t="s">
        <v>6304</v>
      </c>
      <c r="D32" s="153"/>
      <c r="E32" s="153"/>
      <c r="F32" s="285">
        <f t="shared" si="2"/>
        <v>0</v>
      </c>
      <c r="G32" s="153"/>
      <c r="H32" s="153"/>
      <c r="I32" s="286">
        <f t="shared" si="4"/>
        <v>0</v>
      </c>
      <c r="J32" s="187"/>
      <c r="K32" s="131"/>
      <c r="L32" s="131"/>
      <c r="M32" s="131"/>
      <c r="N32" s="131"/>
      <c r="O32" s="131"/>
      <c r="P32" s="131"/>
      <c r="Q32" s="131"/>
      <c r="R32" s="131"/>
      <c r="S32" s="131"/>
      <c r="T32" s="131"/>
      <c r="U32" s="131"/>
      <c r="V32" s="131"/>
      <c r="W32" s="131"/>
      <c r="X32" s="131"/>
      <c r="Y32" s="131"/>
      <c r="Z32" s="131"/>
    </row>
    <row r="33" spans="1:26" ht="15.75" customHeight="1">
      <c r="A33" s="188"/>
      <c r="B33" s="131"/>
      <c r="C33" s="284" t="s">
        <v>6305</v>
      </c>
      <c r="D33" s="153"/>
      <c r="E33" s="153"/>
      <c r="F33" s="285">
        <f t="shared" si="2"/>
        <v>0</v>
      </c>
      <c r="G33" s="153"/>
      <c r="H33" s="153"/>
      <c r="I33" s="286">
        <f t="shared" si="4"/>
        <v>0</v>
      </c>
      <c r="J33" s="187"/>
      <c r="K33" s="131"/>
      <c r="L33" s="131"/>
      <c r="M33" s="131"/>
      <c r="N33" s="131"/>
      <c r="O33" s="131"/>
      <c r="P33" s="131"/>
      <c r="Q33" s="131"/>
      <c r="R33" s="131"/>
      <c r="S33" s="131"/>
      <c r="T33" s="131"/>
      <c r="U33" s="131"/>
      <c r="V33" s="131"/>
      <c r="W33" s="131"/>
      <c r="X33" s="131"/>
      <c r="Y33" s="131"/>
      <c r="Z33" s="131"/>
    </row>
    <row r="34" spans="1:26" ht="15.75" customHeight="1">
      <c r="A34" s="188"/>
      <c r="B34" s="131"/>
      <c r="C34" s="284" t="s">
        <v>6306</v>
      </c>
      <c r="D34" s="153"/>
      <c r="E34" s="153"/>
      <c r="F34" s="285">
        <f t="shared" si="2"/>
        <v>0</v>
      </c>
      <c r="G34" s="153"/>
      <c r="H34" s="153"/>
      <c r="I34" s="286">
        <f t="shared" si="4"/>
        <v>0</v>
      </c>
      <c r="J34" s="187"/>
      <c r="K34" s="131"/>
      <c r="L34" s="131"/>
      <c r="M34" s="131"/>
      <c r="N34" s="131"/>
      <c r="O34" s="131"/>
      <c r="P34" s="131"/>
      <c r="Q34" s="131"/>
      <c r="R34" s="131"/>
      <c r="S34" s="131"/>
      <c r="T34" s="131"/>
      <c r="U34" s="131"/>
      <c r="V34" s="131"/>
      <c r="W34" s="131"/>
      <c r="X34" s="131"/>
      <c r="Y34" s="131"/>
      <c r="Z34" s="131"/>
    </row>
    <row r="35" spans="1:26" ht="15.75" customHeight="1">
      <c r="A35" s="188"/>
      <c r="B35" s="131"/>
      <c r="C35" s="284" t="s">
        <v>6307</v>
      </c>
      <c r="D35" s="153"/>
      <c r="E35" s="153"/>
      <c r="F35" s="285">
        <f t="shared" si="2"/>
        <v>0</v>
      </c>
      <c r="G35" s="153"/>
      <c r="H35" s="153"/>
      <c r="I35" s="286">
        <f t="shared" si="4"/>
        <v>0</v>
      </c>
      <c r="J35" s="187"/>
      <c r="K35" s="131"/>
      <c r="L35" s="131"/>
      <c r="M35" s="131"/>
      <c r="N35" s="131"/>
      <c r="O35" s="131"/>
      <c r="P35" s="131"/>
      <c r="Q35" s="131"/>
      <c r="R35" s="131"/>
      <c r="S35" s="131"/>
      <c r="T35" s="131"/>
      <c r="U35" s="131"/>
      <c r="V35" s="131"/>
      <c r="W35" s="131"/>
      <c r="X35" s="131"/>
      <c r="Y35" s="131"/>
      <c r="Z35" s="131"/>
    </row>
    <row r="36" spans="1:26" ht="14.25" customHeight="1">
      <c r="A36" s="188"/>
      <c r="B36" s="824" t="s">
        <v>6308</v>
      </c>
      <c r="C36" s="783"/>
      <c r="D36" s="289">
        <f t="shared" ref="D36:E36" si="9">SUM(D37:D40)</f>
        <v>0</v>
      </c>
      <c r="E36" s="289">
        <f t="shared" si="9"/>
        <v>0</v>
      </c>
      <c r="F36" s="289">
        <f t="shared" si="2"/>
        <v>0</v>
      </c>
      <c r="G36" s="289">
        <f t="shared" ref="G36:H36" si="10">SUM(G37:G40)</f>
        <v>0</v>
      </c>
      <c r="H36" s="289">
        <f t="shared" si="10"/>
        <v>0</v>
      </c>
      <c r="I36" s="290">
        <f t="shared" si="4"/>
        <v>0</v>
      </c>
      <c r="J36" s="187"/>
      <c r="K36" s="131"/>
      <c r="L36" s="131"/>
      <c r="M36" s="131"/>
      <c r="N36" s="131"/>
      <c r="O36" s="131"/>
      <c r="P36" s="131"/>
      <c r="Q36" s="131"/>
      <c r="R36" s="131"/>
      <c r="S36" s="131"/>
      <c r="T36" s="131"/>
      <c r="U36" s="131"/>
      <c r="V36" s="131"/>
      <c r="W36" s="131"/>
      <c r="X36" s="131"/>
      <c r="Y36" s="131"/>
      <c r="Z36" s="131"/>
    </row>
    <row r="37" spans="1:26" ht="15.75" customHeight="1">
      <c r="A37" s="188"/>
      <c r="B37" s="131"/>
      <c r="C37" s="291" t="s">
        <v>6309</v>
      </c>
      <c r="D37" s="153"/>
      <c r="E37" s="153"/>
      <c r="F37" s="285">
        <f t="shared" si="2"/>
        <v>0</v>
      </c>
      <c r="G37" s="153"/>
      <c r="H37" s="153"/>
      <c r="I37" s="286">
        <f t="shared" si="4"/>
        <v>0</v>
      </c>
      <c r="J37" s="187"/>
      <c r="K37" s="131"/>
      <c r="L37" s="131"/>
      <c r="M37" s="131"/>
      <c r="N37" s="131"/>
      <c r="O37" s="131"/>
      <c r="P37" s="131"/>
      <c r="Q37" s="131"/>
      <c r="R37" s="131"/>
      <c r="S37" s="131"/>
      <c r="T37" s="131"/>
      <c r="U37" s="131"/>
      <c r="V37" s="131"/>
      <c r="W37" s="131"/>
      <c r="X37" s="131"/>
      <c r="Y37" s="131"/>
      <c r="Z37" s="131"/>
    </row>
    <row r="38" spans="1:26" ht="15.75" customHeight="1">
      <c r="A38" s="188"/>
      <c r="B38" s="131"/>
      <c r="C38" s="292" t="s">
        <v>6310</v>
      </c>
      <c r="D38" s="153"/>
      <c r="E38" s="153"/>
      <c r="F38" s="285">
        <f t="shared" si="2"/>
        <v>0</v>
      </c>
      <c r="G38" s="153"/>
      <c r="H38" s="153"/>
      <c r="I38" s="286">
        <f t="shared" si="4"/>
        <v>0</v>
      </c>
      <c r="J38" s="187"/>
      <c r="K38" s="131"/>
      <c r="L38" s="131"/>
      <c r="M38" s="131"/>
      <c r="N38" s="131"/>
      <c r="O38" s="131"/>
      <c r="P38" s="131"/>
      <c r="Q38" s="131"/>
      <c r="R38" s="131"/>
      <c r="S38" s="131"/>
      <c r="T38" s="131"/>
      <c r="U38" s="131"/>
      <c r="V38" s="131"/>
      <c r="W38" s="131"/>
      <c r="X38" s="131"/>
      <c r="Y38" s="131"/>
      <c r="Z38" s="131"/>
    </row>
    <row r="39" spans="1:26" ht="15.75" customHeight="1">
      <c r="A39" s="188"/>
      <c r="B39" s="131"/>
      <c r="C39" s="284" t="s">
        <v>6311</v>
      </c>
      <c r="D39" s="153"/>
      <c r="E39" s="153"/>
      <c r="F39" s="285">
        <f t="shared" si="2"/>
        <v>0</v>
      </c>
      <c r="G39" s="153"/>
      <c r="H39" s="153"/>
      <c r="I39" s="286">
        <f t="shared" si="4"/>
        <v>0</v>
      </c>
      <c r="J39" s="187"/>
      <c r="K39" s="131"/>
      <c r="L39" s="131"/>
      <c r="M39" s="131"/>
      <c r="N39" s="131"/>
      <c r="O39" s="131"/>
      <c r="P39" s="131"/>
      <c r="Q39" s="131"/>
      <c r="R39" s="131"/>
      <c r="S39" s="131"/>
      <c r="T39" s="131"/>
      <c r="U39" s="131"/>
      <c r="V39" s="131"/>
      <c r="W39" s="131"/>
      <c r="X39" s="131"/>
      <c r="Y39" s="131"/>
      <c r="Z39" s="131"/>
    </row>
    <row r="40" spans="1:26" ht="15.75" customHeight="1">
      <c r="A40" s="188"/>
      <c r="B40" s="131"/>
      <c r="C40" s="284" t="s">
        <v>6312</v>
      </c>
      <c r="D40" s="239"/>
      <c r="E40" s="239"/>
      <c r="F40" s="293">
        <f t="shared" si="2"/>
        <v>0</v>
      </c>
      <c r="G40" s="239"/>
      <c r="H40" s="239"/>
      <c r="I40" s="294">
        <f t="shared" si="4"/>
        <v>0</v>
      </c>
      <c r="J40" s="187"/>
      <c r="K40" s="131"/>
      <c r="L40" s="131"/>
      <c r="M40" s="131"/>
      <c r="N40" s="131"/>
      <c r="O40" s="131"/>
      <c r="P40" s="131"/>
      <c r="Q40" s="131"/>
      <c r="R40" s="131"/>
      <c r="S40" s="131"/>
      <c r="T40" s="131"/>
      <c r="U40" s="131"/>
      <c r="V40" s="131"/>
      <c r="W40" s="131"/>
      <c r="X40" s="131"/>
      <c r="Y40" s="131"/>
      <c r="Z40" s="131"/>
    </row>
    <row r="41" spans="1:26" ht="15.75" customHeight="1">
      <c r="A41" s="188"/>
      <c r="B41" s="279"/>
      <c r="C41" s="295"/>
      <c r="D41" s="296"/>
      <c r="E41" s="296"/>
      <c r="F41" s="296"/>
      <c r="G41" s="296"/>
      <c r="H41" s="296"/>
      <c r="I41" s="297"/>
      <c r="J41" s="187"/>
      <c r="K41" s="131"/>
      <c r="L41" s="131"/>
      <c r="M41" s="131"/>
      <c r="N41" s="131"/>
      <c r="O41" s="131"/>
      <c r="P41" s="131"/>
      <c r="Q41" s="131"/>
      <c r="R41" s="131"/>
      <c r="S41" s="131"/>
      <c r="T41" s="131"/>
      <c r="U41" s="131"/>
      <c r="V41" s="131"/>
      <c r="W41" s="131"/>
      <c r="X41" s="131"/>
      <c r="Y41" s="131"/>
      <c r="Z41" s="131"/>
    </row>
    <row r="42" spans="1:26" ht="15.75" customHeight="1">
      <c r="A42" s="298" t="s">
        <v>6313</v>
      </c>
      <c r="B42" s="299" t="s">
        <v>6314</v>
      </c>
      <c r="C42" s="300"/>
      <c r="D42" s="301">
        <f t="shared" ref="D42:I42" si="11">D43+D52+D60+D70</f>
        <v>0</v>
      </c>
      <c r="E42" s="301">
        <f t="shared" si="11"/>
        <v>0</v>
      </c>
      <c r="F42" s="301">
        <f t="shared" si="11"/>
        <v>0</v>
      </c>
      <c r="G42" s="301">
        <f t="shared" si="11"/>
        <v>0</v>
      </c>
      <c r="H42" s="301">
        <f t="shared" si="11"/>
        <v>0</v>
      </c>
      <c r="I42" s="302">
        <f t="shared" si="11"/>
        <v>0</v>
      </c>
      <c r="J42" s="187"/>
      <c r="K42" s="131"/>
      <c r="L42" s="131"/>
      <c r="M42" s="131"/>
      <c r="N42" s="131"/>
      <c r="O42" s="131"/>
      <c r="P42" s="131"/>
      <c r="Q42" s="131"/>
      <c r="R42" s="131"/>
      <c r="S42" s="131"/>
      <c r="T42" s="131"/>
      <c r="U42" s="131"/>
      <c r="V42" s="131"/>
      <c r="W42" s="131"/>
      <c r="X42" s="131"/>
      <c r="Y42" s="131"/>
      <c r="Z42" s="131"/>
    </row>
    <row r="43" spans="1:26" ht="15" customHeight="1">
      <c r="A43" s="188"/>
      <c r="B43" s="279" t="s">
        <v>6281</v>
      </c>
      <c r="C43" s="280"/>
      <c r="D43" s="281">
        <f t="shared" ref="D43:E43" si="12">SUM(D44:D51)</f>
        <v>0</v>
      </c>
      <c r="E43" s="281">
        <f t="shared" si="12"/>
        <v>0</v>
      </c>
      <c r="F43" s="281">
        <f t="shared" ref="F43:F74" si="13">D43+E43</f>
        <v>0</v>
      </c>
      <c r="G43" s="281">
        <f t="shared" ref="G43:H43" si="14">SUM(G44:G51)</f>
        <v>0</v>
      </c>
      <c r="H43" s="281">
        <f t="shared" si="14"/>
        <v>0</v>
      </c>
      <c r="I43" s="282">
        <f t="shared" ref="I43:I74" si="15">F43-G43</f>
        <v>0</v>
      </c>
      <c r="J43" s="187"/>
      <c r="K43" s="131"/>
      <c r="L43" s="131"/>
      <c r="M43" s="131"/>
      <c r="N43" s="131"/>
      <c r="O43" s="131"/>
      <c r="P43" s="131"/>
      <c r="Q43" s="131"/>
      <c r="R43" s="131"/>
      <c r="S43" s="131"/>
      <c r="T43" s="131"/>
      <c r="U43" s="131"/>
      <c r="V43" s="131"/>
      <c r="W43" s="131"/>
      <c r="X43" s="131"/>
      <c r="Y43" s="131"/>
      <c r="Z43" s="131"/>
    </row>
    <row r="44" spans="1:26" ht="15.75" customHeight="1">
      <c r="A44" s="188"/>
      <c r="B44" s="283"/>
      <c r="C44" s="284" t="s">
        <v>6282</v>
      </c>
      <c r="D44" s="153"/>
      <c r="E44" s="153"/>
      <c r="F44" s="285">
        <f t="shared" si="13"/>
        <v>0</v>
      </c>
      <c r="G44" s="153"/>
      <c r="H44" s="153"/>
      <c r="I44" s="286">
        <f t="shared" si="15"/>
        <v>0</v>
      </c>
      <c r="J44" s="187"/>
      <c r="K44" s="131"/>
      <c r="L44" s="131"/>
      <c r="M44" s="131"/>
      <c r="N44" s="131"/>
      <c r="O44" s="131"/>
      <c r="P44" s="131"/>
      <c r="Q44" s="131"/>
      <c r="R44" s="131"/>
      <c r="S44" s="131"/>
      <c r="T44" s="131"/>
      <c r="U44" s="131"/>
      <c r="V44" s="131"/>
      <c r="W44" s="131"/>
      <c r="X44" s="131"/>
      <c r="Y44" s="131"/>
      <c r="Z44" s="131"/>
    </row>
    <row r="45" spans="1:26" ht="15.75" customHeight="1">
      <c r="A45" s="188"/>
      <c r="B45" s="131"/>
      <c r="C45" s="284" t="s">
        <v>6283</v>
      </c>
      <c r="D45" s="153"/>
      <c r="E45" s="153"/>
      <c r="F45" s="285">
        <f t="shared" si="13"/>
        <v>0</v>
      </c>
      <c r="G45" s="153"/>
      <c r="H45" s="153"/>
      <c r="I45" s="286">
        <f t="shared" si="15"/>
        <v>0</v>
      </c>
      <c r="J45" s="187"/>
      <c r="K45" s="131"/>
      <c r="L45" s="131"/>
      <c r="M45" s="131"/>
      <c r="N45" s="131"/>
      <c r="O45" s="131"/>
      <c r="P45" s="131"/>
      <c r="Q45" s="131"/>
      <c r="R45" s="131"/>
      <c r="S45" s="131"/>
      <c r="T45" s="131"/>
      <c r="U45" s="131"/>
      <c r="V45" s="131"/>
      <c r="W45" s="131"/>
      <c r="X45" s="131"/>
      <c r="Y45" s="131"/>
      <c r="Z45" s="131"/>
    </row>
    <row r="46" spans="1:26" ht="15.75" customHeight="1">
      <c r="A46" s="188"/>
      <c r="B46" s="131"/>
      <c r="C46" s="284" t="s">
        <v>6284</v>
      </c>
      <c r="D46" s="153"/>
      <c r="E46" s="153"/>
      <c r="F46" s="285">
        <f t="shared" si="13"/>
        <v>0</v>
      </c>
      <c r="G46" s="153"/>
      <c r="H46" s="153"/>
      <c r="I46" s="286">
        <f t="shared" si="15"/>
        <v>0</v>
      </c>
      <c r="J46" s="187"/>
      <c r="K46" s="131"/>
      <c r="L46" s="131"/>
      <c r="M46" s="131"/>
      <c r="N46" s="131"/>
      <c r="O46" s="131"/>
      <c r="P46" s="131"/>
      <c r="Q46" s="131"/>
      <c r="R46" s="131"/>
      <c r="S46" s="131"/>
      <c r="T46" s="131"/>
      <c r="U46" s="131"/>
      <c r="V46" s="131"/>
      <c r="W46" s="131"/>
      <c r="X46" s="131"/>
      <c r="Y46" s="131"/>
      <c r="Z46" s="131"/>
    </row>
    <row r="47" spans="1:26" ht="15.75" customHeight="1">
      <c r="A47" s="188"/>
      <c r="B47" s="131"/>
      <c r="C47" s="284" t="s">
        <v>6285</v>
      </c>
      <c r="D47" s="153"/>
      <c r="E47" s="153"/>
      <c r="F47" s="285">
        <f t="shared" si="13"/>
        <v>0</v>
      </c>
      <c r="G47" s="153"/>
      <c r="H47" s="153"/>
      <c r="I47" s="286">
        <f t="shared" si="15"/>
        <v>0</v>
      </c>
      <c r="J47" s="187"/>
      <c r="K47" s="131"/>
      <c r="L47" s="131"/>
      <c r="M47" s="131"/>
      <c r="N47" s="131"/>
      <c r="O47" s="131"/>
      <c r="P47" s="131"/>
      <c r="Q47" s="131"/>
      <c r="R47" s="131"/>
      <c r="S47" s="131"/>
      <c r="T47" s="131"/>
      <c r="U47" s="131"/>
      <c r="V47" s="131"/>
      <c r="W47" s="131"/>
      <c r="X47" s="131"/>
      <c r="Y47" s="131"/>
      <c r="Z47" s="131"/>
    </row>
    <row r="48" spans="1:26" ht="15.75" customHeight="1">
      <c r="A48" s="188"/>
      <c r="B48" s="131"/>
      <c r="C48" s="284" t="s">
        <v>6286</v>
      </c>
      <c r="D48" s="153"/>
      <c r="E48" s="153"/>
      <c r="F48" s="285">
        <f t="shared" si="13"/>
        <v>0</v>
      </c>
      <c r="G48" s="153"/>
      <c r="H48" s="153"/>
      <c r="I48" s="286">
        <f t="shared" si="15"/>
        <v>0</v>
      </c>
      <c r="J48" s="187"/>
      <c r="K48" s="131"/>
      <c r="L48" s="131"/>
      <c r="M48" s="131"/>
      <c r="N48" s="131"/>
      <c r="O48" s="131"/>
      <c r="P48" s="131"/>
      <c r="Q48" s="131"/>
      <c r="R48" s="131"/>
      <c r="S48" s="131"/>
      <c r="T48" s="131"/>
      <c r="U48" s="131"/>
      <c r="V48" s="131"/>
      <c r="W48" s="131"/>
      <c r="X48" s="131"/>
      <c r="Y48" s="131"/>
      <c r="Z48" s="131"/>
    </row>
    <row r="49" spans="1:26" ht="15.75" customHeight="1">
      <c r="A49" s="188"/>
      <c r="B49" s="131"/>
      <c r="C49" s="284" t="s">
        <v>6287</v>
      </c>
      <c r="D49" s="153"/>
      <c r="E49" s="153"/>
      <c r="F49" s="285">
        <f t="shared" si="13"/>
        <v>0</v>
      </c>
      <c r="G49" s="153"/>
      <c r="H49" s="153"/>
      <c r="I49" s="286">
        <f t="shared" si="15"/>
        <v>0</v>
      </c>
      <c r="J49" s="187"/>
      <c r="K49" s="131"/>
      <c r="L49" s="131"/>
      <c r="M49" s="131"/>
      <c r="N49" s="131"/>
      <c r="O49" s="131"/>
      <c r="P49" s="131"/>
      <c r="Q49" s="131"/>
      <c r="R49" s="131"/>
      <c r="S49" s="131"/>
      <c r="T49" s="131"/>
      <c r="U49" s="131"/>
      <c r="V49" s="131"/>
      <c r="W49" s="131"/>
      <c r="X49" s="131"/>
      <c r="Y49" s="131"/>
      <c r="Z49" s="131"/>
    </row>
    <row r="50" spans="1:26" ht="15.75" customHeight="1">
      <c r="A50" s="188"/>
      <c r="B50" s="131"/>
      <c r="C50" s="284" t="s">
        <v>6288</v>
      </c>
      <c r="D50" s="153"/>
      <c r="E50" s="153"/>
      <c r="F50" s="285">
        <f t="shared" si="13"/>
        <v>0</v>
      </c>
      <c r="G50" s="153"/>
      <c r="H50" s="153"/>
      <c r="I50" s="286">
        <f t="shared" si="15"/>
        <v>0</v>
      </c>
      <c r="J50" s="187"/>
      <c r="K50" s="131"/>
      <c r="L50" s="131"/>
      <c r="M50" s="131"/>
      <c r="N50" s="131"/>
      <c r="O50" s="131"/>
      <c r="P50" s="131"/>
      <c r="Q50" s="131"/>
      <c r="R50" s="131"/>
      <c r="S50" s="131"/>
      <c r="T50" s="131"/>
      <c r="U50" s="131"/>
      <c r="V50" s="131"/>
      <c r="W50" s="131"/>
      <c r="X50" s="131"/>
      <c r="Y50" s="131"/>
      <c r="Z50" s="131"/>
    </row>
    <row r="51" spans="1:26" ht="15.75" customHeight="1">
      <c r="A51" s="188"/>
      <c r="B51" s="131"/>
      <c r="C51" s="284" t="s">
        <v>6289</v>
      </c>
      <c r="D51" s="153"/>
      <c r="E51" s="153"/>
      <c r="F51" s="285">
        <f t="shared" si="13"/>
        <v>0</v>
      </c>
      <c r="G51" s="153"/>
      <c r="H51" s="153"/>
      <c r="I51" s="286">
        <f t="shared" si="15"/>
        <v>0</v>
      </c>
      <c r="J51" s="187"/>
      <c r="K51" s="131"/>
      <c r="L51" s="131"/>
      <c r="M51" s="131"/>
      <c r="N51" s="131"/>
      <c r="O51" s="131"/>
      <c r="P51" s="131"/>
      <c r="Q51" s="131"/>
      <c r="R51" s="131"/>
      <c r="S51" s="131"/>
      <c r="T51" s="131"/>
      <c r="U51" s="131"/>
      <c r="V51" s="131"/>
      <c r="W51" s="131"/>
      <c r="X51" s="131"/>
      <c r="Y51" s="131"/>
      <c r="Z51" s="131"/>
    </row>
    <row r="52" spans="1:26" ht="14.25" customHeight="1">
      <c r="A52" s="188"/>
      <c r="B52" s="824" t="s">
        <v>6290</v>
      </c>
      <c r="C52" s="783"/>
      <c r="D52" s="287">
        <f t="shared" ref="D52:E52" si="16">SUM(D53:D59)</f>
        <v>0</v>
      </c>
      <c r="E52" s="287">
        <f t="shared" si="16"/>
        <v>0</v>
      </c>
      <c r="F52" s="287">
        <f t="shared" si="13"/>
        <v>0</v>
      </c>
      <c r="G52" s="287">
        <f t="shared" ref="G52:H52" si="17">SUM(G53:G59)</f>
        <v>0</v>
      </c>
      <c r="H52" s="287">
        <f t="shared" si="17"/>
        <v>0</v>
      </c>
      <c r="I52" s="288">
        <f t="shared" si="15"/>
        <v>0</v>
      </c>
      <c r="J52" s="187"/>
      <c r="K52" s="131"/>
      <c r="L52" s="131"/>
      <c r="M52" s="131"/>
      <c r="N52" s="131"/>
      <c r="O52" s="131"/>
      <c r="P52" s="131"/>
      <c r="Q52" s="131"/>
      <c r="R52" s="131"/>
      <c r="S52" s="131"/>
      <c r="T52" s="131"/>
      <c r="U52" s="131"/>
      <c r="V52" s="131"/>
      <c r="W52" s="131"/>
      <c r="X52" s="131"/>
      <c r="Y52" s="131"/>
      <c r="Z52" s="131"/>
    </row>
    <row r="53" spans="1:26" ht="15.75" customHeight="1">
      <c r="A53" s="188"/>
      <c r="B53" s="283"/>
      <c r="C53" s="284" t="s">
        <v>6291</v>
      </c>
      <c r="D53" s="153"/>
      <c r="E53" s="153"/>
      <c r="F53" s="285">
        <f t="shared" si="13"/>
        <v>0</v>
      </c>
      <c r="G53" s="153"/>
      <c r="H53" s="153"/>
      <c r="I53" s="286">
        <f t="shared" si="15"/>
        <v>0</v>
      </c>
      <c r="J53" s="187"/>
      <c r="K53" s="131"/>
      <c r="L53" s="131"/>
      <c r="M53" s="131"/>
      <c r="N53" s="131"/>
      <c r="O53" s="131"/>
      <c r="P53" s="131"/>
      <c r="Q53" s="131"/>
      <c r="R53" s="131"/>
      <c r="S53" s="131"/>
      <c r="T53" s="131"/>
      <c r="U53" s="131"/>
      <c r="V53" s="131"/>
      <c r="W53" s="131"/>
      <c r="X53" s="131"/>
      <c r="Y53" s="131"/>
      <c r="Z53" s="131"/>
    </row>
    <row r="54" spans="1:26" ht="15.75" customHeight="1">
      <c r="A54" s="188"/>
      <c r="B54" s="131"/>
      <c r="C54" s="284" t="s">
        <v>6292</v>
      </c>
      <c r="D54" s="153"/>
      <c r="E54" s="153"/>
      <c r="F54" s="285">
        <f t="shared" si="13"/>
        <v>0</v>
      </c>
      <c r="G54" s="153"/>
      <c r="H54" s="153"/>
      <c r="I54" s="286">
        <f t="shared" si="15"/>
        <v>0</v>
      </c>
      <c r="J54" s="187"/>
      <c r="K54" s="131"/>
      <c r="L54" s="131"/>
      <c r="M54" s="131"/>
      <c r="N54" s="131"/>
      <c r="O54" s="131"/>
      <c r="P54" s="131"/>
      <c r="Q54" s="131"/>
      <c r="R54" s="131"/>
      <c r="S54" s="131"/>
      <c r="T54" s="131"/>
      <c r="U54" s="131"/>
      <c r="V54" s="131"/>
      <c r="W54" s="131"/>
      <c r="X54" s="131"/>
      <c r="Y54" s="131"/>
      <c r="Z54" s="131"/>
    </row>
    <row r="55" spans="1:26" ht="15.75" customHeight="1">
      <c r="A55" s="188"/>
      <c r="B55" s="131"/>
      <c r="C55" s="284" t="s">
        <v>6293</v>
      </c>
      <c r="D55" s="153"/>
      <c r="E55" s="153"/>
      <c r="F55" s="285">
        <f t="shared" si="13"/>
        <v>0</v>
      </c>
      <c r="G55" s="153"/>
      <c r="H55" s="153"/>
      <c r="I55" s="286">
        <f t="shared" si="15"/>
        <v>0</v>
      </c>
      <c r="J55" s="187"/>
      <c r="K55" s="131"/>
      <c r="L55" s="131"/>
      <c r="M55" s="131"/>
      <c r="N55" s="131"/>
      <c r="O55" s="131"/>
      <c r="P55" s="131"/>
      <c r="Q55" s="131"/>
      <c r="R55" s="131"/>
      <c r="S55" s="131"/>
      <c r="T55" s="131"/>
      <c r="U55" s="131"/>
      <c r="V55" s="131"/>
      <c r="W55" s="131"/>
      <c r="X55" s="131"/>
      <c r="Y55" s="131"/>
      <c r="Z55" s="131"/>
    </row>
    <row r="56" spans="1:26" ht="15.75" customHeight="1">
      <c r="A56" s="188"/>
      <c r="B56" s="131"/>
      <c r="C56" s="284" t="s">
        <v>6294</v>
      </c>
      <c r="D56" s="153"/>
      <c r="E56" s="153"/>
      <c r="F56" s="285">
        <f t="shared" si="13"/>
        <v>0</v>
      </c>
      <c r="G56" s="153"/>
      <c r="H56" s="153"/>
      <c r="I56" s="286">
        <f t="shared" si="15"/>
        <v>0</v>
      </c>
      <c r="J56" s="187"/>
      <c r="K56" s="131"/>
      <c r="L56" s="131"/>
      <c r="M56" s="131"/>
      <c r="N56" s="131"/>
      <c r="O56" s="131"/>
      <c r="P56" s="131"/>
      <c r="Q56" s="131"/>
      <c r="R56" s="131"/>
      <c r="S56" s="131"/>
      <c r="T56" s="131"/>
      <c r="U56" s="131"/>
      <c r="V56" s="131"/>
      <c r="W56" s="131"/>
      <c r="X56" s="131"/>
      <c r="Y56" s="131"/>
      <c r="Z56" s="131"/>
    </row>
    <row r="57" spans="1:26" ht="15.75" customHeight="1">
      <c r="A57" s="188"/>
      <c r="B57" s="131"/>
      <c r="C57" s="284" t="s">
        <v>6295</v>
      </c>
      <c r="D57" s="153"/>
      <c r="E57" s="153"/>
      <c r="F57" s="285">
        <f t="shared" si="13"/>
        <v>0</v>
      </c>
      <c r="G57" s="153"/>
      <c r="H57" s="153"/>
      <c r="I57" s="286">
        <f t="shared" si="15"/>
        <v>0</v>
      </c>
      <c r="J57" s="187"/>
      <c r="K57" s="131"/>
      <c r="L57" s="131"/>
      <c r="M57" s="131"/>
      <c r="N57" s="131"/>
      <c r="O57" s="131"/>
      <c r="P57" s="131"/>
      <c r="Q57" s="131"/>
      <c r="R57" s="131"/>
      <c r="S57" s="131"/>
      <c r="T57" s="131"/>
      <c r="U57" s="131"/>
      <c r="V57" s="131"/>
      <c r="W57" s="131"/>
      <c r="X57" s="131"/>
      <c r="Y57" s="131"/>
      <c r="Z57" s="131"/>
    </row>
    <row r="58" spans="1:26" ht="15.75" customHeight="1">
      <c r="A58" s="188"/>
      <c r="B58" s="131"/>
      <c r="C58" s="284" t="s">
        <v>6296</v>
      </c>
      <c r="D58" s="153"/>
      <c r="E58" s="153"/>
      <c r="F58" s="285">
        <f t="shared" si="13"/>
        <v>0</v>
      </c>
      <c r="G58" s="153"/>
      <c r="H58" s="153"/>
      <c r="I58" s="286">
        <f t="shared" si="15"/>
        <v>0</v>
      </c>
      <c r="J58" s="187"/>
      <c r="K58" s="131"/>
      <c r="L58" s="131"/>
      <c r="M58" s="131"/>
      <c r="N58" s="131"/>
      <c r="O58" s="131"/>
      <c r="P58" s="131"/>
      <c r="Q58" s="131"/>
      <c r="R58" s="131"/>
      <c r="S58" s="131"/>
      <c r="T58" s="131"/>
      <c r="U58" s="131"/>
      <c r="V58" s="131"/>
      <c r="W58" s="131"/>
      <c r="X58" s="131"/>
      <c r="Y58" s="131"/>
      <c r="Z58" s="131"/>
    </row>
    <row r="59" spans="1:26" ht="15.75" customHeight="1">
      <c r="A59" s="188"/>
      <c r="B59" s="131"/>
      <c r="C59" s="284" t="s">
        <v>6297</v>
      </c>
      <c r="D59" s="153"/>
      <c r="E59" s="153"/>
      <c r="F59" s="285">
        <f t="shared" si="13"/>
        <v>0</v>
      </c>
      <c r="G59" s="153"/>
      <c r="H59" s="153"/>
      <c r="I59" s="286">
        <f t="shared" si="15"/>
        <v>0</v>
      </c>
      <c r="J59" s="187"/>
      <c r="K59" s="131"/>
      <c r="L59" s="131"/>
      <c r="M59" s="131"/>
      <c r="N59" s="131"/>
      <c r="O59" s="131"/>
      <c r="P59" s="131"/>
      <c r="Q59" s="131"/>
      <c r="R59" s="131"/>
      <c r="S59" s="131"/>
      <c r="T59" s="131"/>
      <c r="U59" s="131"/>
      <c r="V59" s="131"/>
      <c r="W59" s="131"/>
      <c r="X59" s="131"/>
      <c r="Y59" s="131"/>
      <c r="Z59" s="131"/>
    </row>
    <row r="60" spans="1:26" ht="14.25" customHeight="1">
      <c r="A60" s="188"/>
      <c r="B60" s="824" t="s">
        <v>6298</v>
      </c>
      <c r="C60" s="783"/>
      <c r="D60" s="289">
        <f t="shared" ref="D60:E60" si="18">SUM(D61:D69)</f>
        <v>0</v>
      </c>
      <c r="E60" s="289">
        <f t="shared" si="18"/>
        <v>0</v>
      </c>
      <c r="F60" s="289">
        <f t="shared" si="13"/>
        <v>0</v>
      </c>
      <c r="G60" s="289">
        <f t="shared" ref="G60:H60" si="19">SUM(G61:G69)</f>
        <v>0</v>
      </c>
      <c r="H60" s="289">
        <f t="shared" si="19"/>
        <v>0</v>
      </c>
      <c r="I60" s="290">
        <f t="shared" si="15"/>
        <v>0</v>
      </c>
      <c r="J60" s="187"/>
      <c r="K60" s="131"/>
      <c r="L60" s="131"/>
      <c r="M60" s="131"/>
      <c r="N60" s="131"/>
      <c r="O60" s="131"/>
      <c r="P60" s="131"/>
      <c r="Q60" s="131"/>
      <c r="R60" s="131"/>
      <c r="S60" s="131"/>
      <c r="T60" s="131"/>
      <c r="U60" s="131"/>
      <c r="V60" s="131"/>
      <c r="W60" s="131"/>
      <c r="X60" s="131"/>
      <c r="Y60" s="131"/>
      <c r="Z60" s="131"/>
    </row>
    <row r="61" spans="1:26" ht="15.75" customHeight="1">
      <c r="A61" s="188"/>
      <c r="B61" s="283"/>
      <c r="C61" s="284" t="s">
        <v>6299</v>
      </c>
      <c r="D61" s="153"/>
      <c r="E61" s="153"/>
      <c r="F61" s="285">
        <f t="shared" si="13"/>
        <v>0</v>
      </c>
      <c r="G61" s="153"/>
      <c r="H61" s="153"/>
      <c r="I61" s="286">
        <f t="shared" si="15"/>
        <v>0</v>
      </c>
      <c r="J61" s="187"/>
      <c r="K61" s="131"/>
      <c r="L61" s="131"/>
      <c r="M61" s="131"/>
      <c r="N61" s="131"/>
      <c r="O61" s="131"/>
      <c r="P61" s="131"/>
      <c r="Q61" s="131"/>
      <c r="R61" s="131"/>
      <c r="S61" s="131"/>
      <c r="T61" s="131"/>
      <c r="U61" s="131"/>
      <c r="V61" s="131"/>
      <c r="W61" s="131"/>
      <c r="X61" s="131"/>
      <c r="Y61" s="131"/>
      <c r="Z61" s="131"/>
    </row>
    <row r="62" spans="1:26" ht="15.75" customHeight="1">
      <c r="A62" s="188"/>
      <c r="B62" s="131"/>
      <c r="C62" s="284" t="s">
        <v>6300</v>
      </c>
      <c r="D62" s="153"/>
      <c r="E62" s="153"/>
      <c r="F62" s="285">
        <f t="shared" si="13"/>
        <v>0</v>
      </c>
      <c r="G62" s="153"/>
      <c r="H62" s="153"/>
      <c r="I62" s="286">
        <f t="shared" si="15"/>
        <v>0</v>
      </c>
      <c r="J62" s="187"/>
      <c r="K62" s="131"/>
      <c r="L62" s="131"/>
      <c r="M62" s="131"/>
      <c r="N62" s="131"/>
      <c r="O62" s="131"/>
      <c r="P62" s="131"/>
      <c r="Q62" s="131"/>
      <c r="R62" s="131"/>
      <c r="S62" s="131"/>
      <c r="T62" s="131"/>
      <c r="U62" s="131"/>
      <c r="V62" s="131"/>
      <c r="W62" s="131"/>
      <c r="X62" s="131"/>
      <c r="Y62" s="131"/>
      <c r="Z62" s="131"/>
    </row>
    <row r="63" spans="1:26" ht="15.75" customHeight="1">
      <c r="A63" s="188"/>
      <c r="B63" s="131"/>
      <c r="C63" s="284" t="s">
        <v>6301</v>
      </c>
      <c r="D63" s="153"/>
      <c r="E63" s="153"/>
      <c r="F63" s="285">
        <f t="shared" si="13"/>
        <v>0</v>
      </c>
      <c r="G63" s="153"/>
      <c r="H63" s="153"/>
      <c r="I63" s="286">
        <f t="shared" si="15"/>
        <v>0</v>
      </c>
      <c r="J63" s="187"/>
      <c r="K63" s="131"/>
      <c r="L63" s="131"/>
      <c r="M63" s="131"/>
      <c r="N63" s="131"/>
      <c r="O63" s="131"/>
      <c r="P63" s="131"/>
      <c r="Q63" s="131"/>
      <c r="R63" s="131"/>
      <c r="S63" s="131"/>
      <c r="T63" s="131"/>
      <c r="U63" s="131"/>
      <c r="V63" s="131"/>
      <c r="W63" s="131"/>
      <c r="X63" s="131"/>
      <c r="Y63" s="131"/>
      <c r="Z63" s="131"/>
    </row>
    <row r="64" spans="1:26" ht="15.75" customHeight="1">
      <c r="A64" s="188"/>
      <c r="B64" s="131"/>
      <c r="C64" s="284" t="s">
        <v>6302</v>
      </c>
      <c r="D64" s="153"/>
      <c r="E64" s="153"/>
      <c r="F64" s="285">
        <f t="shared" si="13"/>
        <v>0</v>
      </c>
      <c r="G64" s="153"/>
      <c r="H64" s="153"/>
      <c r="I64" s="286">
        <f t="shared" si="15"/>
        <v>0</v>
      </c>
      <c r="J64" s="187"/>
      <c r="K64" s="131"/>
      <c r="L64" s="131"/>
      <c r="M64" s="131"/>
      <c r="N64" s="131"/>
      <c r="O64" s="131"/>
      <c r="P64" s="131"/>
      <c r="Q64" s="131"/>
      <c r="R64" s="131"/>
      <c r="S64" s="131"/>
      <c r="T64" s="131"/>
      <c r="U64" s="131"/>
      <c r="V64" s="131"/>
      <c r="W64" s="131"/>
      <c r="X64" s="131"/>
      <c r="Y64" s="131"/>
      <c r="Z64" s="131"/>
    </row>
    <row r="65" spans="1:26" ht="15.75" customHeight="1">
      <c r="A65" s="188"/>
      <c r="B65" s="131"/>
      <c r="C65" s="284" t="s">
        <v>6303</v>
      </c>
      <c r="D65" s="153"/>
      <c r="E65" s="153"/>
      <c r="F65" s="285">
        <f t="shared" si="13"/>
        <v>0</v>
      </c>
      <c r="G65" s="153"/>
      <c r="H65" s="153"/>
      <c r="I65" s="286">
        <f t="shared" si="15"/>
        <v>0</v>
      </c>
      <c r="J65" s="187"/>
      <c r="K65" s="131"/>
      <c r="L65" s="131"/>
      <c r="M65" s="131"/>
      <c r="N65" s="131"/>
      <c r="O65" s="131"/>
      <c r="P65" s="131"/>
      <c r="Q65" s="131"/>
      <c r="R65" s="131"/>
      <c r="S65" s="131"/>
      <c r="T65" s="131"/>
      <c r="U65" s="131"/>
      <c r="V65" s="131"/>
      <c r="W65" s="131"/>
      <c r="X65" s="131"/>
      <c r="Y65" s="131"/>
      <c r="Z65" s="131"/>
    </row>
    <row r="66" spans="1:26" ht="15.75" customHeight="1">
      <c r="A66" s="188"/>
      <c r="B66" s="131"/>
      <c r="C66" s="284" t="s">
        <v>6304</v>
      </c>
      <c r="D66" s="153"/>
      <c r="E66" s="153"/>
      <c r="F66" s="285">
        <f t="shared" si="13"/>
        <v>0</v>
      </c>
      <c r="G66" s="153"/>
      <c r="H66" s="153"/>
      <c r="I66" s="286">
        <f t="shared" si="15"/>
        <v>0</v>
      </c>
      <c r="J66" s="187"/>
      <c r="K66" s="131"/>
      <c r="L66" s="131"/>
      <c r="M66" s="131"/>
      <c r="N66" s="131"/>
      <c r="O66" s="131"/>
      <c r="P66" s="131"/>
      <c r="Q66" s="131"/>
      <c r="R66" s="131"/>
      <c r="S66" s="131"/>
      <c r="T66" s="131"/>
      <c r="U66" s="131"/>
      <c r="V66" s="131"/>
      <c r="W66" s="131"/>
      <c r="X66" s="131"/>
      <c r="Y66" s="131"/>
      <c r="Z66" s="131"/>
    </row>
    <row r="67" spans="1:26" ht="15.75" customHeight="1">
      <c r="A67" s="188"/>
      <c r="B67" s="131"/>
      <c r="C67" s="284" t="s">
        <v>6305</v>
      </c>
      <c r="D67" s="153"/>
      <c r="E67" s="153"/>
      <c r="F67" s="285">
        <f t="shared" si="13"/>
        <v>0</v>
      </c>
      <c r="G67" s="153"/>
      <c r="H67" s="153"/>
      <c r="I67" s="286">
        <f t="shared" si="15"/>
        <v>0</v>
      </c>
      <c r="J67" s="187"/>
      <c r="K67" s="131"/>
      <c r="L67" s="131"/>
      <c r="M67" s="131"/>
      <c r="N67" s="131"/>
      <c r="O67" s="131"/>
      <c r="P67" s="131"/>
      <c r="Q67" s="131"/>
      <c r="R67" s="131"/>
      <c r="S67" s="131"/>
      <c r="T67" s="131"/>
      <c r="U67" s="131"/>
      <c r="V67" s="131"/>
      <c r="W67" s="131"/>
      <c r="X67" s="131"/>
      <c r="Y67" s="131"/>
      <c r="Z67" s="131"/>
    </row>
    <row r="68" spans="1:26" ht="15.75" customHeight="1">
      <c r="A68" s="188"/>
      <c r="B68" s="131"/>
      <c r="C68" s="284" t="s">
        <v>6306</v>
      </c>
      <c r="D68" s="153"/>
      <c r="E68" s="153"/>
      <c r="F68" s="285">
        <f t="shared" si="13"/>
        <v>0</v>
      </c>
      <c r="G68" s="153"/>
      <c r="H68" s="153"/>
      <c r="I68" s="286">
        <f t="shared" si="15"/>
        <v>0</v>
      </c>
      <c r="J68" s="187"/>
      <c r="K68" s="131"/>
      <c r="L68" s="131"/>
      <c r="M68" s="131"/>
      <c r="N68" s="131"/>
      <c r="O68" s="131"/>
      <c r="P68" s="131"/>
      <c r="Q68" s="131"/>
      <c r="R68" s="131"/>
      <c r="S68" s="131"/>
      <c r="T68" s="131"/>
      <c r="U68" s="131"/>
      <c r="V68" s="131"/>
      <c r="W68" s="131"/>
      <c r="X68" s="131"/>
      <c r="Y68" s="131"/>
      <c r="Z68" s="131"/>
    </row>
    <row r="69" spans="1:26" ht="15.75" customHeight="1">
      <c r="A69" s="188"/>
      <c r="B69" s="131"/>
      <c r="C69" s="284" t="s">
        <v>6307</v>
      </c>
      <c r="D69" s="153"/>
      <c r="E69" s="153"/>
      <c r="F69" s="285">
        <f t="shared" si="13"/>
        <v>0</v>
      </c>
      <c r="G69" s="153"/>
      <c r="H69" s="153"/>
      <c r="I69" s="286">
        <f t="shared" si="15"/>
        <v>0</v>
      </c>
      <c r="J69" s="187"/>
      <c r="K69" s="131"/>
      <c r="L69" s="131"/>
      <c r="M69" s="131"/>
      <c r="N69" s="131"/>
      <c r="O69" s="131"/>
      <c r="P69" s="131"/>
      <c r="Q69" s="131"/>
      <c r="R69" s="131"/>
      <c r="S69" s="131"/>
      <c r="T69" s="131"/>
      <c r="U69" s="131"/>
      <c r="V69" s="131"/>
      <c r="W69" s="131"/>
      <c r="X69" s="131"/>
      <c r="Y69" s="131"/>
      <c r="Z69" s="131"/>
    </row>
    <row r="70" spans="1:26" ht="14.25" customHeight="1">
      <c r="A70" s="188"/>
      <c r="B70" s="824" t="s">
        <v>6308</v>
      </c>
      <c r="C70" s="783"/>
      <c r="D70" s="289">
        <f t="shared" ref="D70:E70" si="20">SUM(D71:D74)</f>
        <v>0</v>
      </c>
      <c r="E70" s="289">
        <f t="shared" si="20"/>
        <v>0</v>
      </c>
      <c r="F70" s="289">
        <f t="shared" si="13"/>
        <v>0</v>
      </c>
      <c r="G70" s="289">
        <f t="shared" ref="G70:H70" si="21">SUM(G71:G74)</f>
        <v>0</v>
      </c>
      <c r="H70" s="289">
        <f t="shared" si="21"/>
        <v>0</v>
      </c>
      <c r="I70" s="290">
        <f t="shared" si="15"/>
        <v>0</v>
      </c>
      <c r="J70" s="187"/>
      <c r="K70" s="131"/>
      <c r="L70" s="131"/>
      <c r="M70" s="131"/>
      <c r="N70" s="131"/>
      <c r="O70" s="131"/>
      <c r="P70" s="131"/>
      <c r="Q70" s="131"/>
      <c r="R70" s="131"/>
      <c r="S70" s="131"/>
      <c r="T70" s="131"/>
      <c r="U70" s="131"/>
      <c r="V70" s="131"/>
      <c r="W70" s="131"/>
      <c r="X70" s="131"/>
      <c r="Y70" s="131"/>
      <c r="Z70" s="131"/>
    </row>
    <row r="71" spans="1:26" ht="15.75" customHeight="1">
      <c r="A71" s="188"/>
      <c r="B71" s="131"/>
      <c r="C71" s="291" t="s">
        <v>6309</v>
      </c>
      <c r="D71" s="153"/>
      <c r="E71" s="153"/>
      <c r="F71" s="285">
        <f t="shared" si="13"/>
        <v>0</v>
      </c>
      <c r="G71" s="153"/>
      <c r="H71" s="153"/>
      <c r="I71" s="286">
        <f t="shared" si="15"/>
        <v>0</v>
      </c>
      <c r="J71" s="187"/>
      <c r="K71" s="131"/>
      <c r="L71" s="131"/>
      <c r="M71" s="131"/>
      <c r="N71" s="131"/>
      <c r="O71" s="131"/>
      <c r="P71" s="131"/>
      <c r="Q71" s="131"/>
      <c r="R71" s="131"/>
      <c r="S71" s="131"/>
      <c r="T71" s="131"/>
      <c r="U71" s="131"/>
      <c r="V71" s="131"/>
      <c r="W71" s="131"/>
      <c r="X71" s="131"/>
      <c r="Y71" s="131"/>
      <c r="Z71" s="131"/>
    </row>
    <row r="72" spans="1:26" ht="15.75" customHeight="1">
      <c r="A72" s="188"/>
      <c r="B72" s="131"/>
      <c r="C72" s="292" t="s">
        <v>6310</v>
      </c>
      <c r="D72" s="153"/>
      <c r="E72" s="153"/>
      <c r="F72" s="285">
        <f t="shared" si="13"/>
        <v>0</v>
      </c>
      <c r="G72" s="153"/>
      <c r="H72" s="153"/>
      <c r="I72" s="286">
        <f t="shared" si="15"/>
        <v>0</v>
      </c>
      <c r="J72" s="187"/>
      <c r="K72" s="131"/>
      <c r="L72" s="131"/>
      <c r="M72" s="131"/>
      <c r="N72" s="131"/>
      <c r="O72" s="131"/>
      <c r="P72" s="131"/>
      <c r="Q72" s="131"/>
      <c r="R72" s="131"/>
      <c r="S72" s="131"/>
      <c r="T72" s="131"/>
      <c r="U72" s="131"/>
      <c r="V72" s="131"/>
      <c r="W72" s="131"/>
      <c r="X72" s="131"/>
      <c r="Y72" s="131"/>
      <c r="Z72" s="131"/>
    </row>
    <row r="73" spans="1:26" ht="15.75" customHeight="1">
      <c r="A73" s="188"/>
      <c r="B73" s="131"/>
      <c r="C73" s="284" t="s">
        <v>6311</v>
      </c>
      <c r="D73" s="153"/>
      <c r="E73" s="153"/>
      <c r="F73" s="285">
        <f t="shared" si="13"/>
        <v>0</v>
      </c>
      <c r="G73" s="153"/>
      <c r="H73" s="153"/>
      <c r="I73" s="286">
        <f t="shared" si="15"/>
        <v>0</v>
      </c>
      <c r="J73" s="187"/>
      <c r="K73" s="131"/>
      <c r="L73" s="131"/>
      <c r="M73" s="131"/>
      <c r="N73" s="131"/>
      <c r="O73" s="131"/>
      <c r="P73" s="131"/>
      <c r="Q73" s="131"/>
      <c r="R73" s="131"/>
      <c r="S73" s="131"/>
      <c r="T73" s="131"/>
      <c r="U73" s="131"/>
      <c r="V73" s="131"/>
      <c r="W73" s="131"/>
      <c r="X73" s="131"/>
      <c r="Y73" s="131"/>
      <c r="Z73" s="131"/>
    </row>
    <row r="74" spans="1:26" ht="15.75" customHeight="1">
      <c r="A74" s="188"/>
      <c r="B74" s="131"/>
      <c r="C74" s="284" t="s">
        <v>6312</v>
      </c>
      <c r="D74" s="239"/>
      <c r="E74" s="239"/>
      <c r="F74" s="293">
        <f t="shared" si="13"/>
        <v>0</v>
      </c>
      <c r="G74" s="239"/>
      <c r="H74" s="239"/>
      <c r="I74" s="294">
        <f t="shared" si="15"/>
        <v>0</v>
      </c>
      <c r="J74" s="187"/>
      <c r="K74" s="131"/>
      <c r="L74" s="131"/>
      <c r="M74" s="131"/>
      <c r="N74" s="131"/>
      <c r="O74" s="131"/>
      <c r="P74" s="131"/>
      <c r="Q74" s="131"/>
      <c r="R74" s="131"/>
      <c r="S74" s="131"/>
      <c r="T74" s="131"/>
      <c r="U74" s="131"/>
      <c r="V74" s="131"/>
      <c r="W74" s="131"/>
      <c r="X74" s="131"/>
      <c r="Y74" s="131"/>
      <c r="Z74" s="131"/>
    </row>
    <row r="75" spans="1:26" ht="15.75" customHeight="1">
      <c r="A75" s="188"/>
      <c r="B75" s="279"/>
      <c r="C75" s="295"/>
      <c r="D75" s="303"/>
      <c r="E75" s="303"/>
      <c r="F75" s="303"/>
      <c r="G75" s="303"/>
      <c r="H75" s="303"/>
      <c r="I75" s="304"/>
      <c r="J75" s="187"/>
      <c r="K75" s="131"/>
      <c r="L75" s="131"/>
      <c r="M75" s="131"/>
      <c r="N75" s="131"/>
      <c r="O75" s="131"/>
      <c r="P75" s="131"/>
      <c r="Q75" s="131"/>
      <c r="R75" s="131"/>
      <c r="S75" s="131"/>
      <c r="T75" s="131"/>
      <c r="U75" s="131"/>
      <c r="V75" s="131"/>
      <c r="W75" s="131"/>
      <c r="X75" s="131"/>
      <c r="Y75" s="131"/>
      <c r="Z75" s="131"/>
    </row>
    <row r="76" spans="1:26" ht="15.75" customHeight="1">
      <c r="A76" s="191"/>
      <c r="B76" s="828" t="s">
        <v>6277</v>
      </c>
      <c r="C76" s="780"/>
      <c r="D76" s="305">
        <f t="shared" ref="D76:I76" si="22">D41+D75</f>
        <v>0</v>
      </c>
      <c r="E76" s="305">
        <f t="shared" si="22"/>
        <v>0</v>
      </c>
      <c r="F76" s="305">
        <f t="shared" si="22"/>
        <v>0</v>
      </c>
      <c r="G76" s="305">
        <f t="shared" si="22"/>
        <v>0</v>
      </c>
      <c r="H76" s="305">
        <f t="shared" si="22"/>
        <v>0</v>
      </c>
      <c r="I76" s="306">
        <f t="shared" si="22"/>
        <v>0</v>
      </c>
      <c r="J76" s="307"/>
      <c r="K76" s="197"/>
      <c r="L76" s="197"/>
      <c r="M76" s="197"/>
      <c r="N76" s="197"/>
      <c r="O76" s="197"/>
      <c r="P76" s="197"/>
      <c r="Q76" s="197"/>
      <c r="R76" s="197"/>
      <c r="S76" s="197"/>
      <c r="T76" s="197"/>
      <c r="U76" s="197"/>
      <c r="V76" s="197"/>
      <c r="W76" s="197"/>
      <c r="X76" s="197"/>
      <c r="Y76" s="197"/>
      <c r="Z76" s="197"/>
    </row>
    <row r="77" spans="1:26"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5.75" customHeight="1">
      <c r="A78" s="131"/>
      <c r="B78" s="308" t="s">
        <v>4422</v>
      </c>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5.75" customHeight="1">
      <c r="A80" s="131"/>
      <c r="B80" s="131"/>
      <c r="C80" s="197"/>
      <c r="D80" s="131"/>
      <c r="E80" s="197"/>
      <c r="F80" s="197"/>
      <c r="G80" s="197"/>
      <c r="H80" s="197"/>
      <c r="I80" s="131"/>
      <c r="J80" s="131"/>
      <c r="K80" s="131"/>
      <c r="L80" s="131"/>
      <c r="M80" s="131"/>
      <c r="N80" s="131"/>
      <c r="O80" s="131"/>
      <c r="P80" s="131"/>
      <c r="Q80" s="131"/>
      <c r="R80" s="131"/>
      <c r="S80" s="131"/>
      <c r="T80" s="131"/>
      <c r="U80" s="131"/>
      <c r="V80" s="131"/>
      <c r="W80" s="131"/>
      <c r="X80" s="131"/>
      <c r="Y80" s="131"/>
      <c r="Z80" s="131"/>
    </row>
    <row r="81" spans="1:26" ht="15.75" customHeight="1">
      <c r="A81" s="131"/>
      <c r="B81" s="131"/>
      <c r="C81" s="822" t="str">
        <f>Validacion!A7</f>
        <v>Vero</v>
      </c>
      <c r="D81" s="131"/>
      <c r="E81" s="822" t="str">
        <f>Validacion!A9</f>
        <v>Irlanda</v>
      </c>
      <c r="F81" s="725"/>
      <c r="G81" s="725"/>
      <c r="H81" s="725"/>
      <c r="I81" s="131"/>
      <c r="J81" s="131"/>
      <c r="K81" s="131"/>
      <c r="L81" s="131"/>
      <c r="M81" s="131"/>
      <c r="N81" s="131"/>
      <c r="O81" s="131"/>
      <c r="P81" s="131"/>
      <c r="Q81" s="131"/>
      <c r="R81" s="131"/>
      <c r="S81" s="131"/>
      <c r="T81" s="131"/>
      <c r="U81" s="131"/>
      <c r="V81" s="131"/>
      <c r="W81" s="131"/>
      <c r="X81" s="131"/>
      <c r="Y81" s="131"/>
      <c r="Z81" s="131"/>
    </row>
    <row r="82" spans="1:26" ht="15.75" customHeight="1">
      <c r="A82" s="131"/>
      <c r="B82" s="131"/>
      <c r="C82" s="725"/>
      <c r="D82" s="131"/>
      <c r="E82" s="725"/>
      <c r="F82" s="725"/>
      <c r="G82" s="725"/>
      <c r="H82" s="725"/>
      <c r="I82" s="131"/>
      <c r="J82" s="131"/>
      <c r="K82" s="131"/>
      <c r="L82" s="131"/>
      <c r="M82" s="131"/>
      <c r="N82" s="131"/>
      <c r="O82" s="131"/>
      <c r="P82" s="131"/>
      <c r="Q82" s="131"/>
      <c r="R82" s="131"/>
      <c r="S82" s="131"/>
      <c r="T82" s="131"/>
      <c r="U82" s="131"/>
      <c r="V82" s="131"/>
      <c r="W82" s="131"/>
      <c r="X82" s="131"/>
      <c r="Y82" s="131"/>
      <c r="Z82" s="131"/>
    </row>
    <row r="83" spans="1:26" ht="15" customHeight="1">
      <c r="A83" s="131"/>
      <c r="B83" s="131"/>
      <c r="C83" s="816" t="s">
        <v>4443</v>
      </c>
      <c r="D83" s="131"/>
      <c r="E83" s="822" t="s">
        <v>6273</v>
      </c>
      <c r="F83" s="725"/>
      <c r="G83" s="725"/>
      <c r="H83" s="725"/>
      <c r="I83" s="131"/>
      <c r="J83" s="131"/>
      <c r="K83" s="131"/>
      <c r="L83" s="131"/>
      <c r="M83" s="131"/>
      <c r="N83" s="131"/>
      <c r="O83" s="131"/>
      <c r="P83" s="131"/>
      <c r="Q83" s="131"/>
      <c r="R83" s="131"/>
      <c r="S83" s="131"/>
      <c r="T83" s="131"/>
      <c r="U83" s="131"/>
      <c r="V83" s="131"/>
      <c r="W83" s="131"/>
      <c r="X83" s="131"/>
      <c r="Y83" s="131"/>
      <c r="Z83" s="131"/>
    </row>
    <row r="84" spans="1:26" ht="15.75" customHeight="1">
      <c r="A84" s="131"/>
      <c r="B84" s="131"/>
      <c r="C84" s="725"/>
      <c r="D84" s="131"/>
      <c r="E84" s="725"/>
      <c r="F84" s="725"/>
      <c r="G84" s="725"/>
      <c r="H84" s="725"/>
      <c r="I84" s="131"/>
      <c r="J84" s="131"/>
      <c r="K84" s="131"/>
      <c r="L84" s="131"/>
      <c r="M84" s="131"/>
      <c r="N84" s="131"/>
      <c r="O84" s="131"/>
      <c r="P84" s="131"/>
      <c r="Q84" s="131"/>
      <c r="R84" s="131"/>
      <c r="S84" s="131"/>
      <c r="T84" s="131"/>
      <c r="U84" s="131"/>
      <c r="V84" s="131"/>
      <c r="W84" s="131"/>
      <c r="X84" s="131"/>
      <c r="Y84" s="131"/>
      <c r="Z84" s="131"/>
    </row>
    <row r="85" spans="1:26" ht="15.7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5.7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5.7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5.7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5.7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5.7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5.7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5.7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5.7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5.7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5.7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5.7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5.7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5.7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5.7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5.7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5.7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5.7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5.7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5.7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5.7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5.7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5.7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5.7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5.7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5.7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5.7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5.7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5.7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5.7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5.7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5.7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5.7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5.7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5.7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5.7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5.7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5.7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5.7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5.7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5.7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5.7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5.7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5.7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5.7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5.7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5.7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5.7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5.7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5.7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5.7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5.7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5.7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5.7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5.7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5.7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5.7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5.7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5.7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5.7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5.7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5.7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5.7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5.7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5.7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5.7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5.7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5.7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5.7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5.7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5.7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5.7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5.7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5.7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5.7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5.7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5.7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5.7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5.7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5.7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5.7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5.7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5.7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5.7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5.7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5.7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5.7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5.7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5.7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5.7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5.7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5.7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5.7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5.7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5.7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5.7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5.7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5.7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5.7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5.7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5.7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5.7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5.7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5.7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5.7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5.7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5.7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5.7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5.7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5.7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5.7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5.7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5.7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5.7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5.7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5.7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5.7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5.7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5.7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5.7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5.7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5.7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5.7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5.7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5.7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5.7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5.7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5.7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5.7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5.7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5.7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5.7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5.7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5.7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5.7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5.7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5.7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5.7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5.7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5.7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5.7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5.7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5.7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5.7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5.7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5.7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5.7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5.7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5.7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5.7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5.7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5.7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5.7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5.7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5.7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5.7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5.7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5.7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5.7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5.7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5.7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5.7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5.7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5.7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5.7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5.7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5.7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5.7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5.7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5.7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5.7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5.7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5.7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5.7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5.7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5.7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5.7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5.7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5.7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5.7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5.7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5.7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5.7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5.7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5.7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5.7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5.7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5.7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5.7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5.7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5.7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5.7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5.7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5.7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5.7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5.7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5.7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5.7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5.7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5.7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5.7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5.7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5.7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5.7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5.7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5.7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5.7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5.7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5.7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5.7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5.7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5.7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5.7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5.7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5.7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5.7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5.7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5.7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5.7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5.7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5.7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5.7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5.7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5.7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5.7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5.7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5.7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5.7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5.7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5.7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5.7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5.7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5.7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5.7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5.7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5.7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5.7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5.7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5.7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5.7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5.7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5.7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5.7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5.7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5.7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5.7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5.7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5.7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5.7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5.7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5.7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5.7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5.7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5.7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5.7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5.7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5.7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5.7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5.7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5.7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5.7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5.7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5.7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5.7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5.7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5.7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5.7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5.7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5.7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5.7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5.7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5.7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5.7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5.7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5.7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5.7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5.7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5.7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5.7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5.7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5.7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5.7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5.7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5.7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5.7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5.7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5.7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5.7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5.7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5.7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5.7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5.7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5.7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5.7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5.7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5.7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5.7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5.7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5.7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5.7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5.7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5.7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5.7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5.7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5.7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5.7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5.7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5.7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5.7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5.7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5.7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5.7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5.7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5.7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5.7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5.7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5.7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5.7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5.7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5.7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5.7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5.7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5.7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5.7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5.7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5.7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5.7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5.7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5.7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5.7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5.7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5.7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5.7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5.7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5.7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5.7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5.7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5.7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5.7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5.7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5.7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5.7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5.7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5.7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5.7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5.7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5.7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5.7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5.7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5.7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5.7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5.7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5.7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5.7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5.7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5.7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5.7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5.7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5.7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5.7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5.7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5.7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5.7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5.7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5.7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5.7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5.7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5.7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5.7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5.7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5.7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5.7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5.7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5.7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5.7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5.7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5.7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5.7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5.7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5.7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5.7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5.7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5.7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5.7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5.7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5.7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5.7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5.7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5.7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5.7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5.7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5.7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5.7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5.7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5.7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5.7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5.7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5.7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5.7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5.7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5.7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5.7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5.7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5.7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5.7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5.7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5.7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5.7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5.7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5.7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5.7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5.7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5.7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5.7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5.7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5.7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5.7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5.7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5.7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5.7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5.7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5.7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5.7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5.7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5.7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5.7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5.7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5.7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5.7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5.7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5.7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5.7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5.7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5.7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5.7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5.7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5.7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5.7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5.7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5.7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5.7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5.7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5.7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5.7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5.7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5.7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5.7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5.7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5.7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5.7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5.7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5.7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5.7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5.7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5.7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5.7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5.7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5.7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5.7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5.7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5.7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5.7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5.7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5.7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5.7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5.7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5.7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5.7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5.7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5.7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5.7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5.7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5.7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5.7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5.7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5.7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5.7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5.7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5.7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5.7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5.7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5.7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5.7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5.7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5.7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5.7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5.7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5.7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5.7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5.7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5.7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5.7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5.7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5.7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5.7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5.7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5.7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5.7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5.7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5.7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5.7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5.7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5.7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5.7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5.7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5.7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5.7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5.7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5.7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5.7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5.7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5.7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5.7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5.7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5.7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5.7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5.7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5.7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5.7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5.7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5.7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5.7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5.7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5.7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5.7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5.7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5.7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5.7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5.7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5.7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5.7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5.7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5.7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5.7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5.7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5.7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5.7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5.7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5.7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5.7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5.7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5.7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5.7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5.7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5.7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5.7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5.7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5.7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5.7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5.7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5.7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5.7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5.7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5.7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5.7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5.7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5.7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5.7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5.7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5.7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5.7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5.7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5.7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5.7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5.7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5.7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5.7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5.7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5.7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5.7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5.7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5.7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5.7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5.7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5.7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5.7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5.7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5.7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5.7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5.7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5.7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5.7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5.7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5.7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5.7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5.7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5.7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5.7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5.7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5.7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5.7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5.7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5.7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5.7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5.7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5.7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5.7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5.7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5.7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5.7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5.7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5.7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5.7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5.7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5.7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5.7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5.7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5.7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5.7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5.7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5.7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5.7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5.7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5.7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5.7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5.7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5.7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5.7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5.7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5.7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5.7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5.7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5.7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5.7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5.7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5.7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5.7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5.7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5.7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5.7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5.7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5.7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5.7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5.7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5.7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5.7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5.7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5.7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5.7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5.7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5.7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5.7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5.7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5.7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5.7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5.7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5.7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5.7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5.7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5.7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5.7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5.7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5.7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5.7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5.7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5.7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5.7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5.7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5.7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5.7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5.7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5.7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5.7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5.7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5.7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5.7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5.7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5.7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5.7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5.7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5.7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5.7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5.7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5.7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5.7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5.7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5.7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5.7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5.7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5.7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5.7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5.7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5.7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5.7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5.7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5.7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5.7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5.7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5.7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5.7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5.7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5.7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5.7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5.7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5.7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5.7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5.7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5.7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5.7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5.7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5.7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5.7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5.7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5.7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5.7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5.7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5.7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5.7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5.7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5.7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5.7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5.7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5.7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5.7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5.7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5.7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5.7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5.7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5.7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5.7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5.7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5.7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5.7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5.7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5.7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5.7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5.7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5.7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5.7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5.7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5.7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5.7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5.7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5.7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5.7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5.7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5.7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5.7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5.7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5.7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5.7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5.7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5.7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5.7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5.7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5.7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5.7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5.7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5.7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5.7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5.7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5.7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5.7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5.7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5.7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5.7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5.7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5.7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5.7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5.7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5.7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5.7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5.7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5.7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5.7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5.7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5.7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5.7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5.7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5.7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5.7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5.7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5.7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5.7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5.7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5.7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5.7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5.7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5.7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5.7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5.7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5.7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5.7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5.7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5.7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5.7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5.7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5.7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5.7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5.7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5.7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5.7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5.7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5.7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5.7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5.7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5.7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5.7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5.7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5.7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5.7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5.7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5.7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5.7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5.7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5.7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5.7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5.7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5.7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5.7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5.7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5.7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5.7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5.7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5.7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5.7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5.7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5.7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5.7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5.7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5.7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5.7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5.7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5.7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5.7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5.7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5.7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5.7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5.7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5.7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5.7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5.7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5.7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5.7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5.7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5.7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5.7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5.7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5.7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5.7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5.7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5.7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5.7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5.7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5.7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5.7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5.7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5.7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5.7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5.7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5.7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5.7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5.7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5.7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5.7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5.7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5.7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5.7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5.7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5.7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5.7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5.7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5.7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5.7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5.7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5.7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5.7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5.7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5.7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5.7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5.7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5.7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5.7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5.7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5.7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5.7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5.7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5.7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5.7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5.7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5.7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5.7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5.7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5.7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5.7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5.7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5.7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5.7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5.7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5.7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5.7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5.7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5.7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5.7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9">
    <mergeCell ref="I6:I7"/>
    <mergeCell ref="B76:C76"/>
    <mergeCell ref="C81:C82"/>
    <mergeCell ref="E81:H82"/>
    <mergeCell ref="B1:J1"/>
    <mergeCell ref="B2:I2"/>
    <mergeCell ref="B3:I3"/>
    <mergeCell ref="C4:J4"/>
    <mergeCell ref="C5:J5"/>
    <mergeCell ref="C83:C84"/>
    <mergeCell ref="E83:H84"/>
    <mergeCell ref="A6:C7"/>
    <mergeCell ref="B18:C18"/>
    <mergeCell ref="B26:C26"/>
    <mergeCell ref="B36:C36"/>
    <mergeCell ref="B52:C52"/>
    <mergeCell ref="B60:C60"/>
    <mergeCell ref="B70:C70"/>
    <mergeCell ref="D6:H6"/>
  </mergeCells>
  <conditionalFormatting sqref="D10:E17">
    <cfRule type="containsBlanks" dxfId="49" priority="1" stopIfTrue="1">
      <formula>LEN(TRIM(D10))=0</formula>
    </cfRule>
  </conditionalFormatting>
  <conditionalFormatting sqref="G10:H17">
    <cfRule type="containsBlanks" dxfId="48" priority="2" stopIfTrue="1">
      <formula>LEN(TRIM(G10))=0</formula>
    </cfRule>
  </conditionalFormatting>
  <conditionalFormatting sqref="G19:H25">
    <cfRule type="containsBlanks" dxfId="47" priority="3" stopIfTrue="1">
      <formula>LEN(TRIM(G19))=0</formula>
    </cfRule>
  </conditionalFormatting>
  <conditionalFormatting sqref="D19:E25">
    <cfRule type="containsBlanks" dxfId="46" priority="4" stopIfTrue="1">
      <formula>LEN(TRIM(D19))=0</formula>
    </cfRule>
  </conditionalFormatting>
  <conditionalFormatting sqref="D27:E35">
    <cfRule type="containsBlanks" dxfId="45" priority="5" stopIfTrue="1">
      <formula>LEN(TRIM(D27))=0</formula>
    </cfRule>
  </conditionalFormatting>
  <conditionalFormatting sqref="G27:H35">
    <cfRule type="containsBlanks" dxfId="44" priority="6" stopIfTrue="1">
      <formula>LEN(TRIM(G27))=0</formula>
    </cfRule>
  </conditionalFormatting>
  <conditionalFormatting sqref="G37:H40">
    <cfRule type="containsBlanks" dxfId="43" priority="7" stopIfTrue="1">
      <formula>LEN(TRIM(G37))=0</formula>
    </cfRule>
  </conditionalFormatting>
  <conditionalFormatting sqref="D37:E40">
    <cfRule type="containsBlanks" dxfId="42" priority="8" stopIfTrue="1">
      <formula>LEN(TRIM(D37))=0</formula>
    </cfRule>
  </conditionalFormatting>
  <conditionalFormatting sqref="G44:H51">
    <cfRule type="containsBlanks" dxfId="41" priority="9" stopIfTrue="1">
      <formula>LEN(TRIM(G44))=0</formula>
    </cfRule>
  </conditionalFormatting>
  <conditionalFormatting sqref="G53:H59">
    <cfRule type="containsBlanks" dxfId="40" priority="10" stopIfTrue="1">
      <formula>LEN(TRIM(G53))=0</formula>
    </cfRule>
  </conditionalFormatting>
  <conditionalFormatting sqref="D53:E59">
    <cfRule type="containsBlanks" dxfId="39" priority="11" stopIfTrue="1">
      <formula>LEN(TRIM(D53))=0</formula>
    </cfRule>
  </conditionalFormatting>
  <conditionalFormatting sqref="D61:E69">
    <cfRule type="containsBlanks" dxfId="38" priority="12" stopIfTrue="1">
      <formula>LEN(TRIM(D61))=0</formula>
    </cfRule>
  </conditionalFormatting>
  <conditionalFormatting sqref="G61:H69">
    <cfRule type="containsBlanks" dxfId="37" priority="13" stopIfTrue="1">
      <formula>LEN(TRIM(G61))=0</formula>
    </cfRule>
  </conditionalFormatting>
  <conditionalFormatting sqref="G71:H74">
    <cfRule type="containsBlanks" dxfId="36" priority="14" stopIfTrue="1">
      <formula>LEN(TRIM(G71))=0</formula>
    </cfRule>
  </conditionalFormatting>
  <conditionalFormatting sqref="D71:E74">
    <cfRule type="containsBlanks" dxfId="35" priority="15" stopIfTrue="1">
      <formula>LEN(TRIM(D71))=0</formula>
    </cfRule>
  </conditionalFormatting>
  <conditionalFormatting sqref="D44:E51">
    <cfRule type="containsBlanks" dxfId="34" priority="16" stopIfTrue="1">
      <formula>LEN(TRIM(D44))=0</formula>
    </cfRule>
  </conditionalFormatting>
  <dataValidations count="1">
    <dataValidation type="decimal" allowBlank="1" showErrorMessage="1" sqref="D10:E17 G10:H17 D19:E25 G19:H25 D27:E35 G27:H35 D37:E40 G37:H40 D44:E51 G44:H51 D53:E59 G53:H59 D61:E69 G61:H69 D71:E74 G71:H74">
      <formula1>-20000000000</formula1>
      <formula2>20000000000</formula2>
    </dataValidation>
  </dataValidations>
  <printOptions horizontalCentered="1"/>
  <pageMargins left="0.39370078740157483" right="0.39370078740157483" top="0.55118110236220474" bottom="0.55118110236220474" header="0" footer="0"/>
  <pageSetup orientation="portrait"/>
  <headerFooter>
    <oddFooter>&amp;REstado Analítico del ejercicio del presupuesto de egresos detallado LDF clasificación funcional (finalidad y función) Página &amp;P de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3" customWidth="1"/>
    <col min="2" max="2" width="2.28515625" customWidth="1"/>
    <col min="3" max="3" width="74.5703125" customWidth="1"/>
    <col min="4" max="9" width="18" customWidth="1"/>
    <col min="10" max="10" width="2.7109375" customWidth="1"/>
    <col min="11" max="11" width="11.42578125" hidden="1" customWidth="1"/>
    <col min="12" max="26" width="10.7109375" customWidth="1"/>
  </cols>
  <sheetData>
    <row r="1" spans="1:26" ht="51.75" customHeight="1">
      <c r="A1" s="835" t="str">
        <f>"NOMBRE DEL ENTE PÚBLICO: "&amp;Validacion!A2</f>
        <v>NOMBRE DEL ENTE PÚBLICO: Guadalajara</v>
      </c>
      <c r="B1" s="746"/>
      <c r="C1" s="746"/>
      <c r="D1" s="746"/>
      <c r="E1" s="746"/>
      <c r="F1" s="746"/>
      <c r="G1" s="746"/>
      <c r="H1" s="746"/>
      <c r="I1" s="747"/>
      <c r="J1" s="310"/>
      <c r="K1" s="310"/>
      <c r="L1" s="131"/>
      <c r="M1" s="131"/>
      <c r="N1" s="131"/>
      <c r="O1" s="131"/>
      <c r="P1" s="131"/>
      <c r="Q1" s="131"/>
      <c r="R1" s="131"/>
      <c r="S1" s="131"/>
      <c r="T1" s="131"/>
      <c r="U1" s="131"/>
      <c r="V1" s="131"/>
      <c r="W1" s="131"/>
      <c r="X1" s="131"/>
      <c r="Y1" s="131"/>
      <c r="Z1" s="131"/>
    </row>
    <row r="2" spans="1:26" ht="14.25" customHeight="1">
      <c r="A2" s="836" t="s">
        <v>6274</v>
      </c>
      <c r="B2" s="749"/>
      <c r="C2" s="749"/>
      <c r="D2" s="749"/>
      <c r="E2" s="749"/>
      <c r="F2" s="749"/>
      <c r="G2" s="749"/>
      <c r="H2" s="749"/>
      <c r="I2" s="750"/>
      <c r="J2" s="131"/>
      <c r="K2" s="131"/>
      <c r="L2" s="131"/>
      <c r="M2" s="131"/>
      <c r="N2" s="131"/>
      <c r="O2" s="131"/>
      <c r="P2" s="131"/>
      <c r="Q2" s="131"/>
      <c r="R2" s="131"/>
      <c r="S2" s="131"/>
      <c r="T2" s="131"/>
      <c r="U2" s="131"/>
      <c r="V2" s="131"/>
      <c r="W2" s="131"/>
      <c r="X2" s="131"/>
      <c r="Y2" s="131"/>
      <c r="Z2" s="131"/>
    </row>
    <row r="3" spans="1:26" ht="14.25" customHeight="1">
      <c r="A3" s="836" t="s">
        <v>6315</v>
      </c>
      <c r="B3" s="749"/>
      <c r="C3" s="749"/>
      <c r="D3" s="749"/>
      <c r="E3" s="749"/>
      <c r="F3" s="749"/>
      <c r="G3" s="749"/>
      <c r="H3" s="749"/>
      <c r="I3" s="750"/>
      <c r="J3" s="131"/>
      <c r="K3" s="131"/>
      <c r="L3" s="131"/>
      <c r="M3" s="131"/>
      <c r="N3" s="131"/>
      <c r="O3" s="131"/>
      <c r="P3" s="131"/>
      <c r="Q3" s="131"/>
      <c r="R3" s="131"/>
      <c r="S3" s="131"/>
      <c r="T3" s="131"/>
      <c r="U3" s="131"/>
      <c r="V3" s="131"/>
      <c r="W3" s="131"/>
      <c r="X3" s="131"/>
      <c r="Y3" s="131"/>
      <c r="Z3" s="131"/>
    </row>
    <row r="4" spans="1:26" ht="14.25" customHeight="1">
      <c r="A4" s="837" t="e">
        <f>'F6'!A3</f>
        <v>#REF!</v>
      </c>
      <c r="B4" s="749"/>
      <c r="C4" s="749"/>
      <c r="D4" s="749"/>
      <c r="E4" s="749"/>
      <c r="F4" s="749"/>
      <c r="G4" s="749"/>
      <c r="H4" s="749"/>
      <c r="I4" s="750"/>
      <c r="J4" s="131"/>
      <c r="K4" s="131"/>
      <c r="L4" s="131"/>
      <c r="M4" s="131"/>
      <c r="N4" s="131"/>
      <c r="O4" s="131"/>
      <c r="P4" s="131"/>
      <c r="Q4" s="131"/>
      <c r="R4" s="131"/>
      <c r="S4" s="131"/>
      <c r="T4" s="131"/>
      <c r="U4" s="131"/>
      <c r="V4" s="131"/>
      <c r="W4" s="131"/>
      <c r="X4" s="131"/>
      <c r="Y4" s="131"/>
      <c r="Z4" s="131"/>
    </row>
    <row r="5" spans="1:26" ht="14.25" customHeight="1">
      <c r="A5" s="813" t="s">
        <v>4447</v>
      </c>
      <c r="B5" s="753"/>
      <c r="C5" s="753"/>
      <c r="D5" s="753"/>
      <c r="E5" s="753"/>
      <c r="F5" s="753"/>
      <c r="G5" s="753"/>
      <c r="H5" s="753"/>
      <c r="I5" s="754"/>
      <c r="J5" s="131"/>
      <c r="K5" s="131"/>
      <c r="L5" s="131"/>
      <c r="M5" s="131"/>
      <c r="N5" s="131"/>
      <c r="O5" s="131"/>
      <c r="P5" s="131"/>
      <c r="Q5" s="131"/>
      <c r="R5" s="131"/>
      <c r="S5" s="131"/>
      <c r="T5" s="131"/>
      <c r="U5" s="131"/>
      <c r="V5" s="131"/>
      <c r="W5" s="131"/>
      <c r="X5" s="131"/>
      <c r="Y5" s="131"/>
      <c r="Z5" s="131"/>
    </row>
    <row r="6" spans="1:26" ht="15" customHeight="1">
      <c r="A6" s="841" t="s">
        <v>4379</v>
      </c>
      <c r="B6" s="787"/>
      <c r="C6" s="778"/>
      <c r="D6" s="838" t="s">
        <v>88</v>
      </c>
      <c r="E6" s="756"/>
      <c r="F6" s="756"/>
      <c r="G6" s="756"/>
      <c r="H6" s="839"/>
      <c r="I6" s="840" t="s">
        <v>6256</v>
      </c>
      <c r="J6" s="131"/>
      <c r="K6" s="131"/>
      <c r="L6" s="131"/>
      <c r="M6" s="131"/>
      <c r="N6" s="131"/>
      <c r="O6" s="131"/>
      <c r="P6" s="131"/>
      <c r="Q6" s="131"/>
      <c r="R6" s="131"/>
      <c r="S6" s="131"/>
      <c r="T6" s="131"/>
      <c r="U6" s="131"/>
      <c r="V6" s="131"/>
      <c r="W6" s="131"/>
      <c r="X6" s="131"/>
      <c r="Y6" s="131"/>
      <c r="Z6" s="131"/>
    </row>
    <row r="7" spans="1:26" ht="14.25" customHeight="1">
      <c r="A7" s="779"/>
      <c r="B7" s="793"/>
      <c r="C7" s="780"/>
      <c r="D7" s="311" t="s">
        <v>6257</v>
      </c>
      <c r="E7" s="312" t="s">
        <v>4431</v>
      </c>
      <c r="F7" s="311" t="s">
        <v>4432</v>
      </c>
      <c r="G7" s="311" t="s">
        <v>4433</v>
      </c>
      <c r="H7" s="311" t="s">
        <v>6258</v>
      </c>
      <c r="I7" s="730"/>
      <c r="J7" s="131"/>
      <c r="K7" s="131"/>
      <c r="L7" s="131"/>
      <c r="M7" s="131"/>
      <c r="N7" s="131"/>
      <c r="O7" s="131"/>
      <c r="P7" s="131"/>
      <c r="Q7" s="131"/>
      <c r="R7" s="131"/>
      <c r="S7" s="131"/>
      <c r="T7" s="131"/>
      <c r="U7" s="131"/>
      <c r="V7" s="131"/>
      <c r="W7" s="131"/>
      <c r="X7" s="131"/>
      <c r="Y7" s="131"/>
      <c r="Z7" s="131"/>
    </row>
    <row r="8" spans="1:26" ht="14.25" customHeight="1">
      <c r="A8" s="313"/>
      <c r="B8" s="842" t="s">
        <v>6275</v>
      </c>
      <c r="C8" s="778"/>
      <c r="D8" s="314">
        <f t="shared" ref="D8:I8" si="0">D9+D10+D11+D14+D15+D18</f>
        <v>0</v>
      </c>
      <c r="E8" s="314">
        <f t="shared" si="0"/>
        <v>0</v>
      </c>
      <c r="F8" s="314">
        <f t="shared" si="0"/>
        <v>0</v>
      </c>
      <c r="G8" s="314">
        <f t="shared" si="0"/>
        <v>0</v>
      </c>
      <c r="H8" s="314">
        <f t="shared" si="0"/>
        <v>0</v>
      </c>
      <c r="I8" s="314">
        <f t="shared" si="0"/>
        <v>0</v>
      </c>
      <c r="J8" s="131"/>
      <c r="K8" s="131"/>
      <c r="L8" s="131"/>
      <c r="M8" s="131"/>
      <c r="N8" s="131"/>
      <c r="O8" s="131"/>
      <c r="P8" s="131"/>
      <c r="Q8" s="131"/>
      <c r="R8" s="131"/>
      <c r="S8" s="131"/>
      <c r="T8" s="131"/>
      <c r="U8" s="131"/>
      <c r="V8" s="131"/>
      <c r="W8" s="131"/>
      <c r="X8" s="131"/>
      <c r="Y8" s="131"/>
      <c r="Z8" s="131"/>
    </row>
    <row r="9" spans="1:26" ht="14.25" customHeight="1">
      <c r="A9" s="188"/>
      <c r="B9" s="315" t="s">
        <v>6316</v>
      </c>
      <c r="C9" s="187"/>
      <c r="D9" s="153"/>
      <c r="E9" s="153"/>
      <c r="F9" s="289">
        <f t="shared" ref="F9:F18" si="1">D9+E9</f>
        <v>0</v>
      </c>
      <c r="G9" s="153"/>
      <c r="H9" s="153"/>
      <c r="I9" s="289">
        <f t="shared" ref="I9:I18" si="2">F9-G9</f>
        <v>0</v>
      </c>
      <c r="J9" s="131"/>
      <c r="K9" s="131"/>
      <c r="L9" s="131"/>
      <c r="M9" s="131"/>
      <c r="N9" s="131"/>
      <c r="O9" s="131"/>
      <c r="P9" s="131"/>
      <c r="Q9" s="131"/>
      <c r="R9" s="131"/>
      <c r="S9" s="131"/>
      <c r="T9" s="131"/>
      <c r="U9" s="131"/>
      <c r="V9" s="131"/>
      <c r="W9" s="131"/>
      <c r="X9" s="131"/>
      <c r="Y9" s="131"/>
      <c r="Z9" s="131"/>
    </row>
    <row r="10" spans="1:26" ht="14.25" customHeight="1">
      <c r="A10" s="188"/>
      <c r="B10" s="315" t="s">
        <v>6317</v>
      </c>
      <c r="C10" s="187"/>
      <c r="D10" s="153"/>
      <c r="E10" s="153"/>
      <c r="F10" s="289">
        <f t="shared" si="1"/>
        <v>0</v>
      </c>
      <c r="G10" s="153"/>
      <c r="H10" s="153"/>
      <c r="I10" s="289">
        <f t="shared" si="2"/>
        <v>0</v>
      </c>
      <c r="J10" s="131"/>
      <c r="K10" s="131"/>
      <c r="L10" s="131"/>
      <c r="M10" s="131"/>
      <c r="N10" s="131"/>
      <c r="O10" s="131"/>
      <c r="P10" s="131"/>
      <c r="Q10" s="131"/>
      <c r="R10" s="131"/>
      <c r="S10" s="131"/>
      <c r="T10" s="131"/>
      <c r="U10" s="131"/>
      <c r="V10" s="131"/>
      <c r="W10" s="131"/>
      <c r="X10" s="131"/>
      <c r="Y10" s="131"/>
      <c r="Z10" s="131"/>
    </row>
    <row r="11" spans="1:26" ht="14.25" customHeight="1">
      <c r="A11" s="188"/>
      <c r="B11" s="315" t="s">
        <v>6318</v>
      </c>
      <c r="C11" s="187"/>
      <c r="D11" s="289">
        <f t="shared" ref="D11:E11" si="3">D12+D13</f>
        <v>0</v>
      </c>
      <c r="E11" s="289">
        <f t="shared" si="3"/>
        <v>0</v>
      </c>
      <c r="F11" s="289">
        <f t="shared" si="1"/>
        <v>0</v>
      </c>
      <c r="G11" s="289">
        <f t="shared" ref="G11:H11" si="4">G12+G13</f>
        <v>0</v>
      </c>
      <c r="H11" s="289">
        <f t="shared" si="4"/>
        <v>0</v>
      </c>
      <c r="I11" s="289">
        <f t="shared" si="2"/>
        <v>0</v>
      </c>
      <c r="J11" s="131"/>
      <c r="K11" s="131"/>
      <c r="L11" s="131"/>
      <c r="M11" s="131"/>
      <c r="N11" s="131"/>
      <c r="O11" s="131"/>
      <c r="P11" s="131"/>
      <c r="Q11" s="131"/>
      <c r="R11" s="131"/>
      <c r="S11" s="131"/>
      <c r="T11" s="131"/>
      <c r="U11" s="131"/>
      <c r="V11" s="131"/>
      <c r="W11" s="131"/>
      <c r="X11" s="131"/>
      <c r="Y11" s="131"/>
      <c r="Z11" s="131"/>
    </row>
    <row r="12" spans="1:26" ht="14.25" customHeight="1">
      <c r="A12" s="188"/>
      <c r="B12" s="210"/>
      <c r="C12" s="316" t="s">
        <v>6319</v>
      </c>
      <c r="D12" s="153"/>
      <c r="E12" s="153"/>
      <c r="F12" s="317">
        <f t="shared" si="1"/>
        <v>0</v>
      </c>
      <c r="G12" s="153"/>
      <c r="H12" s="153"/>
      <c r="I12" s="317">
        <f t="shared" si="2"/>
        <v>0</v>
      </c>
      <c r="J12" s="131"/>
      <c r="K12" s="131"/>
      <c r="L12" s="131"/>
      <c r="M12" s="131"/>
      <c r="N12" s="131"/>
      <c r="O12" s="131"/>
      <c r="P12" s="131"/>
      <c r="Q12" s="131"/>
      <c r="R12" s="131"/>
      <c r="S12" s="131"/>
      <c r="T12" s="131"/>
      <c r="U12" s="131"/>
      <c r="V12" s="131"/>
      <c r="W12" s="131"/>
      <c r="X12" s="131"/>
      <c r="Y12" s="131"/>
      <c r="Z12" s="131"/>
    </row>
    <row r="13" spans="1:26" ht="14.25" customHeight="1">
      <c r="A13" s="188"/>
      <c r="B13" s="210"/>
      <c r="C13" s="316" t="s">
        <v>6320</v>
      </c>
      <c r="D13" s="153"/>
      <c r="E13" s="153"/>
      <c r="F13" s="317">
        <f t="shared" si="1"/>
        <v>0</v>
      </c>
      <c r="G13" s="153"/>
      <c r="H13" s="153"/>
      <c r="I13" s="317">
        <f t="shared" si="2"/>
        <v>0</v>
      </c>
      <c r="J13" s="131"/>
      <c r="K13" s="131"/>
      <c r="L13" s="131"/>
      <c r="M13" s="131"/>
      <c r="N13" s="131"/>
      <c r="O13" s="131"/>
      <c r="P13" s="131"/>
      <c r="Q13" s="131"/>
      <c r="R13" s="131"/>
      <c r="S13" s="131"/>
      <c r="T13" s="131"/>
      <c r="U13" s="131"/>
      <c r="V13" s="131"/>
      <c r="W13" s="131"/>
      <c r="X13" s="131"/>
      <c r="Y13" s="131"/>
      <c r="Z13" s="131"/>
    </row>
    <row r="14" spans="1:26" ht="14.25" customHeight="1">
      <c r="A14" s="188"/>
      <c r="B14" s="315" t="s">
        <v>6321</v>
      </c>
      <c r="C14" s="187"/>
      <c r="D14" s="153"/>
      <c r="E14" s="153"/>
      <c r="F14" s="289">
        <f t="shared" si="1"/>
        <v>0</v>
      </c>
      <c r="G14" s="153"/>
      <c r="H14" s="153"/>
      <c r="I14" s="289">
        <f t="shared" si="2"/>
        <v>0</v>
      </c>
      <c r="J14" s="131"/>
      <c r="K14" s="131"/>
      <c r="L14" s="131"/>
      <c r="M14" s="131"/>
      <c r="N14" s="131"/>
      <c r="O14" s="131"/>
      <c r="P14" s="131"/>
      <c r="Q14" s="131"/>
      <c r="R14" s="131"/>
      <c r="S14" s="131"/>
      <c r="T14" s="131"/>
      <c r="U14" s="131"/>
      <c r="V14" s="131"/>
      <c r="W14" s="131"/>
      <c r="X14" s="131"/>
      <c r="Y14" s="131"/>
      <c r="Z14" s="131"/>
    </row>
    <row r="15" spans="1:26" ht="14.25" customHeight="1">
      <c r="A15" s="188"/>
      <c r="B15" s="315" t="s">
        <v>6322</v>
      </c>
      <c r="C15" s="187"/>
      <c r="D15" s="318">
        <f t="shared" ref="D15:E15" si="5">D16+D17</f>
        <v>0</v>
      </c>
      <c r="E15" s="318">
        <f t="shared" si="5"/>
        <v>0</v>
      </c>
      <c r="F15" s="318">
        <f t="shared" si="1"/>
        <v>0</v>
      </c>
      <c r="G15" s="318">
        <f t="shared" ref="G15:H15" si="6">G16+G17</f>
        <v>0</v>
      </c>
      <c r="H15" s="318">
        <f t="shared" si="6"/>
        <v>0</v>
      </c>
      <c r="I15" s="318">
        <f t="shared" si="2"/>
        <v>0</v>
      </c>
      <c r="J15" s="131"/>
      <c r="K15" s="131"/>
      <c r="L15" s="131"/>
      <c r="M15" s="131"/>
      <c r="N15" s="131"/>
      <c r="O15" s="131"/>
      <c r="P15" s="131"/>
      <c r="Q15" s="131"/>
      <c r="R15" s="131"/>
      <c r="S15" s="131"/>
      <c r="T15" s="131"/>
      <c r="U15" s="131"/>
      <c r="V15" s="131"/>
      <c r="W15" s="131"/>
      <c r="X15" s="131"/>
      <c r="Y15" s="131"/>
      <c r="Z15" s="131"/>
    </row>
    <row r="16" spans="1:26" ht="14.25" customHeight="1">
      <c r="A16" s="188"/>
      <c r="B16" s="210"/>
      <c r="C16" s="316" t="s">
        <v>6323</v>
      </c>
      <c r="D16" s="153"/>
      <c r="E16" s="153"/>
      <c r="F16" s="317">
        <f t="shared" si="1"/>
        <v>0</v>
      </c>
      <c r="G16" s="153"/>
      <c r="H16" s="153"/>
      <c r="I16" s="317">
        <f t="shared" si="2"/>
        <v>0</v>
      </c>
      <c r="J16" s="131"/>
      <c r="K16" s="131"/>
      <c r="L16" s="131"/>
      <c r="M16" s="131"/>
      <c r="N16" s="131"/>
      <c r="O16" s="131"/>
      <c r="P16" s="131"/>
      <c r="Q16" s="131"/>
      <c r="R16" s="131"/>
      <c r="S16" s="131"/>
      <c r="T16" s="131"/>
      <c r="U16" s="131"/>
      <c r="V16" s="131"/>
      <c r="W16" s="131"/>
      <c r="X16" s="131"/>
      <c r="Y16" s="131"/>
      <c r="Z16" s="131"/>
    </row>
    <row r="17" spans="1:26" ht="14.25" customHeight="1">
      <c r="A17" s="188"/>
      <c r="B17" s="210"/>
      <c r="C17" s="316" t="s">
        <v>6324</v>
      </c>
      <c r="D17" s="153"/>
      <c r="E17" s="153"/>
      <c r="F17" s="317">
        <f t="shared" si="1"/>
        <v>0</v>
      </c>
      <c r="G17" s="153"/>
      <c r="H17" s="153"/>
      <c r="I17" s="317">
        <f t="shared" si="2"/>
        <v>0</v>
      </c>
      <c r="J17" s="131"/>
      <c r="K17" s="131"/>
      <c r="L17" s="131"/>
      <c r="M17" s="131"/>
      <c r="N17" s="131"/>
      <c r="O17" s="131"/>
      <c r="P17" s="131"/>
      <c r="Q17" s="131"/>
      <c r="R17" s="131"/>
      <c r="S17" s="131"/>
      <c r="T17" s="131"/>
      <c r="U17" s="131"/>
      <c r="V17" s="131"/>
      <c r="W17" s="131"/>
      <c r="X17" s="131"/>
      <c r="Y17" s="131"/>
      <c r="Z17" s="131"/>
    </row>
    <row r="18" spans="1:26" ht="14.25" customHeight="1">
      <c r="A18" s="188"/>
      <c r="B18" s="315" t="s">
        <v>6325</v>
      </c>
      <c r="C18" s="187"/>
      <c r="D18" s="239"/>
      <c r="E18" s="239"/>
      <c r="F18" s="319">
        <f t="shared" si="1"/>
        <v>0</v>
      </c>
      <c r="G18" s="239"/>
      <c r="H18" s="239"/>
      <c r="I18" s="319">
        <f t="shared" si="2"/>
        <v>0</v>
      </c>
      <c r="J18" s="131"/>
      <c r="K18" s="131"/>
      <c r="L18" s="131"/>
      <c r="M18" s="131"/>
      <c r="N18" s="131"/>
      <c r="O18" s="131"/>
      <c r="P18" s="131"/>
      <c r="Q18" s="131"/>
      <c r="R18" s="131"/>
      <c r="S18" s="131"/>
      <c r="T18" s="131"/>
      <c r="U18" s="131"/>
      <c r="V18" s="131"/>
      <c r="W18" s="131"/>
      <c r="X18" s="131"/>
      <c r="Y18" s="131"/>
      <c r="Z18" s="131"/>
    </row>
    <row r="19" spans="1:26" ht="14.25" customHeight="1">
      <c r="A19" s="188"/>
      <c r="B19" s="320"/>
      <c r="C19" s="321"/>
      <c r="D19" s="296"/>
      <c r="E19" s="296"/>
      <c r="F19" s="296"/>
      <c r="G19" s="296"/>
      <c r="H19" s="296"/>
      <c r="I19" s="296"/>
      <c r="J19" s="131"/>
      <c r="K19" s="131"/>
      <c r="L19" s="131"/>
      <c r="M19" s="131"/>
      <c r="N19" s="131"/>
      <c r="O19" s="131"/>
      <c r="P19" s="131"/>
      <c r="Q19" s="131"/>
      <c r="R19" s="131"/>
      <c r="S19" s="131"/>
      <c r="T19" s="131"/>
      <c r="U19" s="131"/>
      <c r="V19" s="131"/>
      <c r="W19" s="131"/>
      <c r="X19" s="131"/>
      <c r="Y19" s="131"/>
      <c r="Z19" s="131"/>
    </row>
    <row r="20" spans="1:26" ht="14.25" customHeight="1">
      <c r="A20" s="322"/>
      <c r="B20" s="843" t="s">
        <v>6326</v>
      </c>
      <c r="C20" s="798"/>
      <c r="D20" s="323">
        <f t="shared" ref="D20:I20" si="7">D21+D22+D23+D26+D27+D30</f>
        <v>0</v>
      </c>
      <c r="E20" s="323">
        <f t="shared" si="7"/>
        <v>0</v>
      </c>
      <c r="F20" s="323">
        <f t="shared" si="7"/>
        <v>0</v>
      </c>
      <c r="G20" s="323">
        <f t="shared" si="7"/>
        <v>0</v>
      </c>
      <c r="H20" s="323">
        <f t="shared" si="7"/>
        <v>0</v>
      </c>
      <c r="I20" s="323">
        <f t="shared" si="7"/>
        <v>0</v>
      </c>
      <c r="J20" s="131"/>
      <c r="K20" s="131"/>
      <c r="L20" s="131"/>
      <c r="M20" s="131"/>
      <c r="N20" s="131"/>
      <c r="O20" s="131"/>
      <c r="P20" s="131"/>
      <c r="Q20" s="131"/>
      <c r="R20" s="131"/>
      <c r="S20" s="131"/>
      <c r="T20" s="131"/>
      <c r="U20" s="131"/>
      <c r="V20" s="131"/>
      <c r="W20" s="131"/>
      <c r="X20" s="131"/>
      <c r="Y20" s="131"/>
      <c r="Z20" s="131"/>
    </row>
    <row r="21" spans="1:26" ht="14.25" customHeight="1">
      <c r="A21" s="188"/>
      <c r="B21" s="315" t="s">
        <v>6316</v>
      </c>
      <c r="C21" s="187"/>
      <c r="D21" s="153"/>
      <c r="E21" s="153"/>
      <c r="F21" s="289">
        <f t="shared" ref="F21:F30" si="8">D21+E21</f>
        <v>0</v>
      </c>
      <c r="G21" s="153"/>
      <c r="H21" s="153"/>
      <c r="I21" s="289">
        <f t="shared" ref="I21:I30" si="9">F21-G21</f>
        <v>0</v>
      </c>
      <c r="J21" s="131"/>
      <c r="K21" s="131"/>
      <c r="L21" s="131"/>
      <c r="M21" s="131"/>
      <c r="N21" s="131"/>
      <c r="O21" s="131"/>
      <c r="P21" s="131"/>
      <c r="Q21" s="131"/>
      <c r="R21" s="131"/>
      <c r="S21" s="131"/>
      <c r="T21" s="131"/>
      <c r="U21" s="131"/>
      <c r="V21" s="131"/>
      <c r="W21" s="131"/>
      <c r="X21" s="131"/>
      <c r="Y21" s="131"/>
      <c r="Z21" s="131"/>
    </row>
    <row r="22" spans="1:26" ht="14.25" customHeight="1">
      <c r="A22" s="188"/>
      <c r="B22" s="315" t="s">
        <v>6317</v>
      </c>
      <c r="C22" s="187"/>
      <c r="D22" s="153"/>
      <c r="E22" s="153"/>
      <c r="F22" s="289">
        <f t="shared" si="8"/>
        <v>0</v>
      </c>
      <c r="G22" s="153"/>
      <c r="H22" s="153"/>
      <c r="I22" s="289">
        <f t="shared" si="9"/>
        <v>0</v>
      </c>
      <c r="J22" s="131"/>
      <c r="K22" s="131"/>
      <c r="L22" s="131"/>
      <c r="M22" s="131"/>
      <c r="N22" s="131"/>
      <c r="O22" s="131"/>
      <c r="P22" s="131"/>
      <c r="Q22" s="131"/>
      <c r="R22" s="131"/>
      <c r="S22" s="131"/>
      <c r="T22" s="131"/>
      <c r="U22" s="131"/>
      <c r="V22" s="131"/>
      <c r="W22" s="131"/>
      <c r="X22" s="131"/>
      <c r="Y22" s="131"/>
      <c r="Z22" s="131"/>
    </row>
    <row r="23" spans="1:26" ht="14.25" customHeight="1">
      <c r="A23" s="188"/>
      <c r="B23" s="315" t="s">
        <v>6318</v>
      </c>
      <c r="C23" s="187"/>
      <c r="D23" s="289">
        <f t="shared" ref="D23:E23" si="10">D24+D25</f>
        <v>0</v>
      </c>
      <c r="E23" s="289">
        <f t="shared" si="10"/>
        <v>0</v>
      </c>
      <c r="F23" s="289">
        <f t="shared" si="8"/>
        <v>0</v>
      </c>
      <c r="G23" s="289">
        <f t="shared" ref="G23:H23" si="11">G24+G25</f>
        <v>0</v>
      </c>
      <c r="H23" s="289">
        <f t="shared" si="11"/>
        <v>0</v>
      </c>
      <c r="I23" s="289">
        <f t="shared" si="9"/>
        <v>0</v>
      </c>
      <c r="J23" s="131"/>
      <c r="K23" s="131"/>
      <c r="L23" s="131"/>
      <c r="M23" s="131"/>
      <c r="N23" s="131"/>
      <c r="O23" s="131"/>
      <c r="P23" s="131"/>
      <c r="Q23" s="131"/>
      <c r="R23" s="131"/>
      <c r="S23" s="131"/>
      <c r="T23" s="131"/>
      <c r="U23" s="131"/>
      <c r="V23" s="131"/>
      <c r="W23" s="131"/>
      <c r="X23" s="131"/>
      <c r="Y23" s="131"/>
      <c r="Z23" s="131"/>
    </row>
    <row r="24" spans="1:26" ht="14.25" customHeight="1">
      <c r="A24" s="188"/>
      <c r="B24" s="210"/>
      <c r="C24" s="316" t="s">
        <v>6319</v>
      </c>
      <c r="D24" s="153"/>
      <c r="E24" s="153"/>
      <c r="F24" s="317">
        <f t="shared" si="8"/>
        <v>0</v>
      </c>
      <c r="G24" s="153"/>
      <c r="H24" s="153"/>
      <c r="I24" s="317">
        <f t="shared" si="9"/>
        <v>0</v>
      </c>
      <c r="J24" s="131"/>
      <c r="K24" s="131"/>
      <c r="L24" s="131"/>
      <c r="M24" s="131"/>
      <c r="N24" s="131"/>
      <c r="O24" s="131"/>
      <c r="P24" s="131"/>
      <c r="Q24" s="131"/>
      <c r="R24" s="131"/>
      <c r="S24" s="131"/>
      <c r="T24" s="131"/>
      <c r="U24" s="131"/>
      <c r="V24" s="131"/>
      <c r="W24" s="131"/>
      <c r="X24" s="131"/>
      <c r="Y24" s="131"/>
      <c r="Z24" s="131"/>
    </row>
    <row r="25" spans="1:26" ht="14.25" customHeight="1">
      <c r="A25" s="188"/>
      <c r="B25" s="210"/>
      <c r="C25" s="316" t="s">
        <v>6320</v>
      </c>
      <c r="D25" s="153"/>
      <c r="E25" s="153"/>
      <c r="F25" s="317">
        <f t="shared" si="8"/>
        <v>0</v>
      </c>
      <c r="G25" s="153"/>
      <c r="H25" s="153"/>
      <c r="I25" s="317">
        <f t="shared" si="9"/>
        <v>0</v>
      </c>
      <c r="J25" s="131"/>
      <c r="K25" s="131"/>
      <c r="L25" s="131"/>
      <c r="M25" s="131"/>
      <c r="N25" s="131"/>
      <c r="O25" s="131"/>
      <c r="P25" s="131"/>
      <c r="Q25" s="131"/>
      <c r="R25" s="131"/>
      <c r="S25" s="131"/>
      <c r="T25" s="131"/>
      <c r="U25" s="131"/>
      <c r="V25" s="131"/>
      <c r="W25" s="131"/>
      <c r="X25" s="131"/>
      <c r="Y25" s="131"/>
      <c r="Z25" s="131"/>
    </row>
    <row r="26" spans="1:26" ht="14.25" customHeight="1">
      <c r="A26" s="188"/>
      <c r="B26" s="315" t="s">
        <v>6321</v>
      </c>
      <c r="C26" s="187"/>
      <c r="D26" s="153"/>
      <c r="E26" s="153"/>
      <c r="F26" s="289">
        <f t="shared" si="8"/>
        <v>0</v>
      </c>
      <c r="G26" s="153"/>
      <c r="H26" s="153"/>
      <c r="I26" s="289">
        <f t="shared" si="9"/>
        <v>0</v>
      </c>
      <c r="J26" s="131"/>
      <c r="K26" s="131"/>
      <c r="L26" s="131"/>
      <c r="M26" s="131"/>
      <c r="N26" s="131"/>
      <c r="O26" s="131"/>
      <c r="P26" s="131"/>
      <c r="Q26" s="131"/>
      <c r="R26" s="131"/>
      <c r="S26" s="131"/>
      <c r="T26" s="131"/>
      <c r="U26" s="131"/>
      <c r="V26" s="131"/>
      <c r="W26" s="131"/>
      <c r="X26" s="131"/>
      <c r="Y26" s="131"/>
      <c r="Z26" s="131"/>
    </row>
    <row r="27" spans="1:26" ht="14.25" customHeight="1">
      <c r="A27" s="188"/>
      <c r="B27" s="315" t="s">
        <v>6322</v>
      </c>
      <c r="C27" s="187"/>
      <c r="D27" s="318">
        <f t="shared" ref="D27:E27" si="12">D28+D29</f>
        <v>0</v>
      </c>
      <c r="E27" s="318">
        <f t="shared" si="12"/>
        <v>0</v>
      </c>
      <c r="F27" s="318">
        <f t="shared" si="8"/>
        <v>0</v>
      </c>
      <c r="G27" s="318">
        <f t="shared" ref="G27:H27" si="13">G28+G29</f>
        <v>0</v>
      </c>
      <c r="H27" s="318">
        <f t="shared" si="13"/>
        <v>0</v>
      </c>
      <c r="I27" s="318">
        <f t="shared" si="9"/>
        <v>0</v>
      </c>
      <c r="J27" s="131"/>
      <c r="K27" s="131"/>
      <c r="L27" s="131"/>
      <c r="M27" s="131"/>
      <c r="N27" s="131"/>
      <c r="O27" s="131"/>
      <c r="P27" s="131"/>
      <c r="Q27" s="131"/>
      <c r="R27" s="131"/>
      <c r="S27" s="131"/>
      <c r="T27" s="131"/>
      <c r="U27" s="131"/>
      <c r="V27" s="131"/>
      <c r="W27" s="131"/>
      <c r="X27" s="131"/>
      <c r="Y27" s="131"/>
      <c r="Z27" s="131"/>
    </row>
    <row r="28" spans="1:26" ht="14.25" customHeight="1">
      <c r="A28" s="188"/>
      <c r="B28" s="210"/>
      <c r="C28" s="316" t="s">
        <v>6323</v>
      </c>
      <c r="D28" s="153"/>
      <c r="E28" s="153"/>
      <c r="F28" s="317">
        <f t="shared" si="8"/>
        <v>0</v>
      </c>
      <c r="G28" s="153"/>
      <c r="H28" s="153"/>
      <c r="I28" s="317">
        <f t="shared" si="9"/>
        <v>0</v>
      </c>
      <c r="J28" s="131"/>
      <c r="K28" s="131"/>
      <c r="L28" s="131"/>
      <c r="M28" s="131"/>
      <c r="N28" s="131"/>
      <c r="O28" s="131"/>
      <c r="P28" s="131"/>
      <c r="Q28" s="131"/>
      <c r="R28" s="131"/>
      <c r="S28" s="131"/>
      <c r="T28" s="131"/>
      <c r="U28" s="131"/>
      <c r="V28" s="131"/>
      <c r="W28" s="131"/>
      <c r="X28" s="131"/>
      <c r="Y28" s="131"/>
      <c r="Z28" s="131"/>
    </row>
    <row r="29" spans="1:26" ht="14.25" customHeight="1">
      <c r="A29" s="188"/>
      <c r="B29" s="210"/>
      <c r="C29" s="316" t="s">
        <v>6324</v>
      </c>
      <c r="D29" s="153"/>
      <c r="E29" s="153"/>
      <c r="F29" s="317">
        <f t="shared" si="8"/>
        <v>0</v>
      </c>
      <c r="G29" s="153"/>
      <c r="H29" s="153"/>
      <c r="I29" s="317">
        <f t="shared" si="9"/>
        <v>0</v>
      </c>
      <c r="J29" s="131"/>
      <c r="K29" s="131"/>
      <c r="L29" s="131"/>
      <c r="M29" s="131"/>
      <c r="N29" s="131"/>
      <c r="O29" s="131"/>
      <c r="P29" s="131"/>
      <c r="Q29" s="131"/>
      <c r="R29" s="131"/>
      <c r="S29" s="131"/>
      <c r="T29" s="131"/>
      <c r="U29" s="131"/>
      <c r="V29" s="131"/>
      <c r="W29" s="131"/>
      <c r="X29" s="131"/>
      <c r="Y29" s="131"/>
      <c r="Z29" s="131"/>
    </row>
    <row r="30" spans="1:26" ht="14.25" customHeight="1">
      <c r="A30" s="188"/>
      <c r="B30" s="315" t="s">
        <v>6325</v>
      </c>
      <c r="C30" s="187"/>
      <c r="D30" s="239"/>
      <c r="E30" s="239"/>
      <c r="F30" s="319">
        <f t="shared" si="8"/>
        <v>0</v>
      </c>
      <c r="G30" s="239"/>
      <c r="H30" s="239"/>
      <c r="I30" s="319">
        <f t="shared" si="9"/>
        <v>0</v>
      </c>
      <c r="J30" s="131"/>
      <c r="K30" s="131"/>
      <c r="L30" s="131"/>
      <c r="M30" s="131"/>
      <c r="N30" s="131"/>
      <c r="O30" s="131"/>
      <c r="P30" s="131"/>
      <c r="Q30" s="131"/>
      <c r="R30" s="131"/>
      <c r="S30" s="131"/>
      <c r="T30" s="131"/>
      <c r="U30" s="131"/>
      <c r="V30" s="131"/>
      <c r="W30" s="131"/>
      <c r="X30" s="131"/>
      <c r="Y30" s="131"/>
      <c r="Z30" s="131"/>
    </row>
    <row r="31" spans="1:26" ht="14.25" customHeight="1">
      <c r="A31" s="188"/>
      <c r="B31" s="320"/>
      <c r="C31" s="321"/>
      <c r="D31" s="303"/>
      <c r="E31" s="303"/>
      <c r="F31" s="303"/>
      <c r="G31" s="303"/>
      <c r="H31" s="303"/>
      <c r="I31" s="303"/>
      <c r="J31" s="131"/>
      <c r="K31" s="131"/>
      <c r="L31" s="131"/>
      <c r="M31" s="131"/>
      <c r="N31" s="131"/>
      <c r="O31" s="131"/>
      <c r="P31" s="131"/>
      <c r="Q31" s="131"/>
      <c r="R31" s="131"/>
      <c r="S31" s="131"/>
      <c r="T31" s="131"/>
      <c r="U31" s="131"/>
      <c r="V31" s="131"/>
      <c r="W31" s="131"/>
      <c r="X31" s="131"/>
      <c r="Y31" s="131"/>
      <c r="Z31" s="131"/>
    </row>
    <row r="32" spans="1:26" ht="15" customHeight="1">
      <c r="A32" s="324"/>
      <c r="B32" s="844" t="s">
        <v>6327</v>
      </c>
      <c r="C32" s="802"/>
      <c r="D32" s="325">
        <f t="shared" ref="D32:H32" si="14">D19+D31</f>
        <v>0</v>
      </c>
      <c r="E32" s="325">
        <f t="shared" si="14"/>
        <v>0</v>
      </c>
      <c r="F32" s="325">
        <f t="shared" si="14"/>
        <v>0</v>
      </c>
      <c r="G32" s="325">
        <f t="shared" si="14"/>
        <v>0</v>
      </c>
      <c r="H32" s="325">
        <f t="shared" si="14"/>
        <v>0</v>
      </c>
      <c r="I32" s="325">
        <f>F32-G32</f>
        <v>0</v>
      </c>
      <c r="J32" s="131"/>
      <c r="K32" s="131"/>
      <c r="L32" s="131"/>
      <c r="M32" s="131"/>
      <c r="N32" s="131"/>
      <c r="O32" s="131"/>
      <c r="P32" s="131"/>
      <c r="Q32" s="131"/>
      <c r="R32" s="131"/>
      <c r="S32" s="131"/>
      <c r="T32" s="131"/>
      <c r="U32" s="131"/>
      <c r="V32" s="131"/>
      <c r="W32" s="131"/>
      <c r="X32" s="131"/>
      <c r="Y32" s="131"/>
      <c r="Z32" s="131"/>
    </row>
    <row r="33" spans="1:26" ht="15" customHeight="1">
      <c r="A33" s="131"/>
      <c r="B33" s="326"/>
      <c r="C33" s="327"/>
      <c r="D33" s="328"/>
      <c r="E33" s="328"/>
      <c r="F33" s="328"/>
      <c r="G33" s="328"/>
      <c r="H33" s="328"/>
      <c r="I33" s="328"/>
      <c r="J33" s="131"/>
      <c r="K33" s="131"/>
      <c r="L33" s="131"/>
      <c r="M33" s="131"/>
      <c r="N33" s="131"/>
      <c r="O33" s="131"/>
      <c r="P33" s="131"/>
      <c r="Q33" s="131"/>
      <c r="R33" s="131"/>
      <c r="S33" s="131"/>
      <c r="T33" s="131"/>
      <c r="U33" s="131"/>
      <c r="V33" s="131"/>
      <c r="W33" s="131"/>
      <c r="X33" s="131"/>
      <c r="Y33" s="131"/>
      <c r="Z33" s="131"/>
    </row>
    <row r="34" spans="1:26" ht="15" customHeight="1">
      <c r="A34" s="308" t="s">
        <v>4422</v>
      </c>
      <c r="B34" s="326"/>
      <c r="C34" s="327"/>
      <c r="D34" s="328"/>
      <c r="E34" s="328"/>
      <c r="F34" s="328"/>
      <c r="G34" s="328"/>
      <c r="H34" s="328"/>
      <c r="I34" s="328"/>
      <c r="J34" s="131"/>
      <c r="K34" s="131"/>
      <c r="L34" s="131"/>
      <c r="M34" s="131"/>
      <c r="N34" s="131"/>
      <c r="O34" s="131"/>
      <c r="P34" s="131"/>
      <c r="Q34" s="131"/>
      <c r="R34" s="131"/>
      <c r="S34" s="131"/>
      <c r="T34" s="131"/>
      <c r="U34" s="131"/>
      <c r="V34" s="131"/>
      <c r="W34" s="131"/>
      <c r="X34" s="131"/>
      <c r="Y34" s="131"/>
      <c r="Z34" s="131"/>
    </row>
    <row r="35" spans="1:26" ht="15" customHeight="1">
      <c r="A35" s="329"/>
      <c r="B35" s="326"/>
      <c r="C35" s="327"/>
      <c r="D35" s="328"/>
      <c r="E35" s="328"/>
      <c r="F35" s="328"/>
      <c r="G35" s="328"/>
      <c r="H35" s="328"/>
      <c r="I35" s="328"/>
      <c r="J35" s="131"/>
      <c r="K35" s="131"/>
      <c r="L35" s="131"/>
      <c r="M35" s="131"/>
      <c r="N35" s="131"/>
      <c r="O35" s="131"/>
      <c r="P35" s="131"/>
      <c r="Q35" s="131"/>
      <c r="R35" s="131"/>
      <c r="S35" s="131"/>
      <c r="T35" s="131"/>
      <c r="U35" s="131"/>
      <c r="V35" s="131"/>
      <c r="W35" s="131"/>
      <c r="X35" s="131"/>
      <c r="Y35" s="131"/>
      <c r="Z35" s="131"/>
    </row>
    <row r="36" spans="1:26" ht="14.25" customHeight="1">
      <c r="A36" s="131"/>
      <c r="B36" s="210"/>
      <c r="C36" s="131"/>
      <c r="D36" s="146"/>
      <c r="E36" s="146"/>
      <c r="F36" s="146"/>
      <c r="G36" s="146"/>
      <c r="H36" s="146"/>
      <c r="I36" s="146"/>
      <c r="J36" s="131"/>
      <c r="K36" s="131"/>
      <c r="L36" s="131"/>
      <c r="M36" s="131"/>
      <c r="N36" s="131"/>
      <c r="O36" s="131"/>
      <c r="P36" s="131"/>
      <c r="Q36" s="131"/>
      <c r="R36" s="131"/>
      <c r="S36" s="131"/>
      <c r="T36" s="131"/>
      <c r="U36" s="131"/>
      <c r="V36" s="131"/>
      <c r="W36" s="131"/>
      <c r="X36" s="131"/>
      <c r="Y36" s="131"/>
      <c r="Z36" s="131"/>
    </row>
    <row r="37" spans="1:26" ht="14.25" customHeight="1">
      <c r="A37" s="131"/>
      <c r="B37" s="210"/>
      <c r="C37" s="834" t="str">
        <f>Validacion!A7</f>
        <v>Vero</v>
      </c>
      <c r="D37" s="146"/>
      <c r="E37" s="146"/>
      <c r="F37" s="834" t="str">
        <f>Validacion!A9</f>
        <v>Irlanda</v>
      </c>
      <c r="G37" s="787"/>
      <c r="H37" s="787"/>
      <c r="I37" s="146"/>
      <c r="J37" s="131"/>
      <c r="K37" s="131"/>
      <c r="L37" s="131"/>
      <c r="M37" s="131"/>
      <c r="N37" s="131"/>
      <c r="O37" s="131"/>
      <c r="P37" s="131"/>
      <c r="Q37" s="131"/>
      <c r="R37" s="131"/>
      <c r="S37" s="131"/>
      <c r="T37" s="131"/>
      <c r="U37" s="131"/>
      <c r="V37" s="131"/>
      <c r="W37" s="131"/>
      <c r="X37" s="131"/>
      <c r="Y37" s="131"/>
      <c r="Z37" s="131"/>
    </row>
    <row r="38" spans="1:26" ht="14.25" customHeight="1">
      <c r="A38" s="131"/>
      <c r="B38" s="210"/>
      <c r="C38" s="725"/>
      <c r="D38" s="146"/>
      <c r="E38" s="146"/>
      <c r="F38" s="725"/>
      <c r="G38" s="725"/>
      <c r="H38" s="725"/>
      <c r="I38" s="146"/>
      <c r="J38" s="131"/>
      <c r="K38" s="131"/>
      <c r="L38" s="131"/>
      <c r="M38" s="131"/>
      <c r="N38" s="131"/>
      <c r="O38" s="131"/>
      <c r="P38" s="131"/>
      <c r="Q38" s="131"/>
      <c r="R38" s="131"/>
      <c r="S38" s="131"/>
      <c r="T38" s="131"/>
      <c r="U38" s="131"/>
      <c r="V38" s="131"/>
      <c r="W38" s="131"/>
      <c r="X38" s="131"/>
      <c r="Y38" s="131"/>
      <c r="Z38" s="131"/>
    </row>
    <row r="39" spans="1:26" ht="14.25" customHeight="1">
      <c r="A39" s="131"/>
      <c r="B39" s="210"/>
      <c r="C39" s="773" t="s">
        <v>4443</v>
      </c>
      <c r="D39" s="131"/>
      <c r="E39" s="131"/>
      <c r="F39" s="816" t="s">
        <v>6328</v>
      </c>
      <c r="G39" s="725"/>
      <c r="H39" s="725"/>
      <c r="I39" s="131"/>
      <c r="J39" s="131"/>
      <c r="K39" s="131"/>
      <c r="L39" s="131"/>
      <c r="M39" s="131"/>
      <c r="N39" s="131"/>
      <c r="O39" s="131"/>
      <c r="P39" s="131"/>
      <c r="Q39" s="131"/>
      <c r="R39" s="131"/>
      <c r="S39" s="131"/>
      <c r="T39" s="131"/>
      <c r="U39" s="131"/>
      <c r="V39" s="131"/>
      <c r="W39" s="131"/>
      <c r="X39" s="131"/>
      <c r="Y39" s="131"/>
      <c r="Z39" s="131"/>
    </row>
    <row r="40" spans="1:26" ht="14.25" customHeight="1">
      <c r="A40" s="131"/>
      <c r="B40" s="210"/>
      <c r="C40" s="725"/>
      <c r="D40" s="144"/>
      <c r="E40" s="131"/>
      <c r="F40" s="725"/>
      <c r="G40" s="725"/>
      <c r="H40" s="725"/>
      <c r="I40" s="131"/>
      <c r="J40" s="131"/>
      <c r="K40" s="131"/>
      <c r="L40" s="131"/>
      <c r="M40" s="131"/>
      <c r="N40" s="131"/>
      <c r="O40" s="131"/>
      <c r="P40" s="131"/>
      <c r="Q40" s="131"/>
      <c r="R40" s="131"/>
      <c r="S40" s="131"/>
      <c r="T40" s="131"/>
      <c r="U40" s="131"/>
      <c r="V40" s="131"/>
      <c r="W40" s="131"/>
      <c r="X40" s="131"/>
      <c r="Y40" s="131"/>
      <c r="Z40" s="131"/>
    </row>
    <row r="41" spans="1:26" ht="14.25" customHeight="1">
      <c r="A41" s="131"/>
      <c r="B41" s="210"/>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14.25" customHeight="1">
      <c r="A42" s="131"/>
      <c r="B42" s="210"/>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14.25" customHeight="1">
      <c r="A43" s="131"/>
      <c r="B43" s="210"/>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14.25" customHeight="1">
      <c r="A44" s="131"/>
      <c r="B44" s="210"/>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spans="1:26" ht="14.25" customHeight="1">
      <c r="A45" s="131"/>
      <c r="B45" s="210"/>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spans="1:26" ht="14.25" customHeight="1">
      <c r="A46" s="131"/>
      <c r="B46" s="210"/>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14.25" hidden="1" customHeight="1">
      <c r="A47" s="131"/>
      <c r="B47" s="330"/>
      <c r="C47" s="330"/>
      <c r="D47" s="330"/>
      <c r="E47" s="330"/>
      <c r="F47" s="330"/>
      <c r="G47" s="330"/>
      <c r="H47" s="330"/>
      <c r="I47" s="330"/>
      <c r="J47" s="131"/>
      <c r="K47" s="131"/>
      <c r="L47" s="131"/>
      <c r="M47" s="131"/>
      <c r="N47" s="131"/>
      <c r="O47" s="131"/>
      <c r="P47" s="131"/>
      <c r="Q47" s="131"/>
      <c r="R47" s="131"/>
      <c r="S47" s="131"/>
      <c r="T47" s="131"/>
      <c r="U47" s="131"/>
      <c r="V47" s="131"/>
      <c r="W47" s="131"/>
      <c r="X47" s="131"/>
      <c r="Y47" s="131"/>
      <c r="Z47" s="131"/>
    </row>
    <row r="48" spans="1:26" ht="14.25" hidden="1" customHeight="1">
      <c r="A48" s="131"/>
      <c r="B48" s="330"/>
      <c r="C48" s="330"/>
      <c r="D48" s="330"/>
      <c r="E48" s="331"/>
      <c r="F48" s="330"/>
      <c r="G48" s="330"/>
      <c r="H48" s="330"/>
      <c r="I48" s="330"/>
      <c r="J48" s="131"/>
      <c r="K48" s="131"/>
      <c r="L48" s="131"/>
      <c r="M48" s="131"/>
      <c r="N48" s="131"/>
      <c r="O48" s="131"/>
      <c r="P48" s="131"/>
      <c r="Q48" s="131"/>
      <c r="R48" s="131"/>
      <c r="S48" s="131"/>
      <c r="T48" s="131"/>
      <c r="U48" s="131"/>
      <c r="V48" s="131"/>
      <c r="W48" s="131"/>
      <c r="X48" s="131"/>
      <c r="Y48" s="131"/>
      <c r="Z48" s="131"/>
    </row>
    <row r="49" spans="1:26" ht="14.25" hidden="1" customHeight="1">
      <c r="A49" s="131"/>
      <c r="B49" s="330"/>
      <c r="C49" s="330"/>
      <c r="D49" s="330"/>
      <c r="E49" s="330"/>
      <c r="F49" s="330"/>
      <c r="G49" s="330"/>
      <c r="H49" s="330"/>
      <c r="I49" s="330"/>
      <c r="J49" s="131"/>
      <c r="K49" s="131"/>
      <c r="L49" s="131"/>
      <c r="M49" s="131"/>
      <c r="N49" s="131"/>
      <c r="O49" s="131"/>
      <c r="P49" s="131"/>
      <c r="Q49" s="131"/>
      <c r="R49" s="131"/>
      <c r="S49" s="131"/>
      <c r="T49" s="131"/>
      <c r="U49" s="131"/>
      <c r="V49" s="131"/>
      <c r="W49" s="131"/>
      <c r="X49" s="131"/>
      <c r="Y49" s="131"/>
      <c r="Z49" s="131"/>
    </row>
    <row r="50" spans="1:26" ht="14.25" hidden="1" customHeight="1">
      <c r="A50" s="131"/>
      <c r="B50" s="332"/>
      <c r="C50" s="333"/>
      <c r="D50" s="334"/>
      <c r="E50" s="334"/>
      <c r="F50" s="334"/>
      <c r="G50" s="334"/>
      <c r="H50" s="334"/>
      <c r="I50" s="334"/>
      <c r="J50" s="131"/>
      <c r="K50" s="131"/>
      <c r="L50" s="131"/>
      <c r="M50" s="131"/>
      <c r="N50" s="131"/>
      <c r="O50" s="131"/>
      <c r="P50" s="131"/>
      <c r="Q50" s="131"/>
      <c r="R50" s="131"/>
      <c r="S50" s="131"/>
      <c r="T50" s="131"/>
      <c r="U50" s="131"/>
      <c r="V50" s="131"/>
      <c r="W50" s="131"/>
      <c r="X50" s="131"/>
      <c r="Y50" s="131"/>
      <c r="Z50" s="131"/>
    </row>
    <row r="51" spans="1:26" ht="13.5" hidden="1" customHeight="1">
      <c r="A51" s="131"/>
      <c r="B51" s="335"/>
      <c r="C51" s="336"/>
      <c r="D51" s="337"/>
      <c r="E51" s="337"/>
      <c r="F51" s="337"/>
      <c r="G51" s="337"/>
      <c r="H51" s="337"/>
      <c r="I51" s="337"/>
      <c r="J51" s="131"/>
      <c r="K51" s="131"/>
      <c r="L51" s="131"/>
      <c r="M51" s="131"/>
      <c r="N51" s="131"/>
      <c r="O51" s="131"/>
      <c r="P51" s="131"/>
      <c r="Q51" s="131"/>
      <c r="R51" s="131"/>
      <c r="S51" s="131"/>
      <c r="T51" s="131"/>
      <c r="U51" s="131"/>
      <c r="V51" s="131"/>
      <c r="W51" s="131"/>
      <c r="X51" s="131"/>
      <c r="Y51" s="131"/>
      <c r="Z51" s="131"/>
    </row>
    <row r="52" spans="1:26" ht="14.25" hidden="1" customHeight="1">
      <c r="A52" s="131"/>
      <c r="B52" s="326"/>
      <c r="C52" s="327"/>
      <c r="D52" s="328"/>
      <c r="E52" s="328"/>
      <c r="F52" s="328"/>
      <c r="G52" s="328"/>
      <c r="H52" s="328"/>
      <c r="I52" s="328"/>
      <c r="J52" s="131"/>
      <c r="K52" s="131"/>
      <c r="L52" s="131"/>
      <c r="M52" s="131"/>
      <c r="N52" s="131"/>
      <c r="O52" s="131"/>
      <c r="P52" s="131"/>
      <c r="Q52" s="131"/>
      <c r="R52" s="131"/>
      <c r="S52" s="131"/>
      <c r="T52" s="131"/>
      <c r="U52" s="131"/>
      <c r="V52" s="131"/>
      <c r="W52" s="131"/>
      <c r="X52" s="131"/>
      <c r="Y52" s="131"/>
      <c r="Z52" s="131"/>
    </row>
    <row r="53" spans="1:26" ht="14.25" hidden="1" customHeight="1">
      <c r="A53" s="131"/>
      <c r="B53" s="326"/>
      <c r="C53" s="327"/>
      <c r="D53" s="328"/>
      <c r="E53" s="328"/>
      <c r="F53" s="328"/>
      <c r="G53" s="328"/>
      <c r="H53" s="328"/>
      <c r="I53" s="328"/>
      <c r="J53" s="131"/>
      <c r="K53" s="131"/>
      <c r="L53" s="131"/>
      <c r="M53" s="131"/>
      <c r="N53" s="131"/>
      <c r="O53" s="131"/>
      <c r="P53" s="131"/>
      <c r="Q53" s="131"/>
      <c r="R53" s="131"/>
      <c r="S53" s="131"/>
      <c r="T53" s="131"/>
      <c r="U53" s="131"/>
      <c r="V53" s="131"/>
      <c r="W53" s="131"/>
      <c r="X53" s="131"/>
      <c r="Y53" s="131"/>
      <c r="Z53" s="131"/>
    </row>
    <row r="54" spans="1:26" ht="14.25" hidden="1" customHeight="1">
      <c r="A54" s="131"/>
      <c r="B54" s="326"/>
      <c r="C54" s="327"/>
      <c r="D54" s="328"/>
      <c r="E54" s="328"/>
      <c r="F54" s="328"/>
      <c r="G54" s="328"/>
      <c r="H54" s="328"/>
      <c r="I54" s="328"/>
      <c r="J54" s="131"/>
      <c r="K54" s="131"/>
      <c r="L54" s="131"/>
      <c r="M54" s="131"/>
      <c r="N54" s="131"/>
      <c r="O54" s="131"/>
      <c r="P54" s="131"/>
      <c r="Q54" s="131"/>
      <c r="R54" s="131"/>
      <c r="S54" s="131"/>
      <c r="T54" s="131"/>
      <c r="U54" s="131"/>
      <c r="V54" s="131"/>
      <c r="W54" s="131"/>
      <c r="X54" s="131"/>
      <c r="Y54" s="131"/>
      <c r="Z54" s="131"/>
    </row>
    <row r="55" spans="1:26" ht="14.25" hidden="1" customHeight="1">
      <c r="A55" s="131"/>
      <c r="B55" s="326"/>
      <c r="C55" s="327"/>
      <c r="D55" s="328"/>
      <c r="E55" s="328"/>
      <c r="F55" s="328"/>
      <c r="G55" s="328"/>
      <c r="H55" s="328"/>
      <c r="I55" s="328"/>
      <c r="J55" s="131"/>
      <c r="K55" s="131"/>
      <c r="L55" s="131"/>
      <c r="M55" s="131"/>
      <c r="N55" s="131"/>
      <c r="O55" s="131"/>
      <c r="P55" s="131"/>
      <c r="Q55" s="131"/>
      <c r="R55" s="131"/>
      <c r="S55" s="131"/>
      <c r="T55" s="131"/>
      <c r="U55" s="131"/>
      <c r="V55" s="131"/>
      <c r="W55" s="131"/>
      <c r="X55" s="131"/>
      <c r="Y55" s="131"/>
      <c r="Z55" s="131"/>
    </row>
    <row r="56" spans="1:26" ht="14.25" hidden="1" customHeight="1">
      <c r="A56" s="131"/>
      <c r="B56" s="326"/>
      <c r="C56" s="327"/>
      <c r="D56" s="328"/>
      <c r="E56" s="328"/>
      <c r="F56" s="328"/>
      <c r="G56" s="328"/>
      <c r="H56" s="328"/>
      <c r="I56" s="328"/>
      <c r="J56" s="131"/>
      <c r="K56" s="131"/>
      <c r="L56" s="131"/>
      <c r="M56" s="131"/>
      <c r="N56" s="131"/>
      <c r="O56" s="131"/>
      <c r="P56" s="131"/>
      <c r="Q56" s="131"/>
      <c r="R56" s="131"/>
      <c r="S56" s="131"/>
      <c r="T56" s="131"/>
      <c r="U56" s="131"/>
      <c r="V56" s="131"/>
      <c r="W56" s="131"/>
      <c r="X56" s="131"/>
      <c r="Y56" s="131"/>
      <c r="Z56" s="131"/>
    </row>
    <row r="57" spans="1:26" ht="14.25" hidden="1" customHeight="1">
      <c r="A57" s="131"/>
      <c r="B57" s="326"/>
      <c r="C57" s="327"/>
      <c r="D57" s="328"/>
      <c r="E57" s="328"/>
      <c r="F57" s="328"/>
      <c r="G57" s="328"/>
      <c r="H57" s="328"/>
      <c r="I57" s="328"/>
      <c r="J57" s="131"/>
      <c r="K57" s="131"/>
      <c r="L57" s="131"/>
      <c r="M57" s="131"/>
      <c r="N57" s="131"/>
      <c r="O57" s="131"/>
      <c r="P57" s="131"/>
      <c r="Q57" s="131"/>
      <c r="R57" s="131"/>
      <c r="S57" s="131"/>
      <c r="T57" s="131"/>
      <c r="U57" s="131"/>
      <c r="V57" s="131"/>
      <c r="W57" s="131"/>
      <c r="X57" s="131"/>
      <c r="Y57" s="131"/>
      <c r="Z57" s="131"/>
    </row>
    <row r="58" spans="1:26" ht="14.25" hidden="1" customHeight="1">
      <c r="A58" s="131"/>
      <c r="B58" s="326"/>
      <c r="C58" s="327"/>
      <c r="D58" s="327"/>
      <c r="E58" s="328"/>
      <c r="F58" s="328"/>
      <c r="G58" s="328"/>
      <c r="H58" s="328"/>
      <c r="I58" s="328"/>
      <c r="J58" s="131"/>
      <c r="K58" s="131"/>
      <c r="L58" s="131"/>
      <c r="M58" s="131"/>
      <c r="N58" s="131"/>
      <c r="O58" s="131"/>
      <c r="P58" s="131"/>
      <c r="Q58" s="131"/>
      <c r="R58" s="131"/>
      <c r="S58" s="131"/>
      <c r="T58" s="131"/>
      <c r="U58" s="131"/>
      <c r="V58" s="131"/>
      <c r="W58" s="131"/>
      <c r="X58" s="131"/>
      <c r="Y58" s="131"/>
      <c r="Z58" s="131"/>
    </row>
    <row r="59" spans="1:26" ht="14.25" hidden="1" customHeight="1">
      <c r="A59" s="131"/>
      <c r="B59" s="326"/>
      <c r="C59" s="327"/>
      <c r="D59" s="328"/>
      <c r="E59" s="328"/>
      <c r="F59" s="328"/>
      <c r="G59" s="328"/>
      <c r="H59" s="328"/>
      <c r="I59" s="328"/>
      <c r="J59" s="131"/>
      <c r="K59" s="131"/>
      <c r="L59" s="131"/>
      <c r="M59" s="131"/>
      <c r="N59" s="131"/>
      <c r="O59" s="131"/>
      <c r="P59" s="131"/>
      <c r="Q59" s="131"/>
      <c r="R59" s="131"/>
      <c r="S59" s="131"/>
      <c r="T59" s="131"/>
      <c r="U59" s="131"/>
      <c r="V59" s="131"/>
      <c r="W59" s="131"/>
      <c r="X59" s="131"/>
      <c r="Y59" s="131"/>
      <c r="Z59" s="131"/>
    </row>
    <row r="60" spans="1:26" ht="14.25" hidden="1" customHeight="1">
      <c r="A60" s="131"/>
      <c r="B60" s="326"/>
      <c r="C60" s="338"/>
      <c r="D60" s="339"/>
      <c r="E60" s="339"/>
      <c r="F60" s="339"/>
      <c r="G60" s="339"/>
      <c r="H60" s="339"/>
      <c r="I60" s="339"/>
      <c r="J60" s="131"/>
      <c r="K60" s="131"/>
      <c r="L60" s="131"/>
      <c r="M60" s="131"/>
      <c r="N60" s="131"/>
      <c r="O60" s="131"/>
      <c r="P60" s="131"/>
      <c r="Q60" s="131"/>
      <c r="R60" s="131"/>
      <c r="S60" s="131"/>
      <c r="T60" s="131"/>
      <c r="U60" s="131"/>
      <c r="V60" s="131"/>
      <c r="W60" s="131"/>
      <c r="X60" s="131"/>
      <c r="Y60" s="131"/>
      <c r="Z60" s="131"/>
    </row>
    <row r="61" spans="1:26" ht="14.25" hidden="1" customHeight="1">
      <c r="A61" s="131"/>
      <c r="B61" s="340"/>
      <c r="C61" s="341"/>
      <c r="D61" s="337"/>
      <c r="E61" s="337"/>
      <c r="F61" s="337"/>
      <c r="G61" s="337"/>
      <c r="H61" s="337"/>
      <c r="I61" s="337"/>
      <c r="J61" s="131"/>
      <c r="K61" s="131"/>
      <c r="L61" s="131"/>
      <c r="M61" s="131"/>
      <c r="N61" s="131"/>
      <c r="O61" s="131"/>
      <c r="P61" s="131"/>
      <c r="Q61" s="131"/>
      <c r="R61" s="131"/>
      <c r="S61" s="131"/>
      <c r="T61" s="131"/>
      <c r="U61" s="131"/>
      <c r="V61" s="131"/>
      <c r="W61" s="131"/>
      <c r="X61" s="131"/>
      <c r="Y61" s="131"/>
      <c r="Z61" s="131"/>
    </row>
    <row r="62" spans="1:26" ht="14.25" hidden="1" customHeight="1">
      <c r="A62" s="131"/>
      <c r="B62" s="326"/>
      <c r="C62" s="327"/>
      <c r="D62" s="328"/>
      <c r="E62" s="328"/>
      <c r="F62" s="328"/>
      <c r="G62" s="328"/>
      <c r="H62" s="328"/>
      <c r="I62" s="328"/>
      <c r="J62" s="131"/>
      <c r="K62" s="131"/>
      <c r="L62" s="131"/>
      <c r="M62" s="131"/>
      <c r="N62" s="131"/>
      <c r="O62" s="131"/>
      <c r="P62" s="131"/>
      <c r="Q62" s="131"/>
      <c r="R62" s="131"/>
      <c r="S62" s="131"/>
      <c r="T62" s="131"/>
      <c r="U62" s="131"/>
      <c r="V62" s="131"/>
      <c r="W62" s="131"/>
      <c r="X62" s="131"/>
      <c r="Y62" s="131"/>
      <c r="Z62" s="131"/>
    </row>
    <row r="63" spans="1:26" ht="14.25" hidden="1" customHeight="1">
      <c r="A63" s="131"/>
      <c r="B63" s="326"/>
      <c r="C63" s="327"/>
      <c r="D63" s="328"/>
      <c r="E63" s="328"/>
      <c r="F63" s="328"/>
      <c r="G63" s="328"/>
      <c r="H63" s="328"/>
      <c r="I63" s="328"/>
      <c r="J63" s="131"/>
      <c r="K63" s="131"/>
      <c r="L63" s="131"/>
      <c r="M63" s="131"/>
      <c r="N63" s="131"/>
      <c r="O63" s="131"/>
      <c r="P63" s="131"/>
      <c r="Q63" s="131"/>
      <c r="R63" s="131"/>
      <c r="S63" s="131"/>
      <c r="T63" s="131"/>
      <c r="U63" s="131"/>
      <c r="V63" s="131"/>
      <c r="W63" s="131"/>
      <c r="X63" s="131"/>
      <c r="Y63" s="131"/>
      <c r="Z63" s="131"/>
    </row>
    <row r="64" spans="1:26" ht="14.25" hidden="1" customHeight="1">
      <c r="A64" s="131"/>
      <c r="B64" s="326"/>
      <c r="C64" s="327"/>
      <c r="D64" s="328"/>
      <c r="E64" s="328"/>
      <c r="F64" s="328"/>
      <c r="G64" s="328"/>
      <c r="H64" s="328"/>
      <c r="I64" s="328"/>
      <c r="J64" s="131"/>
      <c r="K64" s="131"/>
      <c r="L64" s="131"/>
      <c r="M64" s="131"/>
      <c r="N64" s="131"/>
      <c r="O64" s="131"/>
      <c r="P64" s="131"/>
      <c r="Q64" s="131"/>
      <c r="R64" s="131"/>
      <c r="S64" s="131"/>
      <c r="T64" s="131"/>
      <c r="U64" s="131"/>
      <c r="V64" s="131"/>
      <c r="W64" s="131"/>
      <c r="X64" s="131"/>
      <c r="Y64" s="131"/>
      <c r="Z64" s="131"/>
    </row>
    <row r="65" spans="1:26" ht="14.25" hidden="1" customHeight="1">
      <c r="A65" s="131"/>
      <c r="B65" s="326"/>
      <c r="C65" s="327"/>
      <c r="D65" s="328"/>
      <c r="E65" s="328"/>
      <c r="F65" s="328"/>
      <c r="G65" s="328"/>
      <c r="H65" s="328"/>
      <c r="I65" s="328"/>
      <c r="J65" s="131"/>
      <c r="K65" s="131"/>
      <c r="L65" s="131"/>
      <c r="M65" s="131"/>
      <c r="N65" s="131"/>
      <c r="O65" s="131"/>
      <c r="P65" s="131"/>
      <c r="Q65" s="131"/>
      <c r="R65" s="131"/>
      <c r="S65" s="131"/>
      <c r="T65" s="131"/>
      <c r="U65" s="131"/>
      <c r="V65" s="131"/>
      <c r="W65" s="131"/>
      <c r="X65" s="131"/>
      <c r="Y65" s="131"/>
      <c r="Z65" s="131"/>
    </row>
    <row r="66" spans="1:26" ht="14.25" hidden="1" customHeight="1">
      <c r="A66" s="131"/>
      <c r="B66" s="326"/>
      <c r="C66" s="327"/>
      <c r="D66" s="328"/>
      <c r="E66" s="328"/>
      <c r="F66" s="328"/>
      <c r="G66" s="328"/>
      <c r="H66" s="328"/>
      <c r="I66" s="328"/>
      <c r="J66" s="131"/>
      <c r="K66" s="131"/>
      <c r="L66" s="131"/>
      <c r="M66" s="131"/>
      <c r="N66" s="131"/>
      <c r="O66" s="131"/>
      <c r="P66" s="131"/>
      <c r="Q66" s="131"/>
      <c r="R66" s="131"/>
      <c r="S66" s="131"/>
      <c r="T66" s="131"/>
      <c r="U66" s="131"/>
      <c r="V66" s="131"/>
      <c r="W66" s="131"/>
      <c r="X66" s="131"/>
      <c r="Y66" s="131"/>
      <c r="Z66" s="131"/>
    </row>
    <row r="67" spans="1:26" ht="14.25" hidden="1" customHeight="1">
      <c r="A67" s="131"/>
      <c r="B67" s="326"/>
      <c r="C67" s="327"/>
      <c r="D67" s="328"/>
      <c r="E67" s="328"/>
      <c r="F67" s="328"/>
      <c r="G67" s="328"/>
      <c r="H67" s="328"/>
      <c r="I67" s="328"/>
      <c r="J67" s="131"/>
      <c r="K67" s="131"/>
      <c r="L67" s="131"/>
      <c r="M67" s="131"/>
      <c r="N67" s="131"/>
      <c r="O67" s="131"/>
      <c r="P67" s="131"/>
      <c r="Q67" s="131"/>
      <c r="R67" s="131"/>
      <c r="S67" s="131"/>
      <c r="T67" s="131"/>
      <c r="U67" s="131"/>
      <c r="V67" s="131"/>
      <c r="W67" s="131"/>
      <c r="X67" s="131"/>
      <c r="Y67" s="131"/>
      <c r="Z67" s="131"/>
    </row>
    <row r="68" spans="1:26" ht="14.25" hidden="1" customHeight="1">
      <c r="A68" s="131"/>
      <c r="B68" s="326"/>
      <c r="C68" s="327"/>
      <c r="D68" s="328"/>
      <c r="E68" s="328"/>
      <c r="F68" s="328"/>
      <c r="G68" s="328"/>
      <c r="H68" s="328"/>
      <c r="I68" s="328"/>
      <c r="J68" s="131"/>
      <c r="K68" s="131"/>
      <c r="L68" s="131"/>
      <c r="M68" s="131"/>
      <c r="N68" s="131"/>
      <c r="O68" s="131"/>
      <c r="P68" s="131"/>
      <c r="Q68" s="131"/>
      <c r="R68" s="131"/>
      <c r="S68" s="131"/>
      <c r="T68" s="131"/>
      <c r="U68" s="131"/>
      <c r="V68" s="131"/>
      <c r="W68" s="131"/>
      <c r="X68" s="131"/>
      <c r="Y68" s="131"/>
      <c r="Z68" s="131"/>
    </row>
    <row r="69" spans="1:26" ht="14.25" hidden="1" customHeight="1">
      <c r="A69" s="131"/>
      <c r="B69" s="326"/>
      <c r="C69" s="338"/>
      <c r="D69" s="342"/>
      <c r="E69" s="342"/>
      <c r="F69" s="339"/>
      <c r="G69" s="342"/>
      <c r="H69" s="342"/>
      <c r="I69" s="342"/>
      <c r="J69" s="131"/>
      <c r="K69" s="131"/>
      <c r="L69" s="131"/>
      <c r="M69" s="131"/>
      <c r="N69" s="131"/>
      <c r="O69" s="131"/>
      <c r="P69" s="131"/>
      <c r="Q69" s="131"/>
      <c r="R69" s="131"/>
      <c r="S69" s="131"/>
      <c r="T69" s="131"/>
      <c r="U69" s="131"/>
      <c r="V69" s="131"/>
      <c r="W69" s="131"/>
      <c r="X69" s="131"/>
      <c r="Y69" s="131"/>
      <c r="Z69" s="131"/>
    </row>
    <row r="70" spans="1:26" ht="14.25" hidden="1" customHeight="1">
      <c r="A70" s="131"/>
      <c r="B70" s="340"/>
      <c r="C70" s="341"/>
      <c r="D70" s="337"/>
      <c r="E70" s="337"/>
      <c r="F70" s="337"/>
      <c r="G70" s="337"/>
      <c r="H70" s="337"/>
      <c r="I70" s="337"/>
      <c r="J70" s="131"/>
      <c r="K70" s="131"/>
      <c r="L70" s="131"/>
      <c r="M70" s="131"/>
      <c r="N70" s="131"/>
      <c r="O70" s="131"/>
      <c r="P70" s="131"/>
      <c r="Q70" s="131"/>
      <c r="R70" s="131"/>
      <c r="S70" s="131"/>
      <c r="T70" s="131"/>
      <c r="U70" s="131"/>
      <c r="V70" s="131"/>
      <c r="W70" s="131"/>
      <c r="X70" s="131"/>
      <c r="Y70" s="131"/>
      <c r="Z70" s="131"/>
    </row>
    <row r="71" spans="1:26" ht="14.25" hidden="1" customHeight="1">
      <c r="A71" s="131"/>
      <c r="B71" s="343"/>
      <c r="C71" s="327"/>
      <c r="D71" s="328"/>
      <c r="E71" s="328"/>
      <c r="F71" s="328"/>
      <c r="G71" s="328"/>
      <c r="H71" s="328"/>
      <c r="I71" s="328"/>
      <c r="J71" s="131"/>
      <c r="K71" s="131"/>
      <c r="L71" s="131"/>
      <c r="M71" s="131"/>
      <c r="N71" s="131"/>
      <c r="O71" s="131"/>
      <c r="P71" s="131"/>
      <c r="Q71" s="131"/>
      <c r="R71" s="131"/>
      <c r="S71" s="131"/>
      <c r="T71" s="131"/>
      <c r="U71" s="131"/>
      <c r="V71" s="131"/>
      <c r="W71" s="131"/>
      <c r="X71" s="131"/>
      <c r="Y71" s="131"/>
      <c r="Z71" s="131"/>
    </row>
    <row r="72" spans="1:26" ht="14.25" hidden="1" customHeight="1">
      <c r="A72" s="131"/>
      <c r="B72" s="326"/>
      <c r="C72" s="327"/>
      <c r="D72" s="328"/>
      <c r="E72" s="328"/>
      <c r="F72" s="328"/>
      <c r="G72" s="328"/>
      <c r="H72" s="328"/>
      <c r="I72" s="328"/>
      <c r="J72" s="131"/>
      <c r="K72" s="131"/>
      <c r="L72" s="131"/>
      <c r="M72" s="131"/>
      <c r="N72" s="131"/>
      <c r="O72" s="131"/>
      <c r="P72" s="131"/>
      <c r="Q72" s="131"/>
      <c r="R72" s="131"/>
      <c r="S72" s="131"/>
      <c r="T72" s="131"/>
      <c r="U72" s="131"/>
      <c r="V72" s="131"/>
      <c r="W72" s="131"/>
      <c r="X72" s="131"/>
      <c r="Y72" s="131"/>
      <c r="Z72" s="131"/>
    </row>
    <row r="73" spans="1:26" ht="14.25" hidden="1" customHeight="1">
      <c r="A73" s="131"/>
      <c r="B73" s="326"/>
      <c r="C73" s="327"/>
      <c r="D73" s="328"/>
      <c r="E73" s="328"/>
      <c r="F73" s="328"/>
      <c r="G73" s="328"/>
      <c r="H73" s="328"/>
      <c r="I73" s="328"/>
      <c r="J73" s="131"/>
      <c r="K73" s="131"/>
      <c r="L73" s="131"/>
      <c r="M73" s="131"/>
      <c r="N73" s="131"/>
      <c r="O73" s="131"/>
      <c r="P73" s="131"/>
      <c r="Q73" s="131"/>
      <c r="R73" s="131"/>
      <c r="S73" s="131"/>
      <c r="T73" s="131"/>
      <c r="U73" s="131"/>
      <c r="V73" s="131"/>
      <c r="W73" s="131"/>
      <c r="X73" s="131"/>
      <c r="Y73" s="131"/>
      <c r="Z73" s="131"/>
    </row>
    <row r="74" spans="1:26" ht="14.25" hidden="1" customHeight="1">
      <c r="A74" s="131"/>
      <c r="B74" s="326"/>
      <c r="C74" s="327"/>
      <c r="D74" s="328"/>
      <c r="E74" s="328"/>
      <c r="F74" s="328"/>
      <c r="G74" s="328"/>
      <c r="H74" s="328"/>
      <c r="I74" s="328"/>
      <c r="J74" s="131"/>
      <c r="K74" s="131"/>
      <c r="L74" s="131"/>
      <c r="M74" s="131"/>
      <c r="N74" s="131"/>
      <c r="O74" s="131"/>
      <c r="P74" s="131"/>
      <c r="Q74" s="131"/>
      <c r="R74" s="131"/>
      <c r="S74" s="131"/>
      <c r="T74" s="131"/>
      <c r="U74" s="131"/>
      <c r="V74" s="131"/>
      <c r="W74" s="131"/>
      <c r="X74" s="131"/>
      <c r="Y74" s="131"/>
      <c r="Z74" s="131"/>
    </row>
    <row r="75" spans="1:26" ht="14.25" hidden="1" customHeight="1">
      <c r="A75" s="131"/>
      <c r="B75" s="326"/>
      <c r="C75" s="327"/>
      <c r="D75" s="328"/>
      <c r="E75" s="328"/>
      <c r="F75" s="328"/>
      <c r="G75" s="328"/>
      <c r="H75" s="328"/>
      <c r="I75" s="328"/>
      <c r="J75" s="131"/>
      <c r="K75" s="131"/>
      <c r="L75" s="131"/>
      <c r="M75" s="131"/>
      <c r="N75" s="131"/>
      <c r="O75" s="131"/>
      <c r="P75" s="131"/>
      <c r="Q75" s="131"/>
      <c r="R75" s="131"/>
      <c r="S75" s="131"/>
      <c r="T75" s="131"/>
      <c r="U75" s="131"/>
      <c r="V75" s="131"/>
      <c r="W75" s="131"/>
      <c r="X75" s="131"/>
      <c r="Y75" s="131"/>
      <c r="Z75" s="131"/>
    </row>
    <row r="76" spans="1:26" ht="14.25" hidden="1" customHeight="1">
      <c r="A76" s="131"/>
      <c r="B76" s="326"/>
      <c r="C76" s="327"/>
      <c r="D76" s="328"/>
      <c r="E76" s="328"/>
      <c r="F76" s="328"/>
      <c r="G76" s="328"/>
      <c r="H76" s="328"/>
      <c r="I76" s="328"/>
      <c r="J76" s="131"/>
      <c r="K76" s="131"/>
      <c r="L76" s="131"/>
      <c r="M76" s="131"/>
      <c r="N76" s="131"/>
      <c r="O76" s="131"/>
      <c r="P76" s="131"/>
      <c r="Q76" s="131"/>
      <c r="R76" s="131"/>
      <c r="S76" s="131"/>
      <c r="T76" s="131"/>
      <c r="U76" s="131"/>
      <c r="V76" s="131"/>
      <c r="W76" s="131"/>
      <c r="X76" s="131"/>
      <c r="Y76" s="131"/>
      <c r="Z76" s="131"/>
    </row>
    <row r="77" spans="1:26" ht="14.25" hidden="1" customHeight="1">
      <c r="A77" s="131"/>
      <c r="B77" s="326"/>
      <c r="C77" s="327"/>
      <c r="D77" s="328"/>
      <c r="E77" s="328"/>
      <c r="F77" s="328"/>
      <c r="G77" s="328"/>
      <c r="H77" s="328"/>
      <c r="I77" s="328"/>
      <c r="J77" s="131"/>
      <c r="K77" s="131"/>
      <c r="L77" s="131"/>
      <c r="M77" s="131"/>
      <c r="N77" s="131"/>
      <c r="O77" s="131"/>
      <c r="P77" s="131"/>
      <c r="Q77" s="131"/>
      <c r="R77" s="131"/>
      <c r="S77" s="131"/>
      <c r="T77" s="131"/>
      <c r="U77" s="131"/>
      <c r="V77" s="131"/>
      <c r="W77" s="131"/>
      <c r="X77" s="131"/>
      <c r="Y77" s="131"/>
      <c r="Z77" s="131"/>
    </row>
    <row r="78" spans="1:26" ht="14.25" hidden="1" customHeight="1">
      <c r="A78" s="131"/>
      <c r="B78" s="326"/>
      <c r="C78" s="327"/>
      <c r="D78" s="328"/>
      <c r="E78" s="328"/>
      <c r="F78" s="328"/>
      <c r="G78" s="328"/>
      <c r="H78" s="328"/>
      <c r="I78" s="328"/>
      <c r="J78" s="131"/>
      <c r="K78" s="131"/>
      <c r="L78" s="131"/>
      <c r="M78" s="131"/>
      <c r="N78" s="131"/>
      <c r="O78" s="131"/>
      <c r="P78" s="131"/>
      <c r="Q78" s="131"/>
      <c r="R78" s="131"/>
      <c r="S78" s="131"/>
      <c r="T78" s="131"/>
      <c r="U78" s="131"/>
      <c r="V78" s="131"/>
      <c r="W78" s="131"/>
      <c r="X78" s="131"/>
      <c r="Y78" s="131"/>
      <c r="Z78" s="131"/>
    </row>
    <row r="79" spans="1:26" ht="14.25" hidden="1" customHeight="1">
      <c r="A79" s="131"/>
      <c r="B79" s="326"/>
      <c r="C79" s="327"/>
      <c r="D79" s="328"/>
      <c r="E79" s="328"/>
      <c r="F79" s="328"/>
      <c r="G79" s="328"/>
      <c r="H79" s="328"/>
      <c r="I79" s="328"/>
      <c r="J79" s="131"/>
      <c r="K79" s="131"/>
      <c r="L79" s="131"/>
      <c r="M79" s="131"/>
      <c r="N79" s="131"/>
      <c r="O79" s="131"/>
      <c r="P79" s="131"/>
      <c r="Q79" s="131"/>
      <c r="R79" s="131"/>
      <c r="S79" s="131"/>
      <c r="T79" s="131"/>
      <c r="U79" s="131"/>
      <c r="V79" s="131"/>
      <c r="W79" s="131"/>
      <c r="X79" s="131"/>
      <c r="Y79" s="131"/>
      <c r="Z79" s="131"/>
    </row>
    <row r="80" spans="1:26" ht="14.25" hidden="1" customHeight="1">
      <c r="A80" s="131"/>
      <c r="B80" s="326"/>
      <c r="C80" s="338"/>
      <c r="D80" s="342"/>
      <c r="E80" s="342"/>
      <c r="F80" s="342"/>
      <c r="G80" s="342"/>
      <c r="H80" s="342"/>
      <c r="I80" s="342"/>
      <c r="J80" s="131"/>
      <c r="K80" s="131"/>
      <c r="L80" s="131"/>
      <c r="M80" s="131"/>
      <c r="N80" s="131"/>
      <c r="O80" s="131"/>
      <c r="P80" s="131"/>
      <c r="Q80" s="131"/>
      <c r="R80" s="131"/>
      <c r="S80" s="131"/>
      <c r="T80" s="131"/>
      <c r="U80" s="131"/>
      <c r="V80" s="131"/>
      <c r="W80" s="131"/>
      <c r="X80" s="131"/>
      <c r="Y80" s="131"/>
      <c r="Z80" s="131"/>
    </row>
    <row r="81" spans="1:26" ht="14.25" hidden="1" customHeight="1">
      <c r="A81" s="131"/>
      <c r="B81" s="340"/>
      <c r="C81" s="341"/>
      <c r="D81" s="337"/>
      <c r="E81" s="337"/>
      <c r="F81" s="337"/>
      <c r="G81" s="337"/>
      <c r="H81" s="337"/>
      <c r="I81" s="337"/>
      <c r="J81" s="131"/>
      <c r="K81" s="131"/>
      <c r="L81" s="131"/>
      <c r="M81" s="131"/>
      <c r="N81" s="131"/>
      <c r="O81" s="131"/>
      <c r="P81" s="131"/>
      <c r="Q81" s="131"/>
      <c r="R81" s="131"/>
      <c r="S81" s="131"/>
      <c r="T81" s="131"/>
      <c r="U81" s="131"/>
      <c r="V81" s="131"/>
      <c r="W81" s="131"/>
      <c r="X81" s="131"/>
      <c r="Y81" s="131"/>
      <c r="Z81" s="131"/>
    </row>
    <row r="82" spans="1:26" ht="14.25" hidden="1" customHeight="1">
      <c r="A82" s="131"/>
      <c r="B82" s="326"/>
      <c r="C82" s="327"/>
      <c r="D82" s="328"/>
      <c r="E82" s="328"/>
      <c r="F82" s="328"/>
      <c r="G82" s="328"/>
      <c r="H82" s="328"/>
      <c r="I82" s="328"/>
      <c r="J82" s="131"/>
      <c r="K82" s="131"/>
      <c r="L82" s="131"/>
      <c r="M82" s="131"/>
      <c r="N82" s="131"/>
      <c r="O82" s="131"/>
      <c r="P82" s="131"/>
      <c r="Q82" s="131"/>
      <c r="R82" s="131"/>
      <c r="S82" s="131"/>
      <c r="T82" s="131"/>
      <c r="U82" s="131"/>
      <c r="V82" s="131"/>
      <c r="W82" s="131"/>
      <c r="X82" s="131"/>
      <c r="Y82" s="131"/>
      <c r="Z82" s="131"/>
    </row>
    <row r="83" spans="1:26" ht="14.25" hidden="1" customHeight="1">
      <c r="A83" s="131"/>
      <c r="B83" s="326"/>
      <c r="C83" s="327"/>
      <c r="D83" s="328"/>
      <c r="E83" s="328"/>
      <c r="F83" s="328"/>
      <c r="G83" s="328"/>
      <c r="H83" s="328"/>
      <c r="I83" s="328"/>
      <c r="J83" s="131"/>
      <c r="K83" s="131"/>
      <c r="L83" s="131"/>
      <c r="M83" s="131"/>
      <c r="N83" s="131"/>
      <c r="O83" s="131"/>
      <c r="P83" s="131"/>
      <c r="Q83" s="131"/>
      <c r="R83" s="131"/>
      <c r="S83" s="131"/>
      <c r="T83" s="131"/>
      <c r="U83" s="131"/>
      <c r="V83" s="131"/>
      <c r="W83" s="131"/>
      <c r="X83" s="131"/>
      <c r="Y83" s="131"/>
      <c r="Z83" s="131"/>
    </row>
    <row r="84" spans="1:26" ht="14.25" hidden="1" customHeight="1">
      <c r="A84" s="131"/>
      <c r="B84" s="326"/>
      <c r="C84" s="327"/>
      <c r="D84" s="328"/>
      <c r="E84" s="328"/>
      <c r="F84" s="328"/>
      <c r="G84" s="328"/>
      <c r="H84" s="328"/>
      <c r="I84" s="328"/>
      <c r="J84" s="131"/>
      <c r="K84" s="131"/>
      <c r="L84" s="131"/>
      <c r="M84" s="131"/>
      <c r="N84" s="131"/>
      <c r="O84" s="131"/>
      <c r="P84" s="131"/>
      <c r="Q84" s="131"/>
      <c r="R84" s="131"/>
      <c r="S84" s="131"/>
      <c r="T84" s="131"/>
      <c r="U84" s="131"/>
      <c r="V84" s="131"/>
      <c r="W84" s="131"/>
      <c r="X84" s="131"/>
      <c r="Y84" s="131"/>
      <c r="Z84" s="131"/>
    </row>
    <row r="85" spans="1:26" ht="14.25" hidden="1" customHeight="1">
      <c r="A85" s="131"/>
      <c r="B85" s="326"/>
      <c r="C85" s="327"/>
      <c r="D85" s="328"/>
      <c r="E85" s="328"/>
      <c r="F85" s="328"/>
      <c r="G85" s="328"/>
      <c r="H85" s="328"/>
      <c r="I85" s="328"/>
      <c r="J85" s="131"/>
      <c r="K85" s="131"/>
      <c r="L85" s="131"/>
      <c r="M85" s="131"/>
      <c r="N85" s="131"/>
      <c r="O85" s="131"/>
      <c r="P85" s="131"/>
      <c r="Q85" s="131"/>
      <c r="R85" s="131"/>
      <c r="S85" s="131"/>
      <c r="T85" s="131"/>
      <c r="U85" s="131"/>
      <c r="V85" s="131"/>
      <c r="W85" s="131"/>
      <c r="X85" s="131"/>
      <c r="Y85" s="131"/>
      <c r="Z85" s="131"/>
    </row>
    <row r="86" spans="1:26" ht="14.25" hidden="1" customHeight="1">
      <c r="A86" s="131"/>
      <c r="B86" s="326"/>
      <c r="C86" s="327"/>
      <c r="D86" s="342"/>
      <c r="E86" s="342"/>
      <c r="F86" s="342"/>
      <c r="G86" s="342"/>
      <c r="H86" s="342"/>
      <c r="I86" s="342"/>
      <c r="J86" s="131"/>
      <c r="K86" s="131"/>
      <c r="L86" s="131"/>
      <c r="M86" s="131"/>
      <c r="N86" s="131"/>
      <c r="O86" s="131"/>
      <c r="P86" s="131"/>
      <c r="Q86" s="131"/>
      <c r="R86" s="131"/>
      <c r="S86" s="131"/>
      <c r="T86" s="131"/>
      <c r="U86" s="131"/>
      <c r="V86" s="131"/>
      <c r="W86" s="131"/>
      <c r="X86" s="131"/>
      <c r="Y86" s="131"/>
      <c r="Z86" s="131"/>
    </row>
    <row r="87" spans="1:26" ht="14.25" hidden="1" customHeight="1">
      <c r="A87" s="131"/>
      <c r="B87" s="326"/>
      <c r="C87" s="344"/>
      <c r="D87" s="342"/>
      <c r="E87" s="342"/>
      <c r="F87" s="342"/>
      <c r="G87" s="342"/>
      <c r="H87" s="342"/>
      <c r="I87" s="342"/>
      <c r="J87" s="131"/>
      <c r="K87" s="131"/>
      <c r="L87" s="131"/>
      <c r="M87" s="131"/>
      <c r="N87" s="131"/>
      <c r="O87" s="131"/>
      <c r="P87" s="131"/>
      <c r="Q87" s="131"/>
      <c r="R87" s="131"/>
      <c r="S87" s="131"/>
      <c r="T87" s="131"/>
      <c r="U87" s="131"/>
      <c r="V87" s="131"/>
      <c r="W87" s="131"/>
      <c r="X87" s="131"/>
      <c r="Y87" s="131"/>
      <c r="Z87" s="131"/>
    </row>
    <row r="88" spans="1:26" ht="14.25" customHeight="1">
      <c r="A88" s="131"/>
      <c r="B88" s="210"/>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4.25" hidden="1" customHeight="1">
      <c r="A89" s="131"/>
      <c r="B89" s="82"/>
      <c r="C89" s="345"/>
      <c r="D89" s="334"/>
      <c r="E89" s="334"/>
      <c r="F89" s="334"/>
      <c r="G89" s="334"/>
      <c r="H89" s="334"/>
      <c r="I89" s="334"/>
      <c r="J89" s="131"/>
      <c r="K89" s="131"/>
      <c r="L89" s="131"/>
      <c r="M89" s="131"/>
      <c r="N89" s="131"/>
      <c r="O89" s="131"/>
      <c r="P89" s="131"/>
      <c r="Q89" s="131"/>
      <c r="R89" s="131"/>
      <c r="S89" s="131"/>
      <c r="T89" s="131"/>
      <c r="U89" s="131"/>
      <c r="V89" s="131"/>
      <c r="W89" s="131"/>
      <c r="X89" s="131"/>
      <c r="Y89" s="131"/>
      <c r="Z89" s="131"/>
    </row>
    <row r="90" spans="1:26" ht="14.25" customHeight="1">
      <c r="A90" s="131"/>
      <c r="B90" s="210"/>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4.25" customHeight="1">
      <c r="A91" s="131"/>
      <c r="B91" s="210"/>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4.25" hidden="1" customHeight="1">
      <c r="A92" s="131"/>
      <c r="B92" s="210"/>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30.75" hidden="1" customHeight="1">
      <c r="A93" s="131"/>
      <c r="B93" s="210"/>
      <c r="C93" s="131"/>
      <c r="D93" s="146"/>
      <c r="E93" s="146"/>
      <c r="F93" s="146"/>
      <c r="G93" s="146"/>
      <c r="H93" s="146"/>
      <c r="I93" s="146"/>
      <c r="J93" s="131"/>
      <c r="K93" s="131"/>
      <c r="L93" s="131"/>
      <c r="M93" s="131"/>
      <c r="N93" s="131"/>
      <c r="O93" s="131"/>
      <c r="P93" s="131"/>
      <c r="Q93" s="131"/>
      <c r="R93" s="131"/>
      <c r="S93" s="131"/>
      <c r="T93" s="131"/>
      <c r="U93" s="131"/>
      <c r="V93" s="131"/>
      <c r="W93" s="131"/>
      <c r="X93" s="131"/>
      <c r="Y93" s="131"/>
      <c r="Z93" s="131"/>
    </row>
    <row r="94" spans="1:26" ht="19.5" hidden="1" customHeight="1">
      <c r="A94" s="131"/>
      <c r="B94" s="210"/>
      <c r="C94" s="210"/>
      <c r="D94" s="146"/>
      <c r="E94" s="346"/>
      <c r="F94" s="346"/>
      <c r="G94" s="347"/>
      <c r="H94" s="347"/>
      <c r="I94" s="146"/>
      <c r="J94" s="131"/>
      <c r="K94" s="131"/>
      <c r="L94" s="131"/>
      <c r="M94" s="131"/>
      <c r="N94" s="131"/>
      <c r="O94" s="131"/>
      <c r="P94" s="131"/>
      <c r="Q94" s="131"/>
      <c r="R94" s="131"/>
      <c r="S94" s="131"/>
      <c r="T94" s="131"/>
      <c r="U94" s="131"/>
      <c r="V94" s="131"/>
      <c r="W94" s="131"/>
      <c r="X94" s="131"/>
      <c r="Y94" s="131"/>
      <c r="Z94" s="131"/>
    </row>
    <row r="95" spans="1:26" ht="14.25" hidden="1" customHeight="1">
      <c r="A95" s="131"/>
      <c r="B95" s="210"/>
      <c r="C95" s="131"/>
      <c r="D95" s="146"/>
      <c r="E95" s="181"/>
      <c r="F95" s="146"/>
      <c r="G95" s="210"/>
      <c r="H95" s="347"/>
      <c r="I95" s="146"/>
      <c r="J95" s="131"/>
      <c r="K95" s="131"/>
      <c r="L95" s="131"/>
      <c r="M95" s="131"/>
      <c r="N95" s="131"/>
      <c r="O95" s="131"/>
      <c r="P95" s="131"/>
      <c r="Q95" s="131"/>
      <c r="R95" s="131"/>
      <c r="S95" s="131"/>
      <c r="T95" s="131"/>
      <c r="U95" s="131"/>
      <c r="V95" s="131"/>
      <c r="W95" s="131"/>
      <c r="X95" s="131"/>
      <c r="Y95" s="131"/>
      <c r="Z95" s="131"/>
    </row>
    <row r="96" spans="1:26" ht="14.25" hidden="1" customHeight="1">
      <c r="A96" s="131"/>
      <c r="B96" s="210"/>
      <c r="C96" s="329"/>
      <c r="D96" s="146"/>
      <c r="E96" s="146"/>
      <c r="F96" s="146"/>
      <c r="G96" s="146"/>
      <c r="H96" s="146"/>
      <c r="I96" s="146"/>
      <c r="J96" s="131"/>
      <c r="K96" s="131"/>
      <c r="L96" s="131"/>
      <c r="M96" s="131"/>
      <c r="N96" s="131"/>
      <c r="O96" s="131"/>
      <c r="P96" s="131"/>
      <c r="Q96" s="131"/>
      <c r="R96" s="131"/>
      <c r="S96" s="131"/>
      <c r="T96" s="131"/>
      <c r="U96" s="131"/>
      <c r="V96" s="131"/>
      <c r="W96" s="131"/>
      <c r="X96" s="131"/>
      <c r="Y96" s="131"/>
      <c r="Z96" s="131"/>
    </row>
    <row r="97" spans="1:26" ht="14.25" hidden="1" customHeight="1">
      <c r="A97" s="131"/>
      <c r="B97" s="210"/>
      <c r="C97" s="131"/>
      <c r="D97" s="146"/>
      <c r="E97" s="146"/>
      <c r="F97" s="146"/>
      <c r="G97" s="146"/>
      <c r="H97" s="146"/>
      <c r="I97" s="146"/>
      <c r="J97" s="131"/>
      <c r="K97" s="131"/>
      <c r="L97" s="131"/>
      <c r="M97" s="131"/>
      <c r="N97" s="131"/>
      <c r="O97" s="131"/>
      <c r="P97" s="131"/>
      <c r="Q97" s="131"/>
      <c r="R97" s="131"/>
      <c r="S97" s="131"/>
      <c r="T97" s="131"/>
      <c r="U97" s="131"/>
      <c r="V97" s="131"/>
      <c r="W97" s="131"/>
      <c r="X97" s="131"/>
      <c r="Y97" s="131"/>
      <c r="Z97" s="131"/>
    </row>
    <row r="98" spans="1:26" ht="14.25" hidden="1" customHeight="1">
      <c r="A98" s="131"/>
      <c r="B98" s="210"/>
      <c r="C98" s="131"/>
      <c r="D98" s="146"/>
      <c r="E98" s="146"/>
      <c r="F98" s="146"/>
      <c r="G98" s="146"/>
      <c r="H98" s="146"/>
      <c r="I98" s="146"/>
      <c r="J98" s="131"/>
      <c r="K98" s="131"/>
      <c r="L98" s="131"/>
      <c r="M98" s="131"/>
      <c r="N98" s="131"/>
      <c r="O98" s="131"/>
      <c r="P98" s="131"/>
      <c r="Q98" s="131"/>
      <c r="R98" s="131"/>
      <c r="S98" s="131"/>
      <c r="T98" s="131"/>
      <c r="U98" s="131"/>
      <c r="V98" s="131"/>
      <c r="W98" s="131"/>
      <c r="X98" s="131"/>
      <c r="Y98" s="131"/>
      <c r="Z98" s="131"/>
    </row>
    <row r="99" spans="1:26" ht="14.25" customHeight="1">
      <c r="A99" s="131"/>
      <c r="B99" s="210"/>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4.25" customHeight="1">
      <c r="A100" s="131"/>
      <c r="B100" s="210"/>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4.25" customHeight="1">
      <c r="A101" s="131"/>
      <c r="B101" s="210"/>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4.25" customHeight="1">
      <c r="A102" s="131"/>
      <c r="B102" s="210"/>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4.25" customHeight="1">
      <c r="A103" s="131"/>
      <c r="B103" s="210"/>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4.25" customHeight="1">
      <c r="A104" s="131"/>
      <c r="B104" s="210"/>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4.25" customHeight="1">
      <c r="A105" s="131"/>
      <c r="B105" s="210"/>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4.25" customHeight="1">
      <c r="A106" s="131"/>
      <c r="B106" s="210"/>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4.25" customHeight="1">
      <c r="A107" s="131"/>
      <c r="B107" s="210"/>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4.25" customHeight="1">
      <c r="A108" s="131"/>
      <c r="B108" s="210"/>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4.25" customHeight="1">
      <c r="A109" s="131"/>
      <c r="B109" s="210"/>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4.25" customHeight="1">
      <c r="A110" s="131"/>
      <c r="B110" s="210"/>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4.25" customHeight="1">
      <c r="A111" s="131"/>
      <c r="B111" s="210"/>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4.25" customHeight="1">
      <c r="A112" s="131"/>
      <c r="B112" s="210"/>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4.25" customHeight="1">
      <c r="A113" s="131"/>
      <c r="B113" s="210"/>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4.25" customHeight="1">
      <c r="A114" s="131"/>
      <c r="B114" s="210"/>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4.25" customHeight="1">
      <c r="A115" s="131"/>
      <c r="B115" s="210"/>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4.25" customHeight="1">
      <c r="A116" s="131"/>
      <c r="B116" s="210"/>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4.25" customHeight="1">
      <c r="A117" s="131"/>
      <c r="B117" s="210"/>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4.25" customHeight="1">
      <c r="A118" s="131"/>
      <c r="B118" s="210"/>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4.25" customHeight="1">
      <c r="A119" s="131"/>
      <c r="B119" s="210"/>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4.25" customHeight="1">
      <c r="A120" s="131"/>
      <c r="B120" s="210"/>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4.25" customHeight="1">
      <c r="A121" s="131"/>
      <c r="B121" s="210"/>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4.25" customHeight="1">
      <c r="A122" s="131"/>
      <c r="B122" s="210"/>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4.25" customHeight="1">
      <c r="A123" s="131"/>
      <c r="B123" s="210"/>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4.25" customHeight="1">
      <c r="A124" s="131"/>
      <c r="B124" s="210"/>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4.25" customHeight="1">
      <c r="A125" s="131"/>
      <c r="B125" s="210"/>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4.25" customHeight="1">
      <c r="A126" s="131"/>
      <c r="B126" s="210"/>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4.25" customHeight="1">
      <c r="A127" s="131"/>
      <c r="B127" s="210"/>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4.25" customHeight="1">
      <c r="A128" s="131"/>
      <c r="B128" s="210"/>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4.25" customHeight="1">
      <c r="A129" s="131"/>
      <c r="B129" s="210"/>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4.25" customHeight="1">
      <c r="A130" s="131"/>
      <c r="B130" s="210"/>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4.25" customHeight="1">
      <c r="A131" s="131"/>
      <c r="B131" s="210"/>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4.25" customHeight="1">
      <c r="A132" s="131"/>
      <c r="B132" s="210"/>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4.25" customHeight="1">
      <c r="A133" s="131"/>
      <c r="B133" s="210"/>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4.25" customHeight="1">
      <c r="A134" s="131"/>
      <c r="B134" s="210"/>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4.25" customHeight="1">
      <c r="A135" s="131"/>
      <c r="B135" s="210"/>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4.25" customHeight="1">
      <c r="A136" s="131"/>
      <c r="B136" s="210"/>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4.25" customHeight="1">
      <c r="A137" s="131"/>
      <c r="B137" s="210"/>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4.25" customHeight="1">
      <c r="A138" s="131"/>
      <c r="B138" s="210"/>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4.25" customHeight="1">
      <c r="A139" s="131"/>
      <c r="B139" s="210"/>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4.25" customHeight="1">
      <c r="A140" s="131"/>
      <c r="B140" s="210"/>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4.25" customHeight="1">
      <c r="A141" s="131"/>
      <c r="B141" s="210"/>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4.25" customHeight="1">
      <c r="A142" s="131"/>
      <c r="B142" s="210"/>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4.25" customHeight="1">
      <c r="A143" s="131"/>
      <c r="B143" s="210"/>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4.25" customHeight="1">
      <c r="A144" s="131"/>
      <c r="B144" s="210"/>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4.25" customHeight="1">
      <c r="A145" s="131"/>
      <c r="B145" s="210"/>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4.25" customHeight="1">
      <c r="A146" s="131"/>
      <c r="B146" s="210"/>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4.25" customHeight="1">
      <c r="A147" s="131"/>
      <c r="B147" s="210"/>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4.25" customHeight="1">
      <c r="A148" s="131"/>
      <c r="B148" s="210"/>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4.25" customHeight="1">
      <c r="A149" s="131"/>
      <c r="B149" s="210"/>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4.25" customHeight="1">
      <c r="A150" s="131"/>
      <c r="B150" s="210"/>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4.25" customHeight="1">
      <c r="A151" s="131"/>
      <c r="B151" s="210"/>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4.25" customHeight="1">
      <c r="A152" s="131"/>
      <c r="B152" s="210"/>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4.25" customHeight="1">
      <c r="A153" s="131"/>
      <c r="B153" s="210"/>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4.25" customHeight="1">
      <c r="A154" s="131"/>
      <c r="B154" s="210"/>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4.25" customHeight="1">
      <c r="A155" s="131"/>
      <c r="B155" s="210"/>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4.25" customHeight="1">
      <c r="A156" s="131"/>
      <c r="B156" s="210"/>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4.25" customHeight="1">
      <c r="A157" s="131"/>
      <c r="B157" s="210"/>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4.25" customHeight="1">
      <c r="A158" s="131"/>
      <c r="B158" s="210"/>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4.25" customHeight="1">
      <c r="A159" s="131"/>
      <c r="B159" s="210"/>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4.25" customHeight="1">
      <c r="A160" s="131"/>
      <c r="B160" s="210"/>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4.25" customHeight="1">
      <c r="A161" s="131"/>
      <c r="B161" s="210"/>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4.25" customHeight="1">
      <c r="A162" s="131"/>
      <c r="B162" s="210"/>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4.25" customHeight="1">
      <c r="A163" s="131"/>
      <c r="B163" s="210"/>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4.25" customHeight="1">
      <c r="A164" s="131"/>
      <c r="B164" s="210"/>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4.25" customHeight="1">
      <c r="A165" s="131"/>
      <c r="B165" s="210"/>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4.25" customHeight="1">
      <c r="A166" s="131"/>
      <c r="B166" s="210"/>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4.25" customHeight="1">
      <c r="A167" s="131"/>
      <c r="B167" s="210"/>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4.25" customHeight="1">
      <c r="A168" s="131"/>
      <c r="B168" s="210"/>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4.25" customHeight="1">
      <c r="A169" s="131"/>
      <c r="B169" s="210"/>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4.25" customHeight="1">
      <c r="A170" s="131"/>
      <c r="B170" s="210"/>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4.25" customHeight="1">
      <c r="A171" s="131"/>
      <c r="B171" s="210"/>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4.25" customHeight="1">
      <c r="A172" s="131"/>
      <c r="B172" s="210"/>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4.25" customHeight="1">
      <c r="A173" s="131"/>
      <c r="B173" s="210"/>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4.25" customHeight="1">
      <c r="A174" s="131"/>
      <c r="B174" s="210"/>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4.25" customHeight="1">
      <c r="A175" s="131"/>
      <c r="B175" s="210"/>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4.25" customHeight="1">
      <c r="A176" s="131"/>
      <c r="B176" s="210"/>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4.25" customHeight="1">
      <c r="A177" s="131"/>
      <c r="B177" s="210"/>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4.25" customHeight="1">
      <c r="A178" s="131"/>
      <c r="B178" s="210"/>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4.25" customHeight="1">
      <c r="A179" s="131"/>
      <c r="B179" s="210"/>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4.25" customHeight="1">
      <c r="A180" s="131"/>
      <c r="B180" s="210"/>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4.25" customHeight="1">
      <c r="A181" s="131"/>
      <c r="B181" s="210"/>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4.25" customHeight="1">
      <c r="A182" s="131"/>
      <c r="B182" s="210"/>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4.25" customHeight="1">
      <c r="A183" s="131"/>
      <c r="B183" s="210"/>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4.25" customHeight="1">
      <c r="A184" s="131"/>
      <c r="B184" s="210"/>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4.25" customHeight="1">
      <c r="A185" s="131"/>
      <c r="B185" s="210"/>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4.25" customHeight="1">
      <c r="A186" s="131"/>
      <c r="B186" s="210"/>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4.25" customHeight="1">
      <c r="A187" s="131"/>
      <c r="B187" s="210"/>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4.25" customHeight="1">
      <c r="A188" s="131"/>
      <c r="B188" s="210"/>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4.25" customHeight="1">
      <c r="A189" s="131"/>
      <c r="B189" s="210"/>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4.25" customHeight="1">
      <c r="A190" s="131"/>
      <c r="B190" s="210"/>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4.25" customHeight="1">
      <c r="A191" s="131"/>
      <c r="B191" s="210"/>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4.25" customHeight="1">
      <c r="A192" s="131"/>
      <c r="B192" s="210"/>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4.25" customHeight="1">
      <c r="A193" s="131"/>
      <c r="B193" s="210"/>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4.25" customHeight="1">
      <c r="A194" s="131"/>
      <c r="B194" s="210"/>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4.25" customHeight="1">
      <c r="A195" s="131"/>
      <c r="B195" s="210"/>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4.25" customHeight="1">
      <c r="A196" s="131"/>
      <c r="B196" s="210"/>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4.25" customHeight="1">
      <c r="A197" s="131"/>
      <c r="B197" s="210"/>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4.25" customHeight="1">
      <c r="A198" s="131"/>
      <c r="B198" s="210"/>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4.25" customHeight="1">
      <c r="A199" s="131"/>
      <c r="B199" s="210"/>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4.25" customHeight="1">
      <c r="A200" s="131"/>
      <c r="B200" s="210"/>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4.25" customHeight="1">
      <c r="A201" s="131"/>
      <c r="B201" s="210"/>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4.25" customHeight="1">
      <c r="A202" s="131"/>
      <c r="B202" s="210"/>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4.25" customHeight="1">
      <c r="A203" s="131"/>
      <c r="B203" s="210"/>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4.25" customHeight="1">
      <c r="A204" s="131"/>
      <c r="B204" s="210"/>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4.25" customHeight="1">
      <c r="A205" s="131"/>
      <c r="B205" s="210"/>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4.25" customHeight="1">
      <c r="A206" s="131"/>
      <c r="B206" s="210"/>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4.25" customHeight="1">
      <c r="A207" s="131"/>
      <c r="B207" s="210"/>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4.25" customHeight="1">
      <c r="A208" s="131"/>
      <c r="B208" s="210"/>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4.25" customHeight="1">
      <c r="A209" s="131"/>
      <c r="B209" s="210"/>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4.25" customHeight="1">
      <c r="A210" s="131"/>
      <c r="B210" s="210"/>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4.25" customHeight="1">
      <c r="A211" s="131"/>
      <c r="B211" s="210"/>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4.25" customHeight="1">
      <c r="A212" s="131"/>
      <c r="B212" s="210"/>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4.25" customHeight="1">
      <c r="A213" s="131"/>
      <c r="B213" s="210"/>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4.25" customHeight="1">
      <c r="A214" s="131"/>
      <c r="B214" s="210"/>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4.25" customHeight="1">
      <c r="A215" s="131"/>
      <c r="B215" s="210"/>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4.25" customHeight="1">
      <c r="A216" s="131"/>
      <c r="B216" s="210"/>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4.25" customHeight="1">
      <c r="A217" s="131"/>
      <c r="B217" s="210"/>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4.25" customHeight="1">
      <c r="A218" s="131"/>
      <c r="B218" s="210"/>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4.25" customHeight="1">
      <c r="A219" s="131"/>
      <c r="B219" s="210"/>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4.25" customHeight="1">
      <c r="A220" s="131"/>
      <c r="B220" s="210"/>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4.25" customHeight="1">
      <c r="A221" s="131"/>
      <c r="B221" s="210"/>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4.25" customHeight="1">
      <c r="A222" s="131"/>
      <c r="B222" s="210"/>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4.25" customHeight="1">
      <c r="A223" s="131"/>
      <c r="B223" s="210"/>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4.25" customHeight="1">
      <c r="A224" s="131"/>
      <c r="B224" s="210"/>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4.25" customHeight="1">
      <c r="A225" s="131"/>
      <c r="B225" s="210"/>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4.25" customHeight="1">
      <c r="A226" s="131"/>
      <c r="B226" s="210"/>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4.25" customHeight="1">
      <c r="A227" s="131"/>
      <c r="B227" s="210"/>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4.25" customHeight="1">
      <c r="A228" s="131"/>
      <c r="B228" s="210"/>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4.25" customHeight="1">
      <c r="A229" s="131"/>
      <c r="B229" s="210"/>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4.25" customHeight="1">
      <c r="A230" s="131"/>
      <c r="B230" s="210"/>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4.25" customHeight="1">
      <c r="A231" s="131"/>
      <c r="B231" s="210"/>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4.25" customHeight="1">
      <c r="A232" s="131"/>
      <c r="B232" s="210"/>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4.25" customHeight="1">
      <c r="A233" s="131"/>
      <c r="B233" s="210"/>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4.25" customHeight="1">
      <c r="A234" s="131"/>
      <c r="B234" s="210"/>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4.25" customHeight="1">
      <c r="A235" s="131"/>
      <c r="B235" s="210"/>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4.25" customHeight="1">
      <c r="A236" s="131"/>
      <c r="B236" s="210"/>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4.25" customHeight="1">
      <c r="A237" s="131"/>
      <c r="B237" s="210"/>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4.25" customHeight="1">
      <c r="A238" s="131"/>
      <c r="B238" s="210"/>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4.25" customHeight="1">
      <c r="A239" s="131"/>
      <c r="B239" s="210"/>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4.25" customHeight="1">
      <c r="A240" s="131"/>
      <c r="B240" s="210"/>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4.25" customHeight="1">
      <c r="A241" s="131"/>
      <c r="B241" s="210"/>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4.25" customHeight="1">
      <c r="A242" s="131"/>
      <c r="B242" s="210"/>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4.25" customHeight="1">
      <c r="A243" s="131"/>
      <c r="B243" s="210"/>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4.25" customHeight="1">
      <c r="A244" s="131"/>
      <c r="B244" s="210"/>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4.25" customHeight="1">
      <c r="A245" s="131"/>
      <c r="B245" s="210"/>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4.25" customHeight="1">
      <c r="A246" s="131"/>
      <c r="B246" s="210"/>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4.25" customHeight="1">
      <c r="A247" s="131"/>
      <c r="B247" s="210"/>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4.25" customHeight="1">
      <c r="A248" s="131"/>
      <c r="B248" s="210"/>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4.25" customHeight="1">
      <c r="A249" s="131"/>
      <c r="B249" s="210"/>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4.25" customHeight="1">
      <c r="A250" s="131"/>
      <c r="B250" s="210"/>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4.25" customHeight="1">
      <c r="A251" s="131"/>
      <c r="B251" s="210"/>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4.25" customHeight="1">
      <c r="A252" s="131"/>
      <c r="B252" s="210"/>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4.25" customHeight="1">
      <c r="A253" s="131"/>
      <c r="B253" s="210"/>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4.25" customHeight="1">
      <c r="A254" s="131"/>
      <c r="B254" s="210"/>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4.25" customHeight="1">
      <c r="A255" s="131"/>
      <c r="B255" s="210"/>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4.25" customHeight="1">
      <c r="A256" s="131"/>
      <c r="B256" s="210"/>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4.25" customHeight="1">
      <c r="A257" s="131"/>
      <c r="B257" s="210"/>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4.25" customHeight="1">
      <c r="A258" s="131"/>
      <c r="B258" s="210"/>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4.25" customHeight="1">
      <c r="A259" s="131"/>
      <c r="B259" s="210"/>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4.25" customHeight="1">
      <c r="A260" s="131"/>
      <c r="B260" s="210"/>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4.25" customHeight="1">
      <c r="A261" s="131"/>
      <c r="B261" s="210"/>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4.25" customHeight="1">
      <c r="A262" s="131"/>
      <c r="B262" s="210"/>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4.25" customHeight="1">
      <c r="A263" s="131"/>
      <c r="B263" s="210"/>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4.25" customHeight="1">
      <c r="A264" s="131"/>
      <c r="B264" s="210"/>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4.25" customHeight="1">
      <c r="A265" s="131"/>
      <c r="B265" s="210"/>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4.25" customHeight="1">
      <c r="A266" s="131"/>
      <c r="B266" s="210"/>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4.25" customHeight="1">
      <c r="A267" s="131"/>
      <c r="B267" s="210"/>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4.25" customHeight="1">
      <c r="A268" s="131"/>
      <c r="B268" s="210"/>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4.25" customHeight="1">
      <c r="A269" s="131"/>
      <c r="B269" s="210"/>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4.25" customHeight="1">
      <c r="A270" s="131"/>
      <c r="B270" s="210"/>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4.25" customHeight="1">
      <c r="A271" s="131"/>
      <c r="B271" s="210"/>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4.25" customHeight="1">
      <c r="A272" s="131"/>
      <c r="B272" s="210"/>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4.25" customHeight="1">
      <c r="A273" s="131"/>
      <c r="B273" s="210"/>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4.25" customHeight="1">
      <c r="A274" s="131"/>
      <c r="B274" s="210"/>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4.25" customHeight="1">
      <c r="A275" s="131"/>
      <c r="B275" s="210"/>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4.25" customHeight="1">
      <c r="A276" s="131"/>
      <c r="B276" s="210"/>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4.25" customHeight="1">
      <c r="A277" s="131"/>
      <c r="B277" s="210"/>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4.25" customHeight="1">
      <c r="A278" s="131"/>
      <c r="B278" s="210"/>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4.25" customHeight="1">
      <c r="A279" s="131"/>
      <c r="B279" s="210"/>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4.25" customHeight="1">
      <c r="A280" s="131"/>
      <c r="B280" s="210"/>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4.25" customHeight="1">
      <c r="A281" s="131"/>
      <c r="B281" s="210"/>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4.25" customHeight="1">
      <c r="A282" s="131"/>
      <c r="B282" s="210"/>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4.25" customHeight="1">
      <c r="A283" s="131"/>
      <c r="B283" s="210"/>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4.25" customHeight="1">
      <c r="A284" s="131"/>
      <c r="B284" s="210"/>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4.25" customHeight="1">
      <c r="A285" s="131"/>
      <c r="B285" s="210"/>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4.25" customHeight="1">
      <c r="A286" s="131"/>
      <c r="B286" s="210"/>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4.25" customHeight="1">
      <c r="A287" s="131"/>
      <c r="B287" s="210"/>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4.25" customHeight="1">
      <c r="A288" s="131"/>
      <c r="B288" s="210"/>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4.25" customHeight="1">
      <c r="A289" s="131"/>
      <c r="B289" s="210"/>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4.25" customHeight="1">
      <c r="A290" s="131"/>
      <c r="B290" s="210"/>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4.25" customHeight="1">
      <c r="A291" s="131"/>
      <c r="B291" s="210"/>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4.25" customHeight="1">
      <c r="A292" s="131"/>
      <c r="B292" s="210"/>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4.25" customHeight="1">
      <c r="A293" s="131"/>
      <c r="B293" s="210"/>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4.25" customHeight="1">
      <c r="A294" s="131"/>
      <c r="B294" s="210"/>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4.25" customHeight="1">
      <c r="A295" s="131"/>
      <c r="B295" s="210"/>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4.25" customHeight="1">
      <c r="A296" s="131"/>
      <c r="B296" s="210"/>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4.25" customHeight="1">
      <c r="A297" s="131"/>
      <c r="B297" s="210"/>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4.25" customHeight="1">
      <c r="A298" s="131"/>
      <c r="B298" s="210"/>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4.25" customHeight="1">
      <c r="A299" s="131"/>
      <c r="B299" s="210"/>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4.25" customHeight="1">
      <c r="A300" s="131"/>
      <c r="B300" s="210"/>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4.25" customHeight="1">
      <c r="A301" s="131"/>
      <c r="B301" s="210"/>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4.25" customHeight="1">
      <c r="A302" s="131"/>
      <c r="B302" s="210"/>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4.25" customHeight="1">
      <c r="A303" s="131"/>
      <c r="B303" s="210"/>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4.25" customHeight="1">
      <c r="A304" s="131"/>
      <c r="B304" s="210"/>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4.25" customHeight="1">
      <c r="A305" s="131"/>
      <c r="B305" s="210"/>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4.25" customHeight="1">
      <c r="A306" s="131"/>
      <c r="B306" s="210"/>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4.25" customHeight="1">
      <c r="A307" s="131"/>
      <c r="B307" s="210"/>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4.25" customHeight="1">
      <c r="A308" s="131"/>
      <c r="B308" s="210"/>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4.25" customHeight="1">
      <c r="A309" s="131"/>
      <c r="B309" s="210"/>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4.25" customHeight="1">
      <c r="A310" s="131"/>
      <c r="B310" s="210"/>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4.25" customHeight="1">
      <c r="A311" s="131"/>
      <c r="B311" s="210"/>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4.25" customHeight="1">
      <c r="A312" s="131"/>
      <c r="B312" s="210"/>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4.25" customHeight="1">
      <c r="A313" s="131"/>
      <c r="B313" s="210"/>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4.25" customHeight="1">
      <c r="A314" s="131"/>
      <c r="B314" s="210"/>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4.25" customHeight="1">
      <c r="A315" s="131"/>
      <c r="B315" s="210"/>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4.25" customHeight="1">
      <c r="A316" s="131"/>
      <c r="B316" s="210"/>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4.25" customHeight="1">
      <c r="A317" s="131"/>
      <c r="B317" s="210"/>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4.25" customHeight="1">
      <c r="A318" s="131"/>
      <c r="B318" s="210"/>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4.25" customHeight="1">
      <c r="A319" s="131"/>
      <c r="B319" s="210"/>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4.25" customHeight="1">
      <c r="A320" s="131"/>
      <c r="B320" s="210"/>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4.25" customHeight="1">
      <c r="A321" s="131"/>
      <c r="B321" s="210"/>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4.25" customHeight="1">
      <c r="A322" s="131"/>
      <c r="B322" s="210"/>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4.25" customHeight="1">
      <c r="A323" s="131"/>
      <c r="B323" s="210"/>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4.25" customHeight="1">
      <c r="A324" s="131"/>
      <c r="B324" s="210"/>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4.25" customHeight="1">
      <c r="A325" s="131"/>
      <c r="B325" s="210"/>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4.25" customHeight="1">
      <c r="A326" s="131"/>
      <c r="B326" s="210"/>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4.25" customHeight="1">
      <c r="A327" s="131"/>
      <c r="B327" s="210"/>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4.25" customHeight="1">
      <c r="A328" s="131"/>
      <c r="B328" s="210"/>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4.25" customHeight="1">
      <c r="A329" s="131"/>
      <c r="B329" s="210"/>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4.25" customHeight="1">
      <c r="A330" s="131"/>
      <c r="B330" s="210"/>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4.25" customHeight="1">
      <c r="A331" s="131"/>
      <c r="B331" s="210"/>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4.25" customHeight="1">
      <c r="A332" s="131"/>
      <c r="B332" s="210"/>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4.25" customHeight="1">
      <c r="A333" s="131"/>
      <c r="B333" s="210"/>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4.25" customHeight="1">
      <c r="A334" s="131"/>
      <c r="B334" s="210"/>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4.25" customHeight="1">
      <c r="A335" s="131"/>
      <c r="B335" s="210"/>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4.25" customHeight="1">
      <c r="A336" s="131"/>
      <c r="B336" s="210"/>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4.25" customHeight="1">
      <c r="A337" s="131"/>
      <c r="B337" s="210"/>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4.25" customHeight="1">
      <c r="A338" s="131"/>
      <c r="B338" s="210"/>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4.25" customHeight="1">
      <c r="A339" s="131"/>
      <c r="B339" s="210"/>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4.25" customHeight="1">
      <c r="A340" s="131"/>
      <c r="B340" s="210"/>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4.25" customHeight="1">
      <c r="A341" s="131"/>
      <c r="B341" s="210"/>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4.25" customHeight="1">
      <c r="A342" s="131"/>
      <c r="B342" s="210"/>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4.25" customHeight="1">
      <c r="A343" s="131"/>
      <c r="B343" s="210"/>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4.25" customHeight="1">
      <c r="A344" s="131"/>
      <c r="B344" s="210"/>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4.25" customHeight="1">
      <c r="A345" s="131"/>
      <c r="B345" s="210"/>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4.25" customHeight="1">
      <c r="A346" s="131"/>
      <c r="B346" s="210"/>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4.25" customHeight="1">
      <c r="A347" s="131"/>
      <c r="B347" s="210"/>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4.25" customHeight="1">
      <c r="A348" s="131"/>
      <c r="B348" s="210"/>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4.25" customHeight="1">
      <c r="A349" s="131"/>
      <c r="B349" s="210"/>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4.25" customHeight="1">
      <c r="A350" s="131"/>
      <c r="B350" s="210"/>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4.25" customHeight="1">
      <c r="A351" s="131"/>
      <c r="B351" s="210"/>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4.25" customHeight="1">
      <c r="A352" s="131"/>
      <c r="B352" s="210"/>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4.25" customHeight="1">
      <c r="A353" s="131"/>
      <c r="B353" s="210"/>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4.25" customHeight="1">
      <c r="A354" s="131"/>
      <c r="B354" s="210"/>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4.25" customHeight="1">
      <c r="A355" s="131"/>
      <c r="B355" s="210"/>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4.25" customHeight="1">
      <c r="A356" s="131"/>
      <c r="B356" s="210"/>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4.25" customHeight="1">
      <c r="A357" s="131"/>
      <c r="B357" s="210"/>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4.25" customHeight="1">
      <c r="A358" s="131"/>
      <c r="B358" s="210"/>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4.25" customHeight="1">
      <c r="A359" s="131"/>
      <c r="B359" s="210"/>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4.25" customHeight="1">
      <c r="A360" s="131"/>
      <c r="B360" s="210"/>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4.25" customHeight="1">
      <c r="A361" s="131"/>
      <c r="B361" s="210"/>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4.25" customHeight="1">
      <c r="A362" s="131"/>
      <c r="B362" s="210"/>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4.25" customHeight="1">
      <c r="A363" s="131"/>
      <c r="B363" s="210"/>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4.25" customHeight="1">
      <c r="A364" s="131"/>
      <c r="B364" s="210"/>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4.25" customHeight="1">
      <c r="A365" s="131"/>
      <c r="B365" s="210"/>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4.25" customHeight="1">
      <c r="A366" s="131"/>
      <c r="B366" s="210"/>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4.25" customHeight="1">
      <c r="A367" s="131"/>
      <c r="B367" s="210"/>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4.25" customHeight="1">
      <c r="A368" s="131"/>
      <c r="B368" s="210"/>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4.25" customHeight="1">
      <c r="A369" s="131"/>
      <c r="B369" s="210"/>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4.25" customHeight="1">
      <c r="A370" s="131"/>
      <c r="B370" s="210"/>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4.25" customHeight="1">
      <c r="A371" s="131"/>
      <c r="B371" s="210"/>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4.25" customHeight="1">
      <c r="A372" s="131"/>
      <c r="B372" s="210"/>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4.25" customHeight="1">
      <c r="A373" s="131"/>
      <c r="B373" s="210"/>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4.25" customHeight="1">
      <c r="A374" s="131"/>
      <c r="B374" s="210"/>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4.25" customHeight="1">
      <c r="A375" s="131"/>
      <c r="B375" s="210"/>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4.25" customHeight="1">
      <c r="A376" s="131"/>
      <c r="B376" s="210"/>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4.25" customHeight="1">
      <c r="A377" s="131"/>
      <c r="B377" s="210"/>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4.25" customHeight="1">
      <c r="A378" s="131"/>
      <c r="B378" s="210"/>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4.25" customHeight="1">
      <c r="A379" s="131"/>
      <c r="B379" s="210"/>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4.25" customHeight="1">
      <c r="A380" s="131"/>
      <c r="B380" s="210"/>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4.25" customHeight="1">
      <c r="A381" s="131"/>
      <c r="B381" s="210"/>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4.25" customHeight="1">
      <c r="A382" s="131"/>
      <c r="B382" s="210"/>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4.25" customHeight="1">
      <c r="A383" s="131"/>
      <c r="B383" s="210"/>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4.25" customHeight="1">
      <c r="A384" s="131"/>
      <c r="B384" s="210"/>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4.25" customHeight="1">
      <c r="A385" s="131"/>
      <c r="B385" s="210"/>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4.25" customHeight="1">
      <c r="A386" s="131"/>
      <c r="B386" s="210"/>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4.25" customHeight="1">
      <c r="A387" s="131"/>
      <c r="B387" s="210"/>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4.25" customHeight="1">
      <c r="A388" s="131"/>
      <c r="B388" s="210"/>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4.25" customHeight="1">
      <c r="A389" s="131"/>
      <c r="B389" s="210"/>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4.25" customHeight="1">
      <c r="A390" s="131"/>
      <c r="B390" s="210"/>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4.25" customHeight="1">
      <c r="A391" s="131"/>
      <c r="B391" s="210"/>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4.25" customHeight="1">
      <c r="A392" s="131"/>
      <c r="B392" s="210"/>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4.25" customHeight="1">
      <c r="A393" s="131"/>
      <c r="B393" s="210"/>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4.25" customHeight="1">
      <c r="A394" s="131"/>
      <c r="B394" s="210"/>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4.25" customHeight="1">
      <c r="A395" s="131"/>
      <c r="B395" s="210"/>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4.25" customHeight="1">
      <c r="A396" s="131"/>
      <c r="B396" s="210"/>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4.25" customHeight="1">
      <c r="A397" s="131"/>
      <c r="B397" s="210"/>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4.25" customHeight="1">
      <c r="A398" s="131"/>
      <c r="B398" s="210"/>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4.25" customHeight="1">
      <c r="A399" s="131"/>
      <c r="B399" s="210"/>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4.25" customHeight="1">
      <c r="A400" s="131"/>
      <c r="B400" s="210"/>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4.25" customHeight="1">
      <c r="A401" s="131"/>
      <c r="B401" s="210"/>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4.25" customHeight="1">
      <c r="A402" s="131"/>
      <c r="B402" s="210"/>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4.25" customHeight="1">
      <c r="A403" s="131"/>
      <c r="B403" s="210"/>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4.25" customHeight="1">
      <c r="A404" s="131"/>
      <c r="B404" s="210"/>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4.25" customHeight="1">
      <c r="A405" s="131"/>
      <c r="B405" s="210"/>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4.25" customHeight="1">
      <c r="A406" s="131"/>
      <c r="B406" s="210"/>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4.25" customHeight="1">
      <c r="A407" s="131"/>
      <c r="B407" s="210"/>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4.25" customHeight="1">
      <c r="A408" s="131"/>
      <c r="B408" s="210"/>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4.25" customHeight="1">
      <c r="A409" s="131"/>
      <c r="B409" s="210"/>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4.25" customHeight="1">
      <c r="A410" s="131"/>
      <c r="B410" s="210"/>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4.25" customHeight="1">
      <c r="A411" s="131"/>
      <c r="B411" s="210"/>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4.25" customHeight="1">
      <c r="A412" s="131"/>
      <c r="B412" s="210"/>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4.25" customHeight="1">
      <c r="A413" s="131"/>
      <c r="B413" s="210"/>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4.25" customHeight="1">
      <c r="A414" s="131"/>
      <c r="B414" s="210"/>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4.25" customHeight="1">
      <c r="A415" s="131"/>
      <c r="B415" s="210"/>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4.25" customHeight="1">
      <c r="A416" s="131"/>
      <c r="B416" s="210"/>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4.25" customHeight="1">
      <c r="A417" s="131"/>
      <c r="B417" s="210"/>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4.25" customHeight="1">
      <c r="A418" s="131"/>
      <c r="B418" s="210"/>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4.25" customHeight="1">
      <c r="A419" s="131"/>
      <c r="B419" s="210"/>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4.25" customHeight="1">
      <c r="A420" s="131"/>
      <c r="B420" s="210"/>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4.25" customHeight="1">
      <c r="A421" s="131"/>
      <c r="B421" s="210"/>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4.25" customHeight="1">
      <c r="A422" s="131"/>
      <c r="B422" s="210"/>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4.25" customHeight="1">
      <c r="A423" s="131"/>
      <c r="B423" s="210"/>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4.25" customHeight="1">
      <c r="A424" s="131"/>
      <c r="B424" s="210"/>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4.25" customHeight="1">
      <c r="A425" s="131"/>
      <c r="B425" s="210"/>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4.25" customHeight="1">
      <c r="A426" s="131"/>
      <c r="B426" s="210"/>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4.25" customHeight="1">
      <c r="A427" s="131"/>
      <c r="B427" s="210"/>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4.25" customHeight="1">
      <c r="A428" s="131"/>
      <c r="B428" s="210"/>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4.25" customHeight="1">
      <c r="A429" s="131"/>
      <c r="B429" s="210"/>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4.25" customHeight="1">
      <c r="A430" s="131"/>
      <c r="B430" s="210"/>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4.25" customHeight="1">
      <c r="A431" s="131"/>
      <c r="B431" s="210"/>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4.25" customHeight="1">
      <c r="A432" s="131"/>
      <c r="B432" s="210"/>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4.25" customHeight="1">
      <c r="A433" s="131"/>
      <c r="B433" s="210"/>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4.25" customHeight="1">
      <c r="A434" s="131"/>
      <c r="B434" s="210"/>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4.25" customHeight="1">
      <c r="A435" s="131"/>
      <c r="B435" s="210"/>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4.25" customHeight="1">
      <c r="A436" s="131"/>
      <c r="B436" s="210"/>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4.25" customHeight="1">
      <c r="A437" s="131"/>
      <c r="B437" s="210"/>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4.25" customHeight="1">
      <c r="A438" s="131"/>
      <c r="B438" s="210"/>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4.25" customHeight="1">
      <c r="A439" s="131"/>
      <c r="B439" s="210"/>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4.25" customHeight="1">
      <c r="A440" s="131"/>
      <c r="B440" s="210"/>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4.25" customHeight="1">
      <c r="A441" s="131"/>
      <c r="B441" s="210"/>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4.25" customHeight="1">
      <c r="A442" s="131"/>
      <c r="B442" s="210"/>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4.25" customHeight="1">
      <c r="A443" s="131"/>
      <c r="B443" s="210"/>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4.25" customHeight="1">
      <c r="A444" s="131"/>
      <c r="B444" s="210"/>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4.25" customHeight="1">
      <c r="A445" s="131"/>
      <c r="B445" s="210"/>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4.25" customHeight="1">
      <c r="A446" s="131"/>
      <c r="B446" s="210"/>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4.25" customHeight="1">
      <c r="A447" s="131"/>
      <c r="B447" s="210"/>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4.25" customHeight="1">
      <c r="A448" s="131"/>
      <c r="B448" s="210"/>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4.25" customHeight="1">
      <c r="A449" s="131"/>
      <c r="B449" s="210"/>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4.25" customHeight="1">
      <c r="A450" s="131"/>
      <c r="B450" s="210"/>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4.25" customHeight="1">
      <c r="A451" s="131"/>
      <c r="B451" s="210"/>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4.25" customHeight="1">
      <c r="A452" s="131"/>
      <c r="B452" s="210"/>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4.25" customHeight="1">
      <c r="A453" s="131"/>
      <c r="B453" s="210"/>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4.25" customHeight="1">
      <c r="A454" s="131"/>
      <c r="B454" s="210"/>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4.25" customHeight="1">
      <c r="A455" s="131"/>
      <c r="B455" s="210"/>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4.25" customHeight="1">
      <c r="A456" s="131"/>
      <c r="B456" s="210"/>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4.25" customHeight="1">
      <c r="A457" s="131"/>
      <c r="B457" s="210"/>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4.25" customHeight="1">
      <c r="A458" s="131"/>
      <c r="B458" s="210"/>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4.25" customHeight="1">
      <c r="A459" s="131"/>
      <c r="B459" s="210"/>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4.25" customHeight="1">
      <c r="A460" s="131"/>
      <c r="B460" s="210"/>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4.25" customHeight="1">
      <c r="A461" s="131"/>
      <c r="B461" s="210"/>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4.25" customHeight="1">
      <c r="A462" s="131"/>
      <c r="B462" s="210"/>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4.25" customHeight="1">
      <c r="A463" s="131"/>
      <c r="B463" s="210"/>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4.25" customHeight="1">
      <c r="A464" s="131"/>
      <c r="B464" s="210"/>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4.25" customHeight="1">
      <c r="A465" s="131"/>
      <c r="B465" s="210"/>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4.25" customHeight="1">
      <c r="A466" s="131"/>
      <c r="B466" s="210"/>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4.25" customHeight="1">
      <c r="A467" s="131"/>
      <c r="B467" s="210"/>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4.25" customHeight="1">
      <c r="A468" s="131"/>
      <c r="B468" s="210"/>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4.25" customHeight="1">
      <c r="A469" s="131"/>
      <c r="B469" s="210"/>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4.25" customHeight="1">
      <c r="A470" s="131"/>
      <c r="B470" s="210"/>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4.25" customHeight="1">
      <c r="A471" s="131"/>
      <c r="B471" s="210"/>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4.25" customHeight="1">
      <c r="A472" s="131"/>
      <c r="B472" s="210"/>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4.25" customHeight="1">
      <c r="A473" s="131"/>
      <c r="B473" s="210"/>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4.25" customHeight="1">
      <c r="A474" s="131"/>
      <c r="B474" s="210"/>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4.25" customHeight="1">
      <c r="A475" s="131"/>
      <c r="B475" s="210"/>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4.25" customHeight="1">
      <c r="A476" s="131"/>
      <c r="B476" s="210"/>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4.25" customHeight="1">
      <c r="A477" s="131"/>
      <c r="B477" s="210"/>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4.25" customHeight="1">
      <c r="A478" s="131"/>
      <c r="B478" s="210"/>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4.25" customHeight="1">
      <c r="A479" s="131"/>
      <c r="B479" s="210"/>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4.25" customHeight="1">
      <c r="A480" s="131"/>
      <c r="B480" s="210"/>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4.25" customHeight="1">
      <c r="A481" s="131"/>
      <c r="B481" s="210"/>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4.25" customHeight="1">
      <c r="A482" s="131"/>
      <c r="B482" s="210"/>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4.25" customHeight="1">
      <c r="A483" s="131"/>
      <c r="B483" s="210"/>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4.25" customHeight="1">
      <c r="A484" s="131"/>
      <c r="B484" s="210"/>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4.25" customHeight="1">
      <c r="A485" s="131"/>
      <c r="B485" s="210"/>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4.25" customHeight="1">
      <c r="A486" s="131"/>
      <c r="B486" s="210"/>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4.25" customHeight="1">
      <c r="A487" s="131"/>
      <c r="B487" s="210"/>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4.25" customHeight="1">
      <c r="A488" s="131"/>
      <c r="B488" s="210"/>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4.25" customHeight="1">
      <c r="A489" s="131"/>
      <c r="B489" s="210"/>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4.25" customHeight="1">
      <c r="A490" s="131"/>
      <c r="B490" s="210"/>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4.25" customHeight="1">
      <c r="A491" s="131"/>
      <c r="B491" s="210"/>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4.25" customHeight="1">
      <c r="A492" s="131"/>
      <c r="B492" s="210"/>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4.25" customHeight="1">
      <c r="A493" s="131"/>
      <c r="B493" s="210"/>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4.25" customHeight="1">
      <c r="A494" s="131"/>
      <c r="B494" s="210"/>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4.25" customHeight="1">
      <c r="A495" s="131"/>
      <c r="B495" s="210"/>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4.25" customHeight="1">
      <c r="A496" s="131"/>
      <c r="B496" s="210"/>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4.25" customHeight="1">
      <c r="A497" s="131"/>
      <c r="B497" s="210"/>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4.25" customHeight="1">
      <c r="A498" s="131"/>
      <c r="B498" s="210"/>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4.25" customHeight="1">
      <c r="A499" s="131"/>
      <c r="B499" s="210"/>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4.25" customHeight="1">
      <c r="A500" s="131"/>
      <c r="B500" s="210"/>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4.25" customHeight="1">
      <c r="A501" s="131"/>
      <c r="B501" s="210"/>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4.25" customHeight="1">
      <c r="A502" s="131"/>
      <c r="B502" s="210"/>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4.25" customHeight="1">
      <c r="A503" s="131"/>
      <c r="B503" s="210"/>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4.25" customHeight="1">
      <c r="A504" s="131"/>
      <c r="B504" s="210"/>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4.25" customHeight="1">
      <c r="A505" s="131"/>
      <c r="B505" s="210"/>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4.25" customHeight="1">
      <c r="A506" s="131"/>
      <c r="B506" s="210"/>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4.25" customHeight="1">
      <c r="A507" s="131"/>
      <c r="B507" s="210"/>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4.25" customHeight="1">
      <c r="A508" s="131"/>
      <c r="B508" s="210"/>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4.25" customHeight="1">
      <c r="A509" s="131"/>
      <c r="B509" s="210"/>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4.25" customHeight="1">
      <c r="A510" s="131"/>
      <c r="B510" s="210"/>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4.25" customHeight="1">
      <c r="A511" s="131"/>
      <c r="B511" s="210"/>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4.25" customHeight="1">
      <c r="A512" s="131"/>
      <c r="B512" s="210"/>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4.25" customHeight="1">
      <c r="A513" s="131"/>
      <c r="B513" s="210"/>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4.25" customHeight="1">
      <c r="A514" s="131"/>
      <c r="B514" s="210"/>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4.25" customHeight="1">
      <c r="A515" s="131"/>
      <c r="B515" s="210"/>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4.25" customHeight="1">
      <c r="A516" s="131"/>
      <c r="B516" s="210"/>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4.25" customHeight="1">
      <c r="A517" s="131"/>
      <c r="B517" s="210"/>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4.25" customHeight="1">
      <c r="A518" s="131"/>
      <c r="B518" s="210"/>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4.25" customHeight="1">
      <c r="A519" s="131"/>
      <c r="B519" s="210"/>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4.25" customHeight="1">
      <c r="A520" s="131"/>
      <c r="B520" s="210"/>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4.25" customHeight="1">
      <c r="A521" s="131"/>
      <c r="B521" s="210"/>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4.25" customHeight="1">
      <c r="A522" s="131"/>
      <c r="B522" s="210"/>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4.25" customHeight="1">
      <c r="A523" s="131"/>
      <c r="B523" s="210"/>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4.25" customHeight="1">
      <c r="A524" s="131"/>
      <c r="B524" s="210"/>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4.25" customHeight="1">
      <c r="A525" s="131"/>
      <c r="B525" s="210"/>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4.25" customHeight="1">
      <c r="A526" s="131"/>
      <c r="B526" s="210"/>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4.25" customHeight="1">
      <c r="A527" s="131"/>
      <c r="B527" s="210"/>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4.25" customHeight="1">
      <c r="A528" s="131"/>
      <c r="B528" s="210"/>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4.25" customHeight="1">
      <c r="A529" s="131"/>
      <c r="B529" s="210"/>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4.25" customHeight="1">
      <c r="A530" s="131"/>
      <c r="B530" s="210"/>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4.25" customHeight="1">
      <c r="A531" s="131"/>
      <c r="B531" s="210"/>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4.25" customHeight="1">
      <c r="A532" s="131"/>
      <c r="B532" s="210"/>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4.25" customHeight="1">
      <c r="A533" s="131"/>
      <c r="B533" s="210"/>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4.25" customHeight="1">
      <c r="A534" s="131"/>
      <c r="B534" s="210"/>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4.25" customHeight="1">
      <c r="A535" s="131"/>
      <c r="B535" s="210"/>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4.25" customHeight="1">
      <c r="A536" s="131"/>
      <c r="B536" s="210"/>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4.25" customHeight="1">
      <c r="A537" s="131"/>
      <c r="B537" s="210"/>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4.25" customHeight="1">
      <c r="A538" s="131"/>
      <c r="B538" s="210"/>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4.25" customHeight="1">
      <c r="A539" s="131"/>
      <c r="B539" s="210"/>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4.25" customHeight="1">
      <c r="A540" s="131"/>
      <c r="B540" s="210"/>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4.25" customHeight="1">
      <c r="A541" s="131"/>
      <c r="B541" s="210"/>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4.25" customHeight="1">
      <c r="A542" s="131"/>
      <c r="B542" s="210"/>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4.25" customHeight="1">
      <c r="A543" s="131"/>
      <c r="B543" s="210"/>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4.25" customHeight="1">
      <c r="A544" s="131"/>
      <c r="B544" s="210"/>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4.25" customHeight="1">
      <c r="A545" s="131"/>
      <c r="B545" s="210"/>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4.25" customHeight="1">
      <c r="A546" s="131"/>
      <c r="B546" s="210"/>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4.25" customHeight="1">
      <c r="A547" s="131"/>
      <c r="B547" s="210"/>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4.25" customHeight="1">
      <c r="A548" s="131"/>
      <c r="B548" s="210"/>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4.25" customHeight="1">
      <c r="A549" s="131"/>
      <c r="B549" s="210"/>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4.25" customHeight="1">
      <c r="A550" s="131"/>
      <c r="B550" s="210"/>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4.25" customHeight="1">
      <c r="A551" s="131"/>
      <c r="B551" s="210"/>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4.25" customHeight="1">
      <c r="A552" s="131"/>
      <c r="B552" s="210"/>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4.25" customHeight="1">
      <c r="A553" s="131"/>
      <c r="B553" s="210"/>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4.25" customHeight="1">
      <c r="A554" s="131"/>
      <c r="B554" s="210"/>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4.25" customHeight="1">
      <c r="A555" s="131"/>
      <c r="B555" s="210"/>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4.25" customHeight="1">
      <c r="A556" s="131"/>
      <c r="B556" s="210"/>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4.25" customHeight="1">
      <c r="A557" s="131"/>
      <c r="B557" s="210"/>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4.25" customHeight="1">
      <c r="A558" s="131"/>
      <c r="B558" s="210"/>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4.25" customHeight="1">
      <c r="A559" s="131"/>
      <c r="B559" s="210"/>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4.25" customHeight="1">
      <c r="A560" s="131"/>
      <c r="B560" s="210"/>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4.25" customHeight="1">
      <c r="A561" s="131"/>
      <c r="B561" s="210"/>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4.25" customHeight="1">
      <c r="A562" s="131"/>
      <c r="B562" s="210"/>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4.25" customHeight="1">
      <c r="A563" s="131"/>
      <c r="B563" s="210"/>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4.25" customHeight="1">
      <c r="A564" s="131"/>
      <c r="B564" s="210"/>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4.25" customHeight="1">
      <c r="A565" s="131"/>
      <c r="B565" s="210"/>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4.25" customHeight="1">
      <c r="A566" s="131"/>
      <c r="B566" s="210"/>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4.25" customHeight="1">
      <c r="A567" s="131"/>
      <c r="B567" s="210"/>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4.25" customHeight="1">
      <c r="A568" s="131"/>
      <c r="B568" s="210"/>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4.25" customHeight="1">
      <c r="A569" s="131"/>
      <c r="B569" s="210"/>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4.25" customHeight="1">
      <c r="A570" s="131"/>
      <c r="B570" s="210"/>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4.25" customHeight="1">
      <c r="A571" s="131"/>
      <c r="B571" s="210"/>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4.25" customHeight="1">
      <c r="A572" s="131"/>
      <c r="B572" s="210"/>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4.25" customHeight="1">
      <c r="A573" s="131"/>
      <c r="B573" s="210"/>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4.25" customHeight="1">
      <c r="A574" s="131"/>
      <c r="B574" s="210"/>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4.25" customHeight="1">
      <c r="A575" s="131"/>
      <c r="B575" s="210"/>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4.25" customHeight="1">
      <c r="A576" s="131"/>
      <c r="B576" s="210"/>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4.25" customHeight="1">
      <c r="A577" s="131"/>
      <c r="B577" s="210"/>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4.25" customHeight="1">
      <c r="A578" s="131"/>
      <c r="B578" s="210"/>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4.25" customHeight="1">
      <c r="A579" s="131"/>
      <c r="B579" s="210"/>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4.25" customHeight="1">
      <c r="A580" s="131"/>
      <c r="B580" s="210"/>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4.25" customHeight="1">
      <c r="A581" s="131"/>
      <c r="B581" s="210"/>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4.25" customHeight="1">
      <c r="A582" s="131"/>
      <c r="B582" s="210"/>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4.25" customHeight="1">
      <c r="A583" s="131"/>
      <c r="B583" s="210"/>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4.25" customHeight="1">
      <c r="A584" s="131"/>
      <c r="B584" s="210"/>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4.25" customHeight="1">
      <c r="A585" s="131"/>
      <c r="B585" s="210"/>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4.25" customHeight="1">
      <c r="A586" s="131"/>
      <c r="B586" s="210"/>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4.25" customHeight="1">
      <c r="A587" s="131"/>
      <c r="B587" s="210"/>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4.25" customHeight="1">
      <c r="A588" s="131"/>
      <c r="B588" s="210"/>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4.25" customHeight="1">
      <c r="A589" s="131"/>
      <c r="B589" s="210"/>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4.25" customHeight="1">
      <c r="A590" s="131"/>
      <c r="B590" s="210"/>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4.25" customHeight="1">
      <c r="A591" s="131"/>
      <c r="B591" s="210"/>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4.25" customHeight="1">
      <c r="A592" s="131"/>
      <c r="B592" s="210"/>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4.25" customHeight="1">
      <c r="A593" s="131"/>
      <c r="B593" s="210"/>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4.25" customHeight="1">
      <c r="A594" s="131"/>
      <c r="B594" s="210"/>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4.25" customHeight="1">
      <c r="A595" s="131"/>
      <c r="B595" s="210"/>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4.25" customHeight="1">
      <c r="A596" s="131"/>
      <c r="B596" s="210"/>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4.25" customHeight="1">
      <c r="A597" s="131"/>
      <c r="B597" s="210"/>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4.25" customHeight="1">
      <c r="A598" s="131"/>
      <c r="B598" s="210"/>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4.25" customHeight="1">
      <c r="A599" s="131"/>
      <c r="B599" s="210"/>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4.25" customHeight="1">
      <c r="A600" s="131"/>
      <c r="B600" s="210"/>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4.25" customHeight="1">
      <c r="A601" s="131"/>
      <c r="B601" s="210"/>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4.25" customHeight="1">
      <c r="A602" s="131"/>
      <c r="B602" s="210"/>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4.25" customHeight="1">
      <c r="A603" s="131"/>
      <c r="B603" s="210"/>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4.25" customHeight="1">
      <c r="A604" s="131"/>
      <c r="B604" s="210"/>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4.25" customHeight="1">
      <c r="A605" s="131"/>
      <c r="B605" s="210"/>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4.25" customHeight="1">
      <c r="A606" s="131"/>
      <c r="B606" s="210"/>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4.25" customHeight="1">
      <c r="A607" s="131"/>
      <c r="B607" s="210"/>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4.25" customHeight="1">
      <c r="A608" s="131"/>
      <c r="B608" s="210"/>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4.25" customHeight="1">
      <c r="A609" s="131"/>
      <c r="B609" s="210"/>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4.25" customHeight="1">
      <c r="A610" s="131"/>
      <c r="B610" s="210"/>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4.25" customHeight="1">
      <c r="A611" s="131"/>
      <c r="B611" s="210"/>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4.25" customHeight="1">
      <c r="A612" s="131"/>
      <c r="B612" s="210"/>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4.25" customHeight="1">
      <c r="A613" s="131"/>
      <c r="B613" s="210"/>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4.25" customHeight="1">
      <c r="A614" s="131"/>
      <c r="B614" s="210"/>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4.25" customHeight="1">
      <c r="A615" s="131"/>
      <c r="B615" s="210"/>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4.25" customHeight="1">
      <c r="A616" s="131"/>
      <c r="B616" s="210"/>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4.25" customHeight="1">
      <c r="A617" s="131"/>
      <c r="B617" s="210"/>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4.25" customHeight="1">
      <c r="A618" s="131"/>
      <c r="B618" s="210"/>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4.25" customHeight="1">
      <c r="A619" s="131"/>
      <c r="B619" s="210"/>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4.25" customHeight="1">
      <c r="A620" s="131"/>
      <c r="B620" s="210"/>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4.25" customHeight="1">
      <c r="A621" s="131"/>
      <c r="B621" s="210"/>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4.25" customHeight="1">
      <c r="A622" s="131"/>
      <c r="B622" s="210"/>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4.25" customHeight="1">
      <c r="A623" s="131"/>
      <c r="B623" s="210"/>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4.25" customHeight="1">
      <c r="A624" s="131"/>
      <c r="B624" s="210"/>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4.25" customHeight="1">
      <c r="A625" s="131"/>
      <c r="B625" s="210"/>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4.25" customHeight="1">
      <c r="A626" s="131"/>
      <c r="B626" s="210"/>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4.25" customHeight="1">
      <c r="A627" s="131"/>
      <c r="B627" s="210"/>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4.25" customHeight="1">
      <c r="A628" s="131"/>
      <c r="B628" s="210"/>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4.25" customHeight="1">
      <c r="A629" s="131"/>
      <c r="B629" s="210"/>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4.25" customHeight="1">
      <c r="A630" s="131"/>
      <c r="B630" s="210"/>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4.25" customHeight="1">
      <c r="A631" s="131"/>
      <c r="B631" s="210"/>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4.25" customHeight="1">
      <c r="A632" s="131"/>
      <c r="B632" s="210"/>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4.25" customHeight="1">
      <c r="A633" s="131"/>
      <c r="B633" s="210"/>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4.25" customHeight="1">
      <c r="A634" s="131"/>
      <c r="B634" s="210"/>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4.25" customHeight="1">
      <c r="A635" s="131"/>
      <c r="B635" s="210"/>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4.25" customHeight="1">
      <c r="A636" s="131"/>
      <c r="B636" s="210"/>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4.25" customHeight="1">
      <c r="A637" s="131"/>
      <c r="B637" s="210"/>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4.25" customHeight="1">
      <c r="A638" s="131"/>
      <c r="B638" s="210"/>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4.25" customHeight="1">
      <c r="A639" s="131"/>
      <c r="B639" s="210"/>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4.25" customHeight="1">
      <c r="A640" s="131"/>
      <c r="B640" s="210"/>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4.25" customHeight="1">
      <c r="A641" s="131"/>
      <c r="B641" s="210"/>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4.25" customHeight="1">
      <c r="A642" s="131"/>
      <c r="B642" s="210"/>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4.25" customHeight="1">
      <c r="A643" s="131"/>
      <c r="B643" s="210"/>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4.25" customHeight="1">
      <c r="A644" s="131"/>
      <c r="B644" s="210"/>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4.25" customHeight="1">
      <c r="A645" s="131"/>
      <c r="B645" s="210"/>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4.25" customHeight="1">
      <c r="A646" s="131"/>
      <c r="B646" s="210"/>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4.25" customHeight="1">
      <c r="A647" s="131"/>
      <c r="B647" s="210"/>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4.25" customHeight="1">
      <c r="A648" s="131"/>
      <c r="B648" s="210"/>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4.25" customHeight="1">
      <c r="A649" s="131"/>
      <c r="B649" s="210"/>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4.25" customHeight="1">
      <c r="A650" s="131"/>
      <c r="B650" s="210"/>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4.25" customHeight="1">
      <c r="A651" s="131"/>
      <c r="B651" s="210"/>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4.25" customHeight="1">
      <c r="A652" s="131"/>
      <c r="B652" s="210"/>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4.25" customHeight="1">
      <c r="A653" s="131"/>
      <c r="B653" s="210"/>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4.25" customHeight="1">
      <c r="A654" s="131"/>
      <c r="B654" s="210"/>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4.25" customHeight="1">
      <c r="A655" s="131"/>
      <c r="B655" s="210"/>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4.25" customHeight="1">
      <c r="A656" s="131"/>
      <c r="B656" s="210"/>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4.25" customHeight="1">
      <c r="A657" s="131"/>
      <c r="B657" s="210"/>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4.25" customHeight="1">
      <c r="A658" s="131"/>
      <c r="B658" s="210"/>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4.25" customHeight="1">
      <c r="A659" s="131"/>
      <c r="B659" s="210"/>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4.25" customHeight="1">
      <c r="A660" s="131"/>
      <c r="B660" s="210"/>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4.25" customHeight="1">
      <c r="A661" s="131"/>
      <c r="B661" s="210"/>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4.25" customHeight="1">
      <c r="A662" s="131"/>
      <c r="B662" s="210"/>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4.25" customHeight="1">
      <c r="A663" s="131"/>
      <c r="B663" s="210"/>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4.25" customHeight="1">
      <c r="A664" s="131"/>
      <c r="B664" s="210"/>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4.25" customHeight="1">
      <c r="A665" s="131"/>
      <c r="B665" s="210"/>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4.25" customHeight="1">
      <c r="A666" s="131"/>
      <c r="B666" s="210"/>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4.25" customHeight="1">
      <c r="A667" s="131"/>
      <c r="B667" s="210"/>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4.25" customHeight="1">
      <c r="A668" s="131"/>
      <c r="B668" s="210"/>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4.25" customHeight="1">
      <c r="A669" s="131"/>
      <c r="B669" s="210"/>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4.25" customHeight="1">
      <c r="A670" s="131"/>
      <c r="B670" s="210"/>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4.25" customHeight="1">
      <c r="A671" s="131"/>
      <c r="B671" s="210"/>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4.25" customHeight="1">
      <c r="A672" s="131"/>
      <c r="B672" s="210"/>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4.25" customHeight="1">
      <c r="A673" s="131"/>
      <c r="B673" s="210"/>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4.25" customHeight="1">
      <c r="A674" s="131"/>
      <c r="B674" s="210"/>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4.25" customHeight="1">
      <c r="A675" s="131"/>
      <c r="B675" s="210"/>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4.25" customHeight="1">
      <c r="A676" s="131"/>
      <c r="B676" s="210"/>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4.25" customHeight="1">
      <c r="A677" s="131"/>
      <c r="B677" s="210"/>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4.25" customHeight="1">
      <c r="A678" s="131"/>
      <c r="B678" s="210"/>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4.25" customHeight="1">
      <c r="A679" s="131"/>
      <c r="B679" s="210"/>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4.25" customHeight="1">
      <c r="A680" s="131"/>
      <c r="B680" s="210"/>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4.25" customHeight="1">
      <c r="A681" s="131"/>
      <c r="B681" s="210"/>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4.25" customHeight="1">
      <c r="A682" s="131"/>
      <c r="B682" s="210"/>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4.25" customHeight="1">
      <c r="A683" s="131"/>
      <c r="B683" s="210"/>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4.25" customHeight="1">
      <c r="A684" s="131"/>
      <c r="B684" s="210"/>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4.25" customHeight="1">
      <c r="A685" s="131"/>
      <c r="B685" s="210"/>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4.25" customHeight="1">
      <c r="A686" s="131"/>
      <c r="B686" s="210"/>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4.25" customHeight="1">
      <c r="A687" s="131"/>
      <c r="B687" s="210"/>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4.25" customHeight="1">
      <c r="A688" s="131"/>
      <c r="B688" s="210"/>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4.25" customHeight="1">
      <c r="A689" s="131"/>
      <c r="B689" s="210"/>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4.25" customHeight="1">
      <c r="A690" s="131"/>
      <c r="B690" s="210"/>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4.25" customHeight="1">
      <c r="A691" s="131"/>
      <c r="B691" s="210"/>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4.25" customHeight="1">
      <c r="A692" s="131"/>
      <c r="B692" s="210"/>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4.25" customHeight="1">
      <c r="A693" s="131"/>
      <c r="B693" s="210"/>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4.25" customHeight="1">
      <c r="A694" s="131"/>
      <c r="B694" s="210"/>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4.25" customHeight="1">
      <c r="A695" s="131"/>
      <c r="B695" s="210"/>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4.25" customHeight="1">
      <c r="A696" s="131"/>
      <c r="B696" s="210"/>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4.25" customHeight="1">
      <c r="A697" s="131"/>
      <c r="B697" s="210"/>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4.25" customHeight="1">
      <c r="A698" s="131"/>
      <c r="B698" s="210"/>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4.25" customHeight="1">
      <c r="A699" s="131"/>
      <c r="B699" s="210"/>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4.25" customHeight="1">
      <c r="A700" s="131"/>
      <c r="B700" s="210"/>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4.25" customHeight="1">
      <c r="A701" s="131"/>
      <c r="B701" s="210"/>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4.25" customHeight="1">
      <c r="A702" s="131"/>
      <c r="B702" s="210"/>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4.25" customHeight="1">
      <c r="A703" s="131"/>
      <c r="B703" s="210"/>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4.25" customHeight="1">
      <c r="A704" s="131"/>
      <c r="B704" s="210"/>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4.25" customHeight="1">
      <c r="A705" s="131"/>
      <c r="B705" s="210"/>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4.25" customHeight="1">
      <c r="A706" s="131"/>
      <c r="B706" s="210"/>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4.25" customHeight="1">
      <c r="A707" s="131"/>
      <c r="B707" s="210"/>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4.25" customHeight="1">
      <c r="A708" s="131"/>
      <c r="B708" s="210"/>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4.25" customHeight="1">
      <c r="A709" s="131"/>
      <c r="B709" s="210"/>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4.25" customHeight="1">
      <c r="A710" s="131"/>
      <c r="B710" s="210"/>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4.25" customHeight="1">
      <c r="A711" s="131"/>
      <c r="B711" s="210"/>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4.25" customHeight="1">
      <c r="A712" s="131"/>
      <c r="B712" s="210"/>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4.25" customHeight="1">
      <c r="A713" s="131"/>
      <c r="B713" s="210"/>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4.25" customHeight="1">
      <c r="A714" s="131"/>
      <c r="B714" s="210"/>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4.25" customHeight="1">
      <c r="A715" s="131"/>
      <c r="B715" s="210"/>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4.25" customHeight="1">
      <c r="A716" s="131"/>
      <c r="B716" s="210"/>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4.25" customHeight="1">
      <c r="A717" s="131"/>
      <c r="B717" s="210"/>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4.25" customHeight="1">
      <c r="A718" s="131"/>
      <c r="B718" s="210"/>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4.25" customHeight="1">
      <c r="A719" s="131"/>
      <c r="B719" s="210"/>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4.25" customHeight="1">
      <c r="A720" s="131"/>
      <c r="B720" s="210"/>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4.25" customHeight="1">
      <c r="A721" s="131"/>
      <c r="B721" s="210"/>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4.25" customHeight="1">
      <c r="A722" s="131"/>
      <c r="B722" s="210"/>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4.25" customHeight="1">
      <c r="A723" s="131"/>
      <c r="B723" s="210"/>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4.25" customHeight="1">
      <c r="A724" s="131"/>
      <c r="B724" s="210"/>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4.25" customHeight="1">
      <c r="A725" s="131"/>
      <c r="B725" s="210"/>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4.25" customHeight="1">
      <c r="A726" s="131"/>
      <c r="B726" s="210"/>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4.25" customHeight="1">
      <c r="A727" s="131"/>
      <c r="B727" s="210"/>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4.25" customHeight="1">
      <c r="A728" s="131"/>
      <c r="B728" s="210"/>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4.25" customHeight="1">
      <c r="A729" s="131"/>
      <c r="B729" s="210"/>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4.25" customHeight="1">
      <c r="A730" s="131"/>
      <c r="B730" s="210"/>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4.25" customHeight="1">
      <c r="A731" s="131"/>
      <c r="B731" s="210"/>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4.25" customHeight="1">
      <c r="A732" s="131"/>
      <c r="B732" s="210"/>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4.25" customHeight="1">
      <c r="A733" s="131"/>
      <c r="B733" s="210"/>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4.25" customHeight="1">
      <c r="A734" s="131"/>
      <c r="B734" s="210"/>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4.25" customHeight="1">
      <c r="A735" s="131"/>
      <c r="B735" s="210"/>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4.25" customHeight="1">
      <c r="A736" s="131"/>
      <c r="B736" s="210"/>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4.25" customHeight="1">
      <c r="A737" s="131"/>
      <c r="B737" s="210"/>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4.25" customHeight="1">
      <c r="A738" s="131"/>
      <c r="B738" s="210"/>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4.25" customHeight="1">
      <c r="A739" s="131"/>
      <c r="B739" s="210"/>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4.25" customHeight="1">
      <c r="A740" s="131"/>
      <c r="B740" s="210"/>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4.25" customHeight="1">
      <c r="A741" s="131"/>
      <c r="B741" s="210"/>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4.25" customHeight="1">
      <c r="A742" s="131"/>
      <c r="B742" s="210"/>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4.25" customHeight="1">
      <c r="A743" s="131"/>
      <c r="B743" s="210"/>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4.25" customHeight="1">
      <c r="A744" s="131"/>
      <c r="B744" s="210"/>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4.25" customHeight="1">
      <c r="A745" s="131"/>
      <c r="B745" s="210"/>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4.25" customHeight="1">
      <c r="A746" s="131"/>
      <c r="B746" s="210"/>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4.25" customHeight="1">
      <c r="A747" s="131"/>
      <c r="B747" s="210"/>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4.25" customHeight="1">
      <c r="A748" s="131"/>
      <c r="B748" s="210"/>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4.25" customHeight="1">
      <c r="A749" s="131"/>
      <c r="B749" s="210"/>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4.25" customHeight="1">
      <c r="A750" s="131"/>
      <c r="B750" s="210"/>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4.25" customHeight="1">
      <c r="A751" s="131"/>
      <c r="B751" s="210"/>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4.25" customHeight="1">
      <c r="A752" s="131"/>
      <c r="B752" s="210"/>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4.25" customHeight="1">
      <c r="A753" s="131"/>
      <c r="B753" s="210"/>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4.25" customHeight="1">
      <c r="A754" s="131"/>
      <c r="B754" s="210"/>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4.25" customHeight="1">
      <c r="A755" s="131"/>
      <c r="B755" s="210"/>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4.25" customHeight="1">
      <c r="A756" s="131"/>
      <c r="B756" s="210"/>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4.25" customHeight="1">
      <c r="A757" s="131"/>
      <c r="B757" s="210"/>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4.25" customHeight="1">
      <c r="A758" s="131"/>
      <c r="B758" s="210"/>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4.25" customHeight="1">
      <c r="A759" s="131"/>
      <c r="B759" s="210"/>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4.25" customHeight="1">
      <c r="A760" s="131"/>
      <c r="B760" s="210"/>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4.25" customHeight="1">
      <c r="A761" s="131"/>
      <c r="B761" s="210"/>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4.25" customHeight="1">
      <c r="A762" s="131"/>
      <c r="B762" s="210"/>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4.25" customHeight="1">
      <c r="A763" s="131"/>
      <c r="B763" s="210"/>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4.25" customHeight="1">
      <c r="A764" s="131"/>
      <c r="B764" s="210"/>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4.25" customHeight="1">
      <c r="A765" s="131"/>
      <c r="B765" s="210"/>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4.25" customHeight="1">
      <c r="A766" s="131"/>
      <c r="B766" s="210"/>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4.25" customHeight="1">
      <c r="A767" s="131"/>
      <c r="B767" s="210"/>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4.25" customHeight="1">
      <c r="A768" s="131"/>
      <c r="B768" s="210"/>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4.25" customHeight="1">
      <c r="A769" s="131"/>
      <c r="B769" s="210"/>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4.25" customHeight="1">
      <c r="A770" s="131"/>
      <c r="B770" s="210"/>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4.25" customHeight="1">
      <c r="A771" s="131"/>
      <c r="B771" s="210"/>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4.25" customHeight="1">
      <c r="A772" s="131"/>
      <c r="B772" s="210"/>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4.25" customHeight="1">
      <c r="A773" s="131"/>
      <c r="B773" s="210"/>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4.25" customHeight="1">
      <c r="A774" s="131"/>
      <c r="B774" s="210"/>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4.25" customHeight="1">
      <c r="A775" s="131"/>
      <c r="B775" s="210"/>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4.25" customHeight="1">
      <c r="A776" s="131"/>
      <c r="B776" s="210"/>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4.25" customHeight="1">
      <c r="A777" s="131"/>
      <c r="B777" s="210"/>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4.25" customHeight="1">
      <c r="A778" s="131"/>
      <c r="B778" s="210"/>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4.25" customHeight="1">
      <c r="A779" s="131"/>
      <c r="B779" s="210"/>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4.25" customHeight="1">
      <c r="A780" s="131"/>
      <c r="B780" s="210"/>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4.25" customHeight="1">
      <c r="A781" s="131"/>
      <c r="B781" s="210"/>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4.25" customHeight="1">
      <c r="A782" s="131"/>
      <c r="B782" s="210"/>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4.25" customHeight="1">
      <c r="A783" s="131"/>
      <c r="B783" s="210"/>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4.25" customHeight="1">
      <c r="A784" s="131"/>
      <c r="B784" s="210"/>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4.25" customHeight="1">
      <c r="A785" s="131"/>
      <c r="B785" s="210"/>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4.25" customHeight="1">
      <c r="A786" s="131"/>
      <c r="B786" s="210"/>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4.25" customHeight="1">
      <c r="A787" s="131"/>
      <c r="B787" s="210"/>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4.25" customHeight="1">
      <c r="A788" s="131"/>
      <c r="B788" s="210"/>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4.25" customHeight="1">
      <c r="A789" s="131"/>
      <c r="B789" s="210"/>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4.25" customHeight="1">
      <c r="A790" s="131"/>
      <c r="B790" s="210"/>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4.25" customHeight="1">
      <c r="A791" s="131"/>
      <c r="B791" s="210"/>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4.25" customHeight="1">
      <c r="A792" s="131"/>
      <c r="B792" s="210"/>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4.25" customHeight="1">
      <c r="A793" s="131"/>
      <c r="B793" s="210"/>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4.25" customHeight="1">
      <c r="A794" s="131"/>
      <c r="B794" s="210"/>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4.25" customHeight="1">
      <c r="A795" s="131"/>
      <c r="B795" s="210"/>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4.25" customHeight="1">
      <c r="A796" s="131"/>
      <c r="B796" s="210"/>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4.25" customHeight="1">
      <c r="A797" s="131"/>
      <c r="B797" s="210"/>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4.25" customHeight="1">
      <c r="A798" s="131"/>
      <c r="B798" s="210"/>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4.25" customHeight="1">
      <c r="A799" s="131"/>
      <c r="B799" s="210"/>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4.25" customHeight="1">
      <c r="A800" s="131"/>
      <c r="B800" s="210"/>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4.25" customHeight="1">
      <c r="A801" s="131"/>
      <c r="B801" s="210"/>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4.25" customHeight="1">
      <c r="A802" s="131"/>
      <c r="B802" s="210"/>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4.25" customHeight="1">
      <c r="A803" s="131"/>
      <c r="B803" s="210"/>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4.25" customHeight="1">
      <c r="A804" s="131"/>
      <c r="B804" s="210"/>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4.25" customHeight="1">
      <c r="A805" s="131"/>
      <c r="B805" s="210"/>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4.25" customHeight="1">
      <c r="A806" s="131"/>
      <c r="B806" s="210"/>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4.25" customHeight="1">
      <c r="A807" s="131"/>
      <c r="B807" s="210"/>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4.25" customHeight="1">
      <c r="A808" s="131"/>
      <c r="B808" s="210"/>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4.25" customHeight="1">
      <c r="A809" s="131"/>
      <c r="B809" s="210"/>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4.25" customHeight="1">
      <c r="A810" s="131"/>
      <c r="B810" s="210"/>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4.25" customHeight="1">
      <c r="A811" s="131"/>
      <c r="B811" s="210"/>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4.25" customHeight="1">
      <c r="A812" s="131"/>
      <c r="B812" s="210"/>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4.25" customHeight="1">
      <c r="A813" s="131"/>
      <c r="B813" s="210"/>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4.25" customHeight="1">
      <c r="A814" s="131"/>
      <c r="B814" s="210"/>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4.25" customHeight="1">
      <c r="A815" s="131"/>
      <c r="B815" s="210"/>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4.25" customHeight="1">
      <c r="A816" s="131"/>
      <c r="B816" s="210"/>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4.25" customHeight="1">
      <c r="A817" s="131"/>
      <c r="B817" s="210"/>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4.25" customHeight="1">
      <c r="A818" s="131"/>
      <c r="B818" s="210"/>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4.25" customHeight="1">
      <c r="A819" s="131"/>
      <c r="B819" s="210"/>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4.25" customHeight="1">
      <c r="A820" s="131"/>
      <c r="B820" s="210"/>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4.25" customHeight="1">
      <c r="A821" s="131"/>
      <c r="B821" s="210"/>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4.25" customHeight="1">
      <c r="A822" s="131"/>
      <c r="B822" s="210"/>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4.25" customHeight="1">
      <c r="A823" s="131"/>
      <c r="B823" s="210"/>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4.25" customHeight="1">
      <c r="A824" s="131"/>
      <c r="B824" s="210"/>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4.25" customHeight="1">
      <c r="A825" s="131"/>
      <c r="B825" s="210"/>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4.25" customHeight="1">
      <c r="A826" s="131"/>
      <c r="B826" s="210"/>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4.25" customHeight="1">
      <c r="A827" s="131"/>
      <c r="B827" s="210"/>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4.25" customHeight="1">
      <c r="A828" s="131"/>
      <c r="B828" s="210"/>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4.25" customHeight="1">
      <c r="A829" s="131"/>
      <c r="B829" s="210"/>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4.25" customHeight="1">
      <c r="A830" s="131"/>
      <c r="B830" s="210"/>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4.25" customHeight="1">
      <c r="A831" s="131"/>
      <c r="B831" s="210"/>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4.25" customHeight="1">
      <c r="A832" s="131"/>
      <c r="B832" s="210"/>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4.25" customHeight="1">
      <c r="A833" s="131"/>
      <c r="B833" s="210"/>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4.25" customHeight="1">
      <c r="A834" s="131"/>
      <c r="B834" s="210"/>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4.25" customHeight="1">
      <c r="A835" s="131"/>
      <c r="B835" s="210"/>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4.25" customHeight="1">
      <c r="A836" s="131"/>
      <c r="B836" s="210"/>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4.25" customHeight="1">
      <c r="A837" s="131"/>
      <c r="B837" s="210"/>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4.25" customHeight="1">
      <c r="A838" s="131"/>
      <c r="B838" s="210"/>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4.25" customHeight="1">
      <c r="A839" s="131"/>
      <c r="B839" s="210"/>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4.25" customHeight="1">
      <c r="A840" s="131"/>
      <c r="B840" s="210"/>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4.25" customHeight="1">
      <c r="A841" s="131"/>
      <c r="B841" s="210"/>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4.25" customHeight="1">
      <c r="A842" s="131"/>
      <c r="B842" s="210"/>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4.25" customHeight="1">
      <c r="A843" s="131"/>
      <c r="B843" s="210"/>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4.25" customHeight="1">
      <c r="A844" s="131"/>
      <c r="B844" s="210"/>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4.25" customHeight="1">
      <c r="A845" s="131"/>
      <c r="B845" s="210"/>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4.25" customHeight="1">
      <c r="A846" s="131"/>
      <c r="B846" s="210"/>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4.25" customHeight="1">
      <c r="A847" s="131"/>
      <c r="B847" s="210"/>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4.25" customHeight="1">
      <c r="A848" s="131"/>
      <c r="B848" s="210"/>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4.25" customHeight="1">
      <c r="A849" s="131"/>
      <c r="B849" s="210"/>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4.25" customHeight="1">
      <c r="A850" s="131"/>
      <c r="B850" s="210"/>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4.25" customHeight="1">
      <c r="A851" s="131"/>
      <c r="B851" s="210"/>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4.25" customHeight="1">
      <c r="A852" s="131"/>
      <c r="B852" s="210"/>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4.25" customHeight="1">
      <c r="A853" s="131"/>
      <c r="B853" s="210"/>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4.25" customHeight="1">
      <c r="A854" s="131"/>
      <c r="B854" s="210"/>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4.25" customHeight="1">
      <c r="A855" s="131"/>
      <c r="B855" s="210"/>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4.25" customHeight="1">
      <c r="A856" s="131"/>
      <c r="B856" s="210"/>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4.25" customHeight="1">
      <c r="A857" s="131"/>
      <c r="B857" s="210"/>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4.25" customHeight="1">
      <c r="A858" s="131"/>
      <c r="B858" s="210"/>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4.25" customHeight="1">
      <c r="A859" s="131"/>
      <c r="B859" s="210"/>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4.25" customHeight="1">
      <c r="A860" s="131"/>
      <c r="B860" s="210"/>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4.25" customHeight="1">
      <c r="A861" s="131"/>
      <c r="B861" s="210"/>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4.25" customHeight="1">
      <c r="A862" s="131"/>
      <c r="B862" s="210"/>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4.25" customHeight="1">
      <c r="A863" s="131"/>
      <c r="B863" s="210"/>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4.25" customHeight="1">
      <c r="A864" s="131"/>
      <c r="B864" s="210"/>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4.25" customHeight="1">
      <c r="A865" s="131"/>
      <c r="B865" s="210"/>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4.25" customHeight="1">
      <c r="A866" s="131"/>
      <c r="B866" s="210"/>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4.25" customHeight="1">
      <c r="A867" s="131"/>
      <c r="B867" s="210"/>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4.25" customHeight="1">
      <c r="A868" s="131"/>
      <c r="B868" s="210"/>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4.25" customHeight="1">
      <c r="A869" s="131"/>
      <c r="B869" s="210"/>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4.25" customHeight="1">
      <c r="A870" s="131"/>
      <c r="B870" s="210"/>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4.25" customHeight="1">
      <c r="A871" s="131"/>
      <c r="B871" s="210"/>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4.25" customHeight="1">
      <c r="A872" s="131"/>
      <c r="B872" s="210"/>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4.25" customHeight="1">
      <c r="A873" s="131"/>
      <c r="B873" s="210"/>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4.25" customHeight="1">
      <c r="A874" s="131"/>
      <c r="B874" s="210"/>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4.25" customHeight="1">
      <c r="A875" s="131"/>
      <c r="B875" s="210"/>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4.25" customHeight="1">
      <c r="A876" s="131"/>
      <c r="B876" s="210"/>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4.25" customHeight="1">
      <c r="A877" s="131"/>
      <c r="B877" s="210"/>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4.25" customHeight="1">
      <c r="A878" s="131"/>
      <c r="B878" s="210"/>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4.25" customHeight="1">
      <c r="A879" s="131"/>
      <c r="B879" s="210"/>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4.25" customHeight="1">
      <c r="A880" s="131"/>
      <c r="B880" s="210"/>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4.25" customHeight="1">
      <c r="A881" s="131"/>
      <c r="B881" s="210"/>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4.25" customHeight="1">
      <c r="A882" s="131"/>
      <c r="B882" s="210"/>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4.25" customHeight="1">
      <c r="A883" s="131"/>
      <c r="B883" s="210"/>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4.25" customHeight="1">
      <c r="A884" s="131"/>
      <c r="B884" s="210"/>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4.25" customHeight="1">
      <c r="A885" s="131"/>
      <c r="B885" s="210"/>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4.25" customHeight="1">
      <c r="A886" s="131"/>
      <c r="B886" s="210"/>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4.25" customHeight="1">
      <c r="A887" s="131"/>
      <c r="B887" s="210"/>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4.25" customHeight="1">
      <c r="A888" s="131"/>
      <c r="B888" s="210"/>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4.25" customHeight="1">
      <c r="A889" s="131"/>
      <c r="B889" s="210"/>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4.25" customHeight="1">
      <c r="A890" s="131"/>
      <c r="B890" s="210"/>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4.25" customHeight="1">
      <c r="A891" s="131"/>
      <c r="B891" s="210"/>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4.25" customHeight="1">
      <c r="A892" s="131"/>
      <c r="B892" s="210"/>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4.25" customHeight="1">
      <c r="A893" s="131"/>
      <c r="B893" s="210"/>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4.25" customHeight="1">
      <c r="A894" s="131"/>
      <c r="B894" s="210"/>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4.25" customHeight="1">
      <c r="A895" s="131"/>
      <c r="B895" s="210"/>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4.25" customHeight="1">
      <c r="A896" s="131"/>
      <c r="B896" s="210"/>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4.25" customHeight="1">
      <c r="A897" s="131"/>
      <c r="B897" s="210"/>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4.25" customHeight="1">
      <c r="A898" s="131"/>
      <c r="B898" s="210"/>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4.25" customHeight="1">
      <c r="A899" s="131"/>
      <c r="B899" s="210"/>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4.25" customHeight="1">
      <c r="A900" s="131"/>
      <c r="B900" s="210"/>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4.25" customHeight="1">
      <c r="A901" s="131"/>
      <c r="B901" s="210"/>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4.25" customHeight="1">
      <c r="A902" s="131"/>
      <c r="B902" s="210"/>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4.25" customHeight="1">
      <c r="A903" s="131"/>
      <c r="B903" s="210"/>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4.25" customHeight="1">
      <c r="A904" s="131"/>
      <c r="B904" s="210"/>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4.25" customHeight="1">
      <c r="A905" s="131"/>
      <c r="B905" s="210"/>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4.25" customHeight="1">
      <c r="A906" s="131"/>
      <c r="B906" s="210"/>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4.25" customHeight="1">
      <c r="A907" s="131"/>
      <c r="B907" s="210"/>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4.25" customHeight="1">
      <c r="A908" s="131"/>
      <c r="B908" s="210"/>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4.25" customHeight="1">
      <c r="A909" s="131"/>
      <c r="B909" s="210"/>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4.25" customHeight="1">
      <c r="A910" s="131"/>
      <c r="B910" s="210"/>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4.25" customHeight="1">
      <c r="A911" s="131"/>
      <c r="B911" s="210"/>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4.25" customHeight="1">
      <c r="A912" s="131"/>
      <c r="B912" s="210"/>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4.25" customHeight="1">
      <c r="A913" s="131"/>
      <c r="B913" s="210"/>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4.25" customHeight="1">
      <c r="A914" s="131"/>
      <c r="B914" s="210"/>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4.25" customHeight="1">
      <c r="A915" s="131"/>
      <c r="B915" s="210"/>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4.25" customHeight="1">
      <c r="A916" s="131"/>
      <c r="B916" s="210"/>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4.25" customHeight="1">
      <c r="A917" s="131"/>
      <c r="B917" s="210"/>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4.25" customHeight="1">
      <c r="A918" s="131"/>
      <c r="B918" s="210"/>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4.25" customHeight="1">
      <c r="A919" s="131"/>
      <c r="B919" s="210"/>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4.25" customHeight="1">
      <c r="A920" s="131"/>
      <c r="B920" s="210"/>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4.25" customHeight="1">
      <c r="A921" s="131"/>
      <c r="B921" s="210"/>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4.25" customHeight="1">
      <c r="A922" s="131"/>
      <c r="B922" s="210"/>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4.25" customHeight="1">
      <c r="A923" s="131"/>
      <c r="B923" s="210"/>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4.25" customHeight="1">
      <c r="A924" s="131"/>
      <c r="B924" s="210"/>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4.25" customHeight="1">
      <c r="A925" s="131"/>
      <c r="B925" s="210"/>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4.25" customHeight="1">
      <c r="A926" s="131"/>
      <c r="B926" s="210"/>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4.25" customHeight="1">
      <c r="A927" s="131"/>
      <c r="B927" s="210"/>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4.25" customHeight="1">
      <c r="A928" s="131"/>
      <c r="B928" s="210"/>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4.25" customHeight="1">
      <c r="A929" s="131"/>
      <c r="B929" s="210"/>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4.25" customHeight="1">
      <c r="A930" s="131"/>
      <c r="B930" s="210"/>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4.25" customHeight="1">
      <c r="A931" s="131"/>
      <c r="B931" s="210"/>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4.25" customHeight="1">
      <c r="A932" s="131"/>
      <c r="B932" s="210"/>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4.25" customHeight="1">
      <c r="A933" s="131"/>
      <c r="B933" s="210"/>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4.25" customHeight="1">
      <c r="A934" s="131"/>
      <c r="B934" s="210"/>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4.25" customHeight="1">
      <c r="A935" s="131"/>
      <c r="B935" s="210"/>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4.25" customHeight="1">
      <c r="A936" s="131"/>
      <c r="B936" s="210"/>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4.25" customHeight="1">
      <c r="A937" s="131"/>
      <c r="B937" s="210"/>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4.25" customHeight="1">
      <c r="A938" s="131"/>
      <c r="B938" s="210"/>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4.25" customHeight="1">
      <c r="A939" s="131"/>
      <c r="B939" s="210"/>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4.25" customHeight="1">
      <c r="A940" s="131"/>
      <c r="B940" s="210"/>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4.25" customHeight="1">
      <c r="A941" s="131"/>
      <c r="B941" s="210"/>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4.25" customHeight="1">
      <c r="A942" s="131"/>
      <c r="B942" s="210"/>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4.25" customHeight="1">
      <c r="A943" s="131"/>
      <c r="B943" s="210"/>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4.25" customHeight="1">
      <c r="A944" s="131"/>
      <c r="B944" s="210"/>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4.25" customHeight="1">
      <c r="A945" s="131"/>
      <c r="B945" s="210"/>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4.25" customHeight="1">
      <c r="A946" s="131"/>
      <c r="B946" s="210"/>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4.25" customHeight="1">
      <c r="A947" s="131"/>
      <c r="B947" s="210"/>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4.25" customHeight="1">
      <c r="A948" s="131"/>
      <c r="B948" s="210"/>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4.25" customHeight="1">
      <c r="A949" s="131"/>
      <c r="B949" s="210"/>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4.25" customHeight="1">
      <c r="A950" s="131"/>
      <c r="B950" s="210"/>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4.25" customHeight="1">
      <c r="A951" s="131"/>
      <c r="B951" s="210"/>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4.25" customHeight="1">
      <c r="A952" s="131"/>
      <c r="B952" s="210"/>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4.25" customHeight="1">
      <c r="A953" s="131"/>
      <c r="B953" s="210"/>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4.25" customHeight="1">
      <c r="A954" s="131"/>
      <c r="B954" s="210"/>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4.25" customHeight="1">
      <c r="A955" s="131"/>
      <c r="B955" s="210"/>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4.25" customHeight="1">
      <c r="A956" s="131"/>
      <c r="B956" s="210"/>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4.25" customHeight="1">
      <c r="A957" s="131"/>
      <c r="B957" s="210"/>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4.25" customHeight="1">
      <c r="A958" s="131"/>
      <c r="B958" s="210"/>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4.25" customHeight="1">
      <c r="A959" s="131"/>
      <c r="B959" s="210"/>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4.25" customHeight="1">
      <c r="A960" s="131"/>
      <c r="B960" s="210"/>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4.25" customHeight="1">
      <c r="A961" s="131"/>
      <c r="B961" s="210"/>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4.25" customHeight="1">
      <c r="A962" s="131"/>
      <c r="B962" s="210"/>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4.25" customHeight="1">
      <c r="A963" s="131"/>
      <c r="B963" s="210"/>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4.25" customHeight="1">
      <c r="A964" s="131"/>
      <c r="B964" s="210"/>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4.25" customHeight="1">
      <c r="A965" s="131"/>
      <c r="B965" s="210"/>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4.25" customHeight="1">
      <c r="A966" s="131"/>
      <c r="B966" s="210"/>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4.25" customHeight="1">
      <c r="A967" s="131"/>
      <c r="B967" s="210"/>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4.25" customHeight="1">
      <c r="A968" s="131"/>
      <c r="B968" s="210"/>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4.25" customHeight="1">
      <c r="A969" s="131"/>
      <c r="B969" s="210"/>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4.25" customHeight="1">
      <c r="A970" s="131"/>
      <c r="B970" s="210"/>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4.25" customHeight="1">
      <c r="A971" s="131"/>
      <c r="B971" s="210"/>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4.25" customHeight="1">
      <c r="A972" s="131"/>
      <c r="B972" s="210"/>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4.25" customHeight="1">
      <c r="A973" s="131"/>
      <c r="B973" s="210"/>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4.25" customHeight="1">
      <c r="A974" s="131"/>
      <c r="B974" s="210"/>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4.25" customHeight="1">
      <c r="A975" s="131"/>
      <c r="B975" s="210"/>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4.25" customHeight="1">
      <c r="A976" s="131"/>
      <c r="B976" s="210"/>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4.25" customHeight="1">
      <c r="A977" s="131"/>
      <c r="B977" s="210"/>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4.25" customHeight="1">
      <c r="A978" s="131"/>
      <c r="B978" s="210"/>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4.25" customHeight="1">
      <c r="A979" s="131"/>
      <c r="B979" s="210"/>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4.25" customHeight="1">
      <c r="A980" s="131"/>
      <c r="B980" s="210"/>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4.25" customHeight="1">
      <c r="A981" s="131"/>
      <c r="B981" s="210"/>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4.25" customHeight="1">
      <c r="A982" s="131"/>
      <c r="B982" s="210"/>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4.25" customHeight="1">
      <c r="A983" s="131"/>
      <c r="B983" s="210"/>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4.25" customHeight="1">
      <c r="A984" s="131"/>
      <c r="B984" s="210"/>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4.25" customHeight="1">
      <c r="A985" s="131"/>
      <c r="B985" s="210"/>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4.25" customHeight="1">
      <c r="A986" s="131"/>
      <c r="B986" s="210"/>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4.25" customHeight="1">
      <c r="A987" s="131"/>
      <c r="B987" s="210"/>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4.25" customHeight="1">
      <c r="A988" s="131"/>
      <c r="B988" s="210"/>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4.25" customHeight="1">
      <c r="A989" s="131"/>
      <c r="B989" s="210"/>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4.25" customHeight="1">
      <c r="A990" s="131"/>
      <c r="B990" s="210"/>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4.25" customHeight="1">
      <c r="A991" s="131"/>
      <c r="B991" s="210"/>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4.25" customHeight="1">
      <c r="A992" s="131"/>
      <c r="B992" s="210"/>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4.25" customHeight="1">
      <c r="A993" s="131"/>
      <c r="B993" s="210"/>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4.25" customHeight="1">
      <c r="A994" s="131"/>
      <c r="B994" s="210"/>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4.25" customHeight="1">
      <c r="A995" s="131"/>
      <c r="B995" s="210"/>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4.25" customHeight="1">
      <c r="A996" s="131"/>
      <c r="B996" s="210"/>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4.25" customHeight="1">
      <c r="A997" s="131"/>
      <c r="B997" s="210"/>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4.25" customHeight="1">
      <c r="A998" s="131"/>
      <c r="B998" s="210"/>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4.25" customHeight="1">
      <c r="A999" s="131"/>
      <c r="B999" s="210"/>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4.25" customHeight="1">
      <c r="A1000" s="131"/>
      <c r="B1000" s="210"/>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15">
    <mergeCell ref="F37:H38"/>
    <mergeCell ref="C39:C40"/>
    <mergeCell ref="F39:H40"/>
    <mergeCell ref="A1:I1"/>
    <mergeCell ref="A2:I2"/>
    <mergeCell ref="A3:I3"/>
    <mergeCell ref="A4:I4"/>
    <mergeCell ref="A5:I5"/>
    <mergeCell ref="D6:H6"/>
    <mergeCell ref="I6:I7"/>
    <mergeCell ref="A6:C7"/>
    <mergeCell ref="B8:C8"/>
    <mergeCell ref="B20:C20"/>
    <mergeCell ref="B32:C32"/>
    <mergeCell ref="C37:C38"/>
  </mergeCells>
  <conditionalFormatting sqref="D9:E10">
    <cfRule type="cellIs" dxfId="33" priority="1" stopIfTrue="1" operator="equal">
      <formula>0</formula>
    </cfRule>
  </conditionalFormatting>
  <conditionalFormatting sqref="G9:H10">
    <cfRule type="cellIs" dxfId="32" priority="2" stopIfTrue="1" operator="equal">
      <formula>0</formula>
    </cfRule>
  </conditionalFormatting>
  <conditionalFormatting sqref="D12:E14">
    <cfRule type="cellIs" dxfId="31" priority="3" stopIfTrue="1" operator="equal">
      <formula>0</formula>
    </cfRule>
  </conditionalFormatting>
  <conditionalFormatting sqref="D16:E18">
    <cfRule type="cellIs" dxfId="30" priority="4" stopIfTrue="1" operator="equal">
      <formula>0</formula>
    </cfRule>
  </conditionalFormatting>
  <conditionalFormatting sqref="G16:H18">
    <cfRule type="cellIs" dxfId="29" priority="5" stopIfTrue="1" operator="equal">
      <formula>0</formula>
    </cfRule>
  </conditionalFormatting>
  <conditionalFormatting sqref="G12:H14">
    <cfRule type="cellIs" dxfId="28" priority="6" stopIfTrue="1" operator="equal">
      <formula>0</formula>
    </cfRule>
  </conditionalFormatting>
  <conditionalFormatting sqref="D21:E22">
    <cfRule type="cellIs" dxfId="27" priority="7" stopIfTrue="1" operator="equal">
      <formula>0</formula>
    </cfRule>
  </conditionalFormatting>
  <conditionalFormatting sqref="G21:H22">
    <cfRule type="cellIs" dxfId="26" priority="8" stopIfTrue="1" operator="equal">
      <formula>0</formula>
    </cfRule>
  </conditionalFormatting>
  <conditionalFormatting sqref="D24:E26">
    <cfRule type="cellIs" dxfId="25" priority="9" stopIfTrue="1" operator="equal">
      <formula>0</formula>
    </cfRule>
  </conditionalFormatting>
  <conditionalFormatting sqref="G24:H26">
    <cfRule type="cellIs" dxfId="24" priority="10" stopIfTrue="1" operator="equal">
      <formula>0</formula>
    </cfRule>
  </conditionalFormatting>
  <conditionalFormatting sqref="D28:E30">
    <cfRule type="cellIs" dxfId="23" priority="11" stopIfTrue="1" operator="equal">
      <formula>0</formula>
    </cfRule>
  </conditionalFormatting>
  <conditionalFormatting sqref="G28:H30">
    <cfRule type="cellIs" dxfId="22" priority="12" stopIfTrue="1" operator="equal">
      <formula>0</formula>
    </cfRule>
  </conditionalFormatting>
  <dataValidations count="1">
    <dataValidation type="decimal" allowBlank="1" showErrorMessage="1" sqref="D9:E10 G9:H10 D12:E14 G12:H14 D16:E18 G16:H18 D21:E22 G21:H22 D24:E26 G24:H26 D28:E30 G28:H30">
      <formula1>-20000000000</formula1>
      <formula2>20000000000</formula2>
    </dataValidation>
  </dataValidations>
  <printOptions horizontalCentered="1"/>
  <pageMargins left="0.39370078740157483" right="0.39370078740157483" top="0.78740157480314965" bottom="0.39370078740157483" header="0" footer="0"/>
  <pageSetup orientation="landscape"/>
  <headerFooter>
    <oddFooter>&amp;REstado Analítico del ejercicio del Presupuesto de Egresos detallado - LDF Clasificación de Servicios Personales por Categoría Página &amp;P de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14</vt:i4>
      </vt:variant>
    </vt:vector>
  </HeadingPairs>
  <TitlesOfParts>
    <vt:vector size="41" baseType="lpstr">
      <vt:lpstr>Validacion</vt:lpstr>
      <vt:lpstr>Balanza</vt:lpstr>
      <vt:lpstr>F3</vt:lpstr>
      <vt:lpstr>F7</vt:lpstr>
      <vt:lpstr>F13</vt:lpstr>
      <vt:lpstr>F18</vt:lpstr>
      <vt:lpstr>F18A</vt:lpstr>
      <vt:lpstr>F19A</vt:lpstr>
      <vt:lpstr>F21</vt:lpstr>
      <vt:lpstr>F22</vt:lpstr>
      <vt:lpstr>F23</vt:lpstr>
      <vt:lpstr>F1</vt:lpstr>
      <vt:lpstr>F1LDF</vt:lpstr>
      <vt:lpstr>F6</vt:lpstr>
      <vt:lpstr>F6A</vt:lpstr>
      <vt:lpstr>F2</vt:lpstr>
      <vt:lpstr>F4A1</vt:lpstr>
      <vt:lpstr>F4A2</vt:lpstr>
      <vt:lpstr>F5</vt:lpstr>
      <vt:lpstr>F7A</vt:lpstr>
      <vt:lpstr>F7B</vt:lpstr>
      <vt:lpstr>F8</vt:lpstr>
      <vt:lpstr>F8B</vt:lpstr>
      <vt:lpstr>F12</vt:lpstr>
      <vt:lpstr>F16</vt:lpstr>
      <vt:lpstr>F17</vt:lpstr>
      <vt:lpstr>F19</vt:lpstr>
      <vt:lpstr>'F6'!OLE_LINK13</vt:lpstr>
      <vt:lpstr>'F1'!Print_Area</vt:lpstr>
      <vt:lpstr>'F1LDF'!Print_Area</vt:lpstr>
      <vt:lpstr>Balanza!Print_Titles</vt:lpstr>
      <vt:lpstr>'F1'!Print_Titles</vt:lpstr>
      <vt:lpstr>'F13'!Print_Titles</vt:lpstr>
      <vt:lpstr>'F18A'!Print_Titles</vt:lpstr>
      <vt:lpstr>'F1LDF'!Print_Titles</vt:lpstr>
      <vt:lpstr>'F23'!Print_Titles</vt:lpstr>
      <vt:lpstr>'F5'!Print_Titles</vt:lpstr>
      <vt:lpstr>'F6'!Print_Titles</vt:lpstr>
      <vt:lpstr>'F6A'!Print_Titles</vt:lpstr>
      <vt:lpstr>'F7B'!Print_Titles</vt:lpstr>
      <vt:lpstr>'F8B'!Print_Titles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Martínez Rameño Martha Elena</cp:lastModifiedBy>
  <dcterms:created xsi:type="dcterms:W3CDTF">2011-01-28T17:11:41Z</dcterms:created>
  <dcterms:modified xsi:type="dcterms:W3CDTF">2025-10-02T15:28:06Z</dcterms:modified>
</cp:coreProperties>
</file>